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pivotTables/pivotTable1.xml" ContentType="application/vnd.openxmlformats-officedocument.spreadsheetml.pivotTable+xml"/>
  <Override PartName="/xl/pivotTables/pivotTable2.xml" ContentType="application/vnd.openxmlformats-officedocument.spreadsheetml.pivotTable+xml"/>
  <Override PartName="/xl/comments2.xml" ContentType="application/vnd.openxmlformats-officedocument.spreadsheetml.comments+xml"/>
  <Override PartName="/xl/pivotTables/pivotTable3.xml" ContentType="application/vnd.openxmlformats-officedocument.spreadsheetml.pivotTable+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hidePivotFieldList="1"/>
  <bookViews>
    <workbookView xWindow="-15" yWindow="-15" windowWidth="14400" windowHeight="12855" firstSheet="7" activeTab="8"/>
  </bookViews>
  <sheets>
    <sheet name="113. NEW Distrib by purp sum" sheetId="52" r:id="rId1"/>
    <sheet name="OLD Distrib by purpose sum" sheetId="67" r:id="rId2"/>
    <sheet name="114. NEW Distrib by purpose" sheetId="53" r:id="rId3"/>
    <sheet name="OLD Distrib by purpose" sheetId="66" r:id="rId4"/>
    <sheet name="115. NEW Distrib by source" sheetId="21" r:id="rId5"/>
    <sheet name="OLD Distrib by source" sheetId="65" r:id="rId6"/>
    <sheet name="116-131b NEW Amounts per FTE" sheetId="22" r:id="rId7"/>
    <sheet name="OLD Amounts per FTE" sheetId="64" r:id="rId8"/>
    <sheet name="Amounts Pivot Table" sheetId="55" r:id="rId9"/>
    <sheet name="Distrib pivot table" sheetId="51" r:id="rId10"/>
    <sheet name="SFA Data for Highlights" sheetId="59" r:id="rId11"/>
    <sheet name="Amounts Pivot Table Fact Book" sheetId="68" r:id="rId12"/>
    <sheet name="Funding Data" sheetId="8" r:id="rId13"/>
    <sheet name="Format Amounts" sheetId="61" r:id="rId14"/>
    <sheet name="Format Dist" sheetId="60" r:id="rId15"/>
  </sheets>
  <externalReferences>
    <externalReference r:id="rId16"/>
  </externalReferences>
  <definedNames>
    <definedName name="\a">#N/A</definedName>
    <definedName name="\c">#N/A</definedName>
    <definedName name="\s">#N/A</definedName>
    <definedName name="\x">#N/A</definedName>
    <definedName name="\z">#N/A</definedName>
    <definedName name="_xlnm._FilterDatabase" localSheetId="12" hidden="1">'Funding Data'!$1:$1</definedName>
    <definedName name="NEWYEAR" localSheetId="7">#REF!</definedName>
    <definedName name="NEWYEAR" localSheetId="3">#REF!</definedName>
    <definedName name="NEWYEAR" localSheetId="1">#REF!</definedName>
    <definedName name="NEWYEAR" localSheetId="5">#REF!</definedName>
    <definedName name="_xlnm.Print_Area" localSheetId="0">'113. NEW Distrib by purp sum'!$A$1:$T$24</definedName>
    <definedName name="_xlnm.Print_Area" localSheetId="2">'114. NEW Distrib by purpose'!$A$7:$T$61</definedName>
    <definedName name="_xlnm.Print_Area" localSheetId="4">'115. NEW Distrib by source'!$R$1:$AG$36</definedName>
    <definedName name="_xlnm.Print_Area" localSheetId="6">'116-131b NEW Amounts per FTE'!$A$1:$K$523</definedName>
    <definedName name="_xlnm.Print_Area" localSheetId="9">'Distrib pivot table'!$E$4:$T$139</definedName>
    <definedName name="_xlnm.Print_Area" localSheetId="7">'OLD Amounts per FTE'!$A$1:$K$517</definedName>
    <definedName name="_xlnm.Print_Area" localSheetId="3">'OLD Distrib by purpose'!$A$5:$T$58</definedName>
    <definedName name="_xlnm.Print_Area" localSheetId="1">'OLD Distrib by purpose sum'!$A$1:$T$22</definedName>
    <definedName name="_xlnm.Print_Area" localSheetId="5">'OLD Distrib by source'!$R$1:$AG$34</definedName>
    <definedName name="_xlnm.Print_Area" localSheetId="10">'SFA Data for Highlights'!$A$1:$T$140</definedName>
    <definedName name="_xlnm.Print_Titles" localSheetId="2">'114. NEW Distrib by purpose'!$1:$6</definedName>
    <definedName name="_xlnm.Print_Titles" localSheetId="9">'Distrib pivot table'!$A:$D,'Distrib pivot table'!$1:$3</definedName>
    <definedName name="_xlnm.Print_Titles" localSheetId="12">'Funding Data'!#REF!</definedName>
    <definedName name="_xlnm.Print_Titles" localSheetId="3">'OLD Distrib by purpose'!$1:$4</definedName>
  </definedNames>
  <calcPr calcId="145621"/>
  <pivotCaches>
    <pivotCache cacheId="0" r:id="rId17"/>
    <pivotCache cacheId="1" r:id="rId18"/>
  </pivotCaches>
</workbook>
</file>

<file path=xl/calcChain.xml><?xml version="1.0" encoding="utf-8"?>
<calcChain xmlns="http://schemas.openxmlformats.org/spreadsheetml/2006/main">
  <c r="M9" i="64" l="1"/>
  <c r="O9" i="52" l="1"/>
  <c r="O8" i="52"/>
  <c r="AJ15" i="8" l="1"/>
  <c r="AI16" i="8"/>
  <c r="AJ19" i="8"/>
  <c r="AI21" i="8"/>
  <c r="AI22" i="8"/>
  <c r="AI25" i="8"/>
  <c r="AI32" i="8"/>
  <c r="AI33" i="8"/>
  <c r="AI34" i="8"/>
  <c r="AI37" i="8"/>
  <c r="AI38" i="8"/>
  <c r="AI40" i="8"/>
  <c r="AI41" i="8"/>
  <c r="AI44" i="8"/>
  <c r="AJ44" i="8"/>
  <c r="AI48" i="8"/>
  <c r="AI50" i="8"/>
  <c r="AJ51" i="8"/>
  <c r="AI53" i="8"/>
  <c r="AI54" i="8"/>
  <c r="AI57" i="8"/>
  <c r="AJ63" i="8"/>
  <c r="AI64" i="8"/>
  <c r="AI65" i="8"/>
  <c r="AI66" i="8"/>
  <c r="AJ67" i="8"/>
  <c r="AI69" i="8"/>
  <c r="AI72" i="8"/>
  <c r="AI73" i="8"/>
  <c r="AJ79" i="8"/>
  <c r="AI80" i="8"/>
  <c r="AI85" i="8"/>
  <c r="AI86" i="8"/>
  <c r="AI89" i="8"/>
  <c r="AI92" i="8"/>
  <c r="AJ92" i="8"/>
  <c r="AI96" i="8"/>
  <c r="AI97" i="8"/>
  <c r="AI98" i="8"/>
  <c r="AI101" i="8"/>
  <c r="AI102" i="8"/>
  <c r="AI104" i="8"/>
  <c r="AI105" i="8"/>
  <c r="AI112" i="8"/>
  <c r="AI114" i="8"/>
  <c r="AJ115" i="8"/>
  <c r="AI117" i="8"/>
  <c r="AI121" i="8"/>
  <c r="AJ127" i="8"/>
  <c r="AI128" i="8"/>
  <c r="AI129" i="8"/>
  <c r="AI133" i="8"/>
  <c r="AI136" i="8"/>
  <c r="AI137" i="8"/>
  <c r="AI144" i="8"/>
  <c r="AJ147" i="8"/>
  <c r="AI149" i="8"/>
  <c r="AI150" i="8"/>
  <c r="AI153" i="8"/>
  <c r="AI160" i="8"/>
  <c r="AI161" i="8"/>
  <c r="AI162" i="8"/>
  <c r="AI165" i="8"/>
  <c r="AI168" i="8"/>
  <c r="AI169" i="8"/>
  <c r="AI172" i="8"/>
  <c r="AJ172" i="8"/>
  <c r="AI176" i="8"/>
  <c r="AJ179" i="8"/>
  <c r="AI181" i="8"/>
  <c r="AI182" i="8"/>
  <c r="AI185" i="8"/>
  <c r="AI192" i="8"/>
  <c r="AI193" i="8"/>
  <c r="AI194" i="8"/>
  <c r="AJ195" i="8"/>
  <c r="AI197" i="8"/>
  <c r="AI200" i="8"/>
  <c r="AI201" i="8"/>
  <c r="AJ207" i="8"/>
  <c r="AI208" i="8"/>
  <c r="AI213" i="8"/>
  <c r="AI214" i="8"/>
  <c r="AI217" i="8"/>
  <c r="AI220" i="8"/>
  <c r="AJ220" i="8"/>
  <c r="AI224" i="8"/>
  <c r="AI225" i="8"/>
  <c r="AI226" i="8"/>
  <c r="AI229" i="8"/>
  <c r="AI230" i="8"/>
  <c r="AI232" i="8"/>
  <c r="AI233" i="8"/>
  <c r="AI240" i="8"/>
  <c r="AI242" i="8"/>
  <c r="AJ243" i="8"/>
  <c r="AI245" i="8"/>
  <c r="AI249" i="8"/>
  <c r="AI252" i="8"/>
  <c r="AJ255" i="8"/>
  <c r="AI256" i="8"/>
  <c r="AI257" i="8"/>
  <c r="AJ259" i="8"/>
  <c r="AI261" i="8"/>
  <c r="AI262" i="8"/>
  <c r="AI264" i="8"/>
  <c r="AI265" i="8"/>
  <c r="AI270" i="8"/>
  <c r="AI272" i="8"/>
  <c r="AI274" i="8"/>
  <c r="AJ275" i="8"/>
  <c r="AI277" i="8"/>
  <c r="AI281" i="8"/>
  <c r="AJ283" i="8"/>
  <c r="AI284" i="8"/>
  <c r="AJ284" i="8"/>
  <c r="AI288" i="8"/>
  <c r="AI289" i="8"/>
  <c r="AI290" i="8"/>
  <c r="AI293" i="8"/>
  <c r="AI294" i="8"/>
  <c r="AI296" i="8"/>
  <c r="AI297" i="8"/>
  <c r="AJ303" i="8"/>
  <c r="AI304" i="8"/>
  <c r="AI306" i="8"/>
  <c r="AI309" i="8"/>
  <c r="AI310" i="8"/>
  <c r="AI313" i="8"/>
  <c r="AJ315" i="8"/>
  <c r="AI316" i="8"/>
  <c r="AI320" i="8"/>
  <c r="AI321" i="8"/>
  <c r="AJ323" i="8"/>
  <c r="AI325" i="8"/>
  <c r="AI326" i="8"/>
  <c r="AI328" i="8"/>
  <c r="AJ330" i="8"/>
  <c r="AI333" i="8"/>
  <c r="AI334" i="8"/>
  <c r="AI336" i="8"/>
  <c r="AJ338" i="8"/>
  <c r="AI341" i="8"/>
  <c r="AI342" i="8"/>
  <c r="AJ343" i="8"/>
  <c r="AI344" i="8"/>
  <c r="AJ346" i="8"/>
  <c r="AJ347" i="8"/>
  <c r="AI349" i="8"/>
  <c r="AJ349" i="8"/>
  <c r="AI351" i="8"/>
  <c r="AI353" i="8"/>
  <c r="AJ353" i="8"/>
  <c r="AJ355" i="8"/>
  <c r="AI357" i="8"/>
  <c r="AJ357" i="8"/>
  <c r="AI361" i="8"/>
  <c r="AJ361" i="8"/>
  <c r="AJ363" i="8"/>
  <c r="AI365" i="8"/>
  <c r="AJ365" i="8"/>
  <c r="AI369" i="8"/>
  <c r="AJ369" i="8"/>
  <c r="AI373" i="8"/>
  <c r="AJ373" i="8"/>
  <c r="AJ375" i="8"/>
  <c r="AI377" i="8"/>
  <c r="AJ379" i="8"/>
  <c r="AI381" i="8"/>
  <c r="AJ381" i="8"/>
  <c r="AB10" i="8"/>
  <c r="AB11" i="8"/>
  <c r="AB12" i="8"/>
  <c r="AB13" i="8"/>
  <c r="AB14" i="8"/>
  <c r="AB15" i="8"/>
  <c r="AB16" i="8"/>
  <c r="AB17" i="8"/>
  <c r="AB18" i="8"/>
  <c r="AB19" i="8"/>
  <c r="AB20" i="8"/>
  <c r="AB21" i="8"/>
  <c r="AB22" i="8"/>
  <c r="AB23" i="8"/>
  <c r="AB24" i="8"/>
  <c r="AB25" i="8"/>
  <c r="AB26" i="8"/>
  <c r="AB27" i="8"/>
  <c r="AB28" i="8"/>
  <c r="AB29" i="8"/>
  <c r="AB30" i="8"/>
  <c r="AB31" i="8"/>
  <c r="AB32" i="8"/>
  <c r="AB33" i="8"/>
  <c r="AB34" i="8"/>
  <c r="AB35" i="8"/>
  <c r="AB36" i="8"/>
  <c r="AB37" i="8"/>
  <c r="AB38" i="8"/>
  <c r="AB39" i="8"/>
  <c r="AB40" i="8"/>
  <c r="AB41" i="8"/>
  <c r="AB42" i="8"/>
  <c r="AB43" i="8"/>
  <c r="AB44" i="8"/>
  <c r="AB45" i="8"/>
  <c r="AB46" i="8"/>
  <c r="AB47" i="8"/>
  <c r="AB48" i="8"/>
  <c r="AB49" i="8"/>
  <c r="AB50" i="8"/>
  <c r="AB51" i="8"/>
  <c r="AB52" i="8"/>
  <c r="AB53" i="8"/>
  <c r="AB54" i="8"/>
  <c r="AB55" i="8"/>
  <c r="AB56" i="8"/>
  <c r="AB57" i="8"/>
  <c r="AB58" i="8"/>
  <c r="AB59" i="8"/>
  <c r="AB60" i="8"/>
  <c r="AB61" i="8"/>
  <c r="AB62" i="8"/>
  <c r="AB63" i="8"/>
  <c r="AB64" i="8"/>
  <c r="AB65" i="8"/>
  <c r="AB66" i="8"/>
  <c r="AB67" i="8"/>
  <c r="AB68" i="8"/>
  <c r="AB69" i="8"/>
  <c r="AB70" i="8"/>
  <c r="AB71" i="8"/>
  <c r="AB72" i="8"/>
  <c r="AB73" i="8"/>
  <c r="AB74" i="8"/>
  <c r="AB75" i="8"/>
  <c r="AB76" i="8"/>
  <c r="AB77" i="8"/>
  <c r="AB78" i="8"/>
  <c r="AB79" i="8"/>
  <c r="AB80" i="8"/>
  <c r="AB81" i="8"/>
  <c r="AB82" i="8"/>
  <c r="AB83" i="8"/>
  <c r="AB84" i="8"/>
  <c r="AB85" i="8"/>
  <c r="AB86" i="8"/>
  <c r="AB87" i="8"/>
  <c r="AB88" i="8"/>
  <c r="AB89" i="8"/>
  <c r="AB90" i="8"/>
  <c r="AB91" i="8"/>
  <c r="AB92" i="8"/>
  <c r="AB93" i="8"/>
  <c r="AB94" i="8"/>
  <c r="AB95" i="8"/>
  <c r="AB96" i="8"/>
  <c r="AB97" i="8"/>
  <c r="AB98" i="8"/>
  <c r="AB99" i="8"/>
  <c r="AB100" i="8"/>
  <c r="AB101" i="8"/>
  <c r="AB102" i="8"/>
  <c r="AB103" i="8"/>
  <c r="AB104" i="8"/>
  <c r="AB105" i="8"/>
  <c r="AB106" i="8"/>
  <c r="AB107" i="8"/>
  <c r="AB108" i="8"/>
  <c r="AB109" i="8"/>
  <c r="AB110" i="8"/>
  <c r="AB111" i="8"/>
  <c r="AB112" i="8"/>
  <c r="AB113" i="8"/>
  <c r="AB114" i="8"/>
  <c r="AB115" i="8"/>
  <c r="AB116" i="8"/>
  <c r="AB117" i="8"/>
  <c r="AB118" i="8"/>
  <c r="AB119" i="8"/>
  <c r="AB120" i="8"/>
  <c r="AB121" i="8"/>
  <c r="AB122" i="8"/>
  <c r="AB123" i="8"/>
  <c r="AB124" i="8"/>
  <c r="AB125" i="8"/>
  <c r="AB126" i="8"/>
  <c r="AB127" i="8"/>
  <c r="AB128" i="8"/>
  <c r="AB129" i="8"/>
  <c r="AB130" i="8"/>
  <c r="AB131" i="8"/>
  <c r="AB132" i="8"/>
  <c r="AB133" i="8"/>
  <c r="AB134" i="8"/>
  <c r="AB135" i="8"/>
  <c r="AB136" i="8"/>
  <c r="AB137" i="8"/>
  <c r="AB138" i="8"/>
  <c r="AB139" i="8"/>
  <c r="AB140" i="8"/>
  <c r="AB141" i="8"/>
  <c r="AB142" i="8"/>
  <c r="AB143" i="8"/>
  <c r="AB144" i="8"/>
  <c r="AB145" i="8"/>
  <c r="AB146" i="8"/>
  <c r="AB147" i="8"/>
  <c r="AB148" i="8"/>
  <c r="AB149" i="8"/>
  <c r="AB150" i="8"/>
  <c r="AB151" i="8"/>
  <c r="AB152" i="8"/>
  <c r="AB153" i="8"/>
  <c r="AB154" i="8"/>
  <c r="AB155" i="8"/>
  <c r="AB156" i="8"/>
  <c r="AB157" i="8"/>
  <c r="AB158" i="8"/>
  <c r="AB159" i="8"/>
  <c r="AB160" i="8"/>
  <c r="AB161" i="8"/>
  <c r="AB162" i="8"/>
  <c r="AB163" i="8"/>
  <c r="AB164" i="8"/>
  <c r="AB165" i="8"/>
  <c r="AB166" i="8"/>
  <c r="AB167" i="8"/>
  <c r="AB168" i="8"/>
  <c r="AB169" i="8"/>
  <c r="AB170" i="8"/>
  <c r="AB171" i="8"/>
  <c r="AB172" i="8"/>
  <c r="AB173" i="8"/>
  <c r="AB174" i="8"/>
  <c r="AB175" i="8"/>
  <c r="AB176" i="8"/>
  <c r="AB177" i="8"/>
  <c r="AB178" i="8"/>
  <c r="AB179" i="8"/>
  <c r="AB180" i="8"/>
  <c r="AB181" i="8"/>
  <c r="AB182" i="8"/>
  <c r="AB183" i="8"/>
  <c r="AB184" i="8"/>
  <c r="AB185" i="8"/>
  <c r="AB186" i="8"/>
  <c r="AB187" i="8"/>
  <c r="AB188" i="8"/>
  <c r="AB189" i="8"/>
  <c r="AB190" i="8"/>
  <c r="AB191" i="8"/>
  <c r="AB192" i="8"/>
  <c r="AB193" i="8"/>
  <c r="AB194" i="8"/>
  <c r="AB195" i="8"/>
  <c r="AB196" i="8"/>
  <c r="AB197" i="8"/>
  <c r="AB198" i="8"/>
  <c r="AB199" i="8"/>
  <c r="AB200" i="8"/>
  <c r="AB201" i="8"/>
  <c r="AB202" i="8"/>
  <c r="AB203" i="8"/>
  <c r="AB204" i="8"/>
  <c r="AB205" i="8"/>
  <c r="AB206" i="8"/>
  <c r="AB207" i="8"/>
  <c r="AB208" i="8"/>
  <c r="AB209" i="8"/>
  <c r="AB210" i="8"/>
  <c r="AB211" i="8"/>
  <c r="AB212" i="8"/>
  <c r="AB213" i="8"/>
  <c r="AB214" i="8"/>
  <c r="AB215" i="8"/>
  <c r="AB216" i="8"/>
  <c r="AB217" i="8"/>
  <c r="AB218" i="8"/>
  <c r="AB219" i="8"/>
  <c r="AB220" i="8"/>
  <c r="AB221" i="8"/>
  <c r="AB222" i="8"/>
  <c r="AB223" i="8"/>
  <c r="AB224" i="8"/>
  <c r="AB225" i="8"/>
  <c r="AB226" i="8"/>
  <c r="AB227" i="8"/>
  <c r="AB228" i="8"/>
  <c r="AB229" i="8"/>
  <c r="AB230" i="8"/>
  <c r="AB231" i="8"/>
  <c r="AB232" i="8"/>
  <c r="AB233" i="8"/>
  <c r="AB234" i="8"/>
  <c r="AB235" i="8"/>
  <c r="AB236" i="8"/>
  <c r="AB237" i="8"/>
  <c r="AB238" i="8"/>
  <c r="AB239" i="8"/>
  <c r="AB240" i="8"/>
  <c r="AB241" i="8"/>
  <c r="AB242" i="8"/>
  <c r="AB243" i="8"/>
  <c r="AB244" i="8"/>
  <c r="AB245" i="8"/>
  <c r="AB246" i="8"/>
  <c r="AB247" i="8"/>
  <c r="AB248" i="8"/>
  <c r="AB249" i="8"/>
  <c r="AB250" i="8"/>
  <c r="AB251" i="8"/>
  <c r="AB252" i="8"/>
  <c r="AB253" i="8"/>
  <c r="AB254" i="8"/>
  <c r="AB255" i="8"/>
  <c r="AB256" i="8"/>
  <c r="AB257" i="8"/>
  <c r="AB258" i="8"/>
  <c r="AB259" i="8"/>
  <c r="AB260" i="8"/>
  <c r="AB261" i="8"/>
  <c r="AB262" i="8"/>
  <c r="AB263" i="8"/>
  <c r="AB264" i="8"/>
  <c r="AB265" i="8"/>
  <c r="AB266" i="8"/>
  <c r="AB267" i="8"/>
  <c r="AB268" i="8"/>
  <c r="AB269" i="8"/>
  <c r="AB270" i="8"/>
  <c r="AB271" i="8"/>
  <c r="AB272" i="8"/>
  <c r="AB273" i="8"/>
  <c r="AB274" i="8"/>
  <c r="AB275" i="8"/>
  <c r="AB276" i="8"/>
  <c r="AB277" i="8"/>
  <c r="AB278" i="8"/>
  <c r="AB279" i="8"/>
  <c r="AB280" i="8"/>
  <c r="AB281" i="8"/>
  <c r="AB282" i="8"/>
  <c r="AB283" i="8"/>
  <c r="AB284" i="8"/>
  <c r="AB285" i="8"/>
  <c r="AB286" i="8"/>
  <c r="AB287" i="8"/>
  <c r="AB288" i="8"/>
  <c r="AB289" i="8"/>
  <c r="AB290" i="8"/>
  <c r="AB291" i="8"/>
  <c r="AB292" i="8"/>
  <c r="AB293" i="8"/>
  <c r="AB294" i="8"/>
  <c r="AB295" i="8"/>
  <c r="AB296" i="8"/>
  <c r="AB297" i="8"/>
  <c r="AB298" i="8"/>
  <c r="AB299" i="8"/>
  <c r="AB300" i="8"/>
  <c r="AB301" i="8"/>
  <c r="AB302" i="8"/>
  <c r="AB303" i="8"/>
  <c r="AB304" i="8"/>
  <c r="AB305" i="8"/>
  <c r="AB306" i="8"/>
  <c r="AB307" i="8"/>
  <c r="AB308" i="8"/>
  <c r="AB309" i="8"/>
  <c r="AB310" i="8"/>
  <c r="AB311" i="8"/>
  <c r="AB312" i="8"/>
  <c r="AB313" i="8"/>
  <c r="AB314" i="8"/>
  <c r="AB315" i="8"/>
  <c r="AB316" i="8"/>
  <c r="AB317" i="8"/>
  <c r="AB318" i="8"/>
  <c r="AB319" i="8"/>
  <c r="AB320" i="8"/>
  <c r="AB321" i="8"/>
  <c r="AB322" i="8"/>
  <c r="AB323" i="8"/>
  <c r="AB324" i="8"/>
  <c r="AB325" i="8"/>
  <c r="AB326" i="8"/>
  <c r="AB327" i="8"/>
  <c r="AB328" i="8"/>
  <c r="AB329" i="8"/>
  <c r="AB330" i="8"/>
  <c r="AB331" i="8"/>
  <c r="AB332" i="8"/>
  <c r="AB333" i="8"/>
  <c r="AB334" i="8"/>
  <c r="AB335" i="8"/>
  <c r="AB336" i="8"/>
  <c r="AB337" i="8"/>
  <c r="AB338" i="8"/>
  <c r="AB339" i="8"/>
  <c r="AB340" i="8"/>
  <c r="AB341" i="8"/>
  <c r="AB342" i="8"/>
  <c r="AB343" i="8"/>
  <c r="AB344" i="8"/>
  <c r="AB345" i="8"/>
  <c r="AB346" i="8"/>
  <c r="AB347" i="8"/>
  <c r="AB348" i="8"/>
  <c r="AB349" i="8"/>
  <c r="AB350" i="8"/>
  <c r="AB351" i="8"/>
  <c r="AB352" i="8"/>
  <c r="AB353" i="8"/>
  <c r="AB354" i="8"/>
  <c r="AB355" i="8"/>
  <c r="AB356" i="8"/>
  <c r="AB357" i="8"/>
  <c r="AB358" i="8"/>
  <c r="AB359" i="8"/>
  <c r="AB360" i="8"/>
  <c r="AB361" i="8"/>
  <c r="AB362" i="8"/>
  <c r="AB363" i="8"/>
  <c r="AB364" i="8"/>
  <c r="AB365" i="8"/>
  <c r="AB366" i="8"/>
  <c r="AB367" i="8"/>
  <c r="AB368" i="8"/>
  <c r="AB369" i="8"/>
  <c r="AB370" i="8"/>
  <c r="AB371" i="8"/>
  <c r="AB372" i="8"/>
  <c r="AB373" i="8"/>
  <c r="AB374" i="8"/>
  <c r="AB375" i="8"/>
  <c r="AB376" i="8"/>
  <c r="AB377" i="8"/>
  <c r="AB378" i="8"/>
  <c r="AB379" i="8"/>
  <c r="AB380" i="8"/>
  <c r="AB381" i="8"/>
  <c r="AB382" i="8"/>
  <c r="AB383" i="8"/>
  <c r="AB384" i="8"/>
  <c r="AB385" i="8"/>
  <c r="Y10" i="8"/>
  <c r="Y11" i="8"/>
  <c r="Y12" i="8"/>
  <c r="Y13" i="8"/>
  <c r="Y14" i="8"/>
  <c r="Y15" i="8"/>
  <c r="Y16" i="8"/>
  <c r="Y17" i="8"/>
  <c r="Y18" i="8"/>
  <c r="Y19" i="8"/>
  <c r="Y20" i="8"/>
  <c r="Y21" i="8"/>
  <c r="Y22" i="8"/>
  <c r="Y23" i="8"/>
  <c r="Y24" i="8"/>
  <c r="Y25" i="8"/>
  <c r="Y26" i="8"/>
  <c r="Y27" i="8"/>
  <c r="Y28" i="8"/>
  <c r="Y29" i="8"/>
  <c r="Y30" i="8"/>
  <c r="Y31" i="8"/>
  <c r="Y32" i="8"/>
  <c r="Y33" i="8"/>
  <c r="Y34" i="8"/>
  <c r="Y35" i="8"/>
  <c r="Y36" i="8"/>
  <c r="Y37" i="8"/>
  <c r="Y38" i="8"/>
  <c r="Y39" i="8"/>
  <c r="Y40" i="8"/>
  <c r="Y41" i="8"/>
  <c r="Y42" i="8"/>
  <c r="Y43" i="8"/>
  <c r="Y44" i="8"/>
  <c r="Y45" i="8"/>
  <c r="Y46" i="8"/>
  <c r="Y47" i="8"/>
  <c r="Y48" i="8"/>
  <c r="Y49" i="8"/>
  <c r="Y50" i="8"/>
  <c r="Y51" i="8"/>
  <c r="Y52" i="8"/>
  <c r="Y53" i="8"/>
  <c r="Y54" i="8"/>
  <c r="Y55" i="8"/>
  <c r="Y56" i="8"/>
  <c r="Y57" i="8"/>
  <c r="Y58" i="8"/>
  <c r="Y59" i="8"/>
  <c r="Y60" i="8"/>
  <c r="Y61" i="8"/>
  <c r="Y62" i="8"/>
  <c r="Y63" i="8"/>
  <c r="Y64" i="8"/>
  <c r="Y65" i="8"/>
  <c r="Y66" i="8"/>
  <c r="Y67" i="8"/>
  <c r="Y68" i="8"/>
  <c r="Y69" i="8"/>
  <c r="Y70" i="8"/>
  <c r="Y71" i="8"/>
  <c r="Y72" i="8"/>
  <c r="Y73" i="8"/>
  <c r="Y74" i="8"/>
  <c r="Y75" i="8"/>
  <c r="Y76" i="8"/>
  <c r="Y77" i="8"/>
  <c r="Y78" i="8"/>
  <c r="Y79" i="8"/>
  <c r="Y80" i="8"/>
  <c r="Y81" i="8"/>
  <c r="Y82" i="8"/>
  <c r="Y83" i="8"/>
  <c r="Y84" i="8"/>
  <c r="Y85" i="8"/>
  <c r="Y86" i="8"/>
  <c r="Y87" i="8"/>
  <c r="Y88" i="8"/>
  <c r="Y89" i="8"/>
  <c r="Y90" i="8"/>
  <c r="Y91" i="8"/>
  <c r="Y92" i="8"/>
  <c r="Y93" i="8"/>
  <c r="Y94" i="8"/>
  <c r="Y95" i="8"/>
  <c r="Y96" i="8"/>
  <c r="Y97" i="8"/>
  <c r="Y98" i="8"/>
  <c r="Y99" i="8"/>
  <c r="Y100" i="8"/>
  <c r="Y101" i="8"/>
  <c r="Y102" i="8"/>
  <c r="Y103" i="8"/>
  <c r="Y104" i="8"/>
  <c r="Y105" i="8"/>
  <c r="Y106" i="8"/>
  <c r="Y107" i="8"/>
  <c r="Y108" i="8"/>
  <c r="Y109" i="8"/>
  <c r="Y110" i="8"/>
  <c r="Y111" i="8"/>
  <c r="Y112" i="8"/>
  <c r="Y113" i="8"/>
  <c r="Y114" i="8"/>
  <c r="Y115" i="8"/>
  <c r="Y116" i="8"/>
  <c r="Y117" i="8"/>
  <c r="Y118" i="8"/>
  <c r="Y119" i="8"/>
  <c r="Y120" i="8"/>
  <c r="Y121" i="8"/>
  <c r="Y122" i="8"/>
  <c r="Y123" i="8"/>
  <c r="Y124" i="8"/>
  <c r="Y125" i="8"/>
  <c r="Y126" i="8"/>
  <c r="Y127" i="8"/>
  <c r="Y128" i="8"/>
  <c r="Y129" i="8"/>
  <c r="Y130" i="8"/>
  <c r="Y131" i="8"/>
  <c r="Y132" i="8"/>
  <c r="Y133" i="8"/>
  <c r="Y134" i="8"/>
  <c r="Y135" i="8"/>
  <c r="Y136" i="8"/>
  <c r="Y137" i="8"/>
  <c r="Y138" i="8"/>
  <c r="Y139" i="8"/>
  <c r="Y140" i="8"/>
  <c r="Y141" i="8"/>
  <c r="Y142" i="8"/>
  <c r="Y143" i="8"/>
  <c r="Y144" i="8"/>
  <c r="Y145" i="8"/>
  <c r="Y146" i="8"/>
  <c r="Y147" i="8"/>
  <c r="Y148" i="8"/>
  <c r="Y149" i="8"/>
  <c r="Y150" i="8"/>
  <c r="Y151" i="8"/>
  <c r="Y152" i="8"/>
  <c r="Y153" i="8"/>
  <c r="Y154" i="8"/>
  <c r="Y155" i="8"/>
  <c r="Y156" i="8"/>
  <c r="Y157" i="8"/>
  <c r="Y158" i="8"/>
  <c r="Y159" i="8"/>
  <c r="Y160" i="8"/>
  <c r="Y161" i="8"/>
  <c r="Y162" i="8"/>
  <c r="Y163" i="8"/>
  <c r="Y164" i="8"/>
  <c r="Y165" i="8"/>
  <c r="Y166" i="8"/>
  <c r="Y167" i="8"/>
  <c r="Y168" i="8"/>
  <c r="Y169" i="8"/>
  <c r="Y170" i="8"/>
  <c r="Y171" i="8"/>
  <c r="Y172" i="8"/>
  <c r="Y173" i="8"/>
  <c r="Y174" i="8"/>
  <c r="Y175" i="8"/>
  <c r="Y176" i="8"/>
  <c r="Y177" i="8"/>
  <c r="Y178" i="8"/>
  <c r="Y179" i="8"/>
  <c r="Y180" i="8"/>
  <c r="Y181" i="8"/>
  <c r="Y182" i="8"/>
  <c r="Y183" i="8"/>
  <c r="Y184" i="8"/>
  <c r="Y185" i="8"/>
  <c r="Y186" i="8"/>
  <c r="Y187" i="8"/>
  <c r="Y188" i="8"/>
  <c r="Y189" i="8"/>
  <c r="Y190" i="8"/>
  <c r="Y191" i="8"/>
  <c r="Y192" i="8"/>
  <c r="Y193" i="8"/>
  <c r="Y194" i="8"/>
  <c r="Y195" i="8"/>
  <c r="Y196" i="8"/>
  <c r="Y197" i="8"/>
  <c r="Y198" i="8"/>
  <c r="Y199" i="8"/>
  <c r="Y200" i="8"/>
  <c r="Y201" i="8"/>
  <c r="Y202" i="8"/>
  <c r="Y203" i="8"/>
  <c r="Y204" i="8"/>
  <c r="Y205" i="8"/>
  <c r="Y206" i="8"/>
  <c r="Y207" i="8"/>
  <c r="Y208" i="8"/>
  <c r="Y209" i="8"/>
  <c r="Y210" i="8"/>
  <c r="Y211" i="8"/>
  <c r="Y212" i="8"/>
  <c r="Y213" i="8"/>
  <c r="Y214" i="8"/>
  <c r="Y215" i="8"/>
  <c r="Y216" i="8"/>
  <c r="Y217" i="8"/>
  <c r="Y218" i="8"/>
  <c r="Y219" i="8"/>
  <c r="Y220" i="8"/>
  <c r="Y221" i="8"/>
  <c r="Y222" i="8"/>
  <c r="Y223" i="8"/>
  <c r="Y224" i="8"/>
  <c r="Y225" i="8"/>
  <c r="Y226" i="8"/>
  <c r="Y227" i="8"/>
  <c r="Y228" i="8"/>
  <c r="Y229" i="8"/>
  <c r="Y230" i="8"/>
  <c r="Y231" i="8"/>
  <c r="Y232" i="8"/>
  <c r="Y233" i="8"/>
  <c r="Y234" i="8"/>
  <c r="Y235" i="8"/>
  <c r="Y236" i="8"/>
  <c r="Y237" i="8"/>
  <c r="Y238" i="8"/>
  <c r="Y239" i="8"/>
  <c r="Y240" i="8"/>
  <c r="Y241" i="8"/>
  <c r="Y242" i="8"/>
  <c r="Y243" i="8"/>
  <c r="Y244" i="8"/>
  <c r="Y245" i="8"/>
  <c r="Y246" i="8"/>
  <c r="Y247" i="8"/>
  <c r="Y248" i="8"/>
  <c r="Y249" i="8"/>
  <c r="Y250" i="8"/>
  <c r="Y251" i="8"/>
  <c r="Y252" i="8"/>
  <c r="Y253" i="8"/>
  <c r="Y254" i="8"/>
  <c r="Y255" i="8"/>
  <c r="Y256" i="8"/>
  <c r="Y257" i="8"/>
  <c r="Y258" i="8"/>
  <c r="Y259" i="8"/>
  <c r="Y260" i="8"/>
  <c r="Y261" i="8"/>
  <c r="Y262" i="8"/>
  <c r="Y263" i="8"/>
  <c r="Y264" i="8"/>
  <c r="Y265" i="8"/>
  <c r="Y266" i="8"/>
  <c r="Y267" i="8"/>
  <c r="Y268" i="8"/>
  <c r="Y269" i="8"/>
  <c r="Y270" i="8"/>
  <c r="Y271" i="8"/>
  <c r="Y272" i="8"/>
  <c r="Y273" i="8"/>
  <c r="Y274" i="8"/>
  <c r="Y275" i="8"/>
  <c r="Y276" i="8"/>
  <c r="Y277" i="8"/>
  <c r="Y278" i="8"/>
  <c r="Y279" i="8"/>
  <c r="Y280" i="8"/>
  <c r="Y281" i="8"/>
  <c r="Y282" i="8"/>
  <c r="Y283" i="8"/>
  <c r="Y284" i="8"/>
  <c r="Y285" i="8"/>
  <c r="Y286" i="8"/>
  <c r="Y287" i="8"/>
  <c r="Y288" i="8"/>
  <c r="Y289" i="8"/>
  <c r="Y290" i="8"/>
  <c r="Y291" i="8"/>
  <c r="Y292" i="8"/>
  <c r="Y293" i="8"/>
  <c r="Y294" i="8"/>
  <c r="Y295" i="8"/>
  <c r="Y296" i="8"/>
  <c r="Y297" i="8"/>
  <c r="Y298" i="8"/>
  <c r="Y299" i="8"/>
  <c r="Y300" i="8"/>
  <c r="Y301" i="8"/>
  <c r="Y302" i="8"/>
  <c r="Y303" i="8"/>
  <c r="Y304" i="8"/>
  <c r="Y305" i="8"/>
  <c r="Y306" i="8"/>
  <c r="Y307" i="8"/>
  <c r="Y308" i="8"/>
  <c r="Y309" i="8"/>
  <c r="Y310" i="8"/>
  <c r="Y311" i="8"/>
  <c r="Y312" i="8"/>
  <c r="Y313" i="8"/>
  <c r="Y314" i="8"/>
  <c r="Y315" i="8"/>
  <c r="Y316" i="8"/>
  <c r="Y317" i="8"/>
  <c r="Y318" i="8"/>
  <c r="Y319" i="8"/>
  <c r="Y320" i="8"/>
  <c r="Y321" i="8"/>
  <c r="Y322" i="8"/>
  <c r="Y323" i="8"/>
  <c r="Y324" i="8"/>
  <c r="Y325" i="8"/>
  <c r="Y326" i="8"/>
  <c r="Y327" i="8"/>
  <c r="Y328" i="8"/>
  <c r="Y329" i="8"/>
  <c r="Y330" i="8"/>
  <c r="Y331" i="8"/>
  <c r="Y332" i="8"/>
  <c r="Y333" i="8"/>
  <c r="Y334" i="8"/>
  <c r="Y335" i="8"/>
  <c r="Y336" i="8"/>
  <c r="Y337" i="8"/>
  <c r="Y338" i="8"/>
  <c r="Y339" i="8"/>
  <c r="Y340" i="8"/>
  <c r="Y341" i="8"/>
  <c r="Y342" i="8"/>
  <c r="Y343" i="8"/>
  <c r="Y344" i="8"/>
  <c r="Y345" i="8"/>
  <c r="Y346" i="8"/>
  <c r="Y347" i="8"/>
  <c r="Y348" i="8"/>
  <c r="Y349" i="8"/>
  <c r="Y350" i="8"/>
  <c r="Y351" i="8"/>
  <c r="Y352" i="8"/>
  <c r="Y353" i="8"/>
  <c r="Y354" i="8"/>
  <c r="Y355" i="8"/>
  <c r="Y356" i="8"/>
  <c r="Y357" i="8"/>
  <c r="Y358" i="8"/>
  <c r="Y359" i="8"/>
  <c r="Y360" i="8"/>
  <c r="Y361" i="8"/>
  <c r="Y362" i="8"/>
  <c r="Y363" i="8"/>
  <c r="Y364" i="8"/>
  <c r="Y365" i="8"/>
  <c r="Y366" i="8"/>
  <c r="Y367" i="8"/>
  <c r="Y368" i="8"/>
  <c r="Y369" i="8"/>
  <c r="Y370" i="8"/>
  <c r="Y371" i="8"/>
  <c r="Y372" i="8"/>
  <c r="Y373" i="8"/>
  <c r="Y374" i="8"/>
  <c r="Y375" i="8"/>
  <c r="Y376" i="8"/>
  <c r="Y377" i="8"/>
  <c r="Y378" i="8"/>
  <c r="Y379" i="8"/>
  <c r="Y380" i="8"/>
  <c r="Y381" i="8"/>
  <c r="R10" i="8"/>
  <c r="S10" i="8"/>
  <c r="AI10" i="8" s="1"/>
  <c r="T10" i="8"/>
  <c r="AJ10" i="8" s="1"/>
  <c r="R11" i="8"/>
  <c r="S11" i="8"/>
  <c r="AI11" i="8" s="1"/>
  <c r="T11" i="8"/>
  <c r="AJ11" i="8" s="1"/>
  <c r="R12" i="8"/>
  <c r="S12" i="8"/>
  <c r="AI12" i="8" s="1"/>
  <c r="T12" i="8"/>
  <c r="AJ12" i="8" s="1"/>
  <c r="R13" i="8"/>
  <c r="S13" i="8"/>
  <c r="AI13" i="8" s="1"/>
  <c r="T13" i="8"/>
  <c r="AJ13" i="8" s="1"/>
  <c r="R14" i="8"/>
  <c r="S14" i="8"/>
  <c r="AI14" i="8" s="1"/>
  <c r="T14" i="8"/>
  <c r="AJ14" i="8" s="1"/>
  <c r="R15" i="8"/>
  <c r="S15" i="8"/>
  <c r="AI15" i="8" s="1"/>
  <c r="T15" i="8"/>
  <c r="R16" i="8"/>
  <c r="S16" i="8"/>
  <c r="T16" i="8"/>
  <c r="AJ16" i="8" s="1"/>
  <c r="R17" i="8"/>
  <c r="S17" i="8"/>
  <c r="AI17" i="8" s="1"/>
  <c r="T17" i="8"/>
  <c r="AJ17" i="8" s="1"/>
  <c r="R18" i="8"/>
  <c r="S18" i="8"/>
  <c r="AI18" i="8" s="1"/>
  <c r="T18" i="8"/>
  <c r="AJ18" i="8" s="1"/>
  <c r="R19" i="8"/>
  <c r="S19" i="8"/>
  <c r="AI19" i="8" s="1"/>
  <c r="T19" i="8"/>
  <c r="R20" i="8"/>
  <c r="S20" i="8"/>
  <c r="AI20" i="8" s="1"/>
  <c r="T20" i="8"/>
  <c r="AJ20" i="8" s="1"/>
  <c r="R21" i="8"/>
  <c r="S21" i="8"/>
  <c r="T21" i="8"/>
  <c r="AJ21" i="8" s="1"/>
  <c r="R22" i="8"/>
  <c r="S22" i="8"/>
  <c r="T22" i="8"/>
  <c r="AJ22" i="8" s="1"/>
  <c r="R23" i="8"/>
  <c r="S23" i="8"/>
  <c r="AI23" i="8" s="1"/>
  <c r="T23" i="8"/>
  <c r="AJ23" i="8" s="1"/>
  <c r="R24" i="8"/>
  <c r="S24" i="8"/>
  <c r="AI24" i="8" s="1"/>
  <c r="T24" i="8"/>
  <c r="AJ24" i="8" s="1"/>
  <c r="R25" i="8"/>
  <c r="S25" i="8"/>
  <c r="T25" i="8"/>
  <c r="AJ25" i="8" s="1"/>
  <c r="R26" i="8"/>
  <c r="S26" i="8"/>
  <c r="AI26" i="8" s="1"/>
  <c r="T26" i="8"/>
  <c r="AJ26" i="8" s="1"/>
  <c r="R27" i="8"/>
  <c r="S27" i="8"/>
  <c r="AI27" i="8" s="1"/>
  <c r="T27" i="8"/>
  <c r="AJ27" i="8" s="1"/>
  <c r="R28" i="8"/>
  <c r="S28" i="8"/>
  <c r="AI28" i="8" s="1"/>
  <c r="T28" i="8"/>
  <c r="AJ28" i="8" s="1"/>
  <c r="R29" i="8"/>
  <c r="S29" i="8"/>
  <c r="AI29" i="8" s="1"/>
  <c r="T29" i="8"/>
  <c r="AJ29" i="8" s="1"/>
  <c r="R30" i="8"/>
  <c r="S30" i="8"/>
  <c r="AI30" i="8" s="1"/>
  <c r="T30" i="8"/>
  <c r="AJ30" i="8" s="1"/>
  <c r="R31" i="8"/>
  <c r="S31" i="8"/>
  <c r="AI31" i="8" s="1"/>
  <c r="T31" i="8"/>
  <c r="AJ31" i="8" s="1"/>
  <c r="R32" i="8"/>
  <c r="S32" i="8"/>
  <c r="T32" i="8"/>
  <c r="AJ32" i="8" s="1"/>
  <c r="R33" i="8"/>
  <c r="S33" i="8"/>
  <c r="T33" i="8"/>
  <c r="AJ33" i="8" s="1"/>
  <c r="R34" i="8"/>
  <c r="S34" i="8"/>
  <c r="T34" i="8"/>
  <c r="AJ34" i="8" s="1"/>
  <c r="R35" i="8"/>
  <c r="S35" i="8"/>
  <c r="AI35" i="8" s="1"/>
  <c r="T35" i="8"/>
  <c r="AJ35" i="8" s="1"/>
  <c r="R36" i="8"/>
  <c r="S36" i="8"/>
  <c r="AI36" i="8" s="1"/>
  <c r="T36" i="8"/>
  <c r="AJ36" i="8" s="1"/>
  <c r="R37" i="8"/>
  <c r="S37" i="8"/>
  <c r="T37" i="8"/>
  <c r="AJ37" i="8" s="1"/>
  <c r="R38" i="8"/>
  <c r="S38" i="8"/>
  <c r="T38" i="8"/>
  <c r="AJ38" i="8" s="1"/>
  <c r="R39" i="8"/>
  <c r="S39" i="8"/>
  <c r="AI39" i="8" s="1"/>
  <c r="T39" i="8"/>
  <c r="AJ39" i="8" s="1"/>
  <c r="R40" i="8"/>
  <c r="S40" i="8"/>
  <c r="T40" i="8"/>
  <c r="AJ40" i="8" s="1"/>
  <c r="R41" i="8"/>
  <c r="S41" i="8"/>
  <c r="T41" i="8"/>
  <c r="AJ41" i="8" s="1"/>
  <c r="R42" i="8"/>
  <c r="S42" i="8"/>
  <c r="AI42" i="8" s="1"/>
  <c r="T42" i="8"/>
  <c r="AJ42" i="8" s="1"/>
  <c r="R43" i="8"/>
  <c r="S43" i="8"/>
  <c r="AI43" i="8" s="1"/>
  <c r="T43" i="8"/>
  <c r="AJ43" i="8" s="1"/>
  <c r="R44" i="8"/>
  <c r="S44" i="8"/>
  <c r="T44" i="8"/>
  <c r="R45" i="8"/>
  <c r="S45" i="8"/>
  <c r="AI45" i="8" s="1"/>
  <c r="T45" i="8"/>
  <c r="AJ45" i="8" s="1"/>
  <c r="R46" i="8"/>
  <c r="S46" i="8"/>
  <c r="AI46" i="8" s="1"/>
  <c r="T46" i="8"/>
  <c r="AJ46" i="8" s="1"/>
  <c r="R47" i="8"/>
  <c r="S47" i="8"/>
  <c r="AI47" i="8" s="1"/>
  <c r="T47" i="8"/>
  <c r="AJ47" i="8" s="1"/>
  <c r="R48" i="8"/>
  <c r="S48" i="8"/>
  <c r="T48" i="8"/>
  <c r="AJ48" i="8" s="1"/>
  <c r="R49" i="8"/>
  <c r="S49" i="8"/>
  <c r="AI49" i="8" s="1"/>
  <c r="T49" i="8"/>
  <c r="AJ49" i="8" s="1"/>
  <c r="R50" i="8"/>
  <c r="S50" i="8"/>
  <c r="T50" i="8"/>
  <c r="AJ50" i="8" s="1"/>
  <c r="R51" i="8"/>
  <c r="S51" i="8"/>
  <c r="AI51" i="8" s="1"/>
  <c r="T51" i="8"/>
  <c r="R52" i="8"/>
  <c r="S52" i="8"/>
  <c r="AI52" i="8" s="1"/>
  <c r="T52" i="8"/>
  <c r="AJ52" i="8" s="1"/>
  <c r="R53" i="8"/>
  <c r="S53" i="8"/>
  <c r="T53" i="8"/>
  <c r="AJ53" i="8" s="1"/>
  <c r="R54" i="8"/>
  <c r="S54" i="8"/>
  <c r="T54" i="8"/>
  <c r="AJ54" i="8" s="1"/>
  <c r="R55" i="8"/>
  <c r="S55" i="8"/>
  <c r="AI55" i="8" s="1"/>
  <c r="T55" i="8"/>
  <c r="AJ55" i="8" s="1"/>
  <c r="R56" i="8"/>
  <c r="S56" i="8"/>
  <c r="AI56" i="8" s="1"/>
  <c r="T56" i="8"/>
  <c r="AJ56" i="8" s="1"/>
  <c r="R57" i="8"/>
  <c r="S57" i="8"/>
  <c r="T57" i="8"/>
  <c r="AJ57" i="8" s="1"/>
  <c r="R58" i="8"/>
  <c r="S58" i="8"/>
  <c r="AI58" i="8" s="1"/>
  <c r="T58" i="8"/>
  <c r="AJ58" i="8" s="1"/>
  <c r="R59" i="8"/>
  <c r="S59" i="8"/>
  <c r="AI59" i="8" s="1"/>
  <c r="T59" i="8"/>
  <c r="AJ59" i="8" s="1"/>
  <c r="R60" i="8"/>
  <c r="S60" i="8"/>
  <c r="AI60" i="8" s="1"/>
  <c r="T60" i="8"/>
  <c r="AJ60" i="8" s="1"/>
  <c r="R61" i="8"/>
  <c r="S61" i="8"/>
  <c r="AI61" i="8" s="1"/>
  <c r="T61" i="8"/>
  <c r="AJ61" i="8" s="1"/>
  <c r="R62" i="8"/>
  <c r="S62" i="8"/>
  <c r="AI62" i="8" s="1"/>
  <c r="T62" i="8"/>
  <c r="AJ62" i="8" s="1"/>
  <c r="R63" i="8"/>
  <c r="S63" i="8"/>
  <c r="AI63" i="8" s="1"/>
  <c r="T63" i="8"/>
  <c r="R64" i="8"/>
  <c r="S64" i="8"/>
  <c r="T64" i="8"/>
  <c r="AJ64" i="8" s="1"/>
  <c r="R65" i="8"/>
  <c r="S65" i="8"/>
  <c r="T65" i="8"/>
  <c r="AJ65" i="8" s="1"/>
  <c r="R66" i="8"/>
  <c r="S66" i="8"/>
  <c r="T66" i="8"/>
  <c r="AJ66" i="8" s="1"/>
  <c r="R67" i="8"/>
  <c r="S67" i="8"/>
  <c r="AI67" i="8" s="1"/>
  <c r="T67" i="8"/>
  <c r="R68" i="8"/>
  <c r="S68" i="8"/>
  <c r="AI68" i="8" s="1"/>
  <c r="T68" i="8"/>
  <c r="AJ68" i="8" s="1"/>
  <c r="R69" i="8"/>
  <c r="S69" i="8"/>
  <c r="T69" i="8"/>
  <c r="AJ69" i="8" s="1"/>
  <c r="R70" i="8"/>
  <c r="S70" i="8"/>
  <c r="AI70" i="8" s="1"/>
  <c r="T70" i="8"/>
  <c r="AJ70" i="8" s="1"/>
  <c r="R71" i="8"/>
  <c r="S71" i="8"/>
  <c r="AI71" i="8" s="1"/>
  <c r="T71" i="8"/>
  <c r="AJ71" i="8" s="1"/>
  <c r="R72" i="8"/>
  <c r="S72" i="8"/>
  <c r="T72" i="8"/>
  <c r="AJ72" i="8" s="1"/>
  <c r="R73" i="8"/>
  <c r="S73" i="8"/>
  <c r="T73" i="8"/>
  <c r="AJ73" i="8" s="1"/>
  <c r="R74" i="8"/>
  <c r="S74" i="8"/>
  <c r="AI74" i="8" s="1"/>
  <c r="T74" i="8"/>
  <c r="AJ74" i="8" s="1"/>
  <c r="R75" i="8"/>
  <c r="S75" i="8"/>
  <c r="AI75" i="8" s="1"/>
  <c r="T75" i="8"/>
  <c r="AJ75" i="8" s="1"/>
  <c r="R76" i="8"/>
  <c r="S76" i="8"/>
  <c r="AI76" i="8" s="1"/>
  <c r="T76" i="8"/>
  <c r="AJ76" i="8" s="1"/>
  <c r="R77" i="8"/>
  <c r="S77" i="8"/>
  <c r="AI77" i="8" s="1"/>
  <c r="T77" i="8"/>
  <c r="AJ77" i="8" s="1"/>
  <c r="R78" i="8"/>
  <c r="S78" i="8"/>
  <c r="AI78" i="8" s="1"/>
  <c r="T78" i="8"/>
  <c r="AJ78" i="8" s="1"/>
  <c r="R79" i="8"/>
  <c r="S79" i="8"/>
  <c r="AI79" i="8" s="1"/>
  <c r="T79" i="8"/>
  <c r="R80" i="8"/>
  <c r="S80" i="8"/>
  <c r="T80" i="8"/>
  <c r="AJ80" i="8" s="1"/>
  <c r="R81" i="8"/>
  <c r="S81" i="8"/>
  <c r="AI81" i="8" s="1"/>
  <c r="T81" i="8"/>
  <c r="AJ81" i="8" s="1"/>
  <c r="R82" i="8"/>
  <c r="S82" i="8"/>
  <c r="AI82" i="8" s="1"/>
  <c r="T82" i="8"/>
  <c r="AJ82" i="8" s="1"/>
  <c r="R83" i="8"/>
  <c r="S83" i="8"/>
  <c r="AI83" i="8" s="1"/>
  <c r="T83" i="8"/>
  <c r="AJ83" i="8" s="1"/>
  <c r="R84" i="8"/>
  <c r="S84" i="8"/>
  <c r="AI84" i="8" s="1"/>
  <c r="T84" i="8"/>
  <c r="AJ84" i="8" s="1"/>
  <c r="R85" i="8"/>
  <c r="S85" i="8"/>
  <c r="T85" i="8"/>
  <c r="AJ85" i="8" s="1"/>
  <c r="R86" i="8"/>
  <c r="S86" i="8"/>
  <c r="T86" i="8"/>
  <c r="AJ86" i="8" s="1"/>
  <c r="R87" i="8"/>
  <c r="S87" i="8"/>
  <c r="AI87" i="8" s="1"/>
  <c r="T87" i="8"/>
  <c r="AJ87" i="8" s="1"/>
  <c r="R88" i="8"/>
  <c r="S88" i="8"/>
  <c r="AI88" i="8" s="1"/>
  <c r="T88" i="8"/>
  <c r="AJ88" i="8" s="1"/>
  <c r="R89" i="8"/>
  <c r="S89" i="8"/>
  <c r="T89" i="8"/>
  <c r="AJ89" i="8" s="1"/>
  <c r="R90" i="8"/>
  <c r="S90" i="8"/>
  <c r="AI90" i="8" s="1"/>
  <c r="T90" i="8"/>
  <c r="AJ90" i="8" s="1"/>
  <c r="R91" i="8"/>
  <c r="S91" i="8"/>
  <c r="AI91" i="8" s="1"/>
  <c r="T91" i="8"/>
  <c r="AJ91" i="8" s="1"/>
  <c r="R92" i="8"/>
  <c r="S92" i="8"/>
  <c r="T92" i="8"/>
  <c r="R93" i="8"/>
  <c r="S93" i="8"/>
  <c r="AI93" i="8" s="1"/>
  <c r="T93" i="8"/>
  <c r="AJ93" i="8" s="1"/>
  <c r="R94" i="8"/>
  <c r="S94" i="8"/>
  <c r="AI94" i="8" s="1"/>
  <c r="T94" i="8"/>
  <c r="AJ94" i="8" s="1"/>
  <c r="R95" i="8"/>
  <c r="S95" i="8"/>
  <c r="AI95" i="8" s="1"/>
  <c r="T95" i="8"/>
  <c r="AJ95" i="8" s="1"/>
  <c r="R96" i="8"/>
  <c r="S96" i="8"/>
  <c r="T96" i="8"/>
  <c r="AJ96" i="8" s="1"/>
  <c r="R97" i="8"/>
  <c r="S97" i="8"/>
  <c r="T97" i="8"/>
  <c r="AJ97" i="8" s="1"/>
  <c r="R98" i="8"/>
  <c r="S98" i="8"/>
  <c r="T98" i="8"/>
  <c r="AJ98" i="8" s="1"/>
  <c r="R99" i="8"/>
  <c r="S99" i="8"/>
  <c r="AI99" i="8" s="1"/>
  <c r="T99" i="8"/>
  <c r="AJ99" i="8" s="1"/>
  <c r="R100" i="8"/>
  <c r="S100" i="8"/>
  <c r="AI100" i="8" s="1"/>
  <c r="T100" i="8"/>
  <c r="AJ100" i="8" s="1"/>
  <c r="R101" i="8"/>
  <c r="S101" i="8"/>
  <c r="T101" i="8"/>
  <c r="AJ101" i="8" s="1"/>
  <c r="R102" i="8"/>
  <c r="S102" i="8"/>
  <c r="T102" i="8"/>
  <c r="AJ102" i="8" s="1"/>
  <c r="R103" i="8"/>
  <c r="S103" i="8"/>
  <c r="AI103" i="8" s="1"/>
  <c r="T103" i="8"/>
  <c r="AJ103" i="8" s="1"/>
  <c r="R104" i="8"/>
  <c r="S104" i="8"/>
  <c r="T104" i="8"/>
  <c r="AJ104" i="8" s="1"/>
  <c r="R105" i="8"/>
  <c r="S105" i="8"/>
  <c r="T105" i="8"/>
  <c r="AJ105" i="8" s="1"/>
  <c r="R106" i="8"/>
  <c r="S106" i="8"/>
  <c r="AI106" i="8" s="1"/>
  <c r="T106" i="8"/>
  <c r="AJ106" i="8" s="1"/>
  <c r="R107" i="8"/>
  <c r="S107" i="8"/>
  <c r="AI107" i="8" s="1"/>
  <c r="T107" i="8"/>
  <c r="AJ107" i="8" s="1"/>
  <c r="R108" i="8"/>
  <c r="S108" i="8"/>
  <c r="AI108" i="8" s="1"/>
  <c r="T108" i="8"/>
  <c r="AJ108" i="8" s="1"/>
  <c r="R109" i="8"/>
  <c r="S109" i="8"/>
  <c r="AI109" i="8" s="1"/>
  <c r="T109" i="8"/>
  <c r="AJ109" i="8" s="1"/>
  <c r="R110" i="8"/>
  <c r="S110" i="8"/>
  <c r="AI110" i="8" s="1"/>
  <c r="T110" i="8"/>
  <c r="AJ110" i="8" s="1"/>
  <c r="R111" i="8"/>
  <c r="S111" i="8"/>
  <c r="AI111" i="8" s="1"/>
  <c r="T111" i="8"/>
  <c r="AJ111" i="8" s="1"/>
  <c r="R112" i="8"/>
  <c r="S112" i="8"/>
  <c r="T112" i="8"/>
  <c r="AJ112" i="8" s="1"/>
  <c r="R113" i="8"/>
  <c r="S113" i="8"/>
  <c r="AI113" i="8" s="1"/>
  <c r="T113" i="8"/>
  <c r="AJ113" i="8" s="1"/>
  <c r="R114" i="8"/>
  <c r="S114" i="8"/>
  <c r="T114" i="8"/>
  <c r="AJ114" i="8" s="1"/>
  <c r="R115" i="8"/>
  <c r="S115" i="8"/>
  <c r="AI115" i="8" s="1"/>
  <c r="T115" i="8"/>
  <c r="R116" i="8"/>
  <c r="S116" i="8"/>
  <c r="AI116" i="8" s="1"/>
  <c r="T116" i="8"/>
  <c r="AJ116" i="8" s="1"/>
  <c r="R117" i="8"/>
  <c r="S117" i="8"/>
  <c r="T117" i="8"/>
  <c r="AJ117" i="8" s="1"/>
  <c r="R118" i="8"/>
  <c r="S118" i="8"/>
  <c r="AI118" i="8" s="1"/>
  <c r="T118" i="8"/>
  <c r="AJ118" i="8" s="1"/>
  <c r="R119" i="8"/>
  <c r="S119" i="8"/>
  <c r="AI119" i="8" s="1"/>
  <c r="T119" i="8"/>
  <c r="AJ119" i="8" s="1"/>
  <c r="R120" i="8"/>
  <c r="S120" i="8"/>
  <c r="AI120" i="8" s="1"/>
  <c r="T120" i="8"/>
  <c r="AJ120" i="8" s="1"/>
  <c r="R121" i="8"/>
  <c r="S121" i="8"/>
  <c r="T121" i="8"/>
  <c r="AJ121" i="8" s="1"/>
  <c r="R122" i="8"/>
  <c r="S122" i="8"/>
  <c r="AI122" i="8" s="1"/>
  <c r="T122" i="8"/>
  <c r="AJ122" i="8" s="1"/>
  <c r="R123" i="8"/>
  <c r="S123" i="8"/>
  <c r="AI123" i="8" s="1"/>
  <c r="T123" i="8"/>
  <c r="AJ123" i="8" s="1"/>
  <c r="R124" i="8"/>
  <c r="S124" i="8"/>
  <c r="AI124" i="8" s="1"/>
  <c r="T124" i="8"/>
  <c r="AJ124" i="8" s="1"/>
  <c r="R125" i="8"/>
  <c r="S125" i="8"/>
  <c r="AI125" i="8" s="1"/>
  <c r="T125" i="8"/>
  <c r="AJ125" i="8" s="1"/>
  <c r="R126" i="8"/>
  <c r="S126" i="8"/>
  <c r="AI126" i="8" s="1"/>
  <c r="T126" i="8"/>
  <c r="AJ126" i="8" s="1"/>
  <c r="R127" i="8"/>
  <c r="S127" i="8"/>
  <c r="AI127" i="8" s="1"/>
  <c r="T127" i="8"/>
  <c r="R128" i="8"/>
  <c r="S128" i="8"/>
  <c r="T128" i="8"/>
  <c r="AJ128" i="8" s="1"/>
  <c r="R129" i="8"/>
  <c r="S129" i="8"/>
  <c r="T129" i="8"/>
  <c r="AJ129" i="8" s="1"/>
  <c r="R130" i="8"/>
  <c r="S130" i="8"/>
  <c r="AI130" i="8" s="1"/>
  <c r="T130" i="8"/>
  <c r="AJ130" i="8" s="1"/>
  <c r="R131" i="8"/>
  <c r="S131" i="8"/>
  <c r="AI131" i="8" s="1"/>
  <c r="T131" i="8"/>
  <c r="AJ131" i="8" s="1"/>
  <c r="R132" i="8"/>
  <c r="S132" i="8"/>
  <c r="AI132" i="8" s="1"/>
  <c r="T132" i="8"/>
  <c r="AJ132" i="8" s="1"/>
  <c r="R133" i="8"/>
  <c r="S133" i="8"/>
  <c r="T133" i="8"/>
  <c r="AJ133" i="8" s="1"/>
  <c r="R134" i="8"/>
  <c r="S134" i="8"/>
  <c r="AI134" i="8" s="1"/>
  <c r="T134" i="8"/>
  <c r="AJ134" i="8" s="1"/>
  <c r="R135" i="8"/>
  <c r="S135" i="8"/>
  <c r="AI135" i="8" s="1"/>
  <c r="T135" i="8"/>
  <c r="AJ135" i="8" s="1"/>
  <c r="R136" i="8"/>
  <c r="S136" i="8"/>
  <c r="T136" i="8"/>
  <c r="AJ136" i="8" s="1"/>
  <c r="R137" i="8"/>
  <c r="S137" i="8"/>
  <c r="T137" i="8"/>
  <c r="AJ137" i="8" s="1"/>
  <c r="R138" i="8"/>
  <c r="S138" i="8"/>
  <c r="AI138" i="8" s="1"/>
  <c r="T138" i="8"/>
  <c r="AJ138" i="8" s="1"/>
  <c r="R139" i="8"/>
  <c r="S139" i="8"/>
  <c r="AI139" i="8" s="1"/>
  <c r="T139" i="8"/>
  <c r="AJ139" i="8" s="1"/>
  <c r="R140" i="8"/>
  <c r="S140" i="8"/>
  <c r="AI140" i="8" s="1"/>
  <c r="T140" i="8"/>
  <c r="AJ140" i="8" s="1"/>
  <c r="R141" i="8"/>
  <c r="S141" i="8"/>
  <c r="AI141" i="8" s="1"/>
  <c r="T141" i="8"/>
  <c r="AJ141" i="8" s="1"/>
  <c r="R142" i="8"/>
  <c r="S142" i="8"/>
  <c r="AI142" i="8" s="1"/>
  <c r="T142" i="8"/>
  <c r="AJ142" i="8" s="1"/>
  <c r="R143" i="8"/>
  <c r="S143" i="8"/>
  <c r="AI143" i="8" s="1"/>
  <c r="T143" i="8"/>
  <c r="AJ143" i="8" s="1"/>
  <c r="R144" i="8"/>
  <c r="S144" i="8"/>
  <c r="T144" i="8"/>
  <c r="AJ144" i="8" s="1"/>
  <c r="R145" i="8"/>
  <c r="S145" i="8"/>
  <c r="AI145" i="8" s="1"/>
  <c r="T145" i="8"/>
  <c r="AJ145" i="8" s="1"/>
  <c r="R146" i="8"/>
  <c r="S146" i="8"/>
  <c r="AI146" i="8" s="1"/>
  <c r="T146" i="8"/>
  <c r="AJ146" i="8" s="1"/>
  <c r="R147" i="8"/>
  <c r="S147" i="8"/>
  <c r="AI147" i="8" s="1"/>
  <c r="T147" i="8"/>
  <c r="R148" i="8"/>
  <c r="S148" i="8"/>
  <c r="AI148" i="8" s="1"/>
  <c r="T148" i="8"/>
  <c r="AJ148" i="8" s="1"/>
  <c r="R149" i="8"/>
  <c r="S149" i="8"/>
  <c r="T149" i="8"/>
  <c r="AJ149" i="8" s="1"/>
  <c r="R150" i="8"/>
  <c r="S150" i="8"/>
  <c r="T150" i="8"/>
  <c r="AJ150" i="8" s="1"/>
  <c r="R151" i="8"/>
  <c r="S151" i="8"/>
  <c r="AI151" i="8" s="1"/>
  <c r="T151" i="8"/>
  <c r="AJ151" i="8" s="1"/>
  <c r="R152" i="8"/>
  <c r="S152" i="8"/>
  <c r="AI152" i="8" s="1"/>
  <c r="T152" i="8"/>
  <c r="AJ152" i="8" s="1"/>
  <c r="R153" i="8"/>
  <c r="S153" i="8"/>
  <c r="T153" i="8"/>
  <c r="AJ153" i="8" s="1"/>
  <c r="R154" i="8"/>
  <c r="S154" i="8"/>
  <c r="AI154" i="8" s="1"/>
  <c r="T154" i="8"/>
  <c r="AJ154" i="8" s="1"/>
  <c r="R155" i="8"/>
  <c r="S155" i="8"/>
  <c r="AI155" i="8" s="1"/>
  <c r="T155" i="8"/>
  <c r="AJ155" i="8" s="1"/>
  <c r="R156" i="8"/>
  <c r="S156" i="8"/>
  <c r="AI156" i="8" s="1"/>
  <c r="T156" i="8"/>
  <c r="AJ156" i="8" s="1"/>
  <c r="R157" i="8"/>
  <c r="S157" i="8"/>
  <c r="AI157" i="8" s="1"/>
  <c r="T157" i="8"/>
  <c r="AJ157" i="8" s="1"/>
  <c r="R158" i="8"/>
  <c r="S158" i="8"/>
  <c r="AI158" i="8" s="1"/>
  <c r="T158" i="8"/>
  <c r="AJ158" i="8" s="1"/>
  <c r="R159" i="8"/>
  <c r="S159" i="8"/>
  <c r="AI159" i="8" s="1"/>
  <c r="T159" i="8"/>
  <c r="AJ159" i="8" s="1"/>
  <c r="R160" i="8"/>
  <c r="S160" i="8"/>
  <c r="T160" i="8"/>
  <c r="AJ160" i="8" s="1"/>
  <c r="R161" i="8"/>
  <c r="S161" i="8"/>
  <c r="T161" i="8"/>
  <c r="AJ161" i="8" s="1"/>
  <c r="R162" i="8"/>
  <c r="S162" i="8"/>
  <c r="T162" i="8"/>
  <c r="AJ162" i="8" s="1"/>
  <c r="R163" i="8"/>
  <c r="S163" i="8"/>
  <c r="AI163" i="8" s="1"/>
  <c r="T163" i="8"/>
  <c r="AJ163" i="8" s="1"/>
  <c r="R164" i="8"/>
  <c r="S164" i="8"/>
  <c r="AI164" i="8" s="1"/>
  <c r="T164" i="8"/>
  <c r="AJ164" i="8" s="1"/>
  <c r="R165" i="8"/>
  <c r="S165" i="8"/>
  <c r="T165" i="8"/>
  <c r="AJ165" i="8" s="1"/>
  <c r="R166" i="8"/>
  <c r="S166" i="8"/>
  <c r="AI166" i="8" s="1"/>
  <c r="T166" i="8"/>
  <c r="AJ166" i="8" s="1"/>
  <c r="R167" i="8"/>
  <c r="S167" i="8"/>
  <c r="AI167" i="8" s="1"/>
  <c r="T167" i="8"/>
  <c r="AJ167" i="8" s="1"/>
  <c r="R168" i="8"/>
  <c r="S168" i="8"/>
  <c r="T168" i="8"/>
  <c r="AJ168" i="8" s="1"/>
  <c r="R169" i="8"/>
  <c r="S169" i="8"/>
  <c r="T169" i="8"/>
  <c r="AJ169" i="8" s="1"/>
  <c r="R170" i="8"/>
  <c r="S170" i="8"/>
  <c r="AI170" i="8" s="1"/>
  <c r="T170" i="8"/>
  <c r="AJ170" i="8" s="1"/>
  <c r="R171" i="8"/>
  <c r="S171" i="8"/>
  <c r="AI171" i="8" s="1"/>
  <c r="T171" i="8"/>
  <c r="AJ171" i="8" s="1"/>
  <c r="R172" i="8"/>
  <c r="S172" i="8"/>
  <c r="T172" i="8"/>
  <c r="R173" i="8"/>
  <c r="S173" i="8"/>
  <c r="AI173" i="8" s="1"/>
  <c r="T173" i="8"/>
  <c r="AJ173" i="8" s="1"/>
  <c r="R174" i="8"/>
  <c r="S174" i="8"/>
  <c r="AI174" i="8" s="1"/>
  <c r="T174" i="8"/>
  <c r="AJ174" i="8" s="1"/>
  <c r="R175" i="8"/>
  <c r="S175" i="8"/>
  <c r="AI175" i="8" s="1"/>
  <c r="T175" i="8"/>
  <c r="AJ175" i="8" s="1"/>
  <c r="R176" i="8"/>
  <c r="S176" i="8"/>
  <c r="T176" i="8"/>
  <c r="AJ176" i="8" s="1"/>
  <c r="R177" i="8"/>
  <c r="S177" i="8"/>
  <c r="AI177" i="8" s="1"/>
  <c r="T177" i="8"/>
  <c r="AJ177" i="8" s="1"/>
  <c r="R178" i="8"/>
  <c r="S178" i="8"/>
  <c r="AI178" i="8" s="1"/>
  <c r="T178" i="8"/>
  <c r="AJ178" i="8" s="1"/>
  <c r="R179" i="8"/>
  <c r="S179" i="8"/>
  <c r="AI179" i="8" s="1"/>
  <c r="T179" i="8"/>
  <c r="R180" i="8"/>
  <c r="S180" i="8"/>
  <c r="AI180" i="8" s="1"/>
  <c r="T180" i="8"/>
  <c r="AJ180" i="8" s="1"/>
  <c r="R181" i="8"/>
  <c r="S181" i="8"/>
  <c r="T181" i="8"/>
  <c r="AJ181" i="8" s="1"/>
  <c r="R182" i="8"/>
  <c r="S182" i="8"/>
  <c r="T182" i="8"/>
  <c r="AJ182" i="8" s="1"/>
  <c r="R183" i="8"/>
  <c r="S183" i="8"/>
  <c r="AI183" i="8" s="1"/>
  <c r="T183" i="8"/>
  <c r="AJ183" i="8" s="1"/>
  <c r="R184" i="8"/>
  <c r="S184" i="8"/>
  <c r="AI184" i="8" s="1"/>
  <c r="T184" i="8"/>
  <c r="AJ184" i="8" s="1"/>
  <c r="R185" i="8"/>
  <c r="S185" i="8"/>
  <c r="T185" i="8"/>
  <c r="AJ185" i="8" s="1"/>
  <c r="R186" i="8"/>
  <c r="S186" i="8"/>
  <c r="AI186" i="8" s="1"/>
  <c r="T186" i="8"/>
  <c r="AJ186" i="8" s="1"/>
  <c r="R187" i="8"/>
  <c r="S187" i="8"/>
  <c r="AI187" i="8" s="1"/>
  <c r="T187" i="8"/>
  <c r="AJ187" i="8" s="1"/>
  <c r="R188" i="8"/>
  <c r="S188" i="8"/>
  <c r="AI188" i="8" s="1"/>
  <c r="T188" i="8"/>
  <c r="AJ188" i="8" s="1"/>
  <c r="R189" i="8"/>
  <c r="S189" i="8"/>
  <c r="AI189" i="8" s="1"/>
  <c r="T189" i="8"/>
  <c r="AJ189" i="8" s="1"/>
  <c r="R190" i="8"/>
  <c r="S190" i="8"/>
  <c r="AI190" i="8" s="1"/>
  <c r="T190" i="8"/>
  <c r="AJ190" i="8" s="1"/>
  <c r="R191" i="8"/>
  <c r="S191" i="8"/>
  <c r="AI191" i="8" s="1"/>
  <c r="T191" i="8"/>
  <c r="AJ191" i="8" s="1"/>
  <c r="R192" i="8"/>
  <c r="S192" i="8"/>
  <c r="T192" i="8"/>
  <c r="AJ192" i="8" s="1"/>
  <c r="R193" i="8"/>
  <c r="S193" i="8"/>
  <c r="T193" i="8"/>
  <c r="AJ193" i="8" s="1"/>
  <c r="R194" i="8"/>
  <c r="S194" i="8"/>
  <c r="T194" i="8"/>
  <c r="AJ194" i="8" s="1"/>
  <c r="R195" i="8"/>
  <c r="S195" i="8"/>
  <c r="AI195" i="8" s="1"/>
  <c r="T195" i="8"/>
  <c r="R196" i="8"/>
  <c r="S196" i="8"/>
  <c r="AI196" i="8" s="1"/>
  <c r="T196" i="8"/>
  <c r="AJ196" i="8" s="1"/>
  <c r="R197" i="8"/>
  <c r="S197" i="8"/>
  <c r="T197" i="8"/>
  <c r="AJ197" i="8" s="1"/>
  <c r="R198" i="8"/>
  <c r="S198" i="8"/>
  <c r="AI198" i="8" s="1"/>
  <c r="T198" i="8"/>
  <c r="AJ198" i="8" s="1"/>
  <c r="R199" i="8"/>
  <c r="S199" i="8"/>
  <c r="AI199" i="8" s="1"/>
  <c r="T199" i="8"/>
  <c r="AJ199" i="8" s="1"/>
  <c r="R200" i="8"/>
  <c r="S200" i="8"/>
  <c r="T200" i="8"/>
  <c r="AJ200" i="8" s="1"/>
  <c r="R201" i="8"/>
  <c r="S201" i="8"/>
  <c r="T201" i="8"/>
  <c r="AJ201" i="8" s="1"/>
  <c r="R202" i="8"/>
  <c r="S202" i="8"/>
  <c r="AI202" i="8" s="1"/>
  <c r="T202" i="8"/>
  <c r="AJ202" i="8" s="1"/>
  <c r="R203" i="8"/>
  <c r="S203" i="8"/>
  <c r="AI203" i="8" s="1"/>
  <c r="T203" i="8"/>
  <c r="AJ203" i="8" s="1"/>
  <c r="R204" i="8"/>
  <c r="S204" i="8"/>
  <c r="AI204" i="8" s="1"/>
  <c r="T204" i="8"/>
  <c r="AJ204" i="8" s="1"/>
  <c r="R205" i="8"/>
  <c r="S205" i="8"/>
  <c r="AI205" i="8" s="1"/>
  <c r="T205" i="8"/>
  <c r="AJ205" i="8" s="1"/>
  <c r="R206" i="8"/>
  <c r="S206" i="8"/>
  <c r="AI206" i="8" s="1"/>
  <c r="T206" i="8"/>
  <c r="AJ206" i="8" s="1"/>
  <c r="R207" i="8"/>
  <c r="S207" i="8"/>
  <c r="AI207" i="8" s="1"/>
  <c r="T207" i="8"/>
  <c r="R208" i="8"/>
  <c r="S208" i="8"/>
  <c r="T208" i="8"/>
  <c r="AJ208" i="8" s="1"/>
  <c r="R209" i="8"/>
  <c r="S209" i="8"/>
  <c r="AI209" i="8" s="1"/>
  <c r="T209" i="8"/>
  <c r="AJ209" i="8" s="1"/>
  <c r="R210" i="8"/>
  <c r="S210" i="8"/>
  <c r="AI210" i="8" s="1"/>
  <c r="T210" i="8"/>
  <c r="AJ210" i="8" s="1"/>
  <c r="R211" i="8"/>
  <c r="S211" i="8"/>
  <c r="AI211" i="8" s="1"/>
  <c r="T211" i="8"/>
  <c r="AJ211" i="8" s="1"/>
  <c r="R212" i="8"/>
  <c r="S212" i="8"/>
  <c r="AI212" i="8" s="1"/>
  <c r="T212" i="8"/>
  <c r="AJ212" i="8" s="1"/>
  <c r="R213" i="8"/>
  <c r="S213" i="8"/>
  <c r="T213" i="8"/>
  <c r="AJ213" i="8" s="1"/>
  <c r="R214" i="8"/>
  <c r="S214" i="8"/>
  <c r="T214" i="8"/>
  <c r="AJ214" i="8" s="1"/>
  <c r="R215" i="8"/>
  <c r="S215" i="8"/>
  <c r="AI215" i="8" s="1"/>
  <c r="T215" i="8"/>
  <c r="AJ215" i="8" s="1"/>
  <c r="R216" i="8"/>
  <c r="S216" i="8"/>
  <c r="AI216" i="8" s="1"/>
  <c r="T216" i="8"/>
  <c r="AJ216" i="8" s="1"/>
  <c r="R217" i="8"/>
  <c r="S217" i="8"/>
  <c r="T217" i="8"/>
  <c r="AJ217" i="8" s="1"/>
  <c r="R218" i="8"/>
  <c r="S218" i="8"/>
  <c r="AI218" i="8" s="1"/>
  <c r="T218" i="8"/>
  <c r="AJ218" i="8" s="1"/>
  <c r="R219" i="8"/>
  <c r="S219" i="8"/>
  <c r="AI219" i="8" s="1"/>
  <c r="T219" i="8"/>
  <c r="AJ219" i="8" s="1"/>
  <c r="R220" i="8"/>
  <c r="S220" i="8"/>
  <c r="T220" i="8"/>
  <c r="R221" i="8"/>
  <c r="S221" i="8"/>
  <c r="AI221" i="8" s="1"/>
  <c r="T221" i="8"/>
  <c r="AJ221" i="8" s="1"/>
  <c r="R222" i="8"/>
  <c r="S222" i="8"/>
  <c r="AI222" i="8" s="1"/>
  <c r="T222" i="8"/>
  <c r="AJ222" i="8" s="1"/>
  <c r="R223" i="8"/>
  <c r="S223" i="8"/>
  <c r="AI223" i="8" s="1"/>
  <c r="T223" i="8"/>
  <c r="AJ223" i="8" s="1"/>
  <c r="R224" i="8"/>
  <c r="S224" i="8"/>
  <c r="T224" i="8"/>
  <c r="AJ224" i="8" s="1"/>
  <c r="R225" i="8"/>
  <c r="S225" i="8"/>
  <c r="T225" i="8"/>
  <c r="AJ225" i="8" s="1"/>
  <c r="R226" i="8"/>
  <c r="S226" i="8"/>
  <c r="T226" i="8"/>
  <c r="AJ226" i="8" s="1"/>
  <c r="R227" i="8"/>
  <c r="S227" i="8"/>
  <c r="AI227" i="8" s="1"/>
  <c r="T227" i="8"/>
  <c r="AJ227" i="8" s="1"/>
  <c r="R228" i="8"/>
  <c r="S228" i="8"/>
  <c r="AI228" i="8" s="1"/>
  <c r="T228" i="8"/>
  <c r="AJ228" i="8" s="1"/>
  <c r="R229" i="8"/>
  <c r="S229" i="8"/>
  <c r="T229" i="8"/>
  <c r="AJ229" i="8" s="1"/>
  <c r="R230" i="8"/>
  <c r="S230" i="8"/>
  <c r="T230" i="8"/>
  <c r="AJ230" i="8" s="1"/>
  <c r="R231" i="8"/>
  <c r="S231" i="8"/>
  <c r="AI231" i="8" s="1"/>
  <c r="T231" i="8"/>
  <c r="AJ231" i="8" s="1"/>
  <c r="R232" i="8"/>
  <c r="S232" i="8"/>
  <c r="T232" i="8"/>
  <c r="AJ232" i="8" s="1"/>
  <c r="R233" i="8"/>
  <c r="S233" i="8"/>
  <c r="T233" i="8"/>
  <c r="AJ233" i="8" s="1"/>
  <c r="R234" i="8"/>
  <c r="S234" i="8"/>
  <c r="AI234" i="8" s="1"/>
  <c r="T234" i="8"/>
  <c r="AJ234" i="8" s="1"/>
  <c r="R235" i="8"/>
  <c r="S235" i="8"/>
  <c r="AI235" i="8" s="1"/>
  <c r="T235" i="8"/>
  <c r="AJ235" i="8" s="1"/>
  <c r="R236" i="8"/>
  <c r="S236" i="8"/>
  <c r="AI236" i="8" s="1"/>
  <c r="T236" i="8"/>
  <c r="AJ236" i="8" s="1"/>
  <c r="R237" i="8"/>
  <c r="S237" i="8"/>
  <c r="AI237" i="8" s="1"/>
  <c r="T237" i="8"/>
  <c r="AJ237" i="8" s="1"/>
  <c r="R238" i="8"/>
  <c r="S238" i="8"/>
  <c r="AI238" i="8" s="1"/>
  <c r="T238" i="8"/>
  <c r="AJ238" i="8" s="1"/>
  <c r="R239" i="8"/>
  <c r="S239" i="8"/>
  <c r="AI239" i="8" s="1"/>
  <c r="T239" i="8"/>
  <c r="AJ239" i="8" s="1"/>
  <c r="R240" i="8"/>
  <c r="S240" i="8"/>
  <c r="T240" i="8"/>
  <c r="AJ240" i="8" s="1"/>
  <c r="R241" i="8"/>
  <c r="S241" i="8"/>
  <c r="AI241" i="8" s="1"/>
  <c r="T241" i="8"/>
  <c r="AJ241" i="8" s="1"/>
  <c r="R242" i="8"/>
  <c r="S242" i="8"/>
  <c r="T242" i="8"/>
  <c r="AJ242" i="8" s="1"/>
  <c r="R243" i="8"/>
  <c r="S243" i="8"/>
  <c r="AI243" i="8" s="1"/>
  <c r="T243" i="8"/>
  <c r="R244" i="8"/>
  <c r="S244" i="8"/>
  <c r="AI244" i="8" s="1"/>
  <c r="T244" i="8"/>
  <c r="AJ244" i="8" s="1"/>
  <c r="R245" i="8"/>
  <c r="S245" i="8"/>
  <c r="T245" i="8"/>
  <c r="AJ245" i="8" s="1"/>
  <c r="R246" i="8"/>
  <c r="S246" i="8"/>
  <c r="AI246" i="8" s="1"/>
  <c r="T246" i="8"/>
  <c r="AJ246" i="8" s="1"/>
  <c r="R247" i="8"/>
  <c r="S247" i="8"/>
  <c r="AI247" i="8" s="1"/>
  <c r="T247" i="8"/>
  <c r="AJ247" i="8" s="1"/>
  <c r="R248" i="8"/>
  <c r="S248" i="8"/>
  <c r="AI248" i="8" s="1"/>
  <c r="T248" i="8"/>
  <c r="AJ248" i="8" s="1"/>
  <c r="R249" i="8"/>
  <c r="S249" i="8"/>
  <c r="T249" i="8"/>
  <c r="AJ249" i="8" s="1"/>
  <c r="R250" i="8"/>
  <c r="S250" i="8"/>
  <c r="AI250" i="8" s="1"/>
  <c r="T250" i="8"/>
  <c r="AJ250" i="8" s="1"/>
  <c r="R251" i="8"/>
  <c r="S251" i="8"/>
  <c r="AI251" i="8" s="1"/>
  <c r="T251" i="8"/>
  <c r="AJ251" i="8" s="1"/>
  <c r="R252" i="8"/>
  <c r="S252" i="8"/>
  <c r="T252" i="8"/>
  <c r="AJ252" i="8" s="1"/>
  <c r="R253" i="8"/>
  <c r="S253" i="8"/>
  <c r="AI253" i="8" s="1"/>
  <c r="T253" i="8"/>
  <c r="AJ253" i="8" s="1"/>
  <c r="R254" i="8"/>
  <c r="S254" i="8"/>
  <c r="AI254" i="8" s="1"/>
  <c r="T254" i="8"/>
  <c r="AJ254" i="8" s="1"/>
  <c r="R255" i="8"/>
  <c r="S255" i="8"/>
  <c r="AI255" i="8" s="1"/>
  <c r="T255" i="8"/>
  <c r="R256" i="8"/>
  <c r="S256" i="8"/>
  <c r="T256" i="8"/>
  <c r="AJ256" i="8" s="1"/>
  <c r="R257" i="8"/>
  <c r="S257" i="8"/>
  <c r="T257" i="8"/>
  <c r="AJ257" i="8" s="1"/>
  <c r="R258" i="8"/>
  <c r="S258" i="8"/>
  <c r="AI258" i="8" s="1"/>
  <c r="T258" i="8"/>
  <c r="AJ258" i="8" s="1"/>
  <c r="R259" i="8"/>
  <c r="S259" i="8"/>
  <c r="AI259" i="8" s="1"/>
  <c r="T259" i="8"/>
  <c r="R260" i="8"/>
  <c r="S260" i="8"/>
  <c r="AI260" i="8" s="1"/>
  <c r="T260" i="8"/>
  <c r="AJ260" i="8" s="1"/>
  <c r="R261" i="8"/>
  <c r="S261" i="8"/>
  <c r="T261" i="8"/>
  <c r="AJ261" i="8" s="1"/>
  <c r="R262" i="8"/>
  <c r="S262" i="8"/>
  <c r="T262" i="8"/>
  <c r="AJ262" i="8" s="1"/>
  <c r="R263" i="8"/>
  <c r="S263" i="8"/>
  <c r="AI263" i="8" s="1"/>
  <c r="T263" i="8"/>
  <c r="AJ263" i="8" s="1"/>
  <c r="R264" i="8"/>
  <c r="S264" i="8"/>
  <c r="T264" i="8"/>
  <c r="AJ264" i="8" s="1"/>
  <c r="R265" i="8"/>
  <c r="S265" i="8"/>
  <c r="T265" i="8"/>
  <c r="AJ265" i="8" s="1"/>
  <c r="R266" i="8"/>
  <c r="S266" i="8"/>
  <c r="AI266" i="8" s="1"/>
  <c r="T266" i="8"/>
  <c r="AJ266" i="8" s="1"/>
  <c r="R267" i="8"/>
  <c r="S267" i="8"/>
  <c r="AI267" i="8" s="1"/>
  <c r="T267" i="8"/>
  <c r="AJ267" i="8" s="1"/>
  <c r="R268" i="8"/>
  <c r="S268" i="8"/>
  <c r="AI268" i="8" s="1"/>
  <c r="T268" i="8"/>
  <c r="AJ268" i="8" s="1"/>
  <c r="R269" i="8"/>
  <c r="S269" i="8"/>
  <c r="AI269" i="8" s="1"/>
  <c r="T269" i="8"/>
  <c r="AJ269" i="8" s="1"/>
  <c r="R270" i="8"/>
  <c r="S270" i="8"/>
  <c r="T270" i="8"/>
  <c r="AJ270" i="8" s="1"/>
  <c r="R271" i="8"/>
  <c r="S271" i="8"/>
  <c r="AI271" i="8" s="1"/>
  <c r="T271" i="8"/>
  <c r="AJ271" i="8" s="1"/>
  <c r="R272" i="8"/>
  <c r="S272" i="8"/>
  <c r="T272" i="8"/>
  <c r="AJ272" i="8" s="1"/>
  <c r="R273" i="8"/>
  <c r="S273" i="8"/>
  <c r="AI273" i="8" s="1"/>
  <c r="T273" i="8"/>
  <c r="AJ273" i="8" s="1"/>
  <c r="R274" i="8"/>
  <c r="S274" i="8"/>
  <c r="T274" i="8"/>
  <c r="AJ274" i="8" s="1"/>
  <c r="R275" i="8"/>
  <c r="S275" i="8"/>
  <c r="AI275" i="8" s="1"/>
  <c r="T275" i="8"/>
  <c r="R276" i="8"/>
  <c r="S276" i="8"/>
  <c r="AI276" i="8" s="1"/>
  <c r="T276" i="8"/>
  <c r="AJ276" i="8" s="1"/>
  <c r="R277" i="8"/>
  <c r="S277" i="8"/>
  <c r="T277" i="8"/>
  <c r="AJ277" i="8" s="1"/>
  <c r="R278" i="8"/>
  <c r="S278" i="8"/>
  <c r="AI278" i="8" s="1"/>
  <c r="T278" i="8"/>
  <c r="AJ278" i="8" s="1"/>
  <c r="R279" i="8"/>
  <c r="S279" i="8"/>
  <c r="AI279" i="8" s="1"/>
  <c r="T279" i="8"/>
  <c r="AJ279" i="8" s="1"/>
  <c r="R280" i="8"/>
  <c r="S280" i="8"/>
  <c r="AI280" i="8" s="1"/>
  <c r="T280" i="8"/>
  <c r="AJ280" i="8" s="1"/>
  <c r="R281" i="8"/>
  <c r="S281" i="8"/>
  <c r="T281" i="8"/>
  <c r="AJ281" i="8" s="1"/>
  <c r="R282" i="8"/>
  <c r="S282" i="8"/>
  <c r="AI282" i="8" s="1"/>
  <c r="T282" i="8"/>
  <c r="AJ282" i="8" s="1"/>
  <c r="R283" i="8"/>
  <c r="S283" i="8"/>
  <c r="AI283" i="8" s="1"/>
  <c r="T283" i="8"/>
  <c r="R284" i="8"/>
  <c r="S284" i="8"/>
  <c r="T284" i="8"/>
  <c r="R285" i="8"/>
  <c r="S285" i="8"/>
  <c r="AI285" i="8" s="1"/>
  <c r="T285" i="8"/>
  <c r="AJ285" i="8" s="1"/>
  <c r="R286" i="8"/>
  <c r="S286" i="8"/>
  <c r="AI286" i="8" s="1"/>
  <c r="T286" i="8"/>
  <c r="AJ286" i="8" s="1"/>
  <c r="R287" i="8"/>
  <c r="S287" i="8"/>
  <c r="AI287" i="8" s="1"/>
  <c r="T287" i="8"/>
  <c r="AJ287" i="8" s="1"/>
  <c r="R288" i="8"/>
  <c r="S288" i="8"/>
  <c r="T288" i="8"/>
  <c r="AJ288" i="8" s="1"/>
  <c r="R289" i="8"/>
  <c r="S289" i="8"/>
  <c r="T289" i="8"/>
  <c r="AJ289" i="8" s="1"/>
  <c r="R290" i="8"/>
  <c r="S290" i="8"/>
  <c r="T290" i="8"/>
  <c r="AJ290" i="8" s="1"/>
  <c r="R291" i="8"/>
  <c r="S291" i="8"/>
  <c r="AI291" i="8" s="1"/>
  <c r="T291" i="8"/>
  <c r="AJ291" i="8" s="1"/>
  <c r="R292" i="8"/>
  <c r="S292" i="8"/>
  <c r="AI292" i="8" s="1"/>
  <c r="T292" i="8"/>
  <c r="AJ292" i="8" s="1"/>
  <c r="R293" i="8"/>
  <c r="S293" i="8"/>
  <c r="T293" i="8"/>
  <c r="AJ293" i="8" s="1"/>
  <c r="R294" i="8"/>
  <c r="S294" i="8"/>
  <c r="T294" i="8"/>
  <c r="AJ294" i="8" s="1"/>
  <c r="R295" i="8"/>
  <c r="S295" i="8"/>
  <c r="AI295" i="8" s="1"/>
  <c r="T295" i="8"/>
  <c r="AJ295" i="8" s="1"/>
  <c r="R296" i="8"/>
  <c r="S296" i="8"/>
  <c r="T296" i="8"/>
  <c r="AJ296" i="8" s="1"/>
  <c r="R297" i="8"/>
  <c r="S297" i="8"/>
  <c r="T297" i="8"/>
  <c r="AJ297" i="8" s="1"/>
  <c r="R298" i="8"/>
  <c r="S298" i="8"/>
  <c r="AI298" i="8" s="1"/>
  <c r="T298" i="8"/>
  <c r="AJ298" i="8" s="1"/>
  <c r="R299" i="8"/>
  <c r="S299" i="8"/>
  <c r="AI299" i="8" s="1"/>
  <c r="T299" i="8"/>
  <c r="AJ299" i="8" s="1"/>
  <c r="R300" i="8"/>
  <c r="S300" i="8"/>
  <c r="AI300" i="8" s="1"/>
  <c r="T300" i="8"/>
  <c r="AJ300" i="8" s="1"/>
  <c r="R301" i="8"/>
  <c r="S301" i="8"/>
  <c r="AI301" i="8" s="1"/>
  <c r="T301" i="8"/>
  <c r="AJ301" i="8" s="1"/>
  <c r="R302" i="8"/>
  <c r="S302" i="8"/>
  <c r="AI302" i="8" s="1"/>
  <c r="T302" i="8"/>
  <c r="AJ302" i="8" s="1"/>
  <c r="R303" i="8"/>
  <c r="S303" i="8"/>
  <c r="AI303" i="8" s="1"/>
  <c r="T303" i="8"/>
  <c r="R304" i="8"/>
  <c r="S304" i="8"/>
  <c r="T304" i="8"/>
  <c r="AJ304" i="8" s="1"/>
  <c r="R305" i="8"/>
  <c r="S305" i="8"/>
  <c r="AI305" i="8" s="1"/>
  <c r="T305" i="8"/>
  <c r="AJ305" i="8" s="1"/>
  <c r="R306" i="8"/>
  <c r="S306" i="8"/>
  <c r="T306" i="8"/>
  <c r="AJ306" i="8" s="1"/>
  <c r="R307" i="8"/>
  <c r="S307" i="8"/>
  <c r="AI307" i="8" s="1"/>
  <c r="T307" i="8"/>
  <c r="AJ307" i="8" s="1"/>
  <c r="R308" i="8"/>
  <c r="S308" i="8"/>
  <c r="AI308" i="8" s="1"/>
  <c r="T308" i="8"/>
  <c r="AJ308" i="8" s="1"/>
  <c r="R309" i="8"/>
  <c r="S309" i="8"/>
  <c r="T309" i="8"/>
  <c r="AJ309" i="8" s="1"/>
  <c r="R310" i="8"/>
  <c r="S310" i="8"/>
  <c r="T310" i="8"/>
  <c r="AJ310" i="8" s="1"/>
  <c r="R311" i="8"/>
  <c r="S311" i="8"/>
  <c r="AI311" i="8" s="1"/>
  <c r="T311" i="8"/>
  <c r="AJ311" i="8" s="1"/>
  <c r="R312" i="8"/>
  <c r="S312" i="8"/>
  <c r="AI312" i="8" s="1"/>
  <c r="T312" i="8"/>
  <c r="AJ312" i="8" s="1"/>
  <c r="R313" i="8"/>
  <c r="S313" i="8"/>
  <c r="T313" i="8"/>
  <c r="AJ313" i="8" s="1"/>
  <c r="R314" i="8"/>
  <c r="S314" i="8"/>
  <c r="AI314" i="8" s="1"/>
  <c r="T314" i="8"/>
  <c r="AJ314" i="8" s="1"/>
  <c r="R315" i="8"/>
  <c r="S315" i="8"/>
  <c r="AI315" i="8" s="1"/>
  <c r="T315" i="8"/>
  <c r="R316" i="8"/>
  <c r="S316" i="8"/>
  <c r="T316" i="8"/>
  <c r="AJ316" i="8" s="1"/>
  <c r="R317" i="8"/>
  <c r="S317" i="8"/>
  <c r="AI317" i="8" s="1"/>
  <c r="T317" i="8"/>
  <c r="AJ317" i="8" s="1"/>
  <c r="R318" i="8"/>
  <c r="S318" i="8"/>
  <c r="AI318" i="8" s="1"/>
  <c r="T318" i="8"/>
  <c r="AJ318" i="8" s="1"/>
  <c r="R319" i="8"/>
  <c r="S319" i="8"/>
  <c r="AI319" i="8" s="1"/>
  <c r="T319" i="8"/>
  <c r="AJ319" i="8" s="1"/>
  <c r="R320" i="8"/>
  <c r="S320" i="8"/>
  <c r="T320" i="8"/>
  <c r="AJ320" i="8" s="1"/>
  <c r="R321" i="8"/>
  <c r="S321" i="8"/>
  <c r="T321" i="8"/>
  <c r="AJ321" i="8" s="1"/>
  <c r="R322" i="8"/>
  <c r="S322" i="8"/>
  <c r="AI322" i="8" s="1"/>
  <c r="T322" i="8"/>
  <c r="AJ322" i="8" s="1"/>
  <c r="R323" i="8"/>
  <c r="S323" i="8"/>
  <c r="AI323" i="8" s="1"/>
  <c r="T323" i="8"/>
  <c r="R324" i="8"/>
  <c r="S324" i="8"/>
  <c r="AI324" i="8" s="1"/>
  <c r="T324" i="8"/>
  <c r="AJ324" i="8" s="1"/>
  <c r="R325" i="8"/>
  <c r="S325" i="8"/>
  <c r="T325" i="8"/>
  <c r="AJ325" i="8" s="1"/>
  <c r="R326" i="8"/>
  <c r="S326" i="8"/>
  <c r="T326" i="8"/>
  <c r="AJ326" i="8" s="1"/>
  <c r="R327" i="8"/>
  <c r="S327" i="8"/>
  <c r="AI327" i="8" s="1"/>
  <c r="T327" i="8"/>
  <c r="AJ327" i="8" s="1"/>
  <c r="R328" i="8"/>
  <c r="S328" i="8"/>
  <c r="T328" i="8"/>
  <c r="AJ328" i="8" s="1"/>
  <c r="R329" i="8"/>
  <c r="S329" i="8"/>
  <c r="AI329" i="8" s="1"/>
  <c r="T329" i="8"/>
  <c r="AJ329" i="8" s="1"/>
  <c r="R330" i="8"/>
  <c r="S330" i="8"/>
  <c r="AI330" i="8" s="1"/>
  <c r="T330" i="8"/>
  <c r="R331" i="8"/>
  <c r="S331" i="8"/>
  <c r="AI331" i="8" s="1"/>
  <c r="T331" i="8"/>
  <c r="AJ331" i="8" s="1"/>
  <c r="R332" i="8"/>
  <c r="S332" i="8"/>
  <c r="AI332" i="8" s="1"/>
  <c r="T332" i="8"/>
  <c r="AJ332" i="8" s="1"/>
  <c r="R333" i="8"/>
  <c r="S333" i="8"/>
  <c r="T333" i="8"/>
  <c r="AJ333" i="8" s="1"/>
  <c r="R334" i="8"/>
  <c r="S334" i="8"/>
  <c r="T334" i="8"/>
  <c r="AJ334" i="8" s="1"/>
  <c r="R335" i="8"/>
  <c r="S335" i="8"/>
  <c r="AI335" i="8" s="1"/>
  <c r="T335" i="8"/>
  <c r="AJ335" i="8" s="1"/>
  <c r="R336" i="8"/>
  <c r="S336" i="8"/>
  <c r="T336" i="8"/>
  <c r="AJ336" i="8" s="1"/>
  <c r="R337" i="8"/>
  <c r="S337" i="8"/>
  <c r="AI337" i="8" s="1"/>
  <c r="T337" i="8"/>
  <c r="AJ337" i="8" s="1"/>
  <c r="R338" i="8"/>
  <c r="S338" i="8"/>
  <c r="AI338" i="8" s="1"/>
  <c r="T338" i="8"/>
  <c r="R339" i="8"/>
  <c r="S339" i="8"/>
  <c r="AI339" i="8" s="1"/>
  <c r="T339" i="8"/>
  <c r="AJ339" i="8" s="1"/>
  <c r="R340" i="8"/>
  <c r="S340" i="8"/>
  <c r="AI340" i="8" s="1"/>
  <c r="T340" i="8"/>
  <c r="AJ340" i="8" s="1"/>
  <c r="R341" i="8"/>
  <c r="S341" i="8"/>
  <c r="T341" i="8"/>
  <c r="AJ341" i="8" s="1"/>
  <c r="R342" i="8"/>
  <c r="S342" i="8"/>
  <c r="T342" i="8"/>
  <c r="AJ342" i="8" s="1"/>
  <c r="R343" i="8"/>
  <c r="S343" i="8"/>
  <c r="AI343" i="8" s="1"/>
  <c r="T343" i="8"/>
  <c r="R344" i="8"/>
  <c r="S344" i="8"/>
  <c r="T344" i="8"/>
  <c r="AJ344" i="8" s="1"/>
  <c r="R345" i="8"/>
  <c r="S345" i="8"/>
  <c r="AI345" i="8" s="1"/>
  <c r="T345" i="8"/>
  <c r="AJ345" i="8" s="1"/>
  <c r="R346" i="8"/>
  <c r="S346" i="8"/>
  <c r="AI346" i="8" s="1"/>
  <c r="T346" i="8"/>
  <c r="R347" i="8"/>
  <c r="S347" i="8"/>
  <c r="AI347" i="8" s="1"/>
  <c r="T347" i="8"/>
  <c r="R348" i="8"/>
  <c r="S348" i="8"/>
  <c r="AI348" i="8" s="1"/>
  <c r="T348" i="8"/>
  <c r="AJ348" i="8" s="1"/>
  <c r="R349" i="8"/>
  <c r="S349" i="8"/>
  <c r="T349" i="8"/>
  <c r="R350" i="8"/>
  <c r="S350" i="8"/>
  <c r="AI350" i="8" s="1"/>
  <c r="T350" i="8"/>
  <c r="AJ350" i="8" s="1"/>
  <c r="R351" i="8"/>
  <c r="S351" i="8"/>
  <c r="T351" i="8"/>
  <c r="AJ351" i="8" s="1"/>
  <c r="R352" i="8"/>
  <c r="S352" i="8"/>
  <c r="AI352" i="8" s="1"/>
  <c r="T352" i="8"/>
  <c r="AJ352" i="8" s="1"/>
  <c r="R353" i="8"/>
  <c r="S353" i="8"/>
  <c r="T353" i="8"/>
  <c r="R354" i="8"/>
  <c r="S354" i="8"/>
  <c r="AI354" i="8" s="1"/>
  <c r="T354" i="8"/>
  <c r="AJ354" i="8" s="1"/>
  <c r="R355" i="8"/>
  <c r="S355" i="8"/>
  <c r="AI355" i="8" s="1"/>
  <c r="T355" i="8"/>
  <c r="R356" i="8"/>
  <c r="S356" i="8"/>
  <c r="AI356" i="8" s="1"/>
  <c r="T356" i="8"/>
  <c r="AJ356" i="8" s="1"/>
  <c r="R357" i="8"/>
  <c r="S357" i="8"/>
  <c r="T357" i="8"/>
  <c r="R358" i="8"/>
  <c r="S358" i="8"/>
  <c r="AI358" i="8" s="1"/>
  <c r="T358" i="8"/>
  <c r="AJ358" i="8" s="1"/>
  <c r="R359" i="8"/>
  <c r="S359" i="8"/>
  <c r="AI359" i="8" s="1"/>
  <c r="T359" i="8"/>
  <c r="AJ359" i="8" s="1"/>
  <c r="R360" i="8"/>
  <c r="S360" i="8"/>
  <c r="AI360" i="8" s="1"/>
  <c r="T360" i="8"/>
  <c r="AJ360" i="8" s="1"/>
  <c r="R361" i="8"/>
  <c r="S361" i="8"/>
  <c r="T361" i="8"/>
  <c r="R362" i="8"/>
  <c r="S362" i="8"/>
  <c r="AI362" i="8" s="1"/>
  <c r="T362" i="8"/>
  <c r="AJ362" i="8" s="1"/>
  <c r="R363" i="8"/>
  <c r="S363" i="8"/>
  <c r="AI363" i="8" s="1"/>
  <c r="T363" i="8"/>
  <c r="R364" i="8"/>
  <c r="S364" i="8"/>
  <c r="AI364" i="8" s="1"/>
  <c r="T364" i="8"/>
  <c r="AJ364" i="8" s="1"/>
  <c r="R365" i="8"/>
  <c r="S365" i="8"/>
  <c r="T365" i="8"/>
  <c r="R366" i="8"/>
  <c r="S366" i="8"/>
  <c r="AI366" i="8" s="1"/>
  <c r="T366" i="8"/>
  <c r="AJ366" i="8" s="1"/>
  <c r="R367" i="8"/>
  <c r="S367" i="8"/>
  <c r="AI367" i="8" s="1"/>
  <c r="T367" i="8"/>
  <c r="AJ367" i="8" s="1"/>
  <c r="R368" i="8"/>
  <c r="S368" i="8"/>
  <c r="AI368" i="8" s="1"/>
  <c r="T368" i="8"/>
  <c r="AJ368" i="8" s="1"/>
  <c r="R369" i="8"/>
  <c r="S369" i="8"/>
  <c r="T369" i="8"/>
  <c r="R370" i="8"/>
  <c r="S370" i="8"/>
  <c r="AI370" i="8" s="1"/>
  <c r="T370" i="8"/>
  <c r="AJ370" i="8" s="1"/>
  <c r="R371" i="8"/>
  <c r="S371" i="8"/>
  <c r="AI371" i="8" s="1"/>
  <c r="T371" i="8"/>
  <c r="AJ371" i="8" s="1"/>
  <c r="R372" i="8"/>
  <c r="S372" i="8"/>
  <c r="AI372" i="8" s="1"/>
  <c r="T372" i="8"/>
  <c r="AJ372" i="8" s="1"/>
  <c r="R373" i="8"/>
  <c r="S373" i="8"/>
  <c r="T373" i="8"/>
  <c r="R374" i="8"/>
  <c r="S374" i="8"/>
  <c r="AI374" i="8" s="1"/>
  <c r="T374" i="8"/>
  <c r="AJ374" i="8" s="1"/>
  <c r="R375" i="8"/>
  <c r="S375" i="8"/>
  <c r="AI375" i="8" s="1"/>
  <c r="T375" i="8"/>
  <c r="R376" i="8"/>
  <c r="S376" i="8"/>
  <c r="AI376" i="8" s="1"/>
  <c r="T376" i="8"/>
  <c r="AJ376" i="8" s="1"/>
  <c r="R377" i="8"/>
  <c r="S377" i="8"/>
  <c r="T377" i="8"/>
  <c r="AJ377" i="8" s="1"/>
  <c r="R378" i="8"/>
  <c r="S378" i="8"/>
  <c r="AI378" i="8" s="1"/>
  <c r="T378" i="8"/>
  <c r="AJ378" i="8" s="1"/>
  <c r="R379" i="8"/>
  <c r="S379" i="8"/>
  <c r="AI379" i="8" s="1"/>
  <c r="T379" i="8"/>
  <c r="R380" i="8"/>
  <c r="S380" i="8"/>
  <c r="AI380" i="8" s="1"/>
  <c r="T380" i="8"/>
  <c r="AJ380" i="8" s="1"/>
  <c r="R381" i="8"/>
  <c r="S381" i="8"/>
  <c r="T381" i="8"/>
  <c r="R382" i="8"/>
  <c r="S382" i="8"/>
  <c r="AI382" i="8" s="1"/>
  <c r="T382" i="8"/>
  <c r="AJ382" i="8" s="1"/>
  <c r="O10" i="8"/>
  <c r="O11" i="8"/>
  <c r="O12" i="8"/>
  <c r="O13" i="8"/>
  <c r="O14" i="8"/>
  <c r="O15" i="8"/>
  <c r="O16" i="8"/>
  <c r="O17" i="8"/>
  <c r="O18" i="8"/>
  <c r="O19" i="8"/>
  <c r="O20" i="8"/>
  <c r="O21" i="8"/>
  <c r="O22" i="8"/>
  <c r="O23" i="8"/>
  <c r="O24" i="8"/>
  <c r="O25" i="8"/>
  <c r="O26" i="8"/>
  <c r="O27" i="8"/>
  <c r="O28" i="8"/>
  <c r="O29" i="8"/>
  <c r="O30" i="8"/>
  <c r="O31" i="8"/>
  <c r="O32" i="8"/>
  <c r="O33" i="8"/>
  <c r="O34" i="8"/>
  <c r="O35" i="8"/>
  <c r="O36" i="8"/>
  <c r="O37" i="8"/>
  <c r="O38" i="8"/>
  <c r="O39" i="8"/>
  <c r="O40" i="8"/>
  <c r="O41" i="8"/>
  <c r="O42" i="8"/>
  <c r="O43" i="8"/>
  <c r="O44" i="8"/>
  <c r="O45" i="8"/>
  <c r="O46" i="8"/>
  <c r="O47" i="8"/>
  <c r="O48" i="8"/>
  <c r="O49" i="8"/>
  <c r="O50" i="8"/>
  <c r="O51" i="8"/>
  <c r="O52" i="8"/>
  <c r="O53" i="8"/>
  <c r="O54" i="8"/>
  <c r="O55" i="8"/>
  <c r="O56" i="8"/>
  <c r="O57" i="8"/>
  <c r="O58" i="8"/>
  <c r="O59" i="8"/>
  <c r="O60" i="8"/>
  <c r="O61" i="8"/>
  <c r="O62" i="8"/>
  <c r="O63" i="8"/>
  <c r="O64" i="8"/>
  <c r="O65" i="8"/>
  <c r="O66" i="8"/>
  <c r="O67" i="8"/>
  <c r="O68" i="8"/>
  <c r="O69" i="8"/>
  <c r="O70" i="8"/>
  <c r="O71" i="8"/>
  <c r="O72" i="8"/>
  <c r="O73" i="8"/>
  <c r="O74" i="8"/>
  <c r="O75" i="8"/>
  <c r="O76" i="8"/>
  <c r="O77" i="8"/>
  <c r="O78" i="8"/>
  <c r="O79" i="8"/>
  <c r="O80" i="8"/>
  <c r="O81" i="8"/>
  <c r="O82" i="8"/>
  <c r="O83" i="8"/>
  <c r="O84" i="8"/>
  <c r="O85" i="8"/>
  <c r="O86" i="8"/>
  <c r="O87" i="8"/>
  <c r="O88" i="8"/>
  <c r="O89" i="8"/>
  <c r="O90" i="8"/>
  <c r="O91" i="8"/>
  <c r="O92" i="8"/>
  <c r="O93" i="8"/>
  <c r="O94" i="8"/>
  <c r="O95" i="8"/>
  <c r="O96" i="8"/>
  <c r="O97" i="8"/>
  <c r="O98" i="8"/>
  <c r="O99" i="8"/>
  <c r="O100" i="8"/>
  <c r="O101" i="8"/>
  <c r="O102" i="8"/>
  <c r="O103" i="8"/>
  <c r="O104" i="8"/>
  <c r="O105" i="8"/>
  <c r="O106" i="8"/>
  <c r="O107" i="8"/>
  <c r="O108" i="8"/>
  <c r="O109" i="8"/>
  <c r="O110" i="8"/>
  <c r="O111" i="8"/>
  <c r="O112" i="8"/>
  <c r="O113" i="8"/>
  <c r="O114" i="8"/>
  <c r="O115" i="8"/>
  <c r="O116" i="8"/>
  <c r="O117" i="8"/>
  <c r="O118" i="8"/>
  <c r="O119" i="8"/>
  <c r="O120" i="8"/>
  <c r="O121" i="8"/>
  <c r="O122" i="8"/>
  <c r="O123" i="8"/>
  <c r="O124" i="8"/>
  <c r="O125" i="8"/>
  <c r="O126" i="8"/>
  <c r="O127" i="8"/>
  <c r="O128" i="8"/>
  <c r="O129" i="8"/>
  <c r="O130" i="8"/>
  <c r="O131" i="8"/>
  <c r="O132" i="8"/>
  <c r="O133" i="8"/>
  <c r="O134" i="8"/>
  <c r="O135" i="8"/>
  <c r="O136" i="8"/>
  <c r="O137" i="8"/>
  <c r="O138" i="8"/>
  <c r="O139" i="8"/>
  <c r="O140" i="8"/>
  <c r="O141" i="8"/>
  <c r="O142" i="8"/>
  <c r="O143" i="8"/>
  <c r="O144" i="8"/>
  <c r="O145" i="8"/>
  <c r="O146" i="8"/>
  <c r="O147" i="8"/>
  <c r="O148" i="8"/>
  <c r="O149" i="8"/>
  <c r="O150" i="8"/>
  <c r="O151" i="8"/>
  <c r="O152" i="8"/>
  <c r="O153" i="8"/>
  <c r="O154" i="8"/>
  <c r="O155" i="8"/>
  <c r="O156" i="8"/>
  <c r="O157" i="8"/>
  <c r="O158" i="8"/>
  <c r="O159" i="8"/>
  <c r="O160" i="8"/>
  <c r="O161" i="8"/>
  <c r="O162" i="8"/>
  <c r="O163" i="8"/>
  <c r="O164" i="8"/>
  <c r="O165" i="8"/>
  <c r="O166" i="8"/>
  <c r="O167" i="8"/>
  <c r="O168" i="8"/>
  <c r="O169" i="8"/>
  <c r="O170" i="8"/>
  <c r="O171" i="8"/>
  <c r="O172" i="8"/>
  <c r="O173" i="8"/>
  <c r="O174" i="8"/>
  <c r="O175" i="8"/>
  <c r="O176" i="8"/>
  <c r="O177" i="8"/>
  <c r="O178" i="8"/>
  <c r="O179" i="8"/>
  <c r="O180" i="8"/>
  <c r="O181" i="8"/>
  <c r="O182" i="8"/>
  <c r="O183" i="8"/>
  <c r="O184" i="8"/>
  <c r="O185" i="8"/>
  <c r="O186" i="8"/>
  <c r="O187" i="8"/>
  <c r="O188" i="8"/>
  <c r="O189" i="8"/>
  <c r="O190" i="8"/>
  <c r="O191" i="8"/>
  <c r="O192" i="8"/>
  <c r="O193" i="8"/>
  <c r="O194" i="8"/>
  <c r="O195" i="8"/>
  <c r="O196" i="8"/>
  <c r="O197" i="8"/>
  <c r="O198" i="8"/>
  <c r="O199" i="8"/>
  <c r="O200" i="8"/>
  <c r="O201" i="8"/>
  <c r="O202" i="8"/>
  <c r="O203" i="8"/>
  <c r="O204" i="8"/>
  <c r="O205" i="8"/>
  <c r="O206" i="8"/>
  <c r="O207" i="8"/>
  <c r="O208" i="8"/>
  <c r="O209" i="8"/>
  <c r="O210" i="8"/>
  <c r="O211" i="8"/>
  <c r="O212" i="8"/>
  <c r="O213" i="8"/>
  <c r="O214" i="8"/>
  <c r="O215" i="8"/>
  <c r="O216" i="8"/>
  <c r="O217" i="8"/>
  <c r="O218" i="8"/>
  <c r="O219" i="8"/>
  <c r="O220" i="8"/>
  <c r="O221" i="8"/>
  <c r="O222" i="8"/>
  <c r="O223" i="8"/>
  <c r="O224" i="8"/>
  <c r="O225" i="8"/>
  <c r="O226" i="8"/>
  <c r="O227" i="8"/>
  <c r="O228" i="8"/>
  <c r="O229" i="8"/>
  <c r="O230" i="8"/>
  <c r="O231" i="8"/>
  <c r="O232" i="8"/>
  <c r="O233" i="8"/>
  <c r="O234" i="8"/>
  <c r="O235" i="8"/>
  <c r="O236" i="8"/>
  <c r="O237" i="8"/>
  <c r="O238" i="8"/>
  <c r="O239" i="8"/>
  <c r="O240" i="8"/>
  <c r="O241" i="8"/>
  <c r="O242" i="8"/>
  <c r="O243" i="8"/>
  <c r="O244" i="8"/>
  <c r="O245" i="8"/>
  <c r="O246" i="8"/>
  <c r="O247" i="8"/>
  <c r="O248" i="8"/>
  <c r="O249" i="8"/>
  <c r="O250" i="8"/>
  <c r="O251" i="8"/>
  <c r="O252" i="8"/>
  <c r="O253" i="8"/>
  <c r="O254" i="8"/>
  <c r="O255" i="8"/>
  <c r="O256" i="8"/>
  <c r="O257" i="8"/>
  <c r="O258" i="8"/>
  <c r="O259" i="8"/>
  <c r="O260" i="8"/>
  <c r="O261" i="8"/>
  <c r="O262" i="8"/>
  <c r="O263" i="8"/>
  <c r="O264" i="8"/>
  <c r="O265" i="8"/>
  <c r="O266" i="8"/>
  <c r="O267" i="8"/>
  <c r="O268" i="8"/>
  <c r="O269" i="8"/>
  <c r="O270" i="8"/>
  <c r="O271" i="8"/>
  <c r="O272" i="8"/>
  <c r="O273" i="8"/>
  <c r="O274" i="8"/>
  <c r="O275" i="8"/>
  <c r="O276" i="8"/>
  <c r="O277" i="8"/>
  <c r="O278" i="8"/>
  <c r="O279" i="8"/>
  <c r="O280" i="8"/>
  <c r="O281" i="8"/>
  <c r="O282" i="8"/>
  <c r="O283" i="8"/>
  <c r="O284" i="8"/>
  <c r="O285" i="8"/>
  <c r="O286" i="8"/>
  <c r="O287" i="8"/>
  <c r="O288" i="8"/>
  <c r="O289" i="8"/>
  <c r="O290" i="8"/>
  <c r="O291" i="8"/>
  <c r="O292" i="8"/>
  <c r="O293" i="8"/>
  <c r="O294" i="8"/>
  <c r="O295" i="8"/>
  <c r="O296" i="8"/>
  <c r="O297" i="8"/>
  <c r="O298" i="8"/>
  <c r="O299" i="8"/>
  <c r="O300" i="8"/>
  <c r="O301" i="8"/>
  <c r="O302" i="8"/>
  <c r="O303" i="8"/>
  <c r="O304" i="8"/>
  <c r="O305" i="8"/>
  <c r="O306" i="8"/>
  <c r="O307" i="8"/>
  <c r="O308" i="8"/>
  <c r="O309" i="8"/>
  <c r="O310" i="8"/>
  <c r="O311" i="8"/>
  <c r="O312" i="8"/>
  <c r="O313" i="8"/>
  <c r="O314" i="8"/>
  <c r="O315" i="8"/>
  <c r="O316" i="8"/>
  <c r="O317" i="8"/>
  <c r="O318" i="8"/>
  <c r="O319" i="8"/>
  <c r="O320" i="8"/>
  <c r="O321" i="8"/>
  <c r="O322" i="8"/>
  <c r="O323" i="8"/>
  <c r="O324" i="8"/>
  <c r="O325" i="8"/>
  <c r="O326" i="8"/>
  <c r="O327" i="8"/>
  <c r="O328" i="8"/>
  <c r="O329" i="8"/>
  <c r="O330" i="8"/>
  <c r="O331" i="8"/>
  <c r="O332" i="8"/>
  <c r="O333" i="8"/>
  <c r="O334" i="8"/>
  <c r="O335" i="8"/>
  <c r="O336" i="8"/>
  <c r="O337" i="8"/>
  <c r="O338" i="8"/>
  <c r="O339" i="8"/>
  <c r="O340" i="8"/>
  <c r="O341" i="8"/>
  <c r="O342" i="8"/>
  <c r="O343" i="8"/>
  <c r="O344" i="8"/>
  <c r="O345" i="8"/>
  <c r="O346" i="8"/>
  <c r="O347" i="8"/>
  <c r="O348" i="8"/>
  <c r="O349" i="8"/>
  <c r="O350" i="8"/>
  <c r="O351" i="8"/>
  <c r="O352" i="8"/>
  <c r="O353" i="8"/>
  <c r="O354" i="8"/>
  <c r="O355" i="8"/>
  <c r="O356" i="8"/>
  <c r="O357" i="8"/>
  <c r="O358" i="8"/>
  <c r="O359" i="8"/>
  <c r="O360" i="8"/>
  <c r="O361" i="8"/>
  <c r="O362" i="8"/>
  <c r="O363" i="8"/>
  <c r="O364" i="8"/>
  <c r="O365" i="8"/>
  <c r="O366" i="8"/>
  <c r="O367" i="8"/>
  <c r="O368" i="8"/>
  <c r="O369" i="8"/>
  <c r="O370" i="8"/>
  <c r="O371" i="8"/>
  <c r="O372" i="8"/>
  <c r="O373" i="8"/>
  <c r="O374" i="8"/>
  <c r="O375" i="8"/>
  <c r="O376" i="8"/>
  <c r="O377" i="8"/>
  <c r="O378" i="8"/>
  <c r="O379" i="8"/>
  <c r="O380" i="8"/>
  <c r="O381" i="8"/>
  <c r="AI383" i="8" l="1"/>
  <c r="AJ386" i="8"/>
  <c r="AI387" i="8"/>
  <c r="AJ387" i="8"/>
  <c r="AI390" i="8"/>
  <c r="AI391" i="8"/>
  <c r="AI394" i="8"/>
  <c r="AJ394" i="8"/>
  <c r="AI395" i="8"/>
  <c r="AJ395" i="8"/>
  <c r="AI398" i="8"/>
  <c r="AI399" i="8"/>
  <c r="AI402" i="8"/>
  <c r="AJ402" i="8"/>
  <c r="AI403" i="8"/>
  <c r="AJ403" i="8"/>
  <c r="AI406" i="8"/>
  <c r="AI410" i="8"/>
  <c r="AJ410" i="8"/>
  <c r="AI411" i="8"/>
  <c r="AJ411" i="8"/>
  <c r="AI414" i="8"/>
  <c r="AJ418" i="8"/>
  <c r="AI419" i="8"/>
  <c r="AJ419" i="8"/>
  <c r="AI422" i="8"/>
  <c r="AJ426" i="8"/>
  <c r="AI427" i="8"/>
  <c r="AJ427" i="8"/>
  <c r="AI430" i="8"/>
  <c r="AJ434" i="8"/>
  <c r="AI435" i="8"/>
  <c r="AJ435" i="8"/>
  <c r="AI438" i="8"/>
  <c r="AJ438" i="8"/>
  <c r="AJ442" i="8"/>
  <c r="AI443" i="8"/>
  <c r="AJ443" i="8"/>
  <c r="AI446" i="8"/>
  <c r="AI447" i="8"/>
  <c r="AJ450" i="8"/>
  <c r="AI451" i="8"/>
  <c r="AJ451" i="8"/>
  <c r="AI454" i="8"/>
  <c r="AI455" i="8"/>
  <c r="AI458" i="8"/>
  <c r="AJ458" i="8"/>
  <c r="AI459" i="8"/>
  <c r="AJ459" i="8"/>
  <c r="AI462" i="8"/>
  <c r="AI463" i="8"/>
  <c r="AI466" i="8"/>
  <c r="AJ466" i="8"/>
  <c r="AJ467" i="8"/>
  <c r="AI470" i="8"/>
  <c r="AI474" i="8"/>
  <c r="AJ474" i="8"/>
  <c r="AI475" i="8"/>
  <c r="AJ475" i="8"/>
  <c r="AI478" i="8"/>
  <c r="AJ482" i="8"/>
  <c r="AI483" i="8"/>
  <c r="AJ483" i="8"/>
  <c r="AI486" i="8"/>
  <c r="AI491" i="8"/>
  <c r="AJ491" i="8"/>
  <c r="AI494" i="8"/>
  <c r="AJ499" i="8"/>
  <c r="AI502" i="8"/>
  <c r="AJ502" i="8"/>
  <c r="AJ507" i="8"/>
  <c r="AI510" i="8"/>
  <c r="AI511" i="8"/>
  <c r="AJ515" i="8"/>
  <c r="AI518" i="8"/>
  <c r="AI519" i="8"/>
  <c r="AI522" i="8"/>
  <c r="AJ523" i="8"/>
  <c r="AI526" i="8"/>
  <c r="AI527" i="8"/>
  <c r="AI530" i="8"/>
  <c r="AJ530" i="8"/>
  <c r="AJ531" i="8"/>
  <c r="AI534" i="8"/>
  <c r="AI538" i="8"/>
  <c r="AJ538" i="8"/>
  <c r="AI539" i="8"/>
  <c r="AJ539" i="8"/>
  <c r="AI542" i="8"/>
  <c r="AI546" i="8"/>
  <c r="AJ546" i="8"/>
  <c r="AI547" i="8"/>
  <c r="AJ547" i="8"/>
  <c r="AJ549" i="8"/>
  <c r="AI550" i="8"/>
  <c r="AI554" i="8"/>
  <c r="AJ554" i="8"/>
  <c r="AJ555" i="8"/>
  <c r="AJ557" i="8"/>
  <c r="AI558" i="8"/>
  <c r="AI559" i="8"/>
  <c r="AI562" i="8"/>
  <c r="AB386" i="8"/>
  <c r="AB387" i="8"/>
  <c r="AB388" i="8"/>
  <c r="AB389" i="8"/>
  <c r="AB390" i="8"/>
  <c r="AB391" i="8"/>
  <c r="AB392" i="8"/>
  <c r="AB393" i="8"/>
  <c r="AB394" i="8"/>
  <c r="AB395" i="8"/>
  <c r="AB396" i="8"/>
  <c r="AB397" i="8"/>
  <c r="AB398" i="8"/>
  <c r="AB399" i="8"/>
  <c r="AB400" i="8"/>
  <c r="AB401" i="8"/>
  <c r="AB402" i="8"/>
  <c r="AB403" i="8"/>
  <c r="AB404" i="8"/>
  <c r="AB405" i="8"/>
  <c r="AB406" i="8"/>
  <c r="AB407" i="8"/>
  <c r="AB408" i="8"/>
  <c r="AB409" i="8"/>
  <c r="AB410" i="8"/>
  <c r="AB411" i="8"/>
  <c r="AB412" i="8"/>
  <c r="AB413" i="8"/>
  <c r="AB414" i="8"/>
  <c r="AB415" i="8"/>
  <c r="AB416" i="8"/>
  <c r="AB417" i="8"/>
  <c r="AB418" i="8"/>
  <c r="AB419" i="8"/>
  <c r="AB420" i="8"/>
  <c r="AB421" i="8"/>
  <c r="AB422" i="8"/>
  <c r="AB423" i="8"/>
  <c r="AB424" i="8"/>
  <c r="AB425" i="8"/>
  <c r="AB426" i="8"/>
  <c r="AB427" i="8"/>
  <c r="AB428" i="8"/>
  <c r="AB429" i="8"/>
  <c r="AB430" i="8"/>
  <c r="AB431" i="8"/>
  <c r="AB432" i="8"/>
  <c r="AB433" i="8"/>
  <c r="AB434" i="8"/>
  <c r="AB435" i="8"/>
  <c r="AB436" i="8"/>
  <c r="AB437" i="8"/>
  <c r="AB438" i="8"/>
  <c r="AB439" i="8"/>
  <c r="AB440" i="8"/>
  <c r="AB441" i="8"/>
  <c r="AB442" i="8"/>
  <c r="AB443" i="8"/>
  <c r="AB444" i="8"/>
  <c r="AB445" i="8"/>
  <c r="AB446" i="8"/>
  <c r="AB447" i="8"/>
  <c r="AB448" i="8"/>
  <c r="AB449" i="8"/>
  <c r="AB450" i="8"/>
  <c r="AB451" i="8"/>
  <c r="AB452" i="8"/>
  <c r="AB453" i="8"/>
  <c r="AB454" i="8"/>
  <c r="AB455" i="8"/>
  <c r="AB456" i="8"/>
  <c r="AB457" i="8"/>
  <c r="AB458" i="8"/>
  <c r="AB459" i="8"/>
  <c r="AB460" i="8"/>
  <c r="AB461" i="8"/>
  <c r="AB462" i="8"/>
  <c r="AB463" i="8"/>
  <c r="AB464" i="8"/>
  <c r="AB465" i="8"/>
  <c r="AB466" i="8"/>
  <c r="AB467" i="8"/>
  <c r="AB468" i="8"/>
  <c r="AB469" i="8"/>
  <c r="AB470" i="8"/>
  <c r="AB471" i="8"/>
  <c r="AB472" i="8"/>
  <c r="AB473" i="8"/>
  <c r="AB474" i="8"/>
  <c r="AB475" i="8"/>
  <c r="AB476" i="8"/>
  <c r="AB477" i="8"/>
  <c r="AB478" i="8"/>
  <c r="AB479" i="8"/>
  <c r="AB480" i="8"/>
  <c r="AB481" i="8"/>
  <c r="AB482" i="8"/>
  <c r="AB483" i="8"/>
  <c r="AB484" i="8"/>
  <c r="AB485" i="8"/>
  <c r="AB486" i="8"/>
  <c r="AB487" i="8"/>
  <c r="AB488" i="8"/>
  <c r="AB489" i="8"/>
  <c r="AB490" i="8"/>
  <c r="AB491" i="8"/>
  <c r="AB492" i="8"/>
  <c r="AB493" i="8"/>
  <c r="AB494" i="8"/>
  <c r="AB495" i="8"/>
  <c r="AB496" i="8"/>
  <c r="AB497" i="8"/>
  <c r="AB498" i="8"/>
  <c r="AB499" i="8"/>
  <c r="AB500" i="8"/>
  <c r="AB501" i="8"/>
  <c r="AB502" i="8"/>
  <c r="AB503" i="8"/>
  <c r="AB504" i="8"/>
  <c r="AB505" i="8"/>
  <c r="AB506" i="8"/>
  <c r="AB507" i="8"/>
  <c r="AB508" i="8"/>
  <c r="AB509" i="8"/>
  <c r="AB510" i="8"/>
  <c r="AB511" i="8"/>
  <c r="AB512" i="8"/>
  <c r="AB513" i="8"/>
  <c r="AB514" i="8"/>
  <c r="AB515" i="8"/>
  <c r="AB516" i="8"/>
  <c r="AB517" i="8"/>
  <c r="AB518" i="8"/>
  <c r="AB519" i="8"/>
  <c r="AB520" i="8"/>
  <c r="AB521" i="8"/>
  <c r="AB522" i="8"/>
  <c r="AB523" i="8"/>
  <c r="AB524" i="8"/>
  <c r="AB525" i="8"/>
  <c r="AB526" i="8"/>
  <c r="AB527" i="8"/>
  <c r="AB528" i="8"/>
  <c r="AB529" i="8"/>
  <c r="AB530" i="8"/>
  <c r="AB531" i="8"/>
  <c r="AB532" i="8"/>
  <c r="AB533" i="8"/>
  <c r="AB534" i="8"/>
  <c r="AB535" i="8"/>
  <c r="AB536" i="8"/>
  <c r="AB537" i="8"/>
  <c r="AB538" i="8"/>
  <c r="AB539" i="8"/>
  <c r="AB540" i="8"/>
  <c r="AB541" i="8"/>
  <c r="AB542" i="8"/>
  <c r="AB543" i="8"/>
  <c r="AB544" i="8"/>
  <c r="AB545" i="8"/>
  <c r="AB546" i="8"/>
  <c r="AB547" i="8"/>
  <c r="AB548" i="8"/>
  <c r="AB549" i="8"/>
  <c r="AB550" i="8"/>
  <c r="AB551" i="8"/>
  <c r="AB552" i="8"/>
  <c r="AB553" i="8"/>
  <c r="AB554" i="8"/>
  <c r="AB555" i="8"/>
  <c r="AB556" i="8"/>
  <c r="AB557" i="8"/>
  <c r="AB558" i="8"/>
  <c r="AB559" i="8"/>
  <c r="AB560" i="8"/>
  <c r="AB561" i="8"/>
  <c r="AB562" i="8"/>
  <c r="Y382" i="8"/>
  <c r="Y383" i="8"/>
  <c r="Y384" i="8"/>
  <c r="Y385" i="8"/>
  <c r="Y386" i="8"/>
  <c r="Y387" i="8"/>
  <c r="Y388" i="8"/>
  <c r="Y389" i="8"/>
  <c r="Y390" i="8"/>
  <c r="Y391" i="8"/>
  <c r="Y392" i="8"/>
  <c r="Y393" i="8"/>
  <c r="Y394" i="8"/>
  <c r="Y395" i="8"/>
  <c r="Y396" i="8"/>
  <c r="Y397" i="8"/>
  <c r="Y398" i="8"/>
  <c r="Y399" i="8"/>
  <c r="Y400" i="8"/>
  <c r="Y401" i="8"/>
  <c r="Y402" i="8"/>
  <c r="Y403" i="8"/>
  <c r="Y404" i="8"/>
  <c r="Y405" i="8"/>
  <c r="Y406" i="8"/>
  <c r="Y407" i="8"/>
  <c r="Y408" i="8"/>
  <c r="Y409" i="8"/>
  <c r="Y410" i="8"/>
  <c r="Y411" i="8"/>
  <c r="Y412" i="8"/>
  <c r="Y413" i="8"/>
  <c r="Y414" i="8"/>
  <c r="Y415" i="8"/>
  <c r="Y416" i="8"/>
  <c r="Y417" i="8"/>
  <c r="Y418" i="8"/>
  <c r="Y419" i="8"/>
  <c r="Y420" i="8"/>
  <c r="Y421" i="8"/>
  <c r="Y422" i="8"/>
  <c r="Y423" i="8"/>
  <c r="Y424" i="8"/>
  <c r="Y425" i="8"/>
  <c r="Y426" i="8"/>
  <c r="Y427" i="8"/>
  <c r="Y428" i="8"/>
  <c r="Y429" i="8"/>
  <c r="Y430" i="8"/>
  <c r="Y431" i="8"/>
  <c r="Y432" i="8"/>
  <c r="Y433" i="8"/>
  <c r="Y434" i="8"/>
  <c r="Y435" i="8"/>
  <c r="Y436" i="8"/>
  <c r="Y437" i="8"/>
  <c r="Y438" i="8"/>
  <c r="Y439" i="8"/>
  <c r="Y440" i="8"/>
  <c r="Y441" i="8"/>
  <c r="Y442" i="8"/>
  <c r="Y443" i="8"/>
  <c r="Y444" i="8"/>
  <c r="Y445" i="8"/>
  <c r="Y446" i="8"/>
  <c r="Y447" i="8"/>
  <c r="Y448" i="8"/>
  <c r="Y449" i="8"/>
  <c r="Y450" i="8"/>
  <c r="Y451" i="8"/>
  <c r="Y452" i="8"/>
  <c r="Y453" i="8"/>
  <c r="Y454" i="8"/>
  <c r="Y455" i="8"/>
  <c r="Y456" i="8"/>
  <c r="Y457" i="8"/>
  <c r="Y458" i="8"/>
  <c r="Y459" i="8"/>
  <c r="Y460" i="8"/>
  <c r="Y461" i="8"/>
  <c r="Y462" i="8"/>
  <c r="Y463" i="8"/>
  <c r="Y464" i="8"/>
  <c r="Y465" i="8"/>
  <c r="Y466" i="8"/>
  <c r="Y467" i="8"/>
  <c r="Y468" i="8"/>
  <c r="Y469" i="8"/>
  <c r="Y470" i="8"/>
  <c r="Y471" i="8"/>
  <c r="Y472" i="8"/>
  <c r="Y473" i="8"/>
  <c r="Y474" i="8"/>
  <c r="Y475" i="8"/>
  <c r="Y476" i="8"/>
  <c r="Y477" i="8"/>
  <c r="Y478" i="8"/>
  <c r="Y479" i="8"/>
  <c r="Y480" i="8"/>
  <c r="Y481" i="8"/>
  <c r="Y482" i="8"/>
  <c r="Y483" i="8"/>
  <c r="Y484" i="8"/>
  <c r="Y485" i="8"/>
  <c r="Y486" i="8"/>
  <c r="Y487" i="8"/>
  <c r="Y488" i="8"/>
  <c r="Y489" i="8"/>
  <c r="Y490" i="8"/>
  <c r="Y491" i="8"/>
  <c r="Y492" i="8"/>
  <c r="Y493" i="8"/>
  <c r="Y494" i="8"/>
  <c r="Y495" i="8"/>
  <c r="Y496" i="8"/>
  <c r="Y497" i="8"/>
  <c r="Y498" i="8"/>
  <c r="Y499" i="8"/>
  <c r="Y500" i="8"/>
  <c r="Y501" i="8"/>
  <c r="Y502" i="8"/>
  <c r="Y503" i="8"/>
  <c r="Y504" i="8"/>
  <c r="Y505" i="8"/>
  <c r="Y506" i="8"/>
  <c r="Y507" i="8"/>
  <c r="Y508" i="8"/>
  <c r="Y509" i="8"/>
  <c r="Y510" i="8"/>
  <c r="Y511" i="8"/>
  <c r="Y512" i="8"/>
  <c r="Y513" i="8"/>
  <c r="Y514" i="8"/>
  <c r="Y515" i="8"/>
  <c r="Y516" i="8"/>
  <c r="Y517" i="8"/>
  <c r="Y518" i="8"/>
  <c r="Y519" i="8"/>
  <c r="Y520" i="8"/>
  <c r="Y521" i="8"/>
  <c r="Y522" i="8"/>
  <c r="Y523" i="8"/>
  <c r="Y524" i="8"/>
  <c r="Y525" i="8"/>
  <c r="Y526" i="8"/>
  <c r="Y527" i="8"/>
  <c r="Y528" i="8"/>
  <c r="Y529" i="8"/>
  <c r="Y530" i="8"/>
  <c r="Y531" i="8"/>
  <c r="Y532" i="8"/>
  <c r="Y533" i="8"/>
  <c r="Y534" i="8"/>
  <c r="Y535" i="8"/>
  <c r="Y536" i="8"/>
  <c r="Y537" i="8"/>
  <c r="Y538" i="8"/>
  <c r="Y539" i="8"/>
  <c r="Y540" i="8"/>
  <c r="Y541" i="8"/>
  <c r="Y542" i="8"/>
  <c r="Y543" i="8"/>
  <c r="Y544" i="8"/>
  <c r="Y545" i="8"/>
  <c r="Y546" i="8"/>
  <c r="Y547" i="8"/>
  <c r="Y548" i="8"/>
  <c r="Y549" i="8"/>
  <c r="Y550" i="8"/>
  <c r="Y551" i="8"/>
  <c r="Y552" i="8"/>
  <c r="Y553" i="8"/>
  <c r="Y554" i="8"/>
  <c r="Y555" i="8"/>
  <c r="Y556" i="8"/>
  <c r="Y557" i="8"/>
  <c r="Y558" i="8"/>
  <c r="Y559" i="8"/>
  <c r="Y560" i="8"/>
  <c r="Y561" i="8"/>
  <c r="Y562" i="8"/>
  <c r="R383" i="8"/>
  <c r="S383" i="8"/>
  <c r="T383" i="8"/>
  <c r="AJ383" i="8" s="1"/>
  <c r="R384" i="8"/>
  <c r="S384" i="8"/>
  <c r="AI384" i="8" s="1"/>
  <c r="T384" i="8"/>
  <c r="AJ384" i="8" s="1"/>
  <c r="R385" i="8"/>
  <c r="S385" i="8"/>
  <c r="AI385" i="8" s="1"/>
  <c r="T385" i="8"/>
  <c r="AJ385" i="8" s="1"/>
  <c r="R386" i="8"/>
  <c r="S386" i="8"/>
  <c r="AI386" i="8" s="1"/>
  <c r="T386" i="8"/>
  <c r="R387" i="8"/>
  <c r="S387" i="8"/>
  <c r="T387" i="8"/>
  <c r="R388" i="8"/>
  <c r="S388" i="8"/>
  <c r="AI388" i="8" s="1"/>
  <c r="T388" i="8"/>
  <c r="AJ388" i="8" s="1"/>
  <c r="R389" i="8"/>
  <c r="S389" i="8"/>
  <c r="AI389" i="8" s="1"/>
  <c r="T389" i="8"/>
  <c r="AJ389" i="8" s="1"/>
  <c r="R390" i="8"/>
  <c r="S390" i="8"/>
  <c r="T390" i="8"/>
  <c r="AJ390" i="8" s="1"/>
  <c r="R391" i="8"/>
  <c r="S391" i="8"/>
  <c r="T391" i="8"/>
  <c r="AJ391" i="8" s="1"/>
  <c r="R392" i="8"/>
  <c r="S392" i="8"/>
  <c r="AI392" i="8" s="1"/>
  <c r="T392" i="8"/>
  <c r="AJ392" i="8" s="1"/>
  <c r="R393" i="8"/>
  <c r="S393" i="8"/>
  <c r="AI393" i="8" s="1"/>
  <c r="T393" i="8"/>
  <c r="AJ393" i="8" s="1"/>
  <c r="R394" i="8"/>
  <c r="S394" i="8"/>
  <c r="T394" i="8"/>
  <c r="R395" i="8"/>
  <c r="S395" i="8"/>
  <c r="T395" i="8"/>
  <c r="R396" i="8"/>
  <c r="S396" i="8"/>
  <c r="AI396" i="8" s="1"/>
  <c r="T396" i="8"/>
  <c r="AJ396" i="8" s="1"/>
  <c r="R397" i="8"/>
  <c r="S397" i="8"/>
  <c r="AI397" i="8" s="1"/>
  <c r="T397" i="8"/>
  <c r="AJ397" i="8" s="1"/>
  <c r="R398" i="8"/>
  <c r="S398" i="8"/>
  <c r="T398" i="8"/>
  <c r="AJ398" i="8" s="1"/>
  <c r="R399" i="8"/>
  <c r="S399" i="8"/>
  <c r="T399" i="8"/>
  <c r="AJ399" i="8" s="1"/>
  <c r="R400" i="8"/>
  <c r="S400" i="8"/>
  <c r="AI400" i="8" s="1"/>
  <c r="T400" i="8"/>
  <c r="AJ400" i="8" s="1"/>
  <c r="R401" i="8"/>
  <c r="S401" i="8"/>
  <c r="AI401" i="8" s="1"/>
  <c r="T401" i="8"/>
  <c r="AJ401" i="8" s="1"/>
  <c r="R402" i="8"/>
  <c r="S402" i="8"/>
  <c r="T402" i="8"/>
  <c r="R403" i="8"/>
  <c r="S403" i="8"/>
  <c r="T403" i="8"/>
  <c r="R404" i="8"/>
  <c r="S404" i="8"/>
  <c r="AI404" i="8" s="1"/>
  <c r="T404" i="8"/>
  <c r="AJ404" i="8" s="1"/>
  <c r="R405" i="8"/>
  <c r="S405" i="8"/>
  <c r="AI405" i="8" s="1"/>
  <c r="T405" i="8"/>
  <c r="AJ405" i="8" s="1"/>
  <c r="R406" i="8"/>
  <c r="S406" i="8"/>
  <c r="T406" i="8"/>
  <c r="AJ406" i="8" s="1"/>
  <c r="R407" i="8"/>
  <c r="S407" i="8"/>
  <c r="AI407" i="8" s="1"/>
  <c r="T407" i="8"/>
  <c r="AJ407" i="8" s="1"/>
  <c r="R408" i="8"/>
  <c r="S408" i="8"/>
  <c r="AI408" i="8" s="1"/>
  <c r="T408" i="8"/>
  <c r="AJ408" i="8" s="1"/>
  <c r="R409" i="8"/>
  <c r="S409" i="8"/>
  <c r="AI409" i="8" s="1"/>
  <c r="T409" i="8"/>
  <c r="AJ409" i="8" s="1"/>
  <c r="R410" i="8"/>
  <c r="S410" i="8"/>
  <c r="T410" i="8"/>
  <c r="R411" i="8"/>
  <c r="S411" i="8"/>
  <c r="T411" i="8"/>
  <c r="R412" i="8"/>
  <c r="S412" i="8"/>
  <c r="AI412" i="8" s="1"/>
  <c r="T412" i="8"/>
  <c r="AJ412" i="8" s="1"/>
  <c r="R413" i="8"/>
  <c r="S413" i="8"/>
  <c r="AI413" i="8" s="1"/>
  <c r="T413" i="8"/>
  <c r="AJ413" i="8" s="1"/>
  <c r="R414" i="8"/>
  <c r="S414" i="8"/>
  <c r="T414" i="8"/>
  <c r="AJ414" i="8" s="1"/>
  <c r="R415" i="8"/>
  <c r="S415" i="8"/>
  <c r="AI415" i="8" s="1"/>
  <c r="T415" i="8"/>
  <c r="AJ415" i="8" s="1"/>
  <c r="R416" i="8"/>
  <c r="S416" i="8"/>
  <c r="AI416" i="8" s="1"/>
  <c r="T416" i="8"/>
  <c r="AJ416" i="8" s="1"/>
  <c r="R417" i="8"/>
  <c r="S417" i="8"/>
  <c r="AI417" i="8" s="1"/>
  <c r="T417" i="8"/>
  <c r="AJ417" i="8" s="1"/>
  <c r="R418" i="8"/>
  <c r="S418" i="8"/>
  <c r="AI418" i="8" s="1"/>
  <c r="T418" i="8"/>
  <c r="R419" i="8"/>
  <c r="S419" i="8"/>
  <c r="T419" i="8"/>
  <c r="R420" i="8"/>
  <c r="S420" i="8"/>
  <c r="AI420" i="8" s="1"/>
  <c r="T420" i="8"/>
  <c r="AJ420" i="8" s="1"/>
  <c r="R421" i="8"/>
  <c r="S421" i="8"/>
  <c r="AI421" i="8" s="1"/>
  <c r="T421" i="8"/>
  <c r="AJ421" i="8" s="1"/>
  <c r="R422" i="8"/>
  <c r="S422" i="8"/>
  <c r="T422" i="8"/>
  <c r="AJ422" i="8" s="1"/>
  <c r="R423" i="8"/>
  <c r="S423" i="8"/>
  <c r="AI423" i="8" s="1"/>
  <c r="T423" i="8"/>
  <c r="AJ423" i="8" s="1"/>
  <c r="R424" i="8"/>
  <c r="S424" i="8"/>
  <c r="AI424" i="8" s="1"/>
  <c r="T424" i="8"/>
  <c r="AJ424" i="8" s="1"/>
  <c r="R425" i="8"/>
  <c r="S425" i="8"/>
  <c r="AI425" i="8" s="1"/>
  <c r="T425" i="8"/>
  <c r="AJ425" i="8" s="1"/>
  <c r="R426" i="8"/>
  <c r="S426" i="8"/>
  <c r="AI426" i="8" s="1"/>
  <c r="T426" i="8"/>
  <c r="R427" i="8"/>
  <c r="S427" i="8"/>
  <c r="T427" i="8"/>
  <c r="R428" i="8"/>
  <c r="S428" i="8"/>
  <c r="AI428" i="8" s="1"/>
  <c r="T428" i="8"/>
  <c r="AJ428" i="8" s="1"/>
  <c r="R429" i="8"/>
  <c r="S429" i="8"/>
  <c r="AI429" i="8" s="1"/>
  <c r="T429" i="8"/>
  <c r="AJ429" i="8" s="1"/>
  <c r="R430" i="8"/>
  <c r="S430" i="8"/>
  <c r="T430" i="8"/>
  <c r="AJ430" i="8" s="1"/>
  <c r="R431" i="8"/>
  <c r="S431" i="8"/>
  <c r="AI431" i="8" s="1"/>
  <c r="T431" i="8"/>
  <c r="AJ431" i="8" s="1"/>
  <c r="R432" i="8"/>
  <c r="S432" i="8"/>
  <c r="AI432" i="8" s="1"/>
  <c r="T432" i="8"/>
  <c r="AJ432" i="8" s="1"/>
  <c r="R433" i="8"/>
  <c r="S433" i="8"/>
  <c r="AI433" i="8" s="1"/>
  <c r="T433" i="8"/>
  <c r="AJ433" i="8" s="1"/>
  <c r="R434" i="8"/>
  <c r="S434" i="8"/>
  <c r="AI434" i="8" s="1"/>
  <c r="T434" i="8"/>
  <c r="R435" i="8"/>
  <c r="S435" i="8"/>
  <c r="T435" i="8"/>
  <c r="R436" i="8"/>
  <c r="S436" i="8"/>
  <c r="AI436" i="8" s="1"/>
  <c r="T436" i="8"/>
  <c r="AJ436" i="8" s="1"/>
  <c r="R437" i="8"/>
  <c r="S437" i="8"/>
  <c r="AI437" i="8" s="1"/>
  <c r="T437" i="8"/>
  <c r="AJ437" i="8" s="1"/>
  <c r="R438" i="8"/>
  <c r="S438" i="8"/>
  <c r="T438" i="8"/>
  <c r="R439" i="8"/>
  <c r="S439" i="8"/>
  <c r="AI439" i="8" s="1"/>
  <c r="T439" i="8"/>
  <c r="AJ439" i="8" s="1"/>
  <c r="R440" i="8"/>
  <c r="S440" i="8"/>
  <c r="AI440" i="8" s="1"/>
  <c r="T440" i="8"/>
  <c r="AJ440" i="8" s="1"/>
  <c r="R441" i="8"/>
  <c r="S441" i="8"/>
  <c r="AI441" i="8" s="1"/>
  <c r="T441" i="8"/>
  <c r="AJ441" i="8" s="1"/>
  <c r="R442" i="8"/>
  <c r="S442" i="8"/>
  <c r="AI442" i="8" s="1"/>
  <c r="T442" i="8"/>
  <c r="R443" i="8"/>
  <c r="S443" i="8"/>
  <c r="T443" i="8"/>
  <c r="R444" i="8"/>
  <c r="S444" i="8"/>
  <c r="AI444" i="8" s="1"/>
  <c r="T444" i="8"/>
  <c r="AJ444" i="8" s="1"/>
  <c r="R445" i="8"/>
  <c r="S445" i="8"/>
  <c r="AI445" i="8" s="1"/>
  <c r="T445" i="8"/>
  <c r="AJ445" i="8" s="1"/>
  <c r="R446" i="8"/>
  <c r="S446" i="8"/>
  <c r="T446" i="8"/>
  <c r="AJ446" i="8" s="1"/>
  <c r="R447" i="8"/>
  <c r="S447" i="8"/>
  <c r="T447" i="8"/>
  <c r="AJ447" i="8" s="1"/>
  <c r="R448" i="8"/>
  <c r="S448" i="8"/>
  <c r="AI448" i="8" s="1"/>
  <c r="T448" i="8"/>
  <c r="AJ448" i="8" s="1"/>
  <c r="R449" i="8"/>
  <c r="S449" i="8"/>
  <c r="AI449" i="8" s="1"/>
  <c r="T449" i="8"/>
  <c r="AJ449" i="8" s="1"/>
  <c r="R450" i="8"/>
  <c r="S450" i="8"/>
  <c r="AI450" i="8" s="1"/>
  <c r="T450" i="8"/>
  <c r="R451" i="8"/>
  <c r="S451" i="8"/>
  <c r="T451" i="8"/>
  <c r="R452" i="8"/>
  <c r="S452" i="8"/>
  <c r="AI452" i="8" s="1"/>
  <c r="T452" i="8"/>
  <c r="AJ452" i="8" s="1"/>
  <c r="R453" i="8"/>
  <c r="S453" i="8"/>
  <c r="AI453" i="8" s="1"/>
  <c r="T453" i="8"/>
  <c r="AJ453" i="8" s="1"/>
  <c r="R454" i="8"/>
  <c r="S454" i="8"/>
  <c r="T454" i="8"/>
  <c r="AJ454" i="8" s="1"/>
  <c r="R455" i="8"/>
  <c r="S455" i="8"/>
  <c r="T455" i="8"/>
  <c r="AJ455" i="8" s="1"/>
  <c r="R456" i="8"/>
  <c r="S456" i="8"/>
  <c r="AI456" i="8" s="1"/>
  <c r="T456" i="8"/>
  <c r="AJ456" i="8" s="1"/>
  <c r="R457" i="8"/>
  <c r="S457" i="8"/>
  <c r="AI457" i="8" s="1"/>
  <c r="T457" i="8"/>
  <c r="AJ457" i="8" s="1"/>
  <c r="R458" i="8"/>
  <c r="S458" i="8"/>
  <c r="T458" i="8"/>
  <c r="R459" i="8"/>
  <c r="S459" i="8"/>
  <c r="T459" i="8"/>
  <c r="R460" i="8"/>
  <c r="S460" i="8"/>
  <c r="AI460" i="8" s="1"/>
  <c r="T460" i="8"/>
  <c r="AJ460" i="8" s="1"/>
  <c r="R461" i="8"/>
  <c r="S461" i="8"/>
  <c r="AI461" i="8" s="1"/>
  <c r="T461" i="8"/>
  <c r="AJ461" i="8" s="1"/>
  <c r="R462" i="8"/>
  <c r="S462" i="8"/>
  <c r="T462" i="8"/>
  <c r="AJ462" i="8" s="1"/>
  <c r="R463" i="8"/>
  <c r="S463" i="8"/>
  <c r="T463" i="8"/>
  <c r="AJ463" i="8" s="1"/>
  <c r="R464" i="8"/>
  <c r="S464" i="8"/>
  <c r="AI464" i="8" s="1"/>
  <c r="T464" i="8"/>
  <c r="AJ464" i="8" s="1"/>
  <c r="R465" i="8"/>
  <c r="S465" i="8"/>
  <c r="AI465" i="8" s="1"/>
  <c r="T465" i="8"/>
  <c r="AJ465" i="8" s="1"/>
  <c r="R466" i="8"/>
  <c r="S466" i="8"/>
  <c r="T466" i="8"/>
  <c r="R467" i="8"/>
  <c r="S467" i="8"/>
  <c r="AI467" i="8" s="1"/>
  <c r="T467" i="8"/>
  <c r="R468" i="8"/>
  <c r="S468" i="8"/>
  <c r="AI468" i="8" s="1"/>
  <c r="T468" i="8"/>
  <c r="AJ468" i="8" s="1"/>
  <c r="R469" i="8"/>
  <c r="S469" i="8"/>
  <c r="AI469" i="8" s="1"/>
  <c r="T469" i="8"/>
  <c r="AJ469" i="8" s="1"/>
  <c r="R470" i="8"/>
  <c r="S470" i="8"/>
  <c r="T470" i="8"/>
  <c r="AJ470" i="8" s="1"/>
  <c r="R471" i="8"/>
  <c r="S471" i="8"/>
  <c r="AI471" i="8" s="1"/>
  <c r="T471" i="8"/>
  <c r="AJ471" i="8" s="1"/>
  <c r="R472" i="8"/>
  <c r="S472" i="8"/>
  <c r="AI472" i="8" s="1"/>
  <c r="T472" i="8"/>
  <c r="AJ472" i="8" s="1"/>
  <c r="R473" i="8"/>
  <c r="S473" i="8"/>
  <c r="AI473" i="8" s="1"/>
  <c r="T473" i="8"/>
  <c r="AJ473" i="8" s="1"/>
  <c r="R474" i="8"/>
  <c r="S474" i="8"/>
  <c r="T474" i="8"/>
  <c r="R475" i="8"/>
  <c r="S475" i="8"/>
  <c r="T475" i="8"/>
  <c r="R476" i="8"/>
  <c r="S476" i="8"/>
  <c r="AI476" i="8" s="1"/>
  <c r="T476" i="8"/>
  <c r="AJ476" i="8" s="1"/>
  <c r="R477" i="8"/>
  <c r="S477" i="8"/>
  <c r="AI477" i="8" s="1"/>
  <c r="T477" i="8"/>
  <c r="AJ477" i="8" s="1"/>
  <c r="R478" i="8"/>
  <c r="S478" i="8"/>
  <c r="T478" i="8"/>
  <c r="AJ478" i="8" s="1"/>
  <c r="R479" i="8"/>
  <c r="S479" i="8"/>
  <c r="AI479" i="8" s="1"/>
  <c r="T479" i="8"/>
  <c r="AJ479" i="8" s="1"/>
  <c r="R480" i="8"/>
  <c r="S480" i="8"/>
  <c r="AI480" i="8" s="1"/>
  <c r="T480" i="8"/>
  <c r="AJ480" i="8" s="1"/>
  <c r="R481" i="8"/>
  <c r="S481" i="8"/>
  <c r="AI481" i="8" s="1"/>
  <c r="T481" i="8"/>
  <c r="AJ481" i="8" s="1"/>
  <c r="R482" i="8"/>
  <c r="S482" i="8"/>
  <c r="AI482" i="8" s="1"/>
  <c r="T482" i="8"/>
  <c r="R483" i="8"/>
  <c r="S483" i="8"/>
  <c r="T483" i="8"/>
  <c r="R484" i="8"/>
  <c r="S484" i="8"/>
  <c r="AI484" i="8" s="1"/>
  <c r="T484" i="8"/>
  <c r="AJ484" i="8" s="1"/>
  <c r="R485" i="8"/>
  <c r="S485" i="8"/>
  <c r="AI485" i="8" s="1"/>
  <c r="T485" i="8"/>
  <c r="AJ485" i="8" s="1"/>
  <c r="R486" i="8"/>
  <c r="S486" i="8"/>
  <c r="T486" i="8"/>
  <c r="AJ486" i="8" s="1"/>
  <c r="R487" i="8"/>
  <c r="S487" i="8"/>
  <c r="AI487" i="8" s="1"/>
  <c r="T487" i="8"/>
  <c r="AJ487" i="8" s="1"/>
  <c r="R488" i="8"/>
  <c r="S488" i="8"/>
  <c r="AI488" i="8" s="1"/>
  <c r="T488" i="8"/>
  <c r="AJ488" i="8" s="1"/>
  <c r="R489" i="8"/>
  <c r="S489" i="8"/>
  <c r="AI489" i="8" s="1"/>
  <c r="T489" i="8"/>
  <c r="AJ489" i="8" s="1"/>
  <c r="R490" i="8"/>
  <c r="S490" i="8"/>
  <c r="AI490" i="8" s="1"/>
  <c r="T490" i="8"/>
  <c r="AJ490" i="8" s="1"/>
  <c r="R491" i="8"/>
  <c r="S491" i="8"/>
  <c r="T491" i="8"/>
  <c r="R492" i="8"/>
  <c r="S492" i="8"/>
  <c r="AI492" i="8" s="1"/>
  <c r="T492" i="8"/>
  <c r="AJ492" i="8" s="1"/>
  <c r="R493" i="8"/>
  <c r="S493" i="8"/>
  <c r="AI493" i="8" s="1"/>
  <c r="T493" i="8"/>
  <c r="AJ493" i="8" s="1"/>
  <c r="R494" i="8"/>
  <c r="S494" i="8"/>
  <c r="T494" i="8"/>
  <c r="AJ494" i="8" s="1"/>
  <c r="R495" i="8"/>
  <c r="S495" i="8"/>
  <c r="AI495" i="8" s="1"/>
  <c r="T495" i="8"/>
  <c r="AJ495" i="8" s="1"/>
  <c r="R496" i="8"/>
  <c r="S496" i="8"/>
  <c r="AI496" i="8" s="1"/>
  <c r="T496" i="8"/>
  <c r="AJ496" i="8" s="1"/>
  <c r="R497" i="8"/>
  <c r="S497" i="8"/>
  <c r="AI497" i="8" s="1"/>
  <c r="T497" i="8"/>
  <c r="AJ497" i="8" s="1"/>
  <c r="R498" i="8"/>
  <c r="S498" i="8"/>
  <c r="AI498" i="8" s="1"/>
  <c r="T498" i="8"/>
  <c r="AJ498" i="8" s="1"/>
  <c r="R499" i="8"/>
  <c r="S499" i="8"/>
  <c r="AI499" i="8" s="1"/>
  <c r="T499" i="8"/>
  <c r="R500" i="8"/>
  <c r="S500" i="8"/>
  <c r="AI500" i="8" s="1"/>
  <c r="T500" i="8"/>
  <c r="AJ500" i="8" s="1"/>
  <c r="R501" i="8"/>
  <c r="S501" i="8"/>
  <c r="AI501" i="8" s="1"/>
  <c r="T501" i="8"/>
  <c r="AJ501" i="8" s="1"/>
  <c r="R502" i="8"/>
  <c r="S502" i="8"/>
  <c r="T502" i="8"/>
  <c r="R503" i="8"/>
  <c r="S503" i="8"/>
  <c r="AI503" i="8" s="1"/>
  <c r="T503" i="8"/>
  <c r="AJ503" i="8" s="1"/>
  <c r="R504" i="8"/>
  <c r="S504" i="8"/>
  <c r="AI504" i="8" s="1"/>
  <c r="T504" i="8"/>
  <c r="AJ504" i="8" s="1"/>
  <c r="R505" i="8"/>
  <c r="S505" i="8"/>
  <c r="AI505" i="8" s="1"/>
  <c r="T505" i="8"/>
  <c r="AJ505" i="8" s="1"/>
  <c r="R506" i="8"/>
  <c r="S506" i="8"/>
  <c r="AI506" i="8" s="1"/>
  <c r="T506" i="8"/>
  <c r="AJ506" i="8" s="1"/>
  <c r="R507" i="8"/>
  <c r="S507" i="8"/>
  <c r="AI507" i="8" s="1"/>
  <c r="T507" i="8"/>
  <c r="R508" i="8"/>
  <c r="S508" i="8"/>
  <c r="AI508" i="8" s="1"/>
  <c r="T508" i="8"/>
  <c r="AJ508" i="8" s="1"/>
  <c r="R509" i="8"/>
  <c r="S509" i="8"/>
  <c r="AI509" i="8" s="1"/>
  <c r="T509" i="8"/>
  <c r="AJ509" i="8" s="1"/>
  <c r="R510" i="8"/>
  <c r="S510" i="8"/>
  <c r="T510" i="8"/>
  <c r="AJ510" i="8" s="1"/>
  <c r="R511" i="8"/>
  <c r="S511" i="8"/>
  <c r="T511" i="8"/>
  <c r="AJ511" i="8" s="1"/>
  <c r="R512" i="8"/>
  <c r="S512" i="8"/>
  <c r="AI512" i="8" s="1"/>
  <c r="T512" i="8"/>
  <c r="AJ512" i="8" s="1"/>
  <c r="R513" i="8"/>
  <c r="S513" i="8"/>
  <c r="AI513" i="8" s="1"/>
  <c r="T513" i="8"/>
  <c r="AJ513" i="8" s="1"/>
  <c r="R514" i="8"/>
  <c r="S514" i="8"/>
  <c r="AI514" i="8" s="1"/>
  <c r="T514" i="8"/>
  <c r="AJ514" i="8" s="1"/>
  <c r="R515" i="8"/>
  <c r="S515" i="8"/>
  <c r="AI515" i="8" s="1"/>
  <c r="T515" i="8"/>
  <c r="R516" i="8"/>
  <c r="S516" i="8"/>
  <c r="AI516" i="8" s="1"/>
  <c r="T516" i="8"/>
  <c r="AJ516" i="8" s="1"/>
  <c r="R517" i="8"/>
  <c r="S517" i="8"/>
  <c r="AI517" i="8" s="1"/>
  <c r="T517" i="8"/>
  <c r="AJ517" i="8" s="1"/>
  <c r="R518" i="8"/>
  <c r="S518" i="8"/>
  <c r="T518" i="8"/>
  <c r="AJ518" i="8" s="1"/>
  <c r="R519" i="8"/>
  <c r="S519" i="8"/>
  <c r="T519" i="8"/>
  <c r="AJ519" i="8" s="1"/>
  <c r="R520" i="8"/>
  <c r="S520" i="8"/>
  <c r="AI520" i="8" s="1"/>
  <c r="T520" i="8"/>
  <c r="AJ520" i="8" s="1"/>
  <c r="R521" i="8"/>
  <c r="S521" i="8"/>
  <c r="AI521" i="8" s="1"/>
  <c r="T521" i="8"/>
  <c r="AJ521" i="8" s="1"/>
  <c r="R522" i="8"/>
  <c r="S522" i="8"/>
  <c r="T522" i="8"/>
  <c r="AJ522" i="8" s="1"/>
  <c r="R523" i="8"/>
  <c r="S523" i="8"/>
  <c r="AI523" i="8" s="1"/>
  <c r="T523" i="8"/>
  <c r="R524" i="8"/>
  <c r="S524" i="8"/>
  <c r="AI524" i="8" s="1"/>
  <c r="T524" i="8"/>
  <c r="AJ524" i="8" s="1"/>
  <c r="R525" i="8"/>
  <c r="S525" i="8"/>
  <c r="AI525" i="8" s="1"/>
  <c r="T525" i="8"/>
  <c r="AJ525" i="8" s="1"/>
  <c r="R526" i="8"/>
  <c r="S526" i="8"/>
  <c r="T526" i="8"/>
  <c r="AJ526" i="8" s="1"/>
  <c r="R527" i="8"/>
  <c r="S527" i="8"/>
  <c r="T527" i="8"/>
  <c r="AJ527" i="8" s="1"/>
  <c r="R528" i="8"/>
  <c r="S528" i="8"/>
  <c r="AI528" i="8" s="1"/>
  <c r="T528" i="8"/>
  <c r="AJ528" i="8" s="1"/>
  <c r="R529" i="8"/>
  <c r="S529" i="8"/>
  <c r="AI529" i="8" s="1"/>
  <c r="T529" i="8"/>
  <c r="AJ529" i="8" s="1"/>
  <c r="R530" i="8"/>
  <c r="S530" i="8"/>
  <c r="T530" i="8"/>
  <c r="R531" i="8"/>
  <c r="S531" i="8"/>
  <c r="AI531" i="8" s="1"/>
  <c r="T531" i="8"/>
  <c r="R532" i="8"/>
  <c r="S532" i="8"/>
  <c r="AI532" i="8" s="1"/>
  <c r="T532" i="8"/>
  <c r="AJ532" i="8" s="1"/>
  <c r="R533" i="8"/>
  <c r="S533" i="8"/>
  <c r="AI533" i="8" s="1"/>
  <c r="T533" i="8"/>
  <c r="AJ533" i="8" s="1"/>
  <c r="R534" i="8"/>
  <c r="S534" i="8"/>
  <c r="T534" i="8"/>
  <c r="AJ534" i="8" s="1"/>
  <c r="R535" i="8"/>
  <c r="S535" i="8"/>
  <c r="AI535" i="8" s="1"/>
  <c r="T535" i="8"/>
  <c r="AJ535" i="8" s="1"/>
  <c r="R536" i="8"/>
  <c r="S536" i="8"/>
  <c r="AI536" i="8" s="1"/>
  <c r="T536" i="8"/>
  <c r="AJ536" i="8" s="1"/>
  <c r="R537" i="8"/>
  <c r="S537" i="8"/>
  <c r="AI537" i="8" s="1"/>
  <c r="T537" i="8"/>
  <c r="AJ537" i="8" s="1"/>
  <c r="R538" i="8"/>
  <c r="S538" i="8"/>
  <c r="T538" i="8"/>
  <c r="R539" i="8"/>
  <c r="S539" i="8"/>
  <c r="T539" i="8"/>
  <c r="R540" i="8"/>
  <c r="S540" i="8"/>
  <c r="AI540" i="8" s="1"/>
  <c r="T540" i="8"/>
  <c r="AJ540" i="8" s="1"/>
  <c r="R541" i="8"/>
  <c r="S541" i="8"/>
  <c r="AI541" i="8" s="1"/>
  <c r="T541" i="8"/>
  <c r="AJ541" i="8" s="1"/>
  <c r="R542" i="8"/>
  <c r="S542" i="8"/>
  <c r="T542" i="8"/>
  <c r="AJ542" i="8" s="1"/>
  <c r="R543" i="8"/>
  <c r="S543" i="8"/>
  <c r="AI543" i="8" s="1"/>
  <c r="T543" i="8"/>
  <c r="AJ543" i="8" s="1"/>
  <c r="R544" i="8"/>
  <c r="S544" i="8"/>
  <c r="AI544" i="8" s="1"/>
  <c r="T544" i="8"/>
  <c r="AJ544" i="8" s="1"/>
  <c r="R545" i="8"/>
  <c r="S545" i="8"/>
  <c r="AI545" i="8" s="1"/>
  <c r="T545" i="8"/>
  <c r="AJ545" i="8" s="1"/>
  <c r="R546" i="8"/>
  <c r="S546" i="8"/>
  <c r="T546" i="8"/>
  <c r="R547" i="8"/>
  <c r="S547" i="8"/>
  <c r="T547" i="8"/>
  <c r="R548" i="8"/>
  <c r="S548" i="8"/>
  <c r="AI548" i="8" s="1"/>
  <c r="T548" i="8"/>
  <c r="AJ548" i="8" s="1"/>
  <c r="R549" i="8"/>
  <c r="S549" i="8"/>
  <c r="AI549" i="8" s="1"/>
  <c r="T549" i="8"/>
  <c r="R550" i="8"/>
  <c r="S550" i="8"/>
  <c r="T550" i="8"/>
  <c r="AJ550" i="8" s="1"/>
  <c r="R551" i="8"/>
  <c r="S551" i="8"/>
  <c r="AI551" i="8" s="1"/>
  <c r="T551" i="8"/>
  <c r="AJ551" i="8" s="1"/>
  <c r="R552" i="8"/>
  <c r="S552" i="8"/>
  <c r="AI552" i="8" s="1"/>
  <c r="T552" i="8"/>
  <c r="AJ552" i="8" s="1"/>
  <c r="R553" i="8"/>
  <c r="S553" i="8"/>
  <c r="AI553" i="8" s="1"/>
  <c r="T553" i="8"/>
  <c r="AJ553" i="8" s="1"/>
  <c r="R554" i="8"/>
  <c r="S554" i="8"/>
  <c r="T554" i="8"/>
  <c r="R555" i="8"/>
  <c r="S555" i="8"/>
  <c r="AI555" i="8" s="1"/>
  <c r="T555" i="8"/>
  <c r="R556" i="8"/>
  <c r="S556" i="8"/>
  <c r="AI556" i="8" s="1"/>
  <c r="T556" i="8"/>
  <c r="AJ556" i="8" s="1"/>
  <c r="R557" i="8"/>
  <c r="S557" i="8"/>
  <c r="AI557" i="8" s="1"/>
  <c r="T557" i="8"/>
  <c r="R558" i="8"/>
  <c r="S558" i="8"/>
  <c r="T558" i="8"/>
  <c r="AJ558" i="8" s="1"/>
  <c r="R559" i="8"/>
  <c r="S559" i="8"/>
  <c r="T559" i="8"/>
  <c r="AJ559" i="8" s="1"/>
  <c r="R560" i="8"/>
  <c r="S560" i="8"/>
  <c r="AI560" i="8" s="1"/>
  <c r="T560" i="8"/>
  <c r="AJ560" i="8" s="1"/>
  <c r="R561" i="8"/>
  <c r="S561" i="8"/>
  <c r="AI561" i="8" s="1"/>
  <c r="T561" i="8"/>
  <c r="AJ561" i="8" s="1"/>
  <c r="R562" i="8"/>
  <c r="S562" i="8"/>
  <c r="T562" i="8"/>
  <c r="AJ562" i="8" s="1"/>
  <c r="O382" i="8"/>
  <c r="O383" i="8"/>
  <c r="O384" i="8"/>
  <c r="O385" i="8"/>
  <c r="O386" i="8"/>
  <c r="O387" i="8"/>
  <c r="O388" i="8"/>
  <c r="O389" i="8"/>
  <c r="O390" i="8"/>
  <c r="O391" i="8"/>
  <c r="O392" i="8"/>
  <c r="O393" i="8"/>
  <c r="O394" i="8"/>
  <c r="O395" i="8"/>
  <c r="O396" i="8"/>
  <c r="O397" i="8"/>
  <c r="O398" i="8"/>
  <c r="O399" i="8"/>
  <c r="O400" i="8"/>
  <c r="O401" i="8"/>
  <c r="O402" i="8"/>
  <c r="O403" i="8"/>
  <c r="O404" i="8"/>
  <c r="O405" i="8"/>
  <c r="O406" i="8"/>
  <c r="O407" i="8"/>
  <c r="O408" i="8"/>
  <c r="O409" i="8"/>
  <c r="O410" i="8"/>
  <c r="O411" i="8"/>
  <c r="O412" i="8"/>
  <c r="O413" i="8"/>
  <c r="O414" i="8"/>
  <c r="O415" i="8"/>
  <c r="O416" i="8"/>
  <c r="O417" i="8"/>
  <c r="O418" i="8"/>
  <c r="O419" i="8"/>
  <c r="O420" i="8"/>
  <c r="O421" i="8"/>
  <c r="O422" i="8"/>
  <c r="O423" i="8"/>
  <c r="O424" i="8"/>
  <c r="O425" i="8"/>
  <c r="O426" i="8"/>
  <c r="O427" i="8"/>
  <c r="O428" i="8"/>
  <c r="O429" i="8"/>
  <c r="O430" i="8"/>
  <c r="O431" i="8"/>
  <c r="O432" i="8"/>
  <c r="O433" i="8"/>
  <c r="O434" i="8"/>
  <c r="O435" i="8"/>
  <c r="O436" i="8"/>
  <c r="O437" i="8"/>
  <c r="O438" i="8"/>
  <c r="O439" i="8"/>
  <c r="O440" i="8"/>
  <c r="O441" i="8"/>
  <c r="O442" i="8"/>
  <c r="O443" i="8"/>
  <c r="O444" i="8"/>
  <c r="O445" i="8"/>
  <c r="O446" i="8"/>
  <c r="O447" i="8"/>
  <c r="O448" i="8"/>
  <c r="O449" i="8"/>
  <c r="O450" i="8"/>
  <c r="O451" i="8"/>
  <c r="O452" i="8"/>
  <c r="O453" i="8"/>
  <c r="O454" i="8"/>
  <c r="O455" i="8"/>
  <c r="O456" i="8"/>
  <c r="O457" i="8"/>
  <c r="O458" i="8"/>
  <c r="O459" i="8"/>
  <c r="O460" i="8"/>
  <c r="O461" i="8"/>
  <c r="O462" i="8"/>
  <c r="O463" i="8"/>
  <c r="O464" i="8"/>
  <c r="O465" i="8"/>
  <c r="O466" i="8"/>
  <c r="O467" i="8"/>
  <c r="O468" i="8"/>
  <c r="O469" i="8"/>
  <c r="O470" i="8"/>
  <c r="O471" i="8"/>
  <c r="O472" i="8"/>
  <c r="O473" i="8"/>
  <c r="O474" i="8"/>
  <c r="O475" i="8"/>
  <c r="O476" i="8"/>
  <c r="O477" i="8"/>
  <c r="O478" i="8"/>
  <c r="O479" i="8"/>
  <c r="O480" i="8"/>
  <c r="O481" i="8"/>
  <c r="O482" i="8"/>
  <c r="O483" i="8"/>
  <c r="O484" i="8"/>
  <c r="O485" i="8"/>
  <c r="O486" i="8"/>
  <c r="O487" i="8"/>
  <c r="O488" i="8"/>
  <c r="O489" i="8"/>
  <c r="O490" i="8"/>
  <c r="O491" i="8"/>
  <c r="O492" i="8"/>
  <c r="O493" i="8"/>
  <c r="O494" i="8"/>
  <c r="O495" i="8"/>
  <c r="O496" i="8"/>
  <c r="O497" i="8"/>
  <c r="O498" i="8"/>
  <c r="O499" i="8"/>
  <c r="O500" i="8"/>
  <c r="O501" i="8"/>
  <c r="O502" i="8"/>
  <c r="O503" i="8"/>
  <c r="O504" i="8"/>
  <c r="O505" i="8"/>
  <c r="O506" i="8"/>
  <c r="O507" i="8"/>
  <c r="O508" i="8"/>
  <c r="O509" i="8"/>
  <c r="O510" i="8"/>
  <c r="O511" i="8"/>
  <c r="O512" i="8"/>
  <c r="O513" i="8"/>
  <c r="O514" i="8"/>
  <c r="O515" i="8"/>
  <c r="O516" i="8"/>
  <c r="O517" i="8"/>
  <c r="O518" i="8"/>
  <c r="O519" i="8"/>
  <c r="O520" i="8"/>
  <c r="O521" i="8"/>
  <c r="O522" i="8"/>
  <c r="O523" i="8"/>
  <c r="O524" i="8"/>
  <c r="O525" i="8"/>
  <c r="O526" i="8"/>
  <c r="O527" i="8"/>
  <c r="O528" i="8"/>
  <c r="O529" i="8"/>
  <c r="O530" i="8"/>
  <c r="O531" i="8"/>
  <c r="O532" i="8"/>
  <c r="O533" i="8"/>
  <c r="O534" i="8"/>
  <c r="O535" i="8"/>
  <c r="O536" i="8"/>
  <c r="O537" i="8"/>
  <c r="O538" i="8"/>
  <c r="O539" i="8"/>
  <c r="O540" i="8"/>
  <c r="O541" i="8"/>
  <c r="O542" i="8"/>
  <c r="O543" i="8"/>
  <c r="O544" i="8"/>
  <c r="O545" i="8"/>
  <c r="O546" i="8"/>
  <c r="O547" i="8"/>
  <c r="O548" i="8"/>
  <c r="O549" i="8"/>
  <c r="O550" i="8"/>
  <c r="O551" i="8"/>
  <c r="O552" i="8"/>
  <c r="O553" i="8"/>
  <c r="O554" i="8"/>
  <c r="O555" i="8"/>
  <c r="O556" i="8"/>
  <c r="O557" i="8"/>
  <c r="O558" i="8"/>
  <c r="O559" i="8"/>
  <c r="O560" i="8"/>
  <c r="O561" i="8"/>
  <c r="AJ1023" i="8" l="1"/>
  <c r="AI1221" i="8"/>
  <c r="AJ1274" i="8"/>
  <c r="AI1294" i="8"/>
  <c r="AJ1355" i="8"/>
  <c r="AJ1388" i="8"/>
  <c r="AJ1444" i="8"/>
  <c r="AJ1479" i="8"/>
  <c r="AI1498" i="8"/>
  <c r="AI1501" i="8"/>
  <c r="AI1533" i="8"/>
  <c r="AI1542" i="8"/>
  <c r="AI1543" i="8"/>
  <c r="AI1562" i="8"/>
  <c r="AI1574" i="8"/>
  <c r="AJ1583" i="8"/>
  <c r="AJ1584" i="8"/>
  <c r="AI1606" i="8"/>
  <c r="AI1616" i="8"/>
  <c r="AJ1647" i="8"/>
  <c r="AI1666" i="8"/>
  <c r="AJ1666" i="8"/>
  <c r="AI1694" i="8"/>
  <c r="AI1702" i="8"/>
  <c r="AJ1702" i="8"/>
  <c r="AI1722" i="8"/>
  <c r="AJ1730" i="8"/>
  <c r="AJ1738" i="8"/>
  <c r="AI1741" i="8"/>
  <c r="AI1758" i="8"/>
  <c r="AI1777" i="8"/>
  <c r="AJ1794" i="8"/>
  <c r="AI1805" i="8"/>
  <c r="AI1813" i="8"/>
  <c r="AJ1813" i="8"/>
  <c r="AI1850" i="8"/>
  <c r="AI1869" i="8"/>
  <c r="AJ1877" i="8"/>
  <c r="AJ1885" i="8"/>
  <c r="AI1886" i="8"/>
  <c r="AI1901" i="8"/>
  <c r="AJ1923" i="8"/>
  <c r="AI1928" i="8"/>
  <c r="AI1933" i="8"/>
  <c r="AI1942" i="8"/>
  <c r="AJ1946" i="8"/>
  <c r="AI1951" i="8"/>
  <c r="AI1965" i="8"/>
  <c r="AJ1978" i="8"/>
  <c r="AI1983" i="8"/>
  <c r="AI1987" i="8"/>
  <c r="AJ1987" i="8"/>
  <c r="AI1997" i="8"/>
  <c r="AJ2005" i="8"/>
  <c r="AI2006" i="8"/>
  <c r="AI2015" i="8"/>
  <c r="AJ2019" i="8"/>
  <c r="AJ2023" i="8"/>
  <c r="AI2024" i="8"/>
  <c r="AI2038" i="8"/>
  <c r="AI2042" i="8"/>
  <c r="AJ2042" i="8"/>
  <c r="AJ2051" i="8"/>
  <c r="AI2056" i="8"/>
  <c r="AI2061" i="8"/>
  <c r="AI2077" i="8"/>
  <c r="AJ2077" i="8"/>
  <c r="AI2093" i="8"/>
  <c r="AJ2093" i="8"/>
  <c r="AI2109" i="8"/>
  <c r="AJ2109" i="8"/>
  <c r="AI2125" i="8"/>
  <c r="AJ2125" i="8"/>
  <c r="AJ2131" i="8"/>
  <c r="AI2134" i="8"/>
  <c r="AJ2135" i="8"/>
  <c r="AI2136" i="8"/>
  <c r="AI2141" i="8"/>
  <c r="AI2143" i="8"/>
  <c r="AI2150" i="8"/>
  <c r="AI2152" i="8"/>
  <c r="AI2154" i="8"/>
  <c r="AJ2154" i="8"/>
  <c r="AI2159" i="8"/>
  <c r="AI2163" i="8"/>
  <c r="AJ2163" i="8"/>
  <c r="AJ2170" i="8"/>
  <c r="AI2173" i="8"/>
  <c r="AJ2179" i="8"/>
  <c r="AJ2181" i="8"/>
  <c r="AI2182" i="8"/>
  <c r="AJ2186" i="8"/>
  <c r="AI2189" i="8"/>
  <c r="AI2191" i="8"/>
  <c r="AJ2195" i="8"/>
  <c r="AI2198" i="8"/>
  <c r="AJ2199" i="8"/>
  <c r="AI2200" i="8"/>
  <c r="AI2205" i="8"/>
  <c r="AI2207" i="8"/>
  <c r="AI2214" i="8"/>
  <c r="AI2216" i="8"/>
  <c r="AI2218" i="8"/>
  <c r="AJ2218" i="8"/>
  <c r="AI2223" i="8"/>
  <c r="AI2227" i="8"/>
  <c r="AJ2227" i="8"/>
  <c r="AJ2234" i="8"/>
  <c r="AI2237" i="8"/>
  <c r="AJ2243" i="8"/>
  <c r="AJ2245" i="8"/>
  <c r="AI2246" i="8"/>
  <c r="AJ2250" i="8"/>
  <c r="AI2253" i="8"/>
  <c r="AI2255" i="8"/>
  <c r="AJ2259" i="8"/>
  <c r="AI2262" i="8"/>
  <c r="AJ2263" i="8"/>
  <c r="AI2264" i="8"/>
  <c r="AI2269" i="8"/>
  <c r="AI2271" i="8"/>
  <c r="AI2278" i="8"/>
  <c r="AI2280" i="8"/>
  <c r="AI2282" i="8"/>
  <c r="AJ2282" i="8"/>
  <c r="AI2287" i="8"/>
  <c r="AI2291" i="8"/>
  <c r="AJ2291" i="8"/>
  <c r="AJ2298" i="8"/>
  <c r="AI2301" i="8"/>
  <c r="AJ2307" i="8"/>
  <c r="AJ2309" i="8"/>
  <c r="AI2310" i="8"/>
  <c r="AJ2314" i="8"/>
  <c r="AI2317" i="8"/>
  <c r="AI2319" i="8"/>
  <c r="AJ2323" i="8"/>
  <c r="AI2326" i="8"/>
  <c r="AJ2327" i="8"/>
  <c r="AI2328" i="8"/>
  <c r="AI2333" i="8"/>
  <c r="AI2335" i="8"/>
  <c r="AI2342" i="8"/>
  <c r="AI2344" i="8"/>
  <c r="AI2346" i="8"/>
  <c r="AI2350" i="8"/>
  <c r="AI2352" i="8"/>
  <c r="AI2354" i="8"/>
  <c r="AI2358" i="8"/>
  <c r="AI2360" i="8"/>
  <c r="AI2362" i="8"/>
  <c r="AI2366" i="8"/>
  <c r="AI2368" i="8"/>
  <c r="AI2370" i="8"/>
  <c r="AI2374" i="8"/>
  <c r="AI2376" i="8"/>
  <c r="AI2378" i="8"/>
  <c r="AI2382" i="8"/>
  <c r="AI2384" i="8"/>
  <c r="AI2386" i="8"/>
  <c r="AI2390" i="8"/>
  <c r="AI2392" i="8"/>
  <c r="AI2394" i="8"/>
  <c r="AI2398" i="8"/>
  <c r="AI2400" i="8"/>
  <c r="AI2402" i="8"/>
  <c r="AI2406" i="8"/>
  <c r="AI2408" i="8"/>
  <c r="AI2410" i="8"/>
  <c r="AI2414" i="8"/>
  <c r="AI2416" i="8"/>
  <c r="AI2418" i="8"/>
  <c r="AI2422" i="8"/>
  <c r="AI2424" i="8"/>
  <c r="AI2426" i="8"/>
  <c r="AI2430" i="8"/>
  <c r="AI2432" i="8"/>
  <c r="AI2434" i="8"/>
  <c r="AI2438" i="8"/>
  <c r="AI2440" i="8"/>
  <c r="AI2442" i="8"/>
  <c r="AI2446" i="8"/>
  <c r="AI2448" i="8"/>
  <c r="AI2450" i="8"/>
  <c r="AI2454" i="8"/>
  <c r="AI2456" i="8"/>
  <c r="AI2458" i="8"/>
  <c r="AI2462" i="8"/>
  <c r="AI2464" i="8"/>
  <c r="AI2466" i="8"/>
  <c r="AI2470" i="8"/>
  <c r="AI2472" i="8"/>
  <c r="AI2474" i="8"/>
  <c r="AI2478" i="8"/>
  <c r="AI2480" i="8"/>
  <c r="AI2482" i="8"/>
  <c r="AI2486" i="8"/>
  <c r="AI2488" i="8"/>
  <c r="AI2490" i="8"/>
  <c r="AI2494" i="8"/>
  <c r="AI2496" i="8"/>
  <c r="AI2498" i="8"/>
  <c r="AI2502" i="8"/>
  <c r="AI2504" i="8"/>
  <c r="AI2506" i="8"/>
  <c r="AI2510" i="8"/>
  <c r="AI2512" i="8"/>
  <c r="AI2514" i="8"/>
  <c r="AI2518" i="8"/>
  <c r="AI2520" i="8"/>
  <c r="AI2522" i="8"/>
  <c r="AI2526" i="8"/>
  <c r="AI2528" i="8"/>
  <c r="AI2530" i="8"/>
  <c r="AI2534" i="8"/>
  <c r="AI2536" i="8"/>
  <c r="AI2538" i="8"/>
  <c r="AI2542" i="8"/>
  <c r="AI2544" i="8"/>
  <c r="AI2546" i="8"/>
  <c r="AI2550" i="8"/>
  <c r="AI2552" i="8"/>
  <c r="AI2554" i="8"/>
  <c r="AI2558" i="8"/>
  <c r="AI2560" i="8"/>
  <c r="AI2562" i="8"/>
  <c r="AI2566" i="8"/>
  <c r="AI2568" i="8"/>
  <c r="AI2570" i="8"/>
  <c r="AI2574" i="8"/>
  <c r="AI2576" i="8"/>
  <c r="AI2578" i="8"/>
  <c r="AI2582" i="8"/>
  <c r="AI2584" i="8"/>
  <c r="AI2586" i="8"/>
  <c r="AI2590" i="8"/>
  <c r="AI2592" i="8"/>
  <c r="AI2594" i="8"/>
  <c r="AI2598" i="8"/>
  <c r="AI2600" i="8"/>
  <c r="AI2602" i="8"/>
  <c r="AJ2604" i="8"/>
  <c r="AI2606" i="8"/>
  <c r="AJ2606" i="8"/>
  <c r="AJ2610" i="8"/>
  <c r="AI2611" i="8"/>
  <c r="AI2614" i="8"/>
  <c r="AI2615" i="8"/>
  <c r="AJ2615" i="8"/>
  <c r="AI2618" i="8"/>
  <c r="AJ2618" i="8"/>
  <c r="AJ2619" i="8"/>
  <c r="AI2623" i="8"/>
  <c r="AI2624" i="8"/>
  <c r="AJ2624" i="8"/>
  <c r="AJ2627" i="8"/>
  <c r="AJ2628" i="8"/>
  <c r="AJ2629" i="8"/>
  <c r="AJ2631" i="8"/>
  <c r="AI2632" i="8"/>
  <c r="AI2634" i="8"/>
  <c r="AJ2636" i="8"/>
  <c r="AI2638" i="8"/>
  <c r="AJ2638" i="8"/>
  <c r="AJ2642" i="8"/>
  <c r="AI2643" i="8"/>
  <c r="AI2646" i="8"/>
  <c r="AI2647" i="8"/>
  <c r="AJ2647" i="8"/>
  <c r="AI2650" i="8"/>
  <c r="AJ2650" i="8"/>
  <c r="AJ2651" i="8"/>
  <c r="AI2655" i="8"/>
  <c r="AI2656" i="8"/>
  <c r="AJ2656" i="8"/>
  <c r="AJ2659" i="8"/>
  <c r="AJ2660" i="8"/>
  <c r="AJ2661" i="8"/>
  <c r="AJ2663" i="8"/>
  <c r="AI2664" i="8"/>
  <c r="AI2666" i="8"/>
  <c r="AJ2668" i="8"/>
  <c r="AI2670" i="8"/>
  <c r="AJ2670" i="8"/>
  <c r="AJ2674" i="8"/>
  <c r="AI2675" i="8"/>
  <c r="AI2678" i="8"/>
  <c r="AI2679" i="8"/>
  <c r="AJ2679" i="8"/>
  <c r="AI2682" i="8"/>
  <c r="AJ2682" i="8"/>
  <c r="AJ2683" i="8"/>
  <c r="AI2687" i="8"/>
  <c r="AI2688" i="8"/>
  <c r="AJ2688" i="8"/>
  <c r="AJ2691" i="8"/>
  <c r="AJ2692" i="8"/>
  <c r="AJ2693" i="8"/>
  <c r="AJ2695" i="8"/>
  <c r="AI2696" i="8"/>
  <c r="AI2698" i="8"/>
  <c r="AJ2700" i="8"/>
  <c r="AI2702" i="8"/>
  <c r="AJ2702" i="8"/>
  <c r="AJ2706" i="8"/>
  <c r="AI2707" i="8"/>
  <c r="AI2710" i="8"/>
  <c r="AI2711" i="8"/>
  <c r="AJ2711" i="8"/>
  <c r="AI2714" i="8"/>
  <c r="AJ2714" i="8"/>
  <c r="AJ2715" i="8"/>
  <c r="AI2719" i="8"/>
  <c r="AI2720" i="8"/>
  <c r="AJ2720" i="8"/>
  <c r="AJ2723" i="8"/>
  <c r="AJ2724" i="8"/>
  <c r="AJ2725" i="8"/>
  <c r="AJ2727" i="8"/>
  <c r="AB563" i="8"/>
  <c r="AB564" i="8"/>
  <c r="AB565" i="8"/>
  <c r="AB566" i="8"/>
  <c r="AB567" i="8"/>
  <c r="AB568" i="8"/>
  <c r="AB569" i="8"/>
  <c r="AB570" i="8"/>
  <c r="AB571" i="8"/>
  <c r="AB572" i="8"/>
  <c r="AB573" i="8"/>
  <c r="AB574" i="8"/>
  <c r="AB575" i="8"/>
  <c r="AB576" i="8"/>
  <c r="AB577" i="8"/>
  <c r="AB578" i="8"/>
  <c r="AB579" i="8"/>
  <c r="AB580" i="8"/>
  <c r="AB581" i="8"/>
  <c r="AB582" i="8"/>
  <c r="AB583" i="8"/>
  <c r="AB584" i="8"/>
  <c r="AB585" i="8"/>
  <c r="AB586" i="8"/>
  <c r="AB587" i="8"/>
  <c r="AB588" i="8"/>
  <c r="AB589" i="8"/>
  <c r="AB590" i="8"/>
  <c r="AB591" i="8"/>
  <c r="AB592" i="8"/>
  <c r="AB593" i="8"/>
  <c r="AB594" i="8"/>
  <c r="AB595" i="8"/>
  <c r="AB596" i="8"/>
  <c r="AB597" i="8"/>
  <c r="AB598" i="8"/>
  <c r="AB599" i="8"/>
  <c r="AB600" i="8"/>
  <c r="AB601" i="8"/>
  <c r="AB602" i="8"/>
  <c r="AB603" i="8"/>
  <c r="AB604" i="8"/>
  <c r="AB605" i="8"/>
  <c r="AB606" i="8"/>
  <c r="AB607" i="8"/>
  <c r="AB608" i="8"/>
  <c r="AB609" i="8"/>
  <c r="AB610" i="8"/>
  <c r="AB611" i="8"/>
  <c r="AB612" i="8"/>
  <c r="AB613" i="8"/>
  <c r="AB614" i="8"/>
  <c r="AB615" i="8"/>
  <c r="AB616" i="8"/>
  <c r="AB617" i="8"/>
  <c r="AB618" i="8"/>
  <c r="AB619" i="8"/>
  <c r="AB620" i="8"/>
  <c r="AB621" i="8"/>
  <c r="AB622" i="8"/>
  <c r="AB623" i="8"/>
  <c r="AB624" i="8"/>
  <c r="AB625" i="8"/>
  <c r="AB626" i="8"/>
  <c r="AB627" i="8"/>
  <c r="AB628" i="8"/>
  <c r="AB629" i="8"/>
  <c r="AB630" i="8"/>
  <c r="AB631" i="8"/>
  <c r="AB632" i="8"/>
  <c r="AB633" i="8"/>
  <c r="AB634" i="8"/>
  <c r="AB635" i="8"/>
  <c r="AB636" i="8"/>
  <c r="AB637" i="8"/>
  <c r="AB638" i="8"/>
  <c r="AB639" i="8"/>
  <c r="AB640" i="8"/>
  <c r="AB641" i="8"/>
  <c r="AB642" i="8"/>
  <c r="AB643" i="8"/>
  <c r="AB644" i="8"/>
  <c r="AB645" i="8"/>
  <c r="AB646" i="8"/>
  <c r="AB647" i="8"/>
  <c r="AB648" i="8"/>
  <c r="AB649" i="8"/>
  <c r="AB650" i="8"/>
  <c r="AB651" i="8"/>
  <c r="AB652" i="8"/>
  <c r="AB653" i="8"/>
  <c r="AB654" i="8"/>
  <c r="AB655" i="8"/>
  <c r="AB656" i="8"/>
  <c r="AB657" i="8"/>
  <c r="AB658" i="8"/>
  <c r="AB659" i="8"/>
  <c r="AB660" i="8"/>
  <c r="AB661" i="8"/>
  <c r="AB662" i="8"/>
  <c r="AB663" i="8"/>
  <c r="AB664" i="8"/>
  <c r="AB665" i="8"/>
  <c r="AB666" i="8"/>
  <c r="AB667" i="8"/>
  <c r="AB668" i="8"/>
  <c r="AB669" i="8"/>
  <c r="AB670" i="8"/>
  <c r="AB671" i="8"/>
  <c r="AB672" i="8"/>
  <c r="AB673" i="8"/>
  <c r="AB674" i="8"/>
  <c r="AB675" i="8"/>
  <c r="AB676" i="8"/>
  <c r="AB677" i="8"/>
  <c r="AB678" i="8"/>
  <c r="AB679" i="8"/>
  <c r="AB680" i="8"/>
  <c r="AB681" i="8"/>
  <c r="AB682" i="8"/>
  <c r="AB683" i="8"/>
  <c r="AB684" i="8"/>
  <c r="AB685" i="8"/>
  <c r="AB686" i="8"/>
  <c r="AB687" i="8"/>
  <c r="AB688" i="8"/>
  <c r="AB689" i="8"/>
  <c r="AB690" i="8"/>
  <c r="AB691" i="8"/>
  <c r="AB692" i="8"/>
  <c r="AB693" i="8"/>
  <c r="AB694" i="8"/>
  <c r="AB695" i="8"/>
  <c r="AB696" i="8"/>
  <c r="AB697" i="8"/>
  <c r="AB698" i="8"/>
  <c r="AB699" i="8"/>
  <c r="AB700" i="8"/>
  <c r="AB701" i="8"/>
  <c r="AB702" i="8"/>
  <c r="AB703" i="8"/>
  <c r="AB704" i="8"/>
  <c r="AB705" i="8"/>
  <c r="AB706" i="8"/>
  <c r="AB707" i="8"/>
  <c r="AB708" i="8"/>
  <c r="AB709" i="8"/>
  <c r="AB710" i="8"/>
  <c r="AB711" i="8"/>
  <c r="AB712" i="8"/>
  <c r="AB713" i="8"/>
  <c r="AB714" i="8"/>
  <c r="AB715" i="8"/>
  <c r="AB716" i="8"/>
  <c r="AB717" i="8"/>
  <c r="AB718" i="8"/>
  <c r="AB719" i="8"/>
  <c r="AB720" i="8"/>
  <c r="AB721" i="8"/>
  <c r="AB722" i="8"/>
  <c r="AB723" i="8"/>
  <c r="AB724" i="8"/>
  <c r="AB725" i="8"/>
  <c r="AB726" i="8"/>
  <c r="AB727" i="8"/>
  <c r="AB728" i="8"/>
  <c r="AB729" i="8"/>
  <c r="AB730" i="8"/>
  <c r="AB731" i="8"/>
  <c r="AB732" i="8"/>
  <c r="AB733" i="8"/>
  <c r="AB734" i="8"/>
  <c r="AB735" i="8"/>
  <c r="AB736" i="8"/>
  <c r="AB737" i="8"/>
  <c r="AB738" i="8"/>
  <c r="AB739" i="8"/>
  <c r="AB740" i="8"/>
  <c r="AB741" i="8"/>
  <c r="AB742" i="8"/>
  <c r="AB743" i="8"/>
  <c r="AB744" i="8"/>
  <c r="AB745" i="8"/>
  <c r="AB746" i="8"/>
  <c r="AB747" i="8"/>
  <c r="AB748" i="8"/>
  <c r="AB749" i="8"/>
  <c r="AB750" i="8"/>
  <c r="AB751" i="8"/>
  <c r="AB752" i="8"/>
  <c r="AB753" i="8"/>
  <c r="AB754" i="8"/>
  <c r="AB755" i="8"/>
  <c r="AB756" i="8"/>
  <c r="AB757" i="8"/>
  <c r="AB758" i="8"/>
  <c r="AB759" i="8"/>
  <c r="AB760" i="8"/>
  <c r="AB761" i="8"/>
  <c r="AB762" i="8"/>
  <c r="AB763" i="8"/>
  <c r="AB764" i="8"/>
  <c r="AB765" i="8"/>
  <c r="AB766" i="8"/>
  <c r="AB767" i="8"/>
  <c r="AB768" i="8"/>
  <c r="AB769" i="8"/>
  <c r="AB770" i="8"/>
  <c r="AB771" i="8"/>
  <c r="AB772" i="8"/>
  <c r="AB773" i="8"/>
  <c r="AB774" i="8"/>
  <c r="AB775" i="8"/>
  <c r="AB776" i="8"/>
  <c r="AB777" i="8"/>
  <c r="AB778" i="8"/>
  <c r="AB779" i="8"/>
  <c r="AB780" i="8"/>
  <c r="AB781" i="8"/>
  <c r="AB782" i="8"/>
  <c r="AB783" i="8"/>
  <c r="AB784" i="8"/>
  <c r="AB785" i="8"/>
  <c r="AB786" i="8"/>
  <c r="AB787" i="8"/>
  <c r="AB788" i="8"/>
  <c r="AB789" i="8"/>
  <c r="AB790" i="8"/>
  <c r="AB791" i="8"/>
  <c r="AB792" i="8"/>
  <c r="AB793" i="8"/>
  <c r="AB794" i="8"/>
  <c r="AB795" i="8"/>
  <c r="AB796" i="8"/>
  <c r="AB797" i="8"/>
  <c r="AB798" i="8"/>
  <c r="AB799" i="8"/>
  <c r="AB800" i="8"/>
  <c r="AB801" i="8"/>
  <c r="AB802" i="8"/>
  <c r="AB803" i="8"/>
  <c r="AB804" i="8"/>
  <c r="AB805" i="8"/>
  <c r="AB806" i="8"/>
  <c r="AB807" i="8"/>
  <c r="AB808" i="8"/>
  <c r="AB809" i="8"/>
  <c r="AB810" i="8"/>
  <c r="AB811" i="8"/>
  <c r="AB812" i="8"/>
  <c r="AB813" i="8"/>
  <c r="AB814" i="8"/>
  <c r="AB815" i="8"/>
  <c r="AB816" i="8"/>
  <c r="AB817" i="8"/>
  <c r="AB818" i="8"/>
  <c r="AB819" i="8"/>
  <c r="AB820" i="8"/>
  <c r="AB821" i="8"/>
  <c r="AB822" i="8"/>
  <c r="AB823" i="8"/>
  <c r="AB824" i="8"/>
  <c r="AB825" i="8"/>
  <c r="AB826" i="8"/>
  <c r="AB827" i="8"/>
  <c r="AB828" i="8"/>
  <c r="AB829" i="8"/>
  <c r="AB830" i="8"/>
  <c r="AB831" i="8"/>
  <c r="AB832" i="8"/>
  <c r="AB833" i="8"/>
  <c r="AB834" i="8"/>
  <c r="AB835" i="8"/>
  <c r="AB836" i="8"/>
  <c r="AB837" i="8"/>
  <c r="AB838" i="8"/>
  <c r="AB839" i="8"/>
  <c r="AB840" i="8"/>
  <c r="AB841" i="8"/>
  <c r="AB842" i="8"/>
  <c r="AB843" i="8"/>
  <c r="AB844" i="8"/>
  <c r="AB845" i="8"/>
  <c r="AB846" i="8"/>
  <c r="AB847" i="8"/>
  <c r="AB848" i="8"/>
  <c r="AB849" i="8"/>
  <c r="AB850" i="8"/>
  <c r="AB851" i="8"/>
  <c r="AB852" i="8"/>
  <c r="AB853" i="8"/>
  <c r="AB854" i="8"/>
  <c r="AB855" i="8"/>
  <c r="AB856" i="8"/>
  <c r="AB857" i="8"/>
  <c r="AB858" i="8"/>
  <c r="AB859" i="8"/>
  <c r="AB860" i="8"/>
  <c r="AB861" i="8"/>
  <c r="AB862" i="8"/>
  <c r="AB863" i="8"/>
  <c r="AB864" i="8"/>
  <c r="AB865" i="8"/>
  <c r="AB866" i="8"/>
  <c r="AB867" i="8"/>
  <c r="AB868" i="8"/>
  <c r="AB869" i="8"/>
  <c r="AB870" i="8"/>
  <c r="AB871" i="8"/>
  <c r="AB872" i="8"/>
  <c r="AB873" i="8"/>
  <c r="AB874" i="8"/>
  <c r="AB875" i="8"/>
  <c r="AB876" i="8"/>
  <c r="AB877" i="8"/>
  <c r="AB878" i="8"/>
  <c r="AB879" i="8"/>
  <c r="AB880" i="8"/>
  <c r="AB881" i="8"/>
  <c r="AB882" i="8"/>
  <c r="AB883" i="8"/>
  <c r="AB884" i="8"/>
  <c r="AB885" i="8"/>
  <c r="AB886" i="8"/>
  <c r="AB887" i="8"/>
  <c r="AB888" i="8"/>
  <c r="AB889" i="8"/>
  <c r="AB890" i="8"/>
  <c r="AB891" i="8"/>
  <c r="AB892" i="8"/>
  <c r="AB893" i="8"/>
  <c r="AB894" i="8"/>
  <c r="AB895" i="8"/>
  <c r="AB896" i="8"/>
  <c r="AB897" i="8"/>
  <c r="AB898" i="8"/>
  <c r="AB899" i="8"/>
  <c r="AB900" i="8"/>
  <c r="AB901" i="8"/>
  <c r="AB902" i="8"/>
  <c r="AB903" i="8"/>
  <c r="AB904" i="8"/>
  <c r="AB905" i="8"/>
  <c r="AB906" i="8"/>
  <c r="AB907" i="8"/>
  <c r="AB908" i="8"/>
  <c r="AB909" i="8"/>
  <c r="AB910" i="8"/>
  <c r="AB911" i="8"/>
  <c r="AB912" i="8"/>
  <c r="AB913" i="8"/>
  <c r="AB914" i="8"/>
  <c r="AB915" i="8"/>
  <c r="AB916" i="8"/>
  <c r="AB917" i="8"/>
  <c r="AB918" i="8"/>
  <c r="AB919" i="8"/>
  <c r="AB920" i="8"/>
  <c r="AB921" i="8"/>
  <c r="AB922" i="8"/>
  <c r="AB923" i="8"/>
  <c r="AB924" i="8"/>
  <c r="AB925" i="8"/>
  <c r="AB926" i="8"/>
  <c r="AB927" i="8"/>
  <c r="AB928" i="8"/>
  <c r="AB929" i="8"/>
  <c r="AB930" i="8"/>
  <c r="AB931" i="8"/>
  <c r="AB932" i="8"/>
  <c r="AB933" i="8"/>
  <c r="AB934" i="8"/>
  <c r="AB935" i="8"/>
  <c r="AB936" i="8"/>
  <c r="AB937" i="8"/>
  <c r="AB938" i="8"/>
  <c r="AB939" i="8"/>
  <c r="AB940" i="8"/>
  <c r="AB941" i="8"/>
  <c r="AB942" i="8"/>
  <c r="AB943" i="8"/>
  <c r="AB944" i="8"/>
  <c r="AB945" i="8"/>
  <c r="AB946" i="8"/>
  <c r="AB947" i="8"/>
  <c r="AB948" i="8"/>
  <c r="AB949" i="8"/>
  <c r="AB950" i="8"/>
  <c r="AB951" i="8"/>
  <c r="AB952" i="8"/>
  <c r="AB953" i="8"/>
  <c r="AB954" i="8"/>
  <c r="AB955" i="8"/>
  <c r="AB956" i="8"/>
  <c r="AB957" i="8"/>
  <c r="AB958" i="8"/>
  <c r="AB959" i="8"/>
  <c r="AB960" i="8"/>
  <c r="AB961" i="8"/>
  <c r="AB962" i="8"/>
  <c r="AB963" i="8"/>
  <c r="AB964" i="8"/>
  <c r="AB965" i="8"/>
  <c r="AB966" i="8"/>
  <c r="AB967" i="8"/>
  <c r="AB968" i="8"/>
  <c r="AB969" i="8"/>
  <c r="AB970" i="8"/>
  <c r="AB971" i="8"/>
  <c r="AB972" i="8"/>
  <c r="AB973" i="8"/>
  <c r="AB974" i="8"/>
  <c r="AB975" i="8"/>
  <c r="AB976" i="8"/>
  <c r="AB977" i="8"/>
  <c r="AB978" i="8"/>
  <c r="AB979" i="8"/>
  <c r="AB980" i="8"/>
  <c r="AB981" i="8"/>
  <c r="AB982" i="8"/>
  <c r="AB983" i="8"/>
  <c r="AB984" i="8"/>
  <c r="AB985" i="8"/>
  <c r="AB986" i="8"/>
  <c r="AB987" i="8"/>
  <c r="AB988" i="8"/>
  <c r="AB989" i="8"/>
  <c r="AB990" i="8"/>
  <c r="AB991" i="8"/>
  <c r="AB992" i="8"/>
  <c r="AB993" i="8"/>
  <c r="AB994" i="8"/>
  <c r="AB995" i="8"/>
  <c r="AB996" i="8"/>
  <c r="AB997" i="8"/>
  <c r="AB998" i="8"/>
  <c r="AB999" i="8"/>
  <c r="AB1000" i="8"/>
  <c r="AB1001" i="8"/>
  <c r="AB1002" i="8"/>
  <c r="AB1003" i="8"/>
  <c r="AB1004" i="8"/>
  <c r="AB1005" i="8"/>
  <c r="AB1006" i="8"/>
  <c r="AB1007" i="8"/>
  <c r="AB1008" i="8"/>
  <c r="AB1009" i="8"/>
  <c r="AB1010" i="8"/>
  <c r="AB1011" i="8"/>
  <c r="AB1012" i="8"/>
  <c r="AB1013" i="8"/>
  <c r="AB1014" i="8"/>
  <c r="AB1015" i="8"/>
  <c r="AB1016" i="8"/>
  <c r="AB1017" i="8"/>
  <c r="AB1018" i="8"/>
  <c r="AB1019" i="8"/>
  <c r="AB1020" i="8"/>
  <c r="AB1021" i="8"/>
  <c r="AB1022" i="8"/>
  <c r="AB1023" i="8"/>
  <c r="AB1024" i="8"/>
  <c r="AB1025" i="8"/>
  <c r="AB1026" i="8"/>
  <c r="AB1027" i="8"/>
  <c r="AB1028" i="8"/>
  <c r="AB1029" i="8"/>
  <c r="AB1030" i="8"/>
  <c r="AB1031" i="8"/>
  <c r="AB1032" i="8"/>
  <c r="AB1033" i="8"/>
  <c r="AB1034" i="8"/>
  <c r="AB1035" i="8"/>
  <c r="AB1036" i="8"/>
  <c r="AB1037" i="8"/>
  <c r="AB1038" i="8"/>
  <c r="AB1039" i="8"/>
  <c r="AB1040" i="8"/>
  <c r="AB1041" i="8"/>
  <c r="AB1042" i="8"/>
  <c r="AB1043" i="8"/>
  <c r="AB1044" i="8"/>
  <c r="AB1045" i="8"/>
  <c r="AB1046" i="8"/>
  <c r="AB1047" i="8"/>
  <c r="AB1048" i="8"/>
  <c r="AB1049" i="8"/>
  <c r="AB1050" i="8"/>
  <c r="AB1051" i="8"/>
  <c r="AB1052" i="8"/>
  <c r="AB1053" i="8"/>
  <c r="AB1054" i="8"/>
  <c r="AB1055" i="8"/>
  <c r="AB1056" i="8"/>
  <c r="AB1057" i="8"/>
  <c r="AB1058" i="8"/>
  <c r="AB1059" i="8"/>
  <c r="AB1060" i="8"/>
  <c r="AB1061" i="8"/>
  <c r="AB1062" i="8"/>
  <c r="AB1063" i="8"/>
  <c r="AB1064" i="8"/>
  <c r="AB1065" i="8"/>
  <c r="AB1066" i="8"/>
  <c r="AB1067" i="8"/>
  <c r="AB1068" i="8"/>
  <c r="AB1069" i="8"/>
  <c r="AB1070" i="8"/>
  <c r="AB1071" i="8"/>
  <c r="AB1072" i="8"/>
  <c r="AB1073" i="8"/>
  <c r="AB1074" i="8"/>
  <c r="AB1075" i="8"/>
  <c r="AB1076" i="8"/>
  <c r="AB1077" i="8"/>
  <c r="AB1078" i="8"/>
  <c r="AB1079" i="8"/>
  <c r="AB1080" i="8"/>
  <c r="AB1081" i="8"/>
  <c r="AB1082" i="8"/>
  <c r="AB1083" i="8"/>
  <c r="AB1084" i="8"/>
  <c r="AB1085" i="8"/>
  <c r="AB1086" i="8"/>
  <c r="AB1087" i="8"/>
  <c r="AB1088" i="8"/>
  <c r="AB1089" i="8"/>
  <c r="AB1090" i="8"/>
  <c r="AB1091" i="8"/>
  <c r="AB1092" i="8"/>
  <c r="AB1093" i="8"/>
  <c r="AB1094" i="8"/>
  <c r="AB1095" i="8"/>
  <c r="AB1096" i="8"/>
  <c r="AB1097" i="8"/>
  <c r="AB1098" i="8"/>
  <c r="AB1099" i="8"/>
  <c r="AB1100" i="8"/>
  <c r="AB1101" i="8"/>
  <c r="AB1102" i="8"/>
  <c r="AB1103" i="8"/>
  <c r="AB1104" i="8"/>
  <c r="AB1105" i="8"/>
  <c r="AB1106" i="8"/>
  <c r="AB1107" i="8"/>
  <c r="AB1108" i="8"/>
  <c r="AB1109" i="8"/>
  <c r="AB1110" i="8"/>
  <c r="AB1111" i="8"/>
  <c r="AB1112" i="8"/>
  <c r="AB1113" i="8"/>
  <c r="AB1114" i="8"/>
  <c r="AB1115" i="8"/>
  <c r="AB1116" i="8"/>
  <c r="AB1117" i="8"/>
  <c r="AB1118" i="8"/>
  <c r="AB1119" i="8"/>
  <c r="AB1120" i="8"/>
  <c r="AB1121" i="8"/>
  <c r="AB1122" i="8"/>
  <c r="AB1123" i="8"/>
  <c r="AB1124" i="8"/>
  <c r="AB1125" i="8"/>
  <c r="AB1126" i="8"/>
  <c r="AB1127" i="8"/>
  <c r="AB1128" i="8"/>
  <c r="AB1129" i="8"/>
  <c r="AB1130" i="8"/>
  <c r="AB1131" i="8"/>
  <c r="AB1132" i="8"/>
  <c r="AB1133" i="8"/>
  <c r="AB1134" i="8"/>
  <c r="AB1135" i="8"/>
  <c r="AB1136" i="8"/>
  <c r="AB1137" i="8"/>
  <c r="AB1138" i="8"/>
  <c r="AB1139" i="8"/>
  <c r="AB1140" i="8"/>
  <c r="AB1141" i="8"/>
  <c r="AB1142" i="8"/>
  <c r="AB1143" i="8"/>
  <c r="AB1144" i="8"/>
  <c r="AB1145" i="8"/>
  <c r="AB1146" i="8"/>
  <c r="AB1147" i="8"/>
  <c r="AB1148" i="8"/>
  <c r="AB1149" i="8"/>
  <c r="AB1150" i="8"/>
  <c r="AB1151" i="8"/>
  <c r="AB1152" i="8"/>
  <c r="AB1153" i="8"/>
  <c r="AB1154" i="8"/>
  <c r="AB1155" i="8"/>
  <c r="AB1156" i="8"/>
  <c r="AB1157" i="8"/>
  <c r="AB1158" i="8"/>
  <c r="AB1159" i="8"/>
  <c r="AB1160" i="8"/>
  <c r="AB1161" i="8"/>
  <c r="AB1162" i="8"/>
  <c r="AB1163" i="8"/>
  <c r="AB1164" i="8"/>
  <c r="AB1165" i="8"/>
  <c r="AB1166" i="8"/>
  <c r="AB1167" i="8"/>
  <c r="AB1168" i="8"/>
  <c r="AB1169" i="8"/>
  <c r="AB1170" i="8"/>
  <c r="AB1171" i="8"/>
  <c r="AB1172" i="8"/>
  <c r="AB1173" i="8"/>
  <c r="AB1174" i="8"/>
  <c r="AB1175" i="8"/>
  <c r="AB1176" i="8"/>
  <c r="AB1177" i="8"/>
  <c r="AB1178" i="8"/>
  <c r="AB1179" i="8"/>
  <c r="AB1180" i="8"/>
  <c r="AB1181" i="8"/>
  <c r="AB1182" i="8"/>
  <c r="AB1183" i="8"/>
  <c r="AB1184" i="8"/>
  <c r="AB1185" i="8"/>
  <c r="AB1186" i="8"/>
  <c r="AB1187" i="8"/>
  <c r="AB1188" i="8"/>
  <c r="AB1189" i="8"/>
  <c r="AB1190" i="8"/>
  <c r="AB1191" i="8"/>
  <c r="AB1192" i="8"/>
  <c r="AB1193" i="8"/>
  <c r="AB1194" i="8"/>
  <c r="AB1195" i="8"/>
  <c r="AB1196" i="8"/>
  <c r="AB1197" i="8"/>
  <c r="AB1198" i="8"/>
  <c r="AB1199" i="8"/>
  <c r="AB1200" i="8"/>
  <c r="AB1201" i="8"/>
  <c r="AB1202" i="8"/>
  <c r="AB1203" i="8"/>
  <c r="AB1204" i="8"/>
  <c r="AB1205" i="8"/>
  <c r="AB1206" i="8"/>
  <c r="AB1207" i="8"/>
  <c r="AB1208" i="8"/>
  <c r="AB1209" i="8"/>
  <c r="AB1210" i="8"/>
  <c r="AB1211" i="8"/>
  <c r="AB1212" i="8"/>
  <c r="AB1213" i="8"/>
  <c r="AB1214" i="8"/>
  <c r="AB1215" i="8"/>
  <c r="AB1216" i="8"/>
  <c r="AB1217" i="8"/>
  <c r="AB1218" i="8"/>
  <c r="AB1219" i="8"/>
  <c r="AB1220" i="8"/>
  <c r="AB1221" i="8"/>
  <c r="AB1222" i="8"/>
  <c r="AB1223" i="8"/>
  <c r="AB1224" i="8"/>
  <c r="AB1225" i="8"/>
  <c r="AB1226" i="8"/>
  <c r="AB1227" i="8"/>
  <c r="AB1228" i="8"/>
  <c r="AB1229" i="8"/>
  <c r="AB1230" i="8"/>
  <c r="AB1231" i="8"/>
  <c r="AB1232" i="8"/>
  <c r="AB1233" i="8"/>
  <c r="AB1234" i="8"/>
  <c r="AB1235" i="8"/>
  <c r="AB1236" i="8"/>
  <c r="AB1237" i="8"/>
  <c r="AB1238" i="8"/>
  <c r="AB1239" i="8"/>
  <c r="AB1240" i="8"/>
  <c r="AB1241" i="8"/>
  <c r="AB1242" i="8"/>
  <c r="AB1243" i="8"/>
  <c r="AB1244" i="8"/>
  <c r="AB1245" i="8"/>
  <c r="AB1246" i="8"/>
  <c r="AB1247" i="8"/>
  <c r="AB1248" i="8"/>
  <c r="AB1249" i="8"/>
  <c r="AB1250" i="8"/>
  <c r="AB1251" i="8"/>
  <c r="AB1252" i="8"/>
  <c r="AB1253" i="8"/>
  <c r="AB1254" i="8"/>
  <c r="AB1255" i="8"/>
  <c r="AB1256" i="8"/>
  <c r="AB1257" i="8"/>
  <c r="AB1258" i="8"/>
  <c r="AB1259" i="8"/>
  <c r="AB1260" i="8"/>
  <c r="AB1261" i="8"/>
  <c r="AB1262" i="8"/>
  <c r="AB1263" i="8"/>
  <c r="AB1264" i="8"/>
  <c r="AB1265" i="8"/>
  <c r="AB1266" i="8"/>
  <c r="AB1267" i="8"/>
  <c r="AB1268" i="8"/>
  <c r="AB1269" i="8"/>
  <c r="AB1270" i="8"/>
  <c r="AB1271" i="8"/>
  <c r="AB1272" i="8"/>
  <c r="AB1273" i="8"/>
  <c r="AB1274" i="8"/>
  <c r="AB1275" i="8"/>
  <c r="AB1276" i="8"/>
  <c r="AB1277" i="8"/>
  <c r="AB1278" i="8"/>
  <c r="AB1279" i="8"/>
  <c r="AB1280" i="8"/>
  <c r="AB1281" i="8"/>
  <c r="AB1282" i="8"/>
  <c r="AB1283" i="8"/>
  <c r="AB1284" i="8"/>
  <c r="AB1285" i="8"/>
  <c r="AB1286" i="8"/>
  <c r="AB1287" i="8"/>
  <c r="AB1288" i="8"/>
  <c r="AB1289" i="8"/>
  <c r="AB1290" i="8"/>
  <c r="AB1291" i="8"/>
  <c r="AB1292" i="8"/>
  <c r="AB1293" i="8"/>
  <c r="AB1294" i="8"/>
  <c r="AB1295" i="8"/>
  <c r="AB1296" i="8"/>
  <c r="AB1297" i="8"/>
  <c r="AB1298" i="8"/>
  <c r="AB1299" i="8"/>
  <c r="AB1300" i="8"/>
  <c r="AB1301" i="8"/>
  <c r="AB1302" i="8"/>
  <c r="AB1303" i="8"/>
  <c r="AB1304" i="8"/>
  <c r="AB1305" i="8"/>
  <c r="AB1306" i="8"/>
  <c r="AB1307" i="8"/>
  <c r="AB1308" i="8"/>
  <c r="AB1309" i="8"/>
  <c r="AB1310" i="8"/>
  <c r="AB1311" i="8"/>
  <c r="AB1312" i="8"/>
  <c r="AB1313" i="8"/>
  <c r="AB1314" i="8"/>
  <c r="AB1315" i="8"/>
  <c r="AB1316" i="8"/>
  <c r="AB1317" i="8"/>
  <c r="AB1318" i="8"/>
  <c r="AB1319" i="8"/>
  <c r="AB1320" i="8"/>
  <c r="AB1321" i="8"/>
  <c r="AB1322" i="8"/>
  <c r="AB1323" i="8"/>
  <c r="AB1324" i="8"/>
  <c r="AB1325" i="8"/>
  <c r="AB1326" i="8"/>
  <c r="AB1327" i="8"/>
  <c r="AB1328" i="8"/>
  <c r="AB1329" i="8"/>
  <c r="AB1330" i="8"/>
  <c r="AB1331" i="8"/>
  <c r="AB1332" i="8"/>
  <c r="AB1333" i="8"/>
  <c r="AB1334" i="8"/>
  <c r="AB1335" i="8"/>
  <c r="AB1336" i="8"/>
  <c r="AB1337" i="8"/>
  <c r="AB1338" i="8"/>
  <c r="AB1339" i="8"/>
  <c r="AB1340" i="8"/>
  <c r="AB1341" i="8"/>
  <c r="AB1342" i="8"/>
  <c r="AB1343" i="8"/>
  <c r="AB1344" i="8"/>
  <c r="AB1345" i="8"/>
  <c r="AB1346" i="8"/>
  <c r="AB1347" i="8"/>
  <c r="AB1348" i="8"/>
  <c r="AB1349" i="8"/>
  <c r="AB1350" i="8"/>
  <c r="AB1351" i="8"/>
  <c r="AB1352" i="8"/>
  <c r="AB1353" i="8"/>
  <c r="AB1354" i="8"/>
  <c r="AB1355" i="8"/>
  <c r="AB1356" i="8"/>
  <c r="AB1357" i="8"/>
  <c r="AB1358" i="8"/>
  <c r="AB1359" i="8"/>
  <c r="AB1360" i="8"/>
  <c r="AB1361" i="8"/>
  <c r="AB1362" i="8"/>
  <c r="AB1363" i="8"/>
  <c r="AB1364" i="8"/>
  <c r="AB1365" i="8"/>
  <c r="AB1366" i="8"/>
  <c r="AB1367" i="8"/>
  <c r="AB1368" i="8"/>
  <c r="AB1369" i="8"/>
  <c r="AB1370" i="8"/>
  <c r="AB1371" i="8"/>
  <c r="AB1372" i="8"/>
  <c r="AB1373" i="8"/>
  <c r="AB1374" i="8"/>
  <c r="AB1375" i="8"/>
  <c r="AB1376" i="8"/>
  <c r="AB1377" i="8"/>
  <c r="AB1378" i="8"/>
  <c r="AB1379" i="8"/>
  <c r="AB1380" i="8"/>
  <c r="AB1381" i="8"/>
  <c r="AB1382" i="8"/>
  <c r="AB1383" i="8"/>
  <c r="AB1384" i="8"/>
  <c r="AB1385" i="8"/>
  <c r="AB1386" i="8"/>
  <c r="AB1387" i="8"/>
  <c r="AB1388" i="8"/>
  <c r="AB1389" i="8"/>
  <c r="AB1390" i="8"/>
  <c r="AB1391" i="8"/>
  <c r="AB1392" i="8"/>
  <c r="AB1393" i="8"/>
  <c r="AB1394" i="8"/>
  <c r="AB1395" i="8"/>
  <c r="AB1396" i="8"/>
  <c r="AB1397" i="8"/>
  <c r="AB1398" i="8"/>
  <c r="AB1399" i="8"/>
  <c r="AB1400" i="8"/>
  <c r="AB1401" i="8"/>
  <c r="AB1402" i="8"/>
  <c r="AB1403" i="8"/>
  <c r="AB1404" i="8"/>
  <c r="AB1405" i="8"/>
  <c r="AB1406" i="8"/>
  <c r="AB1407" i="8"/>
  <c r="AB1408" i="8"/>
  <c r="AB1409" i="8"/>
  <c r="AB1410" i="8"/>
  <c r="AB1411" i="8"/>
  <c r="AB1412" i="8"/>
  <c r="AB1413" i="8"/>
  <c r="AB1414" i="8"/>
  <c r="AB1415" i="8"/>
  <c r="AB1416" i="8"/>
  <c r="AB1417" i="8"/>
  <c r="AB1418" i="8"/>
  <c r="AB1419" i="8"/>
  <c r="AB1420" i="8"/>
  <c r="AB1421" i="8"/>
  <c r="AB1422" i="8"/>
  <c r="AB1423" i="8"/>
  <c r="AB1424" i="8"/>
  <c r="AB1425" i="8"/>
  <c r="AB1426" i="8"/>
  <c r="AB1427" i="8"/>
  <c r="AB1428" i="8"/>
  <c r="AB1429" i="8"/>
  <c r="AB1430" i="8"/>
  <c r="AB1431" i="8"/>
  <c r="AB1432" i="8"/>
  <c r="AB1433" i="8"/>
  <c r="AB1434" i="8"/>
  <c r="AB1435" i="8"/>
  <c r="AB1436" i="8"/>
  <c r="AB1437" i="8"/>
  <c r="AB1438" i="8"/>
  <c r="AB1439" i="8"/>
  <c r="AB1440" i="8"/>
  <c r="AB1441" i="8"/>
  <c r="AB1442" i="8"/>
  <c r="AB1443" i="8"/>
  <c r="AB1444" i="8"/>
  <c r="AB1445" i="8"/>
  <c r="AB1446" i="8"/>
  <c r="AB1447" i="8"/>
  <c r="AB1448" i="8"/>
  <c r="AB1449" i="8"/>
  <c r="AB1450" i="8"/>
  <c r="AB1451" i="8"/>
  <c r="AB1452" i="8"/>
  <c r="AB1453" i="8"/>
  <c r="AB1454" i="8"/>
  <c r="AB1455" i="8"/>
  <c r="AB1456" i="8"/>
  <c r="AB1457" i="8"/>
  <c r="AB1458" i="8"/>
  <c r="AB1459" i="8"/>
  <c r="AB1460" i="8"/>
  <c r="AB1461" i="8"/>
  <c r="AB1462" i="8"/>
  <c r="AB1463" i="8"/>
  <c r="AB1464" i="8"/>
  <c r="AB1465" i="8"/>
  <c r="AB1466" i="8"/>
  <c r="AB1467" i="8"/>
  <c r="AB1468" i="8"/>
  <c r="AB1469" i="8"/>
  <c r="AB1470" i="8"/>
  <c r="AB1471" i="8"/>
  <c r="AB1472" i="8"/>
  <c r="AB1473" i="8"/>
  <c r="AB1474" i="8"/>
  <c r="AB1475" i="8"/>
  <c r="AB1476" i="8"/>
  <c r="AB1477" i="8"/>
  <c r="AB1478" i="8"/>
  <c r="AB1479" i="8"/>
  <c r="AB1480" i="8"/>
  <c r="AB1481" i="8"/>
  <c r="AB1482" i="8"/>
  <c r="AB1483" i="8"/>
  <c r="AB1484" i="8"/>
  <c r="AB1485" i="8"/>
  <c r="AB1486" i="8"/>
  <c r="AB1487" i="8"/>
  <c r="AB1488" i="8"/>
  <c r="AB1489" i="8"/>
  <c r="AB1490" i="8"/>
  <c r="AB1491" i="8"/>
  <c r="AB1492" i="8"/>
  <c r="AB1493" i="8"/>
  <c r="AB1494" i="8"/>
  <c r="AB1495" i="8"/>
  <c r="AB1496" i="8"/>
  <c r="AB1497" i="8"/>
  <c r="AB1498" i="8"/>
  <c r="AB1499" i="8"/>
  <c r="AB1500" i="8"/>
  <c r="AB1501" i="8"/>
  <c r="AB1502" i="8"/>
  <c r="AB1503" i="8"/>
  <c r="AB1504" i="8"/>
  <c r="AB1505" i="8"/>
  <c r="AB1506" i="8"/>
  <c r="AB1507" i="8"/>
  <c r="AB1508" i="8"/>
  <c r="AB1509" i="8"/>
  <c r="AB1510" i="8"/>
  <c r="AB1511" i="8"/>
  <c r="AB1512" i="8"/>
  <c r="AB1513" i="8"/>
  <c r="AB1514" i="8"/>
  <c r="AB1515" i="8"/>
  <c r="AB1516" i="8"/>
  <c r="AB1517" i="8"/>
  <c r="AB1518" i="8"/>
  <c r="AB1519" i="8"/>
  <c r="AB1520" i="8"/>
  <c r="AB1521" i="8"/>
  <c r="AB1522" i="8"/>
  <c r="AB1523" i="8"/>
  <c r="AB1524" i="8"/>
  <c r="AB1525" i="8"/>
  <c r="AB1526" i="8"/>
  <c r="AB1527" i="8"/>
  <c r="AB1528" i="8"/>
  <c r="AB1529" i="8"/>
  <c r="AB1530" i="8"/>
  <c r="AB1531" i="8"/>
  <c r="AB1532" i="8"/>
  <c r="AB1533" i="8"/>
  <c r="AB1534" i="8"/>
  <c r="AB1535" i="8"/>
  <c r="AB1536" i="8"/>
  <c r="AB1537" i="8"/>
  <c r="AB1538" i="8"/>
  <c r="AB1539" i="8"/>
  <c r="AB1540" i="8"/>
  <c r="AB1541" i="8"/>
  <c r="AB1542" i="8"/>
  <c r="AB1543" i="8"/>
  <c r="AB1544" i="8"/>
  <c r="AB1545" i="8"/>
  <c r="AB1546" i="8"/>
  <c r="AB1547" i="8"/>
  <c r="AB1548" i="8"/>
  <c r="AB1549" i="8"/>
  <c r="AB1550" i="8"/>
  <c r="AB1551" i="8"/>
  <c r="AB1552" i="8"/>
  <c r="AB1553" i="8"/>
  <c r="AB1554" i="8"/>
  <c r="AB1555" i="8"/>
  <c r="AB1556" i="8"/>
  <c r="AB1557" i="8"/>
  <c r="AB1558" i="8"/>
  <c r="AB1559" i="8"/>
  <c r="AB1560" i="8"/>
  <c r="AB1561" i="8"/>
  <c r="AB1562" i="8"/>
  <c r="AB1563" i="8"/>
  <c r="AB1564" i="8"/>
  <c r="AB1565" i="8"/>
  <c r="AB1566" i="8"/>
  <c r="AB1567" i="8"/>
  <c r="AB1568" i="8"/>
  <c r="AB1569" i="8"/>
  <c r="AB1570" i="8"/>
  <c r="AB1571" i="8"/>
  <c r="AB1572" i="8"/>
  <c r="AB1573" i="8"/>
  <c r="AB1574" i="8"/>
  <c r="AB1575" i="8"/>
  <c r="AB1576" i="8"/>
  <c r="AB1577" i="8"/>
  <c r="AB1578" i="8"/>
  <c r="AB1579" i="8"/>
  <c r="AB1580" i="8"/>
  <c r="AB1581" i="8"/>
  <c r="AB1582" i="8"/>
  <c r="AB1583" i="8"/>
  <c r="AB1584" i="8"/>
  <c r="AB1585" i="8"/>
  <c r="AB1586" i="8"/>
  <c r="AB1587" i="8"/>
  <c r="AB1588" i="8"/>
  <c r="AB1589" i="8"/>
  <c r="AB1590" i="8"/>
  <c r="AB1591" i="8"/>
  <c r="AB1592" i="8"/>
  <c r="AB1593" i="8"/>
  <c r="AB1594" i="8"/>
  <c r="AB1595" i="8"/>
  <c r="AB1596" i="8"/>
  <c r="AB1597" i="8"/>
  <c r="AB1598" i="8"/>
  <c r="AB1599" i="8"/>
  <c r="AB1600" i="8"/>
  <c r="AB1601" i="8"/>
  <c r="AB1602" i="8"/>
  <c r="AB1603" i="8"/>
  <c r="AB1604" i="8"/>
  <c r="AB1605" i="8"/>
  <c r="AB1606" i="8"/>
  <c r="AB1607" i="8"/>
  <c r="AB1608" i="8"/>
  <c r="AB1609" i="8"/>
  <c r="AB1610" i="8"/>
  <c r="AB1611" i="8"/>
  <c r="AB1612" i="8"/>
  <c r="AB1613" i="8"/>
  <c r="AB1614" i="8"/>
  <c r="AB1615" i="8"/>
  <c r="AB1616" i="8"/>
  <c r="AB1617" i="8"/>
  <c r="AB1618" i="8"/>
  <c r="AB1619" i="8"/>
  <c r="AB1620" i="8"/>
  <c r="AB1621" i="8"/>
  <c r="AB1622" i="8"/>
  <c r="AB1623" i="8"/>
  <c r="AB1624" i="8"/>
  <c r="AB1625" i="8"/>
  <c r="AB1626" i="8"/>
  <c r="AB1627" i="8"/>
  <c r="AB1628" i="8"/>
  <c r="AB1629" i="8"/>
  <c r="AB1630" i="8"/>
  <c r="AB1631" i="8"/>
  <c r="AB1632" i="8"/>
  <c r="AB1633" i="8"/>
  <c r="AB1634" i="8"/>
  <c r="AB1635" i="8"/>
  <c r="AB1636" i="8"/>
  <c r="AB1637" i="8"/>
  <c r="AB1638" i="8"/>
  <c r="AB1639" i="8"/>
  <c r="AB1640" i="8"/>
  <c r="AB1641" i="8"/>
  <c r="AB1642" i="8"/>
  <c r="AB1643" i="8"/>
  <c r="AB1644" i="8"/>
  <c r="AB1645" i="8"/>
  <c r="AB1646" i="8"/>
  <c r="AB1647" i="8"/>
  <c r="AB1648" i="8"/>
  <c r="AB1649" i="8"/>
  <c r="AB1650" i="8"/>
  <c r="AB1651" i="8"/>
  <c r="AB1652" i="8"/>
  <c r="AB1653" i="8"/>
  <c r="AB1654" i="8"/>
  <c r="AB1655" i="8"/>
  <c r="AB1656" i="8"/>
  <c r="AB1657" i="8"/>
  <c r="AB1658" i="8"/>
  <c r="AB1659" i="8"/>
  <c r="AB1660" i="8"/>
  <c r="AB1661" i="8"/>
  <c r="AB1662" i="8"/>
  <c r="AB1663" i="8"/>
  <c r="AB1664" i="8"/>
  <c r="AB1665" i="8"/>
  <c r="AB1666" i="8"/>
  <c r="AB1667" i="8"/>
  <c r="AB1668" i="8"/>
  <c r="AB1669" i="8"/>
  <c r="AB1670" i="8"/>
  <c r="AB1671" i="8"/>
  <c r="AB1672" i="8"/>
  <c r="AB1673" i="8"/>
  <c r="AB1674" i="8"/>
  <c r="AB1675" i="8"/>
  <c r="AB1676" i="8"/>
  <c r="AB1677" i="8"/>
  <c r="AB1678" i="8"/>
  <c r="AB1679" i="8"/>
  <c r="AB1680" i="8"/>
  <c r="AB1681" i="8"/>
  <c r="AB1682" i="8"/>
  <c r="AB1683" i="8"/>
  <c r="AB1684" i="8"/>
  <c r="AB1685" i="8"/>
  <c r="AB1686" i="8"/>
  <c r="AB1687" i="8"/>
  <c r="AB1688" i="8"/>
  <c r="AB1689" i="8"/>
  <c r="AB1690" i="8"/>
  <c r="AB1691" i="8"/>
  <c r="AB1692" i="8"/>
  <c r="AB1693" i="8"/>
  <c r="AB1694" i="8"/>
  <c r="AB1695" i="8"/>
  <c r="AB1696" i="8"/>
  <c r="AB1697" i="8"/>
  <c r="AB1698" i="8"/>
  <c r="AB1699" i="8"/>
  <c r="AB1700" i="8"/>
  <c r="AB1701" i="8"/>
  <c r="AB1702" i="8"/>
  <c r="AB1703" i="8"/>
  <c r="AB1704" i="8"/>
  <c r="AB1705" i="8"/>
  <c r="AB1706" i="8"/>
  <c r="AB1707" i="8"/>
  <c r="AB1708" i="8"/>
  <c r="AB1709" i="8"/>
  <c r="AB1710" i="8"/>
  <c r="AB1711" i="8"/>
  <c r="AB1712" i="8"/>
  <c r="AB1713" i="8"/>
  <c r="AB1714" i="8"/>
  <c r="AB1715" i="8"/>
  <c r="AB1716" i="8"/>
  <c r="AB1717" i="8"/>
  <c r="AB1718" i="8"/>
  <c r="AB1719" i="8"/>
  <c r="AB1720" i="8"/>
  <c r="AB1721" i="8"/>
  <c r="AB1722" i="8"/>
  <c r="AB1723" i="8"/>
  <c r="AB1724" i="8"/>
  <c r="AB1725" i="8"/>
  <c r="AB1726" i="8"/>
  <c r="AB1727" i="8"/>
  <c r="AB1728" i="8"/>
  <c r="AB1729" i="8"/>
  <c r="AB1730" i="8"/>
  <c r="AB1731" i="8"/>
  <c r="AB1732" i="8"/>
  <c r="AB1733" i="8"/>
  <c r="AB1734" i="8"/>
  <c r="AB1735" i="8"/>
  <c r="AB1736" i="8"/>
  <c r="AB1737" i="8"/>
  <c r="AB1738" i="8"/>
  <c r="AB1739" i="8"/>
  <c r="AB1740" i="8"/>
  <c r="AB1741" i="8"/>
  <c r="AB1742" i="8"/>
  <c r="AB1743" i="8"/>
  <c r="AB1744" i="8"/>
  <c r="AB1745" i="8"/>
  <c r="AB1746" i="8"/>
  <c r="AB1747" i="8"/>
  <c r="AB1748" i="8"/>
  <c r="AB1749" i="8"/>
  <c r="AB1750" i="8"/>
  <c r="AB1751" i="8"/>
  <c r="AB1752" i="8"/>
  <c r="AB1753" i="8"/>
  <c r="AB1754" i="8"/>
  <c r="AB1755" i="8"/>
  <c r="AB1756" i="8"/>
  <c r="AB1757" i="8"/>
  <c r="AB1758" i="8"/>
  <c r="AB1759" i="8"/>
  <c r="AB1760" i="8"/>
  <c r="AB1761" i="8"/>
  <c r="AB1762" i="8"/>
  <c r="AB1763" i="8"/>
  <c r="AB1764" i="8"/>
  <c r="AB1765" i="8"/>
  <c r="AB1766" i="8"/>
  <c r="AB1767" i="8"/>
  <c r="AB1768" i="8"/>
  <c r="AB1769" i="8"/>
  <c r="AB1770" i="8"/>
  <c r="AB1771" i="8"/>
  <c r="AB1772" i="8"/>
  <c r="AB1773" i="8"/>
  <c r="AB1774" i="8"/>
  <c r="AB1775" i="8"/>
  <c r="AB1776" i="8"/>
  <c r="AB1777" i="8"/>
  <c r="AB1778" i="8"/>
  <c r="AB1779" i="8"/>
  <c r="AB1780" i="8"/>
  <c r="AB1781" i="8"/>
  <c r="AB1782" i="8"/>
  <c r="AB1783" i="8"/>
  <c r="AB1784" i="8"/>
  <c r="AB1785" i="8"/>
  <c r="AB1786" i="8"/>
  <c r="AB1787" i="8"/>
  <c r="AB1788" i="8"/>
  <c r="AB1789" i="8"/>
  <c r="AB1790" i="8"/>
  <c r="AB1791" i="8"/>
  <c r="AB1792" i="8"/>
  <c r="AB1793" i="8"/>
  <c r="AB1794" i="8"/>
  <c r="AB1795" i="8"/>
  <c r="AB1796" i="8"/>
  <c r="AB1797" i="8"/>
  <c r="AB1798" i="8"/>
  <c r="AB1799" i="8"/>
  <c r="AB1800" i="8"/>
  <c r="AB1801" i="8"/>
  <c r="AB1802" i="8"/>
  <c r="AB1803" i="8"/>
  <c r="AB1804" i="8"/>
  <c r="AB1805" i="8"/>
  <c r="AB1806" i="8"/>
  <c r="AB1807" i="8"/>
  <c r="AB1808" i="8"/>
  <c r="AB1809" i="8"/>
  <c r="AB1810" i="8"/>
  <c r="AB1811" i="8"/>
  <c r="AB1812" i="8"/>
  <c r="AB1813" i="8"/>
  <c r="AB1814" i="8"/>
  <c r="AB1815" i="8"/>
  <c r="AB1816" i="8"/>
  <c r="AB1817" i="8"/>
  <c r="AB1818" i="8"/>
  <c r="AB1819" i="8"/>
  <c r="AB1820" i="8"/>
  <c r="AB1821" i="8"/>
  <c r="AB1822" i="8"/>
  <c r="AB1823" i="8"/>
  <c r="AB1824" i="8"/>
  <c r="AB1825" i="8"/>
  <c r="AB1826" i="8"/>
  <c r="AB1827" i="8"/>
  <c r="AB1828" i="8"/>
  <c r="AB1829" i="8"/>
  <c r="AB1830" i="8"/>
  <c r="AB1831" i="8"/>
  <c r="AB1832" i="8"/>
  <c r="AB1833" i="8"/>
  <c r="AB1834" i="8"/>
  <c r="AB1835" i="8"/>
  <c r="AB1836" i="8"/>
  <c r="AB1837" i="8"/>
  <c r="AB1838" i="8"/>
  <c r="AB1839" i="8"/>
  <c r="AB1840" i="8"/>
  <c r="AB1841" i="8"/>
  <c r="AB1842" i="8"/>
  <c r="AB1843" i="8"/>
  <c r="AB1844" i="8"/>
  <c r="AB1845" i="8"/>
  <c r="AB1846" i="8"/>
  <c r="AB1847" i="8"/>
  <c r="AB1848" i="8"/>
  <c r="AB1849" i="8"/>
  <c r="AB1850" i="8"/>
  <c r="AB1851" i="8"/>
  <c r="AB1852" i="8"/>
  <c r="AB1853" i="8"/>
  <c r="AB1854" i="8"/>
  <c r="AB1855" i="8"/>
  <c r="AB1856" i="8"/>
  <c r="AB1857" i="8"/>
  <c r="AB1858" i="8"/>
  <c r="AB1859" i="8"/>
  <c r="AB1860" i="8"/>
  <c r="AB1861" i="8"/>
  <c r="AB1862" i="8"/>
  <c r="AB1863" i="8"/>
  <c r="AB1864" i="8"/>
  <c r="AB1865" i="8"/>
  <c r="AB1866" i="8"/>
  <c r="AB1867" i="8"/>
  <c r="AB1868" i="8"/>
  <c r="AB1869" i="8"/>
  <c r="AB1870" i="8"/>
  <c r="AB1871" i="8"/>
  <c r="AB1872" i="8"/>
  <c r="AB1873" i="8"/>
  <c r="AB1874" i="8"/>
  <c r="AB1875" i="8"/>
  <c r="AB1876" i="8"/>
  <c r="AB1877" i="8"/>
  <c r="AB1878" i="8"/>
  <c r="AB1879" i="8"/>
  <c r="AB1880" i="8"/>
  <c r="AB1881" i="8"/>
  <c r="AB1882" i="8"/>
  <c r="AB1883" i="8"/>
  <c r="AB1884" i="8"/>
  <c r="AB1885" i="8"/>
  <c r="AB1886" i="8"/>
  <c r="AB1887" i="8"/>
  <c r="AB1888" i="8"/>
  <c r="AB1889" i="8"/>
  <c r="AB1890" i="8"/>
  <c r="AB1891" i="8"/>
  <c r="AB1892" i="8"/>
  <c r="AB1893" i="8"/>
  <c r="AB1894" i="8"/>
  <c r="AB1895" i="8"/>
  <c r="AB1896" i="8"/>
  <c r="AB1897" i="8"/>
  <c r="AB1898" i="8"/>
  <c r="AB1899" i="8"/>
  <c r="AB1900" i="8"/>
  <c r="AB1901" i="8"/>
  <c r="AB1902" i="8"/>
  <c r="AB1903" i="8"/>
  <c r="AB1904" i="8"/>
  <c r="AB1905" i="8"/>
  <c r="AB1906" i="8"/>
  <c r="AB1907" i="8"/>
  <c r="AB1908" i="8"/>
  <c r="AB1909" i="8"/>
  <c r="AB1910" i="8"/>
  <c r="AB1911" i="8"/>
  <c r="AB1912" i="8"/>
  <c r="AB1913" i="8"/>
  <c r="AB1914" i="8"/>
  <c r="AB1915" i="8"/>
  <c r="AB1916" i="8"/>
  <c r="AB1917" i="8"/>
  <c r="AB1918" i="8"/>
  <c r="AB1919" i="8"/>
  <c r="AB1920" i="8"/>
  <c r="AB1921" i="8"/>
  <c r="AB1922" i="8"/>
  <c r="AB1923" i="8"/>
  <c r="AB1924" i="8"/>
  <c r="AB1925" i="8"/>
  <c r="AB1926" i="8"/>
  <c r="AB1927" i="8"/>
  <c r="AB1928" i="8"/>
  <c r="AB1929" i="8"/>
  <c r="AB1930" i="8"/>
  <c r="AB1931" i="8"/>
  <c r="AB1932" i="8"/>
  <c r="AB1933" i="8"/>
  <c r="AB1934" i="8"/>
  <c r="AB1935" i="8"/>
  <c r="AB1936" i="8"/>
  <c r="AB1937" i="8"/>
  <c r="AB1938" i="8"/>
  <c r="AB1939" i="8"/>
  <c r="AB1940" i="8"/>
  <c r="AB1941" i="8"/>
  <c r="AB1942" i="8"/>
  <c r="AB1943" i="8"/>
  <c r="AB1944" i="8"/>
  <c r="AB1945" i="8"/>
  <c r="AB1946" i="8"/>
  <c r="AB1947" i="8"/>
  <c r="AB1948" i="8"/>
  <c r="AB1949" i="8"/>
  <c r="AB1950" i="8"/>
  <c r="AB1951" i="8"/>
  <c r="AB1952" i="8"/>
  <c r="AB1953" i="8"/>
  <c r="AB1954" i="8"/>
  <c r="AB1955" i="8"/>
  <c r="AB1956" i="8"/>
  <c r="AB1957" i="8"/>
  <c r="AB1958" i="8"/>
  <c r="AB1959" i="8"/>
  <c r="AB1960" i="8"/>
  <c r="AB1961" i="8"/>
  <c r="AB1962" i="8"/>
  <c r="AB1963" i="8"/>
  <c r="AB1964" i="8"/>
  <c r="AB1965" i="8"/>
  <c r="AB1966" i="8"/>
  <c r="AB1967" i="8"/>
  <c r="AB1968" i="8"/>
  <c r="AB1969" i="8"/>
  <c r="AB1970" i="8"/>
  <c r="AB1971" i="8"/>
  <c r="AB1972" i="8"/>
  <c r="AB1973" i="8"/>
  <c r="AB1974" i="8"/>
  <c r="AB1975" i="8"/>
  <c r="AB1976" i="8"/>
  <c r="AB1977" i="8"/>
  <c r="AB1978" i="8"/>
  <c r="AB1979" i="8"/>
  <c r="AB1980" i="8"/>
  <c r="AB1981" i="8"/>
  <c r="AB1982" i="8"/>
  <c r="AB1983" i="8"/>
  <c r="AB1984" i="8"/>
  <c r="AB1985" i="8"/>
  <c r="AB1986" i="8"/>
  <c r="AB1987" i="8"/>
  <c r="AB1988" i="8"/>
  <c r="AB1989" i="8"/>
  <c r="AB1990" i="8"/>
  <c r="AB1991" i="8"/>
  <c r="AB1992" i="8"/>
  <c r="AB1993" i="8"/>
  <c r="AB1994" i="8"/>
  <c r="AB1995" i="8"/>
  <c r="AB1996" i="8"/>
  <c r="AB1997" i="8"/>
  <c r="AB1998" i="8"/>
  <c r="AB1999" i="8"/>
  <c r="AB2000" i="8"/>
  <c r="AB2001" i="8"/>
  <c r="AB2002" i="8"/>
  <c r="AB2003" i="8"/>
  <c r="AB2004" i="8"/>
  <c r="AB2005" i="8"/>
  <c r="AB2006" i="8"/>
  <c r="AB2007" i="8"/>
  <c r="AB2008" i="8"/>
  <c r="AB2009" i="8"/>
  <c r="AB2010" i="8"/>
  <c r="AB2011" i="8"/>
  <c r="AB2012" i="8"/>
  <c r="AB2013" i="8"/>
  <c r="AB2014" i="8"/>
  <c r="AB2015" i="8"/>
  <c r="AB2016" i="8"/>
  <c r="AB2017" i="8"/>
  <c r="AB2018" i="8"/>
  <c r="AB2019" i="8"/>
  <c r="AB2020" i="8"/>
  <c r="AB2021" i="8"/>
  <c r="AB2022" i="8"/>
  <c r="AB2023" i="8"/>
  <c r="AB2024" i="8"/>
  <c r="AB2025" i="8"/>
  <c r="AB2026" i="8"/>
  <c r="AB2027" i="8"/>
  <c r="AB2028" i="8"/>
  <c r="AB2029" i="8"/>
  <c r="AB2030" i="8"/>
  <c r="AB2031" i="8"/>
  <c r="AB2032" i="8"/>
  <c r="AB2033" i="8"/>
  <c r="AB2034" i="8"/>
  <c r="AB2035" i="8"/>
  <c r="AB2036" i="8"/>
  <c r="AB2037" i="8"/>
  <c r="AB2038" i="8"/>
  <c r="AB2039" i="8"/>
  <c r="AB2040" i="8"/>
  <c r="AB2041" i="8"/>
  <c r="AB2042" i="8"/>
  <c r="AB2043" i="8"/>
  <c r="AB2044" i="8"/>
  <c r="AB2045" i="8"/>
  <c r="AB2046" i="8"/>
  <c r="AB2047" i="8"/>
  <c r="AB2048" i="8"/>
  <c r="AB2049" i="8"/>
  <c r="AB2050" i="8"/>
  <c r="AB2051" i="8"/>
  <c r="AB2052" i="8"/>
  <c r="AB2053" i="8"/>
  <c r="AB2054" i="8"/>
  <c r="AB2055" i="8"/>
  <c r="AB2056" i="8"/>
  <c r="AB2057" i="8"/>
  <c r="AB2058" i="8"/>
  <c r="AB2059" i="8"/>
  <c r="AB2060" i="8"/>
  <c r="AB2061" i="8"/>
  <c r="AB2062" i="8"/>
  <c r="AB2063" i="8"/>
  <c r="AB2064" i="8"/>
  <c r="AB2065" i="8"/>
  <c r="AB2066" i="8"/>
  <c r="AB2067" i="8"/>
  <c r="AB2068" i="8"/>
  <c r="AB2069" i="8"/>
  <c r="AB2070" i="8"/>
  <c r="AB2071" i="8"/>
  <c r="AB2072" i="8"/>
  <c r="AB2073" i="8"/>
  <c r="AB2074" i="8"/>
  <c r="AB2075" i="8"/>
  <c r="AB2076" i="8"/>
  <c r="AB2077" i="8"/>
  <c r="AB2078" i="8"/>
  <c r="AB2079" i="8"/>
  <c r="AB2080" i="8"/>
  <c r="AB2081" i="8"/>
  <c r="AB2082" i="8"/>
  <c r="AB2083" i="8"/>
  <c r="AB2084" i="8"/>
  <c r="AB2085" i="8"/>
  <c r="AB2086" i="8"/>
  <c r="AB2087" i="8"/>
  <c r="AB2088" i="8"/>
  <c r="AB2089" i="8"/>
  <c r="AB2090" i="8"/>
  <c r="AB2091" i="8"/>
  <c r="AB2092" i="8"/>
  <c r="AB2093" i="8"/>
  <c r="AB2094" i="8"/>
  <c r="AB2095" i="8"/>
  <c r="AB2096" i="8"/>
  <c r="AB2097" i="8"/>
  <c r="AB2098" i="8"/>
  <c r="AB2099" i="8"/>
  <c r="AB2100" i="8"/>
  <c r="AB2101" i="8"/>
  <c r="AB2102" i="8"/>
  <c r="AB2103" i="8"/>
  <c r="AB2104" i="8"/>
  <c r="AB2105" i="8"/>
  <c r="AB2106" i="8"/>
  <c r="AB2107" i="8"/>
  <c r="AB2108" i="8"/>
  <c r="AB2109" i="8"/>
  <c r="AB2110" i="8"/>
  <c r="AB2111" i="8"/>
  <c r="AB2112" i="8"/>
  <c r="AB2113" i="8"/>
  <c r="AB2114" i="8"/>
  <c r="AB2115" i="8"/>
  <c r="AB2116" i="8"/>
  <c r="AB2117" i="8"/>
  <c r="AB2118" i="8"/>
  <c r="AB2119" i="8"/>
  <c r="AB2120" i="8"/>
  <c r="AB2121" i="8"/>
  <c r="AB2122" i="8"/>
  <c r="AB2123" i="8"/>
  <c r="AB2124" i="8"/>
  <c r="AB2125" i="8"/>
  <c r="AB2126" i="8"/>
  <c r="AB2127" i="8"/>
  <c r="AB2128" i="8"/>
  <c r="AB2129" i="8"/>
  <c r="AB2130" i="8"/>
  <c r="AB2131" i="8"/>
  <c r="AB2132" i="8"/>
  <c r="AB2133" i="8"/>
  <c r="AB2134" i="8"/>
  <c r="AB2135" i="8"/>
  <c r="AB2136" i="8"/>
  <c r="AB2137" i="8"/>
  <c r="AB2138" i="8"/>
  <c r="AB2139" i="8"/>
  <c r="AB2140" i="8"/>
  <c r="AB2141" i="8"/>
  <c r="AB2142" i="8"/>
  <c r="AB2143" i="8"/>
  <c r="AB2144" i="8"/>
  <c r="AB2145" i="8"/>
  <c r="AB2146" i="8"/>
  <c r="AB2147" i="8"/>
  <c r="AB2148" i="8"/>
  <c r="AB2149" i="8"/>
  <c r="AB2150" i="8"/>
  <c r="AB2151" i="8"/>
  <c r="AB2152" i="8"/>
  <c r="AB2153" i="8"/>
  <c r="AB2154" i="8"/>
  <c r="AB2155" i="8"/>
  <c r="AB2156" i="8"/>
  <c r="AB2157" i="8"/>
  <c r="AB2158" i="8"/>
  <c r="AB2159" i="8"/>
  <c r="AB2160" i="8"/>
  <c r="AB2161" i="8"/>
  <c r="AB2162" i="8"/>
  <c r="AB2163" i="8"/>
  <c r="AB2164" i="8"/>
  <c r="AB2165" i="8"/>
  <c r="AB2166" i="8"/>
  <c r="AB2167" i="8"/>
  <c r="AB2168" i="8"/>
  <c r="AB2169" i="8"/>
  <c r="AB2170" i="8"/>
  <c r="AB2171" i="8"/>
  <c r="AB2172" i="8"/>
  <c r="AB2173" i="8"/>
  <c r="AB2174" i="8"/>
  <c r="AB2175" i="8"/>
  <c r="AB2176" i="8"/>
  <c r="AB2177" i="8"/>
  <c r="AB2178" i="8"/>
  <c r="AB2179" i="8"/>
  <c r="AB2180" i="8"/>
  <c r="AB2181" i="8"/>
  <c r="AB2182" i="8"/>
  <c r="AB2183" i="8"/>
  <c r="AB2184" i="8"/>
  <c r="AB2185" i="8"/>
  <c r="AB2186" i="8"/>
  <c r="AB2187" i="8"/>
  <c r="AB2188" i="8"/>
  <c r="AB2189" i="8"/>
  <c r="AB2190" i="8"/>
  <c r="AB2191" i="8"/>
  <c r="AB2192" i="8"/>
  <c r="AB2193" i="8"/>
  <c r="AB2194" i="8"/>
  <c r="AB2195" i="8"/>
  <c r="AB2196" i="8"/>
  <c r="AB2197" i="8"/>
  <c r="AB2198" i="8"/>
  <c r="AB2199" i="8"/>
  <c r="AB2200" i="8"/>
  <c r="AB2201" i="8"/>
  <c r="AB2202" i="8"/>
  <c r="AB2203" i="8"/>
  <c r="AB2204" i="8"/>
  <c r="AB2205" i="8"/>
  <c r="AB2206" i="8"/>
  <c r="AB2207" i="8"/>
  <c r="AB2208" i="8"/>
  <c r="AB2209" i="8"/>
  <c r="AB2210" i="8"/>
  <c r="AB2211" i="8"/>
  <c r="AB2212" i="8"/>
  <c r="AB2213" i="8"/>
  <c r="AB2214" i="8"/>
  <c r="AB2215" i="8"/>
  <c r="AB2216" i="8"/>
  <c r="AB2217" i="8"/>
  <c r="AB2218" i="8"/>
  <c r="AB2219" i="8"/>
  <c r="AB2220" i="8"/>
  <c r="AB2221" i="8"/>
  <c r="AB2222" i="8"/>
  <c r="AB2223" i="8"/>
  <c r="AB2224" i="8"/>
  <c r="AB2225" i="8"/>
  <c r="AB2226" i="8"/>
  <c r="AB2227" i="8"/>
  <c r="AB2228" i="8"/>
  <c r="AB2229" i="8"/>
  <c r="AB2230" i="8"/>
  <c r="AB2231" i="8"/>
  <c r="AB2232" i="8"/>
  <c r="AB2233" i="8"/>
  <c r="AB2234" i="8"/>
  <c r="AB2235" i="8"/>
  <c r="AB2236" i="8"/>
  <c r="AB2237" i="8"/>
  <c r="AB2238" i="8"/>
  <c r="AB2239" i="8"/>
  <c r="AB2240" i="8"/>
  <c r="AB2241" i="8"/>
  <c r="AB2242" i="8"/>
  <c r="AB2243" i="8"/>
  <c r="AB2244" i="8"/>
  <c r="AB2245" i="8"/>
  <c r="AB2246" i="8"/>
  <c r="AB2247" i="8"/>
  <c r="AB2248" i="8"/>
  <c r="AB2249" i="8"/>
  <c r="AB2250" i="8"/>
  <c r="AB2251" i="8"/>
  <c r="AB2252" i="8"/>
  <c r="AB2253" i="8"/>
  <c r="AB2254" i="8"/>
  <c r="AB2255" i="8"/>
  <c r="AB2256" i="8"/>
  <c r="AB2257" i="8"/>
  <c r="AB2258" i="8"/>
  <c r="AB2259" i="8"/>
  <c r="AB2260" i="8"/>
  <c r="AB2261" i="8"/>
  <c r="AB2262" i="8"/>
  <c r="AB2263" i="8"/>
  <c r="AB2264" i="8"/>
  <c r="AB2265" i="8"/>
  <c r="AB2266" i="8"/>
  <c r="AB2267" i="8"/>
  <c r="AB2268" i="8"/>
  <c r="AB2269" i="8"/>
  <c r="AB2270" i="8"/>
  <c r="AB2271" i="8"/>
  <c r="AB2272" i="8"/>
  <c r="AB2273" i="8"/>
  <c r="AB2274" i="8"/>
  <c r="AB2275" i="8"/>
  <c r="AB2276" i="8"/>
  <c r="AB2277" i="8"/>
  <c r="AB2278" i="8"/>
  <c r="AB2279" i="8"/>
  <c r="AB2280" i="8"/>
  <c r="AB2281" i="8"/>
  <c r="AB2282" i="8"/>
  <c r="AB2283" i="8"/>
  <c r="AB2284" i="8"/>
  <c r="AB2285" i="8"/>
  <c r="AB2286" i="8"/>
  <c r="AB2287" i="8"/>
  <c r="AB2288" i="8"/>
  <c r="AB2289" i="8"/>
  <c r="AB2290" i="8"/>
  <c r="AB2291" i="8"/>
  <c r="AB2292" i="8"/>
  <c r="AB2293" i="8"/>
  <c r="AB2294" i="8"/>
  <c r="AB2295" i="8"/>
  <c r="AB2296" i="8"/>
  <c r="AB2297" i="8"/>
  <c r="AB2298" i="8"/>
  <c r="AB2299" i="8"/>
  <c r="AB2300" i="8"/>
  <c r="AB2301" i="8"/>
  <c r="AB2302" i="8"/>
  <c r="AB2303" i="8"/>
  <c r="AB2304" i="8"/>
  <c r="AB2305" i="8"/>
  <c r="AB2306" i="8"/>
  <c r="AB2307" i="8"/>
  <c r="AB2308" i="8"/>
  <c r="AB2309" i="8"/>
  <c r="AB2310" i="8"/>
  <c r="AB2311" i="8"/>
  <c r="AB2312" i="8"/>
  <c r="AB2313" i="8"/>
  <c r="AB2314" i="8"/>
  <c r="AB2315" i="8"/>
  <c r="AB2316" i="8"/>
  <c r="AB2317" i="8"/>
  <c r="AB2318" i="8"/>
  <c r="AB2319" i="8"/>
  <c r="AB2320" i="8"/>
  <c r="AB2321" i="8"/>
  <c r="AB2322" i="8"/>
  <c r="AB2323" i="8"/>
  <c r="AB2324" i="8"/>
  <c r="AB2325" i="8"/>
  <c r="AB2326" i="8"/>
  <c r="AB2327" i="8"/>
  <c r="AB2328" i="8"/>
  <c r="AB2329" i="8"/>
  <c r="AB2330" i="8"/>
  <c r="AB2331" i="8"/>
  <c r="AB2332" i="8"/>
  <c r="AB2333" i="8"/>
  <c r="AB2334" i="8"/>
  <c r="AB2335" i="8"/>
  <c r="AB2336" i="8"/>
  <c r="AB2337" i="8"/>
  <c r="AB2338" i="8"/>
  <c r="AB2339" i="8"/>
  <c r="AB2340" i="8"/>
  <c r="AB2341" i="8"/>
  <c r="AB2342" i="8"/>
  <c r="AB2343" i="8"/>
  <c r="AB2344" i="8"/>
  <c r="AB2345" i="8"/>
  <c r="AB2346" i="8"/>
  <c r="AB2347" i="8"/>
  <c r="AB2348" i="8"/>
  <c r="AB2349" i="8"/>
  <c r="AB2350" i="8"/>
  <c r="AB2351" i="8"/>
  <c r="AB2352" i="8"/>
  <c r="AB2353" i="8"/>
  <c r="AB2354" i="8"/>
  <c r="AB2355" i="8"/>
  <c r="AB2356" i="8"/>
  <c r="AB2357" i="8"/>
  <c r="AB2358" i="8"/>
  <c r="AB2359" i="8"/>
  <c r="AB2360" i="8"/>
  <c r="AB2361" i="8"/>
  <c r="AB2362" i="8"/>
  <c r="AB2363" i="8"/>
  <c r="AB2364" i="8"/>
  <c r="AB2365" i="8"/>
  <c r="AB2366" i="8"/>
  <c r="AB2367" i="8"/>
  <c r="AB2368" i="8"/>
  <c r="AB2369" i="8"/>
  <c r="AB2370" i="8"/>
  <c r="AB2371" i="8"/>
  <c r="AB2372" i="8"/>
  <c r="AB2373" i="8"/>
  <c r="AB2374" i="8"/>
  <c r="AB2375" i="8"/>
  <c r="AB2376" i="8"/>
  <c r="AB2377" i="8"/>
  <c r="AB2378" i="8"/>
  <c r="AB2379" i="8"/>
  <c r="AB2380" i="8"/>
  <c r="AB2381" i="8"/>
  <c r="AB2382" i="8"/>
  <c r="AB2383" i="8"/>
  <c r="AB2384" i="8"/>
  <c r="AB2385" i="8"/>
  <c r="AB2386" i="8"/>
  <c r="AB2387" i="8"/>
  <c r="AB2388" i="8"/>
  <c r="AB2389" i="8"/>
  <c r="AB2390" i="8"/>
  <c r="AB2391" i="8"/>
  <c r="AB2392" i="8"/>
  <c r="AB2393" i="8"/>
  <c r="AB2394" i="8"/>
  <c r="AB2395" i="8"/>
  <c r="AB2396" i="8"/>
  <c r="AB2397" i="8"/>
  <c r="AB2398" i="8"/>
  <c r="AB2399" i="8"/>
  <c r="AB2400" i="8"/>
  <c r="AB2401" i="8"/>
  <c r="AB2402" i="8"/>
  <c r="AB2403" i="8"/>
  <c r="AB2404" i="8"/>
  <c r="AB2405" i="8"/>
  <c r="AB2406" i="8"/>
  <c r="AB2407" i="8"/>
  <c r="AB2408" i="8"/>
  <c r="AB2409" i="8"/>
  <c r="AB2410" i="8"/>
  <c r="AB2411" i="8"/>
  <c r="AB2412" i="8"/>
  <c r="AB2413" i="8"/>
  <c r="AB2414" i="8"/>
  <c r="AB2415" i="8"/>
  <c r="AB2416" i="8"/>
  <c r="AB2417" i="8"/>
  <c r="AB2418" i="8"/>
  <c r="AB2419" i="8"/>
  <c r="AB2420" i="8"/>
  <c r="AB2421" i="8"/>
  <c r="AB2422" i="8"/>
  <c r="AB2423" i="8"/>
  <c r="AB2424" i="8"/>
  <c r="AB2425" i="8"/>
  <c r="AB2426" i="8"/>
  <c r="AB2427" i="8"/>
  <c r="AB2428" i="8"/>
  <c r="AB2429" i="8"/>
  <c r="AB2430" i="8"/>
  <c r="AB2431" i="8"/>
  <c r="AB2432" i="8"/>
  <c r="AB2433" i="8"/>
  <c r="AB2434" i="8"/>
  <c r="AB2435" i="8"/>
  <c r="AB2436" i="8"/>
  <c r="AB2437" i="8"/>
  <c r="AB2438" i="8"/>
  <c r="AB2439" i="8"/>
  <c r="AB2440" i="8"/>
  <c r="AB2441" i="8"/>
  <c r="AB2442" i="8"/>
  <c r="AB2443" i="8"/>
  <c r="AB2444" i="8"/>
  <c r="AB2445" i="8"/>
  <c r="AB2446" i="8"/>
  <c r="AB2447" i="8"/>
  <c r="AB2448" i="8"/>
  <c r="AB2449" i="8"/>
  <c r="AB2450" i="8"/>
  <c r="AB2451" i="8"/>
  <c r="AB2452" i="8"/>
  <c r="AB2453" i="8"/>
  <c r="AB2454" i="8"/>
  <c r="AB2455" i="8"/>
  <c r="AB2456" i="8"/>
  <c r="AB2457" i="8"/>
  <c r="AB2458" i="8"/>
  <c r="AB2459" i="8"/>
  <c r="AB2460" i="8"/>
  <c r="AB2461" i="8"/>
  <c r="AB2462" i="8"/>
  <c r="AB2463" i="8"/>
  <c r="AB2464" i="8"/>
  <c r="AB2465" i="8"/>
  <c r="AB2466" i="8"/>
  <c r="AB2467" i="8"/>
  <c r="AB2468" i="8"/>
  <c r="AB2469" i="8"/>
  <c r="AB2470" i="8"/>
  <c r="AB2471" i="8"/>
  <c r="AB2472" i="8"/>
  <c r="AB2473" i="8"/>
  <c r="AB2474" i="8"/>
  <c r="AB2475" i="8"/>
  <c r="AB2476" i="8"/>
  <c r="AB2477" i="8"/>
  <c r="AB2478" i="8"/>
  <c r="AB2479" i="8"/>
  <c r="AB2480" i="8"/>
  <c r="AB2481" i="8"/>
  <c r="AB2482" i="8"/>
  <c r="AB2483" i="8"/>
  <c r="AB2484" i="8"/>
  <c r="AB2485" i="8"/>
  <c r="AB2486" i="8"/>
  <c r="AB2487" i="8"/>
  <c r="AB2488" i="8"/>
  <c r="AB2489" i="8"/>
  <c r="AB2490" i="8"/>
  <c r="AB2491" i="8"/>
  <c r="AB2492" i="8"/>
  <c r="AB2493" i="8"/>
  <c r="AB2494" i="8"/>
  <c r="AB2495" i="8"/>
  <c r="AB2496" i="8"/>
  <c r="AB2497" i="8"/>
  <c r="AB2498" i="8"/>
  <c r="AB2499" i="8"/>
  <c r="AB2500" i="8"/>
  <c r="AB2501" i="8"/>
  <c r="AB2502" i="8"/>
  <c r="AB2503" i="8"/>
  <c r="AB2504" i="8"/>
  <c r="AB2505" i="8"/>
  <c r="AB2506" i="8"/>
  <c r="AB2507" i="8"/>
  <c r="AB2508" i="8"/>
  <c r="AB2509" i="8"/>
  <c r="AB2510" i="8"/>
  <c r="AB2511" i="8"/>
  <c r="AB2512" i="8"/>
  <c r="AB2513" i="8"/>
  <c r="AB2514" i="8"/>
  <c r="AB2515" i="8"/>
  <c r="AB2516" i="8"/>
  <c r="AB2517" i="8"/>
  <c r="AB2518" i="8"/>
  <c r="AB2519" i="8"/>
  <c r="AB2520" i="8"/>
  <c r="AB2521" i="8"/>
  <c r="AB2522" i="8"/>
  <c r="AB2523" i="8"/>
  <c r="AB2524" i="8"/>
  <c r="AB2525" i="8"/>
  <c r="AB2526" i="8"/>
  <c r="AB2527" i="8"/>
  <c r="AB2528" i="8"/>
  <c r="AB2529" i="8"/>
  <c r="AB2530" i="8"/>
  <c r="AB2531" i="8"/>
  <c r="AB2532" i="8"/>
  <c r="AB2533" i="8"/>
  <c r="AB2534" i="8"/>
  <c r="AB2535" i="8"/>
  <c r="AB2536" i="8"/>
  <c r="AB2537" i="8"/>
  <c r="AB2538" i="8"/>
  <c r="AB2539" i="8"/>
  <c r="AB2540" i="8"/>
  <c r="AB2541" i="8"/>
  <c r="AB2542" i="8"/>
  <c r="AB2543" i="8"/>
  <c r="AB2544" i="8"/>
  <c r="AB2545" i="8"/>
  <c r="AB2546" i="8"/>
  <c r="AB2547" i="8"/>
  <c r="AB2548" i="8"/>
  <c r="AB2549" i="8"/>
  <c r="AB2550" i="8"/>
  <c r="AB2551" i="8"/>
  <c r="AB2552" i="8"/>
  <c r="AB2553" i="8"/>
  <c r="AB2554" i="8"/>
  <c r="AB2555" i="8"/>
  <c r="AB2556" i="8"/>
  <c r="AB2557" i="8"/>
  <c r="AB2558" i="8"/>
  <c r="AB2559" i="8"/>
  <c r="AB2560" i="8"/>
  <c r="AB2561" i="8"/>
  <c r="AB2562" i="8"/>
  <c r="AB2563" i="8"/>
  <c r="AB2564" i="8"/>
  <c r="AB2565" i="8"/>
  <c r="AB2566" i="8"/>
  <c r="AB2567" i="8"/>
  <c r="AB2568" i="8"/>
  <c r="AB2569" i="8"/>
  <c r="AB2570" i="8"/>
  <c r="AB2571" i="8"/>
  <c r="AB2572" i="8"/>
  <c r="AB2573" i="8"/>
  <c r="AB2574" i="8"/>
  <c r="AB2575" i="8"/>
  <c r="AB2576" i="8"/>
  <c r="AB2577" i="8"/>
  <c r="AB2578" i="8"/>
  <c r="AB2579" i="8"/>
  <c r="AB2580" i="8"/>
  <c r="AB2581" i="8"/>
  <c r="AB2582" i="8"/>
  <c r="AB2583" i="8"/>
  <c r="AB2584" i="8"/>
  <c r="AB2585" i="8"/>
  <c r="AB2586" i="8"/>
  <c r="AB2587" i="8"/>
  <c r="AB2588" i="8"/>
  <c r="AB2589" i="8"/>
  <c r="AB2590" i="8"/>
  <c r="AB2591" i="8"/>
  <c r="AB2592" i="8"/>
  <c r="AB2593" i="8"/>
  <c r="AB2594" i="8"/>
  <c r="AB2595" i="8"/>
  <c r="AB2596" i="8"/>
  <c r="AB2597" i="8"/>
  <c r="AB2598" i="8"/>
  <c r="AB2599" i="8"/>
  <c r="AB2600" i="8"/>
  <c r="AB2601" i="8"/>
  <c r="AB2602" i="8"/>
  <c r="AB2603" i="8"/>
  <c r="AB2604" i="8"/>
  <c r="AB2605" i="8"/>
  <c r="AB2606" i="8"/>
  <c r="AB2607" i="8"/>
  <c r="AB2608" i="8"/>
  <c r="AB2609" i="8"/>
  <c r="AB2610" i="8"/>
  <c r="AB2611" i="8"/>
  <c r="AB2612" i="8"/>
  <c r="AB2613" i="8"/>
  <c r="AB2614" i="8"/>
  <c r="AB2615" i="8"/>
  <c r="AB2616" i="8"/>
  <c r="AB2617" i="8"/>
  <c r="AB2618" i="8"/>
  <c r="AB2619" i="8"/>
  <c r="AB2620" i="8"/>
  <c r="AB2621" i="8"/>
  <c r="AB2622" i="8"/>
  <c r="AB2623" i="8"/>
  <c r="AB2624" i="8"/>
  <c r="AB2625" i="8"/>
  <c r="AB2626" i="8"/>
  <c r="AB2627" i="8"/>
  <c r="AB2628" i="8"/>
  <c r="AB2629" i="8"/>
  <c r="AB2630" i="8"/>
  <c r="AB2631" i="8"/>
  <c r="AB2632" i="8"/>
  <c r="AB2633" i="8"/>
  <c r="AB2634" i="8"/>
  <c r="AB2635" i="8"/>
  <c r="AB2636" i="8"/>
  <c r="AB2637" i="8"/>
  <c r="AB2638" i="8"/>
  <c r="AB2639" i="8"/>
  <c r="AB2640" i="8"/>
  <c r="AB2641" i="8"/>
  <c r="AB2642" i="8"/>
  <c r="AB2643" i="8"/>
  <c r="AB2644" i="8"/>
  <c r="AB2645" i="8"/>
  <c r="AB2646" i="8"/>
  <c r="AB2647" i="8"/>
  <c r="AB2648" i="8"/>
  <c r="AB2649" i="8"/>
  <c r="AB2650" i="8"/>
  <c r="AB2651" i="8"/>
  <c r="AB2652" i="8"/>
  <c r="AB2653" i="8"/>
  <c r="AB2654" i="8"/>
  <c r="AB2655" i="8"/>
  <c r="AB2656" i="8"/>
  <c r="AB2657" i="8"/>
  <c r="AB2658" i="8"/>
  <c r="AB2659" i="8"/>
  <c r="AB2660" i="8"/>
  <c r="AB2661" i="8"/>
  <c r="AB2662" i="8"/>
  <c r="AB2663" i="8"/>
  <c r="AB2664" i="8"/>
  <c r="AB2665" i="8"/>
  <c r="AB2666" i="8"/>
  <c r="AB2667" i="8"/>
  <c r="AB2668" i="8"/>
  <c r="AB2669" i="8"/>
  <c r="AB2670" i="8"/>
  <c r="AB2671" i="8"/>
  <c r="AB2672" i="8"/>
  <c r="AB2673" i="8"/>
  <c r="AB2674" i="8"/>
  <c r="AB2675" i="8"/>
  <c r="AB2676" i="8"/>
  <c r="AB2677" i="8"/>
  <c r="AB2678" i="8"/>
  <c r="AB2679" i="8"/>
  <c r="AB2680" i="8"/>
  <c r="AB2681" i="8"/>
  <c r="AB2682" i="8"/>
  <c r="AB2683" i="8"/>
  <c r="AB2684" i="8"/>
  <c r="AB2685" i="8"/>
  <c r="AB2686" i="8"/>
  <c r="AB2687" i="8"/>
  <c r="AB2688" i="8"/>
  <c r="AB2689" i="8"/>
  <c r="AB2690" i="8"/>
  <c r="AB2691" i="8"/>
  <c r="AB2692" i="8"/>
  <c r="AB2693" i="8"/>
  <c r="AB2694" i="8"/>
  <c r="AB2695" i="8"/>
  <c r="AB2696" i="8"/>
  <c r="AB2697" i="8"/>
  <c r="AB2698" i="8"/>
  <c r="AB2699" i="8"/>
  <c r="AB2700" i="8"/>
  <c r="AB2701" i="8"/>
  <c r="AB2702" i="8"/>
  <c r="AB2703" i="8"/>
  <c r="AB2704" i="8"/>
  <c r="AB2705" i="8"/>
  <c r="AB2706" i="8"/>
  <c r="AB2707" i="8"/>
  <c r="AB2708" i="8"/>
  <c r="AB2709" i="8"/>
  <c r="AB2710" i="8"/>
  <c r="AB2711" i="8"/>
  <c r="AB2712" i="8"/>
  <c r="AB2713" i="8"/>
  <c r="AB2714" i="8"/>
  <c r="AB2715" i="8"/>
  <c r="AB2716" i="8"/>
  <c r="AB2717" i="8"/>
  <c r="AB2718" i="8"/>
  <c r="AB2719" i="8"/>
  <c r="AB2720" i="8"/>
  <c r="AB2721" i="8"/>
  <c r="AB2722" i="8"/>
  <c r="AB2723" i="8"/>
  <c r="AB2724" i="8"/>
  <c r="AB2725" i="8"/>
  <c r="AB2726" i="8"/>
  <c r="AB2727" i="8"/>
  <c r="AB2728" i="8"/>
  <c r="AB2729" i="8"/>
  <c r="Y563" i="8"/>
  <c r="Y564" i="8"/>
  <c r="Y565" i="8"/>
  <c r="Y566" i="8"/>
  <c r="Y567" i="8"/>
  <c r="Y568" i="8"/>
  <c r="Y569" i="8"/>
  <c r="Y570" i="8"/>
  <c r="Y571" i="8"/>
  <c r="Y572" i="8"/>
  <c r="Y573" i="8"/>
  <c r="Y574" i="8"/>
  <c r="Y575" i="8"/>
  <c r="Y576" i="8"/>
  <c r="Y577" i="8"/>
  <c r="Y578" i="8"/>
  <c r="Y579" i="8"/>
  <c r="Y580" i="8"/>
  <c r="Y581" i="8"/>
  <c r="Y582" i="8"/>
  <c r="Y583" i="8"/>
  <c r="Y584" i="8"/>
  <c r="Y585" i="8"/>
  <c r="Y586" i="8"/>
  <c r="Y587" i="8"/>
  <c r="Y588" i="8"/>
  <c r="Y589" i="8"/>
  <c r="Y590" i="8"/>
  <c r="Y591" i="8"/>
  <c r="Y592" i="8"/>
  <c r="Y593" i="8"/>
  <c r="Y594" i="8"/>
  <c r="Y595" i="8"/>
  <c r="Y596" i="8"/>
  <c r="Y597" i="8"/>
  <c r="Y598" i="8"/>
  <c r="Y599" i="8"/>
  <c r="Y600" i="8"/>
  <c r="Y601" i="8"/>
  <c r="Y602" i="8"/>
  <c r="Y603" i="8"/>
  <c r="Y604" i="8"/>
  <c r="Y605" i="8"/>
  <c r="Y606" i="8"/>
  <c r="Y607" i="8"/>
  <c r="Y608" i="8"/>
  <c r="Y609" i="8"/>
  <c r="Y610" i="8"/>
  <c r="Y611" i="8"/>
  <c r="Y612" i="8"/>
  <c r="Y613" i="8"/>
  <c r="Y614" i="8"/>
  <c r="Y615" i="8"/>
  <c r="Y616" i="8"/>
  <c r="Y617" i="8"/>
  <c r="Y618" i="8"/>
  <c r="Y619" i="8"/>
  <c r="Y620" i="8"/>
  <c r="Y621" i="8"/>
  <c r="Y622" i="8"/>
  <c r="Y623" i="8"/>
  <c r="Y624" i="8"/>
  <c r="Y625" i="8"/>
  <c r="Y626" i="8"/>
  <c r="Y627" i="8"/>
  <c r="Y628" i="8"/>
  <c r="Y629" i="8"/>
  <c r="Y630" i="8"/>
  <c r="Y631" i="8"/>
  <c r="Y632" i="8"/>
  <c r="Y633" i="8"/>
  <c r="Y634" i="8"/>
  <c r="Y635" i="8"/>
  <c r="Y636" i="8"/>
  <c r="Y637" i="8"/>
  <c r="Y638" i="8"/>
  <c r="Y639" i="8"/>
  <c r="Y640" i="8"/>
  <c r="Y641" i="8"/>
  <c r="Y642" i="8"/>
  <c r="Y643" i="8"/>
  <c r="Y644" i="8"/>
  <c r="Y645" i="8"/>
  <c r="Y646" i="8"/>
  <c r="Y647" i="8"/>
  <c r="Y648" i="8"/>
  <c r="Y649" i="8"/>
  <c r="Y650" i="8"/>
  <c r="Y651" i="8"/>
  <c r="Y652" i="8"/>
  <c r="Y653" i="8"/>
  <c r="Y654" i="8"/>
  <c r="Y655" i="8"/>
  <c r="Y656" i="8"/>
  <c r="Y657" i="8"/>
  <c r="Y658" i="8"/>
  <c r="Y659" i="8"/>
  <c r="Y660" i="8"/>
  <c r="Y661" i="8"/>
  <c r="Y662" i="8"/>
  <c r="Y663" i="8"/>
  <c r="Y664" i="8"/>
  <c r="Y665" i="8"/>
  <c r="Y666" i="8"/>
  <c r="Y667" i="8"/>
  <c r="Y668" i="8"/>
  <c r="Y669" i="8"/>
  <c r="Y670" i="8"/>
  <c r="Y671" i="8"/>
  <c r="Y672" i="8"/>
  <c r="Y673" i="8"/>
  <c r="Y674" i="8"/>
  <c r="Y675" i="8"/>
  <c r="Y676" i="8"/>
  <c r="Y677" i="8"/>
  <c r="Y678" i="8"/>
  <c r="Y679" i="8"/>
  <c r="Y680" i="8"/>
  <c r="Y681" i="8"/>
  <c r="Y682" i="8"/>
  <c r="Y683" i="8"/>
  <c r="Y684" i="8"/>
  <c r="Y685" i="8"/>
  <c r="Y686" i="8"/>
  <c r="Y687" i="8"/>
  <c r="Y688" i="8"/>
  <c r="Y689" i="8"/>
  <c r="Y690" i="8"/>
  <c r="Y691" i="8"/>
  <c r="Y692" i="8"/>
  <c r="Y693" i="8"/>
  <c r="Y694" i="8"/>
  <c r="Y695" i="8"/>
  <c r="Y696" i="8"/>
  <c r="Y697" i="8"/>
  <c r="Y698" i="8"/>
  <c r="Y699" i="8"/>
  <c r="Y700" i="8"/>
  <c r="Y701" i="8"/>
  <c r="Y702" i="8"/>
  <c r="Y703" i="8"/>
  <c r="Y704" i="8"/>
  <c r="Y705" i="8"/>
  <c r="Y706" i="8"/>
  <c r="Y707" i="8"/>
  <c r="Y708" i="8"/>
  <c r="Y709" i="8"/>
  <c r="Y710" i="8"/>
  <c r="Y711" i="8"/>
  <c r="Y712" i="8"/>
  <c r="Y713" i="8"/>
  <c r="Y714" i="8"/>
  <c r="Y715" i="8"/>
  <c r="Y716" i="8"/>
  <c r="Y717" i="8"/>
  <c r="Y718" i="8"/>
  <c r="Y719" i="8"/>
  <c r="Y720" i="8"/>
  <c r="Y721" i="8"/>
  <c r="Y722" i="8"/>
  <c r="Y723" i="8"/>
  <c r="Y724" i="8"/>
  <c r="Y725" i="8"/>
  <c r="Y726" i="8"/>
  <c r="Y727" i="8"/>
  <c r="Y728" i="8"/>
  <c r="Y729" i="8"/>
  <c r="Y730" i="8"/>
  <c r="Y731" i="8"/>
  <c r="Y732" i="8"/>
  <c r="Y733" i="8"/>
  <c r="Y734" i="8"/>
  <c r="Y735" i="8"/>
  <c r="Y736" i="8"/>
  <c r="Y737" i="8"/>
  <c r="Y738" i="8"/>
  <c r="Y739" i="8"/>
  <c r="Y740" i="8"/>
  <c r="Y741" i="8"/>
  <c r="Y742" i="8"/>
  <c r="Y743" i="8"/>
  <c r="Y744" i="8"/>
  <c r="Y745" i="8"/>
  <c r="Y746" i="8"/>
  <c r="Y747" i="8"/>
  <c r="Y748" i="8"/>
  <c r="Y749" i="8"/>
  <c r="Y750" i="8"/>
  <c r="Y751" i="8"/>
  <c r="Y752" i="8"/>
  <c r="Y753" i="8"/>
  <c r="Y754" i="8"/>
  <c r="Y755" i="8"/>
  <c r="Y756" i="8"/>
  <c r="Y757" i="8"/>
  <c r="Y758" i="8"/>
  <c r="Y759" i="8"/>
  <c r="Y760" i="8"/>
  <c r="Y761" i="8"/>
  <c r="Y762" i="8"/>
  <c r="Y763" i="8"/>
  <c r="Y764" i="8"/>
  <c r="Y765" i="8"/>
  <c r="Y766" i="8"/>
  <c r="Y767" i="8"/>
  <c r="Y768" i="8"/>
  <c r="Y769" i="8"/>
  <c r="Y770" i="8"/>
  <c r="Y771" i="8"/>
  <c r="Y772" i="8"/>
  <c r="Y773" i="8"/>
  <c r="Y774" i="8"/>
  <c r="Y775" i="8"/>
  <c r="Y776" i="8"/>
  <c r="Y777" i="8"/>
  <c r="Y778" i="8"/>
  <c r="Y779" i="8"/>
  <c r="Y780" i="8"/>
  <c r="Y781" i="8"/>
  <c r="Y782" i="8"/>
  <c r="Y783" i="8"/>
  <c r="Y784" i="8"/>
  <c r="Y785" i="8"/>
  <c r="Y786" i="8"/>
  <c r="Y787" i="8"/>
  <c r="Y788" i="8"/>
  <c r="Y789" i="8"/>
  <c r="Y790" i="8"/>
  <c r="Y791" i="8"/>
  <c r="Y792" i="8"/>
  <c r="Y793" i="8"/>
  <c r="Y794" i="8"/>
  <c r="Y795" i="8"/>
  <c r="Y796" i="8"/>
  <c r="Y797" i="8"/>
  <c r="Y798" i="8"/>
  <c r="Y799" i="8"/>
  <c r="Y800" i="8"/>
  <c r="Y801" i="8"/>
  <c r="Y802" i="8"/>
  <c r="Y803" i="8"/>
  <c r="Y804" i="8"/>
  <c r="Y805" i="8"/>
  <c r="Y806" i="8"/>
  <c r="Y807" i="8"/>
  <c r="Y808" i="8"/>
  <c r="Y809" i="8"/>
  <c r="Y810" i="8"/>
  <c r="Y811" i="8"/>
  <c r="Y812" i="8"/>
  <c r="Y813" i="8"/>
  <c r="Y814" i="8"/>
  <c r="Y815" i="8"/>
  <c r="Y816" i="8"/>
  <c r="Y817" i="8"/>
  <c r="Y818" i="8"/>
  <c r="Y819" i="8"/>
  <c r="Y820" i="8"/>
  <c r="Y821" i="8"/>
  <c r="Y822" i="8"/>
  <c r="Y823" i="8"/>
  <c r="Y824" i="8"/>
  <c r="Y825" i="8"/>
  <c r="Y826" i="8"/>
  <c r="Y827" i="8"/>
  <c r="Y828" i="8"/>
  <c r="Y829" i="8"/>
  <c r="Y830" i="8"/>
  <c r="Y831" i="8"/>
  <c r="Y832" i="8"/>
  <c r="Y833" i="8"/>
  <c r="Y834" i="8"/>
  <c r="Y835" i="8"/>
  <c r="Y836" i="8"/>
  <c r="Y837" i="8"/>
  <c r="Y838" i="8"/>
  <c r="Y839" i="8"/>
  <c r="Y840" i="8"/>
  <c r="Y841" i="8"/>
  <c r="Y842" i="8"/>
  <c r="Y843" i="8"/>
  <c r="Y844" i="8"/>
  <c r="Y845" i="8"/>
  <c r="Y846" i="8"/>
  <c r="Y847" i="8"/>
  <c r="Y848" i="8"/>
  <c r="Y849" i="8"/>
  <c r="Y850" i="8"/>
  <c r="Y851" i="8"/>
  <c r="Y852" i="8"/>
  <c r="Y853" i="8"/>
  <c r="Y854" i="8"/>
  <c r="Y855" i="8"/>
  <c r="Y856" i="8"/>
  <c r="Y857" i="8"/>
  <c r="Y858" i="8"/>
  <c r="Y859" i="8"/>
  <c r="Y860" i="8"/>
  <c r="Y861" i="8"/>
  <c r="Y862" i="8"/>
  <c r="Y863" i="8"/>
  <c r="Y864" i="8"/>
  <c r="Y865" i="8"/>
  <c r="Y866" i="8"/>
  <c r="Y867" i="8"/>
  <c r="Y868" i="8"/>
  <c r="Y869" i="8"/>
  <c r="Y870" i="8"/>
  <c r="Y871" i="8"/>
  <c r="Y872" i="8"/>
  <c r="Y873" i="8"/>
  <c r="Y874" i="8"/>
  <c r="Y875" i="8"/>
  <c r="Y876" i="8"/>
  <c r="Y877" i="8"/>
  <c r="Y878" i="8"/>
  <c r="Y879" i="8"/>
  <c r="Y880" i="8"/>
  <c r="Y881" i="8"/>
  <c r="Y882" i="8"/>
  <c r="Y883" i="8"/>
  <c r="Y884" i="8"/>
  <c r="Y885" i="8"/>
  <c r="Y886" i="8"/>
  <c r="Y887" i="8"/>
  <c r="Y888" i="8"/>
  <c r="Y889" i="8"/>
  <c r="Y890" i="8"/>
  <c r="Y891" i="8"/>
  <c r="Y892" i="8"/>
  <c r="Y893" i="8"/>
  <c r="Y894" i="8"/>
  <c r="Y895" i="8"/>
  <c r="Y896" i="8"/>
  <c r="Y897" i="8"/>
  <c r="Y898" i="8"/>
  <c r="Y899" i="8"/>
  <c r="Y900" i="8"/>
  <c r="Y901" i="8"/>
  <c r="Y902" i="8"/>
  <c r="Y903" i="8"/>
  <c r="Y904" i="8"/>
  <c r="Y905" i="8"/>
  <c r="Y906" i="8"/>
  <c r="Y907" i="8"/>
  <c r="Y908" i="8"/>
  <c r="Y909" i="8"/>
  <c r="Y910" i="8"/>
  <c r="Y911" i="8"/>
  <c r="Y912" i="8"/>
  <c r="Y913" i="8"/>
  <c r="Y914" i="8"/>
  <c r="Y915" i="8"/>
  <c r="Y916" i="8"/>
  <c r="Y917" i="8"/>
  <c r="Y918" i="8"/>
  <c r="Y919" i="8"/>
  <c r="Y920" i="8"/>
  <c r="Y921" i="8"/>
  <c r="Y922" i="8"/>
  <c r="Y923" i="8"/>
  <c r="Y924" i="8"/>
  <c r="Y925" i="8"/>
  <c r="Y926" i="8"/>
  <c r="Y927" i="8"/>
  <c r="Y928" i="8"/>
  <c r="Y929" i="8"/>
  <c r="Y930" i="8"/>
  <c r="Y931" i="8"/>
  <c r="Y932" i="8"/>
  <c r="Y933" i="8"/>
  <c r="Y934" i="8"/>
  <c r="Y935" i="8"/>
  <c r="Y936" i="8"/>
  <c r="Y937" i="8"/>
  <c r="Y938" i="8"/>
  <c r="Y939" i="8"/>
  <c r="Y940" i="8"/>
  <c r="Y941" i="8"/>
  <c r="Y942" i="8"/>
  <c r="Y943" i="8"/>
  <c r="Y944" i="8"/>
  <c r="Y945" i="8"/>
  <c r="Y946" i="8"/>
  <c r="Y947" i="8"/>
  <c r="Y948" i="8"/>
  <c r="Y949" i="8"/>
  <c r="Y950" i="8"/>
  <c r="Y951" i="8"/>
  <c r="Y952" i="8"/>
  <c r="Y953" i="8"/>
  <c r="Y954" i="8"/>
  <c r="Y955" i="8"/>
  <c r="Y956" i="8"/>
  <c r="Y957" i="8"/>
  <c r="Y958" i="8"/>
  <c r="Y959" i="8"/>
  <c r="Y960" i="8"/>
  <c r="Y961" i="8"/>
  <c r="Y962" i="8"/>
  <c r="Y963" i="8"/>
  <c r="Y964" i="8"/>
  <c r="Y965" i="8"/>
  <c r="Y966" i="8"/>
  <c r="Y967" i="8"/>
  <c r="Y968" i="8"/>
  <c r="Y969" i="8"/>
  <c r="Y970" i="8"/>
  <c r="Y971" i="8"/>
  <c r="Y972" i="8"/>
  <c r="Y973" i="8"/>
  <c r="Y974" i="8"/>
  <c r="Y975" i="8"/>
  <c r="Y976" i="8"/>
  <c r="Y977" i="8"/>
  <c r="Y978" i="8"/>
  <c r="Y979" i="8"/>
  <c r="Y980" i="8"/>
  <c r="Y981" i="8"/>
  <c r="Y982" i="8"/>
  <c r="Y983" i="8"/>
  <c r="Y984" i="8"/>
  <c r="Y985" i="8"/>
  <c r="Y986" i="8"/>
  <c r="Y987" i="8"/>
  <c r="Y988" i="8"/>
  <c r="Y989" i="8"/>
  <c r="Y990" i="8"/>
  <c r="Y991" i="8"/>
  <c r="Y992" i="8"/>
  <c r="Y993" i="8"/>
  <c r="Y994" i="8"/>
  <c r="Y995" i="8"/>
  <c r="Y996" i="8"/>
  <c r="Y997" i="8"/>
  <c r="Y998" i="8"/>
  <c r="Y999" i="8"/>
  <c r="Y1000" i="8"/>
  <c r="Y1001" i="8"/>
  <c r="Y1002" i="8"/>
  <c r="Y1003" i="8"/>
  <c r="Y1004" i="8"/>
  <c r="Y1005" i="8"/>
  <c r="Y1006" i="8"/>
  <c r="Y1007" i="8"/>
  <c r="Y1008" i="8"/>
  <c r="Y1009" i="8"/>
  <c r="Y1010" i="8"/>
  <c r="Y1011" i="8"/>
  <c r="Y1012" i="8"/>
  <c r="Y1013" i="8"/>
  <c r="Y1014" i="8"/>
  <c r="Y1015" i="8"/>
  <c r="Y1016" i="8"/>
  <c r="Y1017" i="8"/>
  <c r="Y1018" i="8"/>
  <c r="Y1019" i="8"/>
  <c r="Y1020" i="8"/>
  <c r="Y1021" i="8"/>
  <c r="Y1022" i="8"/>
  <c r="Y1023" i="8"/>
  <c r="Y1024" i="8"/>
  <c r="Y1025" i="8"/>
  <c r="Y1026" i="8"/>
  <c r="Y1027" i="8"/>
  <c r="Y1028" i="8"/>
  <c r="Y1029" i="8"/>
  <c r="Y1030" i="8"/>
  <c r="Y1031" i="8"/>
  <c r="Y1032" i="8"/>
  <c r="Y1033" i="8"/>
  <c r="Y1034" i="8"/>
  <c r="Y1035" i="8"/>
  <c r="Y1036" i="8"/>
  <c r="Y1037" i="8"/>
  <c r="Y1038" i="8"/>
  <c r="Y1039" i="8"/>
  <c r="Y1040" i="8"/>
  <c r="Y1041" i="8"/>
  <c r="Y1042" i="8"/>
  <c r="Y1043" i="8"/>
  <c r="Y1044" i="8"/>
  <c r="Y1045" i="8"/>
  <c r="Y1046" i="8"/>
  <c r="Y1047" i="8"/>
  <c r="Y1048" i="8"/>
  <c r="Y1049" i="8"/>
  <c r="Y1050" i="8"/>
  <c r="Y1051" i="8"/>
  <c r="Y1052" i="8"/>
  <c r="Y1053" i="8"/>
  <c r="Y1054" i="8"/>
  <c r="Y1055" i="8"/>
  <c r="Y1056" i="8"/>
  <c r="Y1057" i="8"/>
  <c r="Y1058" i="8"/>
  <c r="Y1059" i="8"/>
  <c r="Y1060" i="8"/>
  <c r="Y1061" i="8"/>
  <c r="Y1062" i="8"/>
  <c r="Y1063" i="8"/>
  <c r="Y1064" i="8"/>
  <c r="Y1065" i="8"/>
  <c r="Y1066" i="8"/>
  <c r="Y1067" i="8"/>
  <c r="Y1068" i="8"/>
  <c r="Y1069" i="8"/>
  <c r="Y1070" i="8"/>
  <c r="Y1071" i="8"/>
  <c r="Y1072" i="8"/>
  <c r="Y1073" i="8"/>
  <c r="Y1074" i="8"/>
  <c r="Y1075" i="8"/>
  <c r="Y1076" i="8"/>
  <c r="Y1077" i="8"/>
  <c r="Y1078" i="8"/>
  <c r="Y1079" i="8"/>
  <c r="Y1080" i="8"/>
  <c r="Y1081" i="8"/>
  <c r="Y1082" i="8"/>
  <c r="Y1083" i="8"/>
  <c r="Y1084" i="8"/>
  <c r="Y1085" i="8"/>
  <c r="Y1086" i="8"/>
  <c r="Y1087" i="8"/>
  <c r="Y1088" i="8"/>
  <c r="Y1089" i="8"/>
  <c r="Y1090" i="8"/>
  <c r="Y1091" i="8"/>
  <c r="Y1092" i="8"/>
  <c r="Y1093" i="8"/>
  <c r="Y1094" i="8"/>
  <c r="Y1095" i="8"/>
  <c r="Y1096" i="8"/>
  <c r="Y1097" i="8"/>
  <c r="Y1098" i="8"/>
  <c r="Y1099" i="8"/>
  <c r="Y1100" i="8"/>
  <c r="Y1101" i="8"/>
  <c r="Y1102" i="8"/>
  <c r="Y1103" i="8"/>
  <c r="Y1104" i="8"/>
  <c r="Y1105" i="8"/>
  <c r="Y1106" i="8"/>
  <c r="Y1107" i="8"/>
  <c r="Y1108" i="8"/>
  <c r="Y1109" i="8"/>
  <c r="Y1110" i="8"/>
  <c r="Y1111" i="8"/>
  <c r="Y1112" i="8"/>
  <c r="Y1113" i="8"/>
  <c r="Y1114" i="8"/>
  <c r="Y1115" i="8"/>
  <c r="Y1116" i="8"/>
  <c r="Y1117" i="8"/>
  <c r="Y1118" i="8"/>
  <c r="Y1119" i="8"/>
  <c r="Y1120" i="8"/>
  <c r="Y1121" i="8"/>
  <c r="Y1122" i="8"/>
  <c r="Y1123" i="8"/>
  <c r="Y1124" i="8"/>
  <c r="Y1125" i="8"/>
  <c r="Y1126" i="8"/>
  <c r="Y1127" i="8"/>
  <c r="Y1128" i="8"/>
  <c r="Y1129" i="8"/>
  <c r="Y1130" i="8"/>
  <c r="Y1131" i="8"/>
  <c r="Y1132" i="8"/>
  <c r="Y1133" i="8"/>
  <c r="Y1134" i="8"/>
  <c r="Y1135" i="8"/>
  <c r="Y1136" i="8"/>
  <c r="Y1137" i="8"/>
  <c r="Y1138" i="8"/>
  <c r="Y1139" i="8"/>
  <c r="Y1140" i="8"/>
  <c r="Y1141" i="8"/>
  <c r="Y1142" i="8"/>
  <c r="Y1143" i="8"/>
  <c r="Y1144" i="8"/>
  <c r="Y1145" i="8"/>
  <c r="Y1146" i="8"/>
  <c r="Y1147" i="8"/>
  <c r="Y1148" i="8"/>
  <c r="Y1149" i="8"/>
  <c r="Y1150" i="8"/>
  <c r="Y1151" i="8"/>
  <c r="Y1152" i="8"/>
  <c r="Y1153" i="8"/>
  <c r="Y1154" i="8"/>
  <c r="Y1155" i="8"/>
  <c r="Y1156" i="8"/>
  <c r="Y1157" i="8"/>
  <c r="Y1158" i="8"/>
  <c r="Y1159" i="8"/>
  <c r="Y1160" i="8"/>
  <c r="Y1161" i="8"/>
  <c r="Y1162" i="8"/>
  <c r="Y1163" i="8"/>
  <c r="Y1164" i="8"/>
  <c r="Y1165" i="8"/>
  <c r="Y1166" i="8"/>
  <c r="Y1167" i="8"/>
  <c r="Y1168" i="8"/>
  <c r="Y1169" i="8"/>
  <c r="Y1170" i="8"/>
  <c r="Y1171" i="8"/>
  <c r="Y1172" i="8"/>
  <c r="Y1173" i="8"/>
  <c r="Y1174" i="8"/>
  <c r="Y1175" i="8"/>
  <c r="Y1176" i="8"/>
  <c r="Y1177" i="8"/>
  <c r="Y1178" i="8"/>
  <c r="Y1179" i="8"/>
  <c r="Y1180" i="8"/>
  <c r="Y1181" i="8"/>
  <c r="Y1182" i="8"/>
  <c r="Y1183" i="8"/>
  <c r="Y1184" i="8"/>
  <c r="Y1185" i="8"/>
  <c r="Y1186" i="8"/>
  <c r="Y1187" i="8"/>
  <c r="Y1188" i="8"/>
  <c r="Y1189" i="8"/>
  <c r="Y1190" i="8"/>
  <c r="Y1191" i="8"/>
  <c r="Y1192" i="8"/>
  <c r="Y1193" i="8"/>
  <c r="Y1194" i="8"/>
  <c r="Y1195" i="8"/>
  <c r="Y1196" i="8"/>
  <c r="Y1197" i="8"/>
  <c r="Y1198" i="8"/>
  <c r="Y1199" i="8"/>
  <c r="Y1200" i="8"/>
  <c r="Y1201" i="8"/>
  <c r="Y1202" i="8"/>
  <c r="Y1203" i="8"/>
  <c r="Y1204" i="8"/>
  <c r="Y1205" i="8"/>
  <c r="Y1206" i="8"/>
  <c r="Y1207" i="8"/>
  <c r="Y1208" i="8"/>
  <c r="Y1209" i="8"/>
  <c r="Y1210" i="8"/>
  <c r="Y1211" i="8"/>
  <c r="Y1212" i="8"/>
  <c r="Y1213" i="8"/>
  <c r="Y1214" i="8"/>
  <c r="Y1215" i="8"/>
  <c r="Y1216" i="8"/>
  <c r="Y1217" i="8"/>
  <c r="Y1218" i="8"/>
  <c r="Y1219" i="8"/>
  <c r="Y1220" i="8"/>
  <c r="Y1221" i="8"/>
  <c r="Y1222" i="8"/>
  <c r="Y1223" i="8"/>
  <c r="Y1224" i="8"/>
  <c r="Y1225" i="8"/>
  <c r="Y1226" i="8"/>
  <c r="Y1227" i="8"/>
  <c r="Y1228" i="8"/>
  <c r="Y1229" i="8"/>
  <c r="Y1230" i="8"/>
  <c r="Y1231" i="8"/>
  <c r="Y1232" i="8"/>
  <c r="Y1233" i="8"/>
  <c r="Y1234" i="8"/>
  <c r="Y1235" i="8"/>
  <c r="Y1236" i="8"/>
  <c r="Y1237" i="8"/>
  <c r="Y1238" i="8"/>
  <c r="Y1239" i="8"/>
  <c r="Y1240" i="8"/>
  <c r="Y1241" i="8"/>
  <c r="Y1242" i="8"/>
  <c r="Y1243" i="8"/>
  <c r="Y1244" i="8"/>
  <c r="Y1245" i="8"/>
  <c r="Y1246" i="8"/>
  <c r="Y1247" i="8"/>
  <c r="Y1248" i="8"/>
  <c r="Y1249" i="8"/>
  <c r="Y1250" i="8"/>
  <c r="Y1251" i="8"/>
  <c r="Y1252" i="8"/>
  <c r="Y1253" i="8"/>
  <c r="Y1254" i="8"/>
  <c r="Y1255" i="8"/>
  <c r="Y1256" i="8"/>
  <c r="Y1257" i="8"/>
  <c r="Y1258" i="8"/>
  <c r="Y1259" i="8"/>
  <c r="Y1260" i="8"/>
  <c r="Y1261" i="8"/>
  <c r="Y1262" i="8"/>
  <c r="Y1263" i="8"/>
  <c r="Y1264" i="8"/>
  <c r="Y1265" i="8"/>
  <c r="Y1266" i="8"/>
  <c r="Y1267" i="8"/>
  <c r="Y1268" i="8"/>
  <c r="Y1269" i="8"/>
  <c r="Y1270" i="8"/>
  <c r="Y1271" i="8"/>
  <c r="Y1272" i="8"/>
  <c r="Y1273" i="8"/>
  <c r="Y1274" i="8"/>
  <c r="Y1275" i="8"/>
  <c r="Y1276" i="8"/>
  <c r="Y1277" i="8"/>
  <c r="Y1278" i="8"/>
  <c r="Y1279" i="8"/>
  <c r="Y1280" i="8"/>
  <c r="Y1281" i="8"/>
  <c r="Y1282" i="8"/>
  <c r="Y1283" i="8"/>
  <c r="Y1284" i="8"/>
  <c r="Y1285" i="8"/>
  <c r="Y1286" i="8"/>
  <c r="Y1287" i="8"/>
  <c r="Y1288" i="8"/>
  <c r="Y1289" i="8"/>
  <c r="Y1290" i="8"/>
  <c r="Y1291" i="8"/>
  <c r="Y1292" i="8"/>
  <c r="Y1293" i="8"/>
  <c r="Y1294" i="8"/>
  <c r="Y1295" i="8"/>
  <c r="Y1296" i="8"/>
  <c r="Y1297" i="8"/>
  <c r="Y1298" i="8"/>
  <c r="Y1299" i="8"/>
  <c r="Y1300" i="8"/>
  <c r="Y1301" i="8"/>
  <c r="Y1302" i="8"/>
  <c r="Y1303" i="8"/>
  <c r="Y1304" i="8"/>
  <c r="Y1305" i="8"/>
  <c r="Y1306" i="8"/>
  <c r="Y1307" i="8"/>
  <c r="Y1308" i="8"/>
  <c r="Y1309" i="8"/>
  <c r="Y1310" i="8"/>
  <c r="Y1311" i="8"/>
  <c r="Y1312" i="8"/>
  <c r="Y1313" i="8"/>
  <c r="Y1314" i="8"/>
  <c r="Y1315" i="8"/>
  <c r="Y1316" i="8"/>
  <c r="Y1317" i="8"/>
  <c r="Y1318" i="8"/>
  <c r="Y1319" i="8"/>
  <c r="Y1320" i="8"/>
  <c r="Y1321" i="8"/>
  <c r="Y1322" i="8"/>
  <c r="Y1323" i="8"/>
  <c r="Y1324" i="8"/>
  <c r="Y1325" i="8"/>
  <c r="Y1326" i="8"/>
  <c r="Y1327" i="8"/>
  <c r="Y1328" i="8"/>
  <c r="Y1329" i="8"/>
  <c r="Y1330" i="8"/>
  <c r="Y1331" i="8"/>
  <c r="Y1332" i="8"/>
  <c r="Y1333" i="8"/>
  <c r="Y1334" i="8"/>
  <c r="Y1335" i="8"/>
  <c r="Y1336" i="8"/>
  <c r="Y1337" i="8"/>
  <c r="Y1338" i="8"/>
  <c r="Y1339" i="8"/>
  <c r="Y1340" i="8"/>
  <c r="Y1341" i="8"/>
  <c r="Y1342" i="8"/>
  <c r="Y1343" i="8"/>
  <c r="Y1344" i="8"/>
  <c r="Y1345" i="8"/>
  <c r="Y1346" i="8"/>
  <c r="Y1347" i="8"/>
  <c r="Y1348" i="8"/>
  <c r="Y1349" i="8"/>
  <c r="Y1350" i="8"/>
  <c r="Y1351" i="8"/>
  <c r="Y1352" i="8"/>
  <c r="Y1353" i="8"/>
  <c r="Y1354" i="8"/>
  <c r="Y1355" i="8"/>
  <c r="Y1356" i="8"/>
  <c r="Y1357" i="8"/>
  <c r="Y1358" i="8"/>
  <c r="Y1359" i="8"/>
  <c r="Y1360" i="8"/>
  <c r="Y1361" i="8"/>
  <c r="Y1362" i="8"/>
  <c r="Y1363" i="8"/>
  <c r="Y1364" i="8"/>
  <c r="Y1365" i="8"/>
  <c r="Y1366" i="8"/>
  <c r="Y1367" i="8"/>
  <c r="Y1368" i="8"/>
  <c r="Y1369" i="8"/>
  <c r="Y1370" i="8"/>
  <c r="Y1371" i="8"/>
  <c r="Y1372" i="8"/>
  <c r="Y1373" i="8"/>
  <c r="Y1374" i="8"/>
  <c r="Y1375" i="8"/>
  <c r="Y1376" i="8"/>
  <c r="Y1377" i="8"/>
  <c r="Y1378" i="8"/>
  <c r="Y1379" i="8"/>
  <c r="Y1380" i="8"/>
  <c r="Y1381" i="8"/>
  <c r="Y1382" i="8"/>
  <c r="Y1383" i="8"/>
  <c r="Y1384" i="8"/>
  <c r="Y1385" i="8"/>
  <c r="Y1386" i="8"/>
  <c r="Y1387" i="8"/>
  <c r="Y1388" i="8"/>
  <c r="Y1389" i="8"/>
  <c r="Y1390" i="8"/>
  <c r="Y1391" i="8"/>
  <c r="Y1392" i="8"/>
  <c r="Y1393" i="8"/>
  <c r="Y1394" i="8"/>
  <c r="Y1395" i="8"/>
  <c r="Y1396" i="8"/>
  <c r="Y1397" i="8"/>
  <c r="Y1398" i="8"/>
  <c r="Y1399" i="8"/>
  <c r="Y1400" i="8"/>
  <c r="Y1401" i="8"/>
  <c r="Y1402" i="8"/>
  <c r="Y1403" i="8"/>
  <c r="Y1404" i="8"/>
  <c r="Y1405" i="8"/>
  <c r="Y1406" i="8"/>
  <c r="Y1407" i="8"/>
  <c r="Y1408" i="8"/>
  <c r="Y1409" i="8"/>
  <c r="Y1410" i="8"/>
  <c r="Y1411" i="8"/>
  <c r="Y1412" i="8"/>
  <c r="Y1413" i="8"/>
  <c r="Y1414" i="8"/>
  <c r="Y1415" i="8"/>
  <c r="Y1416" i="8"/>
  <c r="Y1417" i="8"/>
  <c r="Y1418" i="8"/>
  <c r="Y1419" i="8"/>
  <c r="Y1420" i="8"/>
  <c r="Y1421" i="8"/>
  <c r="Y1422" i="8"/>
  <c r="Y1423" i="8"/>
  <c r="Y1424" i="8"/>
  <c r="Y1425" i="8"/>
  <c r="Y1426" i="8"/>
  <c r="Y1427" i="8"/>
  <c r="Y1428" i="8"/>
  <c r="Y1429" i="8"/>
  <c r="Y1430" i="8"/>
  <c r="Y1431" i="8"/>
  <c r="Y1432" i="8"/>
  <c r="Y1433" i="8"/>
  <c r="Y1434" i="8"/>
  <c r="Y1435" i="8"/>
  <c r="Y1436" i="8"/>
  <c r="Y1437" i="8"/>
  <c r="Y1438" i="8"/>
  <c r="Y1439" i="8"/>
  <c r="Y1440" i="8"/>
  <c r="Y1441" i="8"/>
  <c r="Y1442" i="8"/>
  <c r="Y1443" i="8"/>
  <c r="Y1444" i="8"/>
  <c r="Y1445" i="8"/>
  <c r="Y1446" i="8"/>
  <c r="Y1447" i="8"/>
  <c r="Y1448" i="8"/>
  <c r="Y1449" i="8"/>
  <c r="Y1450" i="8"/>
  <c r="Y1451" i="8"/>
  <c r="Y1452" i="8"/>
  <c r="Y1453" i="8"/>
  <c r="Y1454" i="8"/>
  <c r="Y1455" i="8"/>
  <c r="Y1456" i="8"/>
  <c r="Y1457" i="8"/>
  <c r="Y1458" i="8"/>
  <c r="Y1459" i="8"/>
  <c r="Y1460" i="8"/>
  <c r="Y1461" i="8"/>
  <c r="Y1462" i="8"/>
  <c r="Y1463" i="8"/>
  <c r="Y1464" i="8"/>
  <c r="Y1465" i="8"/>
  <c r="Y1466" i="8"/>
  <c r="Y1467" i="8"/>
  <c r="Y1468" i="8"/>
  <c r="Y1469" i="8"/>
  <c r="Y1470" i="8"/>
  <c r="Y1471" i="8"/>
  <c r="Y1472" i="8"/>
  <c r="Y1473" i="8"/>
  <c r="Y1474" i="8"/>
  <c r="Y1475" i="8"/>
  <c r="Y1476" i="8"/>
  <c r="Y1477" i="8"/>
  <c r="Y1478" i="8"/>
  <c r="Y1479" i="8"/>
  <c r="Y1480" i="8"/>
  <c r="Y1481" i="8"/>
  <c r="Y1482" i="8"/>
  <c r="Y1483" i="8"/>
  <c r="Y1484" i="8"/>
  <c r="Y1485" i="8"/>
  <c r="Y1486" i="8"/>
  <c r="Y1487" i="8"/>
  <c r="Y1488" i="8"/>
  <c r="Y1489" i="8"/>
  <c r="Y1490" i="8"/>
  <c r="Y1491" i="8"/>
  <c r="Y1492" i="8"/>
  <c r="Y1493" i="8"/>
  <c r="Y1494" i="8"/>
  <c r="Y1495" i="8"/>
  <c r="Y1496" i="8"/>
  <c r="Y1497" i="8"/>
  <c r="Y1498" i="8"/>
  <c r="Y1499" i="8"/>
  <c r="Y1500" i="8"/>
  <c r="Y1501" i="8"/>
  <c r="Y1502" i="8"/>
  <c r="Y1503" i="8"/>
  <c r="Y1504" i="8"/>
  <c r="Y1505" i="8"/>
  <c r="Y1506" i="8"/>
  <c r="Y1507" i="8"/>
  <c r="Y1508" i="8"/>
  <c r="Y1509" i="8"/>
  <c r="Y1510" i="8"/>
  <c r="Y1511" i="8"/>
  <c r="Y1512" i="8"/>
  <c r="Y1513" i="8"/>
  <c r="Y1514" i="8"/>
  <c r="Y1515" i="8"/>
  <c r="Y1516" i="8"/>
  <c r="Y1517" i="8"/>
  <c r="Y1518" i="8"/>
  <c r="Y1519" i="8"/>
  <c r="Y1520" i="8"/>
  <c r="Y1521" i="8"/>
  <c r="Y1522" i="8"/>
  <c r="Y1523" i="8"/>
  <c r="Y1524" i="8"/>
  <c r="Y1525" i="8"/>
  <c r="Y1526" i="8"/>
  <c r="Y1527" i="8"/>
  <c r="Y1528" i="8"/>
  <c r="Y1529" i="8"/>
  <c r="Y1530" i="8"/>
  <c r="Y1531" i="8"/>
  <c r="Y1532" i="8"/>
  <c r="Y1533" i="8"/>
  <c r="Y1534" i="8"/>
  <c r="Y1535" i="8"/>
  <c r="Y1536" i="8"/>
  <c r="Y1537" i="8"/>
  <c r="Y1538" i="8"/>
  <c r="Y1539" i="8"/>
  <c r="Y1540" i="8"/>
  <c r="Y1541" i="8"/>
  <c r="Y1542" i="8"/>
  <c r="Y1543" i="8"/>
  <c r="Y1544" i="8"/>
  <c r="Y1545" i="8"/>
  <c r="Y1546" i="8"/>
  <c r="Y1547" i="8"/>
  <c r="Y1548" i="8"/>
  <c r="Y1549" i="8"/>
  <c r="Y1550" i="8"/>
  <c r="Y1551" i="8"/>
  <c r="Y1552" i="8"/>
  <c r="Y1553" i="8"/>
  <c r="Y1554" i="8"/>
  <c r="Y1555" i="8"/>
  <c r="Y1556" i="8"/>
  <c r="Y1557" i="8"/>
  <c r="Y1558" i="8"/>
  <c r="Y1559" i="8"/>
  <c r="Y1560" i="8"/>
  <c r="Y1561" i="8"/>
  <c r="Y1562" i="8"/>
  <c r="Y1563" i="8"/>
  <c r="Y1564" i="8"/>
  <c r="Y1565" i="8"/>
  <c r="Y1566" i="8"/>
  <c r="Y1567" i="8"/>
  <c r="Y1568" i="8"/>
  <c r="Y1569" i="8"/>
  <c r="Y1570" i="8"/>
  <c r="Y1571" i="8"/>
  <c r="Y1572" i="8"/>
  <c r="Y1573" i="8"/>
  <c r="Y1574" i="8"/>
  <c r="Y1575" i="8"/>
  <c r="Y1576" i="8"/>
  <c r="Y1577" i="8"/>
  <c r="Y1578" i="8"/>
  <c r="Y1579" i="8"/>
  <c r="Y1580" i="8"/>
  <c r="Y1581" i="8"/>
  <c r="Y1582" i="8"/>
  <c r="Y1583" i="8"/>
  <c r="Y1584" i="8"/>
  <c r="Y1585" i="8"/>
  <c r="Y1586" i="8"/>
  <c r="Y1587" i="8"/>
  <c r="Y1588" i="8"/>
  <c r="Y1589" i="8"/>
  <c r="Y1590" i="8"/>
  <c r="Y1591" i="8"/>
  <c r="Y1592" i="8"/>
  <c r="Y1593" i="8"/>
  <c r="Y1594" i="8"/>
  <c r="Y1595" i="8"/>
  <c r="Y1596" i="8"/>
  <c r="Y1597" i="8"/>
  <c r="Y1598" i="8"/>
  <c r="Y1599" i="8"/>
  <c r="Y1600" i="8"/>
  <c r="Y1601" i="8"/>
  <c r="Y1602" i="8"/>
  <c r="Y1603" i="8"/>
  <c r="Y1604" i="8"/>
  <c r="Y1605" i="8"/>
  <c r="Y1606" i="8"/>
  <c r="Y1607" i="8"/>
  <c r="Y1608" i="8"/>
  <c r="Y1609" i="8"/>
  <c r="Y1610" i="8"/>
  <c r="Y1611" i="8"/>
  <c r="Y1612" i="8"/>
  <c r="Y1613" i="8"/>
  <c r="Y1614" i="8"/>
  <c r="Y1615" i="8"/>
  <c r="Y1616" i="8"/>
  <c r="Y1617" i="8"/>
  <c r="Y1618" i="8"/>
  <c r="Y1619" i="8"/>
  <c r="Y1620" i="8"/>
  <c r="Y1621" i="8"/>
  <c r="Y1622" i="8"/>
  <c r="Y1623" i="8"/>
  <c r="Y1624" i="8"/>
  <c r="Y1625" i="8"/>
  <c r="Y1626" i="8"/>
  <c r="Y1627" i="8"/>
  <c r="Y1628" i="8"/>
  <c r="Y1629" i="8"/>
  <c r="Y1630" i="8"/>
  <c r="Y1631" i="8"/>
  <c r="Y1632" i="8"/>
  <c r="Y1633" i="8"/>
  <c r="Y1634" i="8"/>
  <c r="Y1635" i="8"/>
  <c r="Y1636" i="8"/>
  <c r="Y1637" i="8"/>
  <c r="Y1638" i="8"/>
  <c r="Y1639" i="8"/>
  <c r="Y1640" i="8"/>
  <c r="Y1641" i="8"/>
  <c r="Y1642" i="8"/>
  <c r="Y1643" i="8"/>
  <c r="Y1644" i="8"/>
  <c r="Y1645" i="8"/>
  <c r="Y1646" i="8"/>
  <c r="Y1647" i="8"/>
  <c r="Y1648" i="8"/>
  <c r="Y1649" i="8"/>
  <c r="Y1650" i="8"/>
  <c r="Y1651" i="8"/>
  <c r="Y1652" i="8"/>
  <c r="Y1653" i="8"/>
  <c r="Y1654" i="8"/>
  <c r="Y1655" i="8"/>
  <c r="Y1656" i="8"/>
  <c r="Y1657" i="8"/>
  <c r="Y1658" i="8"/>
  <c r="Y1659" i="8"/>
  <c r="Y1660" i="8"/>
  <c r="Y1661" i="8"/>
  <c r="Y1662" i="8"/>
  <c r="Y1663" i="8"/>
  <c r="Y1664" i="8"/>
  <c r="Y1665" i="8"/>
  <c r="Y1666" i="8"/>
  <c r="Y1667" i="8"/>
  <c r="Y1668" i="8"/>
  <c r="Y1669" i="8"/>
  <c r="Y1670" i="8"/>
  <c r="Y1671" i="8"/>
  <c r="Y1672" i="8"/>
  <c r="Y1673" i="8"/>
  <c r="Y1674" i="8"/>
  <c r="Y1675" i="8"/>
  <c r="Y1676" i="8"/>
  <c r="Y1677" i="8"/>
  <c r="Y1678" i="8"/>
  <c r="Y1679" i="8"/>
  <c r="Y1680" i="8"/>
  <c r="Y1681" i="8"/>
  <c r="Y1682" i="8"/>
  <c r="Y1683" i="8"/>
  <c r="Y1684" i="8"/>
  <c r="Y1685" i="8"/>
  <c r="Y1686" i="8"/>
  <c r="Y1687" i="8"/>
  <c r="Y1688" i="8"/>
  <c r="Y1689" i="8"/>
  <c r="Y1690" i="8"/>
  <c r="Y1691" i="8"/>
  <c r="Y1692" i="8"/>
  <c r="Y1693" i="8"/>
  <c r="Y1694" i="8"/>
  <c r="Y1695" i="8"/>
  <c r="Y1696" i="8"/>
  <c r="Y1697" i="8"/>
  <c r="Y1698" i="8"/>
  <c r="Y1699" i="8"/>
  <c r="Y1700" i="8"/>
  <c r="Y1701" i="8"/>
  <c r="Y1702" i="8"/>
  <c r="Y1703" i="8"/>
  <c r="Y1704" i="8"/>
  <c r="Y1705" i="8"/>
  <c r="Y1706" i="8"/>
  <c r="Y1707" i="8"/>
  <c r="Y1708" i="8"/>
  <c r="Y1709" i="8"/>
  <c r="Y1710" i="8"/>
  <c r="Y1711" i="8"/>
  <c r="Y1712" i="8"/>
  <c r="Y1713" i="8"/>
  <c r="Y1714" i="8"/>
  <c r="Y1715" i="8"/>
  <c r="Y1716" i="8"/>
  <c r="Y1717" i="8"/>
  <c r="Y1718" i="8"/>
  <c r="Y1719" i="8"/>
  <c r="Y1720" i="8"/>
  <c r="Y1721" i="8"/>
  <c r="Y1722" i="8"/>
  <c r="Y1723" i="8"/>
  <c r="Y1724" i="8"/>
  <c r="Y1725" i="8"/>
  <c r="Y1726" i="8"/>
  <c r="Y1727" i="8"/>
  <c r="Y1728" i="8"/>
  <c r="Y1729" i="8"/>
  <c r="Y1730" i="8"/>
  <c r="Y1731" i="8"/>
  <c r="Y1732" i="8"/>
  <c r="Y1733" i="8"/>
  <c r="Y1734" i="8"/>
  <c r="Y1735" i="8"/>
  <c r="Y1736" i="8"/>
  <c r="Y1737" i="8"/>
  <c r="Y1738" i="8"/>
  <c r="Y1739" i="8"/>
  <c r="Y1740" i="8"/>
  <c r="Y1741" i="8"/>
  <c r="Y1742" i="8"/>
  <c r="Y1743" i="8"/>
  <c r="Y1744" i="8"/>
  <c r="Y1745" i="8"/>
  <c r="Y1746" i="8"/>
  <c r="Y1747" i="8"/>
  <c r="Y1748" i="8"/>
  <c r="Y1749" i="8"/>
  <c r="Y1750" i="8"/>
  <c r="Y1751" i="8"/>
  <c r="Y1752" i="8"/>
  <c r="Y1753" i="8"/>
  <c r="Y1754" i="8"/>
  <c r="Y1755" i="8"/>
  <c r="Y1756" i="8"/>
  <c r="Y1757" i="8"/>
  <c r="Y1758" i="8"/>
  <c r="Y1759" i="8"/>
  <c r="Y1760" i="8"/>
  <c r="Y1761" i="8"/>
  <c r="Y1762" i="8"/>
  <c r="Y1763" i="8"/>
  <c r="Y1764" i="8"/>
  <c r="Y1765" i="8"/>
  <c r="Y1766" i="8"/>
  <c r="Y1767" i="8"/>
  <c r="Y1768" i="8"/>
  <c r="Y1769" i="8"/>
  <c r="Y1770" i="8"/>
  <c r="Y1771" i="8"/>
  <c r="Y1772" i="8"/>
  <c r="Y1773" i="8"/>
  <c r="Y1774" i="8"/>
  <c r="Y1775" i="8"/>
  <c r="Y1776" i="8"/>
  <c r="Y1777" i="8"/>
  <c r="Y1778" i="8"/>
  <c r="Y1779" i="8"/>
  <c r="Y1780" i="8"/>
  <c r="Y1781" i="8"/>
  <c r="Y1782" i="8"/>
  <c r="Y1783" i="8"/>
  <c r="Y1784" i="8"/>
  <c r="Y1785" i="8"/>
  <c r="Y1786" i="8"/>
  <c r="Y1787" i="8"/>
  <c r="Y1788" i="8"/>
  <c r="Y1789" i="8"/>
  <c r="Y1790" i="8"/>
  <c r="Y1791" i="8"/>
  <c r="Y1792" i="8"/>
  <c r="Y1793" i="8"/>
  <c r="Y1794" i="8"/>
  <c r="Y1795" i="8"/>
  <c r="Y1796" i="8"/>
  <c r="Y1797" i="8"/>
  <c r="Y1798" i="8"/>
  <c r="Y1799" i="8"/>
  <c r="Y1800" i="8"/>
  <c r="Y1801" i="8"/>
  <c r="Y1802" i="8"/>
  <c r="Y1803" i="8"/>
  <c r="Y1804" i="8"/>
  <c r="Y1805" i="8"/>
  <c r="Y1806" i="8"/>
  <c r="Y1807" i="8"/>
  <c r="Y1808" i="8"/>
  <c r="Y1809" i="8"/>
  <c r="Y1810" i="8"/>
  <c r="Y1811" i="8"/>
  <c r="Y1812" i="8"/>
  <c r="Y1813" i="8"/>
  <c r="Y1814" i="8"/>
  <c r="Y1815" i="8"/>
  <c r="Y1816" i="8"/>
  <c r="Y1817" i="8"/>
  <c r="Y1818" i="8"/>
  <c r="Y1819" i="8"/>
  <c r="Y1820" i="8"/>
  <c r="Y1821" i="8"/>
  <c r="Y1822" i="8"/>
  <c r="Y1823" i="8"/>
  <c r="Y1824" i="8"/>
  <c r="Y1825" i="8"/>
  <c r="Y1826" i="8"/>
  <c r="Y1827" i="8"/>
  <c r="Y1828" i="8"/>
  <c r="Y1829" i="8"/>
  <c r="Y1830" i="8"/>
  <c r="Y1831" i="8"/>
  <c r="Y1832" i="8"/>
  <c r="Y1833" i="8"/>
  <c r="Y1834" i="8"/>
  <c r="Y1835" i="8"/>
  <c r="Y1836" i="8"/>
  <c r="Y1837" i="8"/>
  <c r="Y1838" i="8"/>
  <c r="Y1839" i="8"/>
  <c r="Y1840" i="8"/>
  <c r="Y1841" i="8"/>
  <c r="Y1842" i="8"/>
  <c r="Y1843" i="8"/>
  <c r="Y1844" i="8"/>
  <c r="Y1845" i="8"/>
  <c r="Y1846" i="8"/>
  <c r="Y1847" i="8"/>
  <c r="Y1848" i="8"/>
  <c r="Y1849" i="8"/>
  <c r="Y1850" i="8"/>
  <c r="Y1851" i="8"/>
  <c r="Y1852" i="8"/>
  <c r="Y1853" i="8"/>
  <c r="Y1854" i="8"/>
  <c r="Y1855" i="8"/>
  <c r="Y1856" i="8"/>
  <c r="Y1857" i="8"/>
  <c r="Y1858" i="8"/>
  <c r="Y1859" i="8"/>
  <c r="Y1860" i="8"/>
  <c r="Y1861" i="8"/>
  <c r="Y1862" i="8"/>
  <c r="Y1863" i="8"/>
  <c r="Y1864" i="8"/>
  <c r="Y1865" i="8"/>
  <c r="Y1866" i="8"/>
  <c r="Y1867" i="8"/>
  <c r="Y1868" i="8"/>
  <c r="Y1869" i="8"/>
  <c r="Y1870" i="8"/>
  <c r="Y1871" i="8"/>
  <c r="Y1872" i="8"/>
  <c r="Y1873" i="8"/>
  <c r="Y1874" i="8"/>
  <c r="Y1875" i="8"/>
  <c r="Y1876" i="8"/>
  <c r="Y1877" i="8"/>
  <c r="Y1878" i="8"/>
  <c r="Y1879" i="8"/>
  <c r="Y1880" i="8"/>
  <c r="Y1881" i="8"/>
  <c r="Y1882" i="8"/>
  <c r="Y1883" i="8"/>
  <c r="Y1884" i="8"/>
  <c r="Y1885" i="8"/>
  <c r="Y1886" i="8"/>
  <c r="Y1887" i="8"/>
  <c r="Y1888" i="8"/>
  <c r="Y1889" i="8"/>
  <c r="Y1890" i="8"/>
  <c r="Y1891" i="8"/>
  <c r="Y1892" i="8"/>
  <c r="Y1893" i="8"/>
  <c r="Y1894" i="8"/>
  <c r="Y1895" i="8"/>
  <c r="Y1896" i="8"/>
  <c r="Y1897" i="8"/>
  <c r="Y1898" i="8"/>
  <c r="Y1899" i="8"/>
  <c r="Y1900" i="8"/>
  <c r="Y1901" i="8"/>
  <c r="Y1902" i="8"/>
  <c r="Y1903" i="8"/>
  <c r="Y1904" i="8"/>
  <c r="Y1905" i="8"/>
  <c r="Y1906" i="8"/>
  <c r="Y1907" i="8"/>
  <c r="Y1908" i="8"/>
  <c r="Y1909" i="8"/>
  <c r="Y1910" i="8"/>
  <c r="Y1911" i="8"/>
  <c r="Y1912" i="8"/>
  <c r="Y1913" i="8"/>
  <c r="Y1914" i="8"/>
  <c r="Y1915" i="8"/>
  <c r="Y1916" i="8"/>
  <c r="Y1917" i="8"/>
  <c r="Y1918" i="8"/>
  <c r="Y1919" i="8"/>
  <c r="Y1920" i="8"/>
  <c r="Y1921" i="8"/>
  <c r="Y1922" i="8"/>
  <c r="Y1923" i="8"/>
  <c r="Y1924" i="8"/>
  <c r="Y1925" i="8"/>
  <c r="Y1926" i="8"/>
  <c r="Y1927" i="8"/>
  <c r="Y1928" i="8"/>
  <c r="Y1929" i="8"/>
  <c r="Y1930" i="8"/>
  <c r="Y1931" i="8"/>
  <c r="Y1932" i="8"/>
  <c r="Y1933" i="8"/>
  <c r="Y1934" i="8"/>
  <c r="Y1935" i="8"/>
  <c r="Y1936" i="8"/>
  <c r="Y1937" i="8"/>
  <c r="Y1938" i="8"/>
  <c r="Y1939" i="8"/>
  <c r="Y1940" i="8"/>
  <c r="Y1941" i="8"/>
  <c r="Y1942" i="8"/>
  <c r="Y1943" i="8"/>
  <c r="Y1944" i="8"/>
  <c r="Y1945" i="8"/>
  <c r="Y1946" i="8"/>
  <c r="Y1947" i="8"/>
  <c r="Y1948" i="8"/>
  <c r="Y1949" i="8"/>
  <c r="Y1950" i="8"/>
  <c r="Y1951" i="8"/>
  <c r="Y1952" i="8"/>
  <c r="Y1953" i="8"/>
  <c r="Y1954" i="8"/>
  <c r="Y1955" i="8"/>
  <c r="Y1956" i="8"/>
  <c r="Y1957" i="8"/>
  <c r="Y1958" i="8"/>
  <c r="Y1959" i="8"/>
  <c r="Y1960" i="8"/>
  <c r="Y1961" i="8"/>
  <c r="Y1962" i="8"/>
  <c r="Y1963" i="8"/>
  <c r="Y1964" i="8"/>
  <c r="Y1965" i="8"/>
  <c r="Y1966" i="8"/>
  <c r="Y1967" i="8"/>
  <c r="Y1968" i="8"/>
  <c r="Y1969" i="8"/>
  <c r="Y1970" i="8"/>
  <c r="Y1971" i="8"/>
  <c r="Y1972" i="8"/>
  <c r="Y1973" i="8"/>
  <c r="Y1974" i="8"/>
  <c r="Y1975" i="8"/>
  <c r="Y1976" i="8"/>
  <c r="Y1977" i="8"/>
  <c r="Y1978" i="8"/>
  <c r="Y1979" i="8"/>
  <c r="Y1980" i="8"/>
  <c r="Y1981" i="8"/>
  <c r="Y1982" i="8"/>
  <c r="Y1983" i="8"/>
  <c r="Y1984" i="8"/>
  <c r="Y1985" i="8"/>
  <c r="Y1986" i="8"/>
  <c r="Y1987" i="8"/>
  <c r="Y1988" i="8"/>
  <c r="Y1989" i="8"/>
  <c r="Y1990" i="8"/>
  <c r="Y1991" i="8"/>
  <c r="Y1992" i="8"/>
  <c r="Y1993" i="8"/>
  <c r="Y1994" i="8"/>
  <c r="Y1995" i="8"/>
  <c r="Y1996" i="8"/>
  <c r="Y1997" i="8"/>
  <c r="Y1998" i="8"/>
  <c r="Y1999" i="8"/>
  <c r="Y2000" i="8"/>
  <c r="Y2001" i="8"/>
  <c r="Y2002" i="8"/>
  <c r="Y2003" i="8"/>
  <c r="Y2004" i="8"/>
  <c r="Y2005" i="8"/>
  <c r="Y2006" i="8"/>
  <c r="Y2007" i="8"/>
  <c r="Y2008" i="8"/>
  <c r="Y2009" i="8"/>
  <c r="Y2010" i="8"/>
  <c r="Y2011" i="8"/>
  <c r="Y2012" i="8"/>
  <c r="Y2013" i="8"/>
  <c r="Y2014" i="8"/>
  <c r="Y2015" i="8"/>
  <c r="Y2016" i="8"/>
  <c r="Y2017" i="8"/>
  <c r="Y2018" i="8"/>
  <c r="Y2019" i="8"/>
  <c r="Y2020" i="8"/>
  <c r="Y2021" i="8"/>
  <c r="Y2022" i="8"/>
  <c r="Y2023" i="8"/>
  <c r="Y2024" i="8"/>
  <c r="Y2025" i="8"/>
  <c r="Y2026" i="8"/>
  <c r="Y2027" i="8"/>
  <c r="Y2028" i="8"/>
  <c r="Y2029" i="8"/>
  <c r="Y2030" i="8"/>
  <c r="Y2031" i="8"/>
  <c r="Y2032" i="8"/>
  <c r="Y2033" i="8"/>
  <c r="Y2034" i="8"/>
  <c r="Y2035" i="8"/>
  <c r="Y2036" i="8"/>
  <c r="Y2037" i="8"/>
  <c r="Y2038" i="8"/>
  <c r="Y2039" i="8"/>
  <c r="Y2040" i="8"/>
  <c r="Y2041" i="8"/>
  <c r="Y2042" i="8"/>
  <c r="Y2043" i="8"/>
  <c r="Y2044" i="8"/>
  <c r="Y2045" i="8"/>
  <c r="Y2046" i="8"/>
  <c r="Y2047" i="8"/>
  <c r="Y2048" i="8"/>
  <c r="Y2049" i="8"/>
  <c r="Y2050" i="8"/>
  <c r="Y2051" i="8"/>
  <c r="Y2052" i="8"/>
  <c r="Y2053" i="8"/>
  <c r="Y2054" i="8"/>
  <c r="Y2055" i="8"/>
  <c r="Y2056" i="8"/>
  <c r="Y2057" i="8"/>
  <c r="Y2058" i="8"/>
  <c r="Y2059" i="8"/>
  <c r="Y2060" i="8"/>
  <c r="Y2061" i="8"/>
  <c r="Y2062" i="8"/>
  <c r="Y2063" i="8"/>
  <c r="Y2064" i="8"/>
  <c r="Y2065" i="8"/>
  <c r="Y2066" i="8"/>
  <c r="Y2067" i="8"/>
  <c r="Y2068" i="8"/>
  <c r="Y2069" i="8"/>
  <c r="Y2070" i="8"/>
  <c r="Y2071" i="8"/>
  <c r="Y2072" i="8"/>
  <c r="Y2073" i="8"/>
  <c r="Y2074" i="8"/>
  <c r="Y2075" i="8"/>
  <c r="Y2076" i="8"/>
  <c r="Y2077" i="8"/>
  <c r="Y2078" i="8"/>
  <c r="Y2079" i="8"/>
  <c r="Y2080" i="8"/>
  <c r="Y2081" i="8"/>
  <c r="Y2082" i="8"/>
  <c r="Y2083" i="8"/>
  <c r="Y2084" i="8"/>
  <c r="Y2085" i="8"/>
  <c r="Y2086" i="8"/>
  <c r="Y2087" i="8"/>
  <c r="Y2088" i="8"/>
  <c r="Y2089" i="8"/>
  <c r="Y2090" i="8"/>
  <c r="Y2091" i="8"/>
  <c r="Y2092" i="8"/>
  <c r="Y2093" i="8"/>
  <c r="Y2094" i="8"/>
  <c r="Y2095" i="8"/>
  <c r="Y2096" i="8"/>
  <c r="Y2097" i="8"/>
  <c r="Y2098" i="8"/>
  <c r="Y2099" i="8"/>
  <c r="Y2100" i="8"/>
  <c r="Y2101" i="8"/>
  <c r="Y2102" i="8"/>
  <c r="Y2103" i="8"/>
  <c r="Y2104" i="8"/>
  <c r="Y2105" i="8"/>
  <c r="Y2106" i="8"/>
  <c r="Y2107" i="8"/>
  <c r="Y2108" i="8"/>
  <c r="Y2109" i="8"/>
  <c r="Y2110" i="8"/>
  <c r="Y2111" i="8"/>
  <c r="Y2112" i="8"/>
  <c r="Y2113" i="8"/>
  <c r="Y2114" i="8"/>
  <c r="Y2115" i="8"/>
  <c r="Y2116" i="8"/>
  <c r="Y2117" i="8"/>
  <c r="Y2118" i="8"/>
  <c r="Y2119" i="8"/>
  <c r="Y2120" i="8"/>
  <c r="Y2121" i="8"/>
  <c r="Y2122" i="8"/>
  <c r="Y2123" i="8"/>
  <c r="Y2124" i="8"/>
  <c r="Y2125" i="8"/>
  <c r="Y2126" i="8"/>
  <c r="Y2127" i="8"/>
  <c r="Y2128" i="8"/>
  <c r="Y2129" i="8"/>
  <c r="Y2130" i="8"/>
  <c r="Y2131" i="8"/>
  <c r="Y2132" i="8"/>
  <c r="Y2133" i="8"/>
  <c r="Y2134" i="8"/>
  <c r="Y2135" i="8"/>
  <c r="Y2136" i="8"/>
  <c r="Y2137" i="8"/>
  <c r="Y2138" i="8"/>
  <c r="Y2139" i="8"/>
  <c r="Y2140" i="8"/>
  <c r="Y2141" i="8"/>
  <c r="Y2142" i="8"/>
  <c r="Y2143" i="8"/>
  <c r="Y2144" i="8"/>
  <c r="Y2145" i="8"/>
  <c r="Y2146" i="8"/>
  <c r="Y2147" i="8"/>
  <c r="Y2148" i="8"/>
  <c r="Y2149" i="8"/>
  <c r="Y2150" i="8"/>
  <c r="Y2151" i="8"/>
  <c r="Y2152" i="8"/>
  <c r="Y2153" i="8"/>
  <c r="Y2154" i="8"/>
  <c r="Y2155" i="8"/>
  <c r="Y2156" i="8"/>
  <c r="Y2157" i="8"/>
  <c r="Y2158" i="8"/>
  <c r="Y2159" i="8"/>
  <c r="Y2160" i="8"/>
  <c r="Y2161" i="8"/>
  <c r="Y2162" i="8"/>
  <c r="Y2163" i="8"/>
  <c r="Y2164" i="8"/>
  <c r="Y2165" i="8"/>
  <c r="Y2166" i="8"/>
  <c r="Y2167" i="8"/>
  <c r="Y2168" i="8"/>
  <c r="Y2169" i="8"/>
  <c r="Y2170" i="8"/>
  <c r="Y2171" i="8"/>
  <c r="Y2172" i="8"/>
  <c r="Y2173" i="8"/>
  <c r="Y2174" i="8"/>
  <c r="Y2175" i="8"/>
  <c r="Y2176" i="8"/>
  <c r="Y2177" i="8"/>
  <c r="Y2178" i="8"/>
  <c r="Y2179" i="8"/>
  <c r="Y2180" i="8"/>
  <c r="Y2181" i="8"/>
  <c r="Y2182" i="8"/>
  <c r="Y2183" i="8"/>
  <c r="Y2184" i="8"/>
  <c r="Y2185" i="8"/>
  <c r="Y2186" i="8"/>
  <c r="Y2187" i="8"/>
  <c r="Y2188" i="8"/>
  <c r="Y2189" i="8"/>
  <c r="Y2190" i="8"/>
  <c r="Y2191" i="8"/>
  <c r="Y2192" i="8"/>
  <c r="Y2193" i="8"/>
  <c r="Y2194" i="8"/>
  <c r="Y2195" i="8"/>
  <c r="Y2196" i="8"/>
  <c r="Y2197" i="8"/>
  <c r="Y2198" i="8"/>
  <c r="Y2199" i="8"/>
  <c r="Y2200" i="8"/>
  <c r="Y2201" i="8"/>
  <c r="Y2202" i="8"/>
  <c r="Y2203" i="8"/>
  <c r="Y2204" i="8"/>
  <c r="Y2205" i="8"/>
  <c r="Y2206" i="8"/>
  <c r="Y2207" i="8"/>
  <c r="Y2208" i="8"/>
  <c r="Y2209" i="8"/>
  <c r="Y2210" i="8"/>
  <c r="Y2211" i="8"/>
  <c r="Y2212" i="8"/>
  <c r="Y2213" i="8"/>
  <c r="Y2214" i="8"/>
  <c r="Y2215" i="8"/>
  <c r="Y2216" i="8"/>
  <c r="Y2217" i="8"/>
  <c r="Y2218" i="8"/>
  <c r="Y2219" i="8"/>
  <c r="Y2220" i="8"/>
  <c r="Y2221" i="8"/>
  <c r="Y2222" i="8"/>
  <c r="Y2223" i="8"/>
  <c r="Y2224" i="8"/>
  <c r="Y2225" i="8"/>
  <c r="Y2226" i="8"/>
  <c r="Y2227" i="8"/>
  <c r="Y2228" i="8"/>
  <c r="Y2229" i="8"/>
  <c r="Y2230" i="8"/>
  <c r="Y2231" i="8"/>
  <c r="Y2232" i="8"/>
  <c r="Y2233" i="8"/>
  <c r="Y2234" i="8"/>
  <c r="Y2235" i="8"/>
  <c r="Y2236" i="8"/>
  <c r="Y2237" i="8"/>
  <c r="Y2238" i="8"/>
  <c r="Y2239" i="8"/>
  <c r="Y2240" i="8"/>
  <c r="Y2241" i="8"/>
  <c r="Y2242" i="8"/>
  <c r="Y2243" i="8"/>
  <c r="Y2244" i="8"/>
  <c r="Y2245" i="8"/>
  <c r="Y2246" i="8"/>
  <c r="Y2247" i="8"/>
  <c r="Y2248" i="8"/>
  <c r="Y2249" i="8"/>
  <c r="Y2250" i="8"/>
  <c r="Y2251" i="8"/>
  <c r="Y2252" i="8"/>
  <c r="Y2253" i="8"/>
  <c r="Y2254" i="8"/>
  <c r="Y2255" i="8"/>
  <c r="Y2256" i="8"/>
  <c r="Y2257" i="8"/>
  <c r="Y2258" i="8"/>
  <c r="Y2259" i="8"/>
  <c r="Y2260" i="8"/>
  <c r="Y2261" i="8"/>
  <c r="Y2262" i="8"/>
  <c r="Y2263" i="8"/>
  <c r="Y2264" i="8"/>
  <c r="Y2265" i="8"/>
  <c r="Y2266" i="8"/>
  <c r="Y2267" i="8"/>
  <c r="Y2268" i="8"/>
  <c r="Y2269" i="8"/>
  <c r="Y2270" i="8"/>
  <c r="Y2271" i="8"/>
  <c r="Y2272" i="8"/>
  <c r="Y2273" i="8"/>
  <c r="Y2274" i="8"/>
  <c r="Y2275" i="8"/>
  <c r="Y2276" i="8"/>
  <c r="Y2277" i="8"/>
  <c r="Y2278" i="8"/>
  <c r="Y2279" i="8"/>
  <c r="Y2280" i="8"/>
  <c r="Y2281" i="8"/>
  <c r="Y2282" i="8"/>
  <c r="Y2283" i="8"/>
  <c r="Y2284" i="8"/>
  <c r="Y2285" i="8"/>
  <c r="Y2286" i="8"/>
  <c r="Y2287" i="8"/>
  <c r="Y2288" i="8"/>
  <c r="Y2289" i="8"/>
  <c r="Y2290" i="8"/>
  <c r="Y2291" i="8"/>
  <c r="Y2292" i="8"/>
  <c r="Y2293" i="8"/>
  <c r="Y2294" i="8"/>
  <c r="Y2295" i="8"/>
  <c r="Y2296" i="8"/>
  <c r="Y2297" i="8"/>
  <c r="Y2298" i="8"/>
  <c r="Y2299" i="8"/>
  <c r="Y2300" i="8"/>
  <c r="Y2301" i="8"/>
  <c r="Y2302" i="8"/>
  <c r="Y2303" i="8"/>
  <c r="Y2304" i="8"/>
  <c r="Y2305" i="8"/>
  <c r="Y2306" i="8"/>
  <c r="Y2307" i="8"/>
  <c r="Y2308" i="8"/>
  <c r="Y2309" i="8"/>
  <c r="Y2310" i="8"/>
  <c r="Y2311" i="8"/>
  <c r="Y2312" i="8"/>
  <c r="Y2313" i="8"/>
  <c r="Y2314" i="8"/>
  <c r="Y2315" i="8"/>
  <c r="Y2316" i="8"/>
  <c r="Y2317" i="8"/>
  <c r="Y2318" i="8"/>
  <c r="Y2319" i="8"/>
  <c r="Y2320" i="8"/>
  <c r="Y2321" i="8"/>
  <c r="Y2322" i="8"/>
  <c r="Y2323" i="8"/>
  <c r="Y2324" i="8"/>
  <c r="Y2325" i="8"/>
  <c r="Y2326" i="8"/>
  <c r="Y2327" i="8"/>
  <c r="Y2328" i="8"/>
  <c r="Y2329" i="8"/>
  <c r="Y2330" i="8"/>
  <c r="Y2331" i="8"/>
  <c r="Y2332" i="8"/>
  <c r="Y2333" i="8"/>
  <c r="Y2334" i="8"/>
  <c r="Y2335" i="8"/>
  <c r="Y2336" i="8"/>
  <c r="Y2337" i="8"/>
  <c r="Y2338" i="8"/>
  <c r="Y2339" i="8"/>
  <c r="Y2340" i="8"/>
  <c r="Y2341" i="8"/>
  <c r="Y2342" i="8"/>
  <c r="Y2343" i="8"/>
  <c r="Y2344" i="8"/>
  <c r="Y2345" i="8"/>
  <c r="Y2346" i="8"/>
  <c r="Y2347" i="8"/>
  <c r="Y2348" i="8"/>
  <c r="Y2349" i="8"/>
  <c r="Y2350" i="8"/>
  <c r="Y2351" i="8"/>
  <c r="Y2352" i="8"/>
  <c r="Y2353" i="8"/>
  <c r="Y2354" i="8"/>
  <c r="Y2355" i="8"/>
  <c r="Y2356" i="8"/>
  <c r="Y2357" i="8"/>
  <c r="Y2358" i="8"/>
  <c r="Y2359" i="8"/>
  <c r="Y2360" i="8"/>
  <c r="Y2361" i="8"/>
  <c r="Y2362" i="8"/>
  <c r="Y2363" i="8"/>
  <c r="Y2364" i="8"/>
  <c r="Y2365" i="8"/>
  <c r="Y2366" i="8"/>
  <c r="Y2367" i="8"/>
  <c r="Y2368" i="8"/>
  <c r="Y2369" i="8"/>
  <c r="Y2370" i="8"/>
  <c r="Y2371" i="8"/>
  <c r="Y2372" i="8"/>
  <c r="Y2373" i="8"/>
  <c r="Y2374" i="8"/>
  <c r="Y2375" i="8"/>
  <c r="Y2376" i="8"/>
  <c r="Y2377" i="8"/>
  <c r="Y2378" i="8"/>
  <c r="Y2379" i="8"/>
  <c r="Y2380" i="8"/>
  <c r="Y2381" i="8"/>
  <c r="Y2382" i="8"/>
  <c r="Y2383" i="8"/>
  <c r="Y2384" i="8"/>
  <c r="Y2385" i="8"/>
  <c r="Y2386" i="8"/>
  <c r="Y2387" i="8"/>
  <c r="Y2388" i="8"/>
  <c r="Y2389" i="8"/>
  <c r="Y2390" i="8"/>
  <c r="Y2391" i="8"/>
  <c r="Y2392" i="8"/>
  <c r="Y2393" i="8"/>
  <c r="Y2394" i="8"/>
  <c r="Y2395" i="8"/>
  <c r="Y2396" i="8"/>
  <c r="Y2397" i="8"/>
  <c r="Y2398" i="8"/>
  <c r="Y2399" i="8"/>
  <c r="Y2400" i="8"/>
  <c r="Y2401" i="8"/>
  <c r="Y2402" i="8"/>
  <c r="Y2403" i="8"/>
  <c r="Y2404" i="8"/>
  <c r="Y2405" i="8"/>
  <c r="Y2406" i="8"/>
  <c r="Y2407" i="8"/>
  <c r="Y2408" i="8"/>
  <c r="Y2409" i="8"/>
  <c r="Y2410" i="8"/>
  <c r="Y2411" i="8"/>
  <c r="Y2412" i="8"/>
  <c r="Y2413" i="8"/>
  <c r="Y2414" i="8"/>
  <c r="Y2415" i="8"/>
  <c r="Y2416" i="8"/>
  <c r="Y2417" i="8"/>
  <c r="Y2418" i="8"/>
  <c r="Y2419" i="8"/>
  <c r="Y2420" i="8"/>
  <c r="Y2421" i="8"/>
  <c r="Y2422" i="8"/>
  <c r="Y2423" i="8"/>
  <c r="Y2424" i="8"/>
  <c r="Y2425" i="8"/>
  <c r="Y2426" i="8"/>
  <c r="Y2427" i="8"/>
  <c r="Y2428" i="8"/>
  <c r="Y2429" i="8"/>
  <c r="Y2430" i="8"/>
  <c r="Y2431" i="8"/>
  <c r="Y2432" i="8"/>
  <c r="Y2433" i="8"/>
  <c r="Y2434" i="8"/>
  <c r="Y2435" i="8"/>
  <c r="Y2436" i="8"/>
  <c r="Y2437" i="8"/>
  <c r="Y2438" i="8"/>
  <c r="Y2439" i="8"/>
  <c r="Y2440" i="8"/>
  <c r="Y2441" i="8"/>
  <c r="Y2442" i="8"/>
  <c r="Y2443" i="8"/>
  <c r="Y2444" i="8"/>
  <c r="Y2445" i="8"/>
  <c r="Y2446" i="8"/>
  <c r="Y2447" i="8"/>
  <c r="Y2448" i="8"/>
  <c r="Y2449" i="8"/>
  <c r="Y2450" i="8"/>
  <c r="Y2451" i="8"/>
  <c r="Y2452" i="8"/>
  <c r="Y2453" i="8"/>
  <c r="Y2454" i="8"/>
  <c r="Y2455" i="8"/>
  <c r="Y2456" i="8"/>
  <c r="Y2457" i="8"/>
  <c r="Y2458" i="8"/>
  <c r="Y2459" i="8"/>
  <c r="Y2460" i="8"/>
  <c r="Y2461" i="8"/>
  <c r="Y2462" i="8"/>
  <c r="Y2463" i="8"/>
  <c r="Y2464" i="8"/>
  <c r="Y2465" i="8"/>
  <c r="Y2466" i="8"/>
  <c r="Y2467" i="8"/>
  <c r="Y2468" i="8"/>
  <c r="Y2469" i="8"/>
  <c r="Y2470" i="8"/>
  <c r="Y2471" i="8"/>
  <c r="Y2472" i="8"/>
  <c r="Y2473" i="8"/>
  <c r="Y2474" i="8"/>
  <c r="Y2475" i="8"/>
  <c r="Y2476" i="8"/>
  <c r="Y2477" i="8"/>
  <c r="Y2478" i="8"/>
  <c r="Y2479" i="8"/>
  <c r="Y2480" i="8"/>
  <c r="Y2481" i="8"/>
  <c r="Y2482" i="8"/>
  <c r="Y2483" i="8"/>
  <c r="Y2484" i="8"/>
  <c r="Y2485" i="8"/>
  <c r="Y2486" i="8"/>
  <c r="Y2487" i="8"/>
  <c r="Y2488" i="8"/>
  <c r="Y2489" i="8"/>
  <c r="Y2490" i="8"/>
  <c r="Y2491" i="8"/>
  <c r="Y2492" i="8"/>
  <c r="Y2493" i="8"/>
  <c r="Y2494" i="8"/>
  <c r="Y2495" i="8"/>
  <c r="Y2496" i="8"/>
  <c r="Y2497" i="8"/>
  <c r="Y2498" i="8"/>
  <c r="Y2499" i="8"/>
  <c r="Y2500" i="8"/>
  <c r="Y2501" i="8"/>
  <c r="Y2502" i="8"/>
  <c r="Y2503" i="8"/>
  <c r="Y2504" i="8"/>
  <c r="Y2505" i="8"/>
  <c r="Y2506" i="8"/>
  <c r="Y2507" i="8"/>
  <c r="Y2508" i="8"/>
  <c r="Y2509" i="8"/>
  <c r="Y2510" i="8"/>
  <c r="Y2511" i="8"/>
  <c r="Y2512" i="8"/>
  <c r="Y2513" i="8"/>
  <c r="Y2514" i="8"/>
  <c r="Y2515" i="8"/>
  <c r="Y2516" i="8"/>
  <c r="Y2517" i="8"/>
  <c r="Y2518" i="8"/>
  <c r="Y2519" i="8"/>
  <c r="Y2520" i="8"/>
  <c r="Y2521" i="8"/>
  <c r="Y2522" i="8"/>
  <c r="Y2523" i="8"/>
  <c r="Y2524" i="8"/>
  <c r="Y2525" i="8"/>
  <c r="Y2526" i="8"/>
  <c r="Y2527" i="8"/>
  <c r="Y2528" i="8"/>
  <c r="Y2529" i="8"/>
  <c r="Y2530" i="8"/>
  <c r="Y2531" i="8"/>
  <c r="Y2532" i="8"/>
  <c r="Y2533" i="8"/>
  <c r="Y2534" i="8"/>
  <c r="Y2535" i="8"/>
  <c r="Y2536" i="8"/>
  <c r="Y2537" i="8"/>
  <c r="Y2538" i="8"/>
  <c r="Y2539" i="8"/>
  <c r="Y2540" i="8"/>
  <c r="Y2541" i="8"/>
  <c r="Y2542" i="8"/>
  <c r="Y2543" i="8"/>
  <c r="Y2544" i="8"/>
  <c r="Y2545" i="8"/>
  <c r="Y2546" i="8"/>
  <c r="Y2547" i="8"/>
  <c r="Y2548" i="8"/>
  <c r="Y2549" i="8"/>
  <c r="Y2550" i="8"/>
  <c r="Y2551" i="8"/>
  <c r="Y2552" i="8"/>
  <c r="Y2553" i="8"/>
  <c r="Y2554" i="8"/>
  <c r="Y2555" i="8"/>
  <c r="Y2556" i="8"/>
  <c r="Y2557" i="8"/>
  <c r="Y2558" i="8"/>
  <c r="Y2559" i="8"/>
  <c r="Y2560" i="8"/>
  <c r="Y2561" i="8"/>
  <c r="Y2562" i="8"/>
  <c r="Y2563" i="8"/>
  <c r="Y2564" i="8"/>
  <c r="Y2565" i="8"/>
  <c r="Y2566" i="8"/>
  <c r="Y2567" i="8"/>
  <c r="Y2568" i="8"/>
  <c r="Y2569" i="8"/>
  <c r="Y2570" i="8"/>
  <c r="Y2571" i="8"/>
  <c r="Y2572" i="8"/>
  <c r="Y2573" i="8"/>
  <c r="Y2574" i="8"/>
  <c r="Y2575" i="8"/>
  <c r="Y2576" i="8"/>
  <c r="Y2577" i="8"/>
  <c r="Y2578" i="8"/>
  <c r="Y2579" i="8"/>
  <c r="Y2580" i="8"/>
  <c r="Y2581" i="8"/>
  <c r="Y2582" i="8"/>
  <c r="Y2583" i="8"/>
  <c r="Y2584" i="8"/>
  <c r="Y2585" i="8"/>
  <c r="Y2586" i="8"/>
  <c r="Y2587" i="8"/>
  <c r="Y2588" i="8"/>
  <c r="Y2589" i="8"/>
  <c r="Y2590" i="8"/>
  <c r="Y2591" i="8"/>
  <c r="Y2592" i="8"/>
  <c r="Y2593" i="8"/>
  <c r="Y2594" i="8"/>
  <c r="Y2595" i="8"/>
  <c r="Y2596" i="8"/>
  <c r="Y2597" i="8"/>
  <c r="Y2598" i="8"/>
  <c r="Y2599" i="8"/>
  <c r="Y2600" i="8"/>
  <c r="Y2601" i="8"/>
  <c r="Y2602" i="8"/>
  <c r="Y2603" i="8"/>
  <c r="Y2604" i="8"/>
  <c r="Y2605" i="8"/>
  <c r="Y2606" i="8"/>
  <c r="Y2607" i="8"/>
  <c r="Y2608" i="8"/>
  <c r="Y2609" i="8"/>
  <c r="Y2610" i="8"/>
  <c r="Y2611" i="8"/>
  <c r="Y2612" i="8"/>
  <c r="Y2613" i="8"/>
  <c r="Y2614" i="8"/>
  <c r="Y2615" i="8"/>
  <c r="Y2616" i="8"/>
  <c r="Y2617" i="8"/>
  <c r="Y2618" i="8"/>
  <c r="Y2619" i="8"/>
  <c r="Y2620" i="8"/>
  <c r="Y2621" i="8"/>
  <c r="Y2622" i="8"/>
  <c r="Y2623" i="8"/>
  <c r="Y2624" i="8"/>
  <c r="Y2625" i="8"/>
  <c r="Y2626" i="8"/>
  <c r="Y2627" i="8"/>
  <c r="Y2628" i="8"/>
  <c r="Y2629" i="8"/>
  <c r="Y2630" i="8"/>
  <c r="Y2631" i="8"/>
  <c r="Y2632" i="8"/>
  <c r="Y2633" i="8"/>
  <c r="Y2634" i="8"/>
  <c r="Y2635" i="8"/>
  <c r="Y2636" i="8"/>
  <c r="Y2637" i="8"/>
  <c r="Y2638" i="8"/>
  <c r="Y2639" i="8"/>
  <c r="Y2640" i="8"/>
  <c r="Y2641" i="8"/>
  <c r="Y2642" i="8"/>
  <c r="Y2643" i="8"/>
  <c r="Y2644" i="8"/>
  <c r="Y2645" i="8"/>
  <c r="Y2646" i="8"/>
  <c r="Y2647" i="8"/>
  <c r="Y2648" i="8"/>
  <c r="Y2649" i="8"/>
  <c r="Y2650" i="8"/>
  <c r="Y2651" i="8"/>
  <c r="Y2652" i="8"/>
  <c r="Y2653" i="8"/>
  <c r="Y2654" i="8"/>
  <c r="Y2655" i="8"/>
  <c r="Y2656" i="8"/>
  <c r="Y2657" i="8"/>
  <c r="Y2658" i="8"/>
  <c r="Y2659" i="8"/>
  <c r="Y2660" i="8"/>
  <c r="Y2661" i="8"/>
  <c r="Y2662" i="8"/>
  <c r="Y2663" i="8"/>
  <c r="Y2664" i="8"/>
  <c r="Y2665" i="8"/>
  <c r="Y2666" i="8"/>
  <c r="Y2667" i="8"/>
  <c r="Y2668" i="8"/>
  <c r="Y2669" i="8"/>
  <c r="Y2670" i="8"/>
  <c r="Y2671" i="8"/>
  <c r="Y2672" i="8"/>
  <c r="Y2673" i="8"/>
  <c r="Y2674" i="8"/>
  <c r="Y2675" i="8"/>
  <c r="Y2676" i="8"/>
  <c r="Y2677" i="8"/>
  <c r="Y2678" i="8"/>
  <c r="Y2679" i="8"/>
  <c r="Y2680" i="8"/>
  <c r="Y2681" i="8"/>
  <c r="Y2682" i="8"/>
  <c r="Y2683" i="8"/>
  <c r="Y2684" i="8"/>
  <c r="Y2685" i="8"/>
  <c r="Y2686" i="8"/>
  <c r="Y2687" i="8"/>
  <c r="Y2688" i="8"/>
  <c r="Y2689" i="8"/>
  <c r="Y2690" i="8"/>
  <c r="Y2691" i="8"/>
  <c r="Y2692" i="8"/>
  <c r="Y2693" i="8"/>
  <c r="Y2694" i="8"/>
  <c r="Y2695" i="8"/>
  <c r="Y2696" i="8"/>
  <c r="Y2697" i="8"/>
  <c r="Y2698" i="8"/>
  <c r="Y2699" i="8"/>
  <c r="Y2700" i="8"/>
  <c r="Y2701" i="8"/>
  <c r="Y2702" i="8"/>
  <c r="Y2703" i="8"/>
  <c r="Y2704" i="8"/>
  <c r="Y2705" i="8"/>
  <c r="Y2706" i="8"/>
  <c r="Y2707" i="8"/>
  <c r="Y2708" i="8"/>
  <c r="Y2709" i="8"/>
  <c r="Y2710" i="8"/>
  <c r="Y2711" i="8"/>
  <c r="Y2712" i="8"/>
  <c r="Y2713" i="8"/>
  <c r="Y2714" i="8"/>
  <c r="Y2715" i="8"/>
  <c r="Y2716" i="8"/>
  <c r="Y2717" i="8"/>
  <c r="Y2718" i="8"/>
  <c r="Y2719" i="8"/>
  <c r="Y2720" i="8"/>
  <c r="Y2721" i="8"/>
  <c r="Y2722" i="8"/>
  <c r="Y2723" i="8"/>
  <c r="Y2724" i="8"/>
  <c r="Y2725" i="8"/>
  <c r="Y2726" i="8"/>
  <c r="Y2727" i="8"/>
  <c r="Y2728" i="8"/>
  <c r="Y2729" i="8"/>
  <c r="Y2730" i="8"/>
  <c r="R563" i="8"/>
  <c r="S563" i="8"/>
  <c r="AI563" i="8" s="1"/>
  <c r="T563" i="8"/>
  <c r="AJ563" i="8" s="1"/>
  <c r="R564" i="8"/>
  <c r="S564" i="8"/>
  <c r="AI564" i="8" s="1"/>
  <c r="T564" i="8"/>
  <c r="AJ564" i="8" s="1"/>
  <c r="R565" i="8"/>
  <c r="S565" i="8"/>
  <c r="AI565" i="8" s="1"/>
  <c r="T565" i="8"/>
  <c r="AJ565" i="8" s="1"/>
  <c r="R566" i="8"/>
  <c r="S566" i="8"/>
  <c r="AI566" i="8" s="1"/>
  <c r="T566" i="8"/>
  <c r="AJ566" i="8" s="1"/>
  <c r="R567" i="8"/>
  <c r="S567" i="8"/>
  <c r="AI567" i="8" s="1"/>
  <c r="T567" i="8"/>
  <c r="AJ567" i="8" s="1"/>
  <c r="R568" i="8"/>
  <c r="S568" i="8"/>
  <c r="AI568" i="8" s="1"/>
  <c r="T568" i="8"/>
  <c r="AJ568" i="8" s="1"/>
  <c r="R569" i="8"/>
  <c r="S569" i="8"/>
  <c r="AI569" i="8" s="1"/>
  <c r="T569" i="8"/>
  <c r="AJ569" i="8" s="1"/>
  <c r="R570" i="8"/>
  <c r="S570" i="8"/>
  <c r="AI570" i="8" s="1"/>
  <c r="T570" i="8"/>
  <c r="AJ570" i="8" s="1"/>
  <c r="R571" i="8"/>
  <c r="S571" i="8"/>
  <c r="AI571" i="8" s="1"/>
  <c r="T571" i="8"/>
  <c r="AJ571" i="8" s="1"/>
  <c r="R572" i="8"/>
  <c r="S572" i="8"/>
  <c r="AI572" i="8" s="1"/>
  <c r="T572" i="8"/>
  <c r="AJ572" i="8" s="1"/>
  <c r="R573" i="8"/>
  <c r="S573" i="8"/>
  <c r="AI573" i="8" s="1"/>
  <c r="T573" i="8"/>
  <c r="AJ573" i="8" s="1"/>
  <c r="R574" i="8"/>
  <c r="S574" i="8"/>
  <c r="AI574" i="8" s="1"/>
  <c r="T574" i="8"/>
  <c r="AJ574" i="8" s="1"/>
  <c r="R575" i="8"/>
  <c r="S575" i="8"/>
  <c r="AI575" i="8" s="1"/>
  <c r="T575" i="8"/>
  <c r="AJ575" i="8" s="1"/>
  <c r="R576" i="8"/>
  <c r="S576" i="8"/>
  <c r="AI576" i="8" s="1"/>
  <c r="T576" i="8"/>
  <c r="AJ576" i="8" s="1"/>
  <c r="R577" i="8"/>
  <c r="S577" i="8"/>
  <c r="AI577" i="8" s="1"/>
  <c r="T577" i="8"/>
  <c r="AJ577" i="8" s="1"/>
  <c r="R578" i="8"/>
  <c r="S578" i="8"/>
  <c r="AI578" i="8" s="1"/>
  <c r="T578" i="8"/>
  <c r="AJ578" i="8" s="1"/>
  <c r="R579" i="8"/>
  <c r="S579" i="8"/>
  <c r="AI579" i="8" s="1"/>
  <c r="T579" i="8"/>
  <c r="AJ579" i="8" s="1"/>
  <c r="R580" i="8"/>
  <c r="S580" i="8"/>
  <c r="AI580" i="8" s="1"/>
  <c r="T580" i="8"/>
  <c r="AJ580" i="8" s="1"/>
  <c r="R581" i="8"/>
  <c r="S581" i="8"/>
  <c r="AI581" i="8" s="1"/>
  <c r="T581" i="8"/>
  <c r="AJ581" i="8" s="1"/>
  <c r="R582" i="8"/>
  <c r="S582" i="8"/>
  <c r="AI582" i="8" s="1"/>
  <c r="T582" i="8"/>
  <c r="AJ582" i="8" s="1"/>
  <c r="R583" i="8"/>
  <c r="S583" i="8"/>
  <c r="AI583" i="8" s="1"/>
  <c r="T583" i="8"/>
  <c r="AJ583" i="8" s="1"/>
  <c r="R584" i="8"/>
  <c r="S584" i="8"/>
  <c r="AI584" i="8" s="1"/>
  <c r="T584" i="8"/>
  <c r="AJ584" i="8" s="1"/>
  <c r="R585" i="8"/>
  <c r="S585" i="8"/>
  <c r="AI585" i="8" s="1"/>
  <c r="T585" i="8"/>
  <c r="AJ585" i="8" s="1"/>
  <c r="R586" i="8"/>
  <c r="S586" i="8"/>
  <c r="AI586" i="8" s="1"/>
  <c r="T586" i="8"/>
  <c r="AJ586" i="8" s="1"/>
  <c r="R587" i="8"/>
  <c r="S587" i="8"/>
  <c r="AI587" i="8" s="1"/>
  <c r="T587" i="8"/>
  <c r="AJ587" i="8" s="1"/>
  <c r="R588" i="8"/>
  <c r="S588" i="8"/>
  <c r="AI588" i="8" s="1"/>
  <c r="T588" i="8"/>
  <c r="AJ588" i="8" s="1"/>
  <c r="R589" i="8"/>
  <c r="S589" i="8"/>
  <c r="AI589" i="8" s="1"/>
  <c r="T589" i="8"/>
  <c r="AJ589" i="8" s="1"/>
  <c r="R590" i="8"/>
  <c r="S590" i="8"/>
  <c r="AI590" i="8" s="1"/>
  <c r="T590" i="8"/>
  <c r="AJ590" i="8" s="1"/>
  <c r="R591" i="8"/>
  <c r="S591" i="8"/>
  <c r="AI591" i="8" s="1"/>
  <c r="T591" i="8"/>
  <c r="AJ591" i="8" s="1"/>
  <c r="R592" i="8"/>
  <c r="S592" i="8"/>
  <c r="AI592" i="8" s="1"/>
  <c r="T592" i="8"/>
  <c r="AJ592" i="8" s="1"/>
  <c r="R593" i="8"/>
  <c r="S593" i="8"/>
  <c r="AI593" i="8" s="1"/>
  <c r="T593" i="8"/>
  <c r="AJ593" i="8" s="1"/>
  <c r="R594" i="8"/>
  <c r="S594" i="8"/>
  <c r="AI594" i="8" s="1"/>
  <c r="T594" i="8"/>
  <c r="AJ594" i="8" s="1"/>
  <c r="R595" i="8"/>
  <c r="S595" i="8"/>
  <c r="AI595" i="8" s="1"/>
  <c r="T595" i="8"/>
  <c r="AJ595" i="8" s="1"/>
  <c r="R596" i="8"/>
  <c r="S596" i="8"/>
  <c r="AI596" i="8" s="1"/>
  <c r="T596" i="8"/>
  <c r="AJ596" i="8" s="1"/>
  <c r="R597" i="8"/>
  <c r="S597" i="8"/>
  <c r="AI597" i="8" s="1"/>
  <c r="T597" i="8"/>
  <c r="AJ597" i="8" s="1"/>
  <c r="R598" i="8"/>
  <c r="S598" i="8"/>
  <c r="AI598" i="8" s="1"/>
  <c r="T598" i="8"/>
  <c r="AJ598" i="8" s="1"/>
  <c r="R599" i="8"/>
  <c r="S599" i="8"/>
  <c r="AI599" i="8" s="1"/>
  <c r="T599" i="8"/>
  <c r="AJ599" i="8" s="1"/>
  <c r="R600" i="8"/>
  <c r="S600" i="8"/>
  <c r="AI600" i="8" s="1"/>
  <c r="T600" i="8"/>
  <c r="AJ600" i="8" s="1"/>
  <c r="R601" i="8"/>
  <c r="S601" i="8"/>
  <c r="AI601" i="8" s="1"/>
  <c r="T601" i="8"/>
  <c r="AJ601" i="8" s="1"/>
  <c r="R602" i="8"/>
  <c r="S602" i="8"/>
  <c r="AI602" i="8" s="1"/>
  <c r="T602" i="8"/>
  <c r="AJ602" i="8" s="1"/>
  <c r="R603" i="8"/>
  <c r="S603" i="8"/>
  <c r="AI603" i="8" s="1"/>
  <c r="T603" i="8"/>
  <c r="AJ603" i="8" s="1"/>
  <c r="R604" i="8"/>
  <c r="S604" i="8"/>
  <c r="AI604" i="8" s="1"/>
  <c r="T604" i="8"/>
  <c r="AJ604" i="8" s="1"/>
  <c r="R605" i="8"/>
  <c r="S605" i="8"/>
  <c r="AI605" i="8" s="1"/>
  <c r="T605" i="8"/>
  <c r="AJ605" i="8" s="1"/>
  <c r="R606" i="8"/>
  <c r="S606" i="8"/>
  <c r="AI606" i="8" s="1"/>
  <c r="T606" i="8"/>
  <c r="AJ606" i="8" s="1"/>
  <c r="R607" i="8"/>
  <c r="S607" i="8"/>
  <c r="AI607" i="8" s="1"/>
  <c r="T607" i="8"/>
  <c r="AJ607" i="8" s="1"/>
  <c r="R608" i="8"/>
  <c r="S608" i="8"/>
  <c r="AI608" i="8" s="1"/>
  <c r="T608" i="8"/>
  <c r="AJ608" i="8" s="1"/>
  <c r="R609" i="8"/>
  <c r="S609" i="8"/>
  <c r="AI609" i="8" s="1"/>
  <c r="T609" i="8"/>
  <c r="AJ609" i="8" s="1"/>
  <c r="R610" i="8"/>
  <c r="S610" i="8"/>
  <c r="AI610" i="8" s="1"/>
  <c r="T610" i="8"/>
  <c r="AJ610" i="8" s="1"/>
  <c r="R611" i="8"/>
  <c r="S611" i="8"/>
  <c r="AI611" i="8" s="1"/>
  <c r="T611" i="8"/>
  <c r="AJ611" i="8" s="1"/>
  <c r="R612" i="8"/>
  <c r="S612" i="8"/>
  <c r="AI612" i="8" s="1"/>
  <c r="T612" i="8"/>
  <c r="AJ612" i="8" s="1"/>
  <c r="R613" i="8"/>
  <c r="S613" i="8"/>
  <c r="AI613" i="8" s="1"/>
  <c r="T613" i="8"/>
  <c r="AJ613" i="8" s="1"/>
  <c r="R614" i="8"/>
  <c r="S614" i="8"/>
  <c r="AI614" i="8" s="1"/>
  <c r="T614" i="8"/>
  <c r="AJ614" i="8" s="1"/>
  <c r="R615" i="8"/>
  <c r="S615" i="8"/>
  <c r="AI615" i="8" s="1"/>
  <c r="T615" i="8"/>
  <c r="AJ615" i="8" s="1"/>
  <c r="R616" i="8"/>
  <c r="S616" i="8"/>
  <c r="AI616" i="8" s="1"/>
  <c r="T616" i="8"/>
  <c r="AJ616" i="8" s="1"/>
  <c r="R617" i="8"/>
  <c r="S617" i="8"/>
  <c r="AI617" i="8" s="1"/>
  <c r="T617" i="8"/>
  <c r="AJ617" i="8" s="1"/>
  <c r="R618" i="8"/>
  <c r="S618" i="8"/>
  <c r="AI618" i="8" s="1"/>
  <c r="T618" i="8"/>
  <c r="AJ618" i="8" s="1"/>
  <c r="R619" i="8"/>
  <c r="S619" i="8"/>
  <c r="AI619" i="8" s="1"/>
  <c r="T619" i="8"/>
  <c r="AJ619" i="8" s="1"/>
  <c r="R620" i="8"/>
  <c r="S620" i="8"/>
  <c r="AI620" i="8" s="1"/>
  <c r="T620" i="8"/>
  <c r="AJ620" i="8" s="1"/>
  <c r="R621" i="8"/>
  <c r="S621" i="8"/>
  <c r="AI621" i="8" s="1"/>
  <c r="T621" i="8"/>
  <c r="AJ621" i="8" s="1"/>
  <c r="R622" i="8"/>
  <c r="S622" i="8"/>
  <c r="AI622" i="8" s="1"/>
  <c r="T622" i="8"/>
  <c r="AJ622" i="8" s="1"/>
  <c r="R623" i="8"/>
  <c r="S623" i="8"/>
  <c r="AI623" i="8" s="1"/>
  <c r="T623" i="8"/>
  <c r="AJ623" i="8" s="1"/>
  <c r="R624" i="8"/>
  <c r="S624" i="8"/>
  <c r="AI624" i="8" s="1"/>
  <c r="T624" i="8"/>
  <c r="AJ624" i="8" s="1"/>
  <c r="R625" i="8"/>
  <c r="S625" i="8"/>
  <c r="AI625" i="8" s="1"/>
  <c r="T625" i="8"/>
  <c r="AJ625" i="8" s="1"/>
  <c r="R626" i="8"/>
  <c r="S626" i="8"/>
  <c r="AI626" i="8" s="1"/>
  <c r="T626" i="8"/>
  <c r="AJ626" i="8" s="1"/>
  <c r="R627" i="8"/>
  <c r="S627" i="8"/>
  <c r="AI627" i="8" s="1"/>
  <c r="T627" i="8"/>
  <c r="AJ627" i="8" s="1"/>
  <c r="R628" i="8"/>
  <c r="S628" i="8"/>
  <c r="AI628" i="8" s="1"/>
  <c r="T628" i="8"/>
  <c r="AJ628" i="8" s="1"/>
  <c r="R629" i="8"/>
  <c r="S629" i="8"/>
  <c r="AI629" i="8" s="1"/>
  <c r="T629" i="8"/>
  <c r="AJ629" i="8" s="1"/>
  <c r="R630" i="8"/>
  <c r="S630" i="8"/>
  <c r="AI630" i="8" s="1"/>
  <c r="T630" i="8"/>
  <c r="AJ630" i="8" s="1"/>
  <c r="R631" i="8"/>
  <c r="S631" i="8"/>
  <c r="AI631" i="8" s="1"/>
  <c r="T631" i="8"/>
  <c r="AJ631" i="8" s="1"/>
  <c r="R632" i="8"/>
  <c r="S632" i="8"/>
  <c r="AI632" i="8" s="1"/>
  <c r="T632" i="8"/>
  <c r="AJ632" i="8" s="1"/>
  <c r="R633" i="8"/>
  <c r="S633" i="8"/>
  <c r="AI633" i="8" s="1"/>
  <c r="T633" i="8"/>
  <c r="AJ633" i="8" s="1"/>
  <c r="R634" i="8"/>
  <c r="S634" i="8"/>
  <c r="AI634" i="8" s="1"/>
  <c r="T634" i="8"/>
  <c r="AJ634" i="8" s="1"/>
  <c r="R635" i="8"/>
  <c r="S635" i="8"/>
  <c r="AI635" i="8" s="1"/>
  <c r="T635" i="8"/>
  <c r="AJ635" i="8" s="1"/>
  <c r="R636" i="8"/>
  <c r="S636" i="8"/>
  <c r="AI636" i="8" s="1"/>
  <c r="T636" i="8"/>
  <c r="AJ636" i="8" s="1"/>
  <c r="R637" i="8"/>
  <c r="S637" i="8"/>
  <c r="AI637" i="8" s="1"/>
  <c r="T637" i="8"/>
  <c r="AJ637" i="8" s="1"/>
  <c r="R638" i="8"/>
  <c r="S638" i="8"/>
  <c r="AI638" i="8" s="1"/>
  <c r="T638" i="8"/>
  <c r="AJ638" i="8" s="1"/>
  <c r="R639" i="8"/>
  <c r="S639" i="8"/>
  <c r="AI639" i="8" s="1"/>
  <c r="T639" i="8"/>
  <c r="AJ639" i="8" s="1"/>
  <c r="R640" i="8"/>
  <c r="S640" i="8"/>
  <c r="AI640" i="8" s="1"/>
  <c r="T640" i="8"/>
  <c r="AJ640" i="8" s="1"/>
  <c r="R641" i="8"/>
  <c r="S641" i="8"/>
  <c r="AI641" i="8" s="1"/>
  <c r="T641" i="8"/>
  <c r="AJ641" i="8" s="1"/>
  <c r="R642" i="8"/>
  <c r="S642" i="8"/>
  <c r="AI642" i="8" s="1"/>
  <c r="T642" i="8"/>
  <c r="AJ642" i="8" s="1"/>
  <c r="R643" i="8"/>
  <c r="S643" i="8"/>
  <c r="AI643" i="8" s="1"/>
  <c r="T643" i="8"/>
  <c r="AJ643" i="8" s="1"/>
  <c r="R644" i="8"/>
  <c r="S644" i="8"/>
  <c r="AI644" i="8" s="1"/>
  <c r="T644" i="8"/>
  <c r="AJ644" i="8" s="1"/>
  <c r="R645" i="8"/>
  <c r="S645" i="8"/>
  <c r="AI645" i="8" s="1"/>
  <c r="T645" i="8"/>
  <c r="AJ645" i="8" s="1"/>
  <c r="R646" i="8"/>
  <c r="S646" i="8"/>
  <c r="AI646" i="8" s="1"/>
  <c r="T646" i="8"/>
  <c r="AJ646" i="8" s="1"/>
  <c r="R647" i="8"/>
  <c r="S647" i="8"/>
  <c r="AI647" i="8" s="1"/>
  <c r="T647" i="8"/>
  <c r="AJ647" i="8" s="1"/>
  <c r="R648" i="8"/>
  <c r="S648" i="8"/>
  <c r="AI648" i="8" s="1"/>
  <c r="T648" i="8"/>
  <c r="AJ648" i="8" s="1"/>
  <c r="R649" i="8"/>
  <c r="S649" i="8"/>
  <c r="AI649" i="8" s="1"/>
  <c r="T649" i="8"/>
  <c r="AJ649" i="8" s="1"/>
  <c r="R650" i="8"/>
  <c r="S650" i="8"/>
  <c r="AI650" i="8" s="1"/>
  <c r="T650" i="8"/>
  <c r="AJ650" i="8" s="1"/>
  <c r="R651" i="8"/>
  <c r="S651" i="8"/>
  <c r="AI651" i="8" s="1"/>
  <c r="T651" i="8"/>
  <c r="AJ651" i="8" s="1"/>
  <c r="R652" i="8"/>
  <c r="S652" i="8"/>
  <c r="AI652" i="8" s="1"/>
  <c r="T652" i="8"/>
  <c r="AJ652" i="8" s="1"/>
  <c r="R653" i="8"/>
  <c r="S653" i="8"/>
  <c r="AI653" i="8" s="1"/>
  <c r="T653" i="8"/>
  <c r="AJ653" i="8" s="1"/>
  <c r="R654" i="8"/>
  <c r="S654" i="8"/>
  <c r="AI654" i="8" s="1"/>
  <c r="T654" i="8"/>
  <c r="AJ654" i="8" s="1"/>
  <c r="R655" i="8"/>
  <c r="S655" i="8"/>
  <c r="AI655" i="8" s="1"/>
  <c r="T655" i="8"/>
  <c r="AJ655" i="8" s="1"/>
  <c r="R656" i="8"/>
  <c r="S656" i="8"/>
  <c r="AI656" i="8" s="1"/>
  <c r="T656" i="8"/>
  <c r="AJ656" i="8" s="1"/>
  <c r="R657" i="8"/>
  <c r="S657" i="8"/>
  <c r="AI657" i="8" s="1"/>
  <c r="T657" i="8"/>
  <c r="AJ657" i="8" s="1"/>
  <c r="R658" i="8"/>
  <c r="S658" i="8"/>
  <c r="AI658" i="8" s="1"/>
  <c r="T658" i="8"/>
  <c r="AJ658" i="8" s="1"/>
  <c r="R659" i="8"/>
  <c r="S659" i="8"/>
  <c r="AI659" i="8" s="1"/>
  <c r="T659" i="8"/>
  <c r="AJ659" i="8" s="1"/>
  <c r="R660" i="8"/>
  <c r="S660" i="8"/>
  <c r="AI660" i="8" s="1"/>
  <c r="T660" i="8"/>
  <c r="AJ660" i="8" s="1"/>
  <c r="R661" i="8"/>
  <c r="S661" i="8"/>
  <c r="AI661" i="8" s="1"/>
  <c r="T661" i="8"/>
  <c r="AJ661" i="8" s="1"/>
  <c r="R662" i="8"/>
  <c r="S662" i="8"/>
  <c r="AI662" i="8" s="1"/>
  <c r="T662" i="8"/>
  <c r="AJ662" i="8" s="1"/>
  <c r="R663" i="8"/>
  <c r="S663" i="8"/>
  <c r="AI663" i="8" s="1"/>
  <c r="T663" i="8"/>
  <c r="AJ663" i="8" s="1"/>
  <c r="R664" i="8"/>
  <c r="S664" i="8"/>
  <c r="AI664" i="8" s="1"/>
  <c r="T664" i="8"/>
  <c r="AJ664" i="8" s="1"/>
  <c r="R665" i="8"/>
  <c r="S665" i="8"/>
  <c r="AI665" i="8" s="1"/>
  <c r="T665" i="8"/>
  <c r="AJ665" i="8" s="1"/>
  <c r="R666" i="8"/>
  <c r="S666" i="8"/>
  <c r="AI666" i="8" s="1"/>
  <c r="T666" i="8"/>
  <c r="AJ666" i="8" s="1"/>
  <c r="R667" i="8"/>
  <c r="S667" i="8"/>
  <c r="AI667" i="8" s="1"/>
  <c r="T667" i="8"/>
  <c r="AJ667" i="8" s="1"/>
  <c r="R668" i="8"/>
  <c r="S668" i="8"/>
  <c r="AI668" i="8" s="1"/>
  <c r="T668" i="8"/>
  <c r="AJ668" i="8" s="1"/>
  <c r="R669" i="8"/>
  <c r="S669" i="8"/>
  <c r="AI669" i="8" s="1"/>
  <c r="T669" i="8"/>
  <c r="AJ669" i="8" s="1"/>
  <c r="R670" i="8"/>
  <c r="S670" i="8"/>
  <c r="AI670" i="8" s="1"/>
  <c r="T670" i="8"/>
  <c r="AJ670" i="8" s="1"/>
  <c r="R671" i="8"/>
  <c r="S671" i="8"/>
  <c r="AI671" i="8" s="1"/>
  <c r="T671" i="8"/>
  <c r="AJ671" i="8" s="1"/>
  <c r="R672" i="8"/>
  <c r="S672" i="8"/>
  <c r="AI672" i="8" s="1"/>
  <c r="T672" i="8"/>
  <c r="AJ672" i="8" s="1"/>
  <c r="R673" i="8"/>
  <c r="S673" i="8"/>
  <c r="AI673" i="8" s="1"/>
  <c r="T673" i="8"/>
  <c r="AJ673" i="8" s="1"/>
  <c r="R674" i="8"/>
  <c r="S674" i="8"/>
  <c r="AI674" i="8" s="1"/>
  <c r="T674" i="8"/>
  <c r="AJ674" i="8" s="1"/>
  <c r="R675" i="8"/>
  <c r="S675" i="8"/>
  <c r="AI675" i="8" s="1"/>
  <c r="T675" i="8"/>
  <c r="AJ675" i="8" s="1"/>
  <c r="R676" i="8"/>
  <c r="S676" i="8"/>
  <c r="AI676" i="8" s="1"/>
  <c r="T676" i="8"/>
  <c r="AJ676" i="8" s="1"/>
  <c r="R677" i="8"/>
  <c r="S677" i="8"/>
  <c r="AI677" i="8" s="1"/>
  <c r="T677" i="8"/>
  <c r="AJ677" i="8" s="1"/>
  <c r="R678" i="8"/>
  <c r="S678" i="8"/>
  <c r="AI678" i="8" s="1"/>
  <c r="T678" i="8"/>
  <c r="AJ678" i="8" s="1"/>
  <c r="R679" i="8"/>
  <c r="S679" i="8"/>
  <c r="AI679" i="8" s="1"/>
  <c r="T679" i="8"/>
  <c r="AJ679" i="8" s="1"/>
  <c r="R680" i="8"/>
  <c r="S680" i="8"/>
  <c r="AI680" i="8" s="1"/>
  <c r="T680" i="8"/>
  <c r="AJ680" i="8" s="1"/>
  <c r="R681" i="8"/>
  <c r="S681" i="8"/>
  <c r="AI681" i="8" s="1"/>
  <c r="T681" i="8"/>
  <c r="AJ681" i="8" s="1"/>
  <c r="R682" i="8"/>
  <c r="S682" i="8"/>
  <c r="AI682" i="8" s="1"/>
  <c r="T682" i="8"/>
  <c r="AJ682" i="8" s="1"/>
  <c r="R683" i="8"/>
  <c r="S683" i="8"/>
  <c r="AI683" i="8" s="1"/>
  <c r="T683" i="8"/>
  <c r="AJ683" i="8" s="1"/>
  <c r="R684" i="8"/>
  <c r="S684" i="8"/>
  <c r="AI684" i="8" s="1"/>
  <c r="T684" i="8"/>
  <c r="AJ684" i="8" s="1"/>
  <c r="R685" i="8"/>
  <c r="S685" i="8"/>
  <c r="AI685" i="8" s="1"/>
  <c r="T685" i="8"/>
  <c r="AJ685" i="8" s="1"/>
  <c r="R686" i="8"/>
  <c r="S686" i="8"/>
  <c r="AI686" i="8" s="1"/>
  <c r="T686" i="8"/>
  <c r="AJ686" i="8" s="1"/>
  <c r="R687" i="8"/>
  <c r="S687" i="8"/>
  <c r="AI687" i="8" s="1"/>
  <c r="T687" i="8"/>
  <c r="AJ687" i="8" s="1"/>
  <c r="R688" i="8"/>
  <c r="S688" i="8"/>
  <c r="AI688" i="8" s="1"/>
  <c r="T688" i="8"/>
  <c r="AJ688" i="8" s="1"/>
  <c r="R689" i="8"/>
  <c r="S689" i="8"/>
  <c r="AI689" i="8" s="1"/>
  <c r="T689" i="8"/>
  <c r="AJ689" i="8" s="1"/>
  <c r="R690" i="8"/>
  <c r="S690" i="8"/>
  <c r="AI690" i="8" s="1"/>
  <c r="T690" i="8"/>
  <c r="AJ690" i="8" s="1"/>
  <c r="R691" i="8"/>
  <c r="S691" i="8"/>
  <c r="AI691" i="8" s="1"/>
  <c r="T691" i="8"/>
  <c r="AJ691" i="8" s="1"/>
  <c r="R692" i="8"/>
  <c r="S692" i="8"/>
  <c r="AI692" i="8" s="1"/>
  <c r="T692" i="8"/>
  <c r="AJ692" i="8" s="1"/>
  <c r="R693" i="8"/>
  <c r="S693" i="8"/>
  <c r="AI693" i="8" s="1"/>
  <c r="T693" i="8"/>
  <c r="AJ693" i="8" s="1"/>
  <c r="R694" i="8"/>
  <c r="S694" i="8"/>
  <c r="AI694" i="8" s="1"/>
  <c r="T694" i="8"/>
  <c r="AJ694" i="8" s="1"/>
  <c r="R695" i="8"/>
  <c r="S695" i="8"/>
  <c r="AI695" i="8" s="1"/>
  <c r="T695" i="8"/>
  <c r="AJ695" i="8" s="1"/>
  <c r="R696" i="8"/>
  <c r="S696" i="8"/>
  <c r="AI696" i="8" s="1"/>
  <c r="T696" i="8"/>
  <c r="AJ696" i="8" s="1"/>
  <c r="R697" i="8"/>
  <c r="S697" i="8"/>
  <c r="AI697" i="8" s="1"/>
  <c r="T697" i="8"/>
  <c r="AJ697" i="8" s="1"/>
  <c r="R698" i="8"/>
  <c r="S698" i="8"/>
  <c r="AI698" i="8" s="1"/>
  <c r="T698" i="8"/>
  <c r="AJ698" i="8" s="1"/>
  <c r="R699" i="8"/>
  <c r="S699" i="8"/>
  <c r="AI699" i="8" s="1"/>
  <c r="T699" i="8"/>
  <c r="AJ699" i="8" s="1"/>
  <c r="R700" i="8"/>
  <c r="S700" i="8"/>
  <c r="AI700" i="8" s="1"/>
  <c r="T700" i="8"/>
  <c r="AJ700" i="8" s="1"/>
  <c r="R701" i="8"/>
  <c r="S701" i="8"/>
  <c r="AI701" i="8" s="1"/>
  <c r="T701" i="8"/>
  <c r="AJ701" i="8" s="1"/>
  <c r="R702" i="8"/>
  <c r="S702" i="8"/>
  <c r="AI702" i="8" s="1"/>
  <c r="T702" i="8"/>
  <c r="AJ702" i="8" s="1"/>
  <c r="R703" i="8"/>
  <c r="S703" i="8"/>
  <c r="AI703" i="8" s="1"/>
  <c r="T703" i="8"/>
  <c r="AJ703" i="8" s="1"/>
  <c r="R704" i="8"/>
  <c r="S704" i="8"/>
  <c r="AI704" i="8" s="1"/>
  <c r="T704" i="8"/>
  <c r="AJ704" i="8" s="1"/>
  <c r="R705" i="8"/>
  <c r="S705" i="8"/>
  <c r="AI705" i="8" s="1"/>
  <c r="T705" i="8"/>
  <c r="AJ705" i="8" s="1"/>
  <c r="R706" i="8"/>
  <c r="S706" i="8"/>
  <c r="AI706" i="8" s="1"/>
  <c r="T706" i="8"/>
  <c r="AJ706" i="8" s="1"/>
  <c r="R707" i="8"/>
  <c r="S707" i="8"/>
  <c r="AI707" i="8" s="1"/>
  <c r="T707" i="8"/>
  <c r="AJ707" i="8" s="1"/>
  <c r="R708" i="8"/>
  <c r="S708" i="8"/>
  <c r="AI708" i="8" s="1"/>
  <c r="T708" i="8"/>
  <c r="AJ708" i="8" s="1"/>
  <c r="R709" i="8"/>
  <c r="S709" i="8"/>
  <c r="AI709" i="8" s="1"/>
  <c r="T709" i="8"/>
  <c r="AJ709" i="8" s="1"/>
  <c r="R710" i="8"/>
  <c r="S710" i="8"/>
  <c r="AI710" i="8" s="1"/>
  <c r="T710" i="8"/>
  <c r="AJ710" i="8" s="1"/>
  <c r="R711" i="8"/>
  <c r="S711" i="8"/>
  <c r="AI711" i="8" s="1"/>
  <c r="T711" i="8"/>
  <c r="AJ711" i="8" s="1"/>
  <c r="R712" i="8"/>
  <c r="S712" i="8"/>
  <c r="AI712" i="8" s="1"/>
  <c r="T712" i="8"/>
  <c r="AJ712" i="8" s="1"/>
  <c r="R713" i="8"/>
  <c r="S713" i="8"/>
  <c r="AI713" i="8" s="1"/>
  <c r="T713" i="8"/>
  <c r="AJ713" i="8" s="1"/>
  <c r="R714" i="8"/>
  <c r="S714" i="8"/>
  <c r="AI714" i="8" s="1"/>
  <c r="T714" i="8"/>
  <c r="AJ714" i="8" s="1"/>
  <c r="R715" i="8"/>
  <c r="S715" i="8"/>
  <c r="AI715" i="8" s="1"/>
  <c r="T715" i="8"/>
  <c r="AJ715" i="8" s="1"/>
  <c r="R716" i="8"/>
  <c r="S716" i="8"/>
  <c r="AI716" i="8" s="1"/>
  <c r="T716" i="8"/>
  <c r="AJ716" i="8" s="1"/>
  <c r="R717" i="8"/>
  <c r="S717" i="8"/>
  <c r="AI717" i="8" s="1"/>
  <c r="T717" i="8"/>
  <c r="AJ717" i="8" s="1"/>
  <c r="R718" i="8"/>
  <c r="S718" i="8"/>
  <c r="AI718" i="8" s="1"/>
  <c r="T718" i="8"/>
  <c r="AJ718" i="8" s="1"/>
  <c r="R719" i="8"/>
  <c r="S719" i="8"/>
  <c r="AI719" i="8" s="1"/>
  <c r="T719" i="8"/>
  <c r="AJ719" i="8" s="1"/>
  <c r="R720" i="8"/>
  <c r="S720" i="8"/>
  <c r="AI720" i="8" s="1"/>
  <c r="T720" i="8"/>
  <c r="AJ720" i="8" s="1"/>
  <c r="R721" i="8"/>
  <c r="S721" i="8"/>
  <c r="AI721" i="8" s="1"/>
  <c r="T721" i="8"/>
  <c r="AJ721" i="8" s="1"/>
  <c r="R722" i="8"/>
  <c r="S722" i="8"/>
  <c r="AI722" i="8" s="1"/>
  <c r="T722" i="8"/>
  <c r="AJ722" i="8" s="1"/>
  <c r="R723" i="8"/>
  <c r="S723" i="8"/>
  <c r="AI723" i="8" s="1"/>
  <c r="T723" i="8"/>
  <c r="AJ723" i="8" s="1"/>
  <c r="R724" i="8"/>
  <c r="S724" i="8"/>
  <c r="AI724" i="8" s="1"/>
  <c r="T724" i="8"/>
  <c r="AJ724" i="8" s="1"/>
  <c r="R725" i="8"/>
  <c r="S725" i="8"/>
  <c r="AI725" i="8" s="1"/>
  <c r="T725" i="8"/>
  <c r="AJ725" i="8" s="1"/>
  <c r="R726" i="8"/>
  <c r="S726" i="8"/>
  <c r="AI726" i="8" s="1"/>
  <c r="T726" i="8"/>
  <c r="AJ726" i="8" s="1"/>
  <c r="R727" i="8"/>
  <c r="S727" i="8"/>
  <c r="AI727" i="8" s="1"/>
  <c r="T727" i="8"/>
  <c r="AJ727" i="8" s="1"/>
  <c r="R728" i="8"/>
  <c r="S728" i="8"/>
  <c r="AI728" i="8" s="1"/>
  <c r="T728" i="8"/>
  <c r="AJ728" i="8" s="1"/>
  <c r="R729" i="8"/>
  <c r="S729" i="8"/>
  <c r="AI729" i="8" s="1"/>
  <c r="T729" i="8"/>
  <c r="AJ729" i="8" s="1"/>
  <c r="R730" i="8"/>
  <c r="S730" i="8"/>
  <c r="AI730" i="8" s="1"/>
  <c r="T730" i="8"/>
  <c r="AJ730" i="8" s="1"/>
  <c r="R731" i="8"/>
  <c r="S731" i="8"/>
  <c r="AI731" i="8" s="1"/>
  <c r="T731" i="8"/>
  <c r="AJ731" i="8" s="1"/>
  <c r="R732" i="8"/>
  <c r="S732" i="8"/>
  <c r="AI732" i="8" s="1"/>
  <c r="T732" i="8"/>
  <c r="AJ732" i="8" s="1"/>
  <c r="R733" i="8"/>
  <c r="S733" i="8"/>
  <c r="AI733" i="8" s="1"/>
  <c r="T733" i="8"/>
  <c r="AJ733" i="8" s="1"/>
  <c r="R734" i="8"/>
  <c r="S734" i="8"/>
  <c r="AI734" i="8" s="1"/>
  <c r="T734" i="8"/>
  <c r="AJ734" i="8" s="1"/>
  <c r="R735" i="8"/>
  <c r="S735" i="8"/>
  <c r="AI735" i="8" s="1"/>
  <c r="T735" i="8"/>
  <c r="AJ735" i="8" s="1"/>
  <c r="R736" i="8"/>
  <c r="S736" i="8"/>
  <c r="AI736" i="8" s="1"/>
  <c r="T736" i="8"/>
  <c r="AJ736" i="8" s="1"/>
  <c r="R737" i="8"/>
  <c r="S737" i="8"/>
  <c r="AI737" i="8" s="1"/>
  <c r="T737" i="8"/>
  <c r="AJ737" i="8" s="1"/>
  <c r="R738" i="8"/>
  <c r="S738" i="8"/>
  <c r="AI738" i="8" s="1"/>
  <c r="T738" i="8"/>
  <c r="AJ738" i="8" s="1"/>
  <c r="R739" i="8"/>
  <c r="S739" i="8"/>
  <c r="AI739" i="8" s="1"/>
  <c r="T739" i="8"/>
  <c r="AJ739" i="8" s="1"/>
  <c r="R740" i="8"/>
  <c r="S740" i="8"/>
  <c r="AI740" i="8" s="1"/>
  <c r="T740" i="8"/>
  <c r="AJ740" i="8" s="1"/>
  <c r="R741" i="8"/>
  <c r="S741" i="8"/>
  <c r="AI741" i="8" s="1"/>
  <c r="T741" i="8"/>
  <c r="AJ741" i="8" s="1"/>
  <c r="R742" i="8"/>
  <c r="S742" i="8"/>
  <c r="AI742" i="8" s="1"/>
  <c r="T742" i="8"/>
  <c r="AJ742" i="8" s="1"/>
  <c r="R743" i="8"/>
  <c r="S743" i="8"/>
  <c r="AI743" i="8" s="1"/>
  <c r="T743" i="8"/>
  <c r="AJ743" i="8" s="1"/>
  <c r="R744" i="8"/>
  <c r="S744" i="8"/>
  <c r="AI744" i="8" s="1"/>
  <c r="T744" i="8"/>
  <c r="AJ744" i="8" s="1"/>
  <c r="R745" i="8"/>
  <c r="S745" i="8"/>
  <c r="AI745" i="8" s="1"/>
  <c r="T745" i="8"/>
  <c r="AJ745" i="8" s="1"/>
  <c r="R746" i="8"/>
  <c r="S746" i="8"/>
  <c r="AI746" i="8" s="1"/>
  <c r="T746" i="8"/>
  <c r="AJ746" i="8" s="1"/>
  <c r="R747" i="8"/>
  <c r="S747" i="8"/>
  <c r="AI747" i="8" s="1"/>
  <c r="T747" i="8"/>
  <c r="AJ747" i="8" s="1"/>
  <c r="R748" i="8"/>
  <c r="S748" i="8"/>
  <c r="AI748" i="8" s="1"/>
  <c r="T748" i="8"/>
  <c r="AJ748" i="8" s="1"/>
  <c r="R749" i="8"/>
  <c r="S749" i="8"/>
  <c r="AI749" i="8" s="1"/>
  <c r="T749" i="8"/>
  <c r="AJ749" i="8" s="1"/>
  <c r="R750" i="8"/>
  <c r="S750" i="8"/>
  <c r="AI750" i="8" s="1"/>
  <c r="T750" i="8"/>
  <c r="AJ750" i="8" s="1"/>
  <c r="R751" i="8"/>
  <c r="S751" i="8"/>
  <c r="AI751" i="8" s="1"/>
  <c r="T751" i="8"/>
  <c r="AJ751" i="8" s="1"/>
  <c r="R752" i="8"/>
  <c r="S752" i="8"/>
  <c r="AI752" i="8" s="1"/>
  <c r="T752" i="8"/>
  <c r="AJ752" i="8" s="1"/>
  <c r="R753" i="8"/>
  <c r="S753" i="8"/>
  <c r="AI753" i="8" s="1"/>
  <c r="T753" i="8"/>
  <c r="AJ753" i="8" s="1"/>
  <c r="R754" i="8"/>
  <c r="S754" i="8"/>
  <c r="AI754" i="8" s="1"/>
  <c r="T754" i="8"/>
  <c r="AJ754" i="8" s="1"/>
  <c r="R755" i="8"/>
  <c r="S755" i="8"/>
  <c r="AI755" i="8" s="1"/>
  <c r="T755" i="8"/>
  <c r="AJ755" i="8" s="1"/>
  <c r="R756" i="8"/>
  <c r="S756" i="8"/>
  <c r="AI756" i="8" s="1"/>
  <c r="T756" i="8"/>
  <c r="AJ756" i="8" s="1"/>
  <c r="R757" i="8"/>
  <c r="S757" i="8"/>
  <c r="AI757" i="8" s="1"/>
  <c r="T757" i="8"/>
  <c r="AJ757" i="8" s="1"/>
  <c r="R758" i="8"/>
  <c r="S758" i="8"/>
  <c r="AI758" i="8" s="1"/>
  <c r="T758" i="8"/>
  <c r="AJ758" i="8" s="1"/>
  <c r="R759" i="8"/>
  <c r="S759" i="8"/>
  <c r="AI759" i="8" s="1"/>
  <c r="T759" i="8"/>
  <c r="AJ759" i="8" s="1"/>
  <c r="R760" i="8"/>
  <c r="S760" i="8"/>
  <c r="AI760" i="8" s="1"/>
  <c r="T760" i="8"/>
  <c r="AJ760" i="8" s="1"/>
  <c r="R761" i="8"/>
  <c r="S761" i="8"/>
  <c r="AI761" i="8" s="1"/>
  <c r="T761" i="8"/>
  <c r="AJ761" i="8" s="1"/>
  <c r="R762" i="8"/>
  <c r="S762" i="8"/>
  <c r="AI762" i="8" s="1"/>
  <c r="T762" i="8"/>
  <c r="AJ762" i="8" s="1"/>
  <c r="R763" i="8"/>
  <c r="S763" i="8"/>
  <c r="AI763" i="8" s="1"/>
  <c r="T763" i="8"/>
  <c r="AJ763" i="8" s="1"/>
  <c r="R764" i="8"/>
  <c r="S764" i="8"/>
  <c r="AI764" i="8" s="1"/>
  <c r="T764" i="8"/>
  <c r="AJ764" i="8" s="1"/>
  <c r="R765" i="8"/>
  <c r="S765" i="8"/>
  <c r="AI765" i="8" s="1"/>
  <c r="T765" i="8"/>
  <c r="AJ765" i="8" s="1"/>
  <c r="R766" i="8"/>
  <c r="S766" i="8"/>
  <c r="AI766" i="8" s="1"/>
  <c r="T766" i="8"/>
  <c r="AJ766" i="8" s="1"/>
  <c r="R767" i="8"/>
  <c r="S767" i="8"/>
  <c r="AI767" i="8" s="1"/>
  <c r="T767" i="8"/>
  <c r="AJ767" i="8" s="1"/>
  <c r="R768" i="8"/>
  <c r="S768" i="8"/>
  <c r="AI768" i="8" s="1"/>
  <c r="T768" i="8"/>
  <c r="AJ768" i="8" s="1"/>
  <c r="R769" i="8"/>
  <c r="S769" i="8"/>
  <c r="AI769" i="8" s="1"/>
  <c r="T769" i="8"/>
  <c r="AJ769" i="8" s="1"/>
  <c r="R770" i="8"/>
  <c r="S770" i="8"/>
  <c r="AI770" i="8" s="1"/>
  <c r="T770" i="8"/>
  <c r="AJ770" i="8" s="1"/>
  <c r="R771" i="8"/>
  <c r="S771" i="8"/>
  <c r="AI771" i="8" s="1"/>
  <c r="T771" i="8"/>
  <c r="AJ771" i="8" s="1"/>
  <c r="R772" i="8"/>
  <c r="S772" i="8"/>
  <c r="AI772" i="8" s="1"/>
  <c r="T772" i="8"/>
  <c r="AJ772" i="8" s="1"/>
  <c r="R773" i="8"/>
  <c r="S773" i="8"/>
  <c r="AI773" i="8" s="1"/>
  <c r="T773" i="8"/>
  <c r="AJ773" i="8" s="1"/>
  <c r="R774" i="8"/>
  <c r="S774" i="8"/>
  <c r="AI774" i="8" s="1"/>
  <c r="T774" i="8"/>
  <c r="AJ774" i="8" s="1"/>
  <c r="R775" i="8"/>
  <c r="S775" i="8"/>
  <c r="AI775" i="8" s="1"/>
  <c r="T775" i="8"/>
  <c r="AJ775" i="8" s="1"/>
  <c r="R776" i="8"/>
  <c r="S776" i="8"/>
  <c r="AI776" i="8" s="1"/>
  <c r="T776" i="8"/>
  <c r="AJ776" i="8" s="1"/>
  <c r="R777" i="8"/>
  <c r="S777" i="8"/>
  <c r="AI777" i="8" s="1"/>
  <c r="T777" i="8"/>
  <c r="AJ777" i="8" s="1"/>
  <c r="R778" i="8"/>
  <c r="S778" i="8"/>
  <c r="AI778" i="8" s="1"/>
  <c r="T778" i="8"/>
  <c r="AJ778" i="8" s="1"/>
  <c r="R779" i="8"/>
  <c r="S779" i="8"/>
  <c r="AI779" i="8" s="1"/>
  <c r="T779" i="8"/>
  <c r="AJ779" i="8" s="1"/>
  <c r="R780" i="8"/>
  <c r="S780" i="8"/>
  <c r="AI780" i="8" s="1"/>
  <c r="T780" i="8"/>
  <c r="AJ780" i="8" s="1"/>
  <c r="R781" i="8"/>
  <c r="S781" i="8"/>
  <c r="AI781" i="8" s="1"/>
  <c r="T781" i="8"/>
  <c r="AJ781" i="8" s="1"/>
  <c r="R782" i="8"/>
  <c r="S782" i="8"/>
  <c r="AI782" i="8" s="1"/>
  <c r="T782" i="8"/>
  <c r="AJ782" i="8" s="1"/>
  <c r="R783" i="8"/>
  <c r="S783" i="8"/>
  <c r="AI783" i="8" s="1"/>
  <c r="T783" i="8"/>
  <c r="AJ783" i="8" s="1"/>
  <c r="R784" i="8"/>
  <c r="S784" i="8"/>
  <c r="AI784" i="8" s="1"/>
  <c r="T784" i="8"/>
  <c r="AJ784" i="8" s="1"/>
  <c r="R785" i="8"/>
  <c r="S785" i="8"/>
  <c r="AI785" i="8" s="1"/>
  <c r="T785" i="8"/>
  <c r="AJ785" i="8" s="1"/>
  <c r="R786" i="8"/>
  <c r="S786" i="8"/>
  <c r="AI786" i="8" s="1"/>
  <c r="T786" i="8"/>
  <c r="AJ786" i="8" s="1"/>
  <c r="R787" i="8"/>
  <c r="S787" i="8"/>
  <c r="AI787" i="8" s="1"/>
  <c r="T787" i="8"/>
  <c r="AJ787" i="8" s="1"/>
  <c r="R788" i="8"/>
  <c r="S788" i="8"/>
  <c r="AI788" i="8" s="1"/>
  <c r="T788" i="8"/>
  <c r="AJ788" i="8" s="1"/>
  <c r="R789" i="8"/>
  <c r="S789" i="8"/>
  <c r="AI789" i="8" s="1"/>
  <c r="T789" i="8"/>
  <c r="AJ789" i="8" s="1"/>
  <c r="R790" i="8"/>
  <c r="S790" i="8"/>
  <c r="AI790" i="8" s="1"/>
  <c r="T790" i="8"/>
  <c r="AJ790" i="8" s="1"/>
  <c r="R791" i="8"/>
  <c r="S791" i="8"/>
  <c r="AI791" i="8" s="1"/>
  <c r="T791" i="8"/>
  <c r="AJ791" i="8" s="1"/>
  <c r="R792" i="8"/>
  <c r="S792" i="8"/>
  <c r="AI792" i="8" s="1"/>
  <c r="T792" i="8"/>
  <c r="AJ792" i="8" s="1"/>
  <c r="R793" i="8"/>
  <c r="S793" i="8"/>
  <c r="AI793" i="8" s="1"/>
  <c r="T793" i="8"/>
  <c r="AJ793" i="8" s="1"/>
  <c r="R794" i="8"/>
  <c r="S794" i="8"/>
  <c r="AI794" i="8" s="1"/>
  <c r="T794" i="8"/>
  <c r="AJ794" i="8" s="1"/>
  <c r="R795" i="8"/>
  <c r="S795" i="8"/>
  <c r="AI795" i="8" s="1"/>
  <c r="T795" i="8"/>
  <c r="AJ795" i="8" s="1"/>
  <c r="R796" i="8"/>
  <c r="S796" i="8"/>
  <c r="AI796" i="8" s="1"/>
  <c r="T796" i="8"/>
  <c r="AJ796" i="8" s="1"/>
  <c r="R797" i="8"/>
  <c r="S797" i="8"/>
  <c r="AI797" i="8" s="1"/>
  <c r="T797" i="8"/>
  <c r="AJ797" i="8" s="1"/>
  <c r="R798" i="8"/>
  <c r="S798" i="8"/>
  <c r="AI798" i="8" s="1"/>
  <c r="T798" i="8"/>
  <c r="AJ798" i="8" s="1"/>
  <c r="R799" i="8"/>
  <c r="S799" i="8"/>
  <c r="AI799" i="8" s="1"/>
  <c r="T799" i="8"/>
  <c r="AJ799" i="8" s="1"/>
  <c r="R800" i="8"/>
  <c r="S800" i="8"/>
  <c r="AI800" i="8" s="1"/>
  <c r="T800" i="8"/>
  <c r="AJ800" i="8" s="1"/>
  <c r="R801" i="8"/>
  <c r="S801" i="8"/>
  <c r="AI801" i="8" s="1"/>
  <c r="T801" i="8"/>
  <c r="AJ801" i="8" s="1"/>
  <c r="R802" i="8"/>
  <c r="S802" i="8"/>
  <c r="AI802" i="8" s="1"/>
  <c r="T802" i="8"/>
  <c r="AJ802" i="8" s="1"/>
  <c r="R803" i="8"/>
  <c r="S803" i="8"/>
  <c r="AI803" i="8" s="1"/>
  <c r="T803" i="8"/>
  <c r="AJ803" i="8" s="1"/>
  <c r="R804" i="8"/>
  <c r="S804" i="8"/>
  <c r="AI804" i="8" s="1"/>
  <c r="T804" i="8"/>
  <c r="AJ804" i="8" s="1"/>
  <c r="R805" i="8"/>
  <c r="S805" i="8"/>
  <c r="AI805" i="8" s="1"/>
  <c r="T805" i="8"/>
  <c r="AJ805" i="8" s="1"/>
  <c r="R806" i="8"/>
  <c r="S806" i="8"/>
  <c r="AI806" i="8" s="1"/>
  <c r="T806" i="8"/>
  <c r="AJ806" i="8" s="1"/>
  <c r="R807" i="8"/>
  <c r="S807" i="8"/>
  <c r="AI807" i="8" s="1"/>
  <c r="T807" i="8"/>
  <c r="AJ807" i="8" s="1"/>
  <c r="R808" i="8"/>
  <c r="S808" i="8"/>
  <c r="AI808" i="8" s="1"/>
  <c r="T808" i="8"/>
  <c r="AJ808" i="8" s="1"/>
  <c r="R809" i="8"/>
  <c r="S809" i="8"/>
  <c r="AI809" i="8" s="1"/>
  <c r="T809" i="8"/>
  <c r="AJ809" i="8" s="1"/>
  <c r="R810" i="8"/>
  <c r="S810" i="8"/>
  <c r="AI810" i="8" s="1"/>
  <c r="T810" i="8"/>
  <c r="AJ810" i="8" s="1"/>
  <c r="R811" i="8"/>
  <c r="S811" i="8"/>
  <c r="AI811" i="8" s="1"/>
  <c r="T811" i="8"/>
  <c r="AJ811" i="8" s="1"/>
  <c r="R812" i="8"/>
  <c r="S812" i="8"/>
  <c r="AI812" i="8" s="1"/>
  <c r="T812" i="8"/>
  <c r="AJ812" i="8" s="1"/>
  <c r="R813" i="8"/>
  <c r="S813" i="8"/>
  <c r="AI813" i="8" s="1"/>
  <c r="T813" i="8"/>
  <c r="AJ813" i="8" s="1"/>
  <c r="R814" i="8"/>
  <c r="S814" i="8"/>
  <c r="AI814" i="8" s="1"/>
  <c r="T814" i="8"/>
  <c r="AJ814" i="8" s="1"/>
  <c r="R815" i="8"/>
  <c r="S815" i="8"/>
  <c r="AI815" i="8" s="1"/>
  <c r="T815" i="8"/>
  <c r="AJ815" i="8" s="1"/>
  <c r="R816" i="8"/>
  <c r="S816" i="8"/>
  <c r="AI816" i="8" s="1"/>
  <c r="T816" i="8"/>
  <c r="AJ816" i="8" s="1"/>
  <c r="R817" i="8"/>
  <c r="S817" i="8"/>
  <c r="AI817" i="8" s="1"/>
  <c r="T817" i="8"/>
  <c r="AJ817" i="8" s="1"/>
  <c r="R818" i="8"/>
  <c r="S818" i="8"/>
  <c r="AI818" i="8" s="1"/>
  <c r="T818" i="8"/>
  <c r="AJ818" i="8" s="1"/>
  <c r="R819" i="8"/>
  <c r="S819" i="8"/>
  <c r="AI819" i="8" s="1"/>
  <c r="T819" i="8"/>
  <c r="AJ819" i="8" s="1"/>
  <c r="R820" i="8"/>
  <c r="S820" i="8"/>
  <c r="AI820" i="8" s="1"/>
  <c r="T820" i="8"/>
  <c r="AJ820" i="8" s="1"/>
  <c r="R821" i="8"/>
  <c r="S821" i="8"/>
  <c r="AI821" i="8" s="1"/>
  <c r="T821" i="8"/>
  <c r="AJ821" i="8" s="1"/>
  <c r="R822" i="8"/>
  <c r="S822" i="8"/>
  <c r="AI822" i="8" s="1"/>
  <c r="T822" i="8"/>
  <c r="AJ822" i="8" s="1"/>
  <c r="R823" i="8"/>
  <c r="S823" i="8"/>
  <c r="AI823" i="8" s="1"/>
  <c r="T823" i="8"/>
  <c r="AJ823" i="8" s="1"/>
  <c r="R824" i="8"/>
  <c r="S824" i="8"/>
  <c r="AI824" i="8" s="1"/>
  <c r="T824" i="8"/>
  <c r="AJ824" i="8" s="1"/>
  <c r="R825" i="8"/>
  <c r="S825" i="8"/>
  <c r="AI825" i="8" s="1"/>
  <c r="T825" i="8"/>
  <c r="AJ825" i="8" s="1"/>
  <c r="R826" i="8"/>
  <c r="S826" i="8"/>
  <c r="AI826" i="8" s="1"/>
  <c r="T826" i="8"/>
  <c r="AJ826" i="8" s="1"/>
  <c r="R827" i="8"/>
  <c r="S827" i="8"/>
  <c r="AI827" i="8" s="1"/>
  <c r="T827" i="8"/>
  <c r="AJ827" i="8" s="1"/>
  <c r="R828" i="8"/>
  <c r="S828" i="8"/>
  <c r="AI828" i="8" s="1"/>
  <c r="T828" i="8"/>
  <c r="AJ828" i="8" s="1"/>
  <c r="R829" i="8"/>
  <c r="S829" i="8"/>
  <c r="AI829" i="8" s="1"/>
  <c r="T829" i="8"/>
  <c r="AJ829" i="8" s="1"/>
  <c r="R830" i="8"/>
  <c r="S830" i="8"/>
  <c r="AI830" i="8" s="1"/>
  <c r="T830" i="8"/>
  <c r="AJ830" i="8" s="1"/>
  <c r="R831" i="8"/>
  <c r="S831" i="8"/>
  <c r="AI831" i="8" s="1"/>
  <c r="T831" i="8"/>
  <c r="AJ831" i="8" s="1"/>
  <c r="R832" i="8"/>
  <c r="S832" i="8"/>
  <c r="AI832" i="8" s="1"/>
  <c r="T832" i="8"/>
  <c r="AJ832" i="8" s="1"/>
  <c r="R833" i="8"/>
  <c r="S833" i="8"/>
  <c r="AI833" i="8" s="1"/>
  <c r="T833" i="8"/>
  <c r="AJ833" i="8" s="1"/>
  <c r="R834" i="8"/>
  <c r="S834" i="8"/>
  <c r="AI834" i="8" s="1"/>
  <c r="T834" i="8"/>
  <c r="AJ834" i="8" s="1"/>
  <c r="R835" i="8"/>
  <c r="S835" i="8"/>
  <c r="AI835" i="8" s="1"/>
  <c r="T835" i="8"/>
  <c r="AJ835" i="8" s="1"/>
  <c r="R836" i="8"/>
  <c r="S836" i="8"/>
  <c r="AI836" i="8" s="1"/>
  <c r="T836" i="8"/>
  <c r="AJ836" i="8" s="1"/>
  <c r="R837" i="8"/>
  <c r="S837" i="8"/>
  <c r="AI837" i="8" s="1"/>
  <c r="T837" i="8"/>
  <c r="AJ837" i="8" s="1"/>
  <c r="R838" i="8"/>
  <c r="S838" i="8"/>
  <c r="AI838" i="8" s="1"/>
  <c r="T838" i="8"/>
  <c r="AJ838" i="8" s="1"/>
  <c r="R839" i="8"/>
  <c r="S839" i="8"/>
  <c r="AI839" i="8" s="1"/>
  <c r="T839" i="8"/>
  <c r="AJ839" i="8" s="1"/>
  <c r="R840" i="8"/>
  <c r="S840" i="8"/>
  <c r="AI840" i="8" s="1"/>
  <c r="T840" i="8"/>
  <c r="AJ840" i="8" s="1"/>
  <c r="R841" i="8"/>
  <c r="S841" i="8"/>
  <c r="AI841" i="8" s="1"/>
  <c r="T841" i="8"/>
  <c r="AJ841" i="8" s="1"/>
  <c r="R842" i="8"/>
  <c r="S842" i="8"/>
  <c r="AI842" i="8" s="1"/>
  <c r="T842" i="8"/>
  <c r="AJ842" i="8" s="1"/>
  <c r="R843" i="8"/>
  <c r="S843" i="8"/>
  <c r="AI843" i="8" s="1"/>
  <c r="T843" i="8"/>
  <c r="AJ843" i="8" s="1"/>
  <c r="R844" i="8"/>
  <c r="S844" i="8"/>
  <c r="AI844" i="8" s="1"/>
  <c r="T844" i="8"/>
  <c r="AJ844" i="8" s="1"/>
  <c r="R845" i="8"/>
  <c r="S845" i="8"/>
  <c r="AI845" i="8" s="1"/>
  <c r="T845" i="8"/>
  <c r="AJ845" i="8" s="1"/>
  <c r="R846" i="8"/>
  <c r="S846" i="8"/>
  <c r="AI846" i="8" s="1"/>
  <c r="T846" i="8"/>
  <c r="AJ846" i="8" s="1"/>
  <c r="R847" i="8"/>
  <c r="S847" i="8"/>
  <c r="AI847" i="8" s="1"/>
  <c r="T847" i="8"/>
  <c r="AJ847" i="8" s="1"/>
  <c r="R848" i="8"/>
  <c r="S848" i="8"/>
  <c r="AI848" i="8" s="1"/>
  <c r="T848" i="8"/>
  <c r="AJ848" i="8" s="1"/>
  <c r="R849" i="8"/>
  <c r="S849" i="8"/>
  <c r="AI849" i="8" s="1"/>
  <c r="T849" i="8"/>
  <c r="AJ849" i="8" s="1"/>
  <c r="R850" i="8"/>
  <c r="S850" i="8"/>
  <c r="AI850" i="8" s="1"/>
  <c r="T850" i="8"/>
  <c r="AJ850" i="8" s="1"/>
  <c r="R851" i="8"/>
  <c r="S851" i="8"/>
  <c r="AI851" i="8" s="1"/>
  <c r="T851" i="8"/>
  <c r="AJ851" i="8" s="1"/>
  <c r="R852" i="8"/>
  <c r="S852" i="8"/>
  <c r="AI852" i="8" s="1"/>
  <c r="T852" i="8"/>
  <c r="AJ852" i="8" s="1"/>
  <c r="R853" i="8"/>
  <c r="S853" i="8"/>
  <c r="AI853" i="8" s="1"/>
  <c r="T853" i="8"/>
  <c r="AJ853" i="8" s="1"/>
  <c r="R854" i="8"/>
  <c r="S854" i="8"/>
  <c r="AI854" i="8" s="1"/>
  <c r="T854" i="8"/>
  <c r="AJ854" i="8" s="1"/>
  <c r="R855" i="8"/>
  <c r="S855" i="8"/>
  <c r="AI855" i="8" s="1"/>
  <c r="T855" i="8"/>
  <c r="AJ855" i="8" s="1"/>
  <c r="R856" i="8"/>
  <c r="S856" i="8"/>
  <c r="AI856" i="8" s="1"/>
  <c r="T856" i="8"/>
  <c r="AJ856" i="8" s="1"/>
  <c r="R857" i="8"/>
  <c r="S857" i="8"/>
  <c r="AI857" i="8" s="1"/>
  <c r="T857" i="8"/>
  <c r="AJ857" i="8" s="1"/>
  <c r="R858" i="8"/>
  <c r="S858" i="8"/>
  <c r="AI858" i="8" s="1"/>
  <c r="T858" i="8"/>
  <c r="AJ858" i="8" s="1"/>
  <c r="R859" i="8"/>
  <c r="S859" i="8"/>
  <c r="AI859" i="8" s="1"/>
  <c r="T859" i="8"/>
  <c r="AJ859" i="8" s="1"/>
  <c r="R860" i="8"/>
  <c r="S860" i="8"/>
  <c r="AI860" i="8" s="1"/>
  <c r="T860" i="8"/>
  <c r="AJ860" i="8" s="1"/>
  <c r="R861" i="8"/>
  <c r="S861" i="8"/>
  <c r="AI861" i="8" s="1"/>
  <c r="T861" i="8"/>
  <c r="AJ861" i="8" s="1"/>
  <c r="R862" i="8"/>
  <c r="S862" i="8"/>
  <c r="AI862" i="8" s="1"/>
  <c r="T862" i="8"/>
  <c r="AJ862" i="8" s="1"/>
  <c r="R863" i="8"/>
  <c r="S863" i="8"/>
  <c r="AI863" i="8" s="1"/>
  <c r="T863" i="8"/>
  <c r="AJ863" i="8" s="1"/>
  <c r="R864" i="8"/>
  <c r="S864" i="8"/>
  <c r="AI864" i="8" s="1"/>
  <c r="T864" i="8"/>
  <c r="AJ864" i="8" s="1"/>
  <c r="R865" i="8"/>
  <c r="S865" i="8"/>
  <c r="AI865" i="8" s="1"/>
  <c r="T865" i="8"/>
  <c r="AJ865" i="8" s="1"/>
  <c r="R866" i="8"/>
  <c r="S866" i="8"/>
  <c r="AI866" i="8" s="1"/>
  <c r="T866" i="8"/>
  <c r="AJ866" i="8" s="1"/>
  <c r="R867" i="8"/>
  <c r="S867" i="8"/>
  <c r="AI867" i="8" s="1"/>
  <c r="T867" i="8"/>
  <c r="AJ867" i="8" s="1"/>
  <c r="R868" i="8"/>
  <c r="S868" i="8"/>
  <c r="AI868" i="8" s="1"/>
  <c r="T868" i="8"/>
  <c r="AJ868" i="8" s="1"/>
  <c r="R869" i="8"/>
  <c r="S869" i="8"/>
  <c r="AI869" i="8" s="1"/>
  <c r="T869" i="8"/>
  <c r="AJ869" i="8" s="1"/>
  <c r="R870" i="8"/>
  <c r="S870" i="8"/>
  <c r="AI870" i="8" s="1"/>
  <c r="T870" i="8"/>
  <c r="AJ870" i="8" s="1"/>
  <c r="R871" i="8"/>
  <c r="S871" i="8"/>
  <c r="AI871" i="8" s="1"/>
  <c r="T871" i="8"/>
  <c r="AJ871" i="8" s="1"/>
  <c r="R872" i="8"/>
  <c r="S872" i="8"/>
  <c r="AI872" i="8" s="1"/>
  <c r="T872" i="8"/>
  <c r="AJ872" i="8" s="1"/>
  <c r="R873" i="8"/>
  <c r="S873" i="8"/>
  <c r="AI873" i="8" s="1"/>
  <c r="T873" i="8"/>
  <c r="AJ873" i="8" s="1"/>
  <c r="R874" i="8"/>
  <c r="S874" i="8"/>
  <c r="AI874" i="8" s="1"/>
  <c r="T874" i="8"/>
  <c r="AJ874" i="8" s="1"/>
  <c r="R875" i="8"/>
  <c r="S875" i="8"/>
  <c r="AI875" i="8" s="1"/>
  <c r="T875" i="8"/>
  <c r="AJ875" i="8" s="1"/>
  <c r="R876" i="8"/>
  <c r="S876" i="8"/>
  <c r="AI876" i="8" s="1"/>
  <c r="T876" i="8"/>
  <c r="AJ876" i="8" s="1"/>
  <c r="R877" i="8"/>
  <c r="S877" i="8"/>
  <c r="AI877" i="8" s="1"/>
  <c r="T877" i="8"/>
  <c r="AJ877" i="8" s="1"/>
  <c r="R878" i="8"/>
  <c r="S878" i="8"/>
  <c r="AI878" i="8" s="1"/>
  <c r="T878" i="8"/>
  <c r="AJ878" i="8" s="1"/>
  <c r="R879" i="8"/>
  <c r="S879" i="8"/>
  <c r="AI879" i="8" s="1"/>
  <c r="T879" i="8"/>
  <c r="AJ879" i="8" s="1"/>
  <c r="R880" i="8"/>
  <c r="S880" i="8"/>
  <c r="AI880" i="8" s="1"/>
  <c r="T880" i="8"/>
  <c r="AJ880" i="8" s="1"/>
  <c r="R881" i="8"/>
  <c r="S881" i="8"/>
  <c r="AI881" i="8" s="1"/>
  <c r="T881" i="8"/>
  <c r="AJ881" i="8" s="1"/>
  <c r="R882" i="8"/>
  <c r="S882" i="8"/>
  <c r="AI882" i="8" s="1"/>
  <c r="T882" i="8"/>
  <c r="AJ882" i="8" s="1"/>
  <c r="R883" i="8"/>
  <c r="S883" i="8"/>
  <c r="AI883" i="8" s="1"/>
  <c r="T883" i="8"/>
  <c r="AJ883" i="8" s="1"/>
  <c r="R884" i="8"/>
  <c r="S884" i="8"/>
  <c r="AI884" i="8" s="1"/>
  <c r="T884" i="8"/>
  <c r="AJ884" i="8" s="1"/>
  <c r="R885" i="8"/>
  <c r="S885" i="8"/>
  <c r="AI885" i="8" s="1"/>
  <c r="T885" i="8"/>
  <c r="AJ885" i="8" s="1"/>
  <c r="R886" i="8"/>
  <c r="S886" i="8"/>
  <c r="AI886" i="8" s="1"/>
  <c r="T886" i="8"/>
  <c r="AJ886" i="8" s="1"/>
  <c r="R887" i="8"/>
  <c r="S887" i="8"/>
  <c r="AI887" i="8" s="1"/>
  <c r="T887" i="8"/>
  <c r="AJ887" i="8" s="1"/>
  <c r="R888" i="8"/>
  <c r="S888" i="8"/>
  <c r="AI888" i="8" s="1"/>
  <c r="T888" i="8"/>
  <c r="AJ888" i="8" s="1"/>
  <c r="R889" i="8"/>
  <c r="S889" i="8"/>
  <c r="AI889" i="8" s="1"/>
  <c r="T889" i="8"/>
  <c r="AJ889" i="8" s="1"/>
  <c r="R890" i="8"/>
  <c r="S890" i="8"/>
  <c r="AI890" i="8" s="1"/>
  <c r="T890" i="8"/>
  <c r="AJ890" i="8" s="1"/>
  <c r="R891" i="8"/>
  <c r="S891" i="8"/>
  <c r="AI891" i="8" s="1"/>
  <c r="T891" i="8"/>
  <c r="AJ891" i="8" s="1"/>
  <c r="R892" i="8"/>
  <c r="S892" i="8"/>
  <c r="AI892" i="8" s="1"/>
  <c r="T892" i="8"/>
  <c r="AJ892" i="8" s="1"/>
  <c r="R893" i="8"/>
  <c r="S893" i="8"/>
  <c r="AI893" i="8" s="1"/>
  <c r="T893" i="8"/>
  <c r="AJ893" i="8" s="1"/>
  <c r="R894" i="8"/>
  <c r="S894" i="8"/>
  <c r="AI894" i="8" s="1"/>
  <c r="T894" i="8"/>
  <c r="AJ894" i="8" s="1"/>
  <c r="R895" i="8"/>
  <c r="S895" i="8"/>
  <c r="AI895" i="8" s="1"/>
  <c r="T895" i="8"/>
  <c r="AJ895" i="8" s="1"/>
  <c r="R896" i="8"/>
  <c r="S896" i="8"/>
  <c r="AI896" i="8" s="1"/>
  <c r="T896" i="8"/>
  <c r="AJ896" i="8" s="1"/>
  <c r="R897" i="8"/>
  <c r="S897" i="8"/>
  <c r="AI897" i="8" s="1"/>
  <c r="T897" i="8"/>
  <c r="AJ897" i="8" s="1"/>
  <c r="R898" i="8"/>
  <c r="S898" i="8"/>
  <c r="AI898" i="8" s="1"/>
  <c r="T898" i="8"/>
  <c r="AJ898" i="8" s="1"/>
  <c r="R899" i="8"/>
  <c r="S899" i="8"/>
  <c r="AI899" i="8" s="1"/>
  <c r="T899" i="8"/>
  <c r="AJ899" i="8" s="1"/>
  <c r="R900" i="8"/>
  <c r="S900" i="8"/>
  <c r="AI900" i="8" s="1"/>
  <c r="T900" i="8"/>
  <c r="AJ900" i="8" s="1"/>
  <c r="R901" i="8"/>
  <c r="S901" i="8"/>
  <c r="AI901" i="8" s="1"/>
  <c r="T901" i="8"/>
  <c r="AJ901" i="8" s="1"/>
  <c r="R902" i="8"/>
  <c r="S902" i="8"/>
  <c r="AI902" i="8" s="1"/>
  <c r="T902" i="8"/>
  <c r="AJ902" i="8" s="1"/>
  <c r="R903" i="8"/>
  <c r="S903" i="8"/>
  <c r="AI903" i="8" s="1"/>
  <c r="T903" i="8"/>
  <c r="AJ903" i="8" s="1"/>
  <c r="R904" i="8"/>
  <c r="S904" i="8"/>
  <c r="AI904" i="8" s="1"/>
  <c r="T904" i="8"/>
  <c r="AJ904" i="8" s="1"/>
  <c r="R905" i="8"/>
  <c r="S905" i="8"/>
  <c r="AI905" i="8" s="1"/>
  <c r="T905" i="8"/>
  <c r="AJ905" i="8" s="1"/>
  <c r="R906" i="8"/>
  <c r="S906" i="8"/>
  <c r="AI906" i="8" s="1"/>
  <c r="T906" i="8"/>
  <c r="AJ906" i="8" s="1"/>
  <c r="R907" i="8"/>
  <c r="S907" i="8"/>
  <c r="AI907" i="8" s="1"/>
  <c r="T907" i="8"/>
  <c r="AJ907" i="8" s="1"/>
  <c r="R908" i="8"/>
  <c r="S908" i="8"/>
  <c r="AI908" i="8" s="1"/>
  <c r="T908" i="8"/>
  <c r="AJ908" i="8" s="1"/>
  <c r="R909" i="8"/>
  <c r="S909" i="8"/>
  <c r="AI909" i="8" s="1"/>
  <c r="T909" i="8"/>
  <c r="AJ909" i="8" s="1"/>
  <c r="R910" i="8"/>
  <c r="S910" i="8"/>
  <c r="AI910" i="8" s="1"/>
  <c r="T910" i="8"/>
  <c r="AJ910" i="8" s="1"/>
  <c r="R911" i="8"/>
  <c r="S911" i="8"/>
  <c r="AI911" i="8" s="1"/>
  <c r="T911" i="8"/>
  <c r="AJ911" i="8" s="1"/>
  <c r="R912" i="8"/>
  <c r="S912" i="8"/>
  <c r="AI912" i="8" s="1"/>
  <c r="T912" i="8"/>
  <c r="AJ912" i="8" s="1"/>
  <c r="R913" i="8"/>
  <c r="S913" i="8"/>
  <c r="AI913" i="8" s="1"/>
  <c r="T913" i="8"/>
  <c r="AJ913" i="8" s="1"/>
  <c r="R914" i="8"/>
  <c r="S914" i="8"/>
  <c r="AI914" i="8" s="1"/>
  <c r="T914" i="8"/>
  <c r="AJ914" i="8" s="1"/>
  <c r="R915" i="8"/>
  <c r="S915" i="8"/>
  <c r="AI915" i="8" s="1"/>
  <c r="T915" i="8"/>
  <c r="AJ915" i="8" s="1"/>
  <c r="R916" i="8"/>
  <c r="S916" i="8"/>
  <c r="AI916" i="8" s="1"/>
  <c r="T916" i="8"/>
  <c r="AJ916" i="8" s="1"/>
  <c r="R917" i="8"/>
  <c r="S917" i="8"/>
  <c r="AI917" i="8" s="1"/>
  <c r="T917" i="8"/>
  <c r="AJ917" i="8" s="1"/>
  <c r="R918" i="8"/>
  <c r="S918" i="8"/>
  <c r="AI918" i="8" s="1"/>
  <c r="T918" i="8"/>
  <c r="AJ918" i="8" s="1"/>
  <c r="R919" i="8"/>
  <c r="S919" i="8"/>
  <c r="AI919" i="8" s="1"/>
  <c r="T919" i="8"/>
  <c r="AJ919" i="8" s="1"/>
  <c r="R920" i="8"/>
  <c r="S920" i="8"/>
  <c r="AI920" i="8" s="1"/>
  <c r="T920" i="8"/>
  <c r="AJ920" i="8" s="1"/>
  <c r="R921" i="8"/>
  <c r="S921" i="8"/>
  <c r="AI921" i="8" s="1"/>
  <c r="T921" i="8"/>
  <c r="AJ921" i="8" s="1"/>
  <c r="R922" i="8"/>
  <c r="S922" i="8"/>
  <c r="AI922" i="8" s="1"/>
  <c r="T922" i="8"/>
  <c r="AJ922" i="8" s="1"/>
  <c r="R923" i="8"/>
  <c r="S923" i="8"/>
  <c r="AI923" i="8" s="1"/>
  <c r="T923" i="8"/>
  <c r="AJ923" i="8" s="1"/>
  <c r="R924" i="8"/>
  <c r="S924" i="8"/>
  <c r="AI924" i="8" s="1"/>
  <c r="T924" i="8"/>
  <c r="AJ924" i="8" s="1"/>
  <c r="R925" i="8"/>
  <c r="S925" i="8"/>
  <c r="AI925" i="8" s="1"/>
  <c r="T925" i="8"/>
  <c r="AJ925" i="8" s="1"/>
  <c r="R926" i="8"/>
  <c r="S926" i="8"/>
  <c r="AI926" i="8" s="1"/>
  <c r="T926" i="8"/>
  <c r="AJ926" i="8" s="1"/>
  <c r="R927" i="8"/>
  <c r="S927" i="8"/>
  <c r="AI927" i="8" s="1"/>
  <c r="T927" i="8"/>
  <c r="AJ927" i="8" s="1"/>
  <c r="R928" i="8"/>
  <c r="S928" i="8"/>
  <c r="AI928" i="8" s="1"/>
  <c r="T928" i="8"/>
  <c r="AJ928" i="8" s="1"/>
  <c r="R929" i="8"/>
  <c r="S929" i="8"/>
  <c r="AI929" i="8" s="1"/>
  <c r="T929" i="8"/>
  <c r="AJ929" i="8" s="1"/>
  <c r="R930" i="8"/>
  <c r="S930" i="8"/>
  <c r="AI930" i="8" s="1"/>
  <c r="T930" i="8"/>
  <c r="AJ930" i="8" s="1"/>
  <c r="R931" i="8"/>
  <c r="S931" i="8"/>
  <c r="AI931" i="8" s="1"/>
  <c r="T931" i="8"/>
  <c r="AJ931" i="8" s="1"/>
  <c r="R932" i="8"/>
  <c r="S932" i="8"/>
  <c r="AI932" i="8" s="1"/>
  <c r="T932" i="8"/>
  <c r="AJ932" i="8" s="1"/>
  <c r="R933" i="8"/>
  <c r="S933" i="8"/>
  <c r="AI933" i="8" s="1"/>
  <c r="T933" i="8"/>
  <c r="AJ933" i="8" s="1"/>
  <c r="R934" i="8"/>
  <c r="S934" i="8"/>
  <c r="AI934" i="8" s="1"/>
  <c r="T934" i="8"/>
  <c r="AJ934" i="8" s="1"/>
  <c r="R935" i="8"/>
  <c r="S935" i="8"/>
  <c r="AI935" i="8" s="1"/>
  <c r="T935" i="8"/>
  <c r="AJ935" i="8" s="1"/>
  <c r="R936" i="8"/>
  <c r="S936" i="8"/>
  <c r="AI936" i="8" s="1"/>
  <c r="T936" i="8"/>
  <c r="AJ936" i="8" s="1"/>
  <c r="R937" i="8"/>
  <c r="S937" i="8"/>
  <c r="AI937" i="8" s="1"/>
  <c r="T937" i="8"/>
  <c r="AJ937" i="8" s="1"/>
  <c r="R938" i="8"/>
  <c r="S938" i="8"/>
  <c r="AI938" i="8" s="1"/>
  <c r="T938" i="8"/>
  <c r="AJ938" i="8" s="1"/>
  <c r="R939" i="8"/>
  <c r="S939" i="8"/>
  <c r="AI939" i="8" s="1"/>
  <c r="T939" i="8"/>
  <c r="AJ939" i="8" s="1"/>
  <c r="R940" i="8"/>
  <c r="S940" i="8"/>
  <c r="AI940" i="8" s="1"/>
  <c r="T940" i="8"/>
  <c r="AJ940" i="8" s="1"/>
  <c r="R941" i="8"/>
  <c r="S941" i="8"/>
  <c r="AI941" i="8" s="1"/>
  <c r="T941" i="8"/>
  <c r="AJ941" i="8" s="1"/>
  <c r="R942" i="8"/>
  <c r="S942" i="8"/>
  <c r="AI942" i="8" s="1"/>
  <c r="T942" i="8"/>
  <c r="AJ942" i="8" s="1"/>
  <c r="R943" i="8"/>
  <c r="S943" i="8"/>
  <c r="AI943" i="8" s="1"/>
  <c r="T943" i="8"/>
  <c r="AJ943" i="8" s="1"/>
  <c r="R944" i="8"/>
  <c r="S944" i="8"/>
  <c r="AI944" i="8" s="1"/>
  <c r="T944" i="8"/>
  <c r="AJ944" i="8" s="1"/>
  <c r="R945" i="8"/>
  <c r="S945" i="8"/>
  <c r="AI945" i="8" s="1"/>
  <c r="T945" i="8"/>
  <c r="AJ945" i="8" s="1"/>
  <c r="R946" i="8"/>
  <c r="S946" i="8"/>
  <c r="AI946" i="8" s="1"/>
  <c r="T946" i="8"/>
  <c r="AJ946" i="8" s="1"/>
  <c r="R947" i="8"/>
  <c r="S947" i="8"/>
  <c r="AI947" i="8" s="1"/>
  <c r="T947" i="8"/>
  <c r="AJ947" i="8" s="1"/>
  <c r="R948" i="8"/>
  <c r="S948" i="8"/>
  <c r="AI948" i="8" s="1"/>
  <c r="T948" i="8"/>
  <c r="AJ948" i="8" s="1"/>
  <c r="R949" i="8"/>
  <c r="S949" i="8"/>
  <c r="AI949" i="8" s="1"/>
  <c r="T949" i="8"/>
  <c r="AJ949" i="8" s="1"/>
  <c r="R950" i="8"/>
  <c r="S950" i="8"/>
  <c r="AI950" i="8" s="1"/>
  <c r="T950" i="8"/>
  <c r="AJ950" i="8" s="1"/>
  <c r="R951" i="8"/>
  <c r="S951" i="8"/>
  <c r="AI951" i="8" s="1"/>
  <c r="T951" i="8"/>
  <c r="AJ951" i="8" s="1"/>
  <c r="R952" i="8"/>
  <c r="S952" i="8"/>
  <c r="AI952" i="8" s="1"/>
  <c r="T952" i="8"/>
  <c r="AJ952" i="8" s="1"/>
  <c r="R953" i="8"/>
  <c r="S953" i="8"/>
  <c r="AI953" i="8" s="1"/>
  <c r="T953" i="8"/>
  <c r="AJ953" i="8" s="1"/>
  <c r="R954" i="8"/>
  <c r="S954" i="8"/>
  <c r="AI954" i="8" s="1"/>
  <c r="T954" i="8"/>
  <c r="AJ954" i="8" s="1"/>
  <c r="R955" i="8"/>
  <c r="S955" i="8"/>
  <c r="AI955" i="8" s="1"/>
  <c r="T955" i="8"/>
  <c r="AJ955" i="8" s="1"/>
  <c r="R956" i="8"/>
  <c r="S956" i="8"/>
  <c r="AI956" i="8" s="1"/>
  <c r="T956" i="8"/>
  <c r="AJ956" i="8" s="1"/>
  <c r="R957" i="8"/>
  <c r="S957" i="8"/>
  <c r="AI957" i="8" s="1"/>
  <c r="T957" i="8"/>
  <c r="AJ957" i="8" s="1"/>
  <c r="R958" i="8"/>
  <c r="S958" i="8"/>
  <c r="AI958" i="8" s="1"/>
  <c r="T958" i="8"/>
  <c r="AJ958" i="8" s="1"/>
  <c r="R959" i="8"/>
  <c r="S959" i="8"/>
  <c r="AI959" i="8" s="1"/>
  <c r="T959" i="8"/>
  <c r="AJ959" i="8" s="1"/>
  <c r="R960" i="8"/>
  <c r="S960" i="8"/>
  <c r="AI960" i="8" s="1"/>
  <c r="T960" i="8"/>
  <c r="AJ960" i="8" s="1"/>
  <c r="R961" i="8"/>
  <c r="S961" i="8"/>
  <c r="AI961" i="8" s="1"/>
  <c r="T961" i="8"/>
  <c r="AJ961" i="8" s="1"/>
  <c r="R962" i="8"/>
  <c r="S962" i="8"/>
  <c r="AI962" i="8" s="1"/>
  <c r="T962" i="8"/>
  <c r="AJ962" i="8" s="1"/>
  <c r="R963" i="8"/>
  <c r="S963" i="8"/>
  <c r="AI963" i="8" s="1"/>
  <c r="T963" i="8"/>
  <c r="AJ963" i="8" s="1"/>
  <c r="R964" i="8"/>
  <c r="S964" i="8"/>
  <c r="AI964" i="8" s="1"/>
  <c r="T964" i="8"/>
  <c r="AJ964" i="8" s="1"/>
  <c r="R965" i="8"/>
  <c r="S965" i="8"/>
  <c r="AI965" i="8" s="1"/>
  <c r="T965" i="8"/>
  <c r="AJ965" i="8" s="1"/>
  <c r="R966" i="8"/>
  <c r="S966" i="8"/>
  <c r="AI966" i="8" s="1"/>
  <c r="T966" i="8"/>
  <c r="AJ966" i="8" s="1"/>
  <c r="R967" i="8"/>
  <c r="S967" i="8"/>
  <c r="AI967" i="8" s="1"/>
  <c r="T967" i="8"/>
  <c r="AJ967" i="8" s="1"/>
  <c r="R968" i="8"/>
  <c r="S968" i="8"/>
  <c r="AI968" i="8" s="1"/>
  <c r="T968" i="8"/>
  <c r="AJ968" i="8" s="1"/>
  <c r="R969" i="8"/>
  <c r="S969" i="8"/>
  <c r="AI969" i="8" s="1"/>
  <c r="T969" i="8"/>
  <c r="AJ969" i="8" s="1"/>
  <c r="R970" i="8"/>
  <c r="S970" i="8"/>
  <c r="AI970" i="8" s="1"/>
  <c r="T970" i="8"/>
  <c r="AJ970" i="8" s="1"/>
  <c r="R971" i="8"/>
  <c r="S971" i="8"/>
  <c r="AI971" i="8" s="1"/>
  <c r="T971" i="8"/>
  <c r="AJ971" i="8" s="1"/>
  <c r="R972" i="8"/>
  <c r="S972" i="8"/>
  <c r="AI972" i="8" s="1"/>
  <c r="T972" i="8"/>
  <c r="AJ972" i="8" s="1"/>
  <c r="R973" i="8"/>
  <c r="S973" i="8"/>
  <c r="AI973" i="8" s="1"/>
  <c r="T973" i="8"/>
  <c r="AJ973" i="8" s="1"/>
  <c r="R974" i="8"/>
  <c r="S974" i="8"/>
  <c r="AI974" i="8" s="1"/>
  <c r="T974" i="8"/>
  <c r="AJ974" i="8" s="1"/>
  <c r="R975" i="8"/>
  <c r="S975" i="8"/>
  <c r="AI975" i="8" s="1"/>
  <c r="T975" i="8"/>
  <c r="AJ975" i="8" s="1"/>
  <c r="R976" i="8"/>
  <c r="S976" i="8"/>
  <c r="AI976" i="8" s="1"/>
  <c r="T976" i="8"/>
  <c r="AJ976" i="8" s="1"/>
  <c r="R977" i="8"/>
  <c r="S977" i="8"/>
  <c r="AI977" i="8" s="1"/>
  <c r="R978" i="8"/>
  <c r="S978" i="8"/>
  <c r="AI978" i="8" s="1"/>
  <c r="T978" i="8"/>
  <c r="AJ978" i="8" s="1"/>
  <c r="R979" i="8"/>
  <c r="S979" i="8"/>
  <c r="AI979" i="8" s="1"/>
  <c r="T979" i="8"/>
  <c r="AJ979" i="8" s="1"/>
  <c r="R980" i="8"/>
  <c r="S980" i="8"/>
  <c r="AI980" i="8" s="1"/>
  <c r="T980" i="8"/>
  <c r="AJ980" i="8" s="1"/>
  <c r="R981" i="8"/>
  <c r="S981" i="8"/>
  <c r="AI981" i="8" s="1"/>
  <c r="T981" i="8"/>
  <c r="AJ981" i="8" s="1"/>
  <c r="R982" i="8"/>
  <c r="S982" i="8"/>
  <c r="AI982" i="8" s="1"/>
  <c r="T982" i="8"/>
  <c r="AJ982" i="8" s="1"/>
  <c r="R983" i="8"/>
  <c r="S983" i="8"/>
  <c r="AI983" i="8" s="1"/>
  <c r="T983" i="8"/>
  <c r="AJ983" i="8" s="1"/>
  <c r="R984" i="8"/>
  <c r="S984" i="8"/>
  <c r="AI984" i="8" s="1"/>
  <c r="T984" i="8"/>
  <c r="AJ984" i="8" s="1"/>
  <c r="R985" i="8"/>
  <c r="S985" i="8"/>
  <c r="AI985" i="8" s="1"/>
  <c r="T985" i="8"/>
  <c r="AJ985" i="8" s="1"/>
  <c r="R986" i="8"/>
  <c r="S986" i="8"/>
  <c r="AI986" i="8" s="1"/>
  <c r="T986" i="8"/>
  <c r="AJ986" i="8" s="1"/>
  <c r="R987" i="8"/>
  <c r="S987" i="8"/>
  <c r="AI987" i="8" s="1"/>
  <c r="T987" i="8"/>
  <c r="AJ987" i="8" s="1"/>
  <c r="R988" i="8"/>
  <c r="S988" i="8"/>
  <c r="AI988" i="8" s="1"/>
  <c r="T988" i="8"/>
  <c r="AJ988" i="8" s="1"/>
  <c r="R989" i="8"/>
  <c r="S989" i="8"/>
  <c r="AI989" i="8" s="1"/>
  <c r="T989" i="8"/>
  <c r="AJ989" i="8" s="1"/>
  <c r="R990" i="8"/>
  <c r="S990" i="8"/>
  <c r="AI990" i="8" s="1"/>
  <c r="T990" i="8"/>
  <c r="AJ990" i="8" s="1"/>
  <c r="R991" i="8"/>
  <c r="S991" i="8"/>
  <c r="AI991" i="8" s="1"/>
  <c r="T991" i="8"/>
  <c r="AJ991" i="8" s="1"/>
  <c r="R992" i="8"/>
  <c r="S992" i="8"/>
  <c r="AI992" i="8" s="1"/>
  <c r="T992" i="8"/>
  <c r="AJ992" i="8" s="1"/>
  <c r="R993" i="8"/>
  <c r="S993" i="8"/>
  <c r="AI993" i="8" s="1"/>
  <c r="T993" i="8"/>
  <c r="AJ993" i="8" s="1"/>
  <c r="R994" i="8"/>
  <c r="S994" i="8"/>
  <c r="AI994" i="8" s="1"/>
  <c r="T994" i="8"/>
  <c r="AJ994" i="8" s="1"/>
  <c r="R995" i="8"/>
  <c r="S995" i="8"/>
  <c r="AI995" i="8" s="1"/>
  <c r="T995" i="8"/>
  <c r="AJ995" i="8" s="1"/>
  <c r="R996" i="8"/>
  <c r="S996" i="8"/>
  <c r="AI996" i="8" s="1"/>
  <c r="T996" i="8"/>
  <c r="AJ996" i="8" s="1"/>
  <c r="R997" i="8"/>
  <c r="S997" i="8"/>
  <c r="AI997" i="8" s="1"/>
  <c r="T997" i="8"/>
  <c r="AJ997" i="8" s="1"/>
  <c r="R998" i="8"/>
  <c r="S998" i="8"/>
  <c r="AI998" i="8" s="1"/>
  <c r="T998" i="8"/>
  <c r="AJ998" i="8" s="1"/>
  <c r="R999" i="8"/>
  <c r="S999" i="8"/>
  <c r="AI999" i="8" s="1"/>
  <c r="T999" i="8"/>
  <c r="AJ999" i="8" s="1"/>
  <c r="R1000" i="8"/>
  <c r="S1000" i="8"/>
  <c r="AI1000" i="8" s="1"/>
  <c r="T1000" i="8"/>
  <c r="AJ1000" i="8" s="1"/>
  <c r="R1001" i="8"/>
  <c r="S1001" i="8"/>
  <c r="AI1001" i="8" s="1"/>
  <c r="T1001" i="8"/>
  <c r="AJ1001" i="8" s="1"/>
  <c r="R1002" i="8"/>
  <c r="S1002" i="8"/>
  <c r="AI1002" i="8" s="1"/>
  <c r="T1002" i="8"/>
  <c r="AJ1002" i="8" s="1"/>
  <c r="R1003" i="8"/>
  <c r="S1003" i="8"/>
  <c r="AI1003" i="8" s="1"/>
  <c r="T1003" i="8"/>
  <c r="AJ1003" i="8" s="1"/>
  <c r="R1004" i="8"/>
  <c r="S1004" i="8"/>
  <c r="AI1004" i="8" s="1"/>
  <c r="T1004" i="8"/>
  <c r="AJ1004" i="8" s="1"/>
  <c r="R1005" i="8"/>
  <c r="S1005" i="8"/>
  <c r="AI1005" i="8" s="1"/>
  <c r="T1005" i="8"/>
  <c r="AJ1005" i="8" s="1"/>
  <c r="R1006" i="8"/>
  <c r="S1006" i="8"/>
  <c r="AI1006" i="8" s="1"/>
  <c r="T1006" i="8"/>
  <c r="AJ1006" i="8" s="1"/>
  <c r="R1007" i="8"/>
  <c r="S1007" i="8"/>
  <c r="AI1007" i="8" s="1"/>
  <c r="T1007" i="8"/>
  <c r="AJ1007" i="8" s="1"/>
  <c r="R1008" i="8"/>
  <c r="S1008" i="8"/>
  <c r="AI1008" i="8" s="1"/>
  <c r="T1008" i="8"/>
  <c r="AJ1008" i="8" s="1"/>
  <c r="R1009" i="8"/>
  <c r="S1009" i="8"/>
  <c r="AI1009" i="8" s="1"/>
  <c r="T1009" i="8"/>
  <c r="AJ1009" i="8" s="1"/>
  <c r="R1010" i="8"/>
  <c r="S1010" i="8"/>
  <c r="AI1010" i="8" s="1"/>
  <c r="T1010" i="8"/>
  <c r="AJ1010" i="8" s="1"/>
  <c r="R1011" i="8"/>
  <c r="S1011" i="8"/>
  <c r="AI1011" i="8" s="1"/>
  <c r="T1011" i="8"/>
  <c r="AJ1011" i="8" s="1"/>
  <c r="R1012" i="8"/>
  <c r="S1012" i="8"/>
  <c r="AI1012" i="8" s="1"/>
  <c r="T1012" i="8"/>
  <c r="AJ1012" i="8" s="1"/>
  <c r="R1013" i="8"/>
  <c r="S1013" i="8"/>
  <c r="AI1013" i="8" s="1"/>
  <c r="T1013" i="8"/>
  <c r="AJ1013" i="8" s="1"/>
  <c r="R1014" i="8"/>
  <c r="S1014" i="8"/>
  <c r="AI1014" i="8" s="1"/>
  <c r="T1014" i="8"/>
  <c r="AJ1014" i="8" s="1"/>
  <c r="R1015" i="8"/>
  <c r="S1015" i="8"/>
  <c r="AI1015" i="8" s="1"/>
  <c r="T1015" i="8"/>
  <c r="AJ1015" i="8" s="1"/>
  <c r="R1016" i="8"/>
  <c r="S1016" i="8"/>
  <c r="AI1016" i="8" s="1"/>
  <c r="T1016" i="8"/>
  <c r="AJ1016" i="8" s="1"/>
  <c r="R1017" i="8"/>
  <c r="S1017" i="8"/>
  <c r="AI1017" i="8" s="1"/>
  <c r="T1017" i="8"/>
  <c r="AJ1017" i="8" s="1"/>
  <c r="R1018" i="8"/>
  <c r="S1018" i="8"/>
  <c r="AI1018" i="8" s="1"/>
  <c r="T1018" i="8"/>
  <c r="AJ1018" i="8" s="1"/>
  <c r="R1019" i="8"/>
  <c r="S1019" i="8"/>
  <c r="AI1019" i="8" s="1"/>
  <c r="T1019" i="8"/>
  <c r="AJ1019" i="8" s="1"/>
  <c r="R1020" i="8"/>
  <c r="S1020" i="8"/>
  <c r="AI1020" i="8" s="1"/>
  <c r="T1020" i="8"/>
  <c r="AJ1020" i="8" s="1"/>
  <c r="R1021" i="8"/>
  <c r="S1021" i="8"/>
  <c r="AI1021" i="8" s="1"/>
  <c r="T1021" i="8"/>
  <c r="AJ1021" i="8" s="1"/>
  <c r="R1022" i="8"/>
  <c r="S1022" i="8"/>
  <c r="AI1022" i="8" s="1"/>
  <c r="T1022" i="8"/>
  <c r="AJ1022" i="8" s="1"/>
  <c r="R1023" i="8"/>
  <c r="S1023" i="8"/>
  <c r="AI1023" i="8" s="1"/>
  <c r="T1023" i="8"/>
  <c r="R1024" i="8"/>
  <c r="S1024" i="8"/>
  <c r="AI1024" i="8" s="1"/>
  <c r="T1024" i="8"/>
  <c r="AJ1024" i="8" s="1"/>
  <c r="R1025" i="8"/>
  <c r="S1025" i="8"/>
  <c r="AI1025" i="8" s="1"/>
  <c r="T1025" i="8"/>
  <c r="AJ1025" i="8" s="1"/>
  <c r="R1026" i="8"/>
  <c r="S1026" i="8"/>
  <c r="AI1026" i="8" s="1"/>
  <c r="T1026" i="8"/>
  <c r="AJ1026" i="8" s="1"/>
  <c r="R1027" i="8"/>
  <c r="S1027" i="8"/>
  <c r="AI1027" i="8" s="1"/>
  <c r="T1027" i="8"/>
  <c r="AJ1027" i="8" s="1"/>
  <c r="R1028" i="8"/>
  <c r="S1028" i="8"/>
  <c r="AI1028" i="8" s="1"/>
  <c r="T1028" i="8"/>
  <c r="AJ1028" i="8" s="1"/>
  <c r="R1029" i="8"/>
  <c r="S1029" i="8"/>
  <c r="AI1029" i="8" s="1"/>
  <c r="T1029" i="8"/>
  <c r="AJ1029" i="8" s="1"/>
  <c r="R1030" i="8"/>
  <c r="S1030" i="8"/>
  <c r="AI1030" i="8" s="1"/>
  <c r="T1030" i="8"/>
  <c r="AJ1030" i="8" s="1"/>
  <c r="R1031" i="8"/>
  <c r="S1031" i="8"/>
  <c r="AI1031" i="8" s="1"/>
  <c r="T1031" i="8"/>
  <c r="AJ1031" i="8" s="1"/>
  <c r="R1032" i="8"/>
  <c r="S1032" i="8"/>
  <c r="AI1032" i="8" s="1"/>
  <c r="T1032" i="8"/>
  <c r="AJ1032" i="8" s="1"/>
  <c r="R1033" i="8"/>
  <c r="S1033" i="8"/>
  <c r="AI1033" i="8" s="1"/>
  <c r="T1033" i="8"/>
  <c r="AJ1033" i="8" s="1"/>
  <c r="R1034" i="8"/>
  <c r="S1034" i="8"/>
  <c r="AI1034" i="8" s="1"/>
  <c r="T1034" i="8"/>
  <c r="AJ1034" i="8" s="1"/>
  <c r="R1035" i="8"/>
  <c r="S1035" i="8"/>
  <c r="AI1035" i="8" s="1"/>
  <c r="T1035" i="8"/>
  <c r="AJ1035" i="8" s="1"/>
  <c r="R1036" i="8"/>
  <c r="S1036" i="8"/>
  <c r="AI1036" i="8" s="1"/>
  <c r="T1036" i="8"/>
  <c r="AJ1036" i="8" s="1"/>
  <c r="R1037" i="8"/>
  <c r="S1037" i="8"/>
  <c r="AI1037" i="8" s="1"/>
  <c r="T1037" i="8"/>
  <c r="AJ1037" i="8" s="1"/>
  <c r="R1038" i="8"/>
  <c r="S1038" i="8"/>
  <c r="AI1038" i="8" s="1"/>
  <c r="T1038" i="8"/>
  <c r="AJ1038" i="8" s="1"/>
  <c r="R1039" i="8"/>
  <c r="S1039" i="8"/>
  <c r="AI1039" i="8" s="1"/>
  <c r="T1039" i="8"/>
  <c r="AJ1039" i="8" s="1"/>
  <c r="R1040" i="8"/>
  <c r="S1040" i="8"/>
  <c r="AI1040" i="8" s="1"/>
  <c r="T1040" i="8"/>
  <c r="AJ1040" i="8" s="1"/>
  <c r="R1041" i="8"/>
  <c r="S1041" i="8"/>
  <c r="AI1041" i="8" s="1"/>
  <c r="T1041" i="8"/>
  <c r="AJ1041" i="8" s="1"/>
  <c r="R1042" i="8"/>
  <c r="S1042" i="8"/>
  <c r="AI1042" i="8" s="1"/>
  <c r="T1042" i="8"/>
  <c r="AJ1042" i="8" s="1"/>
  <c r="R1043" i="8"/>
  <c r="S1043" i="8"/>
  <c r="AI1043" i="8" s="1"/>
  <c r="T1043" i="8"/>
  <c r="AJ1043" i="8" s="1"/>
  <c r="R1044" i="8"/>
  <c r="S1044" i="8"/>
  <c r="AI1044" i="8" s="1"/>
  <c r="T1044" i="8"/>
  <c r="AJ1044" i="8" s="1"/>
  <c r="R1045" i="8"/>
  <c r="S1045" i="8"/>
  <c r="AI1045" i="8" s="1"/>
  <c r="T1045" i="8"/>
  <c r="AJ1045" i="8" s="1"/>
  <c r="R1046" i="8"/>
  <c r="S1046" i="8"/>
  <c r="AI1046" i="8" s="1"/>
  <c r="T1046" i="8"/>
  <c r="AJ1046" i="8" s="1"/>
  <c r="R1047" i="8"/>
  <c r="S1047" i="8"/>
  <c r="AI1047" i="8" s="1"/>
  <c r="T1047" i="8"/>
  <c r="AJ1047" i="8" s="1"/>
  <c r="R1048" i="8"/>
  <c r="S1048" i="8"/>
  <c r="AI1048" i="8" s="1"/>
  <c r="T1048" i="8"/>
  <c r="AJ1048" i="8" s="1"/>
  <c r="R1049" i="8"/>
  <c r="S1049" i="8"/>
  <c r="AI1049" i="8" s="1"/>
  <c r="T1049" i="8"/>
  <c r="AJ1049" i="8" s="1"/>
  <c r="R1050" i="8"/>
  <c r="S1050" i="8"/>
  <c r="AI1050" i="8" s="1"/>
  <c r="T1050" i="8"/>
  <c r="AJ1050" i="8" s="1"/>
  <c r="R1051" i="8"/>
  <c r="S1051" i="8"/>
  <c r="AI1051" i="8" s="1"/>
  <c r="T1051" i="8"/>
  <c r="AJ1051" i="8" s="1"/>
  <c r="R1052" i="8"/>
  <c r="S1052" i="8"/>
  <c r="AI1052" i="8" s="1"/>
  <c r="T1052" i="8"/>
  <c r="AJ1052" i="8" s="1"/>
  <c r="R1053" i="8"/>
  <c r="S1053" i="8"/>
  <c r="AI1053" i="8" s="1"/>
  <c r="T1053" i="8"/>
  <c r="AJ1053" i="8" s="1"/>
  <c r="R1054" i="8"/>
  <c r="S1054" i="8"/>
  <c r="AI1054" i="8" s="1"/>
  <c r="T1054" i="8"/>
  <c r="AJ1054" i="8" s="1"/>
  <c r="R1055" i="8"/>
  <c r="S1055" i="8"/>
  <c r="AI1055" i="8" s="1"/>
  <c r="T1055" i="8"/>
  <c r="AJ1055" i="8" s="1"/>
  <c r="R1056" i="8"/>
  <c r="S1056" i="8"/>
  <c r="AI1056" i="8" s="1"/>
  <c r="T1056" i="8"/>
  <c r="AJ1056" i="8" s="1"/>
  <c r="R1057" i="8"/>
  <c r="S1057" i="8"/>
  <c r="AI1057" i="8" s="1"/>
  <c r="T1057" i="8"/>
  <c r="AJ1057" i="8" s="1"/>
  <c r="R1058" i="8"/>
  <c r="S1058" i="8"/>
  <c r="AI1058" i="8" s="1"/>
  <c r="T1058" i="8"/>
  <c r="AJ1058" i="8" s="1"/>
  <c r="R1059" i="8"/>
  <c r="S1059" i="8"/>
  <c r="AI1059" i="8" s="1"/>
  <c r="T1059" i="8"/>
  <c r="AJ1059" i="8" s="1"/>
  <c r="R1060" i="8"/>
  <c r="S1060" i="8"/>
  <c r="AI1060" i="8" s="1"/>
  <c r="T1060" i="8"/>
  <c r="AJ1060" i="8" s="1"/>
  <c r="R1061" i="8"/>
  <c r="S1061" i="8"/>
  <c r="AI1061" i="8" s="1"/>
  <c r="T1061" i="8"/>
  <c r="AJ1061" i="8" s="1"/>
  <c r="R1062" i="8"/>
  <c r="S1062" i="8"/>
  <c r="AI1062" i="8" s="1"/>
  <c r="T1062" i="8"/>
  <c r="AJ1062" i="8" s="1"/>
  <c r="R1063" i="8"/>
  <c r="S1063" i="8"/>
  <c r="AI1063" i="8" s="1"/>
  <c r="T1063" i="8"/>
  <c r="AJ1063" i="8" s="1"/>
  <c r="R1064" i="8"/>
  <c r="S1064" i="8"/>
  <c r="AI1064" i="8" s="1"/>
  <c r="T1064" i="8"/>
  <c r="AJ1064" i="8" s="1"/>
  <c r="R1065" i="8"/>
  <c r="S1065" i="8"/>
  <c r="AI1065" i="8" s="1"/>
  <c r="T1065" i="8"/>
  <c r="AJ1065" i="8" s="1"/>
  <c r="R1066" i="8"/>
  <c r="S1066" i="8"/>
  <c r="AI1066" i="8" s="1"/>
  <c r="T1066" i="8"/>
  <c r="AJ1066" i="8" s="1"/>
  <c r="R1067" i="8"/>
  <c r="S1067" i="8"/>
  <c r="AI1067" i="8" s="1"/>
  <c r="T1067" i="8"/>
  <c r="AJ1067" i="8" s="1"/>
  <c r="R1068" i="8"/>
  <c r="S1068" i="8"/>
  <c r="AI1068" i="8" s="1"/>
  <c r="T1068" i="8"/>
  <c r="AJ1068" i="8" s="1"/>
  <c r="R1069" i="8"/>
  <c r="S1069" i="8"/>
  <c r="AI1069" i="8" s="1"/>
  <c r="T1069" i="8"/>
  <c r="AJ1069" i="8" s="1"/>
  <c r="R1070" i="8"/>
  <c r="S1070" i="8"/>
  <c r="AI1070" i="8" s="1"/>
  <c r="T1070" i="8"/>
  <c r="AJ1070" i="8" s="1"/>
  <c r="R1071" i="8"/>
  <c r="S1071" i="8"/>
  <c r="AI1071" i="8" s="1"/>
  <c r="T1071" i="8"/>
  <c r="AJ1071" i="8" s="1"/>
  <c r="R1072" i="8"/>
  <c r="S1072" i="8"/>
  <c r="AI1072" i="8" s="1"/>
  <c r="T1072" i="8"/>
  <c r="AJ1072" i="8" s="1"/>
  <c r="R1073" i="8"/>
  <c r="S1073" i="8"/>
  <c r="AI1073" i="8" s="1"/>
  <c r="T1073" i="8"/>
  <c r="AJ1073" i="8" s="1"/>
  <c r="R1074" i="8"/>
  <c r="S1074" i="8"/>
  <c r="AI1074" i="8" s="1"/>
  <c r="T1074" i="8"/>
  <c r="AJ1074" i="8" s="1"/>
  <c r="R1075" i="8"/>
  <c r="S1075" i="8"/>
  <c r="AI1075" i="8" s="1"/>
  <c r="T1075" i="8"/>
  <c r="AJ1075" i="8" s="1"/>
  <c r="R1076" i="8"/>
  <c r="S1076" i="8"/>
  <c r="AI1076" i="8" s="1"/>
  <c r="T1076" i="8"/>
  <c r="AJ1076" i="8" s="1"/>
  <c r="R1077" i="8"/>
  <c r="S1077" i="8"/>
  <c r="AI1077" i="8" s="1"/>
  <c r="T1077" i="8"/>
  <c r="AJ1077" i="8" s="1"/>
  <c r="R1078" i="8"/>
  <c r="S1078" i="8"/>
  <c r="AI1078" i="8" s="1"/>
  <c r="T1078" i="8"/>
  <c r="AJ1078" i="8" s="1"/>
  <c r="R1079" i="8"/>
  <c r="S1079" i="8"/>
  <c r="AI1079" i="8" s="1"/>
  <c r="T1079" i="8"/>
  <c r="AJ1079" i="8" s="1"/>
  <c r="R1080" i="8"/>
  <c r="S1080" i="8"/>
  <c r="AI1080" i="8" s="1"/>
  <c r="T1080" i="8"/>
  <c r="AJ1080" i="8" s="1"/>
  <c r="R1081" i="8"/>
  <c r="S1081" i="8"/>
  <c r="AI1081" i="8" s="1"/>
  <c r="T1081" i="8"/>
  <c r="AJ1081" i="8" s="1"/>
  <c r="R1082" i="8"/>
  <c r="S1082" i="8"/>
  <c r="AI1082" i="8" s="1"/>
  <c r="T1082" i="8"/>
  <c r="AJ1082" i="8" s="1"/>
  <c r="R1083" i="8"/>
  <c r="S1083" i="8"/>
  <c r="AI1083" i="8" s="1"/>
  <c r="T1083" i="8"/>
  <c r="AJ1083" i="8" s="1"/>
  <c r="R1084" i="8"/>
  <c r="S1084" i="8"/>
  <c r="AI1084" i="8" s="1"/>
  <c r="T1084" i="8"/>
  <c r="AJ1084" i="8" s="1"/>
  <c r="R1085" i="8"/>
  <c r="S1085" i="8"/>
  <c r="AI1085" i="8" s="1"/>
  <c r="T1085" i="8"/>
  <c r="AJ1085" i="8" s="1"/>
  <c r="R1086" i="8"/>
  <c r="S1086" i="8"/>
  <c r="AI1086" i="8" s="1"/>
  <c r="T1086" i="8"/>
  <c r="AJ1086" i="8" s="1"/>
  <c r="R1087" i="8"/>
  <c r="S1087" i="8"/>
  <c r="AI1087" i="8" s="1"/>
  <c r="T1087" i="8"/>
  <c r="AJ1087" i="8" s="1"/>
  <c r="R1088" i="8"/>
  <c r="S1088" i="8"/>
  <c r="AI1088" i="8" s="1"/>
  <c r="T1088" i="8"/>
  <c r="AJ1088" i="8" s="1"/>
  <c r="R1089" i="8"/>
  <c r="S1089" i="8"/>
  <c r="AI1089" i="8" s="1"/>
  <c r="T1089" i="8"/>
  <c r="AJ1089" i="8" s="1"/>
  <c r="R1090" i="8"/>
  <c r="S1090" i="8"/>
  <c r="AI1090" i="8" s="1"/>
  <c r="T1090" i="8"/>
  <c r="AJ1090" i="8" s="1"/>
  <c r="R1091" i="8"/>
  <c r="S1091" i="8"/>
  <c r="AI1091" i="8" s="1"/>
  <c r="T1091" i="8"/>
  <c r="AJ1091" i="8" s="1"/>
  <c r="R1092" i="8"/>
  <c r="S1092" i="8"/>
  <c r="AI1092" i="8" s="1"/>
  <c r="T1092" i="8"/>
  <c r="AJ1092" i="8" s="1"/>
  <c r="R1093" i="8"/>
  <c r="S1093" i="8"/>
  <c r="AI1093" i="8" s="1"/>
  <c r="T1093" i="8"/>
  <c r="AJ1093" i="8" s="1"/>
  <c r="R1094" i="8"/>
  <c r="S1094" i="8"/>
  <c r="AI1094" i="8" s="1"/>
  <c r="T1094" i="8"/>
  <c r="AJ1094" i="8" s="1"/>
  <c r="R1095" i="8"/>
  <c r="S1095" i="8"/>
  <c r="AI1095" i="8" s="1"/>
  <c r="T1095" i="8"/>
  <c r="AJ1095" i="8" s="1"/>
  <c r="R1096" i="8"/>
  <c r="S1096" i="8"/>
  <c r="AI1096" i="8" s="1"/>
  <c r="T1096" i="8"/>
  <c r="AJ1096" i="8" s="1"/>
  <c r="R1097" i="8"/>
  <c r="S1097" i="8"/>
  <c r="AI1097" i="8" s="1"/>
  <c r="T1097" i="8"/>
  <c r="AJ1097" i="8" s="1"/>
  <c r="R1098" i="8"/>
  <c r="S1098" i="8"/>
  <c r="AI1098" i="8" s="1"/>
  <c r="T1098" i="8"/>
  <c r="AJ1098" i="8" s="1"/>
  <c r="R1099" i="8"/>
  <c r="S1099" i="8"/>
  <c r="AI1099" i="8" s="1"/>
  <c r="T1099" i="8"/>
  <c r="AJ1099" i="8" s="1"/>
  <c r="R1100" i="8"/>
  <c r="S1100" i="8"/>
  <c r="AI1100" i="8" s="1"/>
  <c r="T1100" i="8"/>
  <c r="AJ1100" i="8" s="1"/>
  <c r="R1101" i="8"/>
  <c r="S1101" i="8"/>
  <c r="AI1101" i="8" s="1"/>
  <c r="T1101" i="8"/>
  <c r="AJ1101" i="8" s="1"/>
  <c r="R1102" i="8"/>
  <c r="S1102" i="8"/>
  <c r="AI1102" i="8" s="1"/>
  <c r="T1102" i="8"/>
  <c r="AJ1102" i="8" s="1"/>
  <c r="R1103" i="8"/>
  <c r="S1103" i="8"/>
  <c r="AI1103" i="8" s="1"/>
  <c r="T1103" i="8"/>
  <c r="AJ1103" i="8" s="1"/>
  <c r="R1104" i="8"/>
  <c r="S1104" i="8"/>
  <c r="AI1104" i="8" s="1"/>
  <c r="T1104" i="8"/>
  <c r="AJ1104" i="8" s="1"/>
  <c r="R1105" i="8"/>
  <c r="S1105" i="8"/>
  <c r="AI1105" i="8" s="1"/>
  <c r="T1105" i="8"/>
  <c r="AJ1105" i="8" s="1"/>
  <c r="R1106" i="8"/>
  <c r="S1106" i="8"/>
  <c r="AI1106" i="8" s="1"/>
  <c r="T1106" i="8"/>
  <c r="AJ1106" i="8" s="1"/>
  <c r="R1107" i="8"/>
  <c r="S1107" i="8"/>
  <c r="AI1107" i="8" s="1"/>
  <c r="T1107" i="8"/>
  <c r="AJ1107" i="8" s="1"/>
  <c r="R1108" i="8"/>
  <c r="S1108" i="8"/>
  <c r="AI1108" i="8" s="1"/>
  <c r="T1108" i="8"/>
  <c r="AJ1108" i="8" s="1"/>
  <c r="R1109" i="8"/>
  <c r="S1109" i="8"/>
  <c r="AI1109" i="8" s="1"/>
  <c r="T1109" i="8"/>
  <c r="AJ1109" i="8" s="1"/>
  <c r="R1110" i="8"/>
  <c r="S1110" i="8"/>
  <c r="AI1110" i="8" s="1"/>
  <c r="T1110" i="8"/>
  <c r="AJ1110" i="8" s="1"/>
  <c r="R1111" i="8"/>
  <c r="S1111" i="8"/>
  <c r="AI1111" i="8" s="1"/>
  <c r="T1111" i="8"/>
  <c r="AJ1111" i="8" s="1"/>
  <c r="R1112" i="8"/>
  <c r="S1112" i="8"/>
  <c r="AI1112" i="8" s="1"/>
  <c r="T1112" i="8"/>
  <c r="AJ1112" i="8" s="1"/>
  <c r="R1113" i="8"/>
  <c r="S1113" i="8"/>
  <c r="AI1113" i="8" s="1"/>
  <c r="T1113" i="8"/>
  <c r="AJ1113" i="8" s="1"/>
  <c r="R1114" i="8"/>
  <c r="S1114" i="8"/>
  <c r="AI1114" i="8" s="1"/>
  <c r="T1114" i="8"/>
  <c r="AJ1114" i="8" s="1"/>
  <c r="R1115" i="8"/>
  <c r="S1115" i="8"/>
  <c r="AI1115" i="8" s="1"/>
  <c r="T1115" i="8"/>
  <c r="AJ1115" i="8" s="1"/>
  <c r="R1116" i="8"/>
  <c r="S1116" i="8"/>
  <c r="AI1116" i="8" s="1"/>
  <c r="T1116" i="8"/>
  <c r="AJ1116" i="8" s="1"/>
  <c r="R1117" i="8"/>
  <c r="S1117" i="8"/>
  <c r="AI1117" i="8" s="1"/>
  <c r="T1117" i="8"/>
  <c r="AJ1117" i="8" s="1"/>
  <c r="R1118" i="8"/>
  <c r="S1118" i="8"/>
  <c r="AI1118" i="8" s="1"/>
  <c r="T1118" i="8"/>
  <c r="AJ1118" i="8" s="1"/>
  <c r="R1119" i="8"/>
  <c r="S1119" i="8"/>
  <c r="AI1119" i="8" s="1"/>
  <c r="T1119" i="8"/>
  <c r="AJ1119" i="8" s="1"/>
  <c r="R1120" i="8"/>
  <c r="S1120" i="8"/>
  <c r="AI1120" i="8" s="1"/>
  <c r="T1120" i="8"/>
  <c r="AJ1120" i="8" s="1"/>
  <c r="R1121" i="8"/>
  <c r="S1121" i="8"/>
  <c r="AI1121" i="8" s="1"/>
  <c r="T1121" i="8"/>
  <c r="AJ1121" i="8" s="1"/>
  <c r="R1122" i="8"/>
  <c r="S1122" i="8"/>
  <c r="AI1122" i="8" s="1"/>
  <c r="T1122" i="8"/>
  <c r="AJ1122" i="8" s="1"/>
  <c r="R1123" i="8"/>
  <c r="S1123" i="8"/>
  <c r="AI1123" i="8" s="1"/>
  <c r="T1123" i="8"/>
  <c r="AJ1123" i="8" s="1"/>
  <c r="R1124" i="8"/>
  <c r="S1124" i="8"/>
  <c r="AI1124" i="8" s="1"/>
  <c r="T1124" i="8"/>
  <c r="AJ1124" i="8" s="1"/>
  <c r="R1125" i="8"/>
  <c r="S1125" i="8"/>
  <c r="AI1125" i="8" s="1"/>
  <c r="T1125" i="8"/>
  <c r="AJ1125" i="8" s="1"/>
  <c r="R1126" i="8"/>
  <c r="S1126" i="8"/>
  <c r="AI1126" i="8" s="1"/>
  <c r="T1126" i="8"/>
  <c r="AJ1126" i="8" s="1"/>
  <c r="R1127" i="8"/>
  <c r="S1127" i="8"/>
  <c r="AI1127" i="8" s="1"/>
  <c r="T1127" i="8"/>
  <c r="AJ1127" i="8" s="1"/>
  <c r="R1128" i="8"/>
  <c r="S1128" i="8"/>
  <c r="AI1128" i="8" s="1"/>
  <c r="T1128" i="8"/>
  <c r="AJ1128" i="8" s="1"/>
  <c r="R1129" i="8"/>
  <c r="S1129" i="8"/>
  <c r="AI1129" i="8" s="1"/>
  <c r="T1129" i="8"/>
  <c r="AJ1129" i="8" s="1"/>
  <c r="R1130" i="8"/>
  <c r="S1130" i="8"/>
  <c r="AI1130" i="8" s="1"/>
  <c r="T1130" i="8"/>
  <c r="AJ1130" i="8" s="1"/>
  <c r="R1131" i="8"/>
  <c r="S1131" i="8"/>
  <c r="AI1131" i="8" s="1"/>
  <c r="T1131" i="8"/>
  <c r="AJ1131" i="8" s="1"/>
  <c r="R1132" i="8"/>
  <c r="S1132" i="8"/>
  <c r="AI1132" i="8" s="1"/>
  <c r="T1132" i="8"/>
  <c r="AJ1132" i="8" s="1"/>
  <c r="R1133" i="8"/>
  <c r="S1133" i="8"/>
  <c r="AI1133" i="8" s="1"/>
  <c r="T1133" i="8"/>
  <c r="AJ1133" i="8" s="1"/>
  <c r="R1134" i="8"/>
  <c r="S1134" i="8"/>
  <c r="AI1134" i="8" s="1"/>
  <c r="T1134" i="8"/>
  <c r="AJ1134" i="8" s="1"/>
  <c r="R1135" i="8"/>
  <c r="S1135" i="8"/>
  <c r="AI1135" i="8" s="1"/>
  <c r="T1135" i="8"/>
  <c r="AJ1135" i="8" s="1"/>
  <c r="R1136" i="8"/>
  <c r="S1136" i="8"/>
  <c r="AI1136" i="8" s="1"/>
  <c r="T1136" i="8"/>
  <c r="AJ1136" i="8" s="1"/>
  <c r="R1137" i="8"/>
  <c r="S1137" i="8"/>
  <c r="AI1137" i="8" s="1"/>
  <c r="T1137" i="8"/>
  <c r="AJ1137" i="8" s="1"/>
  <c r="R1138" i="8"/>
  <c r="S1138" i="8"/>
  <c r="AI1138" i="8" s="1"/>
  <c r="T1138" i="8"/>
  <c r="AJ1138" i="8" s="1"/>
  <c r="R1139" i="8"/>
  <c r="S1139" i="8"/>
  <c r="AI1139" i="8" s="1"/>
  <c r="T1139" i="8"/>
  <c r="AJ1139" i="8" s="1"/>
  <c r="R1140" i="8"/>
  <c r="S1140" i="8"/>
  <c r="AI1140" i="8" s="1"/>
  <c r="T1140" i="8"/>
  <c r="AJ1140" i="8" s="1"/>
  <c r="R1141" i="8"/>
  <c r="S1141" i="8"/>
  <c r="AI1141" i="8" s="1"/>
  <c r="T1141" i="8"/>
  <c r="AJ1141" i="8" s="1"/>
  <c r="R1142" i="8"/>
  <c r="S1142" i="8"/>
  <c r="AI1142" i="8" s="1"/>
  <c r="T1142" i="8"/>
  <c r="AJ1142" i="8" s="1"/>
  <c r="R1143" i="8"/>
  <c r="S1143" i="8"/>
  <c r="AI1143" i="8" s="1"/>
  <c r="T1143" i="8"/>
  <c r="AJ1143" i="8" s="1"/>
  <c r="R1144" i="8"/>
  <c r="S1144" i="8"/>
  <c r="AI1144" i="8" s="1"/>
  <c r="T1144" i="8"/>
  <c r="AJ1144" i="8" s="1"/>
  <c r="R1145" i="8"/>
  <c r="S1145" i="8"/>
  <c r="AI1145" i="8" s="1"/>
  <c r="T1145" i="8"/>
  <c r="AJ1145" i="8" s="1"/>
  <c r="R1146" i="8"/>
  <c r="S1146" i="8"/>
  <c r="AI1146" i="8" s="1"/>
  <c r="T1146" i="8"/>
  <c r="AJ1146" i="8" s="1"/>
  <c r="R1147" i="8"/>
  <c r="S1147" i="8"/>
  <c r="AI1147" i="8" s="1"/>
  <c r="T1147" i="8"/>
  <c r="AJ1147" i="8" s="1"/>
  <c r="R1148" i="8"/>
  <c r="S1148" i="8"/>
  <c r="AI1148" i="8" s="1"/>
  <c r="T1148" i="8"/>
  <c r="AJ1148" i="8" s="1"/>
  <c r="R1149" i="8"/>
  <c r="S1149" i="8"/>
  <c r="AI1149" i="8" s="1"/>
  <c r="T1149" i="8"/>
  <c r="AJ1149" i="8" s="1"/>
  <c r="R1150" i="8"/>
  <c r="S1150" i="8"/>
  <c r="AI1150" i="8" s="1"/>
  <c r="T1150" i="8"/>
  <c r="AJ1150" i="8" s="1"/>
  <c r="R1151" i="8"/>
  <c r="S1151" i="8"/>
  <c r="AI1151" i="8" s="1"/>
  <c r="T1151" i="8"/>
  <c r="AJ1151" i="8" s="1"/>
  <c r="R1152" i="8"/>
  <c r="S1152" i="8"/>
  <c r="AI1152" i="8" s="1"/>
  <c r="T1152" i="8"/>
  <c r="AJ1152" i="8" s="1"/>
  <c r="R1153" i="8"/>
  <c r="S1153" i="8"/>
  <c r="AI1153" i="8" s="1"/>
  <c r="T1153" i="8"/>
  <c r="AJ1153" i="8" s="1"/>
  <c r="R1154" i="8"/>
  <c r="S1154" i="8"/>
  <c r="AI1154" i="8" s="1"/>
  <c r="T1154" i="8"/>
  <c r="AJ1154" i="8" s="1"/>
  <c r="R1155" i="8"/>
  <c r="S1155" i="8"/>
  <c r="AI1155" i="8" s="1"/>
  <c r="T1155" i="8"/>
  <c r="AJ1155" i="8" s="1"/>
  <c r="R1156" i="8"/>
  <c r="S1156" i="8"/>
  <c r="AI1156" i="8" s="1"/>
  <c r="T1156" i="8"/>
  <c r="AJ1156" i="8" s="1"/>
  <c r="R1157" i="8"/>
  <c r="S1157" i="8"/>
  <c r="AI1157" i="8" s="1"/>
  <c r="T1157" i="8"/>
  <c r="AJ1157" i="8" s="1"/>
  <c r="R1158" i="8"/>
  <c r="S1158" i="8"/>
  <c r="AI1158" i="8" s="1"/>
  <c r="T1158" i="8"/>
  <c r="AJ1158" i="8" s="1"/>
  <c r="R1159" i="8"/>
  <c r="S1159" i="8"/>
  <c r="AI1159" i="8" s="1"/>
  <c r="T1159" i="8"/>
  <c r="AJ1159" i="8" s="1"/>
  <c r="R1160" i="8"/>
  <c r="S1160" i="8"/>
  <c r="AI1160" i="8" s="1"/>
  <c r="T1160" i="8"/>
  <c r="AJ1160" i="8" s="1"/>
  <c r="R1161" i="8"/>
  <c r="S1161" i="8"/>
  <c r="AI1161" i="8" s="1"/>
  <c r="T1161" i="8"/>
  <c r="AJ1161" i="8" s="1"/>
  <c r="R1162" i="8"/>
  <c r="S1162" i="8"/>
  <c r="AI1162" i="8" s="1"/>
  <c r="T1162" i="8"/>
  <c r="AJ1162" i="8" s="1"/>
  <c r="R1163" i="8"/>
  <c r="S1163" i="8"/>
  <c r="AI1163" i="8" s="1"/>
  <c r="T1163" i="8"/>
  <c r="AJ1163" i="8" s="1"/>
  <c r="R1164" i="8"/>
  <c r="S1164" i="8"/>
  <c r="AI1164" i="8" s="1"/>
  <c r="T1164" i="8"/>
  <c r="AJ1164" i="8" s="1"/>
  <c r="R1165" i="8"/>
  <c r="S1165" i="8"/>
  <c r="AI1165" i="8" s="1"/>
  <c r="T1165" i="8"/>
  <c r="AJ1165" i="8" s="1"/>
  <c r="R1166" i="8"/>
  <c r="S1166" i="8"/>
  <c r="AI1166" i="8" s="1"/>
  <c r="T1166" i="8"/>
  <c r="AJ1166" i="8" s="1"/>
  <c r="R1167" i="8"/>
  <c r="S1167" i="8"/>
  <c r="AI1167" i="8" s="1"/>
  <c r="T1167" i="8"/>
  <c r="AJ1167" i="8" s="1"/>
  <c r="R1168" i="8"/>
  <c r="S1168" i="8"/>
  <c r="AI1168" i="8" s="1"/>
  <c r="T1168" i="8"/>
  <c r="AJ1168" i="8" s="1"/>
  <c r="R1169" i="8"/>
  <c r="S1169" i="8"/>
  <c r="AI1169" i="8" s="1"/>
  <c r="T1169" i="8"/>
  <c r="AJ1169" i="8" s="1"/>
  <c r="R1170" i="8"/>
  <c r="S1170" i="8"/>
  <c r="AI1170" i="8" s="1"/>
  <c r="T1170" i="8"/>
  <c r="AJ1170" i="8" s="1"/>
  <c r="R1171" i="8"/>
  <c r="S1171" i="8"/>
  <c r="AI1171" i="8" s="1"/>
  <c r="T1171" i="8"/>
  <c r="AJ1171" i="8" s="1"/>
  <c r="R1172" i="8"/>
  <c r="S1172" i="8"/>
  <c r="AI1172" i="8" s="1"/>
  <c r="T1172" i="8"/>
  <c r="AJ1172" i="8" s="1"/>
  <c r="R1173" i="8"/>
  <c r="S1173" i="8"/>
  <c r="AI1173" i="8" s="1"/>
  <c r="T1173" i="8"/>
  <c r="AJ1173" i="8" s="1"/>
  <c r="R1174" i="8"/>
  <c r="S1174" i="8"/>
  <c r="AI1174" i="8" s="1"/>
  <c r="T1174" i="8"/>
  <c r="AJ1174" i="8" s="1"/>
  <c r="R1175" i="8"/>
  <c r="S1175" i="8"/>
  <c r="AI1175" i="8" s="1"/>
  <c r="T1175" i="8"/>
  <c r="AJ1175" i="8" s="1"/>
  <c r="R1176" i="8"/>
  <c r="S1176" i="8"/>
  <c r="AI1176" i="8" s="1"/>
  <c r="T1176" i="8"/>
  <c r="AJ1176" i="8" s="1"/>
  <c r="R1177" i="8"/>
  <c r="S1177" i="8"/>
  <c r="AI1177" i="8" s="1"/>
  <c r="T1177" i="8"/>
  <c r="AJ1177" i="8" s="1"/>
  <c r="R1178" i="8"/>
  <c r="S1178" i="8"/>
  <c r="AI1178" i="8" s="1"/>
  <c r="T1178" i="8"/>
  <c r="AJ1178" i="8" s="1"/>
  <c r="R1179" i="8"/>
  <c r="S1179" i="8"/>
  <c r="AI1179" i="8" s="1"/>
  <c r="T1179" i="8"/>
  <c r="AJ1179" i="8" s="1"/>
  <c r="R1180" i="8"/>
  <c r="S1180" i="8"/>
  <c r="AI1180" i="8" s="1"/>
  <c r="T1180" i="8"/>
  <c r="AJ1180" i="8" s="1"/>
  <c r="R1181" i="8"/>
  <c r="S1181" i="8"/>
  <c r="AI1181" i="8" s="1"/>
  <c r="T1181" i="8"/>
  <c r="AJ1181" i="8" s="1"/>
  <c r="R1182" i="8"/>
  <c r="S1182" i="8"/>
  <c r="AI1182" i="8" s="1"/>
  <c r="T1182" i="8"/>
  <c r="AJ1182" i="8" s="1"/>
  <c r="R1183" i="8"/>
  <c r="S1183" i="8"/>
  <c r="AI1183" i="8" s="1"/>
  <c r="T1183" i="8"/>
  <c r="AJ1183" i="8" s="1"/>
  <c r="R1184" i="8"/>
  <c r="S1184" i="8"/>
  <c r="AI1184" i="8" s="1"/>
  <c r="T1184" i="8"/>
  <c r="AJ1184" i="8" s="1"/>
  <c r="R1185" i="8"/>
  <c r="S1185" i="8"/>
  <c r="AI1185" i="8" s="1"/>
  <c r="T1185" i="8"/>
  <c r="AJ1185" i="8" s="1"/>
  <c r="R1186" i="8"/>
  <c r="S1186" i="8"/>
  <c r="AI1186" i="8" s="1"/>
  <c r="T1186" i="8"/>
  <c r="AJ1186" i="8" s="1"/>
  <c r="R1187" i="8"/>
  <c r="S1187" i="8"/>
  <c r="AI1187" i="8" s="1"/>
  <c r="T1187" i="8"/>
  <c r="AJ1187" i="8" s="1"/>
  <c r="R1188" i="8"/>
  <c r="S1188" i="8"/>
  <c r="AI1188" i="8" s="1"/>
  <c r="T1188" i="8"/>
  <c r="AJ1188" i="8" s="1"/>
  <c r="R1189" i="8"/>
  <c r="S1189" i="8"/>
  <c r="AI1189" i="8" s="1"/>
  <c r="T1189" i="8"/>
  <c r="AJ1189" i="8" s="1"/>
  <c r="R1190" i="8"/>
  <c r="S1190" i="8"/>
  <c r="AI1190" i="8" s="1"/>
  <c r="T1190" i="8"/>
  <c r="AJ1190" i="8" s="1"/>
  <c r="R1191" i="8"/>
  <c r="S1191" i="8"/>
  <c r="AI1191" i="8" s="1"/>
  <c r="T1191" i="8"/>
  <c r="AJ1191" i="8" s="1"/>
  <c r="R1192" i="8"/>
  <c r="S1192" i="8"/>
  <c r="AI1192" i="8" s="1"/>
  <c r="T1192" i="8"/>
  <c r="AJ1192" i="8" s="1"/>
  <c r="R1193" i="8"/>
  <c r="S1193" i="8"/>
  <c r="AI1193" i="8" s="1"/>
  <c r="T1193" i="8"/>
  <c r="AJ1193" i="8" s="1"/>
  <c r="R1194" i="8"/>
  <c r="S1194" i="8"/>
  <c r="AI1194" i="8" s="1"/>
  <c r="T1194" i="8"/>
  <c r="AJ1194" i="8" s="1"/>
  <c r="R1195" i="8"/>
  <c r="S1195" i="8"/>
  <c r="AI1195" i="8" s="1"/>
  <c r="T1195" i="8"/>
  <c r="AJ1195" i="8" s="1"/>
  <c r="R1196" i="8"/>
  <c r="S1196" i="8"/>
  <c r="AI1196" i="8" s="1"/>
  <c r="T1196" i="8"/>
  <c r="AJ1196" i="8" s="1"/>
  <c r="R1197" i="8"/>
  <c r="S1197" i="8"/>
  <c r="AI1197" i="8" s="1"/>
  <c r="T1197" i="8"/>
  <c r="AJ1197" i="8" s="1"/>
  <c r="R1198" i="8"/>
  <c r="S1198" i="8"/>
  <c r="AI1198" i="8" s="1"/>
  <c r="T1198" i="8"/>
  <c r="AJ1198" i="8" s="1"/>
  <c r="R1199" i="8"/>
  <c r="S1199" i="8"/>
  <c r="AI1199" i="8" s="1"/>
  <c r="T1199" i="8"/>
  <c r="AJ1199" i="8" s="1"/>
  <c r="R1200" i="8"/>
  <c r="S1200" i="8"/>
  <c r="AI1200" i="8" s="1"/>
  <c r="T1200" i="8"/>
  <c r="AJ1200" i="8" s="1"/>
  <c r="R1201" i="8"/>
  <c r="S1201" i="8"/>
  <c r="AI1201" i="8" s="1"/>
  <c r="T1201" i="8"/>
  <c r="AJ1201" i="8" s="1"/>
  <c r="R1202" i="8"/>
  <c r="S1202" i="8"/>
  <c r="AI1202" i="8" s="1"/>
  <c r="T1202" i="8"/>
  <c r="AJ1202" i="8" s="1"/>
  <c r="R1203" i="8"/>
  <c r="S1203" i="8"/>
  <c r="AI1203" i="8" s="1"/>
  <c r="T1203" i="8"/>
  <c r="AJ1203" i="8" s="1"/>
  <c r="R1204" i="8"/>
  <c r="S1204" i="8"/>
  <c r="AI1204" i="8" s="1"/>
  <c r="T1204" i="8"/>
  <c r="AJ1204" i="8" s="1"/>
  <c r="R1205" i="8"/>
  <c r="S1205" i="8"/>
  <c r="AI1205" i="8" s="1"/>
  <c r="T1205" i="8"/>
  <c r="AJ1205" i="8" s="1"/>
  <c r="R1206" i="8"/>
  <c r="S1206" i="8"/>
  <c r="AI1206" i="8" s="1"/>
  <c r="T1206" i="8"/>
  <c r="AJ1206" i="8" s="1"/>
  <c r="R1207" i="8"/>
  <c r="S1207" i="8"/>
  <c r="AI1207" i="8" s="1"/>
  <c r="T1207" i="8"/>
  <c r="AJ1207" i="8" s="1"/>
  <c r="R1208" i="8"/>
  <c r="S1208" i="8"/>
  <c r="AI1208" i="8" s="1"/>
  <c r="T1208" i="8"/>
  <c r="AJ1208" i="8" s="1"/>
  <c r="R1209" i="8"/>
  <c r="S1209" i="8"/>
  <c r="AI1209" i="8" s="1"/>
  <c r="T1209" i="8"/>
  <c r="AJ1209" i="8" s="1"/>
  <c r="R1210" i="8"/>
  <c r="S1210" i="8"/>
  <c r="AI1210" i="8" s="1"/>
  <c r="T1210" i="8"/>
  <c r="AJ1210" i="8" s="1"/>
  <c r="R1211" i="8"/>
  <c r="S1211" i="8"/>
  <c r="AI1211" i="8" s="1"/>
  <c r="T1211" i="8"/>
  <c r="AJ1211" i="8" s="1"/>
  <c r="R1212" i="8"/>
  <c r="S1212" i="8"/>
  <c r="AI1212" i="8" s="1"/>
  <c r="T1212" i="8"/>
  <c r="AJ1212" i="8" s="1"/>
  <c r="R1213" i="8"/>
  <c r="S1213" i="8"/>
  <c r="AI1213" i="8" s="1"/>
  <c r="T1213" i="8"/>
  <c r="AJ1213" i="8" s="1"/>
  <c r="R1214" i="8"/>
  <c r="S1214" i="8"/>
  <c r="AI1214" i="8" s="1"/>
  <c r="T1214" i="8"/>
  <c r="AJ1214" i="8" s="1"/>
  <c r="R1215" i="8"/>
  <c r="S1215" i="8"/>
  <c r="AI1215" i="8" s="1"/>
  <c r="T1215" i="8"/>
  <c r="AJ1215" i="8" s="1"/>
  <c r="R1216" i="8"/>
  <c r="S1216" i="8"/>
  <c r="AI1216" i="8" s="1"/>
  <c r="T1216" i="8"/>
  <c r="AJ1216" i="8" s="1"/>
  <c r="R1217" i="8"/>
  <c r="S1217" i="8"/>
  <c r="AI1217" i="8" s="1"/>
  <c r="T1217" i="8"/>
  <c r="AJ1217" i="8" s="1"/>
  <c r="R1218" i="8"/>
  <c r="S1218" i="8"/>
  <c r="AI1218" i="8" s="1"/>
  <c r="T1218" i="8"/>
  <c r="AJ1218" i="8" s="1"/>
  <c r="R1219" i="8"/>
  <c r="S1219" i="8"/>
  <c r="AI1219" i="8" s="1"/>
  <c r="T1219" i="8"/>
  <c r="AJ1219" i="8" s="1"/>
  <c r="R1220" i="8"/>
  <c r="S1220" i="8"/>
  <c r="AI1220" i="8" s="1"/>
  <c r="T1220" i="8"/>
  <c r="AJ1220" i="8" s="1"/>
  <c r="R1221" i="8"/>
  <c r="S1221" i="8"/>
  <c r="T1221" i="8"/>
  <c r="AJ1221" i="8" s="1"/>
  <c r="R1222" i="8"/>
  <c r="S1222" i="8"/>
  <c r="AI1222" i="8" s="1"/>
  <c r="T1222" i="8"/>
  <c r="AJ1222" i="8" s="1"/>
  <c r="R1223" i="8"/>
  <c r="S1223" i="8"/>
  <c r="AI1223" i="8" s="1"/>
  <c r="T1223" i="8"/>
  <c r="AJ1223" i="8" s="1"/>
  <c r="R1224" i="8"/>
  <c r="S1224" i="8"/>
  <c r="AI1224" i="8" s="1"/>
  <c r="T1224" i="8"/>
  <c r="AJ1224" i="8" s="1"/>
  <c r="R1225" i="8"/>
  <c r="S1225" i="8"/>
  <c r="AI1225" i="8" s="1"/>
  <c r="T1225" i="8"/>
  <c r="AJ1225" i="8" s="1"/>
  <c r="R1226" i="8"/>
  <c r="S1226" i="8"/>
  <c r="AI1226" i="8" s="1"/>
  <c r="T1226" i="8"/>
  <c r="AJ1226" i="8" s="1"/>
  <c r="R1227" i="8"/>
  <c r="S1227" i="8"/>
  <c r="AI1227" i="8" s="1"/>
  <c r="T1227" i="8"/>
  <c r="AJ1227" i="8" s="1"/>
  <c r="R1228" i="8"/>
  <c r="S1228" i="8"/>
  <c r="AI1228" i="8" s="1"/>
  <c r="T1228" i="8"/>
  <c r="AJ1228" i="8" s="1"/>
  <c r="R1229" i="8"/>
  <c r="S1229" i="8"/>
  <c r="AI1229" i="8" s="1"/>
  <c r="T1229" i="8"/>
  <c r="AJ1229" i="8" s="1"/>
  <c r="R1230" i="8"/>
  <c r="S1230" i="8"/>
  <c r="AI1230" i="8" s="1"/>
  <c r="T1230" i="8"/>
  <c r="AJ1230" i="8" s="1"/>
  <c r="R1231" i="8"/>
  <c r="S1231" i="8"/>
  <c r="AI1231" i="8" s="1"/>
  <c r="T1231" i="8"/>
  <c r="AJ1231" i="8" s="1"/>
  <c r="R1232" i="8"/>
  <c r="S1232" i="8"/>
  <c r="AI1232" i="8" s="1"/>
  <c r="T1232" i="8"/>
  <c r="AJ1232" i="8" s="1"/>
  <c r="R1233" i="8"/>
  <c r="S1233" i="8"/>
  <c r="AI1233" i="8" s="1"/>
  <c r="T1233" i="8"/>
  <c r="AJ1233" i="8" s="1"/>
  <c r="R1234" i="8"/>
  <c r="S1234" i="8"/>
  <c r="AI1234" i="8" s="1"/>
  <c r="T1234" i="8"/>
  <c r="AJ1234" i="8" s="1"/>
  <c r="R1235" i="8"/>
  <c r="S1235" i="8"/>
  <c r="AI1235" i="8" s="1"/>
  <c r="T1235" i="8"/>
  <c r="AJ1235" i="8" s="1"/>
  <c r="R1236" i="8"/>
  <c r="S1236" i="8"/>
  <c r="AI1236" i="8" s="1"/>
  <c r="T1236" i="8"/>
  <c r="AJ1236" i="8" s="1"/>
  <c r="R1237" i="8"/>
  <c r="S1237" i="8"/>
  <c r="AI1237" i="8" s="1"/>
  <c r="T1237" i="8"/>
  <c r="AJ1237" i="8" s="1"/>
  <c r="R1238" i="8"/>
  <c r="S1238" i="8"/>
  <c r="AI1238" i="8" s="1"/>
  <c r="T1238" i="8"/>
  <c r="AJ1238" i="8" s="1"/>
  <c r="R1239" i="8"/>
  <c r="S1239" i="8"/>
  <c r="AI1239" i="8" s="1"/>
  <c r="T1239" i="8"/>
  <c r="AJ1239" i="8" s="1"/>
  <c r="R1240" i="8"/>
  <c r="S1240" i="8"/>
  <c r="AI1240" i="8" s="1"/>
  <c r="T1240" i="8"/>
  <c r="AJ1240" i="8" s="1"/>
  <c r="R1241" i="8"/>
  <c r="S1241" i="8"/>
  <c r="AI1241" i="8" s="1"/>
  <c r="T1241" i="8"/>
  <c r="AJ1241" i="8" s="1"/>
  <c r="R1242" i="8"/>
  <c r="S1242" i="8"/>
  <c r="AI1242" i="8" s="1"/>
  <c r="T1242" i="8"/>
  <c r="AJ1242" i="8" s="1"/>
  <c r="R1243" i="8"/>
  <c r="S1243" i="8"/>
  <c r="AI1243" i="8" s="1"/>
  <c r="T1243" i="8"/>
  <c r="AJ1243" i="8" s="1"/>
  <c r="R1244" i="8"/>
  <c r="S1244" i="8"/>
  <c r="AI1244" i="8" s="1"/>
  <c r="T1244" i="8"/>
  <c r="AJ1244" i="8" s="1"/>
  <c r="R1245" i="8"/>
  <c r="S1245" i="8"/>
  <c r="AI1245" i="8" s="1"/>
  <c r="T1245" i="8"/>
  <c r="AJ1245" i="8" s="1"/>
  <c r="R1246" i="8"/>
  <c r="S1246" i="8"/>
  <c r="AI1246" i="8" s="1"/>
  <c r="T1246" i="8"/>
  <c r="AJ1246" i="8" s="1"/>
  <c r="R1247" i="8"/>
  <c r="S1247" i="8"/>
  <c r="AI1247" i="8" s="1"/>
  <c r="T1247" i="8"/>
  <c r="AJ1247" i="8" s="1"/>
  <c r="R1248" i="8"/>
  <c r="S1248" i="8"/>
  <c r="AI1248" i="8" s="1"/>
  <c r="T1248" i="8"/>
  <c r="AJ1248" i="8" s="1"/>
  <c r="R1249" i="8"/>
  <c r="S1249" i="8"/>
  <c r="AI1249" i="8" s="1"/>
  <c r="T1249" i="8"/>
  <c r="AJ1249" i="8" s="1"/>
  <c r="R1250" i="8"/>
  <c r="S1250" i="8"/>
  <c r="AI1250" i="8" s="1"/>
  <c r="T1250" i="8"/>
  <c r="AJ1250" i="8" s="1"/>
  <c r="R1251" i="8"/>
  <c r="S1251" i="8"/>
  <c r="AI1251" i="8" s="1"/>
  <c r="T1251" i="8"/>
  <c r="AJ1251" i="8" s="1"/>
  <c r="R1252" i="8"/>
  <c r="S1252" i="8"/>
  <c r="AI1252" i="8" s="1"/>
  <c r="T1252" i="8"/>
  <c r="AJ1252" i="8" s="1"/>
  <c r="R1253" i="8"/>
  <c r="S1253" i="8"/>
  <c r="AI1253" i="8" s="1"/>
  <c r="T1253" i="8"/>
  <c r="AJ1253" i="8" s="1"/>
  <c r="R1254" i="8"/>
  <c r="S1254" i="8"/>
  <c r="AI1254" i="8" s="1"/>
  <c r="T1254" i="8"/>
  <c r="AJ1254" i="8" s="1"/>
  <c r="R1255" i="8"/>
  <c r="S1255" i="8"/>
  <c r="AI1255" i="8" s="1"/>
  <c r="T1255" i="8"/>
  <c r="AJ1255" i="8" s="1"/>
  <c r="R1256" i="8"/>
  <c r="S1256" i="8"/>
  <c r="AI1256" i="8" s="1"/>
  <c r="T1256" i="8"/>
  <c r="AJ1256" i="8" s="1"/>
  <c r="R1257" i="8"/>
  <c r="S1257" i="8"/>
  <c r="AI1257" i="8" s="1"/>
  <c r="T1257" i="8"/>
  <c r="AJ1257" i="8" s="1"/>
  <c r="R1258" i="8"/>
  <c r="S1258" i="8"/>
  <c r="AI1258" i="8" s="1"/>
  <c r="T1258" i="8"/>
  <c r="AJ1258" i="8" s="1"/>
  <c r="R1259" i="8"/>
  <c r="S1259" i="8"/>
  <c r="AI1259" i="8" s="1"/>
  <c r="T1259" i="8"/>
  <c r="AJ1259" i="8" s="1"/>
  <c r="R1260" i="8"/>
  <c r="S1260" i="8"/>
  <c r="AI1260" i="8" s="1"/>
  <c r="T1260" i="8"/>
  <c r="AJ1260" i="8" s="1"/>
  <c r="R1261" i="8"/>
  <c r="S1261" i="8"/>
  <c r="AI1261" i="8" s="1"/>
  <c r="T1261" i="8"/>
  <c r="AJ1261" i="8" s="1"/>
  <c r="R1262" i="8"/>
  <c r="S1262" i="8"/>
  <c r="AI1262" i="8" s="1"/>
  <c r="T1262" i="8"/>
  <c r="AJ1262" i="8" s="1"/>
  <c r="R1263" i="8"/>
  <c r="S1263" i="8"/>
  <c r="AI1263" i="8" s="1"/>
  <c r="T1263" i="8"/>
  <c r="AJ1263" i="8" s="1"/>
  <c r="R1264" i="8"/>
  <c r="S1264" i="8"/>
  <c r="AI1264" i="8" s="1"/>
  <c r="T1264" i="8"/>
  <c r="AJ1264" i="8" s="1"/>
  <c r="R1265" i="8"/>
  <c r="S1265" i="8"/>
  <c r="AI1265" i="8" s="1"/>
  <c r="T1265" i="8"/>
  <c r="AJ1265" i="8" s="1"/>
  <c r="R1266" i="8"/>
  <c r="S1266" i="8"/>
  <c r="AI1266" i="8" s="1"/>
  <c r="T1266" i="8"/>
  <c r="AJ1266" i="8" s="1"/>
  <c r="R1267" i="8"/>
  <c r="S1267" i="8"/>
  <c r="AI1267" i="8" s="1"/>
  <c r="T1267" i="8"/>
  <c r="AJ1267" i="8" s="1"/>
  <c r="R1268" i="8"/>
  <c r="S1268" i="8"/>
  <c r="AI1268" i="8" s="1"/>
  <c r="T1268" i="8"/>
  <c r="AJ1268" i="8" s="1"/>
  <c r="R1269" i="8"/>
  <c r="S1269" i="8"/>
  <c r="AI1269" i="8" s="1"/>
  <c r="T1269" i="8"/>
  <c r="AJ1269" i="8" s="1"/>
  <c r="R1270" i="8"/>
  <c r="S1270" i="8"/>
  <c r="AI1270" i="8" s="1"/>
  <c r="T1270" i="8"/>
  <c r="AJ1270" i="8" s="1"/>
  <c r="R1271" i="8"/>
  <c r="S1271" i="8"/>
  <c r="AI1271" i="8" s="1"/>
  <c r="T1271" i="8"/>
  <c r="AJ1271" i="8" s="1"/>
  <c r="R1272" i="8"/>
  <c r="S1272" i="8"/>
  <c r="AI1272" i="8" s="1"/>
  <c r="T1272" i="8"/>
  <c r="AJ1272" i="8" s="1"/>
  <c r="R1273" i="8"/>
  <c r="S1273" i="8"/>
  <c r="AI1273" i="8" s="1"/>
  <c r="T1273" i="8"/>
  <c r="AJ1273" i="8" s="1"/>
  <c r="R1274" i="8"/>
  <c r="S1274" i="8"/>
  <c r="AI1274" i="8" s="1"/>
  <c r="T1274" i="8"/>
  <c r="R1275" i="8"/>
  <c r="S1275" i="8"/>
  <c r="AI1275" i="8" s="1"/>
  <c r="T1275" i="8"/>
  <c r="AJ1275" i="8" s="1"/>
  <c r="R1276" i="8"/>
  <c r="S1276" i="8"/>
  <c r="AI1276" i="8" s="1"/>
  <c r="T1276" i="8"/>
  <c r="AJ1276" i="8" s="1"/>
  <c r="R1277" i="8"/>
  <c r="S1277" i="8"/>
  <c r="AI1277" i="8" s="1"/>
  <c r="T1277" i="8"/>
  <c r="AJ1277" i="8" s="1"/>
  <c r="R1278" i="8"/>
  <c r="S1278" i="8"/>
  <c r="AI1278" i="8" s="1"/>
  <c r="T1278" i="8"/>
  <c r="AJ1278" i="8" s="1"/>
  <c r="R1279" i="8"/>
  <c r="S1279" i="8"/>
  <c r="AI1279" i="8" s="1"/>
  <c r="T1279" i="8"/>
  <c r="AJ1279" i="8" s="1"/>
  <c r="R1280" i="8"/>
  <c r="S1280" i="8"/>
  <c r="AI1280" i="8" s="1"/>
  <c r="T1280" i="8"/>
  <c r="AJ1280" i="8" s="1"/>
  <c r="R1281" i="8"/>
  <c r="S1281" i="8"/>
  <c r="AI1281" i="8" s="1"/>
  <c r="T1281" i="8"/>
  <c r="AJ1281" i="8" s="1"/>
  <c r="R1282" i="8"/>
  <c r="S1282" i="8"/>
  <c r="AI1282" i="8" s="1"/>
  <c r="T1282" i="8"/>
  <c r="AJ1282" i="8" s="1"/>
  <c r="R1283" i="8"/>
  <c r="S1283" i="8"/>
  <c r="AI1283" i="8" s="1"/>
  <c r="T1283" i="8"/>
  <c r="AJ1283" i="8" s="1"/>
  <c r="R1284" i="8"/>
  <c r="S1284" i="8"/>
  <c r="AI1284" i="8" s="1"/>
  <c r="T1284" i="8"/>
  <c r="AJ1284" i="8" s="1"/>
  <c r="R1285" i="8"/>
  <c r="S1285" i="8"/>
  <c r="AI1285" i="8" s="1"/>
  <c r="T1285" i="8"/>
  <c r="AJ1285" i="8" s="1"/>
  <c r="R1286" i="8"/>
  <c r="S1286" i="8"/>
  <c r="AI1286" i="8" s="1"/>
  <c r="T1286" i="8"/>
  <c r="AJ1286" i="8" s="1"/>
  <c r="R1287" i="8"/>
  <c r="S1287" i="8"/>
  <c r="AI1287" i="8" s="1"/>
  <c r="T1287" i="8"/>
  <c r="AJ1287" i="8" s="1"/>
  <c r="R1288" i="8"/>
  <c r="S1288" i="8"/>
  <c r="AI1288" i="8" s="1"/>
  <c r="T1288" i="8"/>
  <c r="AJ1288" i="8" s="1"/>
  <c r="R1289" i="8"/>
  <c r="S1289" i="8"/>
  <c r="AI1289" i="8" s="1"/>
  <c r="T1289" i="8"/>
  <c r="AJ1289" i="8" s="1"/>
  <c r="R1290" i="8"/>
  <c r="S1290" i="8"/>
  <c r="AI1290" i="8" s="1"/>
  <c r="T1290" i="8"/>
  <c r="AJ1290" i="8" s="1"/>
  <c r="R1291" i="8"/>
  <c r="S1291" i="8"/>
  <c r="AI1291" i="8" s="1"/>
  <c r="T1291" i="8"/>
  <c r="AJ1291" i="8" s="1"/>
  <c r="R1292" i="8"/>
  <c r="S1292" i="8"/>
  <c r="AI1292" i="8" s="1"/>
  <c r="T1292" i="8"/>
  <c r="AJ1292" i="8" s="1"/>
  <c r="R1293" i="8"/>
  <c r="S1293" i="8"/>
  <c r="AI1293" i="8" s="1"/>
  <c r="T1293" i="8"/>
  <c r="AJ1293" i="8" s="1"/>
  <c r="R1294" i="8"/>
  <c r="S1294" i="8"/>
  <c r="T1294" i="8"/>
  <c r="AJ1294" i="8" s="1"/>
  <c r="R1295" i="8"/>
  <c r="S1295" i="8"/>
  <c r="AI1295" i="8" s="1"/>
  <c r="T1295" i="8"/>
  <c r="AJ1295" i="8" s="1"/>
  <c r="R1296" i="8"/>
  <c r="S1296" i="8"/>
  <c r="AI1296" i="8" s="1"/>
  <c r="T1296" i="8"/>
  <c r="AJ1296" i="8" s="1"/>
  <c r="R1297" i="8"/>
  <c r="S1297" i="8"/>
  <c r="AI1297" i="8" s="1"/>
  <c r="T1297" i="8"/>
  <c r="AJ1297" i="8" s="1"/>
  <c r="R1298" i="8"/>
  <c r="S1298" i="8"/>
  <c r="AI1298" i="8" s="1"/>
  <c r="T1298" i="8"/>
  <c r="AJ1298" i="8" s="1"/>
  <c r="R1299" i="8"/>
  <c r="S1299" i="8"/>
  <c r="AI1299" i="8" s="1"/>
  <c r="T1299" i="8"/>
  <c r="AJ1299" i="8" s="1"/>
  <c r="R1300" i="8"/>
  <c r="S1300" i="8"/>
  <c r="AI1300" i="8" s="1"/>
  <c r="T1300" i="8"/>
  <c r="AJ1300" i="8" s="1"/>
  <c r="R1301" i="8"/>
  <c r="S1301" i="8"/>
  <c r="AI1301" i="8" s="1"/>
  <c r="T1301" i="8"/>
  <c r="AJ1301" i="8" s="1"/>
  <c r="R1302" i="8"/>
  <c r="S1302" i="8"/>
  <c r="AI1302" i="8" s="1"/>
  <c r="T1302" i="8"/>
  <c r="AJ1302" i="8" s="1"/>
  <c r="R1303" i="8"/>
  <c r="S1303" i="8"/>
  <c r="AI1303" i="8" s="1"/>
  <c r="T1303" i="8"/>
  <c r="AJ1303" i="8" s="1"/>
  <c r="R1304" i="8"/>
  <c r="S1304" i="8"/>
  <c r="AI1304" i="8" s="1"/>
  <c r="T1304" i="8"/>
  <c r="AJ1304" i="8" s="1"/>
  <c r="R1305" i="8"/>
  <c r="S1305" i="8"/>
  <c r="AI1305" i="8" s="1"/>
  <c r="T1305" i="8"/>
  <c r="AJ1305" i="8" s="1"/>
  <c r="R1306" i="8"/>
  <c r="S1306" i="8"/>
  <c r="AI1306" i="8" s="1"/>
  <c r="T1306" i="8"/>
  <c r="AJ1306" i="8" s="1"/>
  <c r="R1307" i="8"/>
  <c r="S1307" i="8"/>
  <c r="AI1307" i="8" s="1"/>
  <c r="T1307" i="8"/>
  <c r="AJ1307" i="8" s="1"/>
  <c r="R1308" i="8"/>
  <c r="S1308" i="8"/>
  <c r="AI1308" i="8" s="1"/>
  <c r="T1308" i="8"/>
  <c r="AJ1308" i="8" s="1"/>
  <c r="R1309" i="8"/>
  <c r="S1309" i="8"/>
  <c r="AI1309" i="8" s="1"/>
  <c r="T1309" i="8"/>
  <c r="AJ1309" i="8" s="1"/>
  <c r="R1310" i="8"/>
  <c r="S1310" i="8"/>
  <c r="AI1310" i="8" s="1"/>
  <c r="T1310" i="8"/>
  <c r="AJ1310" i="8" s="1"/>
  <c r="R1311" i="8"/>
  <c r="S1311" i="8"/>
  <c r="AI1311" i="8" s="1"/>
  <c r="T1311" i="8"/>
  <c r="AJ1311" i="8" s="1"/>
  <c r="R1312" i="8"/>
  <c r="S1312" i="8"/>
  <c r="AI1312" i="8" s="1"/>
  <c r="T1312" i="8"/>
  <c r="AJ1312" i="8" s="1"/>
  <c r="R1313" i="8"/>
  <c r="S1313" i="8"/>
  <c r="AI1313" i="8" s="1"/>
  <c r="T1313" i="8"/>
  <c r="AJ1313" i="8" s="1"/>
  <c r="R1314" i="8"/>
  <c r="S1314" i="8"/>
  <c r="AI1314" i="8" s="1"/>
  <c r="T1314" i="8"/>
  <c r="AJ1314" i="8" s="1"/>
  <c r="R1315" i="8"/>
  <c r="S1315" i="8"/>
  <c r="AI1315" i="8" s="1"/>
  <c r="T1315" i="8"/>
  <c r="AJ1315" i="8" s="1"/>
  <c r="R1316" i="8"/>
  <c r="S1316" i="8"/>
  <c r="AI1316" i="8" s="1"/>
  <c r="T1316" i="8"/>
  <c r="AJ1316" i="8" s="1"/>
  <c r="R1317" i="8"/>
  <c r="S1317" i="8"/>
  <c r="AI1317" i="8" s="1"/>
  <c r="T1317" i="8"/>
  <c r="AJ1317" i="8" s="1"/>
  <c r="R1318" i="8"/>
  <c r="S1318" i="8"/>
  <c r="AI1318" i="8" s="1"/>
  <c r="T1318" i="8"/>
  <c r="AJ1318" i="8" s="1"/>
  <c r="R1319" i="8"/>
  <c r="S1319" i="8"/>
  <c r="AI1319" i="8" s="1"/>
  <c r="T1319" i="8"/>
  <c r="AJ1319" i="8" s="1"/>
  <c r="R1320" i="8"/>
  <c r="S1320" i="8"/>
  <c r="AI1320" i="8" s="1"/>
  <c r="T1320" i="8"/>
  <c r="AJ1320" i="8" s="1"/>
  <c r="R1321" i="8"/>
  <c r="S1321" i="8"/>
  <c r="AI1321" i="8" s="1"/>
  <c r="T1321" i="8"/>
  <c r="AJ1321" i="8" s="1"/>
  <c r="R1322" i="8"/>
  <c r="S1322" i="8"/>
  <c r="AI1322" i="8" s="1"/>
  <c r="T1322" i="8"/>
  <c r="AJ1322" i="8" s="1"/>
  <c r="R1323" i="8"/>
  <c r="S1323" i="8"/>
  <c r="AI1323" i="8" s="1"/>
  <c r="T1323" i="8"/>
  <c r="AJ1323" i="8" s="1"/>
  <c r="R1324" i="8"/>
  <c r="S1324" i="8"/>
  <c r="AI1324" i="8" s="1"/>
  <c r="T1324" i="8"/>
  <c r="AJ1324" i="8" s="1"/>
  <c r="R1325" i="8"/>
  <c r="S1325" i="8"/>
  <c r="AI1325" i="8" s="1"/>
  <c r="T1325" i="8"/>
  <c r="AJ1325" i="8" s="1"/>
  <c r="R1326" i="8"/>
  <c r="S1326" i="8"/>
  <c r="AI1326" i="8" s="1"/>
  <c r="T1326" i="8"/>
  <c r="AJ1326" i="8" s="1"/>
  <c r="R1327" i="8"/>
  <c r="S1327" i="8"/>
  <c r="AI1327" i="8" s="1"/>
  <c r="T1327" i="8"/>
  <c r="AJ1327" i="8" s="1"/>
  <c r="R1328" i="8"/>
  <c r="S1328" i="8"/>
  <c r="AI1328" i="8" s="1"/>
  <c r="T1328" i="8"/>
  <c r="AJ1328" i="8" s="1"/>
  <c r="R1329" i="8"/>
  <c r="S1329" i="8"/>
  <c r="AI1329" i="8" s="1"/>
  <c r="T1329" i="8"/>
  <c r="AJ1329" i="8" s="1"/>
  <c r="R1330" i="8"/>
  <c r="S1330" i="8"/>
  <c r="AI1330" i="8" s="1"/>
  <c r="T1330" i="8"/>
  <c r="AJ1330" i="8" s="1"/>
  <c r="R1331" i="8"/>
  <c r="S1331" i="8"/>
  <c r="AI1331" i="8" s="1"/>
  <c r="T1331" i="8"/>
  <c r="AJ1331" i="8" s="1"/>
  <c r="R1332" i="8"/>
  <c r="S1332" i="8"/>
  <c r="AI1332" i="8" s="1"/>
  <c r="T1332" i="8"/>
  <c r="AJ1332" i="8" s="1"/>
  <c r="R1333" i="8"/>
  <c r="S1333" i="8"/>
  <c r="AI1333" i="8" s="1"/>
  <c r="T1333" i="8"/>
  <c r="AJ1333" i="8" s="1"/>
  <c r="R1334" i="8"/>
  <c r="S1334" i="8"/>
  <c r="AI1334" i="8" s="1"/>
  <c r="T1334" i="8"/>
  <c r="AJ1334" i="8" s="1"/>
  <c r="R1335" i="8"/>
  <c r="S1335" i="8"/>
  <c r="AI1335" i="8" s="1"/>
  <c r="T1335" i="8"/>
  <c r="AJ1335" i="8" s="1"/>
  <c r="R1336" i="8"/>
  <c r="S1336" i="8"/>
  <c r="AI1336" i="8" s="1"/>
  <c r="T1336" i="8"/>
  <c r="AJ1336" i="8" s="1"/>
  <c r="R1337" i="8"/>
  <c r="S1337" i="8"/>
  <c r="AI1337" i="8" s="1"/>
  <c r="T1337" i="8"/>
  <c r="AJ1337" i="8" s="1"/>
  <c r="R1338" i="8"/>
  <c r="S1338" i="8"/>
  <c r="AI1338" i="8" s="1"/>
  <c r="T1338" i="8"/>
  <c r="AJ1338" i="8" s="1"/>
  <c r="R1339" i="8"/>
  <c r="S1339" i="8"/>
  <c r="AI1339" i="8" s="1"/>
  <c r="T1339" i="8"/>
  <c r="AJ1339" i="8" s="1"/>
  <c r="R1340" i="8"/>
  <c r="S1340" i="8"/>
  <c r="AI1340" i="8" s="1"/>
  <c r="T1340" i="8"/>
  <c r="AJ1340" i="8" s="1"/>
  <c r="R1341" i="8"/>
  <c r="S1341" i="8"/>
  <c r="AI1341" i="8" s="1"/>
  <c r="T1341" i="8"/>
  <c r="AJ1341" i="8" s="1"/>
  <c r="R1342" i="8"/>
  <c r="S1342" i="8"/>
  <c r="AI1342" i="8" s="1"/>
  <c r="T1342" i="8"/>
  <c r="AJ1342" i="8" s="1"/>
  <c r="R1343" i="8"/>
  <c r="S1343" i="8"/>
  <c r="AI1343" i="8" s="1"/>
  <c r="T1343" i="8"/>
  <c r="AJ1343" i="8" s="1"/>
  <c r="R1344" i="8"/>
  <c r="S1344" i="8"/>
  <c r="AI1344" i="8" s="1"/>
  <c r="T1344" i="8"/>
  <c r="AJ1344" i="8" s="1"/>
  <c r="R1345" i="8"/>
  <c r="S1345" i="8"/>
  <c r="AI1345" i="8" s="1"/>
  <c r="T1345" i="8"/>
  <c r="AJ1345" i="8" s="1"/>
  <c r="R1346" i="8"/>
  <c r="S1346" i="8"/>
  <c r="AI1346" i="8" s="1"/>
  <c r="T1346" i="8"/>
  <c r="AJ1346" i="8" s="1"/>
  <c r="R1347" i="8"/>
  <c r="S1347" i="8"/>
  <c r="AI1347" i="8" s="1"/>
  <c r="T1347" i="8"/>
  <c r="AJ1347" i="8" s="1"/>
  <c r="R1348" i="8"/>
  <c r="S1348" i="8"/>
  <c r="AI1348" i="8" s="1"/>
  <c r="T1348" i="8"/>
  <c r="AJ1348" i="8" s="1"/>
  <c r="R1349" i="8"/>
  <c r="S1349" i="8"/>
  <c r="AI1349" i="8" s="1"/>
  <c r="T1349" i="8"/>
  <c r="AJ1349" i="8" s="1"/>
  <c r="R1350" i="8"/>
  <c r="S1350" i="8"/>
  <c r="AI1350" i="8" s="1"/>
  <c r="T1350" i="8"/>
  <c r="AJ1350" i="8" s="1"/>
  <c r="R1351" i="8"/>
  <c r="S1351" i="8"/>
  <c r="AI1351" i="8" s="1"/>
  <c r="T1351" i="8"/>
  <c r="AJ1351" i="8" s="1"/>
  <c r="R1352" i="8"/>
  <c r="S1352" i="8"/>
  <c r="AI1352" i="8" s="1"/>
  <c r="T1352" i="8"/>
  <c r="AJ1352" i="8" s="1"/>
  <c r="R1353" i="8"/>
  <c r="S1353" i="8"/>
  <c r="AI1353" i="8" s="1"/>
  <c r="T1353" i="8"/>
  <c r="AJ1353" i="8" s="1"/>
  <c r="R1354" i="8"/>
  <c r="S1354" i="8"/>
  <c r="AI1354" i="8" s="1"/>
  <c r="T1354" i="8"/>
  <c r="AJ1354" i="8" s="1"/>
  <c r="R1355" i="8"/>
  <c r="S1355" i="8"/>
  <c r="AI1355" i="8" s="1"/>
  <c r="T1355" i="8"/>
  <c r="R1356" i="8"/>
  <c r="S1356" i="8"/>
  <c r="AI1356" i="8" s="1"/>
  <c r="T1356" i="8"/>
  <c r="AJ1356" i="8" s="1"/>
  <c r="R1357" i="8"/>
  <c r="S1357" i="8"/>
  <c r="AI1357" i="8" s="1"/>
  <c r="T1357" i="8"/>
  <c r="AJ1357" i="8" s="1"/>
  <c r="R1358" i="8"/>
  <c r="S1358" i="8"/>
  <c r="AI1358" i="8" s="1"/>
  <c r="T1358" i="8"/>
  <c r="AJ1358" i="8" s="1"/>
  <c r="R1359" i="8"/>
  <c r="S1359" i="8"/>
  <c r="AI1359" i="8" s="1"/>
  <c r="T1359" i="8"/>
  <c r="AJ1359" i="8" s="1"/>
  <c r="R1360" i="8"/>
  <c r="S1360" i="8"/>
  <c r="AI1360" i="8" s="1"/>
  <c r="T1360" i="8"/>
  <c r="AJ1360" i="8" s="1"/>
  <c r="R1361" i="8"/>
  <c r="S1361" i="8"/>
  <c r="AI1361" i="8" s="1"/>
  <c r="T1361" i="8"/>
  <c r="AJ1361" i="8" s="1"/>
  <c r="R1362" i="8"/>
  <c r="S1362" i="8"/>
  <c r="AI1362" i="8" s="1"/>
  <c r="T1362" i="8"/>
  <c r="AJ1362" i="8" s="1"/>
  <c r="R1363" i="8"/>
  <c r="S1363" i="8"/>
  <c r="AI1363" i="8" s="1"/>
  <c r="T1363" i="8"/>
  <c r="AJ1363" i="8" s="1"/>
  <c r="R1364" i="8"/>
  <c r="S1364" i="8"/>
  <c r="AI1364" i="8" s="1"/>
  <c r="T1364" i="8"/>
  <c r="AJ1364" i="8" s="1"/>
  <c r="R1365" i="8"/>
  <c r="S1365" i="8"/>
  <c r="AI1365" i="8" s="1"/>
  <c r="T1365" i="8"/>
  <c r="AJ1365" i="8" s="1"/>
  <c r="R1366" i="8"/>
  <c r="S1366" i="8"/>
  <c r="AI1366" i="8" s="1"/>
  <c r="T1366" i="8"/>
  <c r="AJ1366" i="8" s="1"/>
  <c r="R1367" i="8"/>
  <c r="S1367" i="8"/>
  <c r="AI1367" i="8" s="1"/>
  <c r="T1367" i="8"/>
  <c r="AJ1367" i="8" s="1"/>
  <c r="R1368" i="8"/>
  <c r="S1368" i="8"/>
  <c r="AI1368" i="8" s="1"/>
  <c r="T1368" i="8"/>
  <c r="AJ1368" i="8" s="1"/>
  <c r="R1369" i="8"/>
  <c r="S1369" i="8"/>
  <c r="AI1369" i="8" s="1"/>
  <c r="T1369" i="8"/>
  <c r="AJ1369" i="8" s="1"/>
  <c r="R1370" i="8"/>
  <c r="S1370" i="8"/>
  <c r="AI1370" i="8" s="1"/>
  <c r="T1370" i="8"/>
  <c r="AJ1370" i="8" s="1"/>
  <c r="R1371" i="8"/>
  <c r="S1371" i="8"/>
  <c r="AI1371" i="8" s="1"/>
  <c r="T1371" i="8"/>
  <c r="AJ1371" i="8" s="1"/>
  <c r="R1372" i="8"/>
  <c r="S1372" i="8"/>
  <c r="AI1372" i="8" s="1"/>
  <c r="T1372" i="8"/>
  <c r="AJ1372" i="8" s="1"/>
  <c r="R1373" i="8"/>
  <c r="S1373" i="8"/>
  <c r="AI1373" i="8" s="1"/>
  <c r="T1373" i="8"/>
  <c r="AJ1373" i="8" s="1"/>
  <c r="R1374" i="8"/>
  <c r="S1374" i="8"/>
  <c r="AI1374" i="8" s="1"/>
  <c r="T1374" i="8"/>
  <c r="AJ1374" i="8" s="1"/>
  <c r="R1375" i="8"/>
  <c r="S1375" i="8"/>
  <c r="AI1375" i="8" s="1"/>
  <c r="T1375" i="8"/>
  <c r="AJ1375" i="8" s="1"/>
  <c r="R1376" i="8"/>
  <c r="S1376" i="8"/>
  <c r="AI1376" i="8" s="1"/>
  <c r="T1376" i="8"/>
  <c r="AJ1376" i="8" s="1"/>
  <c r="R1377" i="8"/>
  <c r="S1377" i="8"/>
  <c r="AI1377" i="8" s="1"/>
  <c r="T1377" i="8"/>
  <c r="AJ1377" i="8" s="1"/>
  <c r="R1378" i="8"/>
  <c r="S1378" i="8"/>
  <c r="AI1378" i="8" s="1"/>
  <c r="T1378" i="8"/>
  <c r="AJ1378" i="8" s="1"/>
  <c r="R1379" i="8"/>
  <c r="S1379" i="8"/>
  <c r="AI1379" i="8" s="1"/>
  <c r="T1379" i="8"/>
  <c r="AJ1379" i="8" s="1"/>
  <c r="R1380" i="8"/>
  <c r="S1380" i="8"/>
  <c r="AI1380" i="8" s="1"/>
  <c r="T1380" i="8"/>
  <c r="AJ1380" i="8" s="1"/>
  <c r="R1381" i="8"/>
  <c r="S1381" i="8"/>
  <c r="AI1381" i="8" s="1"/>
  <c r="T1381" i="8"/>
  <c r="AJ1381" i="8" s="1"/>
  <c r="R1382" i="8"/>
  <c r="S1382" i="8"/>
  <c r="AI1382" i="8" s="1"/>
  <c r="T1382" i="8"/>
  <c r="AJ1382" i="8" s="1"/>
  <c r="R1383" i="8"/>
  <c r="S1383" i="8"/>
  <c r="AI1383" i="8" s="1"/>
  <c r="T1383" i="8"/>
  <c r="AJ1383" i="8" s="1"/>
  <c r="R1384" i="8"/>
  <c r="S1384" i="8"/>
  <c r="AI1384" i="8" s="1"/>
  <c r="T1384" i="8"/>
  <c r="AJ1384" i="8" s="1"/>
  <c r="R1385" i="8"/>
  <c r="S1385" i="8"/>
  <c r="AI1385" i="8" s="1"/>
  <c r="T1385" i="8"/>
  <c r="AJ1385" i="8" s="1"/>
  <c r="R1386" i="8"/>
  <c r="S1386" i="8"/>
  <c r="AI1386" i="8" s="1"/>
  <c r="T1386" i="8"/>
  <c r="AJ1386" i="8" s="1"/>
  <c r="R1387" i="8"/>
  <c r="S1387" i="8"/>
  <c r="AI1387" i="8" s="1"/>
  <c r="T1387" i="8"/>
  <c r="AJ1387" i="8" s="1"/>
  <c r="R1388" i="8"/>
  <c r="S1388" i="8"/>
  <c r="AI1388" i="8" s="1"/>
  <c r="T1388" i="8"/>
  <c r="R1389" i="8"/>
  <c r="S1389" i="8"/>
  <c r="AI1389" i="8" s="1"/>
  <c r="T1389" i="8"/>
  <c r="AJ1389" i="8" s="1"/>
  <c r="R1390" i="8"/>
  <c r="S1390" i="8"/>
  <c r="AI1390" i="8" s="1"/>
  <c r="T1390" i="8"/>
  <c r="AJ1390" i="8" s="1"/>
  <c r="R1391" i="8"/>
  <c r="S1391" i="8"/>
  <c r="AI1391" i="8" s="1"/>
  <c r="T1391" i="8"/>
  <c r="AJ1391" i="8" s="1"/>
  <c r="R1392" i="8"/>
  <c r="S1392" i="8"/>
  <c r="AI1392" i="8" s="1"/>
  <c r="T1392" i="8"/>
  <c r="AJ1392" i="8" s="1"/>
  <c r="R1393" i="8"/>
  <c r="S1393" i="8"/>
  <c r="AI1393" i="8" s="1"/>
  <c r="T1393" i="8"/>
  <c r="AJ1393" i="8" s="1"/>
  <c r="R1394" i="8"/>
  <c r="S1394" i="8"/>
  <c r="AI1394" i="8" s="1"/>
  <c r="T1394" i="8"/>
  <c r="AJ1394" i="8" s="1"/>
  <c r="R1395" i="8"/>
  <c r="S1395" i="8"/>
  <c r="AI1395" i="8" s="1"/>
  <c r="T1395" i="8"/>
  <c r="AJ1395" i="8" s="1"/>
  <c r="R1396" i="8"/>
  <c r="S1396" i="8"/>
  <c r="AI1396" i="8" s="1"/>
  <c r="T1396" i="8"/>
  <c r="AJ1396" i="8" s="1"/>
  <c r="R1397" i="8"/>
  <c r="S1397" i="8"/>
  <c r="AI1397" i="8" s="1"/>
  <c r="T1397" i="8"/>
  <c r="AJ1397" i="8" s="1"/>
  <c r="R1398" i="8"/>
  <c r="S1398" i="8"/>
  <c r="AI1398" i="8" s="1"/>
  <c r="T1398" i="8"/>
  <c r="AJ1398" i="8" s="1"/>
  <c r="R1399" i="8"/>
  <c r="S1399" i="8"/>
  <c r="AI1399" i="8" s="1"/>
  <c r="T1399" i="8"/>
  <c r="AJ1399" i="8" s="1"/>
  <c r="R1400" i="8"/>
  <c r="S1400" i="8"/>
  <c r="AI1400" i="8" s="1"/>
  <c r="T1400" i="8"/>
  <c r="AJ1400" i="8" s="1"/>
  <c r="R1401" i="8"/>
  <c r="S1401" i="8"/>
  <c r="AI1401" i="8" s="1"/>
  <c r="T1401" i="8"/>
  <c r="AJ1401" i="8" s="1"/>
  <c r="R1402" i="8"/>
  <c r="S1402" i="8"/>
  <c r="AI1402" i="8" s="1"/>
  <c r="T1402" i="8"/>
  <c r="AJ1402" i="8" s="1"/>
  <c r="R1403" i="8"/>
  <c r="S1403" i="8"/>
  <c r="AI1403" i="8" s="1"/>
  <c r="T1403" i="8"/>
  <c r="AJ1403" i="8" s="1"/>
  <c r="R1404" i="8"/>
  <c r="S1404" i="8"/>
  <c r="AI1404" i="8" s="1"/>
  <c r="T1404" i="8"/>
  <c r="AJ1404" i="8" s="1"/>
  <c r="R1405" i="8"/>
  <c r="S1405" i="8"/>
  <c r="AI1405" i="8" s="1"/>
  <c r="T1405" i="8"/>
  <c r="AJ1405" i="8" s="1"/>
  <c r="R1406" i="8"/>
  <c r="S1406" i="8"/>
  <c r="AI1406" i="8" s="1"/>
  <c r="T1406" i="8"/>
  <c r="AJ1406" i="8" s="1"/>
  <c r="R1407" i="8"/>
  <c r="S1407" i="8"/>
  <c r="AI1407" i="8" s="1"/>
  <c r="T1407" i="8"/>
  <c r="AJ1407" i="8" s="1"/>
  <c r="R1408" i="8"/>
  <c r="S1408" i="8"/>
  <c r="AI1408" i="8" s="1"/>
  <c r="T1408" i="8"/>
  <c r="AJ1408" i="8" s="1"/>
  <c r="R1409" i="8"/>
  <c r="S1409" i="8"/>
  <c r="AI1409" i="8" s="1"/>
  <c r="T1409" i="8"/>
  <c r="AJ1409" i="8" s="1"/>
  <c r="R1410" i="8"/>
  <c r="S1410" i="8"/>
  <c r="AI1410" i="8" s="1"/>
  <c r="T1410" i="8"/>
  <c r="AJ1410" i="8" s="1"/>
  <c r="R1411" i="8"/>
  <c r="S1411" i="8"/>
  <c r="AI1411" i="8" s="1"/>
  <c r="T1411" i="8"/>
  <c r="AJ1411" i="8" s="1"/>
  <c r="R1412" i="8"/>
  <c r="S1412" i="8"/>
  <c r="AI1412" i="8" s="1"/>
  <c r="T1412" i="8"/>
  <c r="AJ1412" i="8" s="1"/>
  <c r="R1413" i="8"/>
  <c r="S1413" i="8"/>
  <c r="AI1413" i="8" s="1"/>
  <c r="T1413" i="8"/>
  <c r="AJ1413" i="8" s="1"/>
  <c r="R1414" i="8"/>
  <c r="S1414" i="8"/>
  <c r="AI1414" i="8" s="1"/>
  <c r="T1414" i="8"/>
  <c r="AJ1414" i="8" s="1"/>
  <c r="R1415" i="8"/>
  <c r="S1415" i="8"/>
  <c r="AI1415" i="8" s="1"/>
  <c r="T1415" i="8"/>
  <c r="AJ1415" i="8" s="1"/>
  <c r="R1416" i="8"/>
  <c r="S1416" i="8"/>
  <c r="AI1416" i="8" s="1"/>
  <c r="T1416" i="8"/>
  <c r="AJ1416" i="8" s="1"/>
  <c r="R1417" i="8"/>
  <c r="S1417" i="8"/>
  <c r="AI1417" i="8" s="1"/>
  <c r="T1417" i="8"/>
  <c r="AJ1417" i="8" s="1"/>
  <c r="R1418" i="8"/>
  <c r="S1418" i="8"/>
  <c r="AI1418" i="8" s="1"/>
  <c r="T1418" i="8"/>
  <c r="AJ1418" i="8" s="1"/>
  <c r="R1419" i="8"/>
  <c r="S1419" i="8"/>
  <c r="AI1419" i="8" s="1"/>
  <c r="T1419" i="8"/>
  <c r="AJ1419" i="8" s="1"/>
  <c r="R1420" i="8"/>
  <c r="S1420" i="8"/>
  <c r="AI1420" i="8" s="1"/>
  <c r="T1420" i="8"/>
  <c r="AJ1420" i="8" s="1"/>
  <c r="R1421" i="8"/>
  <c r="S1421" i="8"/>
  <c r="AI1421" i="8" s="1"/>
  <c r="T1421" i="8"/>
  <c r="AJ1421" i="8" s="1"/>
  <c r="R1422" i="8"/>
  <c r="S1422" i="8"/>
  <c r="AI1422" i="8" s="1"/>
  <c r="T1422" i="8"/>
  <c r="AJ1422" i="8" s="1"/>
  <c r="R1423" i="8"/>
  <c r="S1423" i="8"/>
  <c r="AI1423" i="8" s="1"/>
  <c r="T1423" i="8"/>
  <c r="AJ1423" i="8" s="1"/>
  <c r="R1424" i="8"/>
  <c r="S1424" i="8"/>
  <c r="AI1424" i="8" s="1"/>
  <c r="T1424" i="8"/>
  <c r="AJ1424" i="8" s="1"/>
  <c r="R1425" i="8"/>
  <c r="S1425" i="8"/>
  <c r="AI1425" i="8" s="1"/>
  <c r="T1425" i="8"/>
  <c r="AJ1425" i="8" s="1"/>
  <c r="R1426" i="8"/>
  <c r="S1426" i="8"/>
  <c r="AI1426" i="8" s="1"/>
  <c r="T1426" i="8"/>
  <c r="AJ1426" i="8" s="1"/>
  <c r="R1427" i="8"/>
  <c r="S1427" i="8"/>
  <c r="AI1427" i="8" s="1"/>
  <c r="T1427" i="8"/>
  <c r="AJ1427" i="8" s="1"/>
  <c r="R1428" i="8"/>
  <c r="S1428" i="8"/>
  <c r="AI1428" i="8" s="1"/>
  <c r="T1428" i="8"/>
  <c r="AJ1428" i="8" s="1"/>
  <c r="R1429" i="8"/>
  <c r="S1429" i="8"/>
  <c r="AI1429" i="8" s="1"/>
  <c r="T1429" i="8"/>
  <c r="AJ1429" i="8" s="1"/>
  <c r="R1430" i="8"/>
  <c r="S1430" i="8"/>
  <c r="AI1430" i="8" s="1"/>
  <c r="T1430" i="8"/>
  <c r="AJ1430" i="8" s="1"/>
  <c r="R1431" i="8"/>
  <c r="S1431" i="8"/>
  <c r="AI1431" i="8" s="1"/>
  <c r="T1431" i="8"/>
  <c r="AJ1431" i="8" s="1"/>
  <c r="R1432" i="8"/>
  <c r="S1432" i="8"/>
  <c r="AI1432" i="8" s="1"/>
  <c r="T1432" i="8"/>
  <c r="AJ1432" i="8" s="1"/>
  <c r="R1433" i="8"/>
  <c r="S1433" i="8"/>
  <c r="AI1433" i="8" s="1"/>
  <c r="T1433" i="8"/>
  <c r="AJ1433" i="8" s="1"/>
  <c r="R1434" i="8"/>
  <c r="S1434" i="8"/>
  <c r="AI1434" i="8" s="1"/>
  <c r="T1434" i="8"/>
  <c r="AJ1434" i="8" s="1"/>
  <c r="R1435" i="8"/>
  <c r="S1435" i="8"/>
  <c r="AI1435" i="8" s="1"/>
  <c r="T1435" i="8"/>
  <c r="AJ1435" i="8" s="1"/>
  <c r="R1436" i="8"/>
  <c r="S1436" i="8"/>
  <c r="AI1436" i="8" s="1"/>
  <c r="T1436" i="8"/>
  <c r="AJ1436" i="8" s="1"/>
  <c r="R1437" i="8"/>
  <c r="S1437" i="8"/>
  <c r="AI1437" i="8" s="1"/>
  <c r="T1437" i="8"/>
  <c r="AJ1437" i="8" s="1"/>
  <c r="R1438" i="8"/>
  <c r="S1438" i="8"/>
  <c r="AI1438" i="8" s="1"/>
  <c r="T1438" i="8"/>
  <c r="AJ1438" i="8" s="1"/>
  <c r="R1439" i="8"/>
  <c r="S1439" i="8"/>
  <c r="AI1439" i="8" s="1"/>
  <c r="T1439" i="8"/>
  <c r="AJ1439" i="8" s="1"/>
  <c r="R1440" i="8"/>
  <c r="S1440" i="8"/>
  <c r="AI1440" i="8" s="1"/>
  <c r="T1440" i="8"/>
  <c r="AJ1440" i="8" s="1"/>
  <c r="R1441" i="8"/>
  <c r="S1441" i="8"/>
  <c r="AI1441" i="8" s="1"/>
  <c r="T1441" i="8"/>
  <c r="AJ1441" i="8" s="1"/>
  <c r="R1442" i="8"/>
  <c r="S1442" i="8"/>
  <c r="AI1442" i="8" s="1"/>
  <c r="T1442" i="8"/>
  <c r="AJ1442" i="8" s="1"/>
  <c r="R1443" i="8"/>
  <c r="S1443" i="8"/>
  <c r="AI1443" i="8" s="1"/>
  <c r="T1443" i="8"/>
  <c r="AJ1443" i="8" s="1"/>
  <c r="R1444" i="8"/>
  <c r="S1444" i="8"/>
  <c r="AI1444" i="8" s="1"/>
  <c r="T1444" i="8"/>
  <c r="R1445" i="8"/>
  <c r="S1445" i="8"/>
  <c r="AI1445" i="8" s="1"/>
  <c r="T1445" i="8"/>
  <c r="AJ1445" i="8" s="1"/>
  <c r="R1446" i="8"/>
  <c r="S1446" i="8"/>
  <c r="AI1446" i="8" s="1"/>
  <c r="T1446" i="8"/>
  <c r="AJ1446" i="8" s="1"/>
  <c r="R1447" i="8"/>
  <c r="S1447" i="8"/>
  <c r="AI1447" i="8" s="1"/>
  <c r="T1447" i="8"/>
  <c r="AJ1447" i="8" s="1"/>
  <c r="R1448" i="8"/>
  <c r="S1448" i="8"/>
  <c r="AI1448" i="8" s="1"/>
  <c r="T1448" i="8"/>
  <c r="AJ1448" i="8" s="1"/>
  <c r="R1449" i="8"/>
  <c r="S1449" i="8"/>
  <c r="AI1449" i="8" s="1"/>
  <c r="T1449" i="8"/>
  <c r="AJ1449" i="8" s="1"/>
  <c r="R1450" i="8"/>
  <c r="S1450" i="8"/>
  <c r="AI1450" i="8" s="1"/>
  <c r="T1450" i="8"/>
  <c r="AJ1450" i="8" s="1"/>
  <c r="R1451" i="8"/>
  <c r="S1451" i="8"/>
  <c r="AI1451" i="8" s="1"/>
  <c r="T1451" i="8"/>
  <c r="AJ1451" i="8" s="1"/>
  <c r="R1452" i="8"/>
  <c r="S1452" i="8"/>
  <c r="AI1452" i="8" s="1"/>
  <c r="T1452" i="8"/>
  <c r="AJ1452" i="8" s="1"/>
  <c r="R1453" i="8"/>
  <c r="S1453" i="8"/>
  <c r="AI1453" i="8" s="1"/>
  <c r="T1453" i="8"/>
  <c r="AJ1453" i="8" s="1"/>
  <c r="R1454" i="8"/>
  <c r="S1454" i="8"/>
  <c r="AI1454" i="8" s="1"/>
  <c r="T1454" i="8"/>
  <c r="AJ1454" i="8" s="1"/>
  <c r="R1455" i="8"/>
  <c r="S1455" i="8"/>
  <c r="AI1455" i="8" s="1"/>
  <c r="T1455" i="8"/>
  <c r="AJ1455" i="8" s="1"/>
  <c r="R1456" i="8"/>
  <c r="S1456" i="8"/>
  <c r="AI1456" i="8" s="1"/>
  <c r="T1456" i="8"/>
  <c r="AJ1456" i="8" s="1"/>
  <c r="R1457" i="8"/>
  <c r="S1457" i="8"/>
  <c r="AI1457" i="8" s="1"/>
  <c r="T1457" i="8"/>
  <c r="AJ1457" i="8" s="1"/>
  <c r="R1458" i="8"/>
  <c r="S1458" i="8"/>
  <c r="AI1458" i="8" s="1"/>
  <c r="T1458" i="8"/>
  <c r="AJ1458" i="8" s="1"/>
  <c r="R1459" i="8"/>
  <c r="S1459" i="8"/>
  <c r="AI1459" i="8" s="1"/>
  <c r="T1459" i="8"/>
  <c r="AJ1459" i="8" s="1"/>
  <c r="R1460" i="8"/>
  <c r="S1460" i="8"/>
  <c r="AI1460" i="8" s="1"/>
  <c r="T1460" i="8"/>
  <c r="AJ1460" i="8" s="1"/>
  <c r="R1461" i="8"/>
  <c r="S1461" i="8"/>
  <c r="AI1461" i="8" s="1"/>
  <c r="T1461" i="8"/>
  <c r="AJ1461" i="8" s="1"/>
  <c r="R1462" i="8"/>
  <c r="S1462" i="8"/>
  <c r="AI1462" i="8" s="1"/>
  <c r="T1462" i="8"/>
  <c r="AJ1462" i="8" s="1"/>
  <c r="R1463" i="8"/>
  <c r="S1463" i="8"/>
  <c r="AI1463" i="8" s="1"/>
  <c r="T1463" i="8"/>
  <c r="AJ1463" i="8" s="1"/>
  <c r="R1464" i="8"/>
  <c r="S1464" i="8"/>
  <c r="AI1464" i="8" s="1"/>
  <c r="T1464" i="8"/>
  <c r="AJ1464" i="8" s="1"/>
  <c r="R1465" i="8"/>
  <c r="S1465" i="8"/>
  <c r="AI1465" i="8" s="1"/>
  <c r="T1465" i="8"/>
  <c r="AJ1465" i="8" s="1"/>
  <c r="R1466" i="8"/>
  <c r="S1466" i="8"/>
  <c r="AI1466" i="8" s="1"/>
  <c r="T1466" i="8"/>
  <c r="AJ1466" i="8" s="1"/>
  <c r="R1467" i="8"/>
  <c r="S1467" i="8"/>
  <c r="AI1467" i="8" s="1"/>
  <c r="T1467" i="8"/>
  <c r="AJ1467" i="8" s="1"/>
  <c r="R1468" i="8"/>
  <c r="S1468" i="8"/>
  <c r="AI1468" i="8" s="1"/>
  <c r="T1468" i="8"/>
  <c r="AJ1468" i="8" s="1"/>
  <c r="R1469" i="8"/>
  <c r="S1469" i="8"/>
  <c r="AI1469" i="8" s="1"/>
  <c r="T1469" i="8"/>
  <c r="AJ1469" i="8" s="1"/>
  <c r="R1470" i="8"/>
  <c r="S1470" i="8"/>
  <c r="AI1470" i="8" s="1"/>
  <c r="T1470" i="8"/>
  <c r="AJ1470" i="8" s="1"/>
  <c r="R1471" i="8"/>
  <c r="S1471" i="8"/>
  <c r="AI1471" i="8" s="1"/>
  <c r="T1471" i="8"/>
  <c r="AJ1471" i="8" s="1"/>
  <c r="R1472" i="8"/>
  <c r="S1472" i="8"/>
  <c r="AI1472" i="8" s="1"/>
  <c r="T1472" i="8"/>
  <c r="AJ1472" i="8" s="1"/>
  <c r="R1473" i="8"/>
  <c r="S1473" i="8"/>
  <c r="AI1473" i="8" s="1"/>
  <c r="T1473" i="8"/>
  <c r="AJ1473" i="8" s="1"/>
  <c r="R1474" i="8"/>
  <c r="S1474" i="8"/>
  <c r="AI1474" i="8" s="1"/>
  <c r="T1474" i="8"/>
  <c r="AJ1474" i="8" s="1"/>
  <c r="R1475" i="8"/>
  <c r="S1475" i="8"/>
  <c r="AI1475" i="8" s="1"/>
  <c r="T1475" i="8"/>
  <c r="AJ1475" i="8" s="1"/>
  <c r="R1476" i="8"/>
  <c r="S1476" i="8"/>
  <c r="AI1476" i="8" s="1"/>
  <c r="T1476" i="8"/>
  <c r="AJ1476" i="8" s="1"/>
  <c r="R1477" i="8"/>
  <c r="S1477" i="8"/>
  <c r="AI1477" i="8" s="1"/>
  <c r="T1477" i="8"/>
  <c r="AJ1477" i="8" s="1"/>
  <c r="R1478" i="8"/>
  <c r="S1478" i="8"/>
  <c r="AI1478" i="8" s="1"/>
  <c r="T1478" i="8"/>
  <c r="AJ1478" i="8" s="1"/>
  <c r="R1479" i="8"/>
  <c r="S1479" i="8"/>
  <c r="AI1479" i="8" s="1"/>
  <c r="T1479" i="8"/>
  <c r="R1480" i="8"/>
  <c r="S1480" i="8"/>
  <c r="AI1480" i="8" s="1"/>
  <c r="T1480" i="8"/>
  <c r="AJ1480" i="8" s="1"/>
  <c r="R1481" i="8"/>
  <c r="S1481" i="8"/>
  <c r="AI1481" i="8" s="1"/>
  <c r="T1481" i="8"/>
  <c r="AJ1481" i="8" s="1"/>
  <c r="R1482" i="8"/>
  <c r="S1482" i="8"/>
  <c r="AI1482" i="8" s="1"/>
  <c r="T1482" i="8"/>
  <c r="AJ1482" i="8" s="1"/>
  <c r="R1483" i="8"/>
  <c r="S1483" i="8"/>
  <c r="AI1483" i="8" s="1"/>
  <c r="T1483" i="8"/>
  <c r="AJ1483" i="8" s="1"/>
  <c r="R1484" i="8"/>
  <c r="S1484" i="8"/>
  <c r="AI1484" i="8" s="1"/>
  <c r="T1484" i="8"/>
  <c r="AJ1484" i="8" s="1"/>
  <c r="R1485" i="8"/>
  <c r="S1485" i="8"/>
  <c r="AI1485" i="8" s="1"/>
  <c r="T1485" i="8"/>
  <c r="AJ1485" i="8" s="1"/>
  <c r="R1486" i="8"/>
  <c r="S1486" i="8"/>
  <c r="AI1486" i="8" s="1"/>
  <c r="T1486" i="8"/>
  <c r="AJ1486" i="8" s="1"/>
  <c r="R1487" i="8"/>
  <c r="S1487" i="8"/>
  <c r="AI1487" i="8" s="1"/>
  <c r="T1487" i="8"/>
  <c r="AJ1487" i="8" s="1"/>
  <c r="R1488" i="8"/>
  <c r="S1488" i="8"/>
  <c r="AI1488" i="8" s="1"/>
  <c r="T1488" i="8"/>
  <c r="AJ1488" i="8" s="1"/>
  <c r="R1489" i="8"/>
  <c r="S1489" i="8"/>
  <c r="AI1489" i="8" s="1"/>
  <c r="T1489" i="8"/>
  <c r="AJ1489" i="8" s="1"/>
  <c r="R1490" i="8"/>
  <c r="S1490" i="8"/>
  <c r="AI1490" i="8" s="1"/>
  <c r="T1490" i="8"/>
  <c r="AJ1490" i="8" s="1"/>
  <c r="R1491" i="8"/>
  <c r="S1491" i="8"/>
  <c r="AI1491" i="8" s="1"/>
  <c r="T1491" i="8"/>
  <c r="AJ1491" i="8" s="1"/>
  <c r="R1492" i="8"/>
  <c r="S1492" i="8"/>
  <c r="AI1492" i="8" s="1"/>
  <c r="T1492" i="8"/>
  <c r="AJ1492" i="8" s="1"/>
  <c r="R1493" i="8"/>
  <c r="S1493" i="8"/>
  <c r="AI1493" i="8" s="1"/>
  <c r="T1493" i="8"/>
  <c r="AJ1493" i="8" s="1"/>
  <c r="R1494" i="8"/>
  <c r="S1494" i="8"/>
  <c r="AI1494" i="8" s="1"/>
  <c r="T1494" i="8"/>
  <c r="AJ1494" i="8" s="1"/>
  <c r="R1495" i="8"/>
  <c r="S1495" i="8"/>
  <c r="AI1495" i="8" s="1"/>
  <c r="T1495" i="8"/>
  <c r="AJ1495" i="8" s="1"/>
  <c r="R1496" i="8"/>
  <c r="S1496" i="8"/>
  <c r="AI1496" i="8" s="1"/>
  <c r="T1496" i="8"/>
  <c r="AJ1496" i="8" s="1"/>
  <c r="R1497" i="8"/>
  <c r="S1497" i="8"/>
  <c r="AI1497" i="8" s="1"/>
  <c r="T1497" i="8"/>
  <c r="AJ1497" i="8" s="1"/>
  <c r="R1498" i="8"/>
  <c r="S1498" i="8"/>
  <c r="T1498" i="8"/>
  <c r="AJ1498" i="8" s="1"/>
  <c r="R1499" i="8"/>
  <c r="S1499" i="8"/>
  <c r="AI1499" i="8" s="1"/>
  <c r="T1499" i="8"/>
  <c r="AJ1499" i="8" s="1"/>
  <c r="R1500" i="8"/>
  <c r="S1500" i="8"/>
  <c r="AI1500" i="8" s="1"/>
  <c r="T1500" i="8"/>
  <c r="AJ1500" i="8" s="1"/>
  <c r="R1501" i="8"/>
  <c r="S1501" i="8"/>
  <c r="T1501" i="8"/>
  <c r="AJ1501" i="8" s="1"/>
  <c r="R1502" i="8"/>
  <c r="S1502" i="8"/>
  <c r="AI1502" i="8" s="1"/>
  <c r="T1502" i="8"/>
  <c r="AJ1502" i="8" s="1"/>
  <c r="R1503" i="8"/>
  <c r="S1503" i="8"/>
  <c r="AI1503" i="8" s="1"/>
  <c r="T1503" i="8"/>
  <c r="AJ1503" i="8" s="1"/>
  <c r="R1504" i="8"/>
  <c r="S1504" i="8"/>
  <c r="AI1504" i="8" s="1"/>
  <c r="T1504" i="8"/>
  <c r="AJ1504" i="8" s="1"/>
  <c r="R1505" i="8"/>
  <c r="S1505" i="8"/>
  <c r="AI1505" i="8" s="1"/>
  <c r="T1505" i="8"/>
  <c r="AJ1505" i="8" s="1"/>
  <c r="R1506" i="8"/>
  <c r="S1506" i="8"/>
  <c r="AI1506" i="8" s="1"/>
  <c r="T1506" i="8"/>
  <c r="AJ1506" i="8" s="1"/>
  <c r="R1507" i="8"/>
  <c r="S1507" i="8"/>
  <c r="AI1507" i="8" s="1"/>
  <c r="T1507" i="8"/>
  <c r="AJ1507" i="8" s="1"/>
  <c r="R1508" i="8"/>
  <c r="S1508" i="8"/>
  <c r="AI1508" i="8" s="1"/>
  <c r="T1508" i="8"/>
  <c r="AJ1508" i="8" s="1"/>
  <c r="R1509" i="8"/>
  <c r="S1509" i="8"/>
  <c r="AI1509" i="8" s="1"/>
  <c r="T1509" i="8"/>
  <c r="AJ1509" i="8" s="1"/>
  <c r="R1510" i="8"/>
  <c r="S1510" i="8"/>
  <c r="AI1510" i="8" s="1"/>
  <c r="T1510" i="8"/>
  <c r="AJ1510" i="8" s="1"/>
  <c r="R1511" i="8"/>
  <c r="S1511" i="8"/>
  <c r="AI1511" i="8" s="1"/>
  <c r="T1511" i="8"/>
  <c r="AJ1511" i="8" s="1"/>
  <c r="R1512" i="8"/>
  <c r="S1512" i="8"/>
  <c r="AI1512" i="8" s="1"/>
  <c r="T1512" i="8"/>
  <c r="AJ1512" i="8" s="1"/>
  <c r="R1513" i="8"/>
  <c r="S1513" i="8"/>
  <c r="AI1513" i="8" s="1"/>
  <c r="T1513" i="8"/>
  <c r="AJ1513" i="8" s="1"/>
  <c r="R1514" i="8"/>
  <c r="S1514" i="8"/>
  <c r="AI1514" i="8" s="1"/>
  <c r="T1514" i="8"/>
  <c r="AJ1514" i="8" s="1"/>
  <c r="R1515" i="8"/>
  <c r="S1515" i="8"/>
  <c r="AI1515" i="8" s="1"/>
  <c r="T1515" i="8"/>
  <c r="AJ1515" i="8" s="1"/>
  <c r="R1516" i="8"/>
  <c r="S1516" i="8"/>
  <c r="AI1516" i="8" s="1"/>
  <c r="T1516" i="8"/>
  <c r="AJ1516" i="8" s="1"/>
  <c r="R1517" i="8"/>
  <c r="S1517" i="8"/>
  <c r="AI1517" i="8" s="1"/>
  <c r="T1517" i="8"/>
  <c r="AJ1517" i="8" s="1"/>
  <c r="R1518" i="8"/>
  <c r="S1518" i="8"/>
  <c r="AI1518" i="8" s="1"/>
  <c r="T1518" i="8"/>
  <c r="AJ1518" i="8" s="1"/>
  <c r="R1519" i="8"/>
  <c r="S1519" i="8"/>
  <c r="AI1519" i="8" s="1"/>
  <c r="T1519" i="8"/>
  <c r="AJ1519" i="8" s="1"/>
  <c r="R1520" i="8"/>
  <c r="S1520" i="8"/>
  <c r="AI1520" i="8" s="1"/>
  <c r="T1520" i="8"/>
  <c r="AJ1520" i="8" s="1"/>
  <c r="R1521" i="8"/>
  <c r="S1521" i="8"/>
  <c r="AI1521" i="8" s="1"/>
  <c r="T1521" i="8"/>
  <c r="AJ1521" i="8" s="1"/>
  <c r="R1522" i="8"/>
  <c r="S1522" i="8"/>
  <c r="AI1522" i="8" s="1"/>
  <c r="T1522" i="8"/>
  <c r="AJ1522" i="8" s="1"/>
  <c r="R1523" i="8"/>
  <c r="S1523" i="8"/>
  <c r="AI1523" i="8" s="1"/>
  <c r="T1523" i="8"/>
  <c r="AJ1523" i="8" s="1"/>
  <c r="R1524" i="8"/>
  <c r="S1524" i="8"/>
  <c r="AI1524" i="8" s="1"/>
  <c r="T1524" i="8"/>
  <c r="AJ1524" i="8" s="1"/>
  <c r="R1525" i="8"/>
  <c r="S1525" i="8"/>
  <c r="AI1525" i="8" s="1"/>
  <c r="T1525" i="8"/>
  <c r="AJ1525" i="8" s="1"/>
  <c r="R1526" i="8"/>
  <c r="S1526" i="8"/>
  <c r="AI1526" i="8" s="1"/>
  <c r="T1526" i="8"/>
  <c r="AJ1526" i="8" s="1"/>
  <c r="R1527" i="8"/>
  <c r="S1527" i="8"/>
  <c r="AI1527" i="8" s="1"/>
  <c r="T1527" i="8"/>
  <c r="AJ1527" i="8" s="1"/>
  <c r="R1528" i="8"/>
  <c r="S1528" i="8"/>
  <c r="AI1528" i="8" s="1"/>
  <c r="T1528" i="8"/>
  <c r="AJ1528" i="8" s="1"/>
  <c r="R1529" i="8"/>
  <c r="S1529" i="8"/>
  <c r="AI1529" i="8" s="1"/>
  <c r="T1529" i="8"/>
  <c r="AJ1529" i="8" s="1"/>
  <c r="R1530" i="8"/>
  <c r="S1530" i="8"/>
  <c r="AI1530" i="8" s="1"/>
  <c r="T1530" i="8"/>
  <c r="AJ1530" i="8" s="1"/>
  <c r="R1531" i="8"/>
  <c r="S1531" i="8"/>
  <c r="AI1531" i="8" s="1"/>
  <c r="T1531" i="8"/>
  <c r="AJ1531" i="8" s="1"/>
  <c r="R1532" i="8"/>
  <c r="S1532" i="8"/>
  <c r="AI1532" i="8" s="1"/>
  <c r="T1532" i="8"/>
  <c r="AJ1532" i="8" s="1"/>
  <c r="R1533" i="8"/>
  <c r="S1533" i="8"/>
  <c r="T1533" i="8"/>
  <c r="AJ1533" i="8" s="1"/>
  <c r="R1534" i="8"/>
  <c r="S1534" i="8"/>
  <c r="AI1534" i="8" s="1"/>
  <c r="T1534" i="8"/>
  <c r="AJ1534" i="8" s="1"/>
  <c r="R1535" i="8"/>
  <c r="S1535" i="8"/>
  <c r="AI1535" i="8" s="1"/>
  <c r="T1535" i="8"/>
  <c r="AJ1535" i="8" s="1"/>
  <c r="R1536" i="8"/>
  <c r="S1536" i="8"/>
  <c r="AI1536" i="8" s="1"/>
  <c r="T1536" i="8"/>
  <c r="AJ1536" i="8" s="1"/>
  <c r="R1537" i="8"/>
  <c r="S1537" i="8"/>
  <c r="AI1537" i="8" s="1"/>
  <c r="T1537" i="8"/>
  <c r="AJ1537" i="8" s="1"/>
  <c r="R1538" i="8"/>
  <c r="S1538" i="8"/>
  <c r="AI1538" i="8" s="1"/>
  <c r="T1538" i="8"/>
  <c r="AJ1538" i="8" s="1"/>
  <c r="R1539" i="8"/>
  <c r="S1539" i="8"/>
  <c r="AI1539" i="8" s="1"/>
  <c r="T1539" i="8"/>
  <c r="AJ1539" i="8" s="1"/>
  <c r="R1540" i="8"/>
  <c r="S1540" i="8"/>
  <c r="AI1540" i="8" s="1"/>
  <c r="T1540" i="8"/>
  <c r="AJ1540" i="8" s="1"/>
  <c r="R1541" i="8"/>
  <c r="S1541" i="8"/>
  <c r="AI1541" i="8" s="1"/>
  <c r="T1541" i="8"/>
  <c r="AJ1541" i="8" s="1"/>
  <c r="R1542" i="8"/>
  <c r="S1542" i="8"/>
  <c r="T1542" i="8"/>
  <c r="AJ1542" i="8" s="1"/>
  <c r="R1543" i="8"/>
  <c r="S1543" i="8"/>
  <c r="T1543" i="8"/>
  <c r="AJ1543" i="8" s="1"/>
  <c r="R1544" i="8"/>
  <c r="S1544" i="8"/>
  <c r="AI1544" i="8" s="1"/>
  <c r="T1544" i="8"/>
  <c r="AJ1544" i="8" s="1"/>
  <c r="R1545" i="8"/>
  <c r="S1545" i="8"/>
  <c r="AI1545" i="8" s="1"/>
  <c r="T1545" i="8"/>
  <c r="AJ1545" i="8" s="1"/>
  <c r="R1546" i="8"/>
  <c r="S1546" i="8"/>
  <c r="AI1546" i="8" s="1"/>
  <c r="T1546" i="8"/>
  <c r="AJ1546" i="8" s="1"/>
  <c r="R1547" i="8"/>
  <c r="S1547" i="8"/>
  <c r="AI1547" i="8" s="1"/>
  <c r="T1547" i="8"/>
  <c r="AJ1547" i="8" s="1"/>
  <c r="R1548" i="8"/>
  <c r="S1548" i="8"/>
  <c r="AI1548" i="8" s="1"/>
  <c r="T1548" i="8"/>
  <c r="AJ1548" i="8" s="1"/>
  <c r="R1549" i="8"/>
  <c r="S1549" i="8"/>
  <c r="AI1549" i="8" s="1"/>
  <c r="T1549" i="8"/>
  <c r="AJ1549" i="8" s="1"/>
  <c r="R1550" i="8"/>
  <c r="S1550" i="8"/>
  <c r="AI1550" i="8" s="1"/>
  <c r="T1550" i="8"/>
  <c r="AJ1550" i="8" s="1"/>
  <c r="R1551" i="8"/>
  <c r="S1551" i="8"/>
  <c r="AI1551" i="8" s="1"/>
  <c r="T1551" i="8"/>
  <c r="AJ1551" i="8" s="1"/>
  <c r="R1552" i="8"/>
  <c r="S1552" i="8"/>
  <c r="AI1552" i="8" s="1"/>
  <c r="T1552" i="8"/>
  <c r="AJ1552" i="8" s="1"/>
  <c r="R1553" i="8"/>
  <c r="S1553" i="8"/>
  <c r="AI1553" i="8" s="1"/>
  <c r="T1553" i="8"/>
  <c r="AJ1553" i="8" s="1"/>
  <c r="R1554" i="8"/>
  <c r="S1554" i="8"/>
  <c r="AI1554" i="8" s="1"/>
  <c r="T1554" i="8"/>
  <c r="AJ1554" i="8" s="1"/>
  <c r="R1555" i="8"/>
  <c r="S1555" i="8"/>
  <c r="AI1555" i="8" s="1"/>
  <c r="T1555" i="8"/>
  <c r="AJ1555" i="8" s="1"/>
  <c r="R1556" i="8"/>
  <c r="S1556" i="8"/>
  <c r="AI1556" i="8" s="1"/>
  <c r="T1556" i="8"/>
  <c r="AJ1556" i="8" s="1"/>
  <c r="R1557" i="8"/>
  <c r="S1557" i="8"/>
  <c r="AI1557" i="8" s="1"/>
  <c r="T1557" i="8"/>
  <c r="AJ1557" i="8" s="1"/>
  <c r="R1558" i="8"/>
  <c r="S1558" i="8"/>
  <c r="AI1558" i="8" s="1"/>
  <c r="T1558" i="8"/>
  <c r="AJ1558" i="8" s="1"/>
  <c r="R1559" i="8"/>
  <c r="S1559" i="8"/>
  <c r="AI1559" i="8" s="1"/>
  <c r="T1559" i="8"/>
  <c r="AJ1559" i="8" s="1"/>
  <c r="R1560" i="8"/>
  <c r="S1560" i="8"/>
  <c r="AI1560" i="8" s="1"/>
  <c r="T1560" i="8"/>
  <c r="AJ1560" i="8" s="1"/>
  <c r="R1561" i="8"/>
  <c r="S1561" i="8"/>
  <c r="AI1561" i="8" s="1"/>
  <c r="T1561" i="8"/>
  <c r="AJ1561" i="8" s="1"/>
  <c r="R1562" i="8"/>
  <c r="S1562" i="8"/>
  <c r="T1562" i="8"/>
  <c r="AJ1562" i="8" s="1"/>
  <c r="R1563" i="8"/>
  <c r="S1563" i="8"/>
  <c r="AI1563" i="8" s="1"/>
  <c r="T1563" i="8"/>
  <c r="AJ1563" i="8" s="1"/>
  <c r="R1564" i="8"/>
  <c r="S1564" i="8"/>
  <c r="AI1564" i="8" s="1"/>
  <c r="T1564" i="8"/>
  <c r="AJ1564" i="8" s="1"/>
  <c r="R1565" i="8"/>
  <c r="S1565" i="8"/>
  <c r="AI1565" i="8" s="1"/>
  <c r="T1565" i="8"/>
  <c r="AJ1565" i="8" s="1"/>
  <c r="R1566" i="8"/>
  <c r="S1566" i="8"/>
  <c r="AI1566" i="8" s="1"/>
  <c r="T1566" i="8"/>
  <c r="AJ1566" i="8" s="1"/>
  <c r="R1567" i="8"/>
  <c r="S1567" i="8"/>
  <c r="AI1567" i="8" s="1"/>
  <c r="T1567" i="8"/>
  <c r="AJ1567" i="8" s="1"/>
  <c r="R1568" i="8"/>
  <c r="S1568" i="8"/>
  <c r="AI1568" i="8" s="1"/>
  <c r="T1568" i="8"/>
  <c r="AJ1568" i="8" s="1"/>
  <c r="R1569" i="8"/>
  <c r="S1569" i="8"/>
  <c r="AI1569" i="8" s="1"/>
  <c r="T1569" i="8"/>
  <c r="AJ1569" i="8" s="1"/>
  <c r="R1570" i="8"/>
  <c r="S1570" i="8"/>
  <c r="AI1570" i="8" s="1"/>
  <c r="T1570" i="8"/>
  <c r="AJ1570" i="8" s="1"/>
  <c r="R1571" i="8"/>
  <c r="S1571" i="8"/>
  <c r="AI1571" i="8" s="1"/>
  <c r="T1571" i="8"/>
  <c r="AJ1571" i="8" s="1"/>
  <c r="R1572" i="8"/>
  <c r="S1572" i="8"/>
  <c r="AI1572" i="8" s="1"/>
  <c r="T1572" i="8"/>
  <c r="AJ1572" i="8" s="1"/>
  <c r="R1573" i="8"/>
  <c r="S1573" i="8"/>
  <c r="AI1573" i="8" s="1"/>
  <c r="T1573" i="8"/>
  <c r="AJ1573" i="8" s="1"/>
  <c r="R1574" i="8"/>
  <c r="S1574" i="8"/>
  <c r="T1574" i="8"/>
  <c r="AJ1574" i="8" s="1"/>
  <c r="R1575" i="8"/>
  <c r="S1575" i="8"/>
  <c r="AI1575" i="8" s="1"/>
  <c r="T1575" i="8"/>
  <c r="AJ1575" i="8" s="1"/>
  <c r="R1576" i="8"/>
  <c r="S1576" i="8"/>
  <c r="AI1576" i="8" s="1"/>
  <c r="T1576" i="8"/>
  <c r="AJ1576" i="8" s="1"/>
  <c r="R1577" i="8"/>
  <c r="S1577" i="8"/>
  <c r="AI1577" i="8" s="1"/>
  <c r="T1577" i="8"/>
  <c r="AJ1577" i="8" s="1"/>
  <c r="R1578" i="8"/>
  <c r="S1578" i="8"/>
  <c r="AI1578" i="8" s="1"/>
  <c r="T1578" i="8"/>
  <c r="AJ1578" i="8" s="1"/>
  <c r="R1579" i="8"/>
  <c r="S1579" i="8"/>
  <c r="AI1579" i="8" s="1"/>
  <c r="T1579" i="8"/>
  <c r="AJ1579" i="8" s="1"/>
  <c r="R1580" i="8"/>
  <c r="S1580" i="8"/>
  <c r="AI1580" i="8" s="1"/>
  <c r="T1580" i="8"/>
  <c r="AJ1580" i="8" s="1"/>
  <c r="R1581" i="8"/>
  <c r="S1581" i="8"/>
  <c r="AI1581" i="8" s="1"/>
  <c r="T1581" i="8"/>
  <c r="AJ1581" i="8" s="1"/>
  <c r="R1582" i="8"/>
  <c r="S1582" i="8"/>
  <c r="AI1582" i="8" s="1"/>
  <c r="T1582" i="8"/>
  <c r="AJ1582" i="8" s="1"/>
  <c r="R1583" i="8"/>
  <c r="S1583" i="8"/>
  <c r="AI1583" i="8" s="1"/>
  <c r="T1583" i="8"/>
  <c r="R1584" i="8"/>
  <c r="S1584" i="8"/>
  <c r="AI1584" i="8" s="1"/>
  <c r="T1584" i="8"/>
  <c r="R1585" i="8"/>
  <c r="S1585" i="8"/>
  <c r="AI1585" i="8" s="1"/>
  <c r="T1585" i="8"/>
  <c r="AJ1585" i="8" s="1"/>
  <c r="R1586" i="8"/>
  <c r="S1586" i="8"/>
  <c r="AI1586" i="8" s="1"/>
  <c r="T1586" i="8"/>
  <c r="AJ1586" i="8" s="1"/>
  <c r="R1587" i="8"/>
  <c r="S1587" i="8"/>
  <c r="AI1587" i="8" s="1"/>
  <c r="T1587" i="8"/>
  <c r="AJ1587" i="8" s="1"/>
  <c r="R1588" i="8"/>
  <c r="S1588" i="8"/>
  <c r="AI1588" i="8" s="1"/>
  <c r="T1588" i="8"/>
  <c r="AJ1588" i="8" s="1"/>
  <c r="R1589" i="8"/>
  <c r="S1589" i="8"/>
  <c r="AI1589" i="8" s="1"/>
  <c r="T1589" i="8"/>
  <c r="AJ1589" i="8" s="1"/>
  <c r="R1590" i="8"/>
  <c r="S1590" i="8"/>
  <c r="AI1590" i="8" s="1"/>
  <c r="T1590" i="8"/>
  <c r="AJ1590" i="8" s="1"/>
  <c r="R1591" i="8"/>
  <c r="S1591" i="8"/>
  <c r="AI1591" i="8" s="1"/>
  <c r="T1591" i="8"/>
  <c r="AJ1591" i="8" s="1"/>
  <c r="R1592" i="8"/>
  <c r="S1592" i="8"/>
  <c r="AI1592" i="8" s="1"/>
  <c r="T1592" i="8"/>
  <c r="AJ1592" i="8" s="1"/>
  <c r="R1593" i="8"/>
  <c r="S1593" i="8"/>
  <c r="AI1593" i="8" s="1"/>
  <c r="T1593" i="8"/>
  <c r="AJ1593" i="8" s="1"/>
  <c r="R1594" i="8"/>
  <c r="S1594" i="8"/>
  <c r="AI1594" i="8" s="1"/>
  <c r="T1594" i="8"/>
  <c r="AJ1594" i="8" s="1"/>
  <c r="R1595" i="8"/>
  <c r="S1595" i="8"/>
  <c r="AI1595" i="8" s="1"/>
  <c r="T1595" i="8"/>
  <c r="AJ1595" i="8" s="1"/>
  <c r="R1596" i="8"/>
  <c r="S1596" i="8"/>
  <c r="AI1596" i="8" s="1"/>
  <c r="T1596" i="8"/>
  <c r="AJ1596" i="8" s="1"/>
  <c r="R1597" i="8"/>
  <c r="S1597" i="8"/>
  <c r="AI1597" i="8" s="1"/>
  <c r="T1597" i="8"/>
  <c r="AJ1597" i="8" s="1"/>
  <c r="R1598" i="8"/>
  <c r="S1598" i="8"/>
  <c r="AI1598" i="8" s="1"/>
  <c r="T1598" i="8"/>
  <c r="AJ1598" i="8" s="1"/>
  <c r="R1599" i="8"/>
  <c r="S1599" i="8"/>
  <c r="AI1599" i="8" s="1"/>
  <c r="T1599" i="8"/>
  <c r="AJ1599" i="8" s="1"/>
  <c r="R1600" i="8"/>
  <c r="S1600" i="8"/>
  <c r="AI1600" i="8" s="1"/>
  <c r="T1600" i="8"/>
  <c r="AJ1600" i="8" s="1"/>
  <c r="R1601" i="8"/>
  <c r="S1601" i="8"/>
  <c r="AI1601" i="8" s="1"/>
  <c r="T1601" i="8"/>
  <c r="AJ1601" i="8" s="1"/>
  <c r="R1602" i="8"/>
  <c r="S1602" i="8"/>
  <c r="AI1602" i="8" s="1"/>
  <c r="T1602" i="8"/>
  <c r="AJ1602" i="8" s="1"/>
  <c r="R1603" i="8"/>
  <c r="S1603" i="8"/>
  <c r="AI1603" i="8" s="1"/>
  <c r="T1603" i="8"/>
  <c r="AJ1603" i="8" s="1"/>
  <c r="R1604" i="8"/>
  <c r="S1604" i="8"/>
  <c r="AI1604" i="8" s="1"/>
  <c r="T1604" i="8"/>
  <c r="AJ1604" i="8" s="1"/>
  <c r="R1605" i="8"/>
  <c r="S1605" i="8"/>
  <c r="AI1605" i="8" s="1"/>
  <c r="T1605" i="8"/>
  <c r="AJ1605" i="8" s="1"/>
  <c r="R1606" i="8"/>
  <c r="S1606" i="8"/>
  <c r="T1606" i="8"/>
  <c r="AJ1606" i="8" s="1"/>
  <c r="R1607" i="8"/>
  <c r="S1607" i="8"/>
  <c r="AI1607" i="8" s="1"/>
  <c r="T1607" i="8"/>
  <c r="AJ1607" i="8" s="1"/>
  <c r="R1608" i="8"/>
  <c r="S1608" i="8"/>
  <c r="AI1608" i="8" s="1"/>
  <c r="T1608" i="8"/>
  <c r="AJ1608" i="8" s="1"/>
  <c r="R1609" i="8"/>
  <c r="S1609" i="8"/>
  <c r="AI1609" i="8" s="1"/>
  <c r="T1609" i="8"/>
  <c r="AJ1609" i="8" s="1"/>
  <c r="R1610" i="8"/>
  <c r="S1610" i="8"/>
  <c r="AI1610" i="8" s="1"/>
  <c r="T1610" i="8"/>
  <c r="AJ1610" i="8" s="1"/>
  <c r="R1611" i="8"/>
  <c r="S1611" i="8"/>
  <c r="AI1611" i="8" s="1"/>
  <c r="T1611" i="8"/>
  <c r="AJ1611" i="8" s="1"/>
  <c r="R1612" i="8"/>
  <c r="S1612" i="8"/>
  <c r="AI1612" i="8" s="1"/>
  <c r="T1612" i="8"/>
  <c r="AJ1612" i="8" s="1"/>
  <c r="R1613" i="8"/>
  <c r="S1613" i="8"/>
  <c r="AI1613" i="8" s="1"/>
  <c r="T1613" i="8"/>
  <c r="AJ1613" i="8" s="1"/>
  <c r="R1614" i="8"/>
  <c r="S1614" i="8"/>
  <c r="AI1614" i="8" s="1"/>
  <c r="T1614" i="8"/>
  <c r="AJ1614" i="8" s="1"/>
  <c r="R1615" i="8"/>
  <c r="S1615" i="8"/>
  <c r="AI1615" i="8" s="1"/>
  <c r="T1615" i="8"/>
  <c r="AJ1615" i="8" s="1"/>
  <c r="R1616" i="8"/>
  <c r="S1616" i="8"/>
  <c r="T1616" i="8"/>
  <c r="AJ1616" i="8" s="1"/>
  <c r="R1617" i="8"/>
  <c r="S1617" i="8"/>
  <c r="AI1617" i="8" s="1"/>
  <c r="T1617" i="8"/>
  <c r="AJ1617" i="8" s="1"/>
  <c r="R1618" i="8"/>
  <c r="S1618" i="8"/>
  <c r="AI1618" i="8" s="1"/>
  <c r="T1618" i="8"/>
  <c r="AJ1618" i="8" s="1"/>
  <c r="R1619" i="8"/>
  <c r="S1619" i="8"/>
  <c r="AI1619" i="8" s="1"/>
  <c r="T1619" i="8"/>
  <c r="AJ1619" i="8" s="1"/>
  <c r="R1620" i="8"/>
  <c r="S1620" i="8"/>
  <c r="AI1620" i="8" s="1"/>
  <c r="T1620" i="8"/>
  <c r="AJ1620" i="8" s="1"/>
  <c r="R1621" i="8"/>
  <c r="S1621" i="8"/>
  <c r="AI1621" i="8" s="1"/>
  <c r="T1621" i="8"/>
  <c r="AJ1621" i="8" s="1"/>
  <c r="R1622" i="8"/>
  <c r="S1622" i="8"/>
  <c r="AI1622" i="8" s="1"/>
  <c r="T1622" i="8"/>
  <c r="AJ1622" i="8" s="1"/>
  <c r="R1623" i="8"/>
  <c r="S1623" i="8"/>
  <c r="AI1623" i="8" s="1"/>
  <c r="T1623" i="8"/>
  <c r="AJ1623" i="8" s="1"/>
  <c r="R1624" i="8"/>
  <c r="S1624" i="8"/>
  <c r="AI1624" i="8" s="1"/>
  <c r="T1624" i="8"/>
  <c r="AJ1624" i="8" s="1"/>
  <c r="R1625" i="8"/>
  <c r="S1625" i="8"/>
  <c r="AI1625" i="8" s="1"/>
  <c r="T1625" i="8"/>
  <c r="AJ1625" i="8" s="1"/>
  <c r="R1626" i="8"/>
  <c r="S1626" i="8"/>
  <c r="AI1626" i="8" s="1"/>
  <c r="T1626" i="8"/>
  <c r="AJ1626" i="8" s="1"/>
  <c r="R1627" i="8"/>
  <c r="S1627" i="8"/>
  <c r="AI1627" i="8" s="1"/>
  <c r="T1627" i="8"/>
  <c r="AJ1627" i="8" s="1"/>
  <c r="R1628" i="8"/>
  <c r="S1628" i="8"/>
  <c r="AI1628" i="8" s="1"/>
  <c r="T1628" i="8"/>
  <c r="AJ1628" i="8" s="1"/>
  <c r="R1629" i="8"/>
  <c r="S1629" i="8"/>
  <c r="AI1629" i="8" s="1"/>
  <c r="T1629" i="8"/>
  <c r="AJ1629" i="8" s="1"/>
  <c r="R1630" i="8"/>
  <c r="S1630" i="8"/>
  <c r="AI1630" i="8" s="1"/>
  <c r="T1630" i="8"/>
  <c r="AJ1630" i="8" s="1"/>
  <c r="R1631" i="8"/>
  <c r="S1631" i="8"/>
  <c r="AI1631" i="8" s="1"/>
  <c r="T1631" i="8"/>
  <c r="AJ1631" i="8" s="1"/>
  <c r="R1632" i="8"/>
  <c r="S1632" i="8"/>
  <c r="AI1632" i="8" s="1"/>
  <c r="T1632" i="8"/>
  <c r="AJ1632" i="8" s="1"/>
  <c r="R1633" i="8"/>
  <c r="S1633" i="8"/>
  <c r="AI1633" i="8" s="1"/>
  <c r="T1633" i="8"/>
  <c r="AJ1633" i="8" s="1"/>
  <c r="R1634" i="8"/>
  <c r="S1634" i="8"/>
  <c r="AI1634" i="8" s="1"/>
  <c r="T1634" i="8"/>
  <c r="AJ1634" i="8" s="1"/>
  <c r="R1635" i="8"/>
  <c r="S1635" i="8"/>
  <c r="AI1635" i="8" s="1"/>
  <c r="T1635" i="8"/>
  <c r="AJ1635" i="8" s="1"/>
  <c r="R1636" i="8"/>
  <c r="S1636" i="8"/>
  <c r="AI1636" i="8" s="1"/>
  <c r="T1636" i="8"/>
  <c r="AJ1636" i="8" s="1"/>
  <c r="R1637" i="8"/>
  <c r="S1637" i="8"/>
  <c r="AI1637" i="8" s="1"/>
  <c r="T1637" i="8"/>
  <c r="AJ1637" i="8" s="1"/>
  <c r="R1638" i="8"/>
  <c r="S1638" i="8"/>
  <c r="AI1638" i="8" s="1"/>
  <c r="T1638" i="8"/>
  <c r="AJ1638" i="8" s="1"/>
  <c r="R1639" i="8"/>
  <c r="S1639" i="8"/>
  <c r="AI1639" i="8" s="1"/>
  <c r="T1639" i="8"/>
  <c r="AJ1639" i="8" s="1"/>
  <c r="R1640" i="8"/>
  <c r="S1640" i="8"/>
  <c r="AI1640" i="8" s="1"/>
  <c r="T1640" i="8"/>
  <c r="AJ1640" i="8" s="1"/>
  <c r="R1641" i="8"/>
  <c r="S1641" i="8"/>
  <c r="AI1641" i="8" s="1"/>
  <c r="T1641" i="8"/>
  <c r="AJ1641" i="8" s="1"/>
  <c r="R1642" i="8"/>
  <c r="S1642" i="8"/>
  <c r="AI1642" i="8" s="1"/>
  <c r="T1642" i="8"/>
  <c r="AJ1642" i="8" s="1"/>
  <c r="R1643" i="8"/>
  <c r="S1643" i="8"/>
  <c r="AI1643" i="8" s="1"/>
  <c r="T1643" i="8"/>
  <c r="AJ1643" i="8" s="1"/>
  <c r="R1644" i="8"/>
  <c r="S1644" i="8"/>
  <c r="AI1644" i="8" s="1"/>
  <c r="T1644" i="8"/>
  <c r="AJ1644" i="8" s="1"/>
  <c r="R1645" i="8"/>
  <c r="S1645" i="8"/>
  <c r="AI1645" i="8" s="1"/>
  <c r="T1645" i="8"/>
  <c r="AJ1645" i="8" s="1"/>
  <c r="R1646" i="8"/>
  <c r="S1646" i="8"/>
  <c r="AI1646" i="8" s="1"/>
  <c r="T1646" i="8"/>
  <c r="AJ1646" i="8" s="1"/>
  <c r="R1647" i="8"/>
  <c r="S1647" i="8"/>
  <c r="AI1647" i="8" s="1"/>
  <c r="T1647" i="8"/>
  <c r="R1648" i="8"/>
  <c r="S1648" i="8"/>
  <c r="AI1648" i="8" s="1"/>
  <c r="T1648" i="8"/>
  <c r="AJ1648" i="8" s="1"/>
  <c r="R1649" i="8"/>
  <c r="S1649" i="8"/>
  <c r="AI1649" i="8" s="1"/>
  <c r="T1649" i="8"/>
  <c r="AJ1649" i="8" s="1"/>
  <c r="R1650" i="8"/>
  <c r="S1650" i="8"/>
  <c r="AI1650" i="8" s="1"/>
  <c r="T1650" i="8"/>
  <c r="AJ1650" i="8" s="1"/>
  <c r="R1651" i="8"/>
  <c r="S1651" i="8"/>
  <c r="AI1651" i="8" s="1"/>
  <c r="T1651" i="8"/>
  <c r="AJ1651" i="8" s="1"/>
  <c r="R1652" i="8"/>
  <c r="S1652" i="8"/>
  <c r="AI1652" i="8" s="1"/>
  <c r="T1652" i="8"/>
  <c r="AJ1652" i="8" s="1"/>
  <c r="R1653" i="8"/>
  <c r="S1653" i="8"/>
  <c r="AI1653" i="8" s="1"/>
  <c r="T1653" i="8"/>
  <c r="AJ1653" i="8" s="1"/>
  <c r="R1654" i="8"/>
  <c r="S1654" i="8"/>
  <c r="AI1654" i="8" s="1"/>
  <c r="T1654" i="8"/>
  <c r="AJ1654" i="8" s="1"/>
  <c r="R1655" i="8"/>
  <c r="S1655" i="8"/>
  <c r="AI1655" i="8" s="1"/>
  <c r="T1655" i="8"/>
  <c r="AJ1655" i="8" s="1"/>
  <c r="R1656" i="8"/>
  <c r="S1656" i="8"/>
  <c r="AI1656" i="8" s="1"/>
  <c r="T1656" i="8"/>
  <c r="AJ1656" i="8" s="1"/>
  <c r="R1657" i="8"/>
  <c r="S1657" i="8"/>
  <c r="AI1657" i="8" s="1"/>
  <c r="T1657" i="8"/>
  <c r="AJ1657" i="8" s="1"/>
  <c r="R1658" i="8"/>
  <c r="S1658" i="8"/>
  <c r="AI1658" i="8" s="1"/>
  <c r="T1658" i="8"/>
  <c r="AJ1658" i="8" s="1"/>
  <c r="R1659" i="8"/>
  <c r="S1659" i="8"/>
  <c r="AI1659" i="8" s="1"/>
  <c r="T1659" i="8"/>
  <c r="AJ1659" i="8" s="1"/>
  <c r="R1660" i="8"/>
  <c r="S1660" i="8"/>
  <c r="AI1660" i="8" s="1"/>
  <c r="T1660" i="8"/>
  <c r="AJ1660" i="8" s="1"/>
  <c r="R1661" i="8"/>
  <c r="S1661" i="8"/>
  <c r="AI1661" i="8" s="1"/>
  <c r="T1661" i="8"/>
  <c r="AJ1661" i="8" s="1"/>
  <c r="R1662" i="8"/>
  <c r="S1662" i="8"/>
  <c r="AI1662" i="8" s="1"/>
  <c r="T1662" i="8"/>
  <c r="AJ1662" i="8" s="1"/>
  <c r="R1663" i="8"/>
  <c r="S1663" i="8"/>
  <c r="AI1663" i="8" s="1"/>
  <c r="T1663" i="8"/>
  <c r="AJ1663" i="8" s="1"/>
  <c r="R1664" i="8"/>
  <c r="S1664" i="8"/>
  <c r="AI1664" i="8" s="1"/>
  <c r="T1664" i="8"/>
  <c r="AJ1664" i="8" s="1"/>
  <c r="R1665" i="8"/>
  <c r="S1665" i="8"/>
  <c r="AI1665" i="8" s="1"/>
  <c r="T1665" i="8"/>
  <c r="AJ1665" i="8" s="1"/>
  <c r="R1666" i="8"/>
  <c r="S1666" i="8"/>
  <c r="T1666" i="8"/>
  <c r="R1667" i="8"/>
  <c r="S1667" i="8"/>
  <c r="AI1667" i="8" s="1"/>
  <c r="T1667" i="8"/>
  <c r="AJ1667" i="8" s="1"/>
  <c r="R1668" i="8"/>
  <c r="S1668" i="8"/>
  <c r="AI1668" i="8" s="1"/>
  <c r="T1668" i="8"/>
  <c r="AJ1668" i="8" s="1"/>
  <c r="R1669" i="8"/>
  <c r="S1669" i="8"/>
  <c r="AI1669" i="8" s="1"/>
  <c r="T1669" i="8"/>
  <c r="AJ1669" i="8" s="1"/>
  <c r="R1670" i="8"/>
  <c r="S1670" i="8"/>
  <c r="AI1670" i="8" s="1"/>
  <c r="T1670" i="8"/>
  <c r="AJ1670" i="8" s="1"/>
  <c r="R1671" i="8"/>
  <c r="S1671" i="8"/>
  <c r="AI1671" i="8" s="1"/>
  <c r="T1671" i="8"/>
  <c r="AJ1671" i="8" s="1"/>
  <c r="R1672" i="8"/>
  <c r="S1672" i="8"/>
  <c r="AI1672" i="8" s="1"/>
  <c r="T1672" i="8"/>
  <c r="AJ1672" i="8" s="1"/>
  <c r="R1673" i="8"/>
  <c r="S1673" i="8"/>
  <c r="AI1673" i="8" s="1"/>
  <c r="T1673" i="8"/>
  <c r="AJ1673" i="8" s="1"/>
  <c r="R1674" i="8"/>
  <c r="S1674" i="8"/>
  <c r="AI1674" i="8" s="1"/>
  <c r="T1674" i="8"/>
  <c r="AJ1674" i="8" s="1"/>
  <c r="R1675" i="8"/>
  <c r="S1675" i="8"/>
  <c r="AI1675" i="8" s="1"/>
  <c r="T1675" i="8"/>
  <c r="AJ1675" i="8" s="1"/>
  <c r="R1676" i="8"/>
  <c r="S1676" i="8"/>
  <c r="AI1676" i="8" s="1"/>
  <c r="T1676" i="8"/>
  <c r="AJ1676" i="8" s="1"/>
  <c r="R1677" i="8"/>
  <c r="S1677" i="8"/>
  <c r="AI1677" i="8" s="1"/>
  <c r="T1677" i="8"/>
  <c r="AJ1677" i="8" s="1"/>
  <c r="R1678" i="8"/>
  <c r="S1678" i="8"/>
  <c r="AI1678" i="8" s="1"/>
  <c r="T1678" i="8"/>
  <c r="AJ1678" i="8" s="1"/>
  <c r="R1679" i="8"/>
  <c r="S1679" i="8"/>
  <c r="AI1679" i="8" s="1"/>
  <c r="T1679" i="8"/>
  <c r="AJ1679" i="8" s="1"/>
  <c r="R1680" i="8"/>
  <c r="S1680" i="8"/>
  <c r="AI1680" i="8" s="1"/>
  <c r="T1680" i="8"/>
  <c r="AJ1680" i="8" s="1"/>
  <c r="R1681" i="8"/>
  <c r="S1681" i="8"/>
  <c r="AI1681" i="8" s="1"/>
  <c r="T1681" i="8"/>
  <c r="AJ1681" i="8" s="1"/>
  <c r="R1682" i="8"/>
  <c r="S1682" i="8"/>
  <c r="AI1682" i="8" s="1"/>
  <c r="T1682" i="8"/>
  <c r="AJ1682" i="8" s="1"/>
  <c r="R1683" i="8"/>
  <c r="S1683" i="8"/>
  <c r="AI1683" i="8" s="1"/>
  <c r="T1683" i="8"/>
  <c r="AJ1683" i="8" s="1"/>
  <c r="R1684" i="8"/>
  <c r="S1684" i="8"/>
  <c r="AI1684" i="8" s="1"/>
  <c r="T1684" i="8"/>
  <c r="AJ1684" i="8" s="1"/>
  <c r="R1685" i="8"/>
  <c r="S1685" i="8"/>
  <c r="AI1685" i="8" s="1"/>
  <c r="T1685" i="8"/>
  <c r="AJ1685" i="8" s="1"/>
  <c r="R1686" i="8"/>
  <c r="S1686" i="8"/>
  <c r="AI1686" i="8" s="1"/>
  <c r="T1686" i="8"/>
  <c r="AJ1686" i="8" s="1"/>
  <c r="R1687" i="8"/>
  <c r="S1687" i="8"/>
  <c r="AI1687" i="8" s="1"/>
  <c r="T1687" i="8"/>
  <c r="AJ1687" i="8" s="1"/>
  <c r="R1688" i="8"/>
  <c r="S1688" i="8"/>
  <c r="AI1688" i="8" s="1"/>
  <c r="T1688" i="8"/>
  <c r="AJ1688" i="8" s="1"/>
  <c r="R1689" i="8"/>
  <c r="S1689" i="8"/>
  <c r="AI1689" i="8" s="1"/>
  <c r="T1689" i="8"/>
  <c r="AJ1689" i="8" s="1"/>
  <c r="R1690" i="8"/>
  <c r="S1690" i="8"/>
  <c r="AI1690" i="8" s="1"/>
  <c r="T1690" i="8"/>
  <c r="AJ1690" i="8" s="1"/>
  <c r="R1691" i="8"/>
  <c r="S1691" i="8"/>
  <c r="AI1691" i="8" s="1"/>
  <c r="T1691" i="8"/>
  <c r="AJ1691" i="8" s="1"/>
  <c r="R1692" i="8"/>
  <c r="S1692" i="8"/>
  <c r="AI1692" i="8" s="1"/>
  <c r="T1692" i="8"/>
  <c r="AJ1692" i="8" s="1"/>
  <c r="R1693" i="8"/>
  <c r="S1693" i="8"/>
  <c r="AI1693" i="8" s="1"/>
  <c r="T1693" i="8"/>
  <c r="AJ1693" i="8" s="1"/>
  <c r="R1694" i="8"/>
  <c r="S1694" i="8"/>
  <c r="T1694" i="8"/>
  <c r="AJ1694" i="8" s="1"/>
  <c r="R1695" i="8"/>
  <c r="S1695" i="8"/>
  <c r="AI1695" i="8" s="1"/>
  <c r="T1695" i="8"/>
  <c r="AJ1695" i="8" s="1"/>
  <c r="R1696" i="8"/>
  <c r="S1696" i="8"/>
  <c r="AI1696" i="8" s="1"/>
  <c r="T1696" i="8"/>
  <c r="AJ1696" i="8" s="1"/>
  <c r="R1697" i="8"/>
  <c r="S1697" i="8"/>
  <c r="AI1697" i="8" s="1"/>
  <c r="T1697" i="8"/>
  <c r="AJ1697" i="8" s="1"/>
  <c r="R1698" i="8"/>
  <c r="S1698" i="8"/>
  <c r="AI1698" i="8" s="1"/>
  <c r="T1698" i="8"/>
  <c r="AJ1698" i="8" s="1"/>
  <c r="R1699" i="8"/>
  <c r="S1699" i="8"/>
  <c r="AI1699" i="8" s="1"/>
  <c r="T1699" i="8"/>
  <c r="AJ1699" i="8" s="1"/>
  <c r="R1700" i="8"/>
  <c r="S1700" i="8"/>
  <c r="AI1700" i="8" s="1"/>
  <c r="T1700" i="8"/>
  <c r="AJ1700" i="8" s="1"/>
  <c r="R1701" i="8"/>
  <c r="S1701" i="8"/>
  <c r="AI1701" i="8" s="1"/>
  <c r="T1701" i="8"/>
  <c r="AJ1701" i="8" s="1"/>
  <c r="R1702" i="8"/>
  <c r="S1702" i="8"/>
  <c r="T1702" i="8"/>
  <c r="R1703" i="8"/>
  <c r="S1703" i="8"/>
  <c r="AI1703" i="8" s="1"/>
  <c r="T1703" i="8"/>
  <c r="AJ1703" i="8" s="1"/>
  <c r="R1704" i="8"/>
  <c r="S1704" i="8"/>
  <c r="AI1704" i="8" s="1"/>
  <c r="T1704" i="8"/>
  <c r="AJ1704" i="8" s="1"/>
  <c r="R1705" i="8"/>
  <c r="S1705" i="8"/>
  <c r="AI1705" i="8" s="1"/>
  <c r="T1705" i="8"/>
  <c r="AJ1705" i="8" s="1"/>
  <c r="R1706" i="8"/>
  <c r="S1706" i="8"/>
  <c r="AI1706" i="8" s="1"/>
  <c r="T1706" i="8"/>
  <c r="AJ1706" i="8" s="1"/>
  <c r="R1707" i="8"/>
  <c r="S1707" i="8"/>
  <c r="AI1707" i="8" s="1"/>
  <c r="T1707" i="8"/>
  <c r="AJ1707" i="8" s="1"/>
  <c r="R1708" i="8"/>
  <c r="S1708" i="8"/>
  <c r="AI1708" i="8" s="1"/>
  <c r="T1708" i="8"/>
  <c r="AJ1708" i="8" s="1"/>
  <c r="R1709" i="8"/>
  <c r="S1709" i="8"/>
  <c r="AI1709" i="8" s="1"/>
  <c r="T1709" i="8"/>
  <c r="AJ1709" i="8" s="1"/>
  <c r="R1710" i="8"/>
  <c r="S1710" i="8"/>
  <c r="AI1710" i="8" s="1"/>
  <c r="T1710" i="8"/>
  <c r="AJ1710" i="8" s="1"/>
  <c r="R1711" i="8"/>
  <c r="S1711" i="8"/>
  <c r="AI1711" i="8" s="1"/>
  <c r="T1711" i="8"/>
  <c r="AJ1711" i="8" s="1"/>
  <c r="R1712" i="8"/>
  <c r="S1712" i="8"/>
  <c r="AI1712" i="8" s="1"/>
  <c r="T1712" i="8"/>
  <c r="AJ1712" i="8" s="1"/>
  <c r="R1713" i="8"/>
  <c r="S1713" i="8"/>
  <c r="AI1713" i="8" s="1"/>
  <c r="T1713" i="8"/>
  <c r="AJ1713" i="8" s="1"/>
  <c r="R1714" i="8"/>
  <c r="S1714" i="8"/>
  <c r="AI1714" i="8" s="1"/>
  <c r="T1714" i="8"/>
  <c r="AJ1714" i="8" s="1"/>
  <c r="R1715" i="8"/>
  <c r="S1715" i="8"/>
  <c r="AI1715" i="8" s="1"/>
  <c r="T1715" i="8"/>
  <c r="AJ1715" i="8" s="1"/>
  <c r="R1716" i="8"/>
  <c r="S1716" i="8"/>
  <c r="AI1716" i="8" s="1"/>
  <c r="T1716" i="8"/>
  <c r="AJ1716" i="8" s="1"/>
  <c r="R1717" i="8"/>
  <c r="S1717" i="8"/>
  <c r="AI1717" i="8" s="1"/>
  <c r="T1717" i="8"/>
  <c r="AJ1717" i="8" s="1"/>
  <c r="R1718" i="8"/>
  <c r="S1718" i="8"/>
  <c r="AI1718" i="8" s="1"/>
  <c r="T1718" i="8"/>
  <c r="AJ1718" i="8" s="1"/>
  <c r="R1719" i="8"/>
  <c r="S1719" i="8"/>
  <c r="AI1719" i="8" s="1"/>
  <c r="T1719" i="8"/>
  <c r="AJ1719" i="8" s="1"/>
  <c r="R1720" i="8"/>
  <c r="S1720" i="8"/>
  <c r="AI1720" i="8" s="1"/>
  <c r="T1720" i="8"/>
  <c r="AJ1720" i="8" s="1"/>
  <c r="R1721" i="8"/>
  <c r="S1721" i="8"/>
  <c r="AI1721" i="8" s="1"/>
  <c r="T1721" i="8"/>
  <c r="AJ1721" i="8" s="1"/>
  <c r="R1722" i="8"/>
  <c r="S1722" i="8"/>
  <c r="T1722" i="8"/>
  <c r="AJ1722" i="8" s="1"/>
  <c r="R1723" i="8"/>
  <c r="S1723" i="8"/>
  <c r="AI1723" i="8" s="1"/>
  <c r="T1723" i="8"/>
  <c r="AJ1723" i="8" s="1"/>
  <c r="R1724" i="8"/>
  <c r="S1724" i="8"/>
  <c r="AI1724" i="8" s="1"/>
  <c r="T1724" i="8"/>
  <c r="AJ1724" i="8" s="1"/>
  <c r="R1725" i="8"/>
  <c r="S1725" i="8"/>
  <c r="AI1725" i="8" s="1"/>
  <c r="T1725" i="8"/>
  <c r="AJ1725" i="8" s="1"/>
  <c r="R1726" i="8"/>
  <c r="S1726" i="8"/>
  <c r="AI1726" i="8" s="1"/>
  <c r="T1726" i="8"/>
  <c r="AJ1726" i="8" s="1"/>
  <c r="R1727" i="8"/>
  <c r="S1727" i="8"/>
  <c r="AI1727" i="8" s="1"/>
  <c r="T1727" i="8"/>
  <c r="AJ1727" i="8" s="1"/>
  <c r="R1728" i="8"/>
  <c r="S1728" i="8"/>
  <c r="AI1728" i="8" s="1"/>
  <c r="T1728" i="8"/>
  <c r="AJ1728" i="8" s="1"/>
  <c r="R1729" i="8"/>
  <c r="S1729" i="8"/>
  <c r="AI1729" i="8" s="1"/>
  <c r="T1729" i="8"/>
  <c r="AJ1729" i="8" s="1"/>
  <c r="R1730" i="8"/>
  <c r="S1730" i="8"/>
  <c r="AI1730" i="8" s="1"/>
  <c r="T1730" i="8"/>
  <c r="R1731" i="8"/>
  <c r="S1731" i="8"/>
  <c r="AI1731" i="8" s="1"/>
  <c r="T1731" i="8"/>
  <c r="AJ1731" i="8" s="1"/>
  <c r="R1732" i="8"/>
  <c r="S1732" i="8"/>
  <c r="AI1732" i="8" s="1"/>
  <c r="T1732" i="8"/>
  <c r="AJ1732" i="8" s="1"/>
  <c r="R1733" i="8"/>
  <c r="S1733" i="8"/>
  <c r="AI1733" i="8" s="1"/>
  <c r="T1733" i="8"/>
  <c r="AJ1733" i="8" s="1"/>
  <c r="R1734" i="8"/>
  <c r="S1734" i="8"/>
  <c r="AI1734" i="8" s="1"/>
  <c r="T1734" i="8"/>
  <c r="AJ1734" i="8" s="1"/>
  <c r="R1735" i="8"/>
  <c r="S1735" i="8"/>
  <c r="AI1735" i="8" s="1"/>
  <c r="T1735" i="8"/>
  <c r="AJ1735" i="8" s="1"/>
  <c r="R1736" i="8"/>
  <c r="S1736" i="8"/>
  <c r="AI1736" i="8" s="1"/>
  <c r="T1736" i="8"/>
  <c r="AJ1736" i="8" s="1"/>
  <c r="R1737" i="8"/>
  <c r="S1737" i="8"/>
  <c r="AI1737" i="8" s="1"/>
  <c r="T1737" i="8"/>
  <c r="AJ1737" i="8" s="1"/>
  <c r="R1738" i="8"/>
  <c r="S1738" i="8"/>
  <c r="AI1738" i="8" s="1"/>
  <c r="T1738" i="8"/>
  <c r="R1739" i="8"/>
  <c r="S1739" i="8"/>
  <c r="AI1739" i="8" s="1"/>
  <c r="T1739" i="8"/>
  <c r="AJ1739" i="8" s="1"/>
  <c r="R1740" i="8"/>
  <c r="S1740" i="8"/>
  <c r="AI1740" i="8" s="1"/>
  <c r="T1740" i="8"/>
  <c r="AJ1740" i="8" s="1"/>
  <c r="R1741" i="8"/>
  <c r="S1741" i="8"/>
  <c r="T1741" i="8"/>
  <c r="AJ1741" i="8" s="1"/>
  <c r="R1742" i="8"/>
  <c r="S1742" i="8"/>
  <c r="AI1742" i="8" s="1"/>
  <c r="T1742" i="8"/>
  <c r="AJ1742" i="8" s="1"/>
  <c r="R1743" i="8"/>
  <c r="S1743" i="8"/>
  <c r="AI1743" i="8" s="1"/>
  <c r="T1743" i="8"/>
  <c r="AJ1743" i="8" s="1"/>
  <c r="R1744" i="8"/>
  <c r="S1744" i="8"/>
  <c r="AI1744" i="8" s="1"/>
  <c r="T1744" i="8"/>
  <c r="AJ1744" i="8" s="1"/>
  <c r="R1745" i="8"/>
  <c r="S1745" i="8"/>
  <c r="AI1745" i="8" s="1"/>
  <c r="T1745" i="8"/>
  <c r="AJ1745" i="8" s="1"/>
  <c r="R1746" i="8"/>
  <c r="S1746" i="8"/>
  <c r="AI1746" i="8" s="1"/>
  <c r="T1746" i="8"/>
  <c r="AJ1746" i="8" s="1"/>
  <c r="R1747" i="8"/>
  <c r="S1747" i="8"/>
  <c r="AI1747" i="8" s="1"/>
  <c r="T1747" i="8"/>
  <c r="AJ1747" i="8" s="1"/>
  <c r="R1748" i="8"/>
  <c r="S1748" i="8"/>
  <c r="AI1748" i="8" s="1"/>
  <c r="T1748" i="8"/>
  <c r="AJ1748" i="8" s="1"/>
  <c r="R1749" i="8"/>
  <c r="S1749" i="8"/>
  <c r="AI1749" i="8" s="1"/>
  <c r="T1749" i="8"/>
  <c r="AJ1749" i="8" s="1"/>
  <c r="R1750" i="8"/>
  <c r="S1750" i="8"/>
  <c r="AI1750" i="8" s="1"/>
  <c r="T1750" i="8"/>
  <c r="AJ1750" i="8" s="1"/>
  <c r="R1751" i="8"/>
  <c r="S1751" i="8"/>
  <c r="AI1751" i="8" s="1"/>
  <c r="T1751" i="8"/>
  <c r="AJ1751" i="8" s="1"/>
  <c r="R1752" i="8"/>
  <c r="S1752" i="8"/>
  <c r="AI1752" i="8" s="1"/>
  <c r="T1752" i="8"/>
  <c r="AJ1752" i="8" s="1"/>
  <c r="R1753" i="8"/>
  <c r="S1753" i="8"/>
  <c r="AI1753" i="8" s="1"/>
  <c r="T1753" i="8"/>
  <c r="AJ1753" i="8" s="1"/>
  <c r="R1754" i="8"/>
  <c r="S1754" i="8"/>
  <c r="AI1754" i="8" s="1"/>
  <c r="T1754" i="8"/>
  <c r="AJ1754" i="8" s="1"/>
  <c r="R1755" i="8"/>
  <c r="S1755" i="8"/>
  <c r="AI1755" i="8" s="1"/>
  <c r="T1755" i="8"/>
  <c r="AJ1755" i="8" s="1"/>
  <c r="R1756" i="8"/>
  <c r="S1756" i="8"/>
  <c r="AI1756" i="8" s="1"/>
  <c r="T1756" i="8"/>
  <c r="AJ1756" i="8" s="1"/>
  <c r="R1757" i="8"/>
  <c r="S1757" i="8"/>
  <c r="AI1757" i="8" s="1"/>
  <c r="T1757" i="8"/>
  <c r="AJ1757" i="8" s="1"/>
  <c r="R1758" i="8"/>
  <c r="S1758" i="8"/>
  <c r="T1758" i="8"/>
  <c r="AJ1758" i="8" s="1"/>
  <c r="R1759" i="8"/>
  <c r="S1759" i="8"/>
  <c r="AI1759" i="8" s="1"/>
  <c r="T1759" i="8"/>
  <c r="AJ1759" i="8" s="1"/>
  <c r="R1760" i="8"/>
  <c r="S1760" i="8"/>
  <c r="AI1760" i="8" s="1"/>
  <c r="T1760" i="8"/>
  <c r="AJ1760" i="8" s="1"/>
  <c r="R1761" i="8"/>
  <c r="S1761" i="8"/>
  <c r="AI1761" i="8" s="1"/>
  <c r="T1761" i="8"/>
  <c r="AJ1761" i="8" s="1"/>
  <c r="R1762" i="8"/>
  <c r="S1762" i="8"/>
  <c r="AI1762" i="8" s="1"/>
  <c r="T1762" i="8"/>
  <c r="AJ1762" i="8" s="1"/>
  <c r="R1763" i="8"/>
  <c r="S1763" i="8"/>
  <c r="AI1763" i="8" s="1"/>
  <c r="T1763" i="8"/>
  <c r="AJ1763" i="8" s="1"/>
  <c r="R1764" i="8"/>
  <c r="S1764" i="8"/>
  <c r="AI1764" i="8" s="1"/>
  <c r="T1764" i="8"/>
  <c r="AJ1764" i="8" s="1"/>
  <c r="R1765" i="8"/>
  <c r="S1765" i="8"/>
  <c r="AI1765" i="8" s="1"/>
  <c r="T1765" i="8"/>
  <c r="AJ1765" i="8" s="1"/>
  <c r="R1766" i="8"/>
  <c r="S1766" i="8"/>
  <c r="AI1766" i="8" s="1"/>
  <c r="T1766" i="8"/>
  <c r="AJ1766" i="8" s="1"/>
  <c r="R1767" i="8"/>
  <c r="S1767" i="8"/>
  <c r="AI1767" i="8" s="1"/>
  <c r="T1767" i="8"/>
  <c r="AJ1767" i="8" s="1"/>
  <c r="R1768" i="8"/>
  <c r="S1768" i="8"/>
  <c r="AI1768" i="8" s="1"/>
  <c r="T1768" i="8"/>
  <c r="AJ1768" i="8" s="1"/>
  <c r="R1769" i="8"/>
  <c r="S1769" i="8"/>
  <c r="AI1769" i="8" s="1"/>
  <c r="T1769" i="8"/>
  <c r="AJ1769" i="8" s="1"/>
  <c r="R1770" i="8"/>
  <c r="S1770" i="8"/>
  <c r="AI1770" i="8" s="1"/>
  <c r="T1770" i="8"/>
  <c r="AJ1770" i="8" s="1"/>
  <c r="R1771" i="8"/>
  <c r="S1771" i="8"/>
  <c r="AI1771" i="8" s="1"/>
  <c r="T1771" i="8"/>
  <c r="AJ1771" i="8" s="1"/>
  <c r="R1772" i="8"/>
  <c r="S1772" i="8"/>
  <c r="AI1772" i="8" s="1"/>
  <c r="T1772" i="8"/>
  <c r="AJ1772" i="8" s="1"/>
  <c r="R1773" i="8"/>
  <c r="S1773" i="8"/>
  <c r="AI1773" i="8" s="1"/>
  <c r="T1773" i="8"/>
  <c r="AJ1773" i="8" s="1"/>
  <c r="R1774" i="8"/>
  <c r="S1774" i="8"/>
  <c r="AI1774" i="8" s="1"/>
  <c r="T1774" i="8"/>
  <c r="AJ1774" i="8" s="1"/>
  <c r="R1775" i="8"/>
  <c r="S1775" i="8"/>
  <c r="AI1775" i="8" s="1"/>
  <c r="T1775" i="8"/>
  <c r="AJ1775" i="8" s="1"/>
  <c r="R1776" i="8"/>
  <c r="S1776" i="8"/>
  <c r="AI1776" i="8" s="1"/>
  <c r="T1776" i="8"/>
  <c r="AJ1776" i="8" s="1"/>
  <c r="R1777" i="8"/>
  <c r="S1777" i="8"/>
  <c r="T1777" i="8"/>
  <c r="AJ1777" i="8" s="1"/>
  <c r="R1778" i="8"/>
  <c r="S1778" i="8"/>
  <c r="AI1778" i="8" s="1"/>
  <c r="T1778" i="8"/>
  <c r="AJ1778" i="8" s="1"/>
  <c r="R1779" i="8"/>
  <c r="S1779" i="8"/>
  <c r="AI1779" i="8" s="1"/>
  <c r="T1779" i="8"/>
  <c r="AJ1779" i="8" s="1"/>
  <c r="R1780" i="8"/>
  <c r="S1780" i="8"/>
  <c r="AI1780" i="8" s="1"/>
  <c r="T1780" i="8"/>
  <c r="AJ1780" i="8" s="1"/>
  <c r="R1781" i="8"/>
  <c r="S1781" i="8"/>
  <c r="AI1781" i="8" s="1"/>
  <c r="T1781" i="8"/>
  <c r="AJ1781" i="8" s="1"/>
  <c r="R1782" i="8"/>
  <c r="S1782" i="8"/>
  <c r="AI1782" i="8" s="1"/>
  <c r="T1782" i="8"/>
  <c r="AJ1782" i="8" s="1"/>
  <c r="R1783" i="8"/>
  <c r="S1783" i="8"/>
  <c r="AI1783" i="8" s="1"/>
  <c r="T1783" i="8"/>
  <c r="AJ1783" i="8" s="1"/>
  <c r="R1784" i="8"/>
  <c r="S1784" i="8"/>
  <c r="AI1784" i="8" s="1"/>
  <c r="T1784" i="8"/>
  <c r="AJ1784" i="8" s="1"/>
  <c r="R1785" i="8"/>
  <c r="S1785" i="8"/>
  <c r="AI1785" i="8" s="1"/>
  <c r="T1785" i="8"/>
  <c r="AJ1785" i="8" s="1"/>
  <c r="R1786" i="8"/>
  <c r="S1786" i="8"/>
  <c r="AI1786" i="8" s="1"/>
  <c r="T1786" i="8"/>
  <c r="AJ1786" i="8" s="1"/>
  <c r="R1787" i="8"/>
  <c r="S1787" i="8"/>
  <c r="AI1787" i="8" s="1"/>
  <c r="T1787" i="8"/>
  <c r="AJ1787" i="8" s="1"/>
  <c r="R1788" i="8"/>
  <c r="S1788" i="8"/>
  <c r="AI1788" i="8" s="1"/>
  <c r="T1788" i="8"/>
  <c r="AJ1788" i="8" s="1"/>
  <c r="R1789" i="8"/>
  <c r="S1789" i="8"/>
  <c r="AI1789" i="8" s="1"/>
  <c r="T1789" i="8"/>
  <c r="AJ1789" i="8" s="1"/>
  <c r="R1790" i="8"/>
  <c r="S1790" i="8"/>
  <c r="AI1790" i="8" s="1"/>
  <c r="T1790" i="8"/>
  <c r="AJ1790" i="8" s="1"/>
  <c r="R1791" i="8"/>
  <c r="S1791" i="8"/>
  <c r="AI1791" i="8" s="1"/>
  <c r="T1791" i="8"/>
  <c r="AJ1791" i="8" s="1"/>
  <c r="R1792" i="8"/>
  <c r="S1792" i="8"/>
  <c r="AI1792" i="8" s="1"/>
  <c r="T1792" i="8"/>
  <c r="AJ1792" i="8" s="1"/>
  <c r="R1793" i="8"/>
  <c r="S1793" i="8"/>
  <c r="AI1793" i="8" s="1"/>
  <c r="T1793" i="8"/>
  <c r="AJ1793" i="8" s="1"/>
  <c r="R1794" i="8"/>
  <c r="S1794" i="8"/>
  <c r="AI1794" i="8" s="1"/>
  <c r="T1794" i="8"/>
  <c r="R1795" i="8"/>
  <c r="S1795" i="8"/>
  <c r="AI1795" i="8" s="1"/>
  <c r="T1795" i="8"/>
  <c r="AJ1795" i="8" s="1"/>
  <c r="R1796" i="8"/>
  <c r="S1796" i="8"/>
  <c r="AI1796" i="8" s="1"/>
  <c r="T1796" i="8"/>
  <c r="AJ1796" i="8" s="1"/>
  <c r="R1797" i="8"/>
  <c r="S1797" i="8"/>
  <c r="AI1797" i="8" s="1"/>
  <c r="T1797" i="8"/>
  <c r="AJ1797" i="8" s="1"/>
  <c r="R1798" i="8"/>
  <c r="S1798" i="8"/>
  <c r="AI1798" i="8" s="1"/>
  <c r="T1798" i="8"/>
  <c r="AJ1798" i="8" s="1"/>
  <c r="R1799" i="8"/>
  <c r="S1799" i="8"/>
  <c r="AI1799" i="8" s="1"/>
  <c r="T1799" i="8"/>
  <c r="AJ1799" i="8" s="1"/>
  <c r="R1800" i="8"/>
  <c r="S1800" i="8"/>
  <c r="AI1800" i="8" s="1"/>
  <c r="T1800" i="8"/>
  <c r="AJ1800" i="8" s="1"/>
  <c r="R1801" i="8"/>
  <c r="S1801" i="8"/>
  <c r="AI1801" i="8" s="1"/>
  <c r="T1801" i="8"/>
  <c r="AJ1801" i="8" s="1"/>
  <c r="R1802" i="8"/>
  <c r="S1802" i="8"/>
  <c r="AI1802" i="8" s="1"/>
  <c r="T1802" i="8"/>
  <c r="AJ1802" i="8" s="1"/>
  <c r="R1803" i="8"/>
  <c r="S1803" i="8"/>
  <c r="AI1803" i="8" s="1"/>
  <c r="T1803" i="8"/>
  <c r="AJ1803" i="8" s="1"/>
  <c r="R1804" i="8"/>
  <c r="S1804" i="8"/>
  <c r="AI1804" i="8" s="1"/>
  <c r="T1804" i="8"/>
  <c r="AJ1804" i="8" s="1"/>
  <c r="R1805" i="8"/>
  <c r="S1805" i="8"/>
  <c r="T1805" i="8"/>
  <c r="AJ1805" i="8" s="1"/>
  <c r="R1806" i="8"/>
  <c r="S1806" i="8"/>
  <c r="AI1806" i="8" s="1"/>
  <c r="T1806" i="8"/>
  <c r="AJ1806" i="8" s="1"/>
  <c r="R1807" i="8"/>
  <c r="S1807" i="8"/>
  <c r="AI1807" i="8" s="1"/>
  <c r="T1807" i="8"/>
  <c r="AJ1807" i="8" s="1"/>
  <c r="R1808" i="8"/>
  <c r="S1808" i="8"/>
  <c r="AI1808" i="8" s="1"/>
  <c r="T1808" i="8"/>
  <c r="AJ1808" i="8" s="1"/>
  <c r="R1809" i="8"/>
  <c r="S1809" i="8"/>
  <c r="AI1809" i="8" s="1"/>
  <c r="T1809" i="8"/>
  <c r="AJ1809" i="8" s="1"/>
  <c r="R1810" i="8"/>
  <c r="S1810" i="8"/>
  <c r="AI1810" i="8" s="1"/>
  <c r="T1810" i="8"/>
  <c r="AJ1810" i="8" s="1"/>
  <c r="R1811" i="8"/>
  <c r="S1811" i="8"/>
  <c r="AI1811" i="8" s="1"/>
  <c r="T1811" i="8"/>
  <c r="AJ1811" i="8" s="1"/>
  <c r="R1812" i="8"/>
  <c r="S1812" i="8"/>
  <c r="AI1812" i="8" s="1"/>
  <c r="T1812" i="8"/>
  <c r="AJ1812" i="8" s="1"/>
  <c r="R1813" i="8"/>
  <c r="S1813" i="8"/>
  <c r="T1813" i="8"/>
  <c r="R1814" i="8"/>
  <c r="S1814" i="8"/>
  <c r="AI1814" i="8" s="1"/>
  <c r="T1814" i="8"/>
  <c r="AJ1814" i="8" s="1"/>
  <c r="R1815" i="8"/>
  <c r="S1815" i="8"/>
  <c r="AI1815" i="8" s="1"/>
  <c r="T1815" i="8"/>
  <c r="AJ1815" i="8" s="1"/>
  <c r="R1816" i="8"/>
  <c r="S1816" i="8"/>
  <c r="AI1816" i="8" s="1"/>
  <c r="T1816" i="8"/>
  <c r="AJ1816" i="8" s="1"/>
  <c r="R1817" i="8"/>
  <c r="S1817" i="8"/>
  <c r="AI1817" i="8" s="1"/>
  <c r="T1817" i="8"/>
  <c r="AJ1817" i="8" s="1"/>
  <c r="R1818" i="8"/>
  <c r="S1818" i="8"/>
  <c r="AI1818" i="8" s="1"/>
  <c r="T1818" i="8"/>
  <c r="AJ1818" i="8" s="1"/>
  <c r="R1819" i="8"/>
  <c r="S1819" i="8"/>
  <c r="AI1819" i="8" s="1"/>
  <c r="T1819" i="8"/>
  <c r="AJ1819" i="8" s="1"/>
  <c r="R1820" i="8"/>
  <c r="S1820" i="8"/>
  <c r="AI1820" i="8" s="1"/>
  <c r="T1820" i="8"/>
  <c r="AJ1820" i="8" s="1"/>
  <c r="R1821" i="8"/>
  <c r="S1821" i="8"/>
  <c r="AI1821" i="8" s="1"/>
  <c r="T1821" i="8"/>
  <c r="AJ1821" i="8" s="1"/>
  <c r="R1822" i="8"/>
  <c r="S1822" i="8"/>
  <c r="AI1822" i="8" s="1"/>
  <c r="T1822" i="8"/>
  <c r="AJ1822" i="8" s="1"/>
  <c r="R1823" i="8"/>
  <c r="S1823" i="8"/>
  <c r="AI1823" i="8" s="1"/>
  <c r="T1823" i="8"/>
  <c r="AJ1823" i="8" s="1"/>
  <c r="R1824" i="8"/>
  <c r="S1824" i="8"/>
  <c r="AI1824" i="8" s="1"/>
  <c r="T1824" i="8"/>
  <c r="AJ1824" i="8" s="1"/>
  <c r="R1825" i="8"/>
  <c r="S1825" i="8"/>
  <c r="AI1825" i="8" s="1"/>
  <c r="T1825" i="8"/>
  <c r="AJ1825" i="8" s="1"/>
  <c r="R1826" i="8"/>
  <c r="S1826" i="8"/>
  <c r="AI1826" i="8" s="1"/>
  <c r="T1826" i="8"/>
  <c r="AJ1826" i="8" s="1"/>
  <c r="R1827" i="8"/>
  <c r="S1827" i="8"/>
  <c r="AI1827" i="8" s="1"/>
  <c r="T1827" i="8"/>
  <c r="AJ1827" i="8" s="1"/>
  <c r="R1828" i="8"/>
  <c r="S1828" i="8"/>
  <c r="AI1828" i="8" s="1"/>
  <c r="T1828" i="8"/>
  <c r="AJ1828" i="8" s="1"/>
  <c r="R1829" i="8"/>
  <c r="S1829" i="8"/>
  <c r="AI1829" i="8" s="1"/>
  <c r="T1829" i="8"/>
  <c r="AJ1829" i="8" s="1"/>
  <c r="R1830" i="8"/>
  <c r="S1830" i="8"/>
  <c r="AI1830" i="8" s="1"/>
  <c r="T1830" i="8"/>
  <c r="AJ1830" i="8" s="1"/>
  <c r="R1831" i="8"/>
  <c r="S1831" i="8"/>
  <c r="AI1831" i="8" s="1"/>
  <c r="T1831" i="8"/>
  <c r="AJ1831" i="8" s="1"/>
  <c r="R1832" i="8"/>
  <c r="S1832" i="8"/>
  <c r="AI1832" i="8" s="1"/>
  <c r="T1832" i="8"/>
  <c r="AJ1832" i="8" s="1"/>
  <c r="R1833" i="8"/>
  <c r="S1833" i="8"/>
  <c r="AI1833" i="8" s="1"/>
  <c r="T1833" i="8"/>
  <c r="AJ1833" i="8" s="1"/>
  <c r="R1834" i="8"/>
  <c r="S1834" i="8"/>
  <c r="AI1834" i="8" s="1"/>
  <c r="T1834" i="8"/>
  <c r="AJ1834" i="8" s="1"/>
  <c r="R1835" i="8"/>
  <c r="S1835" i="8"/>
  <c r="AI1835" i="8" s="1"/>
  <c r="T1835" i="8"/>
  <c r="AJ1835" i="8" s="1"/>
  <c r="R1836" i="8"/>
  <c r="S1836" i="8"/>
  <c r="AI1836" i="8" s="1"/>
  <c r="T1836" i="8"/>
  <c r="AJ1836" i="8" s="1"/>
  <c r="R1837" i="8"/>
  <c r="S1837" i="8"/>
  <c r="AI1837" i="8" s="1"/>
  <c r="T1837" i="8"/>
  <c r="AJ1837" i="8" s="1"/>
  <c r="R1838" i="8"/>
  <c r="S1838" i="8"/>
  <c r="AI1838" i="8" s="1"/>
  <c r="T1838" i="8"/>
  <c r="AJ1838" i="8" s="1"/>
  <c r="R1839" i="8"/>
  <c r="S1839" i="8"/>
  <c r="AI1839" i="8" s="1"/>
  <c r="T1839" i="8"/>
  <c r="AJ1839" i="8" s="1"/>
  <c r="R1840" i="8"/>
  <c r="S1840" i="8"/>
  <c r="AI1840" i="8" s="1"/>
  <c r="T1840" i="8"/>
  <c r="AJ1840" i="8" s="1"/>
  <c r="R1841" i="8"/>
  <c r="S1841" i="8"/>
  <c r="AI1841" i="8" s="1"/>
  <c r="T1841" i="8"/>
  <c r="AJ1841" i="8" s="1"/>
  <c r="R1842" i="8"/>
  <c r="S1842" i="8"/>
  <c r="AI1842" i="8" s="1"/>
  <c r="T1842" i="8"/>
  <c r="AJ1842" i="8" s="1"/>
  <c r="R1843" i="8"/>
  <c r="S1843" i="8"/>
  <c r="AI1843" i="8" s="1"/>
  <c r="T1843" i="8"/>
  <c r="AJ1843" i="8" s="1"/>
  <c r="R1844" i="8"/>
  <c r="S1844" i="8"/>
  <c r="AI1844" i="8" s="1"/>
  <c r="T1844" i="8"/>
  <c r="AJ1844" i="8" s="1"/>
  <c r="R1845" i="8"/>
  <c r="S1845" i="8"/>
  <c r="AI1845" i="8" s="1"/>
  <c r="T1845" i="8"/>
  <c r="AJ1845" i="8" s="1"/>
  <c r="R1846" i="8"/>
  <c r="S1846" i="8"/>
  <c r="AI1846" i="8" s="1"/>
  <c r="T1846" i="8"/>
  <c r="AJ1846" i="8" s="1"/>
  <c r="R1847" i="8"/>
  <c r="S1847" i="8"/>
  <c r="AI1847" i="8" s="1"/>
  <c r="T1847" i="8"/>
  <c r="AJ1847" i="8" s="1"/>
  <c r="R1848" i="8"/>
  <c r="S1848" i="8"/>
  <c r="AI1848" i="8" s="1"/>
  <c r="T1848" i="8"/>
  <c r="AJ1848" i="8" s="1"/>
  <c r="R1849" i="8"/>
  <c r="S1849" i="8"/>
  <c r="AI1849" i="8" s="1"/>
  <c r="T1849" i="8"/>
  <c r="AJ1849" i="8" s="1"/>
  <c r="R1850" i="8"/>
  <c r="S1850" i="8"/>
  <c r="T1850" i="8"/>
  <c r="AJ1850" i="8" s="1"/>
  <c r="R1851" i="8"/>
  <c r="S1851" i="8"/>
  <c r="AI1851" i="8" s="1"/>
  <c r="T1851" i="8"/>
  <c r="AJ1851" i="8" s="1"/>
  <c r="R1852" i="8"/>
  <c r="S1852" i="8"/>
  <c r="AI1852" i="8" s="1"/>
  <c r="T1852" i="8"/>
  <c r="AJ1852" i="8" s="1"/>
  <c r="R1853" i="8"/>
  <c r="S1853" i="8"/>
  <c r="AI1853" i="8" s="1"/>
  <c r="T1853" i="8"/>
  <c r="AJ1853" i="8" s="1"/>
  <c r="R1854" i="8"/>
  <c r="S1854" i="8"/>
  <c r="AI1854" i="8" s="1"/>
  <c r="T1854" i="8"/>
  <c r="AJ1854" i="8" s="1"/>
  <c r="R1855" i="8"/>
  <c r="S1855" i="8"/>
  <c r="AI1855" i="8" s="1"/>
  <c r="T1855" i="8"/>
  <c r="AJ1855" i="8" s="1"/>
  <c r="R1856" i="8"/>
  <c r="S1856" i="8"/>
  <c r="AI1856" i="8" s="1"/>
  <c r="T1856" i="8"/>
  <c r="AJ1856" i="8" s="1"/>
  <c r="R1857" i="8"/>
  <c r="S1857" i="8"/>
  <c r="AI1857" i="8" s="1"/>
  <c r="T1857" i="8"/>
  <c r="AJ1857" i="8" s="1"/>
  <c r="R1858" i="8"/>
  <c r="S1858" i="8"/>
  <c r="AI1858" i="8" s="1"/>
  <c r="T1858" i="8"/>
  <c r="AJ1858" i="8" s="1"/>
  <c r="R1859" i="8"/>
  <c r="S1859" i="8"/>
  <c r="AI1859" i="8" s="1"/>
  <c r="T1859" i="8"/>
  <c r="AJ1859" i="8" s="1"/>
  <c r="R1860" i="8"/>
  <c r="S1860" i="8"/>
  <c r="AI1860" i="8" s="1"/>
  <c r="T1860" i="8"/>
  <c r="AJ1860" i="8" s="1"/>
  <c r="R1861" i="8"/>
  <c r="S1861" i="8"/>
  <c r="AI1861" i="8" s="1"/>
  <c r="T1861" i="8"/>
  <c r="AJ1861" i="8" s="1"/>
  <c r="R1862" i="8"/>
  <c r="S1862" i="8"/>
  <c r="AI1862" i="8" s="1"/>
  <c r="T1862" i="8"/>
  <c r="AJ1862" i="8" s="1"/>
  <c r="R1863" i="8"/>
  <c r="S1863" i="8"/>
  <c r="AI1863" i="8" s="1"/>
  <c r="T1863" i="8"/>
  <c r="AJ1863" i="8" s="1"/>
  <c r="R1864" i="8"/>
  <c r="S1864" i="8"/>
  <c r="AI1864" i="8" s="1"/>
  <c r="T1864" i="8"/>
  <c r="AJ1864" i="8" s="1"/>
  <c r="R1865" i="8"/>
  <c r="S1865" i="8"/>
  <c r="AI1865" i="8" s="1"/>
  <c r="T1865" i="8"/>
  <c r="AJ1865" i="8" s="1"/>
  <c r="R1866" i="8"/>
  <c r="S1866" i="8"/>
  <c r="AI1866" i="8" s="1"/>
  <c r="T1866" i="8"/>
  <c r="AJ1866" i="8" s="1"/>
  <c r="R1867" i="8"/>
  <c r="S1867" i="8"/>
  <c r="AI1867" i="8" s="1"/>
  <c r="T1867" i="8"/>
  <c r="AJ1867" i="8" s="1"/>
  <c r="R1868" i="8"/>
  <c r="S1868" i="8"/>
  <c r="AI1868" i="8" s="1"/>
  <c r="T1868" i="8"/>
  <c r="AJ1868" i="8" s="1"/>
  <c r="R1869" i="8"/>
  <c r="S1869" i="8"/>
  <c r="T1869" i="8"/>
  <c r="AJ1869" i="8" s="1"/>
  <c r="R1870" i="8"/>
  <c r="S1870" i="8"/>
  <c r="AI1870" i="8" s="1"/>
  <c r="T1870" i="8"/>
  <c r="AJ1870" i="8" s="1"/>
  <c r="R1871" i="8"/>
  <c r="S1871" i="8"/>
  <c r="AI1871" i="8" s="1"/>
  <c r="T1871" i="8"/>
  <c r="AJ1871" i="8" s="1"/>
  <c r="R1872" i="8"/>
  <c r="S1872" i="8"/>
  <c r="AI1872" i="8" s="1"/>
  <c r="T1872" i="8"/>
  <c r="AJ1872" i="8" s="1"/>
  <c r="R1873" i="8"/>
  <c r="S1873" i="8"/>
  <c r="AI1873" i="8" s="1"/>
  <c r="T1873" i="8"/>
  <c r="AJ1873" i="8" s="1"/>
  <c r="R1874" i="8"/>
  <c r="S1874" i="8"/>
  <c r="AI1874" i="8" s="1"/>
  <c r="T1874" i="8"/>
  <c r="AJ1874" i="8" s="1"/>
  <c r="R1875" i="8"/>
  <c r="S1875" i="8"/>
  <c r="AI1875" i="8" s="1"/>
  <c r="T1875" i="8"/>
  <c r="AJ1875" i="8" s="1"/>
  <c r="R1876" i="8"/>
  <c r="S1876" i="8"/>
  <c r="AI1876" i="8" s="1"/>
  <c r="T1876" i="8"/>
  <c r="AJ1876" i="8" s="1"/>
  <c r="R1877" i="8"/>
  <c r="S1877" i="8"/>
  <c r="AI1877" i="8" s="1"/>
  <c r="T1877" i="8"/>
  <c r="R1878" i="8"/>
  <c r="S1878" i="8"/>
  <c r="AI1878" i="8" s="1"/>
  <c r="T1878" i="8"/>
  <c r="AJ1878" i="8" s="1"/>
  <c r="R1879" i="8"/>
  <c r="S1879" i="8"/>
  <c r="AI1879" i="8" s="1"/>
  <c r="T1879" i="8"/>
  <c r="AJ1879" i="8" s="1"/>
  <c r="R1880" i="8"/>
  <c r="S1880" i="8"/>
  <c r="AI1880" i="8" s="1"/>
  <c r="T1880" i="8"/>
  <c r="AJ1880" i="8" s="1"/>
  <c r="R1881" i="8"/>
  <c r="S1881" i="8"/>
  <c r="AI1881" i="8" s="1"/>
  <c r="T1881" i="8"/>
  <c r="AJ1881" i="8" s="1"/>
  <c r="R1882" i="8"/>
  <c r="S1882" i="8"/>
  <c r="AI1882" i="8" s="1"/>
  <c r="T1882" i="8"/>
  <c r="AJ1882" i="8" s="1"/>
  <c r="R1883" i="8"/>
  <c r="S1883" i="8"/>
  <c r="AI1883" i="8" s="1"/>
  <c r="T1883" i="8"/>
  <c r="AJ1883" i="8" s="1"/>
  <c r="R1884" i="8"/>
  <c r="S1884" i="8"/>
  <c r="AI1884" i="8" s="1"/>
  <c r="T1884" i="8"/>
  <c r="AJ1884" i="8" s="1"/>
  <c r="R1885" i="8"/>
  <c r="S1885" i="8"/>
  <c r="AI1885" i="8" s="1"/>
  <c r="T1885" i="8"/>
  <c r="R1886" i="8"/>
  <c r="S1886" i="8"/>
  <c r="T1886" i="8"/>
  <c r="AJ1886" i="8" s="1"/>
  <c r="R1887" i="8"/>
  <c r="S1887" i="8"/>
  <c r="AI1887" i="8" s="1"/>
  <c r="T1887" i="8"/>
  <c r="AJ1887" i="8" s="1"/>
  <c r="R1888" i="8"/>
  <c r="S1888" i="8"/>
  <c r="AI1888" i="8" s="1"/>
  <c r="T1888" i="8"/>
  <c r="AJ1888" i="8" s="1"/>
  <c r="R1889" i="8"/>
  <c r="S1889" i="8"/>
  <c r="AI1889" i="8" s="1"/>
  <c r="T1889" i="8"/>
  <c r="AJ1889" i="8" s="1"/>
  <c r="R1890" i="8"/>
  <c r="S1890" i="8"/>
  <c r="AI1890" i="8" s="1"/>
  <c r="T1890" i="8"/>
  <c r="AJ1890" i="8" s="1"/>
  <c r="R1891" i="8"/>
  <c r="S1891" i="8"/>
  <c r="AI1891" i="8" s="1"/>
  <c r="T1891" i="8"/>
  <c r="AJ1891" i="8" s="1"/>
  <c r="R1892" i="8"/>
  <c r="S1892" i="8"/>
  <c r="AI1892" i="8" s="1"/>
  <c r="T1892" i="8"/>
  <c r="AJ1892" i="8" s="1"/>
  <c r="R1893" i="8"/>
  <c r="S1893" i="8"/>
  <c r="AI1893" i="8" s="1"/>
  <c r="T1893" i="8"/>
  <c r="AJ1893" i="8" s="1"/>
  <c r="R1894" i="8"/>
  <c r="S1894" i="8"/>
  <c r="AI1894" i="8" s="1"/>
  <c r="T1894" i="8"/>
  <c r="AJ1894" i="8" s="1"/>
  <c r="R1895" i="8"/>
  <c r="S1895" i="8"/>
  <c r="AI1895" i="8" s="1"/>
  <c r="T1895" i="8"/>
  <c r="AJ1895" i="8" s="1"/>
  <c r="R1896" i="8"/>
  <c r="S1896" i="8"/>
  <c r="AI1896" i="8" s="1"/>
  <c r="T1896" i="8"/>
  <c r="AJ1896" i="8" s="1"/>
  <c r="R1897" i="8"/>
  <c r="S1897" i="8"/>
  <c r="AI1897" i="8" s="1"/>
  <c r="T1897" i="8"/>
  <c r="AJ1897" i="8" s="1"/>
  <c r="R1898" i="8"/>
  <c r="S1898" i="8"/>
  <c r="AI1898" i="8" s="1"/>
  <c r="T1898" i="8"/>
  <c r="AJ1898" i="8" s="1"/>
  <c r="R1899" i="8"/>
  <c r="S1899" i="8"/>
  <c r="AI1899" i="8" s="1"/>
  <c r="T1899" i="8"/>
  <c r="AJ1899" i="8" s="1"/>
  <c r="R1900" i="8"/>
  <c r="S1900" i="8"/>
  <c r="AI1900" i="8" s="1"/>
  <c r="T1900" i="8"/>
  <c r="AJ1900" i="8" s="1"/>
  <c r="R1901" i="8"/>
  <c r="S1901" i="8"/>
  <c r="T1901" i="8"/>
  <c r="AJ1901" i="8" s="1"/>
  <c r="R1902" i="8"/>
  <c r="S1902" i="8"/>
  <c r="AI1902" i="8" s="1"/>
  <c r="T1902" i="8"/>
  <c r="AJ1902" i="8" s="1"/>
  <c r="R1903" i="8"/>
  <c r="S1903" i="8"/>
  <c r="AI1903" i="8" s="1"/>
  <c r="T1903" i="8"/>
  <c r="AJ1903" i="8" s="1"/>
  <c r="R1904" i="8"/>
  <c r="S1904" i="8"/>
  <c r="AI1904" i="8" s="1"/>
  <c r="T1904" i="8"/>
  <c r="AJ1904" i="8" s="1"/>
  <c r="R1905" i="8"/>
  <c r="S1905" i="8"/>
  <c r="AI1905" i="8" s="1"/>
  <c r="T1905" i="8"/>
  <c r="AJ1905" i="8" s="1"/>
  <c r="R1906" i="8"/>
  <c r="S1906" i="8"/>
  <c r="AI1906" i="8" s="1"/>
  <c r="T1906" i="8"/>
  <c r="AJ1906" i="8" s="1"/>
  <c r="R1907" i="8"/>
  <c r="S1907" i="8"/>
  <c r="AI1907" i="8" s="1"/>
  <c r="T1907" i="8"/>
  <c r="AJ1907" i="8" s="1"/>
  <c r="R1908" i="8"/>
  <c r="S1908" i="8"/>
  <c r="AI1908" i="8" s="1"/>
  <c r="T1908" i="8"/>
  <c r="AJ1908" i="8" s="1"/>
  <c r="R1909" i="8"/>
  <c r="S1909" i="8"/>
  <c r="AI1909" i="8" s="1"/>
  <c r="T1909" i="8"/>
  <c r="AJ1909" i="8" s="1"/>
  <c r="R1910" i="8"/>
  <c r="S1910" i="8"/>
  <c r="AI1910" i="8" s="1"/>
  <c r="T1910" i="8"/>
  <c r="AJ1910" i="8" s="1"/>
  <c r="R1911" i="8"/>
  <c r="S1911" i="8"/>
  <c r="AI1911" i="8" s="1"/>
  <c r="T1911" i="8"/>
  <c r="AJ1911" i="8" s="1"/>
  <c r="R1912" i="8"/>
  <c r="S1912" i="8"/>
  <c r="AI1912" i="8" s="1"/>
  <c r="T1912" i="8"/>
  <c r="AJ1912" i="8" s="1"/>
  <c r="R1913" i="8"/>
  <c r="S1913" i="8"/>
  <c r="AI1913" i="8" s="1"/>
  <c r="T1913" i="8"/>
  <c r="AJ1913" i="8" s="1"/>
  <c r="R1914" i="8"/>
  <c r="S1914" i="8"/>
  <c r="AI1914" i="8" s="1"/>
  <c r="T1914" i="8"/>
  <c r="AJ1914" i="8" s="1"/>
  <c r="R1915" i="8"/>
  <c r="S1915" i="8"/>
  <c r="AI1915" i="8" s="1"/>
  <c r="T1915" i="8"/>
  <c r="AJ1915" i="8" s="1"/>
  <c r="R1916" i="8"/>
  <c r="S1916" i="8"/>
  <c r="AI1916" i="8" s="1"/>
  <c r="T1916" i="8"/>
  <c r="AJ1916" i="8" s="1"/>
  <c r="R1917" i="8"/>
  <c r="S1917" i="8"/>
  <c r="AI1917" i="8" s="1"/>
  <c r="T1917" i="8"/>
  <c r="AJ1917" i="8" s="1"/>
  <c r="R1918" i="8"/>
  <c r="S1918" i="8"/>
  <c r="AI1918" i="8" s="1"/>
  <c r="T1918" i="8"/>
  <c r="AJ1918" i="8" s="1"/>
  <c r="R1919" i="8"/>
  <c r="S1919" i="8"/>
  <c r="AI1919" i="8" s="1"/>
  <c r="T1919" i="8"/>
  <c r="AJ1919" i="8" s="1"/>
  <c r="R1920" i="8"/>
  <c r="S1920" i="8"/>
  <c r="AI1920" i="8" s="1"/>
  <c r="T1920" i="8"/>
  <c r="AJ1920" i="8" s="1"/>
  <c r="R1921" i="8"/>
  <c r="S1921" i="8"/>
  <c r="AI1921" i="8" s="1"/>
  <c r="T1921" i="8"/>
  <c r="AJ1921" i="8" s="1"/>
  <c r="R1922" i="8"/>
  <c r="S1922" i="8"/>
  <c r="AI1922" i="8" s="1"/>
  <c r="T1922" i="8"/>
  <c r="AJ1922" i="8" s="1"/>
  <c r="R1923" i="8"/>
  <c r="S1923" i="8"/>
  <c r="AI1923" i="8" s="1"/>
  <c r="T1923" i="8"/>
  <c r="R1924" i="8"/>
  <c r="S1924" i="8"/>
  <c r="AI1924" i="8" s="1"/>
  <c r="T1924" i="8"/>
  <c r="AJ1924" i="8" s="1"/>
  <c r="R1925" i="8"/>
  <c r="S1925" i="8"/>
  <c r="AI1925" i="8" s="1"/>
  <c r="T1925" i="8"/>
  <c r="AJ1925" i="8" s="1"/>
  <c r="R1926" i="8"/>
  <c r="S1926" i="8"/>
  <c r="AI1926" i="8" s="1"/>
  <c r="T1926" i="8"/>
  <c r="AJ1926" i="8" s="1"/>
  <c r="R1927" i="8"/>
  <c r="S1927" i="8"/>
  <c r="AI1927" i="8" s="1"/>
  <c r="T1927" i="8"/>
  <c r="AJ1927" i="8" s="1"/>
  <c r="R1928" i="8"/>
  <c r="S1928" i="8"/>
  <c r="T1928" i="8"/>
  <c r="AJ1928" i="8" s="1"/>
  <c r="R1929" i="8"/>
  <c r="S1929" i="8"/>
  <c r="AI1929" i="8" s="1"/>
  <c r="T1929" i="8"/>
  <c r="AJ1929" i="8" s="1"/>
  <c r="R1930" i="8"/>
  <c r="S1930" i="8"/>
  <c r="AI1930" i="8" s="1"/>
  <c r="T1930" i="8"/>
  <c r="AJ1930" i="8" s="1"/>
  <c r="R1931" i="8"/>
  <c r="S1931" i="8"/>
  <c r="AI1931" i="8" s="1"/>
  <c r="T1931" i="8"/>
  <c r="AJ1931" i="8" s="1"/>
  <c r="R1932" i="8"/>
  <c r="S1932" i="8"/>
  <c r="AI1932" i="8" s="1"/>
  <c r="T1932" i="8"/>
  <c r="AJ1932" i="8" s="1"/>
  <c r="R1933" i="8"/>
  <c r="S1933" i="8"/>
  <c r="T1933" i="8"/>
  <c r="AJ1933" i="8" s="1"/>
  <c r="R1934" i="8"/>
  <c r="S1934" i="8"/>
  <c r="AI1934" i="8" s="1"/>
  <c r="T1934" i="8"/>
  <c r="AJ1934" i="8" s="1"/>
  <c r="R1935" i="8"/>
  <c r="S1935" i="8"/>
  <c r="AI1935" i="8" s="1"/>
  <c r="T1935" i="8"/>
  <c r="AJ1935" i="8" s="1"/>
  <c r="R1936" i="8"/>
  <c r="S1936" i="8"/>
  <c r="AI1936" i="8" s="1"/>
  <c r="T1936" i="8"/>
  <c r="AJ1936" i="8" s="1"/>
  <c r="R1937" i="8"/>
  <c r="S1937" i="8"/>
  <c r="AI1937" i="8" s="1"/>
  <c r="T1937" i="8"/>
  <c r="AJ1937" i="8" s="1"/>
  <c r="R1938" i="8"/>
  <c r="S1938" i="8"/>
  <c r="AI1938" i="8" s="1"/>
  <c r="T1938" i="8"/>
  <c r="AJ1938" i="8" s="1"/>
  <c r="R1939" i="8"/>
  <c r="S1939" i="8"/>
  <c r="AI1939" i="8" s="1"/>
  <c r="T1939" i="8"/>
  <c r="AJ1939" i="8" s="1"/>
  <c r="R1940" i="8"/>
  <c r="S1940" i="8"/>
  <c r="AI1940" i="8" s="1"/>
  <c r="T1940" i="8"/>
  <c r="AJ1940" i="8" s="1"/>
  <c r="R1941" i="8"/>
  <c r="S1941" i="8"/>
  <c r="AI1941" i="8" s="1"/>
  <c r="T1941" i="8"/>
  <c r="AJ1941" i="8" s="1"/>
  <c r="R1942" i="8"/>
  <c r="S1942" i="8"/>
  <c r="T1942" i="8"/>
  <c r="AJ1942" i="8" s="1"/>
  <c r="R1943" i="8"/>
  <c r="S1943" i="8"/>
  <c r="AI1943" i="8" s="1"/>
  <c r="T1943" i="8"/>
  <c r="AJ1943" i="8" s="1"/>
  <c r="R1944" i="8"/>
  <c r="S1944" i="8"/>
  <c r="AI1944" i="8" s="1"/>
  <c r="T1944" i="8"/>
  <c r="AJ1944" i="8" s="1"/>
  <c r="R1945" i="8"/>
  <c r="S1945" i="8"/>
  <c r="AI1945" i="8" s="1"/>
  <c r="T1945" i="8"/>
  <c r="AJ1945" i="8" s="1"/>
  <c r="R1946" i="8"/>
  <c r="S1946" i="8"/>
  <c r="AI1946" i="8" s="1"/>
  <c r="T1946" i="8"/>
  <c r="R1947" i="8"/>
  <c r="S1947" i="8"/>
  <c r="AI1947" i="8" s="1"/>
  <c r="T1947" i="8"/>
  <c r="AJ1947" i="8" s="1"/>
  <c r="R1948" i="8"/>
  <c r="S1948" i="8"/>
  <c r="AI1948" i="8" s="1"/>
  <c r="T1948" i="8"/>
  <c r="AJ1948" i="8" s="1"/>
  <c r="R1949" i="8"/>
  <c r="S1949" i="8"/>
  <c r="AI1949" i="8" s="1"/>
  <c r="T1949" i="8"/>
  <c r="AJ1949" i="8" s="1"/>
  <c r="R1950" i="8"/>
  <c r="S1950" i="8"/>
  <c r="AI1950" i="8" s="1"/>
  <c r="T1950" i="8"/>
  <c r="AJ1950" i="8" s="1"/>
  <c r="R1951" i="8"/>
  <c r="S1951" i="8"/>
  <c r="T1951" i="8"/>
  <c r="AJ1951" i="8" s="1"/>
  <c r="R1952" i="8"/>
  <c r="S1952" i="8"/>
  <c r="AI1952" i="8" s="1"/>
  <c r="T1952" i="8"/>
  <c r="AJ1952" i="8" s="1"/>
  <c r="R1953" i="8"/>
  <c r="S1953" i="8"/>
  <c r="AI1953" i="8" s="1"/>
  <c r="T1953" i="8"/>
  <c r="AJ1953" i="8" s="1"/>
  <c r="R1954" i="8"/>
  <c r="S1954" i="8"/>
  <c r="AI1954" i="8" s="1"/>
  <c r="T1954" i="8"/>
  <c r="AJ1954" i="8" s="1"/>
  <c r="R1955" i="8"/>
  <c r="S1955" i="8"/>
  <c r="AI1955" i="8" s="1"/>
  <c r="T1955" i="8"/>
  <c r="AJ1955" i="8" s="1"/>
  <c r="R1956" i="8"/>
  <c r="S1956" i="8"/>
  <c r="AI1956" i="8" s="1"/>
  <c r="T1956" i="8"/>
  <c r="AJ1956" i="8" s="1"/>
  <c r="R1957" i="8"/>
  <c r="S1957" i="8"/>
  <c r="AI1957" i="8" s="1"/>
  <c r="T1957" i="8"/>
  <c r="AJ1957" i="8" s="1"/>
  <c r="R1958" i="8"/>
  <c r="S1958" i="8"/>
  <c r="AI1958" i="8" s="1"/>
  <c r="T1958" i="8"/>
  <c r="AJ1958" i="8" s="1"/>
  <c r="R1959" i="8"/>
  <c r="S1959" i="8"/>
  <c r="AI1959" i="8" s="1"/>
  <c r="T1959" i="8"/>
  <c r="AJ1959" i="8" s="1"/>
  <c r="R1960" i="8"/>
  <c r="S1960" i="8"/>
  <c r="AI1960" i="8" s="1"/>
  <c r="T1960" i="8"/>
  <c r="AJ1960" i="8" s="1"/>
  <c r="R1961" i="8"/>
  <c r="S1961" i="8"/>
  <c r="AI1961" i="8" s="1"/>
  <c r="T1961" i="8"/>
  <c r="AJ1961" i="8" s="1"/>
  <c r="R1962" i="8"/>
  <c r="S1962" i="8"/>
  <c r="AI1962" i="8" s="1"/>
  <c r="T1962" i="8"/>
  <c r="AJ1962" i="8" s="1"/>
  <c r="R1963" i="8"/>
  <c r="S1963" i="8"/>
  <c r="AI1963" i="8" s="1"/>
  <c r="T1963" i="8"/>
  <c r="AJ1963" i="8" s="1"/>
  <c r="R1964" i="8"/>
  <c r="S1964" i="8"/>
  <c r="AI1964" i="8" s="1"/>
  <c r="T1964" i="8"/>
  <c r="AJ1964" i="8" s="1"/>
  <c r="R1965" i="8"/>
  <c r="S1965" i="8"/>
  <c r="T1965" i="8"/>
  <c r="AJ1965" i="8" s="1"/>
  <c r="R1966" i="8"/>
  <c r="S1966" i="8"/>
  <c r="AI1966" i="8" s="1"/>
  <c r="T1966" i="8"/>
  <c r="AJ1966" i="8" s="1"/>
  <c r="R1967" i="8"/>
  <c r="S1967" i="8"/>
  <c r="AI1967" i="8" s="1"/>
  <c r="T1967" i="8"/>
  <c r="AJ1967" i="8" s="1"/>
  <c r="R1968" i="8"/>
  <c r="S1968" i="8"/>
  <c r="AI1968" i="8" s="1"/>
  <c r="T1968" i="8"/>
  <c r="AJ1968" i="8" s="1"/>
  <c r="R1969" i="8"/>
  <c r="S1969" i="8"/>
  <c r="AI1969" i="8" s="1"/>
  <c r="T1969" i="8"/>
  <c r="AJ1969" i="8" s="1"/>
  <c r="R1970" i="8"/>
  <c r="S1970" i="8"/>
  <c r="AI1970" i="8" s="1"/>
  <c r="T1970" i="8"/>
  <c r="AJ1970" i="8" s="1"/>
  <c r="R1971" i="8"/>
  <c r="S1971" i="8"/>
  <c r="AI1971" i="8" s="1"/>
  <c r="T1971" i="8"/>
  <c r="AJ1971" i="8" s="1"/>
  <c r="R1972" i="8"/>
  <c r="S1972" i="8"/>
  <c r="AI1972" i="8" s="1"/>
  <c r="T1972" i="8"/>
  <c r="AJ1972" i="8" s="1"/>
  <c r="R1973" i="8"/>
  <c r="S1973" i="8"/>
  <c r="AI1973" i="8" s="1"/>
  <c r="T1973" i="8"/>
  <c r="AJ1973" i="8" s="1"/>
  <c r="R1974" i="8"/>
  <c r="S1974" i="8"/>
  <c r="AI1974" i="8" s="1"/>
  <c r="T1974" i="8"/>
  <c r="AJ1974" i="8" s="1"/>
  <c r="R1975" i="8"/>
  <c r="S1975" i="8"/>
  <c r="AI1975" i="8" s="1"/>
  <c r="T1975" i="8"/>
  <c r="AJ1975" i="8" s="1"/>
  <c r="R1976" i="8"/>
  <c r="S1976" i="8"/>
  <c r="AI1976" i="8" s="1"/>
  <c r="T1976" i="8"/>
  <c r="AJ1976" i="8" s="1"/>
  <c r="R1977" i="8"/>
  <c r="S1977" i="8"/>
  <c r="AI1977" i="8" s="1"/>
  <c r="T1977" i="8"/>
  <c r="AJ1977" i="8" s="1"/>
  <c r="R1978" i="8"/>
  <c r="S1978" i="8"/>
  <c r="AI1978" i="8" s="1"/>
  <c r="T1978" i="8"/>
  <c r="R1979" i="8"/>
  <c r="S1979" i="8"/>
  <c r="AI1979" i="8" s="1"/>
  <c r="T1979" i="8"/>
  <c r="AJ1979" i="8" s="1"/>
  <c r="R1980" i="8"/>
  <c r="S1980" i="8"/>
  <c r="AI1980" i="8" s="1"/>
  <c r="T1980" i="8"/>
  <c r="AJ1980" i="8" s="1"/>
  <c r="R1981" i="8"/>
  <c r="S1981" i="8"/>
  <c r="AI1981" i="8" s="1"/>
  <c r="T1981" i="8"/>
  <c r="AJ1981" i="8" s="1"/>
  <c r="R1982" i="8"/>
  <c r="S1982" i="8"/>
  <c r="AI1982" i="8" s="1"/>
  <c r="T1982" i="8"/>
  <c r="AJ1982" i="8" s="1"/>
  <c r="R1983" i="8"/>
  <c r="S1983" i="8"/>
  <c r="T1983" i="8"/>
  <c r="AJ1983" i="8" s="1"/>
  <c r="R1984" i="8"/>
  <c r="S1984" i="8"/>
  <c r="AI1984" i="8" s="1"/>
  <c r="T1984" i="8"/>
  <c r="AJ1984" i="8" s="1"/>
  <c r="R1985" i="8"/>
  <c r="S1985" i="8"/>
  <c r="AI1985" i="8" s="1"/>
  <c r="T1985" i="8"/>
  <c r="AJ1985" i="8" s="1"/>
  <c r="R1986" i="8"/>
  <c r="S1986" i="8"/>
  <c r="AI1986" i="8" s="1"/>
  <c r="T1986" i="8"/>
  <c r="AJ1986" i="8" s="1"/>
  <c r="R1987" i="8"/>
  <c r="S1987" i="8"/>
  <c r="T1987" i="8"/>
  <c r="R1988" i="8"/>
  <c r="S1988" i="8"/>
  <c r="AI1988" i="8" s="1"/>
  <c r="T1988" i="8"/>
  <c r="AJ1988" i="8" s="1"/>
  <c r="R1989" i="8"/>
  <c r="S1989" i="8"/>
  <c r="AI1989" i="8" s="1"/>
  <c r="T1989" i="8"/>
  <c r="AJ1989" i="8" s="1"/>
  <c r="R1990" i="8"/>
  <c r="S1990" i="8"/>
  <c r="AI1990" i="8" s="1"/>
  <c r="T1990" i="8"/>
  <c r="AJ1990" i="8" s="1"/>
  <c r="R1991" i="8"/>
  <c r="S1991" i="8"/>
  <c r="AI1991" i="8" s="1"/>
  <c r="T1991" i="8"/>
  <c r="AJ1991" i="8" s="1"/>
  <c r="R1992" i="8"/>
  <c r="S1992" i="8"/>
  <c r="AI1992" i="8" s="1"/>
  <c r="T1992" i="8"/>
  <c r="AJ1992" i="8" s="1"/>
  <c r="R1993" i="8"/>
  <c r="S1993" i="8"/>
  <c r="AI1993" i="8" s="1"/>
  <c r="T1993" i="8"/>
  <c r="AJ1993" i="8" s="1"/>
  <c r="R1994" i="8"/>
  <c r="S1994" i="8"/>
  <c r="AI1994" i="8" s="1"/>
  <c r="T1994" i="8"/>
  <c r="AJ1994" i="8" s="1"/>
  <c r="R1995" i="8"/>
  <c r="S1995" i="8"/>
  <c r="AI1995" i="8" s="1"/>
  <c r="T1995" i="8"/>
  <c r="AJ1995" i="8" s="1"/>
  <c r="R1996" i="8"/>
  <c r="S1996" i="8"/>
  <c r="AI1996" i="8" s="1"/>
  <c r="T1996" i="8"/>
  <c r="AJ1996" i="8" s="1"/>
  <c r="R1997" i="8"/>
  <c r="S1997" i="8"/>
  <c r="T1997" i="8"/>
  <c r="AJ1997" i="8" s="1"/>
  <c r="R1998" i="8"/>
  <c r="S1998" i="8"/>
  <c r="AI1998" i="8" s="1"/>
  <c r="T1998" i="8"/>
  <c r="AJ1998" i="8" s="1"/>
  <c r="R1999" i="8"/>
  <c r="S1999" i="8"/>
  <c r="AI1999" i="8" s="1"/>
  <c r="T1999" i="8"/>
  <c r="AJ1999" i="8" s="1"/>
  <c r="R2000" i="8"/>
  <c r="S2000" i="8"/>
  <c r="AI2000" i="8" s="1"/>
  <c r="T2000" i="8"/>
  <c r="AJ2000" i="8" s="1"/>
  <c r="R2001" i="8"/>
  <c r="S2001" i="8"/>
  <c r="AI2001" i="8" s="1"/>
  <c r="T2001" i="8"/>
  <c r="AJ2001" i="8" s="1"/>
  <c r="R2002" i="8"/>
  <c r="S2002" i="8"/>
  <c r="AI2002" i="8" s="1"/>
  <c r="T2002" i="8"/>
  <c r="AJ2002" i="8" s="1"/>
  <c r="R2003" i="8"/>
  <c r="S2003" i="8"/>
  <c r="AI2003" i="8" s="1"/>
  <c r="T2003" i="8"/>
  <c r="AJ2003" i="8" s="1"/>
  <c r="R2004" i="8"/>
  <c r="S2004" i="8"/>
  <c r="AI2004" i="8" s="1"/>
  <c r="T2004" i="8"/>
  <c r="AJ2004" i="8" s="1"/>
  <c r="R2005" i="8"/>
  <c r="S2005" i="8"/>
  <c r="AI2005" i="8" s="1"/>
  <c r="T2005" i="8"/>
  <c r="R2006" i="8"/>
  <c r="S2006" i="8"/>
  <c r="T2006" i="8"/>
  <c r="AJ2006" i="8" s="1"/>
  <c r="R2007" i="8"/>
  <c r="S2007" i="8"/>
  <c r="AI2007" i="8" s="1"/>
  <c r="T2007" i="8"/>
  <c r="AJ2007" i="8" s="1"/>
  <c r="R2008" i="8"/>
  <c r="S2008" i="8"/>
  <c r="AI2008" i="8" s="1"/>
  <c r="T2008" i="8"/>
  <c r="AJ2008" i="8" s="1"/>
  <c r="R2009" i="8"/>
  <c r="S2009" i="8"/>
  <c r="AI2009" i="8" s="1"/>
  <c r="T2009" i="8"/>
  <c r="AJ2009" i="8" s="1"/>
  <c r="R2010" i="8"/>
  <c r="S2010" i="8"/>
  <c r="AI2010" i="8" s="1"/>
  <c r="T2010" i="8"/>
  <c r="AJ2010" i="8" s="1"/>
  <c r="R2011" i="8"/>
  <c r="S2011" i="8"/>
  <c r="AI2011" i="8" s="1"/>
  <c r="T2011" i="8"/>
  <c r="AJ2011" i="8" s="1"/>
  <c r="R2012" i="8"/>
  <c r="S2012" i="8"/>
  <c r="AI2012" i="8" s="1"/>
  <c r="T2012" i="8"/>
  <c r="AJ2012" i="8" s="1"/>
  <c r="R2013" i="8"/>
  <c r="S2013" i="8"/>
  <c r="AI2013" i="8" s="1"/>
  <c r="T2013" i="8"/>
  <c r="AJ2013" i="8" s="1"/>
  <c r="R2014" i="8"/>
  <c r="S2014" i="8"/>
  <c r="AI2014" i="8" s="1"/>
  <c r="T2014" i="8"/>
  <c r="AJ2014" i="8" s="1"/>
  <c r="R2015" i="8"/>
  <c r="S2015" i="8"/>
  <c r="T2015" i="8"/>
  <c r="AJ2015" i="8" s="1"/>
  <c r="R2016" i="8"/>
  <c r="S2016" i="8"/>
  <c r="AI2016" i="8" s="1"/>
  <c r="T2016" i="8"/>
  <c r="AJ2016" i="8" s="1"/>
  <c r="R2017" i="8"/>
  <c r="S2017" i="8"/>
  <c r="AI2017" i="8" s="1"/>
  <c r="T2017" i="8"/>
  <c r="AJ2017" i="8" s="1"/>
  <c r="R2018" i="8"/>
  <c r="S2018" i="8"/>
  <c r="AI2018" i="8" s="1"/>
  <c r="T2018" i="8"/>
  <c r="AJ2018" i="8" s="1"/>
  <c r="R2019" i="8"/>
  <c r="S2019" i="8"/>
  <c r="AI2019" i="8" s="1"/>
  <c r="T2019" i="8"/>
  <c r="R2020" i="8"/>
  <c r="S2020" i="8"/>
  <c r="AI2020" i="8" s="1"/>
  <c r="T2020" i="8"/>
  <c r="AJ2020" i="8" s="1"/>
  <c r="R2021" i="8"/>
  <c r="S2021" i="8"/>
  <c r="AI2021" i="8" s="1"/>
  <c r="T2021" i="8"/>
  <c r="AJ2021" i="8" s="1"/>
  <c r="R2022" i="8"/>
  <c r="S2022" i="8"/>
  <c r="AI2022" i="8" s="1"/>
  <c r="T2022" i="8"/>
  <c r="AJ2022" i="8" s="1"/>
  <c r="R2023" i="8"/>
  <c r="S2023" i="8"/>
  <c r="AI2023" i="8" s="1"/>
  <c r="T2023" i="8"/>
  <c r="R2024" i="8"/>
  <c r="S2024" i="8"/>
  <c r="T2024" i="8"/>
  <c r="AJ2024" i="8" s="1"/>
  <c r="R2025" i="8"/>
  <c r="S2025" i="8"/>
  <c r="AI2025" i="8" s="1"/>
  <c r="T2025" i="8"/>
  <c r="AJ2025" i="8" s="1"/>
  <c r="R2026" i="8"/>
  <c r="S2026" i="8"/>
  <c r="AI2026" i="8" s="1"/>
  <c r="T2026" i="8"/>
  <c r="AJ2026" i="8" s="1"/>
  <c r="R2027" i="8"/>
  <c r="S2027" i="8"/>
  <c r="AI2027" i="8" s="1"/>
  <c r="T2027" i="8"/>
  <c r="AJ2027" i="8" s="1"/>
  <c r="R2028" i="8"/>
  <c r="S2028" i="8"/>
  <c r="AI2028" i="8" s="1"/>
  <c r="T2028" i="8"/>
  <c r="AJ2028" i="8" s="1"/>
  <c r="R2029" i="8"/>
  <c r="S2029" i="8"/>
  <c r="AI2029" i="8" s="1"/>
  <c r="T2029" i="8"/>
  <c r="AJ2029" i="8" s="1"/>
  <c r="R2030" i="8"/>
  <c r="S2030" i="8"/>
  <c r="AI2030" i="8" s="1"/>
  <c r="T2030" i="8"/>
  <c r="AJ2030" i="8" s="1"/>
  <c r="R2031" i="8"/>
  <c r="S2031" i="8"/>
  <c r="AI2031" i="8" s="1"/>
  <c r="T2031" i="8"/>
  <c r="AJ2031" i="8" s="1"/>
  <c r="R2032" i="8"/>
  <c r="S2032" i="8"/>
  <c r="AI2032" i="8" s="1"/>
  <c r="T2032" i="8"/>
  <c r="AJ2032" i="8" s="1"/>
  <c r="R2033" i="8"/>
  <c r="S2033" i="8"/>
  <c r="AI2033" i="8" s="1"/>
  <c r="T2033" i="8"/>
  <c r="AJ2033" i="8" s="1"/>
  <c r="R2034" i="8"/>
  <c r="S2034" i="8"/>
  <c r="AI2034" i="8" s="1"/>
  <c r="T2034" i="8"/>
  <c r="AJ2034" i="8" s="1"/>
  <c r="R2035" i="8"/>
  <c r="S2035" i="8"/>
  <c r="AI2035" i="8" s="1"/>
  <c r="T2035" i="8"/>
  <c r="AJ2035" i="8" s="1"/>
  <c r="R2036" i="8"/>
  <c r="S2036" i="8"/>
  <c r="AI2036" i="8" s="1"/>
  <c r="T2036" i="8"/>
  <c r="AJ2036" i="8" s="1"/>
  <c r="R2037" i="8"/>
  <c r="S2037" i="8"/>
  <c r="AI2037" i="8" s="1"/>
  <c r="T2037" i="8"/>
  <c r="AJ2037" i="8" s="1"/>
  <c r="R2038" i="8"/>
  <c r="S2038" i="8"/>
  <c r="T2038" i="8"/>
  <c r="AJ2038" i="8" s="1"/>
  <c r="R2039" i="8"/>
  <c r="S2039" i="8"/>
  <c r="AI2039" i="8" s="1"/>
  <c r="T2039" i="8"/>
  <c r="AJ2039" i="8" s="1"/>
  <c r="R2040" i="8"/>
  <c r="S2040" i="8"/>
  <c r="AI2040" i="8" s="1"/>
  <c r="T2040" i="8"/>
  <c r="AJ2040" i="8" s="1"/>
  <c r="R2041" i="8"/>
  <c r="S2041" i="8"/>
  <c r="AI2041" i="8" s="1"/>
  <c r="T2041" i="8"/>
  <c r="AJ2041" i="8" s="1"/>
  <c r="R2042" i="8"/>
  <c r="S2042" i="8"/>
  <c r="T2042" i="8"/>
  <c r="R2043" i="8"/>
  <c r="S2043" i="8"/>
  <c r="AI2043" i="8" s="1"/>
  <c r="T2043" i="8"/>
  <c r="AJ2043" i="8" s="1"/>
  <c r="R2044" i="8"/>
  <c r="S2044" i="8"/>
  <c r="AI2044" i="8" s="1"/>
  <c r="T2044" i="8"/>
  <c r="AJ2044" i="8" s="1"/>
  <c r="R2045" i="8"/>
  <c r="S2045" i="8"/>
  <c r="AI2045" i="8" s="1"/>
  <c r="T2045" i="8"/>
  <c r="AJ2045" i="8" s="1"/>
  <c r="R2046" i="8"/>
  <c r="S2046" i="8"/>
  <c r="AI2046" i="8" s="1"/>
  <c r="T2046" i="8"/>
  <c r="AJ2046" i="8" s="1"/>
  <c r="R2047" i="8"/>
  <c r="S2047" i="8"/>
  <c r="AI2047" i="8" s="1"/>
  <c r="T2047" i="8"/>
  <c r="AJ2047" i="8" s="1"/>
  <c r="R2048" i="8"/>
  <c r="S2048" i="8"/>
  <c r="AI2048" i="8" s="1"/>
  <c r="T2048" i="8"/>
  <c r="AJ2048" i="8" s="1"/>
  <c r="R2049" i="8"/>
  <c r="S2049" i="8"/>
  <c r="AI2049" i="8" s="1"/>
  <c r="T2049" i="8"/>
  <c r="AJ2049" i="8" s="1"/>
  <c r="R2050" i="8"/>
  <c r="S2050" i="8"/>
  <c r="AI2050" i="8" s="1"/>
  <c r="T2050" i="8"/>
  <c r="AJ2050" i="8" s="1"/>
  <c r="R2051" i="8"/>
  <c r="S2051" i="8"/>
  <c r="AI2051" i="8" s="1"/>
  <c r="T2051" i="8"/>
  <c r="R2052" i="8"/>
  <c r="S2052" i="8"/>
  <c r="AI2052" i="8" s="1"/>
  <c r="T2052" i="8"/>
  <c r="AJ2052" i="8" s="1"/>
  <c r="R2053" i="8"/>
  <c r="S2053" i="8"/>
  <c r="AI2053" i="8" s="1"/>
  <c r="T2053" i="8"/>
  <c r="AJ2053" i="8" s="1"/>
  <c r="R2054" i="8"/>
  <c r="S2054" i="8"/>
  <c r="AI2054" i="8" s="1"/>
  <c r="T2054" i="8"/>
  <c r="AJ2054" i="8" s="1"/>
  <c r="R2055" i="8"/>
  <c r="S2055" i="8"/>
  <c r="AI2055" i="8" s="1"/>
  <c r="T2055" i="8"/>
  <c r="AJ2055" i="8" s="1"/>
  <c r="R2056" i="8"/>
  <c r="S2056" i="8"/>
  <c r="T2056" i="8"/>
  <c r="AJ2056" i="8" s="1"/>
  <c r="R2057" i="8"/>
  <c r="S2057" i="8"/>
  <c r="AI2057" i="8" s="1"/>
  <c r="T2057" i="8"/>
  <c r="AJ2057" i="8" s="1"/>
  <c r="R2058" i="8"/>
  <c r="S2058" i="8"/>
  <c r="AI2058" i="8" s="1"/>
  <c r="T2058" i="8"/>
  <c r="AJ2058" i="8" s="1"/>
  <c r="R2059" i="8"/>
  <c r="S2059" i="8"/>
  <c r="AI2059" i="8" s="1"/>
  <c r="T2059" i="8"/>
  <c r="AJ2059" i="8" s="1"/>
  <c r="R2060" i="8"/>
  <c r="S2060" i="8"/>
  <c r="AI2060" i="8" s="1"/>
  <c r="T2060" i="8"/>
  <c r="AJ2060" i="8" s="1"/>
  <c r="R2061" i="8"/>
  <c r="S2061" i="8"/>
  <c r="T2061" i="8"/>
  <c r="AJ2061" i="8" s="1"/>
  <c r="R2062" i="8"/>
  <c r="S2062" i="8"/>
  <c r="AI2062" i="8" s="1"/>
  <c r="T2062" i="8"/>
  <c r="AJ2062" i="8" s="1"/>
  <c r="R2063" i="8"/>
  <c r="S2063" i="8"/>
  <c r="AI2063" i="8" s="1"/>
  <c r="T2063" i="8"/>
  <c r="AJ2063" i="8" s="1"/>
  <c r="R2064" i="8"/>
  <c r="S2064" i="8"/>
  <c r="AI2064" i="8" s="1"/>
  <c r="T2064" i="8"/>
  <c r="AJ2064" i="8" s="1"/>
  <c r="R2065" i="8"/>
  <c r="S2065" i="8"/>
  <c r="AI2065" i="8" s="1"/>
  <c r="T2065" i="8"/>
  <c r="AJ2065" i="8" s="1"/>
  <c r="R2066" i="8"/>
  <c r="S2066" i="8"/>
  <c r="AI2066" i="8" s="1"/>
  <c r="T2066" i="8"/>
  <c r="AJ2066" i="8" s="1"/>
  <c r="R2067" i="8"/>
  <c r="S2067" i="8"/>
  <c r="AI2067" i="8" s="1"/>
  <c r="T2067" i="8"/>
  <c r="AJ2067" i="8" s="1"/>
  <c r="R2068" i="8"/>
  <c r="S2068" i="8"/>
  <c r="AI2068" i="8" s="1"/>
  <c r="T2068" i="8"/>
  <c r="AJ2068" i="8" s="1"/>
  <c r="R2069" i="8"/>
  <c r="S2069" i="8"/>
  <c r="AI2069" i="8" s="1"/>
  <c r="T2069" i="8"/>
  <c r="AJ2069" i="8" s="1"/>
  <c r="R2070" i="8"/>
  <c r="S2070" i="8"/>
  <c r="AI2070" i="8" s="1"/>
  <c r="T2070" i="8"/>
  <c r="AJ2070" i="8" s="1"/>
  <c r="R2071" i="8"/>
  <c r="S2071" i="8"/>
  <c r="AI2071" i="8" s="1"/>
  <c r="T2071" i="8"/>
  <c r="AJ2071" i="8" s="1"/>
  <c r="R2072" i="8"/>
  <c r="S2072" i="8"/>
  <c r="AI2072" i="8" s="1"/>
  <c r="T2072" i="8"/>
  <c r="AJ2072" i="8" s="1"/>
  <c r="R2073" i="8"/>
  <c r="S2073" i="8"/>
  <c r="AI2073" i="8" s="1"/>
  <c r="T2073" i="8"/>
  <c r="AJ2073" i="8" s="1"/>
  <c r="R2074" i="8"/>
  <c r="S2074" i="8"/>
  <c r="AI2074" i="8" s="1"/>
  <c r="T2074" i="8"/>
  <c r="AJ2074" i="8" s="1"/>
  <c r="R2075" i="8"/>
  <c r="S2075" i="8"/>
  <c r="AI2075" i="8" s="1"/>
  <c r="T2075" i="8"/>
  <c r="AJ2075" i="8" s="1"/>
  <c r="R2076" i="8"/>
  <c r="S2076" i="8"/>
  <c r="AI2076" i="8" s="1"/>
  <c r="T2076" i="8"/>
  <c r="AJ2076" i="8" s="1"/>
  <c r="R2077" i="8"/>
  <c r="S2077" i="8"/>
  <c r="T2077" i="8"/>
  <c r="R2078" i="8"/>
  <c r="S2078" i="8"/>
  <c r="AI2078" i="8" s="1"/>
  <c r="T2078" i="8"/>
  <c r="AJ2078" i="8" s="1"/>
  <c r="R2079" i="8"/>
  <c r="S2079" i="8"/>
  <c r="AI2079" i="8" s="1"/>
  <c r="T2079" i="8"/>
  <c r="AJ2079" i="8" s="1"/>
  <c r="R2080" i="8"/>
  <c r="S2080" i="8"/>
  <c r="AI2080" i="8" s="1"/>
  <c r="T2080" i="8"/>
  <c r="AJ2080" i="8" s="1"/>
  <c r="R2081" i="8"/>
  <c r="S2081" i="8"/>
  <c r="AI2081" i="8" s="1"/>
  <c r="T2081" i="8"/>
  <c r="AJ2081" i="8" s="1"/>
  <c r="R2082" i="8"/>
  <c r="S2082" i="8"/>
  <c r="AI2082" i="8" s="1"/>
  <c r="T2082" i="8"/>
  <c r="AJ2082" i="8" s="1"/>
  <c r="R2083" i="8"/>
  <c r="S2083" i="8"/>
  <c r="AI2083" i="8" s="1"/>
  <c r="T2083" i="8"/>
  <c r="AJ2083" i="8" s="1"/>
  <c r="R2084" i="8"/>
  <c r="S2084" i="8"/>
  <c r="AI2084" i="8" s="1"/>
  <c r="T2084" i="8"/>
  <c r="AJ2084" i="8" s="1"/>
  <c r="R2085" i="8"/>
  <c r="S2085" i="8"/>
  <c r="AI2085" i="8" s="1"/>
  <c r="T2085" i="8"/>
  <c r="AJ2085" i="8" s="1"/>
  <c r="R2086" i="8"/>
  <c r="S2086" i="8"/>
  <c r="AI2086" i="8" s="1"/>
  <c r="T2086" i="8"/>
  <c r="AJ2086" i="8" s="1"/>
  <c r="R2087" i="8"/>
  <c r="S2087" i="8"/>
  <c r="AI2087" i="8" s="1"/>
  <c r="T2087" i="8"/>
  <c r="AJ2087" i="8" s="1"/>
  <c r="R2088" i="8"/>
  <c r="S2088" i="8"/>
  <c r="AI2088" i="8" s="1"/>
  <c r="T2088" i="8"/>
  <c r="AJ2088" i="8" s="1"/>
  <c r="R2089" i="8"/>
  <c r="S2089" i="8"/>
  <c r="AI2089" i="8" s="1"/>
  <c r="T2089" i="8"/>
  <c r="AJ2089" i="8" s="1"/>
  <c r="R2090" i="8"/>
  <c r="S2090" i="8"/>
  <c r="AI2090" i="8" s="1"/>
  <c r="T2090" i="8"/>
  <c r="AJ2090" i="8" s="1"/>
  <c r="R2091" i="8"/>
  <c r="S2091" i="8"/>
  <c r="AI2091" i="8" s="1"/>
  <c r="T2091" i="8"/>
  <c r="AJ2091" i="8" s="1"/>
  <c r="R2092" i="8"/>
  <c r="S2092" i="8"/>
  <c r="AI2092" i="8" s="1"/>
  <c r="T2092" i="8"/>
  <c r="AJ2092" i="8" s="1"/>
  <c r="R2093" i="8"/>
  <c r="S2093" i="8"/>
  <c r="T2093" i="8"/>
  <c r="R2094" i="8"/>
  <c r="S2094" i="8"/>
  <c r="AI2094" i="8" s="1"/>
  <c r="T2094" i="8"/>
  <c r="AJ2094" i="8" s="1"/>
  <c r="R2095" i="8"/>
  <c r="S2095" i="8"/>
  <c r="AI2095" i="8" s="1"/>
  <c r="T2095" i="8"/>
  <c r="AJ2095" i="8" s="1"/>
  <c r="R2096" i="8"/>
  <c r="S2096" i="8"/>
  <c r="AI2096" i="8" s="1"/>
  <c r="T2096" i="8"/>
  <c r="AJ2096" i="8" s="1"/>
  <c r="R2097" i="8"/>
  <c r="S2097" i="8"/>
  <c r="AI2097" i="8" s="1"/>
  <c r="T2097" i="8"/>
  <c r="AJ2097" i="8" s="1"/>
  <c r="R2098" i="8"/>
  <c r="S2098" i="8"/>
  <c r="AI2098" i="8" s="1"/>
  <c r="T2098" i="8"/>
  <c r="AJ2098" i="8" s="1"/>
  <c r="R2099" i="8"/>
  <c r="S2099" i="8"/>
  <c r="AI2099" i="8" s="1"/>
  <c r="T2099" i="8"/>
  <c r="AJ2099" i="8" s="1"/>
  <c r="R2100" i="8"/>
  <c r="S2100" i="8"/>
  <c r="AI2100" i="8" s="1"/>
  <c r="T2100" i="8"/>
  <c r="AJ2100" i="8" s="1"/>
  <c r="R2101" i="8"/>
  <c r="S2101" i="8"/>
  <c r="AI2101" i="8" s="1"/>
  <c r="T2101" i="8"/>
  <c r="AJ2101" i="8" s="1"/>
  <c r="R2102" i="8"/>
  <c r="S2102" i="8"/>
  <c r="AI2102" i="8" s="1"/>
  <c r="T2102" i="8"/>
  <c r="AJ2102" i="8" s="1"/>
  <c r="R2103" i="8"/>
  <c r="S2103" i="8"/>
  <c r="AI2103" i="8" s="1"/>
  <c r="T2103" i="8"/>
  <c r="AJ2103" i="8" s="1"/>
  <c r="R2104" i="8"/>
  <c r="S2104" i="8"/>
  <c r="AI2104" i="8" s="1"/>
  <c r="T2104" i="8"/>
  <c r="AJ2104" i="8" s="1"/>
  <c r="R2105" i="8"/>
  <c r="S2105" i="8"/>
  <c r="AI2105" i="8" s="1"/>
  <c r="T2105" i="8"/>
  <c r="AJ2105" i="8" s="1"/>
  <c r="R2106" i="8"/>
  <c r="S2106" i="8"/>
  <c r="AI2106" i="8" s="1"/>
  <c r="T2106" i="8"/>
  <c r="AJ2106" i="8" s="1"/>
  <c r="R2107" i="8"/>
  <c r="S2107" i="8"/>
  <c r="AI2107" i="8" s="1"/>
  <c r="T2107" i="8"/>
  <c r="AJ2107" i="8" s="1"/>
  <c r="R2108" i="8"/>
  <c r="S2108" i="8"/>
  <c r="AI2108" i="8" s="1"/>
  <c r="T2108" i="8"/>
  <c r="AJ2108" i="8" s="1"/>
  <c r="R2109" i="8"/>
  <c r="S2109" i="8"/>
  <c r="T2109" i="8"/>
  <c r="R2110" i="8"/>
  <c r="S2110" i="8"/>
  <c r="AI2110" i="8" s="1"/>
  <c r="T2110" i="8"/>
  <c r="AJ2110" i="8" s="1"/>
  <c r="R2111" i="8"/>
  <c r="S2111" i="8"/>
  <c r="AI2111" i="8" s="1"/>
  <c r="T2111" i="8"/>
  <c r="AJ2111" i="8" s="1"/>
  <c r="R2112" i="8"/>
  <c r="S2112" i="8"/>
  <c r="AI2112" i="8" s="1"/>
  <c r="T2112" i="8"/>
  <c r="AJ2112" i="8" s="1"/>
  <c r="R2113" i="8"/>
  <c r="S2113" i="8"/>
  <c r="AI2113" i="8" s="1"/>
  <c r="T2113" i="8"/>
  <c r="AJ2113" i="8" s="1"/>
  <c r="R2114" i="8"/>
  <c r="S2114" i="8"/>
  <c r="AI2114" i="8" s="1"/>
  <c r="T2114" i="8"/>
  <c r="AJ2114" i="8" s="1"/>
  <c r="R2115" i="8"/>
  <c r="S2115" i="8"/>
  <c r="AI2115" i="8" s="1"/>
  <c r="T2115" i="8"/>
  <c r="AJ2115" i="8" s="1"/>
  <c r="R2116" i="8"/>
  <c r="S2116" i="8"/>
  <c r="AI2116" i="8" s="1"/>
  <c r="T2116" i="8"/>
  <c r="AJ2116" i="8" s="1"/>
  <c r="R2117" i="8"/>
  <c r="S2117" i="8"/>
  <c r="AI2117" i="8" s="1"/>
  <c r="T2117" i="8"/>
  <c r="AJ2117" i="8" s="1"/>
  <c r="R2118" i="8"/>
  <c r="S2118" i="8"/>
  <c r="AI2118" i="8" s="1"/>
  <c r="T2118" i="8"/>
  <c r="AJ2118" i="8" s="1"/>
  <c r="R2119" i="8"/>
  <c r="S2119" i="8"/>
  <c r="AI2119" i="8" s="1"/>
  <c r="T2119" i="8"/>
  <c r="AJ2119" i="8" s="1"/>
  <c r="R2120" i="8"/>
  <c r="S2120" i="8"/>
  <c r="AI2120" i="8" s="1"/>
  <c r="T2120" i="8"/>
  <c r="AJ2120" i="8" s="1"/>
  <c r="R2121" i="8"/>
  <c r="S2121" i="8"/>
  <c r="AI2121" i="8" s="1"/>
  <c r="T2121" i="8"/>
  <c r="AJ2121" i="8" s="1"/>
  <c r="R2122" i="8"/>
  <c r="S2122" i="8"/>
  <c r="AI2122" i="8" s="1"/>
  <c r="T2122" i="8"/>
  <c r="AJ2122" i="8" s="1"/>
  <c r="R2123" i="8"/>
  <c r="S2123" i="8"/>
  <c r="AI2123" i="8" s="1"/>
  <c r="T2123" i="8"/>
  <c r="AJ2123" i="8" s="1"/>
  <c r="R2124" i="8"/>
  <c r="S2124" i="8"/>
  <c r="AI2124" i="8" s="1"/>
  <c r="T2124" i="8"/>
  <c r="AJ2124" i="8" s="1"/>
  <c r="R2125" i="8"/>
  <c r="S2125" i="8"/>
  <c r="T2125" i="8"/>
  <c r="R2126" i="8"/>
  <c r="S2126" i="8"/>
  <c r="AI2126" i="8" s="1"/>
  <c r="T2126" i="8"/>
  <c r="AJ2126" i="8" s="1"/>
  <c r="R2127" i="8"/>
  <c r="S2127" i="8"/>
  <c r="AI2127" i="8" s="1"/>
  <c r="T2127" i="8"/>
  <c r="AJ2127" i="8" s="1"/>
  <c r="R2128" i="8"/>
  <c r="S2128" i="8"/>
  <c r="AI2128" i="8" s="1"/>
  <c r="T2128" i="8"/>
  <c r="AJ2128" i="8" s="1"/>
  <c r="R2129" i="8"/>
  <c r="S2129" i="8"/>
  <c r="AI2129" i="8" s="1"/>
  <c r="T2129" i="8"/>
  <c r="AJ2129" i="8" s="1"/>
  <c r="R2130" i="8"/>
  <c r="S2130" i="8"/>
  <c r="AI2130" i="8" s="1"/>
  <c r="T2130" i="8"/>
  <c r="AJ2130" i="8" s="1"/>
  <c r="R2131" i="8"/>
  <c r="S2131" i="8"/>
  <c r="AI2131" i="8" s="1"/>
  <c r="T2131" i="8"/>
  <c r="R2132" i="8"/>
  <c r="S2132" i="8"/>
  <c r="AI2132" i="8" s="1"/>
  <c r="T2132" i="8"/>
  <c r="AJ2132" i="8" s="1"/>
  <c r="R2133" i="8"/>
  <c r="S2133" i="8"/>
  <c r="AI2133" i="8" s="1"/>
  <c r="T2133" i="8"/>
  <c r="AJ2133" i="8" s="1"/>
  <c r="R2134" i="8"/>
  <c r="S2134" i="8"/>
  <c r="T2134" i="8"/>
  <c r="AJ2134" i="8" s="1"/>
  <c r="R2135" i="8"/>
  <c r="S2135" i="8"/>
  <c r="AI2135" i="8" s="1"/>
  <c r="T2135" i="8"/>
  <c r="R2136" i="8"/>
  <c r="S2136" i="8"/>
  <c r="T2136" i="8"/>
  <c r="AJ2136" i="8" s="1"/>
  <c r="R2137" i="8"/>
  <c r="S2137" i="8"/>
  <c r="AI2137" i="8" s="1"/>
  <c r="T2137" i="8"/>
  <c r="AJ2137" i="8" s="1"/>
  <c r="R2138" i="8"/>
  <c r="S2138" i="8"/>
  <c r="AI2138" i="8" s="1"/>
  <c r="T2138" i="8"/>
  <c r="AJ2138" i="8" s="1"/>
  <c r="R2139" i="8"/>
  <c r="S2139" i="8"/>
  <c r="AI2139" i="8" s="1"/>
  <c r="T2139" i="8"/>
  <c r="AJ2139" i="8" s="1"/>
  <c r="R2140" i="8"/>
  <c r="S2140" i="8"/>
  <c r="AI2140" i="8" s="1"/>
  <c r="T2140" i="8"/>
  <c r="AJ2140" i="8" s="1"/>
  <c r="R2141" i="8"/>
  <c r="S2141" i="8"/>
  <c r="T2141" i="8"/>
  <c r="AJ2141" i="8" s="1"/>
  <c r="R2142" i="8"/>
  <c r="S2142" i="8"/>
  <c r="AI2142" i="8" s="1"/>
  <c r="T2142" i="8"/>
  <c r="AJ2142" i="8" s="1"/>
  <c r="R2143" i="8"/>
  <c r="S2143" i="8"/>
  <c r="T2143" i="8"/>
  <c r="AJ2143" i="8" s="1"/>
  <c r="R2144" i="8"/>
  <c r="S2144" i="8"/>
  <c r="AI2144" i="8" s="1"/>
  <c r="T2144" i="8"/>
  <c r="AJ2144" i="8" s="1"/>
  <c r="R2145" i="8"/>
  <c r="S2145" i="8"/>
  <c r="AI2145" i="8" s="1"/>
  <c r="T2145" i="8"/>
  <c r="AJ2145" i="8" s="1"/>
  <c r="R2146" i="8"/>
  <c r="S2146" i="8"/>
  <c r="AI2146" i="8" s="1"/>
  <c r="T2146" i="8"/>
  <c r="AJ2146" i="8" s="1"/>
  <c r="R2147" i="8"/>
  <c r="S2147" i="8"/>
  <c r="AI2147" i="8" s="1"/>
  <c r="T2147" i="8"/>
  <c r="AJ2147" i="8" s="1"/>
  <c r="R2148" i="8"/>
  <c r="S2148" i="8"/>
  <c r="AI2148" i="8" s="1"/>
  <c r="T2148" i="8"/>
  <c r="AJ2148" i="8" s="1"/>
  <c r="R2149" i="8"/>
  <c r="S2149" i="8"/>
  <c r="AI2149" i="8" s="1"/>
  <c r="T2149" i="8"/>
  <c r="AJ2149" i="8" s="1"/>
  <c r="R2150" i="8"/>
  <c r="S2150" i="8"/>
  <c r="T2150" i="8"/>
  <c r="AJ2150" i="8" s="1"/>
  <c r="R2151" i="8"/>
  <c r="S2151" i="8"/>
  <c r="AI2151" i="8" s="1"/>
  <c r="T2151" i="8"/>
  <c r="AJ2151" i="8" s="1"/>
  <c r="R2152" i="8"/>
  <c r="S2152" i="8"/>
  <c r="T2152" i="8"/>
  <c r="AJ2152" i="8" s="1"/>
  <c r="R2153" i="8"/>
  <c r="S2153" i="8"/>
  <c r="AI2153" i="8" s="1"/>
  <c r="T2153" i="8"/>
  <c r="AJ2153" i="8" s="1"/>
  <c r="R2154" i="8"/>
  <c r="S2154" i="8"/>
  <c r="T2154" i="8"/>
  <c r="R2155" i="8"/>
  <c r="S2155" i="8"/>
  <c r="AI2155" i="8" s="1"/>
  <c r="T2155" i="8"/>
  <c r="AJ2155" i="8" s="1"/>
  <c r="R2156" i="8"/>
  <c r="S2156" i="8"/>
  <c r="AI2156" i="8" s="1"/>
  <c r="T2156" i="8"/>
  <c r="AJ2156" i="8" s="1"/>
  <c r="R2157" i="8"/>
  <c r="S2157" i="8"/>
  <c r="AI2157" i="8" s="1"/>
  <c r="T2157" i="8"/>
  <c r="AJ2157" i="8" s="1"/>
  <c r="R2158" i="8"/>
  <c r="S2158" i="8"/>
  <c r="AI2158" i="8" s="1"/>
  <c r="T2158" i="8"/>
  <c r="AJ2158" i="8" s="1"/>
  <c r="R2159" i="8"/>
  <c r="S2159" i="8"/>
  <c r="T2159" i="8"/>
  <c r="AJ2159" i="8" s="1"/>
  <c r="R2160" i="8"/>
  <c r="S2160" i="8"/>
  <c r="AI2160" i="8" s="1"/>
  <c r="T2160" i="8"/>
  <c r="AJ2160" i="8" s="1"/>
  <c r="R2161" i="8"/>
  <c r="S2161" i="8"/>
  <c r="AI2161" i="8" s="1"/>
  <c r="T2161" i="8"/>
  <c r="AJ2161" i="8" s="1"/>
  <c r="R2162" i="8"/>
  <c r="S2162" i="8"/>
  <c r="AI2162" i="8" s="1"/>
  <c r="T2162" i="8"/>
  <c r="AJ2162" i="8" s="1"/>
  <c r="R2163" i="8"/>
  <c r="S2163" i="8"/>
  <c r="T2163" i="8"/>
  <c r="R2164" i="8"/>
  <c r="S2164" i="8"/>
  <c r="AI2164" i="8" s="1"/>
  <c r="T2164" i="8"/>
  <c r="AJ2164" i="8" s="1"/>
  <c r="R2165" i="8"/>
  <c r="S2165" i="8"/>
  <c r="AI2165" i="8" s="1"/>
  <c r="T2165" i="8"/>
  <c r="AJ2165" i="8" s="1"/>
  <c r="R2166" i="8"/>
  <c r="S2166" i="8"/>
  <c r="AI2166" i="8" s="1"/>
  <c r="T2166" i="8"/>
  <c r="AJ2166" i="8" s="1"/>
  <c r="R2167" i="8"/>
  <c r="S2167" i="8"/>
  <c r="AI2167" i="8" s="1"/>
  <c r="T2167" i="8"/>
  <c r="AJ2167" i="8" s="1"/>
  <c r="R2168" i="8"/>
  <c r="S2168" i="8"/>
  <c r="AI2168" i="8" s="1"/>
  <c r="T2168" i="8"/>
  <c r="AJ2168" i="8" s="1"/>
  <c r="R2169" i="8"/>
  <c r="S2169" i="8"/>
  <c r="AI2169" i="8" s="1"/>
  <c r="T2169" i="8"/>
  <c r="AJ2169" i="8" s="1"/>
  <c r="R2170" i="8"/>
  <c r="S2170" i="8"/>
  <c r="AI2170" i="8" s="1"/>
  <c r="T2170" i="8"/>
  <c r="R2171" i="8"/>
  <c r="S2171" i="8"/>
  <c r="AI2171" i="8" s="1"/>
  <c r="T2171" i="8"/>
  <c r="AJ2171" i="8" s="1"/>
  <c r="R2172" i="8"/>
  <c r="S2172" i="8"/>
  <c r="AI2172" i="8" s="1"/>
  <c r="T2172" i="8"/>
  <c r="AJ2172" i="8" s="1"/>
  <c r="R2173" i="8"/>
  <c r="S2173" i="8"/>
  <c r="T2173" i="8"/>
  <c r="AJ2173" i="8" s="1"/>
  <c r="R2174" i="8"/>
  <c r="S2174" i="8"/>
  <c r="AI2174" i="8" s="1"/>
  <c r="T2174" i="8"/>
  <c r="AJ2174" i="8" s="1"/>
  <c r="R2175" i="8"/>
  <c r="S2175" i="8"/>
  <c r="AI2175" i="8" s="1"/>
  <c r="T2175" i="8"/>
  <c r="AJ2175" i="8" s="1"/>
  <c r="R2176" i="8"/>
  <c r="S2176" i="8"/>
  <c r="AI2176" i="8" s="1"/>
  <c r="T2176" i="8"/>
  <c r="AJ2176" i="8" s="1"/>
  <c r="R2177" i="8"/>
  <c r="S2177" i="8"/>
  <c r="AI2177" i="8" s="1"/>
  <c r="T2177" i="8"/>
  <c r="AJ2177" i="8" s="1"/>
  <c r="R2178" i="8"/>
  <c r="S2178" i="8"/>
  <c r="AI2178" i="8" s="1"/>
  <c r="T2178" i="8"/>
  <c r="AJ2178" i="8" s="1"/>
  <c r="R2179" i="8"/>
  <c r="S2179" i="8"/>
  <c r="AI2179" i="8" s="1"/>
  <c r="T2179" i="8"/>
  <c r="R2180" i="8"/>
  <c r="S2180" i="8"/>
  <c r="AI2180" i="8" s="1"/>
  <c r="T2180" i="8"/>
  <c r="AJ2180" i="8" s="1"/>
  <c r="R2181" i="8"/>
  <c r="S2181" i="8"/>
  <c r="AI2181" i="8" s="1"/>
  <c r="T2181" i="8"/>
  <c r="R2182" i="8"/>
  <c r="S2182" i="8"/>
  <c r="T2182" i="8"/>
  <c r="AJ2182" i="8" s="1"/>
  <c r="R2183" i="8"/>
  <c r="S2183" i="8"/>
  <c r="AI2183" i="8" s="1"/>
  <c r="T2183" i="8"/>
  <c r="AJ2183" i="8" s="1"/>
  <c r="R2184" i="8"/>
  <c r="S2184" i="8"/>
  <c r="AI2184" i="8" s="1"/>
  <c r="T2184" i="8"/>
  <c r="AJ2184" i="8" s="1"/>
  <c r="R2185" i="8"/>
  <c r="S2185" i="8"/>
  <c r="AI2185" i="8" s="1"/>
  <c r="T2185" i="8"/>
  <c r="AJ2185" i="8" s="1"/>
  <c r="R2186" i="8"/>
  <c r="S2186" i="8"/>
  <c r="AI2186" i="8" s="1"/>
  <c r="T2186" i="8"/>
  <c r="R2187" i="8"/>
  <c r="S2187" i="8"/>
  <c r="AI2187" i="8" s="1"/>
  <c r="T2187" i="8"/>
  <c r="AJ2187" i="8" s="1"/>
  <c r="R2188" i="8"/>
  <c r="S2188" i="8"/>
  <c r="AI2188" i="8" s="1"/>
  <c r="T2188" i="8"/>
  <c r="AJ2188" i="8" s="1"/>
  <c r="R2189" i="8"/>
  <c r="S2189" i="8"/>
  <c r="T2189" i="8"/>
  <c r="AJ2189" i="8" s="1"/>
  <c r="R2190" i="8"/>
  <c r="S2190" i="8"/>
  <c r="AI2190" i="8" s="1"/>
  <c r="T2190" i="8"/>
  <c r="AJ2190" i="8" s="1"/>
  <c r="R2191" i="8"/>
  <c r="S2191" i="8"/>
  <c r="T2191" i="8"/>
  <c r="AJ2191" i="8" s="1"/>
  <c r="R2192" i="8"/>
  <c r="S2192" i="8"/>
  <c r="AI2192" i="8" s="1"/>
  <c r="T2192" i="8"/>
  <c r="AJ2192" i="8" s="1"/>
  <c r="R2193" i="8"/>
  <c r="S2193" i="8"/>
  <c r="AI2193" i="8" s="1"/>
  <c r="T2193" i="8"/>
  <c r="AJ2193" i="8" s="1"/>
  <c r="R2194" i="8"/>
  <c r="S2194" i="8"/>
  <c r="AI2194" i="8" s="1"/>
  <c r="T2194" i="8"/>
  <c r="AJ2194" i="8" s="1"/>
  <c r="R2195" i="8"/>
  <c r="S2195" i="8"/>
  <c r="AI2195" i="8" s="1"/>
  <c r="T2195" i="8"/>
  <c r="R2196" i="8"/>
  <c r="S2196" i="8"/>
  <c r="AI2196" i="8" s="1"/>
  <c r="T2196" i="8"/>
  <c r="AJ2196" i="8" s="1"/>
  <c r="R2197" i="8"/>
  <c r="S2197" i="8"/>
  <c r="AI2197" i="8" s="1"/>
  <c r="T2197" i="8"/>
  <c r="AJ2197" i="8" s="1"/>
  <c r="R2198" i="8"/>
  <c r="S2198" i="8"/>
  <c r="T2198" i="8"/>
  <c r="AJ2198" i="8" s="1"/>
  <c r="R2199" i="8"/>
  <c r="S2199" i="8"/>
  <c r="AI2199" i="8" s="1"/>
  <c r="T2199" i="8"/>
  <c r="R2200" i="8"/>
  <c r="S2200" i="8"/>
  <c r="T2200" i="8"/>
  <c r="AJ2200" i="8" s="1"/>
  <c r="R2201" i="8"/>
  <c r="S2201" i="8"/>
  <c r="AI2201" i="8" s="1"/>
  <c r="T2201" i="8"/>
  <c r="AJ2201" i="8" s="1"/>
  <c r="R2202" i="8"/>
  <c r="S2202" i="8"/>
  <c r="AI2202" i="8" s="1"/>
  <c r="T2202" i="8"/>
  <c r="AJ2202" i="8" s="1"/>
  <c r="R2203" i="8"/>
  <c r="S2203" i="8"/>
  <c r="AI2203" i="8" s="1"/>
  <c r="T2203" i="8"/>
  <c r="AJ2203" i="8" s="1"/>
  <c r="R2204" i="8"/>
  <c r="S2204" i="8"/>
  <c r="AI2204" i="8" s="1"/>
  <c r="T2204" i="8"/>
  <c r="AJ2204" i="8" s="1"/>
  <c r="R2205" i="8"/>
  <c r="S2205" i="8"/>
  <c r="T2205" i="8"/>
  <c r="AJ2205" i="8" s="1"/>
  <c r="R2206" i="8"/>
  <c r="S2206" i="8"/>
  <c r="AI2206" i="8" s="1"/>
  <c r="T2206" i="8"/>
  <c r="AJ2206" i="8" s="1"/>
  <c r="R2207" i="8"/>
  <c r="S2207" i="8"/>
  <c r="T2207" i="8"/>
  <c r="AJ2207" i="8" s="1"/>
  <c r="R2208" i="8"/>
  <c r="S2208" i="8"/>
  <c r="AI2208" i="8" s="1"/>
  <c r="T2208" i="8"/>
  <c r="AJ2208" i="8" s="1"/>
  <c r="R2209" i="8"/>
  <c r="S2209" i="8"/>
  <c r="AI2209" i="8" s="1"/>
  <c r="T2209" i="8"/>
  <c r="AJ2209" i="8" s="1"/>
  <c r="R2210" i="8"/>
  <c r="S2210" i="8"/>
  <c r="AI2210" i="8" s="1"/>
  <c r="T2210" i="8"/>
  <c r="AJ2210" i="8" s="1"/>
  <c r="R2211" i="8"/>
  <c r="S2211" i="8"/>
  <c r="AI2211" i="8" s="1"/>
  <c r="T2211" i="8"/>
  <c r="AJ2211" i="8" s="1"/>
  <c r="R2212" i="8"/>
  <c r="S2212" i="8"/>
  <c r="AI2212" i="8" s="1"/>
  <c r="T2212" i="8"/>
  <c r="AJ2212" i="8" s="1"/>
  <c r="R2213" i="8"/>
  <c r="S2213" i="8"/>
  <c r="AI2213" i="8" s="1"/>
  <c r="T2213" i="8"/>
  <c r="AJ2213" i="8" s="1"/>
  <c r="R2214" i="8"/>
  <c r="S2214" i="8"/>
  <c r="T2214" i="8"/>
  <c r="AJ2214" i="8" s="1"/>
  <c r="R2215" i="8"/>
  <c r="S2215" i="8"/>
  <c r="AI2215" i="8" s="1"/>
  <c r="T2215" i="8"/>
  <c r="AJ2215" i="8" s="1"/>
  <c r="R2216" i="8"/>
  <c r="S2216" i="8"/>
  <c r="T2216" i="8"/>
  <c r="AJ2216" i="8" s="1"/>
  <c r="R2217" i="8"/>
  <c r="S2217" i="8"/>
  <c r="AI2217" i="8" s="1"/>
  <c r="T2217" i="8"/>
  <c r="AJ2217" i="8" s="1"/>
  <c r="R2218" i="8"/>
  <c r="S2218" i="8"/>
  <c r="T2218" i="8"/>
  <c r="R2219" i="8"/>
  <c r="S2219" i="8"/>
  <c r="AI2219" i="8" s="1"/>
  <c r="T2219" i="8"/>
  <c r="AJ2219" i="8" s="1"/>
  <c r="R2220" i="8"/>
  <c r="S2220" i="8"/>
  <c r="AI2220" i="8" s="1"/>
  <c r="T2220" i="8"/>
  <c r="AJ2220" i="8" s="1"/>
  <c r="R2221" i="8"/>
  <c r="S2221" i="8"/>
  <c r="AI2221" i="8" s="1"/>
  <c r="T2221" i="8"/>
  <c r="AJ2221" i="8" s="1"/>
  <c r="R2222" i="8"/>
  <c r="S2222" i="8"/>
  <c r="AI2222" i="8" s="1"/>
  <c r="T2222" i="8"/>
  <c r="AJ2222" i="8" s="1"/>
  <c r="R2223" i="8"/>
  <c r="S2223" i="8"/>
  <c r="T2223" i="8"/>
  <c r="AJ2223" i="8" s="1"/>
  <c r="R2224" i="8"/>
  <c r="S2224" i="8"/>
  <c r="AI2224" i="8" s="1"/>
  <c r="T2224" i="8"/>
  <c r="AJ2224" i="8" s="1"/>
  <c r="R2225" i="8"/>
  <c r="S2225" i="8"/>
  <c r="AI2225" i="8" s="1"/>
  <c r="T2225" i="8"/>
  <c r="AJ2225" i="8" s="1"/>
  <c r="R2226" i="8"/>
  <c r="S2226" i="8"/>
  <c r="AI2226" i="8" s="1"/>
  <c r="T2226" i="8"/>
  <c r="AJ2226" i="8" s="1"/>
  <c r="R2227" i="8"/>
  <c r="S2227" i="8"/>
  <c r="T2227" i="8"/>
  <c r="R2228" i="8"/>
  <c r="S2228" i="8"/>
  <c r="AI2228" i="8" s="1"/>
  <c r="T2228" i="8"/>
  <c r="AJ2228" i="8" s="1"/>
  <c r="R2229" i="8"/>
  <c r="S2229" i="8"/>
  <c r="AI2229" i="8" s="1"/>
  <c r="T2229" i="8"/>
  <c r="AJ2229" i="8" s="1"/>
  <c r="R2230" i="8"/>
  <c r="S2230" i="8"/>
  <c r="AI2230" i="8" s="1"/>
  <c r="T2230" i="8"/>
  <c r="AJ2230" i="8" s="1"/>
  <c r="R2231" i="8"/>
  <c r="S2231" i="8"/>
  <c r="AI2231" i="8" s="1"/>
  <c r="T2231" i="8"/>
  <c r="AJ2231" i="8" s="1"/>
  <c r="R2232" i="8"/>
  <c r="S2232" i="8"/>
  <c r="AI2232" i="8" s="1"/>
  <c r="T2232" i="8"/>
  <c r="AJ2232" i="8" s="1"/>
  <c r="R2233" i="8"/>
  <c r="S2233" i="8"/>
  <c r="AI2233" i="8" s="1"/>
  <c r="T2233" i="8"/>
  <c r="AJ2233" i="8" s="1"/>
  <c r="R2234" i="8"/>
  <c r="S2234" i="8"/>
  <c r="AI2234" i="8" s="1"/>
  <c r="T2234" i="8"/>
  <c r="R2235" i="8"/>
  <c r="S2235" i="8"/>
  <c r="AI2235" i="8" s="1"/>
  <c r="T2235" i="8"/>
  <c r="AJ2235" i="8" s="1"/>
  <c r="R2236" i="8"/>
  <c r="S2236" i="8"/>
  <c r="AI2236" i="8" s="1"/>
  <c r="T2236" i="8"/>
  <c r="AJ2236" i="8" s="1"/>
  <c r="R2237" i="8"/>
  <c r="S2237" i="8"/>
  <c r="T2237" i="8"/>
  <c r="AJ2237" i="8" s="1"/>
  <c r="R2238" i="8"/>
  <c r="S2238" i="8"/>
  <c r="AI2238" i="8" s="1"/>
  <c r="T2238" i="8"/>
  <c r="AJ2238" i="8" s="1"/>
  <c r="R2239" i="8"/>
  <c r="S2239" i="8"/>
  <c r="AI2239" i="8" s="1"/>
  <c r="T2239" i="8"/>
  <c r="AJ2239" i="8" s="1"/>
  <c r="R2240" i="8"/>
  <c r="S2240" i="8"/>
  <c r="AI2240" i="8" s="1"/>
  <c r="T2240" i="8"/>
  <c r="AJ2240" i="8" s="1"/>
  <c r="R2241" i="8"/>
  <c r="S2241" i="8"/>
  <c r="AI2241" i="8" s="1"/>
  <c r="T2241" i="8"/>
  <c r="AJ2241" i="8" s="1"/>
  <c r="R2242" i="8"/>
  <c r="S2242" i="8"/>
  <c r="AI2242" i="8" s="1"/>
  <c r="T2242" i="8"/>
  <c r="AJ2242" i="8" s="1"/>
  <c r="R2243" i="8"/>
  <c r="S2243" i="8"/>
  <c r="AI2243" i="8" s="1"/>
  <c r="T2243" i="8"/>
  <c r="R2244" i="8"/>
  <c r="S2244" i="8"/>
  <c r="AI2244" i="8" s="1"/>
  <c r="T2244" i="8"/>
  <c r="AJ2244" i="8" s="1"/>
  <c r="R2245" i="8"/>
  <c r="S2245" i="8"/>
  <c r="AI2245" i="8" s="1"/>
  <c r="T2245" i="8"/>
  <c r="R2246" i="8"/>
  <c r="S2246" i="8"/>
  <c r="T2246" i="8"/>
  <c r="AJ2246" i="8" s="1"/>
  <c r="R2247" i="8"/>
  <c r="S2247" i="8"/>
  <c r="AI2247" i="8" s="1"/>
  <c r="T2247" i="8"/>
  <c r="AJ2247" i="8" s="1"/>
  <c r="R2248" i="8"/>
  <c r="S2248" i="8"/>
  <c r="AI2248" i="8" s="1"/>
  <c r="T2248" i="8"/>
  <c r="AJ2248" i="8" s="1"/>
  <c r="R2249" i="8"/>
  <c r="S2249" i="8"/>
  <c r="AI2249" i="8" s="1"/>
  <c r="T2249" i="8"/>
  <c r="AJ2249" i="8" s="1"/>
  <c r="R2250" i="8"/>
  <c r="S2250" i="8"/>
  <c r="AI2250" i="8" s="1"/>
  <c r="T2250" i="8"/>
  <c r="R2251" i="8"/>
  <c r="S2251" i="8"/>
  <c r="AI2251" i="8" s="1"/>
  <c r="T2251" i="8"/>
  <c r="AJ2251" i="8" s="1"/>
  <c r="R2252" i="8"/>
  <c r="S2252" i="8"/>
  <c r="AI2252" i="8" s="1"/>
  <c r="T2252" i="8"/>
  <c r="AJ2252" i="8" s="1"/>
  <c r="R2253" i="8"/>
  <c r="S2253" i="8"/>
  <c r="T2253" i="8"/>
  <c r="AJ2253" i="8" s="1"/>
  <c r="R2254" i="8"/>
  <c r="S2254" i="8"/>
  <c r="AI2254" i="8" s="1"/>
  <c r="T2254" i="8"/>
  <c r="AJ2254" i="8" s="1"/>
  <c r="R2255" i="8"/>
  <c r="S2255" i="8"/>
  <c r="T2255" i="8"/>
  <c r="AJ2255" i="8" s="1"/>
  <c r="R2256" i="8"/>
  <c r="S2256" i="8"/>
  <c r="AI2256" i="8" s="1"/>
  <c r="T2256" i="8"/>
  <c r="AJ2256" i="8" s="1"/>
  <c r="R2257" i="8"/>
  <c r="S2257" i="8"/>
  <c r="AI2257" i="8" s="1"/>
  <c r="T2257" i="8"/>
  <c r="AJ2257" i="8" s="1"/>
  <c r="R2258" i="8"/>
  <c r="S2258" i="8"/>
  <c r="AI2258" i="8" s="1"/>
  <c r="T2258" i="8"/>
  <c r="AJ2258" i="8" s="1"/>
  <c r="R2259" i="8"/>
  <c r="S2259" i="8"/>
  <c r="AI2259" i="8" s="1"/>
  <c r="T2259" i="8"/>
  <c r="R2260" i="8"/>
  <c r="S2260" i="8"/>
  <c r="AI2260" i="8" s="1"/>
  <c r="T2260" i="8"/>
  <c r="AJ2260" i="8" s="1"/>
  <c r="R2261" i="8"/>
  <c r="S2261" i="8"/>
  <c r="AI2261" i="8" s="1"/>
  <c r="T2261" i="8"/>
  <c r="AJ2261" i="8" s="1"/>
  <c r="R2262" i="8"/>
  <c r="S2262" i="8"/>
  <c r="T2262" i="8"/>
  <c r="AJ2262" i="8" s="1"/>
  <c r="R2263" i="8"/>
  <c r="S2263" i="8"/>
  <c r="AI2263" i="8" s="1"/>
  <c r="T2263" i="8"/>
  <c r="R2264" i="8"/>
  <c r="S2264" i="8"/>
  <c r="T2264" i="8"/>
  <c r="AJ2264" i="8" s="1"/>
  <c r="R2265" i="8"/>
  <c r="S2265" i="8"/>
  <c r="AI2265" i="8" s="1"/>
  <c r="T2265" i="8"/>
  <c r="AJ2265" i="8" s="1"/>
  <c r="R2266" i="8"/>
  <c r="S2266" i="8"/>
  <c r="AI2266" i="8" s="1"/>
  <c r="T2266" i="8"/>
  <c r="AJ2266" i="8" s="1"/>
  <c r="R2267" i="8"/>
  <c r="S2267" i="8"/>
  <c r="AI2267" i="8" s="1"/>
  <c r="T2267" i="8"/>
  <c r="AJ2267" i="8" s="1"/>
  <c r="R2268" i="8"/>
  <c r="S2268" i="8"/>
  <c r="AI2268" i="8" s="1"/>
  <c r="T2268" i="8"/>
  <c r="AJ2268" i="8" s="1"/>
  <c r="R2269" i="8"/>
  <c r="S2269" i="8"/>
  <c r="T2269" i="8"/>
  <c r="AJ2269" i="8" s="1"/>
  <c r="R2270" i="8"/>
  <c r="S2270" i="8"/>
  <c r="AI2270" i="8" s="1"/>
  <c r="T2270" i="8"/>
  <c r="AJ2270" i="8" s="1"/>
  <c r="R2271" i="8"/>
  <c r="S2271" i="8"/>
  <c r="T2271" i="8"/>
  <c r="AJ2271" i="8" s="1"/>
  <c r="R2272" i="8"/>
  <c r="S2272" i="8"/>
  <c r="AI2272" i="8" s="1"/>
  <c r="T2272" i="8"/>
  <c r="AJ2272" i="8" s="1"/>
  <c r="R2273" i="8"/>
  <c r="S2273" i="8"/>
  <c r="AI2273" i="8" s="1"/>
  <c r="T2273" i="8"/>
  <c r="AJ2273" i="8" s="1"/>
  <c r="R2274" i="8"/>
  <c r="S2274" i="8"/>
  <c r="AI2274" i="8" s="1"/>
  <c r="T2274" i="8"/>
  <c r="AJ2274" i="8" s="1"/>
  <c r="R2275" i="8"/>
  <c r="S2275" i="8"/>
  <c r="AI2275" i="8" s="1"/>
  <c r="T2275" i="8"/>
  <c r="AJ2275" i="8" s="1"/>
  <c r="R2276" i="8"/>
  <c r="S2276" i="8"/>
  <c r="AI2276" i="8" s="1"/>
  <c r="T2276" i="8"/>
  <c r="AJ2276" i="8" s="1"/>
  <c r="R2277" i="8"/>
  <c r="S2277" i="8"/>
  <c r="AI2277" i="8" s="1"/>
  <c r="T2277" i="8"/>
  <c r="AJ2277" i="8" s="1"/>
  <c r="R2278" i="8"/>
  <c r="S2278" i="8"/>
  <c r="T2278" i="8"/>
  <c r="AJ2278" i="8" s="1"/>
  <c r="R2279" i="8"/>
  <c r="S2279" i="8"/>
  <c r="AI2279" i="8" s="1"/>
  <c r="T2279" i="8"/>
  <c r="AJ2279" i="8" s="1"/>
  <c r="R2280" i="8"/>
  <c r="S2280" i="8"/>
  <c r="T2280" i="8"/>
  <c r="AJ2280" i="8" s="1"/>
  <c r="R2281" i="8"/>
  <c r="S2281" i="8"/>
  <c r="AI2281" i="8" s="1"/>
  <c r="T2281" i="8"/>
  <c r="AJ2281" i="8" s="1"/>
  <c r="R2282" i="8"/>
  <c r="S2282" i="8"/>
  <c r="T2282" i="8"/>
  <c r="R2283" i="8"/>
  <c r="S2283" i="8"/>
  <c r="AI2283" i="8" s="1"/>
  <c r="T2283" i="8"/>
  <c r="AJ2283" i="8" s="1"/>
  <c r="R2284" i="8"/>
  <c r="S2284" i="8"/>
  <c r="AI2284" i="8" s="1"/>
  <c r="T2284" i="8"/>
  <c r="AJ2284" i="8" s="1"/>
  <c r="R2285" i="8"/>
  <c r="S2285" i="8"/>
  <c r="AI2285" i="8" s="1"/>
  <c r="T2285" i="8"/>
  <c r="AJ2285" i="8" s="1"/>
  <c r="R2286" i="8"/>
  <c r="S2286" i="8"/>
  <c r="AI2286" i="8" s="1"/>
  <c r="T2286" i="8"/>
  <c r="AJ2286" i="8" s="1"/>
  <c r="R2287" i="8"/>
  <c r="S2287" i="8"/>
  <c r="T2287" i="8"/>
  <c r="AJ2287" i="8" s="1"/>
  <c r="R2288" i="8"/>
  <c r="S2288" i="8"/>
  <c r="AI2288" i="8" s="1"/>
  <c r="T2288" i="8"/>
  <c r="AJ2288" i="8" s="1"/>
  <c r="R2289" i="8"/>
  <c r="S2289" i="8"/>
  <c r="AI2289" i="8" s="1"/>
  <c r="T2289" i="8"/>
  <c r="AJ2289" i="8" s="1"/>
  <c r="R2290" i="8"/>
  <c r="S2290" i="8"/>
  <c r="AI2290" i="8" s="1"/>
  <c r="T2290" i="8"/>
  <c r="AJ2290" i="8" s="1"/>
  <c r="R2291" i="8"/>
  <c r="S2291" i="8"/>
  <c r="T2291" i="8"/>
  <c r="R2292" i="8"/>
  <c r="S2292" i="8"/>
  <c r="AI2292" i="8" s="1"/>
  <c r="T2292" i="8"/>
  <c r="AJ2292" i="8" s="1"/>
  <c r="R2293" i="8"/>
  <c r="S2293" i="8"/>
  <c r="AI2293" i="8" s="1"/>
  <c r="T2293" i="8"/>
  <c r="AJ2293" i="8" s="1"/>
  <c r="R2294" i="8"/>
  <c r="S2294" i="8"/>
  <c r="AI2294" i="8" s="1"/>
  <c r="T2294" i="8"/>
  <c r="AJ2294" i="8" s="1"/>
  <c r="R2295" i="8"/>
  <c r="S2295" i="8"/>
  <c r="AI2295" i="8" s="1"/>
  <c r="T2295" i="8"/>
  <c r="AJ2295" i="8" s="1"/>
  <c r="R2296" i="8"/>
  <c r="S2296" i="8"/>
  <c r="AI2296" i="8" s="1"/>
  <c r="T2296" i="8"/>
  <c r="AJ2296" i="8" s="1"/>
  <c r="R2297" i="8"/>
  <c r="S2297" i="8"/>
  <c r="AI2297" i="8" s="1"/>
  <c r="T2297" i="8"/>
  <c r="AJ2297" i="8" s="1"/>
  <c r="R2298" i="8"/>
  <c r="S2298" i="8"/>
  <c r="AI2298" i="8" s="1"/>
  <c r="T2298" i="8"/>
  <c r="R2299" i="8"/>
  <c r="S2299" i="8"/>
  <c r="AI2299" i="8" s="1"/>
  <c r="T2299" i="8"/>
  <c r="AJ2299" i="8" s="1"/>
  <c r="R2300" i="8"/>
  <c r="S2300" i="8"/>
  <c r="AI2300" i="8" s="1"/>
  <c r="T2300" i="8"/>
  <c r="AJ2300" i="8" s="1"/>
  <c r="R2301" i="8"/>
  <c r="S2301" i="8"/>
  <c r="T2301" i="8"/>
  <c r="AJ2301" i="8" s="1"/>
  <c r="R2302" i="8"/>
  <c r="S2302" i="8"/>
  <c r="AI2302" i="8" s="1"/>
  <c r="T2302" i="8"/>
  <c r="AJ2302" i="8" s="1"/>
  <c r="R2303" i="8"/>
  <c r="S2303" i="8"/>
  <c r="AI2303" i="8" s="1"/>
  <c r="T2303" i="8"/>
  <c r="AJ2303" i="8" s="1"/>
  <c r="R2304" i="8"/>
  <c r="S2304" i="8"/>
  <c r="AI2304" i="8" s="1"/>
  <c r="T2304" i="8"/>
  <c r="AJ2304" i="8" s="1"/>
  <c r="R2305" i="8"/>
  <c r="S2305" i="8"/>
  <c r="AI2305" i="8" s="1"/>
  <c r="T2305" i="8"/>
  <c r="AJ2305" i="8" s="1"/>
  <c r="R2306" i="8"/>
  <c r="S2306" i="8"/>
  <c r="AI2306" i="8" s="1"/>
  <c r="T2306" i="8"/>
  <c r="AJ2306" i="8" s="1"/>
  <c r="R2307" i="8"/>
  <c r="S2307" i="8"/>
  <c r="AI2307" i="8" s="1"/>
  <c r="T2307" i="8"/>
  <c r="R2308" i="8"/>
  <c r="S2308" i="8"/>
  <c r="AI2308" i="8" s="1"/>
  <c r="T2308" i="8"/>
  <c r="AJ2308" i="8" s="1"/>
  <c r="R2309" i="8"/>
  <c r="S2309" i="8"/>
  <c r="AI2309" i="8" s="1"/>
  <c r="T2309" i="8"/>
  <c r="R2310" i="8"/>
  <c r="S2310" i="8"/>
  <c r="T2310" i="8"/>
  <c r="AJ2310" i="8" s="1"/>
  <c r="R2311" i="8"/>
  <c r="S2311" i="8"/>
  <c r="AI2311" i="8" s="1"/>
  <c r="T2311" i="8"/>
  <c r="AJ2311" i="8" s="1"/>
  <c r="R2312" i="8"/>
  <c r="S2312" i="8"/>
  <c r="AI2312" i="8" s="1"/>
  <c r="T2312" i="8"/>
  <c r="AJ2312" i="8" s="1"/>
  <c r="R2313" i="8"/>
  <c r="S2313" i="8"/>
  <c r="AI2313" i="8" s="1"/>
  <c r="T2313" i="8"/>
  <c r="AJ2313" i="8" s="1"/>
  <c r="R2314" i="8"/>
  <c r="S2314" i="8"/>
  <c r="AI2314" i="8" s="1"/>
  <c r="T2314" i="8"/>
  <c r="R2315" i="8"/>
  <c r="S2315" i="8"/>
  <c r="AI2315" i="8" s="1"/>
  <c r="T2315" i="8"/>
  <c r="AJ2315" i="8" s="1"/>
  <c r="R2316" i="8"/>
  <c r="S2316" i="8"/>
  <c r="AI2316" i="8" s="1"/>
  <c r="T2316" i="8"/>
  <c r="AJ2316" i="8" s="1"/>
  <c r="R2317" i="8"/>
  <c r="S2317" i="8"/>
  <c r="T2317" i="8"/>
  <c r="AJ2317" i="8" s="1"/>
  <c r="R2318" i="8"/>
  <c r="S2318" i="8"/>
  <c r="AI2318" i="8" s="1"/>
  <c r="T2318" i="8"/>
  <c r="AJ2318" i="8" s="1"/>
  <c r="R2319" i="8"/>
  <c r="S2319" i="8"/>
  <c r="T2319" i="8"/>
  <c r="AJ2319" i="8" s="1"/>
  <c r="R2320" i="8"/>
  <c r="S2320" i="8"/>
  <c r="AI2320" i="8" s="1"/>
  <c r="T2320" i="8"/>
  <c r="AJ2320" i="8" s="1"/>
  <c r="R2321" i="8"/>
  <c r="S2321" i="8"/>
  <c r="AI2321" i="8" s="1"/>
  <c r="T2321" i="8"/>
  <c r="AJ2321" i="8" s="1"/>
  <c r="R2322" i="8"/>
  <c r="S2322" i="8"/>
  <c r="AI2322" i="8" s="1"/>
  <c r="T2322" i="8"/>
  <c r="AJ2322" i="8" s="1"/>
  <c r="R2323" i="8"/>
  <c r="S2323" i="8"/>
  <c r="AI2323" i="8" s="1"/>
  <c r="T2323" i="8"/>
  <c r="R2324" i="8"/>
  <c r="S2324" i="8"/>
  <c r="AI2324" i="8" s="1"/>
  <c r="T2324" i="8"/>
  <c r="AJ2324" i="8" s="1"/>
  <c r="R2325" i="8"/>
  <c r="S2325" i="8"/>
  <c r="AI2325" i="8" s="1"/>
  <c r="T2325" i="8"/>
  <c r="AJ2325" i="8" s="1"/>
  <c r="R2326" i="8"/>
  <c r="S2326" i="8"/>
  <c r="T2326" i="8"/>
  <c r="AJ2326" i="8" s="1"/>
  <c r="R2327" i="8"/>
  <c r="S2327" i="8"/>
  <c r="AI2327" i="8" s="1"/>
  <c r="T2327" i="8"/>
  <c r="R2328" i="8"/>
  <c r="S2328" i="8"/>
  <c r="T2328" i="8"/>
  <c r="AJ2328" i="8" s="1"/>
  <c r="R2329" i="8"/>
  <c r="S2329" i="8"/>
  <c r="AI2329" i="8" s="1"/>
  <c r="T2329" i="8"/>
  <c r="AJ2329" i="8" s="1"/>
  <c r="R2330" i="8"/>
  <c r="S2330" i="8"/>
  <c r="AI2330" i="8" s="1"/>
  <c r="T2330" i="8"/>
  <c r="AJ2330" i="8" s="1"/>
  <c r="R2331" i="8"/>
  <c r="S2331" i="8"/>
  <c r="AI2331" i="8" s="1"/>
  <c r="T2331" i="8"/>
  <c r="AJ2331" i="8" s="1"/>
  <c r="R2332" i="8"/>
  <c r="S2332" i="8"/>
  <c r="AI2332" i="8" s="1"/>
  <c r="T2332" i="8"/>
  <c r="AJ2332" i="8" s="1"/>
  <c r="R2333" i="8"/>
  <c r="S2333" i="8"/>
  <c r="T2333" i="8"/>
  <c r="AJ2333" i="8" s="1"/>
  <c r="R2334" i="8"/>
  <c r="S2334" i="8"/>
  <c r="AI2334" i="8" s="1"/>
  <c r="T2334" i="8"/>
  <c r="AJ2334" i="8" s="1"/>
  <c r="R2335" i="8"/>
  <c r="S2335" i="8"/>
  <c r="T2335" i="8"/>
  <c r="AJ2335" i="8" s="1"/>
  <c r="R2336" i="8"/>
  <c r="S2336" i="8"/>
  <c r="AI2336" i="8" s="1"/>
  <c r="T2336" i="8"/>
  <c r="AJ2336" i="8" s="1"/>
  <c r="R2337" i="8"/>
  <c r="S2337" i="8"/>
  <c r="AI2337" i="8" s="1"/>
  <c r="T2337" i="8"/>
  <c r="AJ2337" i="8" s="1"/>
  <c r="R2338" i="8"/>
  <c r="S2338" i="8"/>
  <c r="AI2338" i="8" s="1"/>
  <c r="T2338" i="8"/>
  <c r="AJ2338" i="8" s="1"/>
  <c r="R2339" i="8"/>
  <c r="S2339" i="8"/>
  <c r="AI2339" i="8" s="1"/>
  <c r="T2339" i="8"/>
  <c r="AJ2339" i="8" s="1"/>
  <c r="R2340" i="8"/>
  <c r="S2340" i="8"/>
  <c r="AI2340" i="8" s="1"/>
  <c r="T2340" i="8"/>
  <c r="AJ2340" i="8" s="1"/>
  <c r="R2341" i="8"/>
  <c r="S2341" i="8"/>
  <c r="AI2341" i="8" s="1"/>
  <c r="T2341" i="8"/>
  <c r="AJ2341" i="8" s="1"/>
  <c r="R2342" i="8"/>
  <c r="S2342" i="8"/>
  <c r="T2342" i="8"/>
  <c r="AJ2342" i="8" s="1"/>
  <c r="R2343" i="8"/>
  <c r="S2343" i="8"/>
  <c r="AI2343" i="8" s="1"/>
  <c r="T2343" i="8"/>
  <c r="AJ2343" i="8" s="1"/>
  <c r="R2344" i="8"/>
  <c r="S2344" i="8"/>
  <c r="T2344" i="8"/>
  <c r="AJ2344" i="8" s="1"/>
  <c r="R2345" i="8"/>
  <c r="S2345" i="8"/>
  <c r="AI2345" i="8" s="1"/>
  <c r="T2345" i="8"/>
  <c r="AJ2345" i="8" s="1"/>
  <c r="R2346" i="8"/>
  <c r="S2346" i="8"/>
  <c r="T2346" i="8"/>
  <c r="AJ2346" i="8" s="1"/>
  <c r="R2347" i="8"/>
  <c r="S2347" i="8"/>
  <c r="AI2347" i="8" s="1"/>
  <c r="T2347" i="8"/>
  <c r="AJ2347" i="8" s="1"/>
  <c r="R2348" i="8"/>
  <c r="S2348" i="8"/>
  <c r="AI2348" i="8" s="1"/>
  <c r="T2348" i="8"/>
  <c r="AJ2348" i="8" s="1"/>
  <c r="R2349" i="8"/>
  <c r="S2349" i="8"/>
  <c r="AI2349" i="8" s="1"/>
  <c r="T2349" i="8"/>
  <c r="AJ2349" i="8" s="1"/>
  <c r="R2350" i="8"/>
  <c r="S2350" i="8"/>
  <c r="T2350" i="8"/>
  <c r="AJ2350" i="8" s="1"/>
  <c r="R2351" i="8"/>
  <c r="S2351" i="8"/>
  <c r="AI2351" i="8" s="1"/>
  <c r="T2351" i="8"/>
  <c r="AJ2351" i="8" s="1"/>
  <c r="R2352" i="8"/>
  <c r="S2352" i="8"/>
  <c r="T2352" i="8"/>
  <c r="AJ2352" i="8" s="1"/>
  <c r="R2353" i="8"/>
  <c r="S2353" i="8"/>
  <c r="AI2353" i="8" s="1"/>
  <c r="T2353" i="8"/>
  <c r="AJ2353" i="8" s="1"/>
  <c r="R2354" i="8"/>
  <c r="S2354" i="8"/>
  <c r="T2354" i="8"/>
  <c r="AJ2354" i="8" s="1"/>
  <c r="R2355" i="8"/>
  <c r="S2355" i="8"/>
  <c r="AI2355" i="8" s="1"/>
  <c r="T2355" i="8"/>
  <c r="AJ2355" i="8" s="1"/>
  <c r="R2356" i="8"/>
  <c r="S2356" i="8"/>
  <c r="AI2356" i="8" s="1"/>
  <c r="T2356" i="8"/>
  <c r="AJ2356" i="8" s="1"/>
  <c r="R2357" i="8"/>
  <c r="S2357" i="8"/>
  <c r="AI2357" i="8" s="1"/>
  <c r="T2357" i="8"/>
  <c r="AJ2357" i="8" s="1"/>
  <c r="R2358" i="8"/>
  <c r="S2358" i="8"/>
  <c r="T2358" i="8"/>
  <c r="AJ2358" i="8" s="1"/>
  <c r="R2359" i="8"/>
  <c r="S2359" i="8"/>
  <c r="AI2359" i="8" s="1"/>
  <c r="T2359" i="8"/>
  <c r="AJ2359" i="8" s="1"/>
  <c r="R2360" i="8"/>
  <c r="S2360" i="8"/>
  <c r="T2360" i="8"/>
  <c r="AJ2360" i="8" s="1"/>
  <c r="R2361" i="8"/>
  <c r="S2361" i="8"/>
  <c r="AI2361" i="8" s="1"/>
  <c r="T2361" i="8"/>
  <c r="AJ2361" i="8" s="1"/>
  <c r="R2362" i="8"/>
  <c r="S2362" i="8"/>
  <c r="T2362" i="8"/>
  <c r="AJ2362" i="8" s="1"/>
  <c r="R2363" i="8"/>
  <c r="S2363" i="8"/>
  <c r="AI2363" i="8" s="1"/>
  <c r="T2363" i="8"/>
  <c r="AJ2363" i="8" s="1"/>
  <c r="R2364" i="8"/>
  <c r="S2364" i="8"/>
  <c r="AI2364" i="8" s="1"/>
  <c r="T2364" i="8"/>
  <c r="AJ2364" i="8" s="1"/>
  <c r="R2365" i="8"/>
  <c r="S2365" i="8"/>
  <c r="AI2365" i="8" s="1"/>
  <c r="T2365" i="8"/>
  <c r="AJ2365" i="8" s="1"/>
  <c r="R2366" i="8"/>
  <c r="S2366" i="8"/>
  <c r="T2366" i="8"/>
  <c r="AJ2366" i="8" s="1"/>
  <c r="R2367" i="8"/>
  <c r="S2367" i="8"/>
  <c r="AI2367" i="8" s="1"/>
  <c r="T2367" i="8"/>
  <c r="AJ2367" i="8" s="1"/>
  <c r="R2368" i="8"/>
  <c r="S2368" i="8"/>
  <c r="T2368" i="8"/>
  <c r="AJ2368" i="8" s="1"/>
  <c r="R2369" i="8"/>
  <c r="S2369" i="8"/>
  <c r="AI2369" i="8" s="1"/>
  <c r="T2369" i="8"/>
  <c r="AJ2369" i="8" s="1"/>
  <c r="R2370" i="8"/>
  <c r="S2370" i="8"/>
  <c r="T2370" i="8"/>
  <c r="AJ2370" i="8" s="1"/>
  <c r="R2371" i="8"/>
  <c r="S2371" i="8"/>
  <c r="AI2371" i="8" s="1"/>
  <c r="T2371" i="8"/>
  <c r="AJ2371" i="8" s="1"/>
  <c r="R2372" i="8"/>
  <c r="S2372" i="8"/>
  <c r="AI2372" i="8" s="1"/>
  <c r="T2372" i="8"/>
  <c r="AJ2372" i="8" s="1"/>
  <c r="R2373" i="8"/>
  <c r="S2373" i="8"/>
  <c r="AI2373" i="8" s="1"/>
  <c r="T2373" i="8"/>
  <c r="AJ2373" i="8" s="1"/>
  <c r="R2374" i="8"/>
  <c r="S2374" i="8"/>
  <c r="T2374" i="8"/>
  <c r="AJ2374" i="8" s="1"/>
  <c r="R2375" i="8"/>
  <c r="S2375" i="8"/>
  <c r="AI2375" i="8" s="1"/>
  <c r="T2375" i="8"/>
  <c r="AJ2375" i="8" s="1"/>
  <c r="R2376" i="8"/>
  <c r="S2376" i="8"/>
  <c r="T2376" i="8"/>
  <c r="AJ2376" i="8" s="1"/>
  <c r="R2377" i="8"/>
  <c r="S2377" i="8"/>
  <c r="AI2377" i="8" s="1"/>
  <c r="T2377" i="8"/>
  <c r="AJ2377" i="8" s="1"/>
  <c r="R2378" i="8"/>
  <c r="S2378" i="8"/>
  <c r="T2378" i="8"/>
  <c r="AJ2378" i="8" s="1"/>
  <c r="R2379" i="8"/>
  <c r="S2379" i="8"/>
  <c r="AI2379" i="8" s="1"/>
  <c r="T2379" i="8"/>
  <c r="AJ2379" i="8" s="1"/>
  <c r="R2380" i="8"/>
  <c r="S2380" i="8"/>
  <c r="AI2380" i="8" s="1"/>
  <c r="T2380" i="8"/>
  <c r="AJ2380" i="8" s="1"/>
  <c r="R2381" i="8"/>
  <c r="S2381" i="8"/>
  <c r="AI2381" i="8" s="1"/>
  <c r="T2381" i="8"/>
  <c r="AJ2381" i="8" s="1"/>
  <c r="R2382" i="8"/>
  <c r="S2382" i="8"/>
  <c r="T2382" i="8"/>
  <c r="AJ2382" i="8" s="1"/>
  <c r="R2383" i="8"/>
  <c r="S2383" i="8"/>
  <c r="AI2383" i="8" s="1"/>
  <c r="T2383" i="8"/>
  <c r="AJ2383" i="8" s="1"/>
  <c r="R2384" i="8"/>
  <c r="S2384" i="8"/>
  <c r="T2384" i="8"/>
  <c r="AJ2384" i="8" s="1"/>
  <c r="R2385" i="8"/>
  <c r="S2385" i="8"/>
  <c r="AI2385" i="8" s="1"/>
  <c r="T2385" i="8"/>
  <c r="AJ2385" i="8" s="1"/>
  <c r="R2386" i="8"/>
  <c r="S2386" i="8"/>
  <c r="T2386" i="8"/>
  <c r="AJ2386" i="8" s="1"/>
  <c r="R2387" i="8"/>
  <c r="S2387" i="8"/>
  <c r="AI2387" i="8" s="1"/>
  <c r="T2387" i="8"/>
  <c r="AJ2387" i="8" s="1"/>
  <c r="R2388" i="8"/>
  <c r="S2388" i="8"/>
  <c r="AI2388" i="8" s="1"/>
  <c r="T2388" i="8"/>
  <c r="AJ2388" i="8" s="1"/>
  <c r="R2389" i="8"/>
  <c r="S2389" i="8"/>
  <c r="AI2389" i="8" s="1"/>
  <c r="T2389" i="8"/>
  <c r="AJ2389" i="8" s="1"/>
  <c r="R2390" i="8"/>
  <c r="S2390" i="8"/>
  <c r="T2390" i="8"/>
  <c r="AJ2390" i="8" s="1"/>
  <c r="R2391" i="8"/>
  <c r="S2391" i="8"/>
  <c r="AI2391" i="8" s="1"/>
  <c r="T2391" i="8"/>
  <c r="AJ2391" i="8" s="1"/>
  <c r="R2392" i="8"/>
  <c r="S2392" i="8"/>
  <c r="T2392" i="8"/>
  <c r="AJ2392" i="8" s="1"/>
  <c r="R2393" i="8"/>
  <c r="S2393" i="8"/>
  <c r="AI2393" i="8" s="1"/>
  <c r="T2393" i="8"/>
  <c r="AJ2393" i="8" s="1"/>
  <c r="R2394" i="8"/>
  <c r="S2394" i="8"/>
  <c r="T2394" i="8"/>
  <c r="AJ2394" i="8" s="1"/>
  <c r="R2395" i="8"/>
  <c r="S2395" i="8"/>
  <c r="AI2395" i="8" s="1"/>
  <c r="T2395" i="8"/>
  <c r="AJ2395" i="8" s="1"/>
  <c r="R2396" i="8"/>
  <c r="S2396" i="8"/>
  <c r="AI2396" i="8" s="1"/>
  <c r="T2396" i="8"/>
  <c r="AJ2396" i="8" s="1"/>
  <c r="R2397" i="8"/>
  <c r="S2397" i="8"/>
  <c r="AI2397" i="8" s="1"/>
  <c r="T2397" i="8"/>
  <c r="AJ2397" i="8" s="1"/>
  <c r="R2398" i="8"/>
  <c r="S2398" i="8"/>
  <c r="T2398" i="8"/>
  <c r="AJ2398" i="8" s="1"/>
  <c r="R2399" i="8"/>
  <c r="S2399" i="8"/>
  <c r="AI2399" i="8" s="1"/>
  <c r="T2399" i="8"/>
  <c r="AJ2399" i="8" s="1"/>
  <c r="R2400" i="8"/>
  <c r="S2400" i="8"/>
  <c r="T2400" i="8"/>
  <c r="AJ2400" i="8" s="1"/>
  <c r="R2401" i="8"/>
  <c r="S2401" i="8"/>
  <c r="AI2401" i="8" s="1"/>
  <c r="T2401" i="8"/>
  <c r="AJ2401" i="8" s="1"/>
  <c r="R2402" i="8"/>
  <c r="S2402" i="8"/>
  <c r="T2402" i="8"/>
  <c r="AJ2402" i="8" s="1"/>
  <c r="R2403" i="8"/>
  <c r="S2403" i="8"/>
  <c r="AI2403" i="8" s="1"/>
  <c r="T2403" i="8"/>
  <c r="AJ2403" i="8" s="1"/>
  <c r="R2404" i="8"/>
  <c r="S2404" i="8"/>
  <c r="AI2404" i="8" s="1"/>
  <c r="T2404" i="8"/>
  <c r="AJ2404" i="8" s="1"/>
  <c r="R2405" i="8"/>
  <c r="S2405" i="8"/>
  <c r="AI2405" i="8" s="1"/>
  <c r="T2405" i="8"/>
  <c r="AJ2405" i="8" s="1"/>
  <c r="R2406" i="8"/>
  <c r="S2406" i="8"/>
  <c r="T2406" i="8"/>
  <c r="AJ2406" i="8" s="1"/>
  <c r="R2407" i="8"/>
  <c r="S2407" i="8"/>
  <c r="AI2407" i="8" s="1"/>
  <c r="T2407" i="8"/>
  <c r="AJ2407" i="8" s="1"/>
  <c r="R2408" i="8"/>
  <c r="S2408" i="8"/>
  <c r="T2408" i="8"/>
  <c r="AJ2408" i="8" s="1"/>
  <c r="R2409" i="8"/>
  <c r="S2409" i="8"/>
  <c r="AI2409" i="8" s="1"/>
  <c r="T2409" i="8"/>
  <c r="AJ2409" i="8" s="1"/>
  <c r="R2410" i="8"/>
  <c r="S2410" i="8"/>
  <c r="T2410" i="8"/>
  <c r="AJ2410" i="8" s="1"/>
  <c r="R2411" i="8"/>
  <c r="S2411" i="8"/>
  <c r="AI2411" i="8" s="1"/>
  <c r="T2411" i="8"/>
  <c r="AJ2411" i="8" s="1"/>
  <c r="R2412" i="8"/>
  <c r="S2412" i="8"/>
  <c r="AI2412" i="8" s="1"/>
  <c r="T2412" i="8"/>
  <c r="AJ2412" i="8" s="1"/>
  <c r="R2413" i="8"/>
  <c r="S2413" i="8"/>
  <c r="AI2413" i="8" s="1"/>
  <c r="T2413" i="8"/>
  <c r="AJ2413" i="8" s="1"/>
  <c r="R2414" i="8"/>
  <c r="S2414" i="8"/>
  <c r="T2414" i="8"/>
  <c r="AJ2414" i="8" s="1"/>
  <c r="R2415" i="8"/>
  <c r="S2415" i="8"/>
  <c r="AI2415" i="8" s="1"/>
  <c r="T2415" i="8"/>
  <c r="AJ2415" i="8" s="1"/>
  <c r="R2416" i="8"/>
  <c r="S2416" i="8"/>
  <c r="T2416" i="8"/>
  <c r="AJ2416" i="8" s="1"/>
  <c r="R2417" i="8"/>
  <c r="S2417" i="8"/>
  <c r="AI2417" i="8" s="1"/>
  <c r="T2417" i="8"/>
  <c r="AJ2417" i="8" s="1"/>
  <c r="R2418" i="8"/>
  <c r="S2418" i="8"/>
  <c r="T2418" i="8"/>
  <c r="AJ2418" i="8" s="1"/>
  <c r="R2419" i="8"/>
  <c r="S2419" i="8"/>
  <c r="AI2419" i="8" s="1"/>
  <c r="T2419" i="8"/>
  <c r="AJ2419" i="8" s="1"/>
  <c r="R2420" i="8"/>
  <c r="S2420" i="8"/>
  <c r="AI2420" i="8" s="1"/>
  <c r="T2420" i="8"/>
  <c r="AJ2420" i="8" s="1"/>
  <c r="R2421" i="8"/>
  <c r="S2421" i="8"/>
  <c r="AI2421" i="8" s="1"/>
  <c r="T2421" i="8"/>
  <c r="AJ2421" i="8" s="1"/>
  <c r="R2422" i="8"/>
  <c r="S2422" i="8"/>
  <c r="T2422" i="8"/>
  <c r="AJ2422" i="8" s="1"/>
  <c r="R2423" i="8"/>
  <c r="S2423" i="8"/>
  <c r="AI2423" i="8" s="1"/>
  <c r="T2423" i="8"/>
  <c r="AJ2423" i="8" s="1"/>
  <c r="R2424" i="8"/>
  <c r="S2424" i="8"/>
  <c r="T2424" i="8"/>
  <c r="AJ2424" i="8" s="1"/>
  <c r="R2425" i="8"/>
  <c r="S2425" i="8"/>
  <c r="AI2425" i="8" s="1"/>
  <c r="T2425" i="8"/>
  <c r="AJ2425" i="8" s="1"/>
  <c r="R2426" i="8"/>
  <c r="S2426" i="8"/>
  <c r="T2426" i="8"/>
  <c r="AJ2426" i="8" s="1"/>
  <c r="R2427" i="8"/>
  <c r="S2427" i="8"/>
  <c r="AI2427" i="8" s="1"/>
  <c r="T2427" i="8"/>
  <c r="AJ2427" i="8" s="1"/>
  <c r="R2428" i="8"/>
  <c r="S2428" i="8"/>
  <c r="AI2428" i="8" s="1"/>
  <c r="T2428" i="8"/>
  <c r="AJ2428" i="8" s="1"/>
  <c r="R2429" i="8"/>
  <c r="S2429" i="8"/>
  <c r="AI2429" i="8" s="1"/>
  <c r="T2429" i="8"/>
  <c r="AJ2429" i="8" s="1"/>
  <c r="R2430" i="8"/>
  <c r="S2430" i="8"/>
  <c r="T2430" i="8"/>
  <c r="AJ2430" i="8" s="1"/>
  <c r="R2431" i="8"/>
  <c r="S2431" i="8"/>
  <c r="AI2431" i="8" s="1"/>
  <c r="T2431" i="8"/>
  <c r="AJ2431" i="8" s="1"/>
  <c r="R2432" i="8"/>
  <c r="S2432" i="8"/>
  <c r="T2432" i="8"/>
  <c r="AJ2432" i="8" s="1"/>
  <c r="R2433" i="8"/>
  <c r="S2433" i="8"/>
  <c r="AI2433" i="8" s="1"/>
  <c r="T2433" i="8"/>
  <c r="AJ2433" i="8" s="1"/>
  <c r="R2434" i="8"/>
  <c r="S2434" i="8"/>
  <c r="T2434" i="8"/>
  <c r="AJ2434" i="8" s="1"/>
  <c r="R2435" i="8"/>
  <c r="S2435" i="8"/>
  <c r="AI2435" i="8" s="1"/>
  <c r="T2435" i="8"/>
  <c r="AJ2435" i="8" s="1"/>
  <c r="R2436" i="8"/>
  <c r="S2436" i="8"/>
  <c r="AI2436" i="8" s="1"/>
  <c r="T2436" i="8"/>
  <c r="AJ2436" i="8" s="1"/>
  <c r="R2437" i="8"/>
  <c r="S2437" i="8"/>
  <c r="AI2437" i="8" s="1"/>
  <c r="T2437" i="8"/>
  <c r="AJ2437" i="8" s="1"/>
  <c r="R2438" i="8"/>
  <c r="S2438" i="8"/>
  <c r="T2438" i="8"/>
  <c r="AJ2438" i="8" s="1"/>
  <c r="R2439" i="8"/>
  <c r="S2439" i="8"/>
  <c r="AI2439" i="8" s="1"/>
  <c r="T2439" i="8"/>
  <c r="AJ2439" i="8" s="1"/>
  <c r="R2440" i="8"/>
  <c r="S2440" i="8"/>
  <c r="T2440" i="8"/>
  <c r="AJ2440" i="8" s="1"/>
  <c r="R2441" i="8"/>
  <c r="S2441" i="8"/>
  <c r="AI2441" i="8" s="1"/>
  <c r="T2441" i="8"/>
  <c r="AJ2441" i="8" s="1"/>
  <c r="R2442" i="8"/>
  <c r="S2442" i="8"/>
  <c r="T2442" i="8"/>
  <c r="AJ2442" i="8" s="1"/>
  <c r="R2443" i="8"/>
  <c r="S2443" i="8"/>
  <c r="AI2443" i="8" s="1"/>
  <c r="T2443" i="8"/>
  <c r="AJ2443" i="8" s="1"/>
  <c r="R2444" i="8"/>
  <c r="S2444" i="8"/>
  <c r="AI2444" i="8" s="1"/>
  <c r="T2444" i="8"/>
  <c r="AJ2444" i="8" s="1"/>
  <c r="R2445" i="8"/>
  <c r="S2445" i="8"/>
  <c r="AI2445" i="8" s="1"/>
  <c r="T2445" i="8"/>
  <c r="AJ2445" i="8" s="1"/>
  <c r="R2446" i="8"/>
  <c r="S2446" i="8"/>
  <c r="T2446" i="8"/>
  <c r="AJ2446" i="8" s="1"/>
  <c r="R2447" i="8"/>
  <c r="S2447" i="8"/>
  <c r="AI2447" i="8" s="1"/>
  <c r="T2447" i="8"/>
  <c r="AJ2447" i="8" s="1"/>
  <c r="R2448" i="8"/>
  <c r="S2448" i="8"/>
  <c r="T2448" i="8"/>
  <c r="AJ2448" i="8" s="1"/>
  <c r="R2449" i="8"/>
  <c r="S2449" i="8"/>
  <c r="AI2449" i="8" s="1"/>
  <c r="T2449" i="8"/>
  <c r="AJ2449" i="8" s="1"/>
  <c r="R2450" i="8"/>
  <c r="S2450" i="8"/>
  <c r="T2450" i="8"/>
  <c r="AJ2450" i="8" s="1"/>
  <c r="R2451" i="8"/>
  <c r="S2451" i="8"/>
  <c r="AI2451" i="8" s="1"/>
  <c r="T2451" i="8"/>
  <c r="AJ2451" i="8" s="1"/>
  <c r="R2452" i="8"/>
  <c r="S2452" i="8"/>
  <c r="AI2452" i="8" s="1"/>
  <c r="T2452" i="8"/>
  <c r="AJ2452" i="8" s="1"/>
  <c r="R2453" i="8"/>
  <c r="S2453" i="8"/>
  <c r="AI2453" i="8" s="1"/>
  <c r="T2453" i="8"/>
  <c r="AJ2453" i="8" s="1"/>
  <c r="R2454" i="8"/>
  <c r="S2454" i="8"/>
  <c r="T2454" i="8"/>
  <c r="AJ2454" i="8" s="1"/>
  <c r="R2455" i="8"/>
  <c r="S2455" i="8"/>
  <c r="AI2455" i="8" s="1"/>
  <c r="T2455" i="8"/>
  <c r="AJ2455" i="8" s="1"/>
  <c r="R2456" i="8"/>
  <c r="S2456" i="8"/>
  <c r="T2456" i="8"/>
  <c r="AJ2456" i="8" s="1"/>
  <c r="R2457" i="8"/>
  <c r="S2457" i="8"/>
  <c r="AI2457" i="8" s="1"/>
  <c r="T2457" i="8"/>
  <c r="AJ2457" i="8" s="1"/>
  <c r="R2458" i="8"/>
  <c r="S2458" i="8"/>
  <c r="T2458" i="8"/>
  <c r="AJ2458" i="8" s="1"/>
  <c r="R2459" i="8"/>
  <c r="S2459" i="8"/>
  <c r="AI2459" i="8" s="1"/>
  <c r="T2459" i="8"/>
  <c r="AJ2459" i="8" s="1"/>
  <c r="R2460" i="8"/>
  <c r="S2460" i="8"/>
  <c r="AI2460" i="8" s="1"/>
  <c r="T2460" i="8"/>
  <c r="AJ2460" i="8" s="1"/>
  <c r="R2461" i="8"/>
  <c r="S2461" i="8"/>
  <c r="AI2461" i="8" s="1"/>
  <c r="T2461" i="8"/>
  <c r="AJ2461" i="8" s="1"/>
  <c r="R2462" i="8"/>
  <c r="S2462" i="8"/>
  <c r="T2462" i="8"/>
  <c r="AJ2462" i="8" s="1"/>
  <c r="R2463" i="8"/>
  <c r="S2463" i="8"/>
  <c r="AI2463" i="8" s="1"/>
  <c r="T2463" i="8"/>
  <c r="AJ2463" i="8" s="1"/>
  <c r="R2464" i="8"/>
  <c r="S2464" i="8"/>
  <c r="T2464" i="8"/>
  <c r="AJ2464" i="8" s="1"/>
  <c r="R2465" i="8"/>
  <c r="S2465" i="8"/>
  <c r="AI2465" i="8" s="1"/>
  <c r="T2465" i="8"/>
  <c r="AJ2465" i="8" s="1"/>
  <c r="R2466" i="8"/>
  <c r="S2466" i="8"/>
  <c r="T2466" i="8"/>
  <c r="AJ2466" i="8" s="1"/>
  <c r="R2467" i="8"/>
  <c r="S2467" i="8"/>
  <c r="AI2467" i="8" s="1"/>
  <c r="T2467" i="8"/>
  <c r="AJ2467" i="8" s="1"/>
  <c r="R2468" i="8"/>
  <c r="S2468" i="8"/>
  <c r="AI2468" i="8" s="1"/>
  <c r="T2468" i="8"/>
  <c r="AJ2468" i="8" s="1"/>
  <c r="R2469" i="8"/>
  <c r="S2469" i="8"/>
  <c r="AI2469" i="8" s="1"/>
  <c r="T2469" i="8"/>
  <c r="AJ2469" i="8" s="1"/>
  <c r="R2470" i="8"/>
  <c r="S2470" i="8"/>
  <c r="T2470" i="8"/>
  <c r="AJ2470" i="8" s="1"/>
  <c r="R2471" i="8"/>
  <c r="S2471" i="8"/>
  <c r="AI2471" i="8" s="1"/>
  <c r="T2471" i="8"/>
  <c r="AJ2471" i="8" s="1"/>
  <c r="R2472" i="8"/>
  <c r="S2472" i="8"/>
  <c r="T2472" i="8"/>
  <c r="AJ2472" i="8" s="1"/>
  <c r="R2473" i="8"/>
  <c r="S2473" i="8"/>
  <c r="AI2473" i="8" s="1"/>
  <c r="T2473" i="8"/>
  <c r="AJ2473" i="8" s="1"/>
  <c r="R2474" i="8"/>
  <c r="S2474" i="8"/>
  <c r="T2474" i="8"/>
  <c r="AJ2474" i="8" s="1"/>
  <c r="R2475" i="8"/>
  <c r="S2475" i="8"/>
  <c r="AI2475" i="8" s="1"/>
  <c r="T2475" i="8"/>
  <c r="AJ2475" i="8" s="1"/>
  <c r="R2476" i="8"/>
  <c r="S2476" i="8"/>
  <c r="AI2476" i="8" s="1"/>
  <c r="T2476" i="8"/>
  <c r="AJ2476" i="8" s="1"/>
  <c r="R2477" i="8"/>
  <c r="S2477" i="8"/>
  <c r="AI2477" i="8" s="1"/>
  <c r="T2477" i="8"/>
  <c r="AJ2477" i="8" s="1"/>
  <c r="R2478" i="8"/>
  <c r="S2478" i="8"/>
  <c r="T2478" i="8"/>
  <c r="AJ2478" i="8" s="1"/>
  <c r="R2479" i="8"/>
  <c r="S2479" i="8"/>
  <c r="AI2479" i="8" s="1"/>
  <c r="T2479" i="8"/>
  <c r="AJ2479" i="8" s="1"/>
  <c r="R2480" i="8"/>
  <c r="S2480" i="8"/>
  <c r="T2480" i="8"/>
  <c r="AJ2480" i="8" s="1"/>
  <c r="R2481" i="8"/>
  <c r="S2481" i="8"/>
  <c r="AI2481" i="8" s="1"/>
  <c r="T2481" i="8"/>
  <c r="AJ2481" i="8" s="1"/>
  <c r="R2482" i="8"/>
  <c r="S2482" i="8"/>
  <c r="T2482" i="8"/>
  <c r="AJ2482" i="8" s="1"/>
  <c r="R2483" i="8"/>
  <c r="S2483" i="8"/>
  <c r="AI2483" i="8" s="1"/>
  <c r="T2483" i="8"/>
  <c r="AJ2483" i="8" s="1"/>
  <c r="R2484" i="8"/>
  <c r="S2484" i="8"/>
  <c r="AI2484" i="8" s="1"/>
  <c r="T2484" i="8"/>
  <c r="AJ2484" i="8" s="1"/>
  <c r="R2485" i="8"/>
  <c r="S2485" i="8"/>
  <c r="AI2485" i="8" s="1"/>
  <c r="T2485" i="8"/>
  <c r="AJ2485" i="8" s="1"/>
  <c r="R2486" i="8"/>
  <c r="S2486" i="8"/>
  <c r="T2486" i="8"/>
  <c r="AJ2486" i="8" s="1"/>
  <c r="R2487" i="8"/>
  <c r="S2487" i="8"/>
  <c r="AI2487" i="8" s="1"/>
  <c r="T2487" i="8"/>
  <c r="AJ2487" i="8" s="1"/>
  <c r="R2488" i="8"/>
  <c r="S2488" i="8"/>
  <c r="T2488" i="8"/>
  <c r="AJ2488" i="8" s="1"/>
  <c r="R2489" i="8"/>
  <c r="S2489" i="8"/>
  <c r="AI2489" i="8" s="1"/>
  <c r="T2489" i="8"/>
  <c r="AJ2489" i="8" s="1"/>
  <c r="R2490" i="8"/>
  <c r="S2490" i="8"/>
  <c r="T2490" i="8"/>
  <c r="AJ2490" i="8" s="1"/>
  <c r="R2491" i="8"/>
  <c r="S2491" i="8"/>
  <c r="AI2491" i="8" s="1"/>
  <c r="T2491" i="8"/>
  <c r="AJ2491" i="8" s="1"/>
  <c r="R2492" i="8"/>
  <c r="S2492" i="8"/>
  <c r="AI2492" i="8" s="1"/>
  <c r="T2492" i="8"/>
  <c r="AJ2492" i="8" s="1"/>
  <c r="R2493" i="8"/>
  <c r="S2493" i="8"/>
  <c r="AI2493" i="8" s="1"/>
  <c r="T2493" i="8"/>
  <c r="AJ2493" i="8" s="1"/>
  <c r="R2494" i="8"/>
  <c r="S2494" i="8"/>
  <c r="T2494" i="8"/>
  <c r="AJ2494" i="8" s="1"/>
  <c r="R2495" i="8"/>
  <c r="S2495" i="8"/>
  <c r="AI2495" i="8" s="1"/>
  <c r="T2495" i="8"/>
  <c r="AJ2495" i="8" s="1"/>
  <c r="R2496" i="8"/>
  <c r="S2496" i="8"/>
  <c r="T2496" i="8"/>
  <c r="AJ2496" i="8" s="1"/>
  <c r="R2497" i="8"/>
  <c r="S2497" i="8"/>
  <c r="AI2497" i="8" s="1"/>
  <c r="T2497" i="8"/>
  <c r="AJ2497" i="8" s="1"/>
  <c r="R2498" i="8"/>
  <c r="S2498" i="8"/>
  <c r="T2498" i="8"/>
  <c r="AJ2498" i="8" s="1"/>
  <c r="R2499" i="8"/>
  <c r="S2499" i="8"/>
  <c r="AI2499" i="8" s="1"/>
  <c r="T2499" i="8"/>
  <c r="AJ2499" i="8" s="1"/>
  <c r="R2500" i="8"/>
  <c r="S2500" i="8"/>
  <c r="AI2500" i="8" s="1"/>
  <c r="T2500" i="8"/>
  <c r="AJ2500" i="8" s="1"/>
  <c r="R2501" i="8"/>
  <c r="S2501" i="8"/>
  <c r="AI2501" i="8" s="1"/>
  <c r="T2501" i="8"/>
  <c r="AJ2501" i="8" s="1"/>
  <c r="R2502" i="8"/>
  <c r="S2502" i="8"/>
  <c r="T2502" i="8"/>
  <c r="AJ2502" i="8" s="1"/>
  <c r="R2503" i="8"/>
  <c r="S2503" i="8"/>
  <c r="AI2503" i="8" s="1"/>
  <c r="T2503" i="8"/>
  <c r="AJ2503" i="8" s="1"/>
  <c r="R2504" i="8"/>
  <c r="S2504" i="8"/>
  <c r="T2504" i="8"/>
  <c r="AJ2504" i="8" s="1"/>
  <c r="R2505" i="8"/>
  <c r="S2505" i="8"/>
  <c r="AI2505" i="8" s="1"/>
  <c r="T2505" i="8"/>
  <c r="AJ2505" i="8" s="1"/>
  <c r="R2506" i="8"/>
  <c r="S2506" i="8"/>
  <c r="T2506" i="8"/>
  <c r="AJ2506" i="8" s="1"/>
  <c r="R2507" i="8"/>
  <c r="S2507" i="8"/>
  <c r="AI2507" i="8" s="1"/>
  <c r="T2507" i="8"/>
  <c r="AJ2507" i="8" s="1"/>
  <c r="R2508" i="8"/>
  <c r="S2508" i="8"/>
  <c r="AI2508" i="8" s="1"/>
  <c r="T2508" i="8"/>
  <c r="AJ2508" i="8" s="1"/>
  <c r="R2509" i="8"/>
  <c r="S2509" i="8"/>
  <c r="AI2509" i="8" s="1"/>
  <c r="T2509" i="8"/>
  <c r="AJ2509" i="8" s="1"/>
  <c r="R2510" i="8"/>
  <c r="S2510" i="8"/>
  <c r="T2510" i="8"/>
  <c r="AJ2510" i="8" s="1"/>
  <c r="R2511" i="8"/>
  <c r="S2511" i="8"/>
  <c r="AI2511" i="8" s="1"/>
  <c r="T2511" i="8"/>
  <c r="AJ2511" i="8" s="1"/>
  <c r="R2512" i="8"/>
  <c r="S2512" i="8"/>
  <c r="T2512" i="8"/>
  <c r="AJ2512" i="8" s="1"/>
  <c r="R2513" i="8"/>
  <c r="S2513" i="8"/>
  <c r="AI2513" i="8" s="1"/>
  <c r="T2513" i="8"/>
  <c r="AJ2513" i="8" s="1"/>
  <c r="R2514" i="8"/>
  <c r="S2514" i="8"/>
  <c r="T2514" i="8"/>
  <c r="AJ2514" i="8" s="1"/>
  <c r="R2515" i="8"/>
  <c r="S2515" i="8"/>
  <c r="AI2515" i="8" s="1"/>
  <c r="T2515" i="8"/>
  <c r="AJ2515" i="8" s="1"/>
  <c r="R2516" i="8"/>
  <c r="S2516" i="8"/>
  <c r="AI2516" i="8" s="1"/>
  <c r="T2516" i="8"/>
  <c r="AJ2516" i="8" s="1"/>
  <c r="R2517" i="8"/>
  <c r="S2517" i="8"/>
  <c r="AI2517" i="8" s="1"/>
  <c r="T2517" i="8"/>
  <c r="AJ2517" i="8" s="1"/>
  <c r="R2518" i="8"/>
  <c r="S2518" i="8"/>
  <c r="T2518" i="8"/>
  <c r="AJ2518" i="8" s="1"/>
  <c r="R2519" i="8"/>
  <c r="S2519" i="8"/>
  <c r="AI2519" i="8" s="1"/>
  <c r="T2519" i="8"/>
  <c r="AJ2519" i="8" s="1"/>
  <c r="R2520" i="8"/>
  <c r="S2520" i="8"/>
  <c r="T2520" i="8"/>
  <c r="AJ2520" i="8" s="1"/>
  <c r="R2521" i="8"/>
  <c r="S2521" i="8"/>
  <c r="AI2521" i="8" s="1"/>
  <c r="T2521" i="8"/>
  <c r="AJ2521" i="8" s="1"/>
  <c r="R2522" i="8"/>
  <c r="S2522" i="8"/>
  <c r="T2522" i="8"/>
  <c r="AJ2522" i="8" s="1"/>
  <c r="R2523" i="8"/>
  <c r="S2523" i="8"/>
  <c r="AI2523" i="8" s="1"/>
  <c r="T2523" i="8"/>
  <c r="AJ2523" i="8" s="1"/>
  <c r="R2524" i="8"/>
  <c r="S2524" i="8"/>
  <c r="AI2524" i="8" s="1"/>
  <c r="T2524" i="8"/>
  <c r="AJ2524" i="8" s="1"/>
  <c r="R2525" i="8"/>
  <c r="S2525" i="8"/>
  <c r="AI2525" i="8" s="1"/>
  <c r="T2525" i="8"/>
  <c r="AJ2525" i="8" s="1"/>
  <c r="R2526" i="8"/>
  <c r="S2526" i="8"/>
  <c r="T2526" i="8"/>
  <c r="AJ2526" i="8" s="1"/>
  <c r="R2527" i="8"/>
  <c r="S2527" i="8"/>
  <c r="AI2527" i="8" s="1"/>
  <c r="T2527" i="8"/>
  <c r="AJ2527" i="8" s="1"/>
  <c r="R2528" i="8"/>
  <c r="S2528" i="8"/>
  <c r="T2528" i="8"/>
  <c r="AJ2528" i="8" s="1"/>
  <c r="R2529" i="8"/>
  <c r="S2529" i="8"/>
  <c r="AI2529" i="8" s="1"/>
  <c r="T2529" i="8"/>
  <c r="AJ2529" i="8" s="1"/>
  <c r="R2530" i="8"/>
  <c r="S2530" i="8"/>
  <c r="T2530" i="8"/>
  <c r="AJ2530" i="8" s="1"/>
  <c r="R2531" i="8"/>
  <c r="S2531" i="8"/>
  <c r="AI2531" i="8" s="1"/>
  <c r="T2531" i="8"/>
  <c r="AJ2531" i="8" s="1"/>
  <c r="R2532" i="8"/>
  <c r="S2532" i="8"/>
  <c r="AI2532" i="8" s="1"/>
  <c r="T2532" i="8"/>
  <c r="AJ2532" i="8" s="1"/>
  <c r="R2533" i="8"/>
  <c r="S2533" i="8"/>
  <c r="AI2533" i="8" s="1"/>
  <c r="T2533" i="8"/>
  <c r="AJ2533" i="8" s="1"/>
  <c r="R2534" i="8"/>
  <c r="S2534" i="8"/>
  <c r="T2534" i="8"/>
  <c r="AJ2534" i="8" s="1"/>
  <c r="R2535" i="8"/>
  <c r="S2535" i="8"/>
  <c r="AI2535" i="8" s="1"/>
  <c r="T2535" i="8"/>
  <c r="AJ2535" i="8" s="1"/>
  <c r="R2536" i="8"/>
  <c r="S2536" i="8"/>
  <c r="T2536" i="8"/>
  <c r="AJ2536" i="8" s="1"/>
  <c r="R2537" i="8"/>
  <c r="S2537" i="8"/>
  <c r="AI2537" i="8" s="1"/>
  <c r="T2537" i="8"/>
  <c r="AJ2537" i="8" s="1"/>
  <c r="R2538" i="8"/>
  <c r="S2538" i="8"/>
  <c r="T2538" i="8"/>
  <c r="AJ2538" i="8" s="1"/>
  <c r="R2539" i="8"/>
  <c r="S2539" i="8"/>
  <c r="AI2539" i="8" s="1"/>
  <c r="T2539" i="8"/>
  <c r="AJ2539" i="8" s="1"/>
  <c r="R2540" i="8"/>
  <c r="S2540" i="8"/>
  <c r="AI2540" i="8" s="1"/>
  <c r="T2540" i="8"/>
  <c r="AJ2540" i="8" s="1"/>
  <c r="R2541" i="8"/>
  <c r="S2541" i="8"/>
  <c r="AI2541" i="8" s="1"/>
  <c r="T2541" i="8"/>
  <c r="AJ2541" i="8" s="1"/>
  <c r="R2542" i="8"/>
  <c r="S2542" i="8"/>
  <c r="T2542" i="8"/>
  <c r="AJ2542" i="8" s="1"/>
  <c r="R2543" i="8"/>
  <c r="S2543" i="8"/>
  <c r="AI2543" i="8" s="1"/>
  <c r="T2543" i="8"/>
  <c r="AJ2543" i="8" s="1"/>
  <c r="R2544" i="8"/>
  <c r="S2544" i="8"/>
  <c r="T2544" i="8"/>
  <c r="AJ2544" i="8" s="1"/>
  <c r="R2545" i="8"/>
  <c r="S2545" i="8"/>
  <c r="AI2545" i="8" s="1"/>
  <c r="T2545" i="8"/>
  <c r="AJ2545" i="8" s="1"/>
  <c r="R2546" i="8"/>
  <c r="S2546" i="8"/>
  <c r="T2546" i="8"/>
  <c r="AJ2546" i="8" s="1"/>
  <c r="R2547" i="8"/>
  <c r="S2547" i="8"/>
  <c r="AI2547" i="8" s="1"/>
  <c r="T2547" i="8"/>
  <c r="AJ2547" i="8" s="1"/>
  <c r="R2548" i="8"/>
  <c r="S2548" i="8"/>
  <c r="AI2548" i="8" s="1"/>
  <c r="T2548" i="8"/>
  <c r="AJ2548" i="8" s="1"/>
  <c r="R2549" i="8"/>
  <c r="S2549" i="8"/>
  <c r="AI2549" i="8" s="1"/>
  <c r="T2549" i="8"/>
  <c r="AJ2549" i="8" s="1"/>
  <c r="R2550" i="8"/>
  <c r="S2550" i="8"/>
  <c r="T2550" i="8"/>
  <c r="AJ2550" i="8" s="1"/>
  <c r="R2551" i="8"/>
  <c r="S2551" i="8"/>
  <c r="AI2551" i="8" s="1"/>
  <c r="T2551" i="8"/>
  <c r="AJ2551" i="8" s="1"/>
  <c r="R2552" i="8"/>
  <c r="S2552" i="8"/>
  <c r="T2552" i="8"/>
  <c r="AJ2552" i="8" s="1"/>
  <c r="R2553" i="8"/>
  <c r="S2553" i="8"/>
  <c r="AI2553" i="8" s="1"/>
  <c r="T2553" i="8"/>
  <c r="AJ2553" i="8" s="1"/>
  <c r="R2554" i="8"/>
  <c r="S2554" i="8"/>
  <c r="T2554" i="8"/>
  <c r="AJ2554" i="8" s="1"/>
  <c r="R2555" i="8"/>
  <c r="S2555" i="8"/>
  <c r="AI2555" i="8" s="1"/>
  <c r="T2555" i="8"/>
  <c r="AJ2555" i="8" s="1"/>
  <c r="R2556" i="8"/>
  <c r="S2556" i="8"/>
  <c r="AI2556" i="8" s="1"/>
  <c r="T2556" i="8"/>
  <c r="AJ2556" i="8" s="1"/>
  <c r="R2557" i="8"/>
  <c r="S2557" i="8"/>
  <c r="AI2557" i="8" s="1"/>
  <c r="T2557" i="8"/>
  <c r="AJ2557" i="8" s="1"/>
  <c r="R2558" i="8"/>
  <c r="S2558" i="8"/>
  <c r="T2558" i="8"/>
  <c r="AJ2558" i="8" s="1"/>
  <c r="R2559" i="8"/>
  <c r="S2559" i="8"/>
  <c r="AI2559" i="8" s="1"/>
  <c r="T2559" i="8"/>
  <c r="AJ2559" i="8" s="1"/>
  <c r="R2560" i="8"/>
  <c r="S2560" i="8"/>
  <c r="T2560" i="8"/>
  <c r="AJ2560" i="8" s="1"/>
  <c r="R2561" i="8"/>
  <c r="S2561" i="8"/>
  <c r="AI2561" i="8" s="1"/>
  <c r="T2561" i="8"/>
  <c r="AJ2561" i="8" s="1"/>
  <c r="R2562" i="8"/>
  <c r="S2562" i="8"/>
  <c r="T2562" i="8"/>
  <c r="AJ2562" i="8" s="1"/>
  <c r="R2563" i="8"/>
  <c r="S2563" i="8"/>
  <c r="AI2563" i="8" s="1"/>
  <c r="T2563" i="8"/>
  <c r="AJ2563" i="8" s="1"/>
  <c r="R2564" i="8"/>
  <c r="S2564" i="8"/>
  <c r="AI2564" i="8" s="1"/>
  <c r="T2564" i="8"/>
  <c r="AJ2564" i="8" s="1"/>
  <c r="R2565" i="8"/>
  <c r="S2565" i="8"/>
  <c r="AI2565" i="8" s="1"/>
  <c r="T2565" i="8"/>
  <c r="AJ2565" i="8" s="1"/>
  <c r="R2566" i="8"/>
  <c r="S2566" i="8"/>
  <c r="T2566" i="8"/>
  <c r="AJ2566" i="8" s="1"/>
  <c r="R2567" i="8"/>
  <c r="S2567" i="8"/>
  <c r="AI2567" i="8" s="1"/>
  <c r="T2567" i="8"/>
  <c r="AJ2567" i="8" s="1"/>
  <c r="R2568" i="8"/>
  <c r="S2568" i="8"/>
  <c r="T2568" i="8"/>
  <c r="AJ2568" i="8" s="1"/>
  <c r="R2569" i="8"/>
  <c r="S2569" i="8"/>
  <c r="AI2569" i="8" s="1"/>
  <c r="T2569" i="8"/>
  <c r="AJ2569" i="8" s="1"/>
  <c r="R2570" i="8"/>
  <c r="S2570" i="8"/>
  <c r="T2570" i="8"/>
  <c r="AJ2570" i="8" s="1"/>
  <c r="R2571" i="8"/>
  <c r="S2571" i="8"/>
  <c r="AI2571" i="8" s="1"/>
  <c r="T2571" i="8"/>
  <c r="AJ2571" i="8" s="1"/>
  <c r="R2572" i="8"/>
  <c r="S2572" i="8"/>
  <c r="AI2572" i="8" s="1"/>
  <c r="T2572" i="8"/>
  <c r="AJ2572" i="8" s="1"/>
  <c r="R2573" i="8"/>
  <c r="S2573" i="8"/>
  <c r="AI2573" i="8" s="1"/>
  <c r="T2573" i="8"/>
  <c r="AJ2573" i="8" s="1"/>
  <c r="R2574" i="8"/>
  <c r="S2574" i="8"/>
  <c r="T2574" i="8"/>
  <c r="AJ2574" i="8" s="1"/>
  <c r="R2575" i="8"/>
  <c r="S2575" i="8"/>
  <c r="AI2575" i="8" s="1"/>
  <c r="T2575" i="8"/>
  <c r="AJ2575" i="8" s="1"/>
  <c r="R2576" i="8"/>
  <c r="S2576" i="8"/>
  <c r="T2576" i="8"/>
  <c r="AJ2576" i="8" s="1"/>
  <c r="R2577" i="8"/>
  <c r="S2577" i="8"/>
  <c r="AI2577" i="8" s="1"/>
  <c r="T2577" i="8"/>
  <c r="AJ2577" i="8" s="1"/>
  <c r="R2578" i="8"/>
  <c r="S2578" i="8"/>
  <c r="T2578" i="8"/>
  <c r="AJ2578" i="8" s="1"/>
  <c r="R2579" i="8"/>
  <c r="S2579" i="8"/>
  <c r="AI2579" i="8" s="1"/>
  <c r="T2579" i="8"/>
  <c r="AJ2579" i="8" s="1"/>
  <c r="R2580" i="8"/>
  <c r="S2580" i="8"/>
  <c r="AI2580" i="8" s="1"/>
  <c r="T2580" i="8"/>
  <c r="AJ2580" i="8" s="1"/>
  <c r="R2581" i="8"/>
  <c r="S2581" i="8"/>
  <c r="AI2581" i="8" s="1"/>
  <c r="T2581" i="8"/>
  <c r="AJ2581" i="8" s="1"/>
  <c r="R2582" i="8"/>
  <c r="S2582" i="8"/>
  <c r="T2582" i="8"/>
  <c r="AJ2582" i="8" s="1"/>
  <c r="R2583" i="8"/>
  <c r="S2583" i="8"/>
  <c r="AI2583" i="8" s="1"/>
  <c r="T2583" i="8"/>
  <c r="AJ2583" i="8" s="1"/>
  <c r="R2584" i="8"/>
  <c r="S2584" i="8"/>
  <c r="T2584" i="8"/>
  <c r="AJ2584" i="8" s="1"/>
  <c r="R2585" i="8"/>
  <c r="S2585" i="8"/>
  <c r="AI2585" i="8" s="1"/>
  <c r="T2585" i="8"/>
  <c r="AJ2585" i="8" s="1"/>
  <c r="R2586" i="8"/>
  <c r="S2586" i="8"/>
  <c r="T2586" i="8"/>
  <c r="AJ2586" i="8" s="1"/>
  <c r="R2587" i="8"/>
  <c r="S2587" i="8"/>
  <c r="AI2587" i="8" s="1"/>
  <c r="T2587" i="8"/>
  <c r="AJ2587" i="8" s="1"/>
  <c r="R2588" i="8"/>
  <c r="S2588" i="8"/>
  <c r="AI2588" i="8" s="1"/>
  <c r="T2588" i="8"/>
  <c r="AJ2588" i="8" s="1"/>
  <c r="R2589" i="8"/>
  <c r="S2589" i="8"/>
  <c r="AI2589" i="8" s="1"/>
  <c r="T2589" i="8"/>
  <c r="AJ2589" i="8" s="1"/>
  <c r="R2590" i="8"/>
  <c r="S2590" i="8"/>
  <c r="T2590" i="8"/>
  <c r="AJ2590" i="8" s="1"/>
  <c r="R2591" i="8"/>
  <c r="S2591" i="8"/>
  <c r="AI2591" i="8" s="1"/>
  <c r="T2591" i="8"/>
  <c r="AJ2591" i="8" s="1"/>
  <c r="R2592" i="8"/>
  <c r="S2592" i="8"/>
  <c r="T2592" i="8"/>
  <c r="AJ2592" i="8" s="1"/>
  <c r="R2593" i="8"/>
  <c r="S2593" i="8"/>
  <c r="AI2593" i="8" s="1"/>
  <c r="T2593" i="8"/>
  <c r="AJ2593" i="8" s="1"/>
  <c r="R2594" i="8"/>
  <c r="S2594" i="8"/>
  <c r="T2594" i="8"/>
  <c r="AJ2594" i="8" s="1"/>
  <c r="R2595" i="8"/>
  <c r="S2595" i="8"/>
  <c r="AI2595" i="8" s="1"/>
  <c r="T2595" i="8"/>
  <c r="AJ2595" i="8" s="1"/>
  <c r="R2596" i="8"/>
  <c r="S2596" i="8"/>
  <c r="AI2596" i="8" s="1"/>
  <c r="T2596" i="8"/>
  <c r="AJ2596" i="8" s="1"/>
  <c r="R2597" i="8"/>
  <c r="S2597" i="8"/>
  <c r="AI2597" i="8" s="1"/>
  <c r="T2597" i="8"/>
  <c r="AJ2597" i="8" s="1"/>
  <c r="R2598" i="8"/>
  <c r="S2598" i="8"/>
  <c r="T2598" i="8"/>
  <c r="AJ2598" i="8" s="1"/>
  <c r="R2599" i="8"/>
  <c r="S2599" i="8"/>
  <c r="AI2599" i="8" s="1"/>
  <c r="T2599" i="8"/>
  <c r="AJ2599" i="8" s="1"/>
  <c r="R2600" i="8"/>
  <c r="S2600" i="8"/>
  <c r="T2600" i="8"/>
  <c r="AJ2600" i="8" s="1"/>
  <c r="R2601" i="8"/>
  <c r="S2601" i="8"/>
  <c r="AI2601" i="8" s="1"/>
  <c r="T2601" i="8"/>
  <c r="AJ2601" i="8" s="1"/>
  <c r="R2602" i="8"/>
  <c r="S2602" i="8"/>
  <c r="T2602" i="8"/>
  <c r="AJ2602" i="8" s="1"/>
  <c r="R2603" i="8"/>
  <c r="S2603" i="8"/>
  <c r="AI2603" i="8" s="1"/>
  <c r="T2603" i="8"/>
  <c r="AJ2603" i="8" s="1"/>
  <c r="R2604" i="8"/>
  <c r="S2604" i="8"/>
  <c r="AI2604" i="8" s="1"/>
  <c r="T2604" i="8"/>
  <c r="R2605" i="8"/>
  <c r="S2605" i="8"/>
  <c r="AI2605" i="8" s="1"/>
  <c r="T2605" i="8"/>
  <c r="AJ2605" i="8" s="1"/>
  <c r="R2606" i="8"/>
  <c r="S2606" i="8"/>
  <c r="T2606" i="8"/>
  <c r="R2607" i="8"/>
  <c r="S2607" i="8"/>
  <c r="AI2607" i="8" s="1"/>
  <c r="T2607" i="8"/>
  <c r="AJ2607" i="8" s="1"/>
  <c r="R2608" i="8"/>
  <c r="S2608" i="8"/>
  <c r="AI2608" i="8" s="1"/>
  <c r="T2608" i="8"/>
  <c r="AJ2608" i="8" s="1"/>
  <c r="R2609" i="8"/>
  <c r="S2609" i="8"/>
  <c r="AI2609" i="8" s="1"/>
  <c r="T2609" i="8"/>
  <c r="AJ2609" i="8" s="1"/>
  <c r="R2610" i="8"/>
  <c r="S2610" i="8"/>
  <c r="AI2610" i="8" s="1"/>
  <c r="T2610" i="8"/>
  <c r="R2611" i="8"/>
  <c r="S2611" i="8"/>
  <c r="T2611" i="8"/>
  <c r="AJ2611" i="8" s="1"/>
  <c r="R2612" i="8"/>
  <c r="S2612" i="8"/>
  <c r="AI2612" i="8" s="1"/>
  <c r="T2612" i="8"/>
  <c r="AJ2612" i="8" s="1"/>
  <c r="R2613" i="8"/>
  <c r="S2613" i="8"/>
  <c r="AI2613" i="8" s="1"/>
  <c r="T2613" i="8"/>
  <c r="AJ2613" i="8" s="1"/>
  <c r="R2614" i="8"/>
  <c r="S2614" i="8"/>
  <c r="T2614" i="8"/>
  <c r="AJ2614" i="8" s="1"/>
  <c r="R2615" i="8"/>
  <c r="S2615" i="8"/>
  <c r="T2615" i="8"/>
  <c r="R2616" i="8"/>
  <c r="S2616" i="8"/>
  <c r="AI2616" i="8" s="1"/>
  <c r="T2616" i="8"/>
  <c r="AJ2616" i="8" s="1"/>
  <c r="R2617" i="8"/>
  <c r="S2617" i="8"/>
  <c r="AI2617" i="8" s="1"/>
  <c r="T2617" i="8"/>
  <c r="AJ2617" i="8" s="1"/>
  <c r="R2618" i="8"/>
  <c r="S2618" i="8"/>
  <c r="T2618" i="8"/>
  <c r="R2619" i="8"/>
  <c r="S2619" i="8"/>
  <c r="AI2619" i="8" s="1"/>
  <c r="T2619" i="8"/>
  <c r="R2620" i="8"/>
  <c r="S2620" i="8"/>
  <c r="AI2620" i="8" s="1"/>
  <c r="T2620" i="8"/>
  <c r="AJ2620" i="8" s="1"/>
  <c r="R2621" i="8"/>
  <c r="S2621" i="8"/>
  <c r="AI2621" i="8" s="1"/>
  <c r="T2621" i="8"/>
  <c r="AJ2621" i="8" s="1"/>
  <c r="R2622" i="8"/>
  <c r="S2622" i="8"/>
  <c r="AI2622" i="8" s="1"/>
  <c r="T2622" i="8"/>
  <c r="AJ2622" i="8" s="1"/>
  <c r="R2623" i="8"/>
  <c r="S2623" i="8"/>
  <c r="T2623" i="8"/>
  <c r="AJ2623" i="8" s="1"/>
  <c r="R2624" i="8"/>
  <c r="S2624" i="8"/>
  <c r="T2624" i="8"/>
  <c r="R2625" i="8"/>
  <c r="S2625" i="8"/>
  <c r="AI2625" i="8" s="1"/>
  <c r="T2625" i="8"/>
  <c r="AJ2625" i="8" s="1"/>
  <c r="R2626" i="8"/>
  <c r="S2626" i="8"/>
  <c r="AI2626" i="8" s="1"/>
  <c r="T2626" i="8"/>
  <c r="AJ2626" i="8" s="1"/>
  <c r="R2627" i="8"/>
  <c r="S2627" i="8"/>
  <c r="AI2627" i="8" s="1"/>
  <c r="T2627" i="8"/>
  <c r="R2628" i="8"/>
  <c r="S2628" i="8"/>
  <c r="AI2628" i="8" s="1"/>
  <c r="T2628" i="8"/>
  <c r="R2629" i="8"/>
  <c r="S2629" i="8"/>
  <c r="AI2629" i="8" s="1"/>
  <c r="T2629" i="8"/>
  <c r="R2630" i="8"/>
  <c r="S2630" i="8"/>
  <c r="AI2630" i="8" s="1"/>
  <c r="T2630" i="8"/>
  <c r="AJ2630" i="8" s="1"/>
  <c r="R2631" i="8"/>
  <c r="S2631" i="8"/>
  <c r="AI2631" i="8" s="1"/>
  <c r="T2631" i="8"/>
  <c r="R2632" i="8"/>
  <c r="S2632" i="8"/>
  <c r="T2632" i="8"/>
  <c r="AJ2632" i="8" s="1"/>
  <c r="R2633" i="8"/>
  <c r="S2633" i="8"/>
  <c r="AI2633" i="8" s="1"/>
  <c r="T2633" i="8"/>
  <c r="AJ2633" i="8" s="1"/>
  <c r="R2634" i="8"/>
  <c r="S2634" i="8"/>
  <c r="T2634" i="8"/>
  <c r="AJ2634" i="8" s="1"/>
  <c r="R2635" i="8"/>
  <c r="S2635" i="8"/>
  <c r="AI2635" i="8" s="1"/>
  <c r="T2635" i="8"/>
  <c r="AJ2635" i="8" s="1"/>
  <c r="R2636" i="8"/>
  <c r="S2636" i="8"/>
  <c r="AI2636" i="8" s="1"/>
  <c r="T2636" i="8"/>
  <c r="R2637" i="8"/>
  <c r="S2637" i="8"/>
  <c r="AI2637" i="8" s="1"/>
  <c r="T2637" i="8"/>
  <c r="AJ2637" i="8" s="1"/>
  <c r="R2638" i="8"/>
  <c r="S2638" i="8"/>
  <c r="T2638" i="8"/>
  <c r="R2639" i="8"/>
  <c r="S2639" i="8"/>
  <c r="AI2639" i="8" s="1"/>
  <c r="T2639" i="8"/>
  <c r="AJ2639" i="8" s="1"/>
  <c r="R2640" i="8"/>
  <c r="S2640" i="8"/>
  <c r="AI2640" i="8" s="1"/>
  <c r="T2640" i="8"/>
  <c r="AJ2640" i="8" s="1"/>
  <c r="R2641" i="8"/>
  <c r="S2641" i="8"/>
  <c r="AI2641" i="8" s="1"/>
  <c r="T2641" i="8"/>
  <c r="AJ2641" i="8" s="1"/>
  <c r="R2642" i="8"/>
  <c r="S2642" i="8"/>
  <c r="AI2642" i="8" s="1"/>
  <c r="T2642" i="8"/>
  <c r="R2643" i="8"/>
  <c r="S2643" i="8"/>
  <c r="T2643" i="8"/>
  <c r="AJ2643" i="8" s="1"/>
  <c r="R2644" i="8"/>
  <c r="S2644" i="8"/>
  <c r="AI2644" i="8" s="1"/>
  <c r="T2644" i="8"/>
  <c r="AJ2644" i="8" s="1"/>
  <c r="R2645" i="8"/>
  <c r="S2645" i="8"/>
  <c r="AI2645" i="8" s="1"/>
  <c r="T2645" i="8"/>
  <c r="AJ2645" i="8" s="1"/>
  <c r="R2646" i="8"/>
  <c r="S2646" i="8"/>
  <c r="T2646" i="8"/>
  <c r="AJ2646" i="8" s="1"/>
  <c r="R2647" i="8"/>
  <c r="S2647" i="8"/>
  <c r="T2647" i="8"/>
  <c r="R2648" i="8"/>
  <c r="S2648" i="8"/>
  <c r="AI2648" i="8" s="1"/>
  <c r="T2648" i="8"/>
  <c r="AJ2648" i="8" s="1"/>
  <c r="R2649" i="8"/>
  <c r="S2649" i="8"/>
  <c r="AI2649" i="8" s="1"/>
  <c r="T2649" i="8"/>
  <c r="AJ2649" i="8" s="1"/>
  <c r="R2650" i="8"/>
  <c r="S2650" i="8"/>
  <c r="T2650" i="8"/>
  <c r="R2651" i="8"/>
  <c r="S2651" i="8"/>
  <c r="AI2651" i="8" s="1"/>
  <c r="T2651" i="8"/>
  <c r="R2652" i="8"/>
  <c r="S2652" i="8"/>
  <c r="AI2652" i="8" s="1"/>
  <c r="T2652" i="8"/>
  <c r="AJ2652" i="8" s="1"/>
  <c r="R2653" i="8"/>
  <c r="S2653" i="8"/>
  <c r="AI2653" i="8" s="1"/>
  <c r="T2653" i="8"/>
  <c r="AJ2653" i="8" s="1"/>
  <c r="R2654" i="8"/>
  <c r="S2654" i="8"/>
  <c r="AI2654" i="8" s="1"/>
  <c r="T2654" i="8"/>
  <c r="AJ2654" i="8" s="1"/>
  <c r="R2655" i="8"/>
  <c r="S2655" i="8"/>
  <c r="T2655" i="8"/>
  <c r="AJ2655" i="8" s="1"/>
  <c r="R2656" i="8"/>
  <c r="S2656" i="8"/>
  <c r="T2656" i="8"/>
  <c r="R2657" i="8"/>
  <c r="S2657" i="8"/>
  <c r="AI2657" i="8" s="1"/>
  <c r="T2657" i="8"/>
  <c r="AJ2657" i="8" s="1"/>
  <c r="R2658" i="8"/>
  <c r="S2658" i="8"/>
  <c r="AI2658" i="8" s="1"/>
  <c r="T2658" i="8"/>
  <c r="AJ2658" i="8" s="1"/>
  <c r="R2659" i="8"/>
  <c r="S2659" i="8"/>
  <c r="AI2659" i="8" s="1"/>
  <c r="T2659" i="8"/>
  <c r="R2660" i="8"/>
  <c r="S2660" i="8"/>
  <c r="AI2660" i="8" s="1"/>
  <c r="T2660" i="8"/>
  <c r="R2661" i="8"/>
  <c r="S2661" i="8"/>
  <c r="AI2661" i="8" s="1"/>
  <c r="T2661" i="8"/>
  <c r="R2662" i="8"/>
  <c r="S2662" i="8"/>
  <c r="AI2662" i="8" s="1"/>
  <c r="T2662" i="8"/>
  <c r="AJ2662" i="8" s="1"/>
  <c r="R2663" i="8"/>
  <c r="S2663" i="8"/>
  <c r="AI2663" i="8" s="1"/>
  <c r="T2663" i="8"/>
  <c r="R2664" i="8"/>
  <c r="S2664" i="8"/>
  <c r="T2664" i="8"/>
  <c r="AJ2664" i="8" s="1"/>
  <c r="R2665" i="8"/>
  <c r="S2665" i="8"/>
  <c r="AI2665" i="8" s="1"/>
  <c r="T2665" i="8"/>
  <c r="AJ2665" i="8" s="1"/>
  <c r="R2666" i="8"/>
  <c r="S2666" i="8"/>
  <c r="T2666" i="8"/>
  <c r="AJ2666" i="8" s="1"/>
  <c r="R2667" i="8"/>
  <c r="S2667" i="8"/>
  <c r="AI2667" i="8" s="1"/>
  <c r="T2667" i="8"/>
  <c r="AJ2667" i="8" s="1"/>
  <c r="R2668" i="8"/>
  <c r="S2668" i="8"/>
  <c r="AI2668" i="8" s="1"/>
  <c r="T2668" i="8"/>
  <c r="R2669" i="8"/>
  <c r="S2669" i="8"/>
  <c r="AI2669" i="8" s="1"/>
  <c r="T2669" i="8"/>
  <c r="AJ2669" i="8" s="1"/>
  <c r="R2670" i="8"/>
  <c r="S2670" i="8"/>
  <c r="T2670" i="8"/>
  <c r="R2671" i="8"/>
  <c r="S2671" i="8"/>
  <c r="AI2671" i="8" s="1"/>
  <c r="T2671" i="8"/>
  <c r="AJ2671" i="8" s="1"/>
  <c r="R2672" i="8"/>
  <c r="S2672" i="8"/>
  <c r="AI2672" i="8" s="1"/>
  <c r="T2672" i="8"/>
  <c r="AJ2672" i="8" s="1"/>
  <c r="R2673" i="8"/>
  <c r="S2673" i="8"/>
  <c r="AI2673" i="8" s="1"/>
  <c r="T2673" i="8"/>
  <c r="AJ2673" i="8" s="1"/>
  <c r="R2674" i="8"/>
  <c r="S2674" i="8"/>
  <c r="AI2674" i="8" s="1"/>
  <c r="T2674" i="8"/>
  <c r="R2675" i="8"/>
  <c r="S2675" i="8"/>
  <c r="T2675" i="8"/>
  <c r="AJ2675" i="8" s="1"/>
  <c r="R2676" i="8"/>
  <c r="S2676" i="8"/>
  <c r="AI2676" i="8" s="1"/>
  <c r="T2676" i="8"/>
  <c r="AJ2676" i="8" s="1"/>
  <c r="R2677" i="8"/>
  <c r="S2677" i="8"/>
  <c r="AI2677" i="8" s="1"/>
  <c r="T2677" i="8"/>
  <c r="AJ2677" i="8" s="1"/>
  <c r="R2678" i="8"/>
  <c r="S2678" i="8"/>
  <c r="T2678" i="8"/>
  <c r="AJ2678" i="8" s="1"/>
  <c r="R2679" i="8"/>
  <c r="S2679" i="8"/>
  <c r="T2679" i="8"/>
  <c r="R2680" i="8"/>
  <c r="S2680" i="8"/>
  <c r="AI2680" i="8" s="1"/>
  <c r="T2680" i="8"/>
  <c r="AJ2680" i="8" s="1"/>
  <c r="R2681" i="8"/>
  <c r="S2681" i="8"/>
  <c r="AI2681" i="8" s="1"/>
  <c r="T2681" i="8"/>
  <c r="AJ2681" i="8" s="1"/>
  <c r="R2682" i="8"/>
  <c r="S2682" i="8"/>
  <c r="T2682" i="8"/>
  <c r="R2683" i="8"/>
  <c r="S2683" i="8"/>
  <c r="AI2683" i="8" s="1"/>
  <c r="T2683" i="8"/>
  <c r="R2684" i="8"/>
  <c r="S2684" i="8"/>
  <c r="AI2684" i="8" s="1"/>
  <c r="T2684" i="8"/>
  <c r="AJ2684" i="8" s="1"/>
  <c r="R2685" i="8"/>
  <c r="S2685" i="8"/>
  <c r="AI2685" i="8" s="1"/>
  <c r="T2685" i="8"/>
  <c r="AJ2685" i="8" s="1"/>
  <c r="R2686" i="8"/>
  <c r="S2686" i="8"/>
  <c r="AI2686" i="8" s="1"/>
  <c r="T2686" i="8"/>
  <c r="AJ2686" i="8" s="1"/>
  <c r="R2687" i="8"/>
  <c r="S2687" i="8"/>
  <c r="T2687" i="8"/>
  <c r="AJ2687" i="8" s="1"/>
  <c r="R2688" i="8"/>
  <c r="S2688" i="8"/>
  <c r="T2688" i="8"/>
  <c r="R2689" i="8"/>
  <c r="S2689" i="8"/>
  <c r="AI2689" i="8" s="1"/>
  <c r="T2689" i="8"/>
  <c r="AJ2689" i="8" s="1"/>
  <c r="R2690" i="8"/>
  <c r="S2690" i="8"/>
  <c r="AI2690" i="8" s="1"/>
  <c r="T2690" i="8"/>
  <c r="AJ2690" i="8" s="1"/>
  <c r="R2691" i="8"/>
  <c r="S2691" i="8"/>
  <c r="AI2691" i="8" s="1"/>
  <c r="T2691" i="8"/>
  <c r="R2692" i="8"/>
  <c r="S2692" i="8"/>
  <c r="AI2692" i="8" s="1"/>
  <c r="T2692" i="8"/>
  <c r="R2693" i="8"/>
  <c r="S2693" i="8"/>
  <c r="AI2693" i="8" s="1"/>
  <c r="T2693" i="8"/>
  <c r="R2694" i="8"/>
  <c r="S2694" i="8"/>
  <c r="AI2694" i="8" s="1"/>
  <c r="T2694" i="8"/>
  <c r="AJ2694" i="8" s="1"/>
  <c r="R2695" i="8"/>
  <c r="S2695" i="8"/>
  <c r="AI2695" i="8" s="1"/>
  <c r="T2695" i="8"/>
  <c r="R2696" i="8"/>
  <c r="S2696" i="8"/>
  <c r="T2696" i="8"/>
  <c r="AJ2696" i="8" s="1"/>
  <c r="R2697" i="8"/>
  <c r="S2697" i="8"/>
  <c r="AI2697" i="8" s="1"/>
  <c r="T2697" i="8"/>
  <c r="AJ2697" i="8" s="1"/>
  <c r="R2698" i="8"/>
  <c r="S2698" i="8"/>
  <c r="T2698" i="8"/>
  <c r="AJ2698" i="8" s="1"/>
  <c r="R2699" i="8"/>
  <c r="S2699" i="8"/>
  <c r="AI2699" i="8" s="1"/>
  <c r="T2699" i="8"/>
  <c r="AJ2699" i="8" s="1"/>
  <c r="R2700" i="8"/>
  <c r="S2700" i="8"/>
  <c r="AI2700" i="8" s="1"/>
  <c r="T2700" i="8"/>
  <c r="R2701" i="8"/>
  <c r="S2701" i="8"/>
  <c r="AI2701" i="8" s="1"/>
  <c r="T2701" i="8"/>
  <c r="AJ2701" i="8" s="1"/>
  <c r="R2702" i="8"/>
  <c r="S2702" i="8"/>
  <c r="T2702" i="8"/>
  <c r="R2703" i="8"/>
  <c r="S2703" i="8"/>
  <c r="AI2703" i="8" s="1"/>
  <c r="T2703" i="8"/>
  <c r="AJ2703" i="8" s="1"/>
  <c r="R2704" i="8"/>
  <c r="S2704" i="8"/>
  <c r="AI2704" i="8" s="1"/>
  <c r="T2704" i="8"/>
  <c r="AJ2704" i="8" s="1"/>
  <c r="R2705" i="8"/>
  <c r="S2705" i="8"/>
  <c r="AI2705" i="8" s="1"/>
  <c r="T2705" i="8"/>
  <c r="AJ2705" i="8" s="1"/>
  <c r="R2706" i="8"/>
  <c r="S2706" i="8"/>
  <c r="AI2706" i="8" s="1"/>
  <c r="T2706" i="8"/>
  <c r="R2707" i="8"/>
  <c r="S2707" i="8"/>
  <c r="T2707" i="8"/>
  <c r="AJ2707" i="8" s="1"/>
  <c r="R2708" i="8"/>
  <c r="S2708" i="8"/>
  <c r="AI2708" i="8" s="1"/>
  <c r="T2708" i="8"/>
  <c r="AJ2708" i="8" s="1"/>
  <c r="R2709" i="8"/>
  <c r="S2709" i="8"/>
  <c r="AI2709" i="8" s="1"/>
  <c r="T2709" i="8"/>
  <c r="AJ2709" i="8" s="1"/>
  <c r="R2710" i="8"/>
  <c r="S2710" i="8"/>
  <c r="T2710" i="8"/>
  <c r="AJ2710" i="8" s="1"/>
  <c r="R2711" i="8"/>
  <c r="S2711" i="8"/>
  <c r="T2711" i="8"/>
  <c r="R2712" i="8"/>
  <c r="S2712" i="8"/>
  <c r="AI2712" i="8" s="1"/>
  <c r="T2712" i="8"/>
  <c r="AJ2712" i="8" s="1"/>
  <c r="R2713" i="8"/>
  <c r="S2713" i="8"/>
  <c r="AI2713" i="8" s="1"/>
  <c r="T2713" i="8"/>
  <c r="AJ2713" i="8" s="1"/>
  <c r="R2714" i="8"/>
  <c r="S2714" i="8"/>
  <c r="T2714" i="8"/>
  <c r="R2715" i="8"/>
  <c r="S2715" i="8"/>
  <c r="AI2715" i="8" s="1"/>
  <c r="T2715" i="8"/>
  <c r="R2716" i="8"/>
  <c r="S2716" i="8"/>
  <c r="AI2716" i="8" s="1"/>
  <c r="T2716" i="8"/>
  <c r="AJ2716" i="8" s="1"/>
  <c r="R2717" i="8"/>
  <c r="S2717" i="8"/>
  <c r="AI2717" i="8" s="1"/>
  <c r="T2717" i="8"/>
  <c r="AJ2717" i="8" s="1"/>
  <c r="R2718" i="8"/>
  <c r="S2718" i="8"/>
  <c r="AI2718" i="8" s="1"/>
  <c r="T2718" i="8"/>
  <c r="AJ2718" i="8" s="1"/>
  <c r="R2719" i="8"/>
  <c r="S2719" i="8"/>
  <c r="T2719" i="8"/>
  <c r="AJ2719" i="8" s="1"/>
  <c r="R2720" i="8"/>
  <c r="S2720" i="8"/>
  <c r="T2720" i="8"/>
  <c r="R2721" i="8"/>
  <c r="S2721" i="8"/>
  <c r="AI2721" i="8" s="1"/>
  <c r="T2721" i="8"/>
  <c r="AJ2721" i="8" s="1"/>
  <c r="R2722" i="8"/>
  <c r="S2722" i="8"/>
  <c r="AI2722" i="8" s="1"/>
  <c r="T2722" i="8"/>
  <c r="AJ2722" i="8" s="1"/>
  <c r="R2723" i="8"/>
  <c r="S2723" i="8"/>
  <c r="AI2723" i="8" s="1"/>
  <c r="T2723" i="8"/>
  <c r="R2724" i="8"/>
  <c r="S2724" i="8"/>
  <c r="AI2724" i="8" s="1"/>
  <c r="T2724" i="8"/>
  <c r="R2725" i="8"/>
  <c r="S2725" i="8"/>
  <c r="AI2725" i="8" s="1"/>
  <c r="T2725" i="8"/>
  <c r="R2726" i="8"/>
  <c r="S2726" i="8"/>
  <c r="AI2726" i="8" s="1"/>
  <c r="T2726" i="8"/>
  <c r="AJ2726" i="8" s="1"/>
  <c r="R2727" i="8"/>
  <c r="S2727" i="8"/>
  <c r="AI2727" i="8" s="1"/>
  <c r="T2727" i="8"/>
  <c r="O562" i="8"/>
  <c r="O563" i="8"/>
  <c r="O564" i="8"/>
  <c r="O565" i="8"/>
  <c r="O566" i="8"/>
  <c r="O567" i="8"/>
  <c r="O568" i="8"/>
  <c r="O569" i="8"/>
  <c r="O570" i="8"/>
  <c r="O571" i="8"/>
  <c r="O572" i="8"/>
  <c r="O573" i="8"/>
  <c r="O574" i="8"/>
  <c r="O575" i="8"/>
  <c r="O576" i="8"/>
  <c r="O577" i="8"/>
  <c r="O578" i="8"/>
  <c r="O579" i="8"/>
  <c r="O580" i="8"/>
  <c r="O581" i="8"/>
  <c r="O582" i="8"/>
  <c r="O583" i="8"/>
  <c r="O584" i="8"/>
  <c r="O585" i="8"/>
  <c r="O586" i="8"/>
  <c r="O587" i="8"/>
  <c r="O588" i="8"/>
  <c r="O589" i="8"/>
  <c r="O590" i="8"/>
  <c r="O591" i="8"/>
  <c r="O592" i="8"/>
  <c r="O593" i="8"/>
  <c r="O594" i="8"/>
  <c r="O595" i="8"/>
  <c r="O596" i="8"/>
  <c r="O597" i="8"/>
  <c r="O598" i="8"/>
  <c r="O599" i="8"/>
  <c r="O600" i="8"/>
  <c r="O601" i="8"/>
  <c r="O602" i="8"/>
  <c r="O603" i="8"/>
  <c r="O604" i="8"/>
  <c r="O605" i="8"/>
  <c r="O606" i="8"/>
  <c r="O607" i="8"/>
  <c r="O608" i="8"/>
  <c r="O609" i="8"/>
  <c r="O610" i="8"/>
  <c r="O611" i="8"/>
  <c r="O612" i="8"/>
  <c r="O613" i="8"/>
  <c r="O614" i="8"/>
  <c r="O615" i="8"/>
  <c r="O616" i="8"/>
  <c r="O617" i="8"/>
  <c r="O618" i="8"/>
  <c r="O619" i="8"/>
  <c r="O620" i="8"/>
  <c r="O621" i="8"/>
  <c r="O622" i="8"/>
  <c r="O623" i="8"/>
  <c r="O624" i="8"/>
  <c r="O625" i="8"/>
  <c r="O626" i="8"/>
  <c r="O627" i="8"/>
  <c r="O628" i="8"/>
  <c r="O629" i="8"/>
  <c r="O630" i="8"/>
  <c r="O631" i="8"/>
  <c r="O632" i="8"/>
  <c r="O633" i="8"/>
  <c r="O634" i="8"/>
  <c r="O635" i="8"/>
  <c r="O636" i="8"/>
  <c r="O637" i="8"/>
  <c r="O638" i="8"/>
  <c r="O639" i="8"/>
  <c r="O640" i="8"/>
  <c r="O641" i="8"/>
  <c r="O642" i="8"/>
  <c r="O643" i="8"/>
  <c r="O644" i="8"/>
  <c r="O645" i="8"/>
  <c r="O646" i="8"/>
  <c r="O647" i="8"/>
  <c r="O648" i="8"/>
  <c r="O649" i="8"/>
  <c r="O650" i="8"/>
  <c r="O651" i="8"/>
  <c r="O652" i="8"/>
  <c r="O653" i="8"/>
  <c r="O654" i="8"/>
  <c r="O655" i="8"/>
  <c r="O656" i="8"/>
  <c r="O657" i="8"/>
  <c r="O658" i="8"/>
  <c r="O659" i="8"/>
  <c r="O660" i="8"/>
  <c r="O661" i="8"/>
  <c r="O662" i="8"/>
  <c r="O663" i="8"/>
  <c r="O664" i="8"/>
  <c r="O665" i="8"/>
  <c r="O666" i="8"/>
  <c r="O667" i="8"/>
  <c r="O668" i="8"/>
  <c r="O669" i="8"/>
  <c r="O670" i="8"/>
  <c r="O671" i="8"/>
  <c r="O672" i="8"/>
  <c r="O673" i="8"/>
  <c r="O674" i="8"/>
  <c r="O675" i="8"/>
  <c r="O676" i="8"/>
  <c r="O677" i="8"/>
  <c r="O678" i="8"/>
  <c r="O679" i="8"/>
  <c r="O680" i="8"/>
  <c r="O681" i="8"/>
  <c r="O682" i="8"/>
  <c r="O683" i="8"/>
  <c r="O684" i="8"/>
  <c r="O685" i="8"/>
  <c r="O686" i="8"/>
  <c r="O687" i="8"/>
  <c r="O688" i="8"/>
  <c r="O689" i="8"/>
  <c r="O690" i="8"/>
  <c r="O691" i="8"/>
  <c r="O692" i="8"/>
  <c r="O693" i="8"/>
  <c r="O694" i="8"/>
  <c r="O695" i="8"/>
  <c r="O696" i="8"/>
  <c r="O697" i="8"/>
  <c r="O698" i="8"/>
  <c r="O699" i="8"/>
  <c r="O700" i="8"/>
  <c r="O701" i="8"/>
  <c r="O702" i="8"/>
  <c r="O703" i="8"/>
  <c r="O704" i="8"/>
  <c r="O705" i="8"/>
  <c r="O706" i="8"/>
  <c r="O707" i="8"/>
  <c r="O708" i="8"/>
  <c r="O709" i="8"/>
  <c r="O710" i="8"/>
  <c r="O711" i="8"/>
  <c r="O712" i="8"/>
  <c r="O713" i="8"/>
  <c r="O714" i="8"/>
  <c r="O715" i="8"/>
  <c r="O716" i="8"/>
  <c r="O717" i="8"/>
  <c r="O718" i="8"/>
  <c r="O719" i="8"/>
  <c r="O720" i="8"/>
  <c r="O721" i="8"/>
  <c r="O722" i="8"/>
  <c r="O723" i="8"/>
  <c r="O724" i="8"/>
  <c r="O725" i="8"/>
  <c r="O726" i="8"/>
  <c r="O727" i="8"/>
  <c r="O728" i="8"/>
  <c r="O729" i="8"/>
  <c r="O730" i="8"/>
  <c r="O731" i="8"/>
  <c r="O732" i="8"/>
  <c r="O733" i="8"/>
  <c r="O734" i="8"/>
  <c r="O735" i="8"/>
  <c r="O736" i="8"/>
  <c r="O737" i="8"/>
  <c r="O738" i="8"/>
  <c r="O739" i="8"/>
  <c r="O740" i="8"/>
  <c r="O741" i="8"/>
  <c r="O742" i="8"/>
  <c r="O743" i="8"/>
  <c r="O744" i="8"/>
  <c r="O745" i="8"/>
  <c r="O746" i="8"/>
  <c r="O747" i="8"/>
  <c r="O748" i="8"/>
  <c r="O749" i="8"/>
  <c r="O750" i="8"/>
  <c r="O751" i="8"/>
  <c r="O752" i="8"/>
  <c r="O753" i="8"/>
  <c r="O754" i="8"/>
  <c r="O755" i="8"/>
  <c r="O756" i="8"/>
  <c r="O757" i="8"/>
  <c r="O758" i="8"/>
  <c r="O759" i="8"/>
  <c r="O760" i="8"/>
  <c r="O761" i="8"/>
  <c r="O762" i="8"/>
  <c r="O763" i="8"/>
  <c r="O764" i="8"/>
  <c r="O765" i="8"/>
  <c r="O766" i="8"/>
  <c r="O767" i="8"/>
  <c r="O768" i="8"/>
  <c r="O769" i="8"/>
  <c r="O770" i="8"/>
  <c r="O771" i="8"/>
  <c r="O772" i="8"/>
  <c r="O773" i="8"/>
  <c r="O774" i="8"/>
  <c r="O775" i="8"/>
  <c r="O776" i="8"/>
  <c r="O777" i="8"/>
  <c r="O778" i="8"/>
  <c r="O779" i="8"/>
  <c r="O780" i="8"/>
  <c r="O781" i="8"/>
  <c r="O782" i="8"/>
  <c r="O783" i="8"/>
  <c r="O784" i="8"/>
  <c r="O785" i="8"/>
  <c r="O786" i="8"/>
  <c r="O787" i="8"/>
  <c r="O788" i="8"/>
  <c r="O789" i="8"/>
  <c r="O790" i="8"/>
  <c r="O791" i="8"/>
  <c r="O792" i="8"/>
  <c r="O793" i="8"/>
  <c r="O794" i="8"/>
  <c r="O795" i="8"/>
  <c r="O796" i="8"/>
  <c r="O797" i="8"/>
  <c r="O798" i="8"/>
  <c r="O799" i="8"/>
  <c r="O800" i="8"/>
  <c r="O801" i="8"/>
  <c r="O802" i="8"/>
  <c r="O803" i="8"/>
  <c r="O804" i="8"/>
  <c r="O805" i="8"/>
  <c r="O806" i="8"/>
  <c r="O807" i="8"/>
  <c r="O808" i="8"/>
  <c r="O809" i="8"/>
  <c r="O810" i="8"/>
  <c r="O811" i="8"/>
  <c r="O812" i="8"/>
  <c r="O813" i="8"/>
  <c r="O814" i="8"/>
  <c r="O815" i="8"/>
  <c r="O816" i="8"/>
  <c r="O817" i="8"/>
  <c r="O818" i="8"/>
  <c r="O819" i="8"/>
  <c r="O820" i="8"/>
  <c r="O821" i="8"/>
  <c r="O822" i="8"/>
  <c r="O823" i="8"/>
  <c r="O824" i="8"/>
  <c r="O825" i="8"/>
  <c r="O826" i="8"/>
  <c r="O827" i="8"/>
  <c r="O828" i="8"/>
  <c r="O829" i="8"/>
  <c r="O830" i="8"/>
  <c r="O831" i="8"/>
  <c r="O832" i="8"/>
  <c r="O833" i="8"/>
  <c r="O834" i="8"/>
  <c r="O835" i="8"/>
  <c r="O836" i="8"/>
  <c r="O837" i="8"/>
  <c r="O838" i="8"/>
  <c r="O839" i="8"/>
  <c r="O840" i="8"/>
  <c r="O841" i="8"/>
  <c r="O842" i="8"/>
  <c r="O843" i="8"/>
  <c r="O844" i="8"/>
  <c r="O845" i="8"/>
  <c r="O846" i="8"/>
  <c r="O847" i="8"/>
  <c r="O848" i="8"/>
  <c r="O849" i="8"/>
  <c r="O850" i="8"/>
  <c r="O851" i="8"/>
  <c r="O852" i="8"/>
  <c r="O853" i="8"/>
  <c r="O854" i="8"/>
  <c r="O855" i="8"/>
  <c r="O856" i="8"/>
  <c r="O857" i="8"/>
  <c r="O858" i="8"/>
  <c r="O859" i="8"/>
  <c r="O860" i="8"/>
  <c r="O861" i="8"/>
  <c r="O862" i="8"/>
  <c r="O863" i="8"/>
  <c r="O864" i="8"/>
  <c r="O865" i="8"/>
  <c r="O866" i="8"/>
  <c r="O867" i="8"/>
  <c r="O868" i="8"/>
  <c r="O869" i="8"/>
  <c r="O870" i="8"/>
  <c r="O871" i="8"/>
  <c r="O872" i="8"/>
  <c r="O873" i="8"/>
  <c r="O874" i="8"/>
  <c r="O875" i="8"/>
  <c r="O876" i="8"/>
  <c r="O877" i="8"/>
  <c r="O878" i="8"/>
  <c r="O879" i="8"/>
  <c r="O880" i="8"/>
  <c r="O881" i="8"/>
  <c r="O882" i="8"/>
  <c r="O883" i="8"/>
  <c r="O884" i="8"/>
  <c r="O885" i="8"/>
  <c r="O886" i="8"/>
  <c r="O887" i="8"/>
  <c r="O888" i="8"/>
  <c r="O889" i="8"/>
  <c r="O890" i="8"/>
  <c r="O891" i="8"/>
  <c r="O892" i="8"/>
  <c r="O893" i="8"/>
  <c r="O894" i="8"/>
  <c r="O895" i="8"/>
  <c r="O896" i="8"/>
  <c r="O897" i="8"/>
  <c r="O898" i="8"/>
  <c r="O899" i="8"/>
  <c r="O900" i="8"/>
  <c r="O901" i="8"/>
  <c r="O902" i="8"/>
  <c r="O903" i="8"/>
  <c r="O904" i="8"/>
  <c r="O905" i="8"/>
  <c r="O906" i="8"/>
  <c r="O907" i="8"/>
  <c r="O908" i="8"/>
  <c r="O909" i="8"/>
  <c r="O910" i="8"/>
  <c r="O911" i="8"/>
  <c r="O912" i="8"/>
  <c r="O913" i="8"/>
  <c r="O914" i="8"/>
  <c r="O915" i="8"/>
  <c r="O916" i="8"/>
  <c r="O917" i="8"/>
  <c r="O918" i="8"/>
  <c r="O919" i="8"/>
  <c r="O920" i="8"/>
  <c r="O921" i="8"/>
  <c r="O922" i="8"/>
  <c r="O923" i="8"/>
  <c r="O924" i="8"/>
  <c r="O925" i="8"/>
  <c r="O926" i="8"/>
  <c r="O927" i="8"/>
  <c r="O928" i="8"/>
  <c r="O929" i="8"/>
  <c r="O930" i="8"/>
  <c r="O931" i="8"/>
  <c r="O932" i="8"/>
  <c r="O933" i="8"/>
  <c r="O934" i="8"/>
  <c r="O935" i="8"/>
  <c r="O936" i="8"/>
  <c r="O937" i="8"/>
  <c r="O938" i="8"/>
  <c r="O939" i="8"/>
  <c r="O940" i="8"/>
  <c r="O941" i="8"/>
  <c r="O942" i="8"/>
  <c r="O943" i="8"/>
  <c r="O944" i="8"/>
  <c r="O945" i="8"/>
  <c r="O946" i="8"/>
  <c r="O947" i="8"/>
  <c r="O948" i="8"/>
  <c r="O949" i="8"/>
  <c r="O950" i="8"/>
  <c r="O951" i="8"/>
  <c r="O952" i="8"/>
  <c r="O953" i="8"/>
  <c r="O954" i="8"/>
  <c r="O955" i="8"/>
  <c r="O956" i="8"/>
  <c r="O957" i="8"/>
  <c r="O958" i="8"/>
  <c r="O959" i="8"/>
  <c r="O960" i="8"/>
  <c r="O961" i="8"/>
  <c r="O962" i="8"/>
  <c r="O963" i="8"/>
  <c r="O964" i="8"/>
  <c r="O965" i="8"/>
  <c r="O966" i="8"/>
  <c r="O967" i="8"/>
  <c r="O968" i="8"/>
  <c r="O969" i="8"/>
  <c r="O970" i="8"/>
  <c r="O971" i="8"/>
  <c r="O972" i="8"/>
  <c r="O973" i="8"/>
  <c r="O974" i="8"/>
  <c r="O975" i="8"/>
  <c r="O976" i="8"/>
  <c r="O977" i="8"/>
  <c r="O978" i="8"/>
  <c r="O979" i="8"/>
  <c r="O980" i="8"/>
  <c r="O981" i="8"/>
  <c r="O982" i="8"/>
  <c r="O983" i="8"/>
  <c r="O984" i="8"/>
  <c r="O985" i="8"/>
  <c r="O986" i="8"/>
  <c r="O987" i="8"/>
  <c r="O988" i="8"/>
  <c r="O989" i="8"/>
  <c r="O990" i="8"/>
  <c r="O991" i="8"/>
  <c r="O992" i="8"/>
  <c r="O993" i="8"/>
  <c r="O994" i="8"/>
  <c r="O995" i="8"/>
  <c r="O996" i="8"/>
  <c r="O997" i="8"/>
  <c r="O998" i="8"/>
  <c r="O999" i="8"/>
  <c r="O1000" i="8"/>
  <c r="O1001" i="8"/>
  <c r="O1002" i="8"/>
  <c r="O1003" i="8"/>
  <c r="O1004" i="8"/>
  <c r="O1005" i="8"/>
  <c r="O1006" i="8"/>
  <c r="O1007" i="8"/>
  <c r="O1008" i="8"/>
  <c r="O1009" i="8"/>
  <c r="O1010" i="8"/>
  <c r="O1011" i="8"/>
  <c r="O1012" i="8"/>
  <c r="O1013" i="8"/>
  <c r="O1014" i="8"/>
  <c r="O1015" i="8"/>
  <c r="O1016" i="8"/>
  <c r="O1017" i="8"/>
  <c r="O1018" i="8"/>
  <c r="O1019" i="8"/>
  <c r="O1020" i="8"/>
  <c r="O1021" i="8"/>
  <c r="O1022" i="8"/>
  <c r="O1023" i="8"/>
  <c r="O1024" i="8"/>
  <c r="O1025" i="8"/>
  <c r="O1026" i="8"/>
  <c r="O1027" i="8"/>
  <c r="O1028" i="8"/>
  <c r="O1029" i="8"/>
  <c r="O1030" i="8"/>
  <c r="O1031" i="8"/>
  <c r="O1032" i="8"/>
  <c r="O1033" i="8"/>
  <c r="O1034" i="8"/>
  <c r="O1035" i="8"/>
  <c r="O1036" i="8"/>
  <c r="O1037" i="8"/>
  <c r="O1038" i="8"/>
  <c r="O1039" i="8"/>
  <c r="O1040" i="8"/>
  <c r="O1041" i="8"/>
  <c r="O1042" i="8"/>
  <c r="O1043" i="8"/>
  <c r="O1044" i="8"/>
  <c r="O1045" i="8"/>
  <c r="O1046" i="8"/>
  <c r="O1047" i="8"/>
  <c r="O1048" i="8"/>
  <c r="O1049" i="8"/>
  <c r="O1050" i="8"/>
  <c r="O1051" i="8"/>
  <c r="O1052" i="8"/>
  <c r="O1053" i="8"/>
  <c r="O1054" i="8"/>
  <c r="O1055" i="8"/>
  <c r="O1056" i="8"/>
  <c r="O1057" i="8"/>
  <c r="O1058" i="8"/>
  <c r="O1059" i="8"/>
  <c r="O1060" i="8"/>
  <c r="O1061" i="8"/>
  <c r="O1062" i="8"/>
  <c r="O1063" i="8"/>
  <c r="O1064" i="8"/>
  <c r="O1065" i="8"/>
  <c r="O1066" i="8"/>
  <c r="O1067" i="8"/>
  <c r="O1068" i="8"/>
  <c r="O1069" i="8"/>
  <c r="O1070" i="8"/>
  <c r="O1071" i="8"/>
  <c r="O1072" i="8"/>
  <c r="O1073" i="8"/>
  <c r="O1074" i="8"/>
  <c r="O1075" i="8"/>
  <c r="O1076" i="8"/>
  <c r="O1077" i="8"/>
  <c r="O1078" i="8"/>
  <c r="O1079" i="8"/>
  <c r="O1080" i="8"/>
  <c r="O1081" i="8"/>
  <c r="O1082" i="8"/>
  <c r="O1083" i="8"/>
  <c r="O1084" i="8"/>
  <c r="O1085" i="8"/>
  <c r="O1086" i="8"/>
  <c r="O1087" i="8"/>
  <c r="O1088" i="8"/>
  <c r="O1089" i="8"/>
  <c r="O1090" i="8"/>
  <c r="O1091" i="8"/>
  <c r="O1092" i="8"/>
  <c r="O1093" i="8"/>
  <c r="O1094" i="8"/>
  <c r="O1095" i="8"/>
  <c r="O1096" i="8"/>
  <c r="O1097" i="8"/>
  <c r="O1098" i="8"/>
  <c r="O1099" i="8"/>
  <c r="O1100" i="8"/>
  <c r="O1101" i="8"/>
  <c r="O1102" i="8"/>
  <c r="O1103" i="8"/>
  <c r="O1104" i="8"/>
  <c r="O1105" i="8"/>
  <c r="O1106" i="8"/>
  <c r="O1107" i="8"/>
  <c r="O1108" i="8"/>
  <c r="O1109" i="8"/>
  <c r="O1110" i="8"/>
  <c r="O1111" i="8"/>
  <c r="O1112" i="8"/>
  <c r="O1113" i="8"/>
  <c r="O1114" i="8"/>
  <c r="O1115" i="8"/>
  <c r="O1116" i="8"/>
  <c r="O1117" i="8"/>
  <c r="O1118" i="8"/>
  <c r="O1119" i="8"/>
  <c r="O1120" i="8"/>
  <c r="O1121" i="8"/>
  <c r="O1122" i="8"/>
  <c r="O1123" i="8"/>
  <c r="O1124" i="8"/>
  <c r="O1125" i="8"/>
  <c r="O1126" i="8"/>
  <c r="O1127" i="8"/>
  <c r="O1128" i="8"/>
  <c r="O1129" i="8"/>
  <c r="O1130" i="8"/>
  <c r="O1131" i="8"/>
  <c r="O1132" i="8"/>
  <c r="O1133" i="8"/>
  <c r="O1134" i="8"/>
  <c r="O1135" i="8"/>
  <c r="O1136" i="8"/>
  <c r="O1137" i="8"/>
  <c r="O1138" i="8"/>
  <c r="O1139" i="8"/>
  <c r="O1140" i="8"/>
  <c r="O1141" i="8"/>
  <c r="O1142" i="8"/>
  <c r="O1143" i="8"/>
  <c r="O1144" i="8"/>
  <c r="O1145" i="8"/>
  <c r="O1146" i="8"/>
  <c r="O1147" i="8"/>
  <c r="O1148" i="8"/>
  <c r="O1149" i="8"/>
  <c r="O1150" i="8"/>
  <c r="O1151" i="8"/>
  <c r="O1152" i="8"/>
  <c r="O1153" i="8"/>
  <c r="O1154" i="8"/>
  <c r="O1155" i="8"/>
  <c r="O1156" i="8"/>
  <c r="O1157" i="8"/>
  <c r="O1158" i="8"/>
  <c r="O1159" i="8"/>
  <c r="O1160" i="8"/>
  <c r="O1161" i="8"/>
  <c r="O1162" i="8"/>
  <c r="O1163" i="8"/>
  <c r="O1164" i="8"/>
  <c r="O1165" i="8"/>
  <c r="O1166" i="8"/>
  <c r="O1167" i="8"/>
  <c r="O1168" i="8"/>
  <c r="O1169" i="8"/>
  <c r="O1170" i="8"/>
  <c r="O1171" i="8"/>
  <c r="O1172" i="8"/>
  <c r="O1173" i="8"/>
  <c r="O1174" i="8"/>
  <c r="O1175" i="8"/>
  <c r="O1176" i="8"/>
  <c r="O1177" i="8"/>
  <c r="O1178" i="8"/>
  <c r="O1179" i="8"/>
  <c r="O1180" i="8"/>
  <c r="O1181" i="8"/>
  <c r="O1182" i="8"/>
  <c r="O1183" i="8"/>
  <c r="O1184" i="8"/>
  <c r="O1185" i="8"/>
  <c r="O1186" i="8"/>
  <c r="O1187" i="8"/>
  <c r="O1188" i="8"/>
  <c r="O1189" i="8"/>
  <c r="O1190" i="8"/>
  <c r="O1191" i="8"/>
  <c r="O1192" i="8"/>
  <c r="O1193" i="8"/>
  <c r="O1194" i="8"/>
  <c r="O1195" i="8"/>
  <c r="O1196" i="8"/>
  <c r="O1197" i="8"/>
  <c r="O1198" i="8"/>
  <c r="O1199" i="8"/>
  <c r="O1200" i="8"/>
  <c r="O1201" i="8"/>
  <c r="O1202" i="8"/>
  <c r="O1203" i="8"/>
  <c r="O1204" i="8"/>
  <c r="O1205" i="8"/>
  <c r="O1206" i="8"/>
  <c r="O1207" i="8"/>
  <c r="O1208" i="8"/>
  <c r="O1209" i="8"/>
  <c r="O1210" i="8"/>
  <c r="O1211" i="8"/>
  <c r="O1212" i="8"/>
  <c r="O1213" i="8"/>
  <c r="O1214" i="8"/>
  <c r="O1215" i="8"/>
  <c r="O1216" i="8"/>
  <c r="O1217" i="8"/>
  <c r="O1218" i="8"/>
  <c r="O1219" i="8"/>
  <c r="O1220" i="8"/>
  <c r="O1221" i="8"/>
  <c r="O1222" i="8"/>
  <c r="O1223" i="8"/>
  <c r="O1224" i="8"/>
  <c r="O1225" i="8"/>
  <c r="O1226" i="8"/>
  <c r="O1227" i="8"/>
  <c r="O1228" i="8"/>
  <c r="O1229" i="8"/>
  <c r="O1230" i="8"/>
  <c r="O1231" i="8"/>
  <c r="O1232" i="8"/>
  <c r="O1233" i="8"/>
  <c r="O1234" i="8"/>
  <c r="O1235" i="8"/>
  <c r="O1236" i="8"/>
  <c r="O1237" i="8"/>
  <c r="O1238" i="8"/>
  <c r="O1239" i="8"/>
  <c r="O1240" i="8"/>
  <c r="O1241" i="8"/>
  <c r="O1242" i="8"/>
  <c r="O1243" i="8"/>
  <c r="O1244" i="8"/>
  <c r="O1245" i="8"/>
  <c r="O1246" i="8"/>
  <c r="O1247" i="8"/>
  <c r="O1248" i="8"/>
  <c r="O1249" i="8"/>
  <c r="O1250" i="8"/>
  <c r="O1251" i="8"/>
  <c r="O1252" i="8"/>
  <c r="O1253" i="8"/>
  <c r="O1254" i="8"/>
  <c r="O1255" i="8"/>
  <c r="O1256" i="8"/>
  <c r="O1257" i="8"/>
  <c r="O1258" i="8"/>
  <c r="O1259" i="8"/>
  <c r="O1260" i="8"/>
  <c r="O1261" i="8"/>
  <c r="O1262" i="8"/>
  <c r="O1263" i="8"/>
  <c r="O1264" i="8"/>
  <c r="O1265" i="8"/>
  <c r="O1266" i="8"/>
  <c r="O1267" i="8"/>
  <c r="O1268" i="8"/>
  <c r="O1269" i="8"/>
  <c r="O1270" i="8"/>
  <c r="O1271" i="8"/>
  <c r="O1272" i="8"/>
  <c r="O1273" i="8"/>
  <c r="O1274" i="8"/>
  <c r="O1275" i="8"/>
  <c r="O1276" i="8"/>
  <c r="O1277" i="8"/>
  <c r="O1278" i="8"/>
  <c r="O1279" i="8"/>
  <c r="O1280" i="8"/>
  <c r="O1281" i="8"/>
  <c r="O1282" i="8"/>
  <c r="O1283" i="8"/>
  <c r="O1284" i="8"/>
  <c r="O1285" i="8"/>
  <c r="O1286" i="8"/>
  <c r="O1287" i="8"/>
  <c r="O1288" i="8"/>
  <c r="O1289" i="8"/>
  <c r="O1290" i="8"/>
  <c r="O1291" i="8"/>
  <c r="O1292" i="8"/>
  <c r="O1293" i="8"/>
  <c r="O1294" i="8"/>
  <c r="O1295" i="8"/>
  <c r="O1296" i="8"/>
  <c r="O1297" i="8"/>
  <c r="O1298" i="8"/>
  <c r="O1299" i="8"/>
  <c r="O1300" i="8"/>
  <c r="O1301" i="8"/>
  <c r="O1302" i="8"/>
  <c r="O1303" i="8"/>
  <c r="O1304" i="8"/>
  <c r="O1305" i="8"/>
  <c r="O1306" i="8"/>
  <c r="O1307" i="8"/>
  <c r="O1308" i="8"/>
  <c r="O1309" i="8"/>
  <c r="O1310" i="8"/>
  <c r="O1311" i="8"/>
  <c r="O1312" i="8"/>
  <c r="O1313" i="8"/>
  <c r="O1314" i="8"/>
  <c r="O1315" i="8"/>
  <c r="O1316" i="8"/>
  <c r="O1317" i="8"/>
  <c r="O1318" i="8"/>
  <c r="O1319" i="8"/>
  <c r="O1320" i="8"/>
  <c r="O1321" i="8"/>
  <c r="O1322" i="8"/>
  <c r="O1323" i="8"/>
  <c r="O1324" i="8"/>
  <c r="O1325" i="8"/>
  <c r="O1326" i="8"/>
  <c r="O1327" i="8"/>
  <c r="O1328" i="8"/>
  <c r="O1329" i="8"/>
  <c r="O1330" i="8"/>
  <c r="O1331" i="8"/>
  <c r="O1332" i="8"/>
  <c r="O1333" i="8"/>
  <c r="O1334" i="8"/>
  <c r="O1335" i="8"/>
  <c r="O1336" i="8"/>
  <c r="O1337" i="8"/>
  <c r="O1338" i="8"/>
  <c r="O1339" i="8"/>
  <c r="O1340" i="8"/>
  <c r="O1341" i="8"/>
  <c r="O1342" i="8"/>
  <c r="O1343" i="8"/>
  <c r="O1344" i="8"/>
  <c r="O1345" i="8"/>
  <c r="O1346" i="8"/>
  <c r="O1347" i="8"/>
  <c r="O1348" i="8"/>
  <c r="O1349" i="8"/>
  <c r="O1350" i="8"/>
  <c r="O1351" i="8"/>
  <c r="O1352" i="8"/>
  <c r="O1353" i="8"/>
  <c r="O1354" i="8"/>
  <c r="O1355" i="8"/>
  <c r="O1356" i="8"/>
  <c r="O1357" i="8"/>
  <c r="O1358" i="8"/>
  <c r="O1359" i="8"/>
  <c r="O1360" i="8"/>
  <c r="O1361" i="8"/>
  <c r="O1362" i="8"/>
  <c r="O1363" i="8"/>
  <c r="O1364" i="8"/>
  <c r="O1365" i="8"/>
  <c r="O1366" i="8"/>
  <c r="O1367" i="8"/>
  <c r="O1368" i="8"/>
  <c r="O1369" i="8"/>
  <c r="O1370" i="8"/>
  <c r="O1371" i="8"/>
  <c r="O1372" i="8"/>
  <c r="O1373" i="8"/>
  <c r="O1374" i="8"/>
  <c r="O1375" i="8"/>
  <c r="O1376" i="8"/>
  <c r="O1377" i="8"/>
  <c r="O1378" i="8"/>
  <c r="O1379" i="8"/>
  <c r="O1380" i="8"/>
  <c r="O1381" i="8"/>
  <c r="O1382" i="8"/>
  <c r="O1383" i="8"/>
  <c r="O1384" i="8"/>
  <c r="O1385" i="8"/>
  <c r="O1386" i="8"/>
  <c r="O1387" i="8"/>
  <c r="O1388" i="8"/>
  <c r="O1389" i="8"/>
  <c r="O1390" i="8"/>
  <c r="O1391" i="8"/>
  <c r="O1392" i="8"/>
  <c r="O1393" i="8"/>
  <c r="O1394" i="8"/>
  <c r="O1395" i="8"/>
  <c r="O1396" i="8"/>
  <c r="O1397" i="8"/>
  <c r="O1398" i="8"/>
  <c r="O1399" i="8"/>
  <c r="O1400" i="8"/>
  <c r="O1401" i="8"/>
  <c r="O1402" i="8"/>
  <c r="O1403" i="8"/>
  <c r="O1404" i="8"/>
  <c r="O1405" i="8"/>
  <c r="O1406" i="8"/>
  <c r="O1407" i="8"/>
  <c r="O1408" i="8"/>
  <c r="O1409" i="8"/>
  <c r="O1410" i="8"/>
  <c r="O1411" i="8"/>
  <c r="O1412" i="8"/>
  <c r="O1413" i="8"/>
  <c r="O1414" i="8"/>
  <c r="O1415" i="8"/>
  <c r="O1416" i="8"/>
  <c r="O1417" i="8"/>
  <c r="O1418" i="8"/>
  <c r="O1419" i="8"/>
  <c r="O1420" i="8"/>
  <c r="O1421" i="8"/>
  <c r="O1422" i="8"/>
  <c r="O1423" i="8"/>
  <c r="O1424" i="8"/>
  <c r="O1425" i="8"/>
  <c r="O1426" i="8"/>
  <c r="O1427" i="8"/>
  <c r="O1428" i="8"/>
  <c r="O1429" i="8"/>
  <c r="O1430" i="8"/>
  <c r="O1431" i="8"/>
  <c r="O1432" i="8"/>
  <c r="O1433" i="8"/>
  <c r="O1434" i="8"/>
  <c r="O1435" i="8"/>
  <c r="O1436" i="8"/>
  <c r="O1437" i="8"/>
  <c r="O1438" i="8"/>
  <c r="O1439" i="8"/>
  <c r="O1440" i="8"/>
  <c r="O1441" i="8"/>
  <c r="O1442" i="8"/>
  <c r="O1443" i="8"/>
  <c r="O1444" i="8"/>
  <c r="O1445" i="8"/>
  <c r="O1446" i="8"/>
  <c r="O1447" i="8"/>
  <c r="O1448" i="8"/>
  <c r="O1449" i="8"/>
  <c r="O1450" i="8"/>
  <c r="O1451" i="8"/>
  <c r="O1452" i="8"/>
  <c r="O1453" i="8"/>
  <c r="O1454" i="8"/>
  <c r="O1455" i="8"/>
  <c r="O1456" i="8"/>
  <c r="O1457" i="8"/>
  <c r="O1458" i="8"/>
  <c r="O1459" i="8"/>
  <c r="O1460" i="8"/>
  <c r="O1461" i="8"/>
  <c r="O1462" i="8"/>
  <c r="O1463" i="8"/>
  <c r="O1464" i="8"/>
  <c r="O1465" i="8"/>
  <c r="O1466" i="8"/>
  <c r="O1467" i="8"/>
  <c r="O1468" i="8"/>
  <c r="O1469" i="8"/>
  <c r="O1470" i="8"/>
  <c r="O1471" i="8"/>
  <c r="O1472" i="8"/>
  <c r="O1473" i="8"/>
  <c r="O1474" i="8"/>
  <c r="O1475" i="8"/>
  <c r="O1476" i="8"/>
  <c r="O1477" i="8"/>
  <c r="O1478" i="8"/>
  <c r="O1479" i="8"/>
  <c r="O1480" i="8"/>
  <c r="O1481" i="8"/>
  <c r="O1482" i="8"/>
  <c r="O1483" i="8"/>
  <c r="O1484" i="8"/>
  <c r="O1485" i="8"/>
  <c r="O1486" i="8"/>
  <c r="O1487" i="8"/>
  <c r="O1488" i="8"/>
  <c r="O1489" i="8"/>
  <c r="O1490" i="8"/>
  <c r="O1491" i="8"/>
  <c r="O1492" i="8"/>
  <c r="O1493" i="8"/>
  <c r="O1494" i="8"/>
  <c r="O1495" i="8"/>
  <c r="O1496" i="8"/>
  <c r="O1497" i="8"/>
  <c r="O1498" i="8"/>
  <c r="O1499" i="8"/>
  <c r="O1500" i="8"/>
  <c r="O1501" i="8"/>
  <c r="O1502" i="8"/>
  <c r="O1503" i="8"/>
  <c r="O1504" i="8"/>
  <c r="O1505" i="8"/>
  <c r="O1506" i="8"/>
  <c r="O1507" i="8"/>
  <c r="O1508" i="8"/>
  <c r="O1509" i="8"/>
  <c r="O1510" i="8"/>
  <c r="O1511" i="8"/>
  <c r="O1512" i="8"/>
  <c r="O1513" i="8"/>
  <c r="O1514" i="8"/>
  <c r="O1515" i="8"/>
  <c r="O1516" i="8"/>
  <c r="O1517" i="8"/>
  <c r="O1518" i="8"/>
  <c r="O1519" i="8"/>
  <c r="O1520" i="8"/>
  <c r="O1521" i="8"/>
  <c r="O1522" i="8"/>
  <c r="O1523" i="8"/>
  <c r="O1524" i="8"/>
  <c r="O1525" i="8"/>
  <c r="O1526" i="8"/>
  <c r="O1527" i="8"/>
  <c r="O1528" i="8"/>
  <c r="O1529" i="8"/>
  <c r="O1530" i="8"/>
  <c r="O1531" i="8"/>
  <c r="O1532" i="8"/>
  <c r="O1533" i="8"/>
  <c r="O1534" i="8"/>
  <c r="O1535" i="8"/>
  <c r="O1536" i="8"/>
  <c r="O1537" i="8"/>
  <c r="O1538" i="8"/>
  <c r="O1539" i="8"/>
  <c r="O1540" i="8"/>
  <c r="O1541" i="8"/>
  <c r="O1542" i="8"/>
  <c r="O1543" i="8"/>
  <c r="O1544" i="8"/>
  <c r="O1545" i="8"/>
  <c r="O1546" i="8"/>
  <c r="O1547" i="8"/>
  <c r="O1548" i="8"/>
  <c r="O1549" i="8"/>
  <c r="O1550" i="8"/>
  <c r="O1551" i="8"/>
  <c r="O1552" i="8"/>
  <c r="O1553" i="8"/>
  <c r="O1554" i="8"/>
  <c r="O1555" i="8"/>
  <c r="O1556" i="8"/>
  <c r="O1557" i="8"/>
  <c r="O1558" i="8"/>
  <c r="O1559" i="8"/>
  <c r="O1560" i="8"/>
  <c r="O1561" i="8"/>
  <c r="O1562" i="8"/>
  <c r="O1563" i="8"/>
  <c r="O1564" i="8"/>
  <c r="O1565" i="8"/>
  <c r="O1566" i="8"/>
  <c r="O1567" i="8"/>
  <c r="O1568" i="8"/>
  <c r="O1569" i="8"/>
  <c r="O1570" i="8"/>
  <c r="O1571" i="8"/>
  <c r="O1572" i="8"/>
  <c r="O1573" i="8"/>
  <c r="O1574" i="8"/>
  <c r="O1575" i="8"/>
  <c r="O1576" i="8"/>
  <c r="O1577" i="8"/>
  <c r="O1578" i="8"/>
  <c r="O1579" i="8"/>
  <c r="O1580" i="8"/>
  <c r="O1581" i="8"/>
  <c r="O1582" i="8"/>
  <c r="O1583" i="8"/>
  <c r="O1584" i="8"/>
  <c r="O1585" i="8"/>
  <c r="O1586" i="8"/>
  <c r="O1587" i="8"/>
  <c r="O1588" i="8"/>
  <c r="O1589" i="8"/>
  <c r="O1590" i="8"/>
  <c r="O1591" i="8"/>
  <c r="O1592" i="8"/>
  <c r="O1593" i="8"/>
  <c r="O1594" i="8"/>
  <c r="O1595" i="8"/>
  <c r="O1596" i="8"/>
  <c r="O1597" i="8"/>
  <c r="O1598" i="8"/>
  <c r="O1599" i="8"/>
  <c r="O1600" i="8"/>
  <c r="O1601" i="8"/>
  <c r="O1602" i="8"/>
  <c r="O1603" i="8"/>
  <c r="O1604" i="8"/>
  <c r="O1605" i="8"/>
  <c r="O1606" i="8"/>
  <c r="O1607" i="8"/>
  <c r="O1608" i="8"/>
  <c r="O1609" i="8"/>
  <c r="O1610" i="8"/>
  <c r="O1611" i="8"/>
  <c r="O1612" i="8"/>
  <c r="O1613" i="8"/>
  <c r="O1614" i="8"/>
  <c r="O1615" i="8"/>
  <c r="O1616" i="8"/>
  <c r="O1617" i="8"/>
  <c r="O1618" i="8"/>
  <c r="O1619" i="8"/>
  <c r="O1620" i="8"/>
  <c r="O1621" i="8"/>
  <c r="O1622" i="8"/>
  <c r="O1623" i="8"/>
  <c r="O1624" i="8"/>
  <c r="O1625" i="8"/>
  <c r="O1626" i="8"/>
  <c r="O1627" i="8"/>
  <c r="O1628" i="8"/>
  <c r="O1629" i="8"/>
  <c r="O1630" i="8"/>
  <c r="O1631" i="8"/>
  <c r="O1632" i="8"/>
  <c r="O1633" i="8"/>
  <c r="O1634" i="8"/>
  <c r="O1635" i="8"/>
  <c r="O1636" i="8"/>
  <c r="O1637" i="8"/>
  <c r="O1638" i="8"/>
  <c r="O1639" i="8"/>
  <c r="O1640" i="8"/>
  <c r="O1641" i="8"/>
  <c r="O1642" i="8"/>
  <c r="O1643" i="8"/>
  <c r="O1644" i="8"/>
  <c r="O1645" i="8"/>
  <c r="O1646" i="8"/>
  <c r="O1647" i="8"/>
  <c r="O1648" i="8"/>
  <c r="O1649" i="8"/>
  <c r="O1650" i="8"/>
  <c r="O1651" i="8"/>
  <c r="O1652" i="8"/>
  <c r="O1653" i="8"/>
  <c r="O1654" i="8"/>
  <c r="O1655" i="8"/>
  <c r="O1656" i="8"/>
  <c r="O1657" i="8"/>
  <c r="O1658" i="8"/>
  <c r="O1659" i="8"/>
  <c r="O1660" i="8"/>
  <c r="O1661" i="8"/>
  <c r="O1662" i="8"/>
  <c r="O1663" i="8"/>
  <c r="O1664" i="8"/>
  <c r="O1665" i="8"/>
  <c r="O1666" i="8"/>
  <c r="O1667" i="8"/>
  <c r="O1668" i="8"/>
  <c r="O1669" i="8"/>
  <c r="O1670" i="8"/>
  <c r="O1671" i="8"/>
  <c r="O1672" i="8"/>
  <c r="O1673" i="8"/>
  <c r="O1674" i="8"/>
  <c r="O1675" i="8"/>
  <c r="O1676" i="8"/>
  <c r="O1677" i="8"/>
  <c r="O1678" i="8"/>
  <c r="O1679" i="8"/>
  <c r="O1680" i="8"/>
  <c r="O1681" i="8"/>
  <c r="O1682" i="8"/>
  <c r="O1683" i="8"/>
  <c r="O1684" i="8"/>
  <c r="O1685" i="8"/>
  <c r="O1686" i="8"/>
  <c r="O1687" i="8"/>
  <c r="O1688" i="8"/>
  <c r="O1689" i="8"/>
  <c r="O1690" i="8"/>
  <c r="O1691" i="8"/>
  <c r="O1692" i="8"/>
  <c r="O1693" i="8"/>
  <c r="O1694" i="8"/>
  <c r="O1695" i="8"/>
  <c r="O1696" i="8"/>
  <c r="O1697" i="8"/>
  <c r="O1698" i="8"/>
  <c r="O1699" i="8"/>
  <c r="O1700" i="8"/>
  <c r="O1701" i="8"/>
  <c r="O1702" i="8"/>
  <c r="O1703" i="8"/>
  <c r="O1704" i="8"/>
  <c r="O1705" i="8"/>
  <c r="O1706" i="8"/>
  <c r="O1707" i="8"/>
  <c r="O1708" i="8"/>
  <c r="O1709" i="8"/>
  <c r="O1710" i="8"/>
  <c r="O1711" i="8"/>
  <c r="O1712" i="8"/>
  <c r="O1713" i="8"/>
  <c r="O1714" i="8"/>
  <c r="O1715" i="8"/>
  <c r="O1716" i="8"/>
  <c r="O1717" i="8"/>
  <c r="O1718" i="8"/>
  <c r="O1719" i="8"/>
  <c r="O1720" i="8"/>
  <c r="O1721" i="8"/>
  <c r="O1722" i="8"/>
  <c r="O1723" i="8"/>
  <c r="O1724" i="8"/>
  <c r="O1725" i="8"/>
  <c r="O1726" i="8"/>
  <c r="O1727" i="8"/>
  <c r="O1728" i="8"/>
  <c r="O1729" i="8"/>
  <c r="O1730" i="8"/>
  <c r="O1731" i="8"/>
  <c r="O1732" i="8"/>
  <c r="O1733" i="8"/>
  <c r="O1734" i="8"/>
  <c r="O1735" i="8"/>
  <c r="O1736" i="8"/>
  <c r="O1737" i="8"/>
  <c r="O1738" i="8"/>
  <c r="O1739" i="8"/>
  <c r="O1740" i="8"/>
  <c r="O1741" i="8"/>
  <c r="O1742" i="8"/>
  <c r="O1743" i="8"/>
  <c r="O1744" i="8"/>
  <c r="O1745" i="8"/>
  <c r="O1746" i="8"/>
  <c r="O1747" i="8"/>
  <c r="O1748" i="8"/>
  <c r="O1749" i="8"/>
  <c r="O1750" i="8"/>
  <c r="O1751" i="8"/>
  <c r="O1752" i="8"/>
  <c r="O1753" i="8"/>
  <c r="O1754" i="8"/>
  <c r="O1755" i="8"/>
  <c r="O1756" i="8"/>
  <c r="O1757" i="8"/>
  <c r="O1758" i="8"/>
  <c r="O1759" i="8"/>
  <c r="O1760" i="8"/>
  <c r="O1761" i="8"/>
  <c r="O1762" i="8"/>
  <c r="O1763" i="8"/>
  <c r="O1764" i="8"/>
  <c r="O1765" i="8"/>
  <c r="O1766" i="8"/>
  <c r="O1767" i="8"/>
  <c r="O1768" i="8"/>
  <c r="O1769" i="8"/>
  <c r="O1770" i="8"/>
  <c r="O1771" i="8"/>
  <c r="O1772" i="8"/>
  <c r="O1773" i="8"/>
  <c r="O1774" i="8"/>
  <c r="O1775" i="8"/>
  <c r="O1776" i="8"/>
  <c r="O1777" i="8"/>
  <c r="O1778" i="8"/>
  <c r="O1779" i="8"/>
  <c r="O1780" i="8"/>
  <c r="O1781" i="8"/>
  <c r="O1782" i="8"/>
  <c r="O1783" i="8"/>
  <c r="O1784" i="8"/>
  <c r="O1785" i="8"/>
  <c r="O1786" i="8"/>
  <c r="O1787" i="8"/>
  <c r="O1788" i="8"/>
  <c r="O1789" i="8"/>
  <c r="O1790" i="8"/>
  <c r="O1791" i="8"/>
  <c r="O1792" i="8"/>
  <c r="O1793" i="8"/>
  <c r="O1794" i="8"/>
  <c r="O1795" i="8"/>
  <c r="O1796" i="8"/>
  <c r="O1797" i="8"/>
  <c r="O1798" i="8"/>
  <c r="O1799" i="8"/>
  <c r="O1800" i="8"/>
  <c r="O1801" i="8"/>
  <c r="O1802" i="8"/>
  <c r="O1803" i="8"/>
  <c r="O1804" i="8"/>
  <c r="O1805" i="8"/>
  <c r="O1806" i="8"/>
  <c r="O1807" i="8"/>
  <c r="O1808" i="8"/>
  <c r="O1809" i="8"/>
  <c r="O1810" i="8"/>
  <c r="O1811" i="8"/>
  <c r="O1812" i="8"/>
  <c r="O1813" i="8"/>
  <c r="O1814" i="8"/>
  <c r="O1815" i="8"/>
  <c r="O1816" i="8"/>
  <c r="O1817" i="8"/>
  <c r="O1818" i="8"/>
  <c r="O1819" i="8"/>
  <c r="O1820" i="8"/>
  <c r="O1821" i="8"/>
  <c r="O1822" i="8"/>
  <c r="O1823" i="8"/>
  <c r="O1824" i="8"/>
  <c r="O1825" i="8"/>
  <c r="O1826" i="8"/>
  <c r="O1827" i="8"/>
  <c r="O1828" i="8"/>
  <c r="O1829" i="8"/>
  <c r="O1830" i="8"/>
  <c r="O1831" i="8"/>
  <c r="O1832" i="8"/>
  <c r="O1833" i="8"/>
  <c r="O1834" i="8"/>
  <c r="O1835" i="8"/>
  <c r="O1836" i="8"/>
  <c r="O1837" i="8"/>
  <c r="O1838" i="8"/>
  <c r="O1839" i="8"/>
  <c r="O1840" i="8"/>
  <c r="O1841" i="8"/>
  <c r="O1842" i="8"/>
  <c r="O1843" i="8"/>
  <c r="O1844" i="8"/>
  <c r="O1845" i="8"/>
  <c r="O1846" i="8"/>
  <c r="O1847" i="8"/>
  <c r="O1848" i="8"/>
  <c r="O1849" i="8"/>
  <c r="O1850" i="8"/>
  <c r="O1851" i="8"/>
  <c r="O1852" i="8"/>
  <c r="O1853" i="8"/>
  <c r="O1854" i="8"/>
  <c r="O1855" i="8"/>
  <c r="O1856" i="8"/>
  <c r="O1857" i="8"/>
  <c r="O1858" i="8"/>
  <c r="O1859" i="8"/>
  <c r="O1860" i="8"/>
  <c r="O1861" i="8"/>
  <c r="O1862" i="8"/>
  <c r="O1863" i="8"/>
  <c r="O1864" i="8"/>
  <c r="O1865" i="8"/>
  <c r="O1866" i="8"/>
  <c r="O1867" i="8"/>
  <c r="O1868" i="8"/>
  <c r="O1869" i="8"/>
  <c r="O1870" i="8"/>
  <c r="O1871" i="8"/>
  <c r="O1872" i="8"/>
  <c r="O1873" i="8"/>
  <c r="O1874" i="8"/>
  <c r="O1875" i="8"/>
  <c r="O1876" i="8"/>
  <c r="O1877" i="8"/>
  <c r="O1878" i="8"/>
  <c r="O1879" i="8"/>
  <c r="O1880" i="8"/>
  <c r="O1881" i="8"/>
  <c r="O1882" i="8"/>
  <c r="O1883" i="8"/>
  <c r="O1884" i="8"/>
  <c r="O1885" i="8"/>
  <c r="O1886" i="8"/>
  <c r="O1887" i="8"/>
  <c r="O1888" i="8"/>
  <c r="O1889" i="8"/>
  <c r="O1890" i="8"/>
  <c r="O1891" i="8"/>
  <c r="O1892" i="8"/>
  <c r="O1893" i="8"/>
  <c r="O1894" i="8"/>
  <c r="O1895" i="8"/>
  <c r="O1896" i="8"/>
  <c r="O1897" i="8"/>
  <c r="O1898" i="8"/>
  <c r="O1899" i="8"/>
  <c r="O1900" i="8"/>
  <c r="O1901" i="8"/>
  <c r="O1902" i="8"/>
  <c r="O1903" i="8"/>
  <c r="O1904" i="8"/>
  <c r="O1905" i="8"/>
  <c r="O1906" i="8"/>
  <c r="O1907" i="8"/>
  <c r="O1908" i="8"/>
  <c r="O1909" i="8"/>
  <c r="O1910" i="8"/>
  <c r="O1911" i="8"/>
  <c r="O1912" i="8"/>
  <c r="O1913" i="8"/>
  <c r="O1914" i="8"/>
  <c r="O1915" i="8"/>
  <c r="O1916" i="8"/>
  <c r="O1917" i="8"/>
  <c r="O1918" i="8"/>
  <c r="O1919" i="8"/>
  <c r="O1920" i="8"/>
  <c r="O1921" i="8"/>
  <c r="O1922" i="8"/>
  <c r="O1923" i="8"/>
  <c r="O1924" i="8"/>
  <c r="O1925" i="8"/>
  <c r="O1926" i="8"/>
  <c r="O1927" i="8"/>
  <c r="O1928" i="8"/>
  <c r="O1929" i="8"/>
  <c r="O1930" i="8"/>
  <c r="O1931" i="8"/>
  <c r="O1932" i="8"/>
  <c r="O1933" i="8"/>
  <c r="O1934" i="8"/>
  <c r="O1935" i="8"/>
  <c r="O1936" i="8"/>
  <c r="O1937" i="8"/>
  <c r="O1938" i="8"/>
  <c r="O1939" i="8"/>
  <c r="O1940" i="8"/>
  <c r="O1941" i="8"/>
  <c r="O1942" i="8"/>
  <c r="O1943" i="8"/>
  <c r="O1944" i="8"/>
  <c r="O1945" i="8"/>
  <c r="O1946" i="8"/>
  <c r="O1947" i="8"/>
  <c r="O1948" i="8"/>
  <c r="O1949" i="8"/>
  <c r="O1950" i="8"/>
  <c r="O1951" i="8"/>
  <c r="O1952" i="8"/>
  <c r="O1953" i="8"/>
  <c r="O1954" i="8"/>
  <c r="O1955" i="8"/>
  <c r="O1956" i="8"/>
  <c r="O1957" i="8"/>
  <c r="O1958" i="8"/>
  <c r="O1959" i="8"/>
  <c r="O1960" i="8"/>
  <c r="O1961" i="8"/>
  <c r="O1962" i="8"/>
  <c r="O1963" i="8"/>
  <c r="O1964" i="8"/>
  <c r="O1965" i="8"/>
  <c r="O1966" i="8"/>
  <c r="O1967" i="8"/>
  <c r="O1968" i="8"/>
  <c r="O1969" i="8"/>
  <c r="O1970" i="8"/>
  <c r="O1971" i="8"/>
  <c r="O1972" i="8"/>
  <c r="O1973" i="8"/>
  <c r="O1974" i="8"/>
  <c r="O1975" i="8"/>
  <c r="O1976" i="8"/>
  <c r="O1977" i="8"/>
  <c r="O1978" i="8"/>
  <c r="O1979" i="8"/>
  <c r="O1980" i="8"/>
  <c r="O1981" i="8"/>
  <c r="O1982" i="8"/>
  <c r="O1983" i="8"/>
  <c r="O1984" i="8"/>
  <c r="O1985" i="8"/>
  <c r="O1986" i="8"/>
  <c r="O1987" i="8"/>
  <c r="O1988" i="8"/>
  <c r="O1989" i="8"/>
  <c r="O1990" i="8"/>
  <c r="O1991" i="8"/>
  <c r="O1992" i="8"/>
  <c r="O1993" i="8"/>
  <c r="O1994" i="8"/>
  <c r="O1995" i="8"/>
  <c r="O1996" i="8"/>
  <c r="O1997" i="8"/>
  <c r="O1998" i="8"/>
  <c r="O1999" i="8"/>
  <c r="O2000" i="8"/>
  <c r="O2001" i="8"/>
  <c r="O2002" i="8"/>
  <c r="O2003" i="8"/>
  <c r="O2004" i="8"/>
  <c r="O2005" i="8"/>
  <c r="O2006" i="8"/>
  <c r="O2007" i="8"/>
  <c r="O2008" i="8"/>
  <c r="O2009" i="8"/>
  <c r="O2010" i="8"/>
  <c r="O2011" i="8"/>
  <c r="O2012" i="8"/>
  <c r="O2013" i="8"/>
  <c r="O2014" i="8"/>
  <c r="O2015" i="8"/>
  <c r="O2016" i="8"/>
  <c r="O2017" i="8"/>
  <c r="O2018" i="8"/>
  <c r="O2019" i="8"/>
  <c r="O2020" i="8"/>
  <c r="O2021" i="8"/>
  <c r="O2022" i="8"/>
  <c r="O2023" i="8"/>
  <c r="O2024" i="8"/>
  <c r="O2025" i="8"/>
  <c r="O2026" i="8"/>
  <c r="O2027" i="8"/>
  <c r="O2028" i="8"/>
  <c r="O2029" i="8"/>
  <c r="O2030" i="8"/>
  <c r="O2031" i="8"/>
  <c r="O2032" i="8"/>
  <c r="O2033" i="8"/>
  <c r="O2034" i="8"/>
  <c r="O2035" i="8"/>
  <c r="O2036" i="8"/>
  <c r="O2037" i="8"/>
  <c r="O2038" i="8"/>
  <c r="O2039" i="8"/>
  <c r="O2040" i="8"/>
  <c r="O2041" i="8"/>
  <c r="O2042" i="8"/>
  <c r="O2043" i="8"/>
  <c r="O2044" i="8"/>
  <c r="O2045" i="8"/>
  <c r="O2046" i="8"/>
  <c r="O2047" i="8"/>
  <c r="O2048" i="8"/>
  <c r="O2049" i="8"/>
  <c r="O2050" i="8"/>
  <c r="O2051" i="8"/>
  <c r="O2052" i="8"/>
  <c r="O2053" i="8"/>
  <c r="O2054" i="8"/>
  <c r="O2055" i="8"/>
  <c r="O2056" i="8"/>
  <c r="O2057" i="8"/>
  <c r="O2058" i="8"/>
  <c r="O2059" i="8"/>
  <c r="O2060" i="8"/>
  <c r="O2061" i="8"/>
  <c r="O2062" i="8"/>
  <c r="O2063" i="8"/>
  <c r="O2064" i="8"/>
  <c r="O2065" i="8"/>
  <c r="O2066" i="8"/>
  <c r="O2067" i="8"/>
  <c r="O2068" i="8"/>
  <c r="O2069" i="8"/>
  <c r="O2070" i="8"/>
  <c r="O2071" i="8"/>
  <c r="O2072" i="8"/>
  <c r="O2073" i="8"/>
  <c r="O2074" i="8"/>
  <c r="O2075" i="8"/>
  <c r="O2076" i="8"/>
  <c r="O2077" i="8"/>
  <c r="O2078" i="8"/>
  <c r="O2079" i="8"/>
  <c r="O2080" i="8"/>
  <c r="O2081" i="8"/>
  <c r="O2082" i="8"/>
  <c r="O2083" i="8"/>
  <c r="O2084" i="8"/>
  <c r="O2085" i="8"/>
  <c r="O2086" i="8"/>
  <c r="O2087" i="8"/>
  <c r="O2088" i="8"/>
  <c r="O2089" i="8"/>
  <c r="O2090" i="8"/>
  <c r="O2091" i="8"/>
  <c r="O2092" i="8"/>
  <c r="O2093" i="8"/>
  <c r="O2094" i="8"/>
  <c r="O2095" i="8"/>
  <c r="O2096" i="8"/>
  <c r="O2097" i="8"/>
  <c r="O2098" i="8"/>
  <c r="O2099" i="8"/>
  <c r="O2100" i="8"/>
  <c r="O2101" i="8"/>
  <c r="O2102" i="8"/>
  <c r="O2103" i="8"/>
  <c r="O2104" i="8"/>
  <c r="O2105" i="8"/>
  <c r="O2106" i="8"/>
  <c r="O2107" i="8"/>
  <c r="O2108" i="8"/>
  <c r="O2109" i="8"/>
  <c r="O2110" i="8"/>
  <c r="O2111" i="8"/>
  <c r="O2112" i="8"/>
  <c r="O2113" i="8"/>
  <c r="O2114" i="8"/>
  <c r="O2115" i="8"/>
  <c r="O2116" i="8"/>
  <c r="O2117" i="8"/>
  <c r="O2118" i="8"/>
  <c r="O2119" i="8"/>
  <c r="O2120" i="8"/>
  <c r="O2121" i="8"/>
  <c r="O2122" i="8"/>
  <c r="O2123" i="8"/>
  <c r="O2124" i="8"/>
  <c r="O2125" i="8"/>
  <c r="O2126" i="8"/>
  <c r="O2127" i="8"/>
  <c r="O2128" i="8"/>
  <c r="O2129" i="8"/>
  <c r="O2130" i="8"/>
  <c r="O2131" i="8"/>
  <c r="O2132" i="8"/>
  <c r="O2133" i="8"/>
  <c r="O2134" i="8"/>
  <c r="O2135" i="8"/>
  <c r="O2136" i="8"/>
  <c r="O2137" i="8"/>
  <c r="O2138" i="8"/>
  <c r="O2139" i="8"/>
  <c r="O2140" i="8"/>
  <c r="O2141" i="8"/>
  <c r="O2142" i="8"/>
  <c r="O2143" i="8"/>
  <c r="O2144" i="8"/>
  <c r="O2145" i="8"/>
  <c r="O2146" i="8"/>
  <c r="O2147" i="8"/>
  <c r="O2148" i="8"/>
  <c r="O2149" i="8"/>
  <c r="O2150" i="8"/>
  <c r="O2151" i="8"/>
  <c r="O2152" i="8"/>
  <c r="O2153" i="8"/>
  <c r="O2154" i="8"/>
  <c r="O2155" i="8"/>
  <c r="O2156" i="8"/>
  <c r="O2157" i="8"/>
  <c r="O2158" i="8"/>
  <c r="O2159" i="8"/>
  <c r="O2160" i="8"/>
  <c r="O2161" i="8"/>
  <c r="O2162" i="8"/>
  <c r="O2163" i="8"/>
  <c r="O2164" i="8"/>
  <c r="O2165" i="8"/>
  <c r="O2166" i="8"/>
  <c r="O2167" i="8"/>
  <c r="O2168" i="8"/>
  <c r="O2169" i="8"/>
  <c r="O2170" i="8"/>
  <c r="O2171" i="8"/>
  <c r="O2172" i="8"/>
  <c r="O2173" i="8"/>
  <c r="O2174" i="8"/>
  <c r="O2175" i="8"/>
  <c r="O2176" i="8"/>
  <c r="O2177" i="8"/>
  <c r="O2178" i="8"/>
  <c r="O2179" i="8"/>
  <c r="O2180" i="8"/>
  <c r="O2181" i="8"/>
  <c r="O2182" i="8"/>
  <c r="O2183" i="8"/>
  <c r="O2184" i="8"/>
  <c r="O2185" i="8"/>
  <c r="O2186" i="8"/>
  <c r="O2187" i="8"/>
  <c r="O2188" i="8"/>
  <c r="O2189" i="8"/>
  <c r="O2190" i="8"/>
  <c r="O2191" i="8"/>
  <c r="O2192" i="8"/>
  <c r="O2193" i="8"/>
  <c r="O2194" i="8"/>
  <c r="O2195" i="8"/>
  <c r="O2196" i="8"/>
  <c r="O2197" i="8"/>
  <c r="O2198" i="8"/>
  <c r="O2199" i="8"/>
  <c r="O2200" i="8"/>
  <c r="O2201" i="8"/>
  <c r="O2202" i="8"/>
  <c r="O2203" i="8"/>
  <c r="O2204" i="8"/>
  <c r="O2205" i="8"/>
  <c r="O2206" i="8"/>
  <c r="O2207" i="8"/>
  <c r="O2208" i="8"/>
  <c r="O2209" i="8"/>
  <c r="O2210" i="8"/>
  <c r="O2211" i="8"/>
  <c r="O2212" i="8"/>
  <c r="O2213" i="8"/>
  <c r="O2214" i="8"/>
  <c r="O2215" i="8"/>
  <c r="O2216" i="8"/>
  <c r="O2217" i="8"/>
  <c r="O2218" i="8"/>
  <c r="O2219" i="8"/>
  <c r="O2220" i="8"/>
  <c r="O2221" i="8"/>
  <c r="O2222" i="8"/>
  <c r="O2223" i="8"/>
  <c r="O2224" i="8"/>
  <c r="O2225" i="8"/>
  <c r="O2226" i="8"/>
  <c r="O2227" i="8"/>
  <c r="O2228" i="8"/>
  <c r="O2229" i="8"/>
  <c r="O2230" i="8"/>
  <c r="O2231" i="8"/>
  <c r="O2232" i="8"/>
  <c r="O2233" i="8"/>
  <c r="O2234" i="8"/>
  <c r="O2235" i="8"/>
  <c r="O2236" i="8"/>
  <c r="O2237" i="8"/>
  <c r="O2238" i="8"/>
  <c r="O2239" i="8"/>
  <c r="O2240" i="8"/>
  <c r="O2241" i="8"/>
  <c r="O2242" i="8"/>
  <c r="O2243" i="8"/>
  <c r="O2244" i="8"/>
  <c r="O2245" i="8"/>
  <c r="O2246" i="8"/>
  <c r="O2247" i="8"/>
  <c r="O2248" i="8"/>
  <c r="O2249" i="8"/>
  <c r="O2250" i="8"/>
  <c r="O2251" i="8"/>
  <c r="O2252" i="8"/>
  <c r="O2253" i="8"/>
  <c r="O2254" i="8"/>
  <c r="O2255" i="8"/>
  <c r="O2256" i="8"/>
  <c r="O2257" i="8"/>
  <c r="O2258" i="8"/>
  <c r="O2259" i="8"/>
  <c r="O2260" i="8"/>
  <c r="O2261" i="8"/>
  <c r="O2262" i="8"/>
  <c r="O2263" i="8"/>
  <c r="O2264" i="8"/>
  <c r="O2265" i="8"/>
  <c r="O2266" i="8"/>
  <c r="O2267" i="8"/>
  <c r="O2268" i="8"/>
  <c r="O2269" i="8"/>
  <c r="O2270" i="8"/>
  <c r="O2271" i="8"/>
  <c r="O2272" i="8"/>
  <c r="O2273" i="8"/>
  <c r="O2274" i="8"/>
  <c r="O2275" i="8"/>
  <c r="O2276" i="8"/>
  <c r="O2277" i="8"/>
  <c r="O2278" i="8"/>
  <c r="O2279" i="8"/>
  <c r="O2280" i="8"/>
  <c r="O2281" i="8"/>
  <c r="O2282" i="8"/>
  <c r="O2283" i="8"/>
  <c r="O2284" i="8"/>
  <c r="O2285" i="8"/>
  <c r="O2286" i="8"/>
  <c r="O2287" i="8"/>
  <c r="O2288" i="8"/>
  <c r="O2289" i="8"/>
  <c r="O2290" i="8"/>
  <c r="O2291" i="8"/>
  <c r="O2292" i="8"/>
  <c r="O2293" i="8"/>
  <c r="O2294" i="8"/>
  <c r="O2295" i="8"/>
  <c r="O2296" i="8"/>
  <c r="O2297" i="8"/>
  <c r="O2298" i="8"/>
  <c r="O2299" i="8"/>
  <c r="O2300" i="8"/>
  <c r="O2301" i="8"/>
  <c r="O2302" i="8"/>
  <c r="O2303" i="8"/>
  <c r="O2304" i="8"/>
  <c r="O2305" i="8"/>
  <c r="O2306" i="8"/>
  <c r="O2307" i="8"/>
  <c r="O2308" i="8"/>
  <c r="O2309" i="8"/>
  <c r="O2310" i="8"/>
  <c r="O2311" i="8"/>
  <c r="O2312" i="8"/>
  <c r="O2313" i="8"/>
  <c r="O2314" i="8"/>
  <c r="O2315" i="8"/>
  <c r="O2316" i="8"/>
  <c r="O2317" i="8"/>
  <c r="O2318" i="8"/>
  <c r="O2319" i="8"/>
  <c r="O2320" i="8"/>
  <c r="O2321" i="8"/>
  <c r="O2322" i="8"/>
  <c r="O2323" i="8"/>
  <c r="O2324" i="8"/>
  <c r="O2325" i="8"/>
  <c r="O2326" i="8"/>
  <c r="O2327" i="8"/>
  <c r="O2328" i="8"/>
  <c r="O2329" i="8"/>
  <c r="O2330" i="8"/>
  <c r="O2331" i="8"/>
  <c r="O2332" i="8"/>
  <c r="O2333" i="8"/>
  <c r="O2334" i="8"/>
  <c r="O2335" i="8"/>
  <c r="O2336" i="8"/>
  <c r="O2337" i="8"/>
  <c r="O2338" i="8"/>
  <c r="O2339" i="8"/>
  <c r="O2340" i="8"/>
  <c r="O2341" i="8"/>
  <c r="O2342" i="8"/>
  <c r="O2343" i="8"/>
  <c r="O2344" i="8"/>
  <c r="O2345" i="8"/>
  <c r="O2346" i="8"/>
  <c r="O2347" i="8"/>
  <c r="O2348" i="8"/>
  <c r="O2349" i="8"/>
  <c r="O2350" i="8"/>
  <c r="O2351" i="8"/>
  <c r="O2352" i="8"/>
  <c r="O2353" i="8"/>
  <c r="O2354" i="8"/>
  <c r="O2355" i="8"/>
  <c r="O2356" i="8"/>
  <c r="O2357" i="8"/>
  <c r="O2358" i="8"/>
  <c r="O2359" i="8"/>
  <c r="O2360" i="8"/>
  <c r="O2361" i="8"/>
  <c r="O2362" i="8"/>
  <c r="O2363" i="8"/>
  <c r="O2364" i="8"/>
  <c r="O2365" i="8"/>
  <c r="O2366" i="8"/>
  <c r="O2367" i="8"/>
  <c r="O2368" i="8"/>
  <c r="O2369" i="8"/>
  <c r="O2370" i="8"/>
  <c r="O2371" i="8"/>
  <c r="O2372" i="8"/>
  <c r="O2373" i="8"/>
  <c r="O2374" i="8"/>
  <c r="O2375" i="8"/>
  <c r="O2376" i="8"/>
  <c r="O2377" i="8"/>
  <c r="O2378" i="8"/>
  <c r="O2379" i="8"/>
  <c r="O2380" i="8"/>
  <c r="O2381" i="8"/>
  <c r="O2382" i="8"/>
  <c r="O2383" i="8"/>
  <c r="O2384" i="8"/>
  <c r="O2385" i="8"/>
  <c r="O2386" i="8"/>
  <c r="O2387" i="8"/>
  <c r="O2388" i="8"/>
  <c r="O2389" i="8"/>
  <c r="O2390" i="8"/>
  <c r="O2391" i="8"/>
  <c r="O2392" i="8"/>
  <c r="O2393" i="8"/>
  <c r="O2394" i="8"/>
  <c r="O2395" i="8"/>
  <c r="O2396" i="8"/>
  <c r="O2397" i="8"/>
  <c r="O2398" i="8"/>
  <c r="O2399" i="8"/>
  <c r="O2400" i="8"/>
  <c r="O2401" i="8"/>
  <c r="O2402" i="8"/>
  <c r="O2403" i="8"/>
  <c r="O2404" i="8"/>
  <c r="O2405" i="8"/>
  <c r="O2406" i="8"/>
  <c r="O2407" i="8"/>
  <c r="O2408" i="8"/>
  <c r="O2409" i="8"/>
  <c r="O2410" i="8"/>
  <c r="O2411" i="8"/>
  <c r="O2412" i="8"/>
  <c r="O2413" i="8"/>
  <c r="O2414" i="8"/>
  <c r="O2415" i="8"/>
  <c r="O2416" i="8"/>
  <c r="O2417" i="8"/>
  <c r="O2418" i="8"/>
  <c r="O2419" i="8"/>
  <c r="O2420" i="8"/>
  <c r="O2421" i="8"/>
  <c r="O2422" i="8"/>
  <c r="O2423" i="8"/>
  <c r="O2424" i="8"/>
  <c r="O2425" i="8"/>
  <c r="O2426" i="8"/>
  <c r="O2427" i="8"/>
  <c r="O2428" i="8"/>
  <c r="O2429" i="8"/>
  <c r="O2430" i="8"/>
  <c r="O2431" i="8"/>
  <c r="O2432" i="8"/>
  <c r="O2433" i="8"/>
  <c r="O2434" i="8"/>
  <c r="O2435" i="8"/>
  <c r="O2436" i="8"/>
  <c r="O2437" i="8"/>
  <c r="O2438" i="8"/>
  <c r="O2439" i="8"/>
  <c r="O2440" i="8"/>
  <c r="O2441" i="8"/>
  <c r="O2442" i="8"/>
  <c r="O2443" i="8"/>
  <c r="O2444" i="8"/>
  <c r="O2445" i="8"/>
  <c r="O2446" i="8"/>
  <c r="O2447" i="8"/>
  <c r="O2448" i="8"/>
  <c r="O2449" i="8"/>
  <c r="O2450" i="8"/>
  <c r="O2451" i="8"/>
  <c r="O2452" i="8"/>
  <c r="O2453" i="8"/>
  <c r="O2454" i="8"/>
  <c r="O2455" i="8"/>
  <c r="O2456" i="8"/>
  <c r="O2457" i="8"/>
  <c r="O2458" i="8"/>
  <c r="O2459" i="8"/>
  <c r="O2460" i="8"/>
  <c r="O2461" i="8"/>
  <c r="O2462" i="8"/>
  <c r="O2463" i="8"/>
  <c r="O2464" i="8"/>
  <c r="O2465" i="8"/>
  <c r="O2466" i="8"/>
  <c r="O2467" i="8"/>
  <c r="O2468" i="8"/>
  <c r="O2469" i="8"/>
  <c r="O2470" i="8"/>
  <c r="O2471" i="8"/>
  <c r="O2472" i="8"/>
  <c r="O2473" i="8"/>
  <c r="O2474" i="8"/>
  <c r="O2475" i="8"/>
  <c r="O2476" i="8"/>
  <c r="O2477" i="8"/>
  <c r="O2478" i="8"/>
  <c r="O2479" i="8"/>
  <c r="O2480" i="8"/>
  <c r="O2481" i="8"/>
  <c r="O2482" i="8"/>
  <c r="O2483" i="8"/>
  <c r="O2484" i="8"/>
  <c r="O2485" i="8"/>
  <c r="O2486" i="8"/>
  <c r="O2487" i="8"/>
  <c r="O2488" i="8"/>
  <c r="O2489" i="8"/>
  <c r="O2490" i="8"/>
  <c r="O2491" i="8"/>
  <c r="O2492" i="8"/>
  <c r="O2493" i="8"/>
  <c r="O2494" i="8"/>
  <c r="O2495" i="8"/>
  <c r="O2496" i="8"/>
  <c r="O2497" i="8"/>
  <c r="O2498" i="8"/>
  <c r="O2499" i="8"/>
  <c r="O2500" i="8"/>
  <c r="O2501" i="8"/>
  <c r="O2502" i="8"/>
  <c r="O2503" i="8"/>
  <c r="O2504" i="8"/>
  <c r="O2505" i="8"/>
  <c r="O2506" i="8"/>
  <c r="O2507" i="8"/>
  <c r="O2508" i="8"/>
  <c r="O2509" i="8"/>
  <c r="O2510" i="8"/>
  <c r="O2511" i="8"/>
  <c r="O2512" i="8"/>
  <c r="O2513" i="8"/>
  <c r="O2514" i="8"/>
  <c r="O2515" i="8"/>
  <c r="O2516" i="8"/>
  <c r="O2517" i="8"/>
  <c r="O2518" i="8"/>
  <c r="O2519" i="8"/>
  <c r="O2520" i="8"/>
  <c r="O2521" i="8"/>
  <c r="O2522" i="8"/>
  <c r="O2523" i="8"/>
  <c r="O2524" i="8"/>
  <c r="O2525" i="8"/>
  <c r="O2526" i="8"/>
  <c r="O2527" i="8"/>
  <c r="O2528" i="8"/>
  <c r="O2529" i="8"/>
  <c r="O2530" i="8"/>
  <c r="O2531" i="8"/>
  <c r="O2532" i="8"/>
  <c r="O2533" i="8"/>
  <c r="O2534" i="8"/>
  <c r="O2535" i="8"/>
  <c r="O2536" i="8"/>
  <c r="O2537" i="8"/>
  <c r="O2538" i="8"/>
  <c r="O2539" i="8"/>
  <c r="O2540" i="8"/>
  <c r="O2541" i="8"/>
  <c r="O2542" i="8"/>
  <c r="O2543" i="8"/>
  <c r="O2544" i="8"/>
  <c r="O2545" i="8"/>
  <c r="O2546" i="8"/>
  <c r="O2547" i="8"/>
  <c r="O2548" i="8"/>
  <c r="O2549" i="8"/>
  <c r="O2550" i="8"/>
  <c r="O2551" i="8"/>
  <c r="O2552" i="8"/>
  <c r="O2553" i="8"/>
  <c r="O2554" i="8"/>
  <c r="O2555" i="8"/>
  <c r="O2556" i="8"/>
  <c r="O2557" i="8"/>
  <c r="O2558" i="8"/>
  <c r="O2559" i="8"/>
  <c r="O2560" i="8"/>
  <c r="O2561" i="8"/>
  <c r="O2562" i="8"/>
  <c r="O2563" i="8"/>
  <c r="O2564" i="8"/>
  <c r="O2565" i="8"/>
  <c r="O2566" i="8"/>
  <c r="O2567" i="8"/>
  <c r="O2568" i="8"/>
  <c r="O2569" i="8"/>
  <c r="O2570" i="8"/>
  <c r="O2571" i="8"/>
  <c r="O2572" i="8"/>
  <c r="O2573" i="8"/>
  <c r="O2574" i="8"/>
  <c r="O2575" i="8"/>
  <c r="O2576" i="8"/>
  <c r="O2577" i="8"/>
  <c r="O2578" i="8"/>
  <c r="O2579" i="8"/>
  <c r="O2580" i="8"/>
  <c r="O2581" i="8"/>
  <c r="O2582" i="8"/>
  <c r="O2583" i="8"/>
  <c r="O2584" i="8"/>
  <c r="O2585" i="8"/>
  <c r="O2586" i="8"/>
  <c r="O2587" i="8"/>
  <c r="O2588" i="8"/>
  <c r="O2589" i="8"/>
  <c r="O2590" i="8"/>
  <c r="O2591" i="8"/>
  <c r="O2592" i="8"/>
  <c r="O2593" i="8"/>
  <c r="O2594" i="8"/>
  <c r="O2595" i="8"/>
  <c r="O2596" i="8"/>
  <c r="O2597" i="8"/>
  <c r="O2598" i="8"/>
  <c r="O2599" i="8"/>
  <c r="O2600" i="8"/>
  <c r="O2601" i="8"/>
  <c r="O2602" i="8"/>
  <c r="O2603" i="8"/>
  <c r="O2604" i="8"/>
  <c r="O2605" i="8"/>
  <c r="O2606" i="8"/>
  <c r="O2607" i="8"/>
  <c r="O2608" i="8"/>
  <c r="O2609" i="8"/>
  <c r="O2610" i="8"/>
  <c r="O2611" i="8"/>
  <c r="O2612" i="8"/>
  <c r="O2613" i="8"/>
  <c r="O2614" i="8"/>
  <c r="O2615" i="8"/>
  <c r="O2616" i="8"/>
  <c r="O2617" i="8"/>
  <c r="O2618" i="8"/>
  <c r="O2619" i="8"/>
  <c r="O2620" i="8"/>
  <c r="O2621" i="8"/>
  <c r="O2622" i="8"/>
  <c r="O2623" i="8"/>
  <c r="O2624" i="8"/>
  <c r="O2625" i="8"/>
  <c r="O2626" i="8"/>
  <c r="O2627" i="8"/>
  <c r="O2628" i="8"/>
  <c r="O2629" i="8"/>
  <c r="O2630" i="8"/>
  <c r="O2631" i="8"/>
  <c r="O2632" i="8"/>
  <c r="O2633" i="8"/>
  <c r="O2634" i="8"/>
  <c r="O2635" i="8"/>
  <c r="O2636" i="8"/>
  <c r="O2637" i="8"/>
  <c r="O2638" i="8"/>
  <c r="O2639" i="8"/>
  <c r="O2640" i="8"/>
  <c r="O2641" i="8"/>
  <c r="O2642" i="8"/>
  <c r="O2643" i="8"/>
  <c r="O2644" i="8"/>
  <c r="O2645" i="8"/>
  <c r="O2646" i="8"/>
  <c r="O2647" i="8"/>
  <c r="O2648" i="8"/>
  <c r="O2649" i="8"/>
  <c r="O2650" i="8"/>
  <c r="O2651" i="8"/>
  <c r="O2652" i="8"/>
  <c r="O2653" i="8"/>
  <c r="O2654" i="8"/>
  <c r="O2655" i="8"/>
  <c r="O2656" i="8"/>
  <c r="O2657" i="8"/>
  <c r="O2658" i="8"/>
  <c r="O2659" i="8"/>
  <c r="O2660" i="8"/>
  <c r="O2661" i="8"/>
  <c r="O2662" i="8"/>
  <c r="O2663" i="8"/>
  <c r="O2664" i="8"/>
  <c r="O2665" i="8"/>
  <c r="O2666" i="8"/>
  <c r="O2667" i="8"/>
  <c r="O2668" i="8"/>
  <c r="O2669" i="8"/>
  <c r="O2670" i="8"/>
  <c r="O2671" i="8"/>
  <c r="O2672" i="8"/>
  <c r="O2673" i="8"/>
  <c r="O2674" i="8"/>
  <c r="O2675" i="8"/>
  <c r="O2676" i="8"/>
  <c r="O2677" i="8"/>
  <c r="O2678" i="8"/>
  <c r="O2679" i="8"/>
  <c r="O2680" i="8"/>
  <c r="O2681" i="8"/>
  <c r="O2682" i="8"/>
  <c r="O2683" i="8"/>
  <c r="O2684" i="8"/>
  <c r="O2685" i="8"/>
  <c r="O2686" i="8"/>
  <c r="O2687" i="8"/>
  <c r="O2688" i="8"/>
  <c r="O2689" i="8"/>
  <c r="O2690" i="8"/>
  <c r="O2691" i="8"/>
  <c r="O2692" i="8"/>
  <c r="O2693" i="8"/>
  <c r="O2694" i="8"/>
  <c r="O2695" i="8"/>
  <c r="O2696" i="8"/>
  <c r="O2697" i="8"/>
  <c r="O2698" i="8"/>
  <c r="O2699" i="8"/>
  <c r="O2700" i="8"/>
  <c r="O2701" i="8"/>
  <c r="O2702" i="8"/>
  <c r="O2703" i="8"/>
  <c r="O2704" i="8"/>
  <c r="O2705" i="8"/>
  <c r="O2706" i="8"/>
  <c r="O2707" i="8"/>
  <c r="O2708" i="8"/>
  <c r="O2709" i="8"/>
  <c r="O2710" i="8"/>
  <c r="O2711" i="8"/>
  <c r="O2712" i="8"/>
  <c r="O2713" i="8"/>
  <c r="O2714" i="8"/>
  <c r="O2715" i="8"/>
  <c r="O2716" i="8"/>
  <c r="O2717" i="8"/>
  <c r="O2718" i="8"/>
  <c r="O2719" i="8"/>
  <c r="O2720" i="8"/>
  <c r="O2721" i="8"/>
  <c r="O2722" i="8"/>
  <c r="O2723" i="8"/>
  <c r="O2724" i="8"/>
  <c r="O2725" i="8"/>
  <c r="O2726" i="8"/>
  <c r="AJ2729" i="8" l="1"/>
  <c r="AI2730" i="8"/>
  <c r="AI2731" i="8"/>
  <c r="AJ2731" i="8"/>
  <c r="AI2735" i="8"/>
  <c r="AJ2735" i="8"/>
  <c r="AJ2737" i="8"/>
  <c r="AI2738" i="8"/>
  <c r="AI2739" i="8"/>
  <c r="AJ2739" i="8"/>
  <c r="AI2743" i="8"/>
  <c r="AJ2743" i="8"/>
  <c r="AJ2745" i="8"/>
  <c r="AI2746" i="8"/>
  <c r="AI2747" i="8"/>
  <c r="AJ2747" i="8"/>
  <c r="AI2751" i="8"/>
  <c r="AJ2751" i="8"/>
  <c r="AJ2753" i="8"/>
  <c r="AI2754" i="8"/>
  <c r="AI2755" i="8"/>
  <c r="AJ2755" i="8"/>
  <c r="AI2759" i="8"/>
  <c r="AJ2759" i="8"/>
  <c r="AJ2761" i="8"/>
  <c r="AI2762" i="8"/>
  <c r="AI2763" i="8"/>
  <c r="AJ2763" i="8"/>
  <c r="AI2767" i="8"/>
  <c r="AJ2767" i="8"/>
  <c r="AJ2769" i="8"/>
  <c r="AI2770" i="8"/>
  <c r="AI2771" i="8"/>
  <c r="AJ2771" i="8"/>
  <c r="AI2775" i="8"/>
  <c r="AJ2775" i="8"/>
  <c r="AJ2777" i="8"/>
  <c r="AI2778" i="8"/>
  <c r="AI2779" i="8"/>
  <c r="AJ2779" i="8"/>
  <c r="AI2783" i="8"/>
  <c r="AJ2783" i="8"/>
  <c r="AJ2785" i="8"/>
  <c r="AI2786" i="8"/>
  <c r="AI2787" i="8"/>
  <c r="AJ2787" i="8"/>
  <c r="AI2791" i="8"/>
  <c r="AJ2791" i="8"/>
  <c r="AJ2793" i="8"/>
  <c r="AI2794" i="8"/>
  <c r="AI2795" i="8"/>
  <c r="AJ2795" i="8"/>
  <c r="AI2799" i="8"/>
  <c r="AJ2799" i="8"/>
  <c r="AJ2801" i="8"/>
  <c r="AI2802" i="8"/>
  <c r="AI2803" i="8"/>
  <c r="AJ2803" i="8"/>
  <c r="AI2807" i="8"/>
  <c r="AJ2807" i="8"/>
  <c r="AJ2809" i="8"/>
  <c r="AI2810" i="8"/>
  <c r="AI2811" i="8"/>
  <c r="AJ2811" i="8"/>
  <c r="AI2815" i="8"/>
  <c r="AJ2815" i="8"/>
  <c r="AJ2817" i="8"/>
  <c r="AI2818" i="8"/>
  <c r="AI2819" i="8"/>
  <c r="AJ2819" i="8"/>
  <c r="AI2823" i="8"/>
  <c r="AJ2823" i="8"/>
  <c r="AJ2825" i="8"/>
  <c r="AI2826" i="8"/>
  <c r="AI2827" i="8"/>
  <c r="AJ2827" i="8"/>
  <c r="AI2831" i="8"/>
  <c r="AJ2831" i="8"/>
  <c r="AJ2833" i="8"/>
  <c r="AI2834" i="8"/>
  <c r="AI2835" i="8"/>
  <c r="AJ2835" i="8"/>
  <c r="AI2839" i="8"/>
  <c r="AJ2839" i="8"/>
  <c r="AJ2841" i="8"/>
  <c r="AI2842" i="8"/>
  <c r="AI2843" i="8"/>
  <c r="AJ2843" i="8"/>
  <c r="AI2847" i="8"/>
  <c r="AJ2847" i="8"/>
  <c r="AJ2849" i="8"/>
  <c r="AI2850" i="8"/>
  <c r="AI2851" i="8"/>
  <c r="AJ2851" i="8"/>
  <c r="AI2855" i="8"/>
  <c r="AJ2855" i="8"/>
  <c r="AJ2857" i="8"/>
  <c r="AI2858" i="8"/>
  <c r="AI2859" i="8"/>
  <c r="AJ2859" i="8"/>
  <c r="AI2863" i="8"/>
  <c r="AJ2863" i="8"/>
  <c r="AJ2865" i="8"/>
  <c r="AI2866" i="8"/>
  <c r="AI2867" i="8"/>
  <c r="AJ2867" i="8"/>
  <c r="AI2871" i="8"/>
  <c r="AJ2871" i="8"/>
  <c r="AJ2873" i="8"/>
  <c r="AI2874" i="8"/>
  <c r="AI2875" i="8"/>
  <c r="AJ2875" i="8"/>
  <c r="AI2879" i="8"/>
  <c r="AJ2879" i="8"/>
  <c r="AJ2881" i="8"/>
  <c r="AI2882" i="8"/>
  <c r="AI2883" i="8"/>
  <c r="AJ2883" i="8"/>
  <c r="AI2887" i="8"/>
  <c r="AJ2887" i="8"/>
  <c r="AJ2889" i="8"/>
  <c r="AI2890" i="8"/>
  <c r="AI2891" i="8"/>
  <c r="AJ2891" i="8"/>
  <c r="AI2895" i="8"/>
  <c r="AJ2895" i="8"/>
  <c r="AJ2897" i="8"/>
  <c r="AI2898" i="8"/>
  <c r="AI2899" i="8"/>
  <c r="AJ2899" i="8"/>
  <c r="AI2903" i="8"/>
  <c r="AJ2903" i="8"/>
  <c r="AJ2905" i="8"/>
  <c r="AI2906" i="8"/>
  <c r="AI2907" i="8"/>
  <c r="AJ2907" i="8"/>
  <c r="AI2911" i="8"/>
  <c r="AJ2911" i="8"/>
  <c r="AJ2913" i="8"/>
  <c r="AI2914" i="8"/>
  <c r="AI2915" i="8"/>
  <c r="AJ2915" i="8"/>
  <c r="AI2919" i="8"/>
  <c r="AJ2919" i="8"/>
  <c r="AJ2921" i="8"/>
  <c r="AI2922" i="8"/>
  <c r="AI2923" i="8"/>
  <c r="AJ2923" i="8"/>
  <c r="AI2927" i="8"/>
  <c r="AJ2927" i="8"/>
  <c r="AJ2929" i="8"/>
  <c r="AI2930" i="8"/>
  <c r="AI2931" i="8"/>
  <c r="AJ2931" i="8"/>
  <c r="AI2935" i="8"/>
  <c r="AJ2935" i="8"/>
  <c r="AJ2937" i="8"/>
  <c r="AI2938" i="8"/>
  <c r="AI2939" i="8"/>
  <c r="AJ2939" i="8"/>
  <c r="AI2943" i="8"/>
  <c r="AJ2943" i="8"/>
  <c r="AJ2945" i="8"/>
  <c r="AI2946" i="8"/>
  <c r="AI2947" i="8"/>
  <c r="AJ2947" i="8"/>
  <c r="AI2951" i="8"/>
  <c r="AJ2951" i="8"/>
  <c r="AJ2953" i="8"/>
  <c r="AI2954" i="8"/>
  <c r="AI2955" i="8"/>
  <c r="AJ2955" i="8"/>
  <c r="AI2959" i="8"/>
  <c r="AJ2959" i="8"/>
  <c r="AJ2961" i="8"/>
  <c r="AI2962" i="8"/>
  <c r="AI2963" i="8"/>
  <c r="AJ2963" i="8"/>
  <c r="AI2967" i="8"/>
  <c r="AJ2967" i="8"/>
  <c r="AJ2969" i="8"/>
  <c r="AI2970" i="8"/>
  <c r="AI2971" i="8"/>
  <c r="AJ2971" i="8"/>
  <c r="AI2975" i="8"/>
  <c r="AJ2975" i="8"/>
  <c r="AJ2977" i="8"/>
  <c r="AI2978" i="8"/>
  <c r="AI2979" i="8"/>
  <c r="AJ2979" i="8"/>
  <c r="AI2983" i="8"/>
  <c r="AJ2983" i="8"/>
  <c r="AJ2985" i="8"/>
  <c r="AI2986" i="8"/>
  <c r="AI2987" i="8"/>
  <c r="AJ2987" i="8"/>
  <c r="AI2991" i="8"/>
  <c r="AJ2991" i="8"/>
  <c r="AJ2993" i="8"/>
  <c r="AI2994" i="8"/>
  <c r="AI2995" i="8"/>
  <c r="AJ2995" i="8"/>
  <c r="AI2999" i="8"/>
  <c r="AJ2999" i="8"/>
  <c r="AJ3001" i="8"/>
  <c r="AI3002" i="8"/>
  <c r="AI3003" i="8"/>
  <c r="AJ3003" i="8"/>
  <c r="AI3007" i="8"/>
  <c r="AJ3007" i="8"/>
  <c r="AJ3009" i="8"/>
  <c r="AI3010" i="8"/>
  <c r="AI3011" i="8"/>
  <c r="AJ3011" i="8"/>
  <c r="AI3015" i="8"/>
  <c r="AJ3015" i="8"/>
  <c r="AJ3017" i="8"/>
  <c r="AI3018" i="8"/>
  <c r="AI3019" i="8"/>
  <c r="AJ3019" i="8"/>
  <c r="AI3023" i="8"/>
  <c r="AJ3023" i="8"/>
  <c r="AJ3025" i="8"/>
  <c r="AI3026" i="8"/>
  <c r="AI3027" i="8"/>
  <c r="AJ3027" i="8"/>
  <c r="AI3031" i="8"/>
  <c r="AJ3031" i="8"/>
  <c r="AJ3033" i="8"/>
  <c r="AI3034" i="8"/>
  <c r="AI3035" i="8"/>
  <c r="AJ3035" i="8"/>
  <c r="AI3039" i="8"/>
  <c r="AJ3039" i="8"/>
  <c r="AJ3041" i="8"/>
  <c r="AI3042" i="8"/>
  <c r="AI3043" i="8"/>
  <c r="AJ3043" i="8"/>
  <c r="AI3047" i="8"/>
  <c r="AJ3047" i="8"/>
  <c r="AJ3049" i="8"/>
  <c r="AI3050" i="8"/>
  <c r="AI3051" i="8"/>
  <c r="AJ3051" i="8"/>
  <c r="AI3055" i="8"/>
  <c r="AJ3055" i="8"/>
  <c r="AJ3057" i="8"/>
  <c r="AI3058" i="8"/>
  <c r="AI3059" i="8"/>
  <c r="AJ3059" i="8"/>
  <c r="AI3063" i="8"/>
  <c r="AJ3063" i="8"/>
  <c r="AJ3065" i="8"/>
  <c r="AI3066" i="8"/>
  <c r="AI3067" i="8"/>
  <c r="AJ3067" i="8"/>
  <c r="AI3071" i="8"/>
  <c r="AJ3071" i="8"/>
  <c r="AJ3073" i="8"/>
  <c r="AI3074" i="8"/>
  <c r="AI3075" i="8"/>
  <c r="AJ3075" i="8"/>
  <c r="AI3079" i="8"/>
  <c r="AJ3079" i="8"/>
  <c r="AJ3081" i="8"/>
  <c r="AI3082" i="8"/>
  <c r="AI3083" i="8"/>
  <c r="AJ3083" i="8"/>
  <c r="AI3087" i="8"/>
  <c r="AJ3087" i="8"/>
  <c r="AJ3089" i="8"/>
  <c r="AI3090" i="8"/>
  <c r="AI3091" i="8"/>
  <c r="AJ3091" i="8"/>
  <c r="AI3095" i="8"/>
  <c r="AJ3095" i="8"/>
  <c r="AJ3097" i="8"/>
  <c r="AI3098" i="8"/>
  <c r="AI3099" i="8"/>
  <c r="AJ3099" i="8"/>
  <c r="AI3103" i="8"/>
  <c r="AJ3103" i="8"/>
  <c r="AJ3105" i="8"/>
  <c r="AI3106" i="8"/>
  <c r="AI3107" i="8"/>
  <c r="AJ3107" i="8"/>
  <c r="AI3111" i="8"/>
  <c r="AJ3111" i="8"/>
  <c r="AJ3113" i="8"/>
  <c r="AI3114" i="8"/>
  <c r="AI3115" i="8"/>
  <c r="AJ3115" i="8"/>
  <c r="AI3119" i="8"/>
  <c r="AJ3119" i="8"/>
  <c r="AJ3121" i="8"/>
  <c r="AI3122" i="8"/>
  <c r="AI3123" i="8"/>
  <c r="AJ3123" i="8"/>
  <c r="AI3127" i="8"/>
  <c r="AJ3127" i="8"/>
  <c r="AJ3129" i="8"/>
  <c r="AI3130" i="8"/>
  <c r="AI3131" i="8"/>
  <c r="AJ3131" i="8"/>
  <c r="AI3135" i="8"/>
  <c r="AJ3135" i="8"/>
  <c r="AJ3137" i="8"/>
  <c r="AI3138" i="8"/>
  <c r="AI3139" i="8"/>
  <c r="AJ3139" i="8"/>
  <c r="AI3143" i="8"/>
  <c r="AJ3143" i="8"/>
  <c r="AJ3145" i="8"/>
  <c r="AI3146" i="8"/>
  <c r="AI3147" i="8"/>
  <c r="AJ3147" i="8"/>
  <c r="AI3151" i="8"/>
  <c r="AJ3151" i="8"/>
  <c r="AJ3153" i="8"/>
  <c r="AI3154" i="8"/>
  <c r="AI3155" i="8"/>
  <c r="AJ3155" i="8"/>
  <c r="AI3159" i="8"/>
  <c r="AJ3159" i="8"/>
  <c r="AJ3161" i="8"/>
  <c r="AB2730" i="8"/>
  <c r="AB2731" i="8"/>
  <c r="AB2732" i="8"/>
  <c r="AB2733" i="8"/>
  <c r="AB2734" i="8"/>
  <c r="AB2735" i="8"/>
  <c r="AB2736" i="8"/>
  <c r="AB2737" i="8"/>
  <c r="AB2738" i="8"/>
  <c r="AB2739" i="8"/>
  <c r="AB2740" i="8"/>
  <c r="AB2741" i="8"/>
  <c r="AB2742" i="8"/>
  <c r="AB2743" i="8"/>
  <c r="AB2744" i="8"/>
  <c r="AB2745" i="8"/>
  <c r="AB2746" i="8"/>
  <c r="AB2747" i="8"/>
  <c r="AB2748" i="8"/>
  <c r="AB2749" i="8"/>
  <c r="AB2750" i="8"/>
  <c r="AB2751" i="8"/>
  <c r="AB2752" i="8"/>
  <c r="AB2753" i="8"/>
  <c r="AB2754" i="8"/>
  <c r="AB2755" i="8"/>
  <c r="AB2756" i="8"/>
  <c r="AB2757" i="8"/>
  <c r="AB2758" i="8"/>
  <c r="AB2759" i="8"/>
  <c r="AB2760" i="8"/>
  <c r="AB2761" i="8"/>
  <c r="AB2762" i="8"/>
  <c r="AB2763" i="8"/>
  <c r="AB2764" i="8"/>
  <c r="AB2765" i="8"/>
  <c r="AB2766" i="8"/>
  <c r="AB2767" i="8"/>
  <c r="AB2768" i="8"/>
  <c r="AB2769" i="8"/>
  <c r="AB2770" i="8"/>
  <c r="AB2771" i="8"/>
  <c r="AB2772" i="8"/>
  <c r="AB2773" i="8"/>
  <c r="AB2774" i="8"/>
  <c r="AB2775" i="8"/>
  <c r="AB2776" i="8"/>
  <c r="AB2777" i="8"/>
  <c r="AB2778" i="8"/>
  <c r="AB2779" i="8"/>
  <c r="AB2780" i="8"/>
  <c r="AB2781" i="8"/>
  <c r="AB2782" i="8"/>
  <c r="AB2783" i="8"/>
  <c r="AB2784" i="8"/>
  <c r="AB2785" i="8"/>
  <c r="AB2786" i="8"/>
  <c r="AB2787" i="8"/>
  <c r="AB2788" i="8"/>
  <c r="AB2789" i="8"/>
  <c r="AB2790" i="8"/>
  <c r="AB2791" i="8"/>
  <c r="AB2792" i="8"/>
  <c r="AB2793" i="8"/>
  <c r="AB2794" i="8"/>
  <c r="AB2795" i="8"/>
  <c r="AB2796" i="8"/>
  <c r="AB2797" i="8"/>
  <c r="AB2798" i="8"/>
  <c r="AB2799" i="8"/>
  <c r="AB2800" i="8"/>
  <c r="AB2801" i="8"/>
  <c r="AB2802" i="8"/>
  <c r="AB2803" i="8"/>
  <c r="AB2804" i="8"/>
  <c r="AB2805" i="8"/>
  <c r="AB2806" i="8"/>
  <c r="AB2807" i="8"/>
  <c r="AB2808" i="8"/>
  <c r="AB2809" i="8"/>
  <c r="AB2810" i="8"/>
  <c r="AB2811" i="8"/>
  <c r="AB2812" i="8"/>
  <c r="AB2813" i="8"/>
  <c r="AB2814" i="8"/>
  <c r="AB2815" i="8"/>
  <c r="AB2816" i="8"/>
  <c r="AB2817" i="8"/>
  <c r="AB2818" i="8"/>
  <c r="AB2819" i="8"/>
  <c r="AB2820" i="8"/>
  <c r="AB2821" i="8"/>
  <c r="AB2822" i="8"/>
  <c r="AB2823" i="8"/>
  <c r="AB2824" i="8"/>
  <c r="AB2825" i="8"/>
  <c r="AB2826" i="8"/>
  <c r="AB2827" i="8"/>
  <c r="AB2828" i="8"/>
  <c r="AB2829" i="8"/>
  <c r="AB2830" i="8"/>
  <c r="AB2831" i="8"/>
  <c r="AB2832" i="8"/>
  <c r="AB2833" i="8"/>
  <c r="AB2834" i="8"/>
  <c r="AB2835" i="8"/>
  <c r="AB2836" i="8"/>
  <c r="AB2837" i="8"/>
  <c r="AB2838" i="8"/>
  <c r="AB2839" i="8"/>
  <c r="AB2840" i="8"/>
  <c r="AB2841" i="8"/>
  <c r="AB2842" i="8"/>
  <c r="AB2843" i="8"/>
  <c r="AB2844" i="8"/>
  <c r="AB2845" i="8"/>
  <c r="AB2846" i="8"/>
  <c r="AB2847" i="8"/>
  <c r="AB2848" i="8"/>
  <c r="AB2849" i="8"/>
  <c r="AB2850" i="8"/>
  <c r="AB2851" i="8"/>
  <c r="AB2852" i="8"/>
  <c r="AB2853" i="8"/>
  <c r="AB2854" i="8"/>
  <c r="AB2855" i="8"/>
  <c r="AB2856" i="8"/>
  <c r="AB2857" i="8"/>
  <c r="AB2858" i="8"/>
  <c r="AB2859" i="8"/>
  <c r="AB2860" i="8"/>
  <c r="AB2861" i="8"/>
  <c r="AB2862" i="8"/>
  <c r="AB2863" i="8"/>
  <c r="AB2864" i="8"/>
  <c r="AB2865" i="8"/>
  <c r="AB2866" i="8"/>
  <c r="AB2867" i="8"/>
  <c r="AB2868" i="8"/>
  <c r="AB2869" i="8"/>
  <c r="AB2870" i="8"/>
  <c r="AB2871" i="8"/>
  <c r="AB2872" i="8"/>
  <c r="AB2873" i="8"/>
  <c r="AB2874" i="8"/>
  <c r="AB2875" i="8"/>
  <c r="AB2876" i="8"/>
  <c r="AB2877" i="8"/>
  <c r="AB2878" i="8"/>
  <c r="AB2879" i="8"/>
  <c r="AB2880" i="8"/>
  <c r="AB2881" i="8"/>
  <c r="AB2882" i="8"/>
  <c r="AB2883" i="8"/>
  <c r="AB2884" i="8"/>
  <c r="AB2885" i="8"/>
  <c r="AB2886" i="8"/>
  <c r="AB2887" i="8"/>
  <c r="AB2888" i="8"/>
  <c r="AB2889" i="8"/>
  <c r="AB2890" i="8"/>
  <c r="AB2891" i="8"/>
  <c r="AB2892" i="8"/>
  <c r="AB2893" i="8"/>
  <c r="AB2894" i="8"/>
  <c r="AB2895" i="8"/>
  <c r="AB2896" i="8"/>
  <c r="AB2897" i="8"/>
  <c r="AB2898" i="8"/>
  <c r="AB2899" i="8"/>
  <c r="AB2900" i="8"/>
  <c r="AB2901" i="8"/>
  <c r="AB2902" i="8"/>
  <c r="AB2903" i="8"/>
  <c r="AB2904" i="8"/>
  <c r="AB2905" i="8"/>
  <c r="AB2906" i="8"/>
  <c r="AB2907" i="8"/>
  <c r="AB2908" i="8"/>
  <c r="AB2909" i="8"/>
  <c r="AB2910" i="8"/>
  <c r="AB2911" i="8"/>
  <c r="AB2912" i="8"/>
  <c r="AB2913" i="8"/>
  <c r="AB2914" i="8"/>
  <c r="AB2915" i="8"/>
  <c r="AB2916" i="8"/>
  <c r="AB2917" i="8"/>
  <c r="AB2918" i="8"/>
  <c r="AB2919" i="8"/>
  <c r="AB2920" i="8"/>
  <c r="AB2921" i="8"/>
  <c r="AB2922" i="8"/>
  <c r="AB2923" i="8"/>
  <c r="AB2924" i="8"/>
  <c r="AB2925" i="8"/>
  <c r="AB2926" i="8"/>
  <c r="AB2927" i="8"/>
  <c r="AB2928" i="8"/>
  <c r="AB2929" i="8"/>
  <c r="AB2930" i="8"/>
  <c r="AB2931" i="8"/>
  <c r="AB2932" i="8"/>
  <c r="AB2933" i="8"/>
  <c r="AB2934" i="8"/>
  <c r="AB2935" i="8"/>
  <c r="AB2936" i="8"/>
  <c r="AB2937" i="8"/>
  <c r="AB2938" i="8"/>
  <c r="AB2939" i="8"/>
  <c r="AB2940" i="8"/>
  <c r="AB2941" i="8"/>
  <c r="AB2942" i="8"/>
  <c r="AB2943" i="8"/>
  <c r="AB2944" i="8"/>
  <c r="AB2945" i="8"/>
  <c r="AB2946" i="8"/>
  <c r="AB2947" i="8"/>
  <c r="AB2948" i="8"/>
  <c r="AB2949" i="8"/>
  <c r="AB2950" i="8"/>
  <c r="AB2951" i="8"/>
  <c r="AB2952" i="8"/>
  <c r="AB2953" i="8"/>
  <c r="AB2954" i="8"/>
  <c r="AB2955" i="8"/>
  <c r="AB2956" i="8"/>
  <c r="AB2957" i="8"/>
  <c r="AB2958" i="8"/>
  <c r="AB2959" i="8"/>
  <c r="AB2960" i="8"/>
  <c r="AB2961" i="8"/>
  <c r="AB2962" i="8"/>
  <c r="AB2963" i="8"/>
  <c r="AB2964" i="8"/>
  <c r="AB2965" i="8"/>
  <c r="AB2966" i="8"/>
  <c r="AB2967" i="8"/>
  <c r="AB2968" i="8"/>
  <c r="AB2969" i="8"/>
  <c r="AB2970" i="8"/>
  <c r="AB2971" i="8"/>
  <c r="AB2972" i="8"/>
  <c r="AB2973" i="8"/>
  <c r="AB2974" i="8"/>
  <c r="AB2975" i="8"/>
  <c r="AB2976" i="8"/>
  <c r="AB2977" i="8"/>
  <c r="AB2978" i="8"/>
  <c r="AB2979" i="8"/>
  <c r="AB2980" i="8"/>
  <c r="AB2981" i="8"/>
  <c r="AB2982" i="8"/>
  <c r="AB2983" i="8"/>
  <c r="AB2984" i="8"/>
  <c r="AB2985" i="8"/>
  <c r="AB2986" i="8"/>
  <c r="AB2987" i="8"/>
  <c r="AB2988" i="8"/>
  <c r="AB2989" i="8"/>
  <c r="AB2990" i="8"/>
  <c r="AB2991" i="8"/>
  <c r="AB2992" i="8"/>
  <c r="AB2993" i="8"/>
  <c r="AB2994" i="8"/>
  <c r="AB2995" i="8"/>
  <c r="AB2996" i="8"/>
  <c r="AB2997" i="8"/>
  <c r="AB2998" i="8"/>
  <c r="AB2999" i="8"/>
  <c r="AB3000" i="8"/>
  <c r="AB3001" i="8"/>
  <c r="AB3002" i="8"/>
  <c r="AB3003" i="8"/>
  <c r="AB3004" i="8"/>
  <c r="AB3005" i="8"/>
  <c r="AB3006" i="8"/>
  <c r="AB3007" i="8"/>
  <c r="AB3008" i="8"/>
  <c r="AB3009" i="8"/>
  <c r="AB3010" i="8"/>
  <c r="AB3011" i="8"/>
  <c r="AB3012" i="8"/>
  <c r="AB3013" i="8"/>
  <c r="AB3014" i="8"/>
  <c r="AB3015" i="8"/>
  <c r="AB3016" i="8"/>
  <c r="AB3017" i="8"/>
  <c r="AB3018" i="8"/>
  <c r="AB3019" i="8"/>
  <c r="AB3020" i="8"/>
  <c r="AB3021" i="8"/>
  <c r="AB3022" i="8"/>
  <c r="AB3023" i="8"/>
  <c r="AB3024" i="8"/>
  <c r="AB3025" i="8"/>
  <c r="AB3026" i="8"/>
  <c r="AB3027" i="8"/>
  <c r="AB3028" i="8"/>
  <c r="AB3029" i="8"/>
  <c r="AB3030" i="8"/>
  <c r="AB3031" i="8"/>
  <c r="AB3032" i="8"/>
  <c r="AB3033" i="8"/>
  <c r="AB3034" i="8"/>
  <c r="AB3035" i="8"/>
  <c r="AB3036" i="8"/>
  <c r="AB3037" i="8"/>
  <c r="AB3038" i="8"/>
  <c r="AB3039" i="8"/>
  <c r="AB3040" i="8"/>
  <c r="AB3041" i="8"/>
  <c r="AB3042" i="8"/>
  <c r="AB3043" i="8"/>
  <c r="AB3044" i="8"/>
  <c r="AB3045" i="8"/>
  <c r="AB3046" i="8"/>
  <c r="AB3047" i="8"/>
  <c r="AB3048" i="8"/>
  <c r="AB3049" i="8"/>
  <c r="AB3050" i="8"/>
  <c r="AB3051" i="8"/>
  <c r="AB3052" i="8"/>
  <c r="AB3053" i="8"/>
  <c r="AB3054" i="8"/>
  <c r="AB3055" i="8"/>
  <c r="AB3056" i="8"/>
  <c r="AB3057" i="8"/>
  <c r="AB3058" i="8"/>
  <c r="AB3059" i="8"/>
  <c r="AB3060" i="8"/>
  <c r="AB3061" i="8"/>
  <c r="AB3062" i="8"/>
  <c r="AB3063" i="8"/>
  <c r="AB3064" i="8"/>
  <c r="AB3065" i="8"/>
  <c r="AB3066" i="8"/>
  <c r="AB3067" i="8"/>
  <c r="AB3068" i="8"/>
  <c r="AB3069" i="8"/>
  <c r="AB3070" i="8"/>
  <c r="AB3071" i="8"/>
  <c r="AB3072" i="8"/>
  <c r="AB3073" i="8"/>
  <c r="AB3074" i="8"/>
  <c r="AB3075" i="8"/>
  <c r="AB3076" i="8"/>
  <c r="AB3077" i="8"/>
  <c r="AB3078" i="8"/>
  <c r="AB3079" i="8"/>
  <c r="AB3080" i="8"/>
  <c r="AB3081" i="8"/>
  <c r="AB3082" i="8"/>
  <c r="AB3083" i="8"/>
  <c r="AB3084" i="8"/>
  <c r="AB3085" i="8"/>
  <c r="AB3086" i="8"/>
  <c r="AB3087" i="8"/>
  <c r="AB3088" i="8"/>
  <c r="AB3089" i="8"/>
  <c r="AB3090" i="8"/>
  <c r="AB3091" i="8"/>
  <c r="AB3092" i="8"/>
  <c r="AB3093" i="8"/>
  <c r="AB3094" i="8"/>
  <c r="AB3095" i="8"/>
  <c r="AB3096" i="8"/>
  <c r="AB3097" i="8"/>
  <c r="AB3098" i="8"/>
  <c r="AB3099" i="8"/>
  <c r="AB3100" i="8"/>
  <c r="AB3101" i="8"/>
  <c r="AB3102" i="8"/>
  <c r="AB3103" i="8"/>
  <c r="AB3104" i="8"/>
  <c r="AB3105" i="8"/>
  <c r="AB3106" i="8"/>
  <c r="AB3107" i="8"/>
  <c r="AB3108" i="8"/>
  <c r="AB3109" i="8"/>
  <c r="AB3110" i="8"/>
  <c r="AB3111" i="8"/>
  <c r="AB3112" i="8"/>
  <c r="AB3113" i="8"/>
  <c r="AB3114" i="8"/>
  <c r="AB3115" i="8"/>
  <c r="AB3116" i="8"/>
  <c r="AB3117" i="8"/>
  <c r="AB3118" i="8"/>
  <c r="AB3119" i="8"/>
  <c r="AB3120" i="8"/>
  <c r="AB3121" i="8"/>
  <c r="AB3122" i="8"/>
  <c r="AB3123" i="8"/>
  <c r="AB3124" i="8"/>
  <c r="AB3125" i="8"/>
  <c r="AB3126" i="8"/>
  <c r="AB3127" i="8"/>
  <c r="AB3128" i="8"/>
  <c r="AB3129" i="8"/>
  <c r="AB3130" i="8"/>
  <c r="AB3131" i="8"/>
  <c r="AB3132" i="8"/>
  <c r="AB3133" i="8"/>
  <c r="AB3134" i="8"/>
  <c r="AB3135" i="8"/>
  <c r="AB3136" i="8"/>
  <c r="AB3137" i="8"/>
  <c r="AB3138" i="8"/>
  <c r="AB3139" i="8"/>
  <c r="AB3140" i="8"/>
  <c r="AB3141" i="8"/>
  <c r="AB3142" i="8"/>
  <c r="AB3143" i="8"/>
  <c r="AB3144" i="8"/>
  <c r="AB3145" i="8"/>
  <c r="AB3146" i="8"/>
  <c r="AB3147" i="8"/>
  <c r="AB3148" i="8"/>
  <c r="AB3149" i="8"/>
  <c r="AB3150" i="8"/>
  <c r="AB3151" i="8"/>
  <c r="AB3152" i="8"/>
  <c r="AB3153" i="8"/>
  <c r="AB3154" i="8"/>
  <c r="AB3155" i="8"/>
  <c r="AB3156" i="8"/>
  <c r="AB3157" i="8"/>
  <c r="AB3158" i="8"/>
  <c r="AB3159" i="8"/>
  <c r="AB3160" i="8"/>
  <c r="AB3161" i="8"/>
  <c r="Y2731" i="8"/>
  <c r="Y2732" i="8"/>
  <c r="Y2733" i="8"/>
  <c r="Y2734" i="8"/>
  <c r="Y2735" i="8"/>
  <c r="Y2736" i="8"/>
  <c r="Y2737" i="8"/>
  <c r="Y2738" i="8"/>
  <c r="Y2739" i="8"/>
  <c r="Y2740" i="8"/>
  <c r="Y2741" i="8"/>
  <c r="Y2742" i="8"/>
  <c r="Y2743" i="8"/>
  <c r="Y2744" i="8"/>
  <c r="Y2745" i="8"/>
  <c r="Y2746" i="8"/>
  <c r="Y2747" i="8"/>
  <c r="Y2748" i="8"/>
  <c r="Y2749" i="8"/>
  <c r="Y2750" i="8"/>
  <c r="Y2751" i="8"/>
  <c r="Y2752" i="8"/>
  <c r="Y2753" i="8"/>
  <c r="Y2754" i="8"/>
  <c r="Y2755" i="8"/>
  <c r="Y2756" i="8"/>
  <c r="Y2757" i="8"/>
  <c r="Y2758" i="8"/>
  <c r="Y2759" i="8"/>
  <c r="Y2760" i="8"/>
  <c r="Y2761" i="8"/>
  <c r="Y2762" i="8"/>
  <c r="Y2763" i="8"/>
  <c r="Y2764" i="8"/>
  <c r="Y2765" i="8"/>
  <c r="Y2766" i="8"/>
  <c r="Y2767" i="8"/>
  <c r="Y2768" i="8"/>
  <c r="Y2769" i="8"/>
  <c r="Y2770" i="8"/>
  <c r="Y2771" i="8"/>
  <c r="Y2772" i="8"/>
  <c r="Y2773" i="8"/>
  <c r="Y2774" i="8"/>
  <c r="Y2775" i="8"/>
  <c r="Y2776" i="8"/>
  <c r="Y2777" i="8"/>
  <c r="Y2778" i="8"/>
  <c r="Y2779" i="8"/>
  <c r="Y2780" i="8"/>
  <c r="Y2781" i="8"/>
  <c r="Y2782" i="8"/>
  <c r="Y2783" i="8"/>
  <c r="Y2784" i="8"/>
  <c r="Y2785" i="8"/>
  <c r="Y2786" i="8"/>
  <c r="Y2787" i="8"/>
  <c r="Y2788" i="8"/>
  <c r="Y2789" i="8"/>
  <c r="Y2790" i="8"/>
  <c r="Y2791" i="8"/>
  <c r="Y2792" i="8"/>
  <c r="Y2793" i="8"/>
  <c r="Y2794" i="8"/>
  <c r="Y2795" i="8"/>
  <c r="Y2796" i="8"/>
  <c r="Y2797" i="8"/>
  <c r="Y2798" i="8"/>
  <c r="Y2799" i="8"/>
  <c r="Y2800" i="8"/>
  <c r="Y2801" i="8"/>
  <c r="Y2802" i="8"/>
  <c r="Y2803" i="8"/>
  <c r="Y2804" i="8"/>
  <c r="Y2805" i="8"/>
  <c r="Y2806" i="8"/>
  <c r="Y2807" i="8"/>
  <c r="Y2808" i="8"/>
  <c r="Y2809" i="8"/>
  <c r="Y2810" i="8"/>
  <c r="Y2811" i="8"/>
  <c r="Y2812" i="8"/>
  <c r="Y2813" i="8"/>
  <c r="Y2814" i="8"/>
  <c r="Y2815" i="8"/>
  <c r="Y2816" i="8"/>
  <c r="Y2817" i="8"/>
  <c r="Y2818" i="8"/>
  <c r="Y2819" i="8"/>
  <c r="Y2820" i="8"/>
  <c r="Y2821" i="8"/>
  <c r="Y2822" i="8"/>
  <c r="Y2823" i="8"/>
  <c r="Y2824" i="8"/>
  <c r="Y2825" i="8"/>
  <c r="Y2826" i="8"/>
  <c r="Y2827" i="8"/>
  <c r="Y2828" i="8"/>
  <c r="Y2829" i="8"/>
  <c r="Y2830" i="8"/>
  <c r="Y2831" i="8"/>
  <c r="Y2832" i="8"/>
  <c r="Y2833" i="8"/>
  <c r="Y2834" i="8"/>
  <c r="Y2835" i="8"/>
  <c r="Y2836" i="8"/>
  <c r="Y2837" i="8"/>
  <c r="Y2838" i="8"/>
  <c r="Y2839" i="8"/>
  <c r="Y2840" i="8"/>
  <c r="Y2841" i="8"/>
  <c r="Y2842" i="8"/>
  <c r="Y2843" i="8"/>
  <c r="Y2844" i="8"/>
  <c r="Y2845" i="8"/>
  <c r="Y2846" i="8"/>
  <c r="Y2847" i="8"/>
  <c r="Y2848" i="8"/>
  <c r="Y2849" i="8"/>
  <c r="Y2850" i="8"/>
  <c r="Y2851" i="8"/>
  <c r="Y2852" i="8"/>
  <c r="Y2853" i="8"/>
  <c r="Y2854" i="8"/>
  <c r="Y2855" i="8"/>
  <c r="Y2856" i="8"/>
  <c r="Y2857" i="8"/>
  <c r="Y2858" i="8"/>
  <c r="Y2859" i="8"/>
  <c r="Y2860" i="8"/>
  <c r="Y2861" i="8"/>
  <c r="Y2862" i="8"/>
  <c r="Y2863" i="8"/>
  <c r="Y2864" i="8"/>
  <c r="Y2865" i="8"/>
  <c r="Y2866" i="8"/>
  <c r="Y2867" i="8"/>
  <c r="Y2868" i="8"/>
  <c r="Y2869" i="8"/>
  <c r="Y2870" i="8"/>
  <c r="Y2871" i="8"/>
  <c r="Y2872" i="8"/>
  <c r="Y2873" i="8"/>
  <c r="Y2874" i="8"/>
  <c r="Y2875" i="8"/>
  <c r="Y2876" i="8"/>
  <c r="Y2877" i="8"/>
  <c r="Y2878" i="8"/>
  <c r="Y2879" i="8"/>
  <c r="Y2880" i="8"/>
  <c r="Y2881" i="8"/>
  <c r="Y2882" i="8"/>
  <c r="Y2883" i="8"/>
  <c r="Y2884" i="8"/>
  <c r="Y2885" i="8"/>
  <c r="Y2886" i="8"/>
  <c r="Y2887" i="8"/>
  <c r="Y2888" i="8"/>
  <c r="Y2889" i="8"/>
  <c r="Y2890" i="8"/>
  <c r="Y2891" i="8"/>
  <c r="Y2892" i="8"/>
  <c r="Y2893" i="8"/>
  <c r="Y2894" i="8"/>
  <c r="Y2895" i="8"/>
  <c r="Y2896" i="8"/>
  <c r="Y2897" i="8"/>
  <c r="Y2898" i="8"/>
  <c r="Y2899" i="8"/>
  <c r="Y2900" i="8"/>
  <c r="Y2901" i="8"/>
  <c r="Y2902" i="8"/>
  <c r="Y2903" i="8"/>
  <c r="Y2904" i="8"/>
  <c r="Y2905" i="8"/>
  <c r="Y2906" i="8"/>
  <c r="Y2907" i="8"/>
  <c r="Y2908" i="8"/>
  <c r="Y2909" i="8"/>
  <c r="Y2910" i="8"/>
  <c r="Y2911" i="8"/>
  <c r="Y2912" i="8"/>
  <c r="Y2913" i="8"/>
  <c r="Y2914" i="8"/>
  <c r="Y2915" i="8"/>
  <c r="Y2916" i="8"/>
  <c r="Y2917" i="8"/>
  <c r="Y2918" i="8"/>
  <c r="Y2919" i="8"/>
  <c r="Y2920" i="8"/>
  <c r="Y2921" i="8"/>
  <c r="Y2922" i="8"/>
  <c r="Y2923" i="8"/>
  <c r="Y2924" i="8"/>
  <c r="Y2925" i="8"/>
  <c r="Y2926" i="8"/>
  <c r="Y2927" i="8"/>
  <c r="Y2928" i="8"/>
  <c r="Y2929" i="8"/>
  <c r="Y2930" i="8"/>
  <c r="Y2931" i="8"/>
  <c r="Y2932" i="8"/>
  <c r="Y2933" i="8"/>
  <c r="Y2934" i="8"/>
  <c r="Y2935" i="8"/>
  <c r="Y2936" i="8"/>
  <c r="Y2937" i="8"/>
  <c r="Y2938" i="8"/>
  <c r="Y2939" i="8"/>
  <c r="Y2940" i="8"/>
  <c r="Y2941" i="8"/>
  <c r="Y2942" i="8"/>
  <c r="Y2943" i="8"/>
  <c r="Y2944" i="8"/>
  <c r="Y2945" i="8"/>
  <c r="Y2946" i="8"/>
  <c r="Y2947" i="8"/>
  <c r="Y2948" i="8"/>
  <c r="Y2949" i="8"/>
  <c r="Y2950" i="8"/>
  <c r="Y2951" i="8"/>
  <c r="Y2952" i="8"/>
  <c r="Y2953" i="8"/>
  <c r="Y2954" i="8"/>
  <c r="Y2955" i="8"/>
  <c r="Y2956" i="8"/>
  <c r="Y2957" i="8"/>
  <c r="Y2958" i="8"/>
  <c r="Y2959" i="8"/>
  <c r="Y2960" i="8"/>
  <c r="Y2961" i="8"/>
  <c r="Y2962" i="8"/>
  <c r="Y2963" i="8"/>
  <c r="Y2964" i="8"/>
  <c r="Y2965" i="8"/>
  <c r="Y2966" i="8"/>
  <c r="Y2967" i="8"/>
  <c r="Y2968" i="8"/>
  <c r="Y2969" i="8"/>
  <c r="Y2970" i="8"/>
  <c r="Y2971" i="8"/>
  <c r="Y2972" i="8"/>
  <c r="Y2973" i="8"/>
  <c r="Y2974" i="8"/>
  <c r="Y2975" i="8"/>
  <c r="Y2976" i="8"/>
  <c r="Y2977" i="8"/>
  <c r="Y2978" i="8"/>
  <c r="Y2979" i="8"/>
  <c r="Y2980" i="8"/>
  <c r="Y2981" i="8"/>
  <c r="Y2982" i="8"/>
  <c r="Y2983" i="8"/>
  <c r="Y2984" i="8"/>
  <c r="Y2985" i="8"/>
  <c r="Y2986" i="8"/>
  <c r="Y2987" i="8"/>
  <c r="Y2988" i="8"/>
  <c r="Y2989" i="8"/>
  <c r="Y2990" i="8"/>
  <c r="Y2991" i="8"/>
  <c r="Y2992" i="8"/>
  <c r="Y2993" i="8"/>
  <c r="Y2994" i="8"/>
  <c r="Y2995" i="8"/>
  <c r="Y2996" i="8"/>
  <c r="Y2997" i="8"/>
  <c r="Y2998" i="8"/>
  <c r="Y2999" i="8"/>
  <c r="Y3000" i="8"/>
  <c r="Y3001" i="8"/>
  <c r="Y3002" i="8"/>
  <c r="Y3003" i="8"/>
  <c r="Y3004" i="8"/>
  <c r="Y3005" i="8"/>
  <c r="Y3006" i="8"/>
  <c r="Y3007" i="8"/>
  <c r="Y3008" i="8"/>
  <c r="Y3009" i="8"/>
  <c r="Y3010" i="8"/>
  <c r="Y3011" i="8"/>
  <c r="Y3012" i="8"/>
  <c r="Y3013" i="8"/>
  <c r="Y3014" i="8"/>
  <c r="Y3015" i="8"/>
  <c r="Y3016" i="8"/>
  <c r="Y3017" i="8"/>
  <c r="Y3018" i="8"/>
  <c r="Y3019" i="8"/>
  <c r="Y3020" i="8"/>
  <c r="Y3021" i="8"/>
  <c r="Y3022" i="8"/>
  <c r="Y3023" i="8"/>
  <c r="Y3024" i="8"/>
  <c r="Y3025" i="8"/>
  <c r="Y3026" i="8"/>
  <c r="Y3027" i="8"/>
  <c r="Y3028" i="8"/>
  <c r="Y3029" i="8"/>
  <c r="Y3030" i="8"/>
  <c r="Y3031" i="8"/>
  <c r="Y3032" i="8"/>
  <c r="Y3033" i="8"/>
  <c r="Y3034" i="8"/>
  <c r="Y3035" i="8"/>
  <c r="Y3036" i="8"/>
  <c r="Y3037" i="8"/>
  <c r="Y3038" i="8"/>
  <c r="Y3039" i="8"/>
  <c r="Y3040" i="8"/>
  <c r="Y3041" i="8"/>
  <c r="Y3042" i="8"/>
  <c r="Y3043" i="8"/>
  <c r="Y3044" i="8"/>
  <c r="Y3045" i="8"/>
  <c r="Y3046" i="8"/>
  <c r="Y3047" i="8"/>
  <c r="Y3048" i="8"/>
  <c r="Y3049" i="8"/>
  <c r="Y3050" i="8"/>
  <c r="Y3051" i="8"/>
  <c r="Y3052" i="8"/>
  <c r="Y3053" i="8"/>
  <c r="Y3054" i="8"/>
  <c r="Y3055" i="8"/>
  <c r="Y3056" i="8"/>
  <c r="Y3057" i="8"/>
  <c r="Y3058" i="8"/>
  <c r="Y3059" i="8"/>
  <c r="Y3060" i="8"/>
  <c r="Y3061" i="8"/>
  <c r="Y3062" i="8"/>
  <c r="Y3063" i="8"/>
  <c r="Y3064" i="8"/>
  <c r="Y3065" i="8"/>
  <c r="Y3066" i="8"/>
  <c r="Y3067" i="8"/>
  <c r="Y3068" i="8"/>
  <c r="Y3069" i="8"/>
  <c r="Y3070" i="8"/>
  <c r="Y3071" i="8"/>
  <c r="Y3072" i="8"/>
  <c r="Y3073" i="8"/>
  <c r="Y3074" i="8"/>
  <c r="Y3075" i="8"/>
  <c r="Y3076" i="8"/>
  <c r="Y3077" i="8"/>
  <c r="Y3078" i="8"/>
  <c r="Y3079" i="8"/>
  <c r="Y3080" i="8"/>
  <c r="Y3081" i="8"/>
  <c r="Y3082" i="8"/>
  <c r="Y3083" i="8"/>
  <c r="Y3084" i="8"/>
  <c r="Y3085" i="8"/>
  <c r="Y3086" i="8"/>
  <c r="Y3087" i="8"/>
  <c r="Y3088" i="8"/>
  <c r="Y3089" i="8"/>
  <c r="Y3090" i="8"/>
  <c r="Y3091" i="8"/>
  <c r="Y3092" i="8"/>
  <c r="Y3093" i="8"/>
  <c r="Y3094" i="8"/>
  <c r="Y3095" i="8"/>
  <c r="Y3096" i="8"/>
  <c r="Y3097" i="8"/>
  <c r="Y3098" i="8"/>
  <c r="Y3099" i="8"/>
  <c r="Y3100" i="8"/>
  <c r="Y3101" i="8"/>
  <c r="Y3102" i="8"/>
  <c r="Y3103" i="8"/>
  <c r="Y3104" i="8"/>
  <c r="Y3105" i="8"/>
  <c r="Y3106" i="8"/>
  <c r="Y3107" i="8"/>
  <c r="Y3108" i="8"/>
  <c r="Y3109" i="8"/>
  <c r="Y3110" i="8"/>
  <c r="Y3111" i="8"/>
  <c r="Y3112" i="8"/>
  <c r="Y3113" i="8"/>
  <c r="Y3114" i="8"/>
  <c r="Y3115" i="8"/>
  <c r="Y3116" i="8"/>
  <c r="Y3117" i="8"/>
  <c r="Y3118" i="8"/>
  <c r="Y3119" i="8"/>
  <c r="Y3120" i="8"/>
  <c r="Y3121" i="8"/>
  <c r="Y3122" i="8"/>
  <c r="Y3123" i="8"/>
  <c r="Y3124" i="8"/>
  <c r="Y3125" i="8"/>
  <c r="Y3126" i="8"/>
  <c r="Y3127" i="8"/>
  <c r="Y3128" i="8"/>
  <c r="Y3129" i="8"/>
  <c r="Y3130" i="8"/>
  <c r="Y3131" i="8"/>
  <c r="Y3132" i="8"/>
  <c r="Y3133" i="8"/>
  <c r="Y3134" i="8"/>
  <c r="Y3135" i="8"/>
  <c r="Y3136" i="8"/>
  <c r="Y3137" i="8"/>
  <c r="Y3138" i="8"/>
  <c r="Y3139" i="8"/>
  <c r="Y3140" i="8"/>
  <c r="Y3141" i="8"/>
  <c r="Y3142" i="8"/>
  <c r="Y3143" i="8"/>
  <c r="Y3144" i="8"/>
  <c r="Y3145" i="8"/>
  <c r="Y3146" i="8"/>
  <c r="Y3147" i="8"/>
  <c r="Y3148" i="8"/>
  <c r="Y3149" i="8"/>
  <c r="Y3150" i="8"/>
  <c r="Y3151" i="8"/>
  <c r="Y3152" i="8"/>
  <c r="Y3153" i="8"/>
  <c r="Y3154" i="8"/>
  <c r="Y3155" i="8"/>
  <c r="Y3156" i="8"/>
  <c r="Y3157" i="8"/>
  <c r="Y3158" i="8"/>
  <c r="Y3159" i="8"/>
  <c r="Y3160" i="8"/>
  <c r="Y3161" i="8"/>
  <c r="R2728" i="8"/>
  <c r="S2728" i="8"/>
  <c r="AI2728" i="8" s="1"/>
  <c r="T2728" i="8"/>
  <c r="AJ2728" i="8" s="1"/>
  <c r="R2729" i="8"/>
  <c r="S2729" i="8"/>
  <c r="AI2729" i="8" s="1"/>
  <c r="T2729" i="8"/>
  <c r="R2730" i="8"/>
  <c r="S2730" i="8"/>
  <c r="T2730" i="8"/>
  <c r="AJ2730" i="8" s="1"/>
  <c r="R2731" i="8"/>
  <c r="S2731" i="8"/>
  <c r="T2731" i="8"/>
  <c r="R2732" i="8"/>
  <c r="S2732" i="8"/>
  <c r="AI2732" i="8" s="1"/>
  <c r="T2732" i="8"/>
  <c r="AJ2732" i="8" s="1"/>
  <c r="R2733" i="8"/>
  <c r="S2733" i="8"/>
  <c r="AI2733" i="8" s="1"/>
  <c r="T2733" i="8"/>
  <c r="AJ2733" i="8" s="1"/>
  <c r="R2734" i="8"/>
  <c r="S2734" i="8"/>
  <c r="AI2734" i="8" s="1"/>
  <c r="T2734" i="8"/>
  <c r="AJ2734" i="8" s="1"/>
  <c r="R2735" i="8"/>
  <c r="S2735" i="8"/>
  <c r="T2735" i="8"/>
  <c r="R2736" i="8"/>
  <c r="S2736" i="8"/>
  <c r="AI2736" i="8" s="1"/>
  <c r="T2736" i="8"/>
  <c r="AJ2736" i="8" s="1"/>
  <c r="R2737" i="8"/>
  <c r="S2737" i="8"/>
  <c r="AI2737" i="8" s="1"/>
  <c r="T2737" i="8"/>
  <c r="R2738" i="8"/>
  <c r="S2738" i="8"/>
  <c r="T2738" i="8"/>
  <c r="AJ2738" i="8" s="1"/>
  <c r="R2739" i="8"/>
  <c r="S2739" i="8"/>
  <c r="T2739" i="8"/>
  <c r="R2740" i="8"/>
  <c r="S2740" i="8"/>
  <c r="AI2740" i="8" s="1"/>
  <c r="T2740" i="8"/>
  <c r="AJ2740" i="8" s="1"/>
  <c r="R2741" i="8"/>
  <c r="S2741" i="8"/>
  <c r="AI2741" i="8" s="1"/>
  <c r="T2741" i="8"/>
  <c r="AJ2741" i="8" s="1"/>
  <c r="R2742" i="8"/>
  <c r="S2742" i="8"/>
  <c r="AI2742" i="8" s="1"/>
  <c r="T2742" i="8"/>
  <c r="AJ2742" i="8" s="1"/>
  <c r="R2743" i="8"/>
  <c r="S2743" i="8"/>
  <c r="T2743" i="8"/>
  <c r="R2744" i="8"/>
  <c r="S2744" i="8"/>
  <c r="AI2744" i="8" s="1"/>
  <c r="T2744" i="8"/>
  <c r="AJ2744" i="8" s="1"/>
  <c r="R2745" i="8"/>
  <c r="S2745" i="8"/>
  <c r="AI2745" i="8" s="1"/>
  <c r="T2745" i="8"/>
  <c r="R2746" i="8"/>
  <c r="S2746" i="8"/>
  <c r="T2746" i="8"/>
  <c r="AJ2746" i="8" s="1"/>
  <c r="R2747" i="8"/>
  <c r="S2747" i="8"/>
  <c r="T2747" i="8"/>
  <c r="R2748" i="8"/>
  <c r="S2748" i="8"/>
  <c r="AI2748" i="8" s="1"/>
  <c r="T2748" i="8"/>
  <c r="AJ2748" i="8" s="1"/>
  <c r="R2749" i="8"/>
  <c r="S2749" i="8"/>
  <c r="AI2749" i="8" s="1"/>
  <c r="T2749" i="8"/>
  <c r="AJ2749" i="8" s="1"/>
  <c r="R2750" i="8"/>
  <c r="S2750" i="8"/>
  <c r="AI2750" i="8" s="1"/>
  <c r="T2750" i="8"/>
  <c r="AJ2750" i="8" s="1"/>
  <c r="R2751" i="8"/>
  <c r="S2751" i="8"/>
  <c r="T2751" i="8"/>
  <c r="R2752" i="8"/>
  <c r="S2752" i="8"/>
  <c r="AI2752" i="8" s="1"/>
  <c r="T2752" i="8"/>
  <c r="AJ2752" i="8" s="1"/>
  <c r="R2753" i="8"/>
  <c r="S2753" i="8"/>
  <c r="AI2753" i="8" s="1"/>
  <c r="T2753" i="8"/>
  <c r="R2754" i="8"/>
  <c r="S2754" i="8"/>
  <c r="T2754" i="8"/>
  <c r="AJ2754" i="8" s="1"/>
  <c r="R2755" i="8"/>
  <c r="S2755" i="8"/>
  <c r="T2755" i="8"/>
  <c r="R2756" i="8"/>
  <c r="S2756" i="8"/>
  <c r="AI2756" i="8" s="1"/>
  <c r="T2756" i="8"/>
  <c r="AJ2756" i="8" s="1"/>
  <c r="R2757" i="8"/>
  <c r="S2757" i="8"/>
  <c r="AI2757" i="8" s="1"/>
  <c r="T2757" i="8"/>
  <c r="AJ2757" i="8" s="1"/>
  <c r="R2758" i="8"/>
  <c r="S2758" i="8"/>
  <c r="AI2758" i="8" s="1"/>
  <c r="T2758" i="8"/>
  <c r="AJ2758" i="8" s="1"/>
  <c r="R2759" i="8"/>
  <c r="S2759" i="8"/>
  <c r="T2759" i="8"/>
  <c r="R2760" i="8"/>
  <c r="S2760" i="8"/>
  <c r="AI2760" i="8" s="1"/>
  <c r="T2760" i="8"/>
  <c r="AJ2760" i="8" s="1"/>
  <c r="R2761" i="8"/>
  <c r="S2761" i="8"/>
  <c r="AI2761" i="8" s="1"/>
  <c r="T2761" i="8"/>
  <c r="R2762" i="8"/>
  <c r="S2762" i="8"/>
  <c r="T2762" i="8"/>
  <c r="AJ2762" i="8" s="1"/>
  <c r="R2763" i="8"/>
  <c r="S2763" i="8"/>
  <c r="T2763" i="8"/>
  <c r="R2764" i="8"/>
  <c r="S2764" i="8"/>
  <c r="AI2764" i="8" s="1"/>
  <c r="T2764" i="8"/>
  <c r="AJ2764" i="8" s="1"/>
  <c r="R2765" i="8"/>
  <c r="S2765" i="8"/>
  <c r="AI2765" i="8" s="1"/>
  <c r="T2765" i="8"/>
  <c r="AJ2765" i="8" s="1"/>
  <c r="R2766" i="8"/>
  <c r="S2766" i="8"/>
  <c r="AI2766" i="8" s="1"/>
  <c r="T2766" i="8"/>
  <c r="AJ2766" i="8" s="1"/>
  <c r="R2767" i="8"/>
  <c r="S2767" i="8"/>
  <c r="T2767" i="8"/>
  <c r="R2768" i="8"/>
  <c r="S2768" i="8"/>
  <c r="AI2768" i="8" s="1"/>
  <c r="T2768" i="8"/>
  <c r="AJ2768" i="8" s="1"/>
  <c r="R2769" i="8"/>
  <c r="S2769" i="8"/>
  <c r="AI2769" i="8" s="1"/>
  <c r="T2769" i="8"/>
  <c r="R2770" i="8"/>
  <c r="S2770" i="8"/>
  <c r="T2770" i="8"/>
  <c r="AJ2770" i="8" s="1"/>
  <c r="R2771" i="8"/>
  <c r="S2771" i="8"/>
  <c r="T2771" i="8"/>
  <c r="R2772" i="8"/>
  <c r="S2772" i="8"/>
  <c r="AI2772" i="8" s="1"/>
  <c r="T2772" i="8"/>
  <c r="AJ2772" i="8" s="1"/>
  <c r="R2773" i="8"/>
  <c r="S2773" i="8"/>
  <c r="AI2773" i="8" s="1"/>
  <c r="T2773" i="8"/>
  <c r="AJ2773" i="8" s="1"/>
  <c r="R2774" i="8"/>
  <c r="S2774" i="8"/>
  <c r="AI2774" i="8" s="1"/>
  <c r="T2774" i="8"/>
  <c r="AJ2774" i="8" s="1"/>
  <c r="R2775" i="8"/>
  <c r="S2775" i="8"/>
  <c r="T2775" i="8"/>
  <c r="R2776" i="8"/>
  <c r="S2776" i="8"/>
  <c r="AI2776" i="8" s="1"/>
  <c r="T2776" i="8"/>
  <c r="AJ2776" i="8" s="1"/>
  <c r="R2777" i="8"/>
  <c r="S2777" i="8"/>
  <c r="AI2777" i="8" s="1"/>
  <c r="T2777" i="8"/>
  <c r="R2778" i="8"/>
  <c r="S2778" i="8"/>
  <c r="T2778" i="8"/>
  <c r="AJ2778" i="8" s="1"/>
  <c r="R2779" i="8"/>
  <c r="S2779" i="8"/>
  <c r="T2779" i="8"/>
  <c r="R2780" i="8"/>
  <c r="S2780" i="8"/>
  <c r="AI2780" i="8" s="1"/>
  <c r="T2780" i="8"/>
  <c r="AJ2780" i="8" s="1"/>
  <c r="R2781" i="8"/>
  <c r="S2781" i="8"/>
  <c r="AI2781" i="8" s="1"/>
  <c r="T2781" i="8"/>
  <c r="AJ2781" i="8" s="1"/>
  <c r="R2782" i="8"/>
  <c r="S2782" i="8"/>
  <c r="AI2782" i="8" s="1"/>
  <c r="T2782" i="8"/>
  <c r="AJ2782" i="8" s="1"/>
  <c r="R2783" i="8"/>
  <c r="S2783" i="8"/>
  <c r="T2783" i="8"/>
  <c r="R2784" i="8"/>
  <c r="S2784" i="8"/>
  <c r="AI2784" i="8" s="1"/>
  <c r="T2784" i="8"/>
  <c r="AJ2784" i="8" s="1"/>
  <c r="R2785" i="8"/>
  <c r="S2785" i="8"/>
  <c r="AI2785" i="8" s="1"/>
  <c r="T2785" i="8"/>
  <c r="R2786" i="8"/>
  <c r="S2786" i="8"/>
  <c r="T2786" i="8"/>
  <c r="AJ2786" i="8" s="1"/>
  <c r="R2787" i="8"/>
  <c r="S2787" i="8"/>
  <c r="T2787" i="8"/>
  <c r="R2788" i="8"/>
  <c r="S2788" i="8"/>
  <c r="AI2788" i="8" s="1"/>
  <c r="T2788" i="8"/>
  <c r="AJ2788" i="8" s="1"/>
  <c r="R2789" i="8"/>
  <c r="S2789" i="8"/>
  <c r="AI2789" i="8" s="1"/>
  <c r="T2789" i="8"/>
  <c r="AJ2789" i="8" s="1"/>
  <c r="R2790" i="8"/>
  <c r="S2790" i="8"/>
  <c r="AI2790" i="8" s="1"/>
  <c r="T2790" i="8"/>
  <c r="AJ2790" i="8" s="1"/>
  <c r="R2791" i="8"/>
  <c r="S2791" i="8"/>
  <c r="T2791" i="8"/>
  <c r="R2792" i="8"/>
  <c r="S2792" i="8"/>
  <c r="AI2792" i="8" s="1"/>
  <c r="T2792" i="8"/>
  <c r="AJ2792" i="8" s="1"/>
  <c r="R2793" i="8"/>
  <c r="S2793" i="8"/>
  <c r="AI2793" i="8" s="1"/>
  <c r="T2793" i="8"/>
  <c r="R2794" i="8"/>
  <c r="S2794" i="8"/>
  <c r="T2794" i="8"/>
  <c r="AJ2794" i="8" s="1"/>
  <c r="R2795" i="8"/>
  <c r="S2795" i="8"/>
  <c r="T2795" i="8"/>
  <c r="R2796" i="8"/>
  <c r="S2796" i="8"/>
  <c r="AI2796" i="8" s="1"/>
  <c r="T2796" i="8"/>
  <c r="AJ2796" i="8" s="1"/>
  <c r="R2797" i="8"/>
  <c r="S2797" i="8"/>
  <c r="AI2797" i="8" s="1"/>
  <c r="T2797" i="8"/>
  <c r="AJ2797" i="8" s="1"/>
  <c r="R2798" i="8"/>
  <c r="S2798" i="8"/>
  <c r="AI2798" i="8" s="1"/>
  <c r="T2798" i="8"/>
  <c r="AJ2798" i="8" s="1"/>
  <c r="R2799" i="8"/>
  <c r="S2799" i="8"/>
  <c r="T2799" i="8"/>
  <c r="R2800" i="8"/>
  <c r="S2800" i="8"/>
  <c r="AI2800" i="8" s="1"/>
  <c r="T2800" i="8"/>
  <c r="AJ2800" i="8" s="1"/>
  <c r="R2801" i="8"/>
  <c r="S2801" i="8"/>
  <c r="AI2801" i="8" s="1"/>
  <c r="T2801" i="8"/>
  <c r="R2802" i="8"/>
  <c r="S2802" i="8"/>
  <c r="T2802" i="8"/>
  <c r="AJ2802" i="8" s="1"/>
  <c r="R2803" i="8"/>
  <c r="S2803" i="8"/>
  <c r="T2803" i="8"/>
  <c r="R2804" i="8"/>
  <c r="S2804" i="8"/>
  <c r="AI2804" i="8" s="1"/>
  <c r="T2804" i="8"/>
  <c r="AJ2804" i="8" s="1"/>
  <c r="R2805" i="8"/>
  <c r="S2805" i="8"/>
  <c r="AI2805" i="8" s="1"/>
  <c r="T2805" i="8"/>
  <c r="AJ2805" i="8" s="1"/>
  <c r="R2806" i="8"/>
  <c r="S2806" i="8"/>
  <c r="AI2806" i="8" s="1"/>
  <c r="T2806" i="8"/>
  <c r="AJ2806" i="8" s="1"/>
  <c r="R2807" i="8"/>
  <c r="S2807" i="8"/>
  <c r="T2807" i="8"/>
  <c r="R2808" i="8"/>
  <c r="S2808" i="8"/>
  <c r="AI2808" i="8" s="1"/>
  <c r="T2808" i="8"/>
  <c r="AJ2808" i="8" s="1"/>
  <c r="R2809" i="8"/>
  <c r="S2809" i="8"/>
  <c r="AI2809" i="8" s="1"/>
  <c r="T2809" i="8"/>
  <c r="R2810" i="8"/>
  <c r="S2810" i="8"/>
  <c r="T2810" i="8"/>
  <c r="AJ2810" i="8" s="1"/>
  <c r="R2811" i="8"/>
  <c r="S2811" i="8"/>
  <c r="T2811" i="8"/>
  <c r="R2812" i="8"/>
  <c r="S2812" i="8"/>
  <c r="AI2812" i="8" s="1"/>
  <c r="T2812" i="8"/>
  <c r="AJ2812" i="8" s="1"/>
  <c r="R2813" i="8"/>
  <c r="S2813" i="8"/>
  <c r="AI2813" i="8" s="1"/>
  <c r="T2813" i="8"/>
  <c r="AJ2813" i="8" s="1"/>
  <c r="R2814" i="8"/>
  <c r="S2814" i="8"/>
  <c r="AI2814" i="8" s="1"/>
  <c r="T2814" i="8"/>
  <c r="AJ2814" i="8" s="1"/>
  <c r="R2815" i="8"/>
  <c r="S2815" i="8"/>
  <c r="T2815" i="8"/>
  <c r="R2816" i="8"/>
  <c r="S2816" i="8"/>
  <c r="AI2816" i="8" s="1"/>
  <c r="T2816" i="8"/>
  <c r="AJ2816" i="8" s="1"/>
  <c r="R2817" i="8"/>
  <c r="S2817" i="8"/>
  <c r="AI2817" i="8" s="1"/>
  <c r="T2817" i="8"/>
  <c r="R2818" i="8"/>
  <c r="S2818" i="8"/>
  <c r="T2818" i="8"/>
  <c r="AJ2818" i="8" s="1"/>
  <c r="R2819" i="8"/>
  <c r="S2819" i="8"/>
  <c r="T2819" i="8"/>
  <c r="R2820" i="8"/>
  <c r="S2820" i="8"/>
  <c r="AI2820" i="8" s="1"/>
  <c r="T2820" i="8"/>
  <c r="AJ2820" i="8" s="1"/>
  <c r="R2821" i="8"/>
  <c r="S2821" i="8"/>
  <c r="AI2821" i="8" s="1"/>
  <c r="T2821" i="8"/>
  <c r="AJ2821" i="8" s="1"/>
  <c r="R2822" i="8"/>
  <c r="S2822" i="8"/>
  <c r="AI2822" i="8" s="1"/>
  <c r="T2822" i="8"/>
  <c r="AJ2822" i="8" s="1"/>
  <c r="R2823" i="8"/>
  <c r="S2823" i="8"/>
  <c r="T2823" i="8"/>
  <c r="R2824" i="8"/>
  <c r="S2824" i="8"/>
  <c r="AI2824" i="8" s="1"/>
  <c r="T2824" i="8"/>
  <c r="AJ2824" i="8" s="1"/>
  <c r="R2825" i="8"/>
  <c r="S2825" i="8"/>
  <c r="AI2825" i="8" s="1"/>
  <c r="T2825" i="8"/>
  <c r="R2826" i="8"/>
  <c r="S2826" i="8"/>
  <c r="T2826" i="8"/>
  <c r="AJ2826" i="8" s="1"/>
  <c r="R2827" i="8"/>
  <c r="S2827" i="8"/>
  <c r="T2827" i="8"/>
  <c r="R2828" i="8"/>
  <c r="S2828" i="8"/>
  <c r="AI2828" i="8" s="1"/>
  <c r="T2828" i="8"/>
  <c r="AJ2828" i="8" s="1"/>
  <c r="R2829" i="8"/>
  <c r="S2829" i="8"/>
  <c r="AI2829" i="8" s="1"/>
  <c r="T2829" i="8"/>
  <c r="AJ2829" i="8" s="1"/>
  <c r="R2830" i="8"/>
  <c r="S2830" i="8"/>
  <c r="AI2830" i="8" s="1"/>
  <c r="T2830" i="8"/>
  <c r="AJ2830" i="8" s="1"/>
  <c r="R2831" i="8"/>
  <c r="S2831" i="8"/>
  <c r="T2831" i="8"/>
  <c r="R2832" i="8"/>
  <c r="S2832" i="8"/>
  <c r="AI2832" i="8" s="1"/>
  <c r="T2832" i="8"/>
  <c r="AJ2832" i="8" s="1"/>
  <c r="R2833" i="8"/>
  <c r="S2833" i="8"/>
  <c r="AI2833" i="8" s="1"/>
  <c r="T2833" i="8"/>
  <c r="R2834" i="8"/>
  <c r="S2834" i="8"/>
  <c r="T2834" i="8"/>
  <c r="AJ2834" i="8" s="1"/>
  <c r="R2835" i="8"/>
  <c r="S2835" i="8"/>
  <c r="T2835" i="8"/>
  <c r="R2836" i="8"/>
  <c r="S2836" i="8"/>
  <c r="AI2836" i="8" s="1"/>
  <c r="T2836" i="8"/>
  <c r="AJ2836" i="8" s="1"/>
  <c r="R2837" i="8"/>
  <c r="S2837" i="8"/>
  <c r="AI2837" i="8" s="1"/>
  <c r="T2837" i="8"/>
  <c r="AJ2837" i="8" s="1"/>
  <c r="R2838" i="8"/>
  <c r="S2838" i="8"/>
  <c r="AI2838" i="8" s="1"/>
  <c r="T2838" i="8"/>
  <c r="AJ2838" i="8" s="1"/>
  <c r="R2839" i="8"/>
  <c r="S2839" i="8"/>
  <c r="T2839" i="8"/>
  <c r="R2840" i="8"/>
  <c r="S2840" i="8"/>
  <c r="AI2840" i="8" s="1"/>
  <c r="T2840" i="8"/>
  <c r="AJ2840" i="8" s="1"/>
  <c r="R2841" i="8"/>
  <c r="S2841" i="8"/>
  <c r="AI2841" i="8" s="1"/>
  <c r="T2841" i="8"/>
  <c r="R2842" i="8"/>
  <c r="S2842" i="8"/>
  <c r="T2842" i="8"/>
  <c r="AJ2842" i="8" s="1"/>
  <c r="R2843" i="8"/>
  <c r="S2843" i="8"/>
  <c r="T2843" i="8"/>
  <c r="R2844" i="8"/>
  <c r="S2844" i="8"/>
  <c r="AI2844" i="8" s="1"/>
  <c r="T2844" i="8"/>
  <c r="AJ2844" i="8" s="1"/>
  <c r="R2845" i="8"/>
  <c r="S2845" i="8"/>
  <c r="AI2845" i="8" s="1"/>
  <c r="T2845" i="8"/>
  <c r="AJ2845" i="8" s="1"/>
  <c r="R2846" i="8"/>
  <c r="S2846" i="8"/>
  <c r="AI2846" i="8" s="1"/>
  <c r="T2846" i="8"/>
  <c r="AJ2846" i="8" s="1"/>
  <c r="R2847" i="8"/>
  <c r="S2847" i="8"/>
  <c r="T2847" i="8"/>
  <c r="R2848" i="8"/>
  <c r="S2848" i="8"/>
  <c r="AI2848" i="8" s="1"/>
  <c r="T2848" i="8"/>
  <c r="AJ2848" i="8" s="1"/>
  <c r="R2849" i="8"/>
  <c r="S2849" i="8"/>
  <c r="AI2849" i="8" s="1"/>
  <c r="T2849" i="8"/>
  <c r="R2850" i="8"/>
  <c r="S2850" i="8"/>
  <c r="T2850" i="8"/>
  <c r="AJ2850" i="8" s="1"/>
  <c r="R2851" i="8"/>
  <c r="S2851" i="8"/>
  <c r="T2851" i="8"/>
  <c r="R2852" i="8"/>
  <c r="S2852" i="8"/>
  <c r="AI2852" i="8" s="1"/>
  <c r="T2852" i="8"/>
  <c r="AJ2852" i="8" s="1"/>
  <c r="R2853" i="8"/>
  <c r="S2853" i="8"/>
  <c r="AI2853" i="8" s="1"/>
  <c r="T2853" i="8"/>
  <c r="AJ2853" i="8" s="1"/>
  <c r="R2854" i="8"/>
  <c r="S2854" i="8"/>
  <c r="AI2854" i="8" s="1"/>
  <c r="T2854" i="8"/>
  <c r="AJ2854" i="8" s="1"/>
  <c r="R2855" i="8"/>
  <c r="S2855" i="8"/>
  <c r="T2855" i="8"/>
  <c r="R2856" i="8"/>
  <c r="S2856" i="8"/>
  <c r="AI2856" i="8" s="1"/>
  <c r="T2856" i="8"/>
  <c r="AJ2856" i="8" s="1"/>
  <c r="R2857" i="8"/>
  <c r="S2857" i="8"/>
  <c r="AI2857" i="8" s="1"/>
  <c r="T2857" i="8"/>
  <c r="R2858" i="8"/>
  <c r="S2858" i="8"/>
  <c r="T2858" i="8"/>
  <c r="AJ2858" i="8" s="1"/>
  <c r="R2859" i="8"/>
  <c r="S2859" i="8"/>
  <c r="T2859" i="8"/>
  <c r="R2860" i="8"/>
  <c r="S2860" i="8"/>
  <c r="AI2860" i="8" s="1"/>
  <c r="T2860" i="8"/>
  <c r="AJ2860" i="8" s="1"/>
  <c r="R2861" i="8"/>
  <c r="S2861" i="8"/>
  <c r="AI2861" i="8" s="1"/>
  <c r="T2861" i="8"/>
  <c r="AJ2861" i="8" s="1"/>
  <c r="R2862" i="8"/>
  <c r="S2862" i="8"/>
  <c r="AI2862" i="8" s="1"/>
  <c r="T2862" i="8"/>
  <c r="AJ2862" i="8" s="1"/>
  <c r="R2863" i="8"/>
  <c r="S2863" i="8"/>
  <c r="T2863" i="8"/>
  <c r="R2864" i="8"/>
  <c r="S2864" i="8"/>
  <c r="AI2864" i="8" s="1"/>
  <c r="T2864" i="8"/>
  <c r="AJ2864" i="8" s="1"/>
  <c r="R2865" i="8"/>
  <c r="S2865" i="8"/>
  <c r="AI2865" i="8" s="1"/>
  <c r="T2865" i="8"/>
  <c r="R2866" i="8"/>
  <c r="S2866" i="8"/>
  <c r="T2866" i="8"/>
  <c r="AJ2866" i="8" s="1"/>
  <c r="R2867" i="8"/>
  <c r="S2867" i="8"/>
  <c r="T2867" i="8"/>
  <c r="R2868" i="8"/>
  <c r="S2868" i="8"/>
  <c r="AI2868" i="8" s="1"/>
  <c r="T2868" i="8"/>
  <c r="AJ2868" i="8" s="1"/>
  <c r="R2869" i="8"/>
  <c r="S2869" i="8"/>
  <c r="AI2869" i="8" s="1"/>
  <c r="T2869" i="8"/>
  <c r="AJ2869" i="8" s="1"/>
  <c r="R2870" i="8"/>
  <c r="S2870" i="8"/>
  <c r="AI2870" i="8" s="1"/>
  <c r="T2870" i="8"/>
  <c r="AJ2870" i="8" s="1"/>
  <c r="R2871" i="8"/>
  <c r="S2871" i="8"/>
  <c r="T2871" i="8"/>
  <c r="R2872" i="8"/>
  <c r="S2872" i="8"/>
  <c r="AI2872" i="8" s="1"/>
  <c r="T2872" i="8"/>
  <c r="AJ2872" i="8" s="1"/>
  <c r="R2873" i="8"/>
  <c r="S2873" i="8"/>
  <c r="AI2873" i="8" s="1"/>
  <c r="T2873" i="8"/>
  <c r="R2874" i="8"/>
  <c r="S2874" i="8"/>
  <c r="T2874" i="8"/>
  <c r="AJ2874" i="8" s="1"/>
  <c r="R2875" i="8"/>
  <c r="S2875" i="8"/>
  <c r="T2875" i="8"/>
  <c r="R2876" i="8"/>
  <c r="S2876" i="8"/>
  <c r="AI2876" i="8" s="1"/>
  <c r="T2876" i="8"/>
  <c r="AJ2876" i="8" s="1"/>
  <c r="R2877" i="8"/>
  <c r="S2877" i="8"/>
  <c r="AI2877" i="8" s="1"/>
  <c r="T2877" i="8"/>
  <c r="AJ2877" i="8" s="1"/>
  <c r="R2878" i="8"/>
  <c r="S2878" i="8"/>
  <c r="AI2878" i="8" s="1"/>
  <c r="T2878" i="8"/>
  <c r="AJ2878" i="8" s="1"/>
  <c r="R2879" i="8"/>
  <c r="S2879" i="8"/>
  <c r="T2879" i="8"/>
  <c r="R2880" i="8"/>
  <c r="S2880" i="8"/>
  <c r="AI2880" i="8" s="1"/>
  <c r="T2880" i="8"/>
  <c r="AJ2880" i="8" s="1"/>
  <c r="R2881" i="8"/>
  <c r="S2881" i="8"/>
  <c r="AI2881" i="8" s="1"/>
  <c r="T2881" i="8"/>
  <c r="R2882" i="8"/>
  <c r="S2882" i="8"/>
  <c r="T2882" i="8"/>
  <c r="AJ2882" i="8" s="1"/>
  <c r="R2883" i="8"/>
  <c r="S2883" i="8"/>
  <c r="T2883" i="8"/>
  <c r="R2884" i="8"/>
  <c r="S2884" i="8"/>
  <c r="AI2884" i="8" s="1"/>
  <c r="T2884" i="8"/>
  <c r="AJ2884" i="8" s="1"/>
  <c r="R2885" i="8"/>
  <c r="S2885" i="8"/>
  <c r="AI2885" i="8" s="1"/>
  <c r="T2885" i="8"/>
  <c r="AJ2885" i="8" s="1"/>
  <c r="R2886" i="8"/>
  <c r="S2886" i="8"/>
  <c r="AI2886" i="8" s="1"/>
  <c r="T2886" i="8"/>
  <c r="AJ2886" i="8" s="1"/>
  <c r="R2887" i="8"/>
  <c r="S2887" i="8"/>
  <c r="T2887" i="8"/>
  <c r="R2888" i="8"/>
  <c r="S2888" i="8"/>
  <c r="AI2888" i="8" s="1"/>
  <c r="T2888" i="8"/>
  <c r="AJ2888" i="8" s="1"/>
  <c r="R2889" i="8"/>
  <c r="S2889" i="8"/>
  <c r="AI2889" i="8" s="1"/>
  <c r="T2889" i="8"/>
  <c r="R2890" i="8"/>
  <c r="S2890" i="8"/>
  <c r="T2890" i="8"/>
  <c r="AJ2890" i="8" s="1"/>
  <c r="R2891" i="8"/>
  <c r="S2891" i="8"/>
  <c r="T2891" i="8"/>
  <c r="R2892" i="8"/>
  <c r="S2892" i="8"/>
  <c r="AI2892" i="8" s="1"/>
  <c r="T2892" i="8"/>
  <c r="AJ2892" i="8" s="1"/>
  <c r="R2893" i="8"/>
  <c r="S2893" i="8"/>
  <c r="AI2893" i="8" s="1"/>
  <c r="T2893" i="8"/>
  <c r="AJ2893" i="8" s="1"/>
  <c r="R2894" i="8"/>
  <c r="S2894" i="8"/>
  <c r="AI2894" i="8" s="1"/>
  <c r="T2894" i="8"/>
  <c r="AJ2894" i="8" s="1"/>
  <c r="R2895" i="8"/>
  <c r="S2895" i="8"/>
  <c r="T2895" i="8"/>
  <c r="R2896" i="8"/>
  <c r="S2896" i="8"/>
  <c r="AI2896" i="8" s="1"/>
  <c r="T2896" i="8"/>
  <c r="AJ2896" i="8" s="1"/>
  <c r="R2897" i="8"/>
  <c r="S2897" i="8"/>
  <c r="AI2897" i="8" s="1"/>
  <c r="T2897" i="8"/>
  <c r="R2898" i="8"/>
  <c r="S2898" i="8"/>
  <c r="T2898" i="8"/>
  <c r="AJ2898" i="8" s="1"/>
  <c r="R2899" i="8"/>
  <c r="S2899" i="8"/>
  <c r="T2899" i="8"/>
  <c r="R2900" i="8"/>
  <c r="S2900" i="8"/>
  <c r="AI2900" i="8" s="1"/>
  <c r="T2900" i="8"/>
  <c r="AJ2900" i="8" s="1"/>
  <c r="R2901" i="8"/>
  <c r="S2901" i="8"/>
  <c r="AI2901" i="8" s="1"/>
  <c r="T2901" i="8"/>
  <c r="AJ2901" i="8" s="1"/>
  <c r="R2902" i="8"/>
  <c r="S2902" i="8"/>
  <c r="AI2902" i="8" s="1"/>
  <c r="T2902" i="8"/>
  <c r="AJ2902" i="8" s="1"/>
  <c r="R2903" i="8"/>
  <c r="S2903" i="8"/>
  <c r="T2903" i="8"/>
  <c r="R2904" i="8"/>
  <c r="S2904" i="8"/>
  <c r="AI2904" i="8" s="1"/>
  <c r="T2904" i="8"/>
  <c r="AJ2904" i="8" s="1"/>
  <c r="R2905" i="8"/>
  <c r="S2905" i="8"/>
  <c r="AI2905" i="8" s="1"/>
  <c r="T2905" i="8"/>
  <c r="R2906" i="8"/>
  <c r="S2906" i="8"/>
  <c r="T2906" i="8"/>
  <c r="AJ2906" i="8" s="1"/>
  <c r="R2907" i="8"/>
  <c r="S2907" i="8"/>
  <c r="T2907" i="8"/>
  <c r="R2908" i="8"/>
  <c r="S2908" i="8"/>
  <c r="AI2908" i="8" s="1"/>
  <c r="T2908" i="8"/>
  <c r="AJ2908" i="8" s="1"/>
  <c r="R2909" i="8"/>
  <c r="S2909" i="8"/>
  <c r="AI2909" i="8" s="1"/>
  <c r="T2909" i="8"/>
  <c r="AJ2909" i="8" s="1"/>
  <c r="R2910" i="8"/>
  <c r="S2910" i="8"/>
  <c r="AI2910" i="8" s="1"/>
  <c r="T2910" i="8"/>
  <c r="AJ2910" i="8" s="1"/>
  <c r="R2911" i="8"/>
  <c r="S2911" i="8"/>
  <c r="T2911" i="8"/>
  <c r="R2912" i="8"/>
  <c r="S2912" i="8"/>
  <c r="AI2912" i="8" s="1"/>
  <c r="T2912" i="8"/>
  <c r="AJ2912" i="8" s="1"/>
  <c r="R2913" i="8"/>
  <c r="S2913" i="8"/>
  <c r="AI2913" i="8" s="1"/>
  <c r="T2913" i="8"/>
  <c r="R2914" i="8"/>
  <c r="S2914" i="8"/>
  <c r="T2914" i="8"/>
  <c r="AJ2914" i="8" s="1"/>
  <c r="R2915" i="8"/>
  <c r="S2915" i="8"/>
  <c r="T2915" i="8"/>
  <c r="R2916" i="8"/>
  <c r="S2916" i="8"/>
  <c r="AI2916" i="8" s="1"/>
  <c r="T2916" i="8"/>
  <c r="AJ2916" i="8" s="1"/>
  <c r="R2917" i="8"/>
  <c r="S2917" i="8"/>
  <c r="AI2917" i="8" s="1"/>
  <c r="T2917" i="8"/>
  <c r="AJ2917" i="8" s="1"/>
  <c r="R2918" i="8"/>
  <c r="S2918" i="8"/>
  <c r="AI2918" i="8" s="1"/>
  <c r="T2918" i="8"/>
  <c r="AJ2918" i="8" s="1"/>
  <c r="R2919" i="8"/>
  <c r="S2919" i="8"/>
  <c r="T2919" i="8"/>
  <c r="R2920" i="8"/>
  <c r="S2920" i="8"/>
  <c r="AI2920" i="8" s="1"/>
  <c r="T2920" i="8"/>
  <c r="AJ2920" i="8" s="1"/>
  <c r="R2921" i="8"/>
  <c r="S2921" i="8"/>
  <c r="AI2921" i="8" s="1"/>
  <c r="T2921" i="8"/>
  <c r="R2922" i="8"/>
  <c r="S2922" i="8"/>
  <c r="T2922" i="8"/>
  <c r="AJ2922" i="8" s="1"/>
  <c r="R2923" i="8"/>
  <c r="S2923" i="8"/>
  <c r="T2923" i="8"/>
  <c r="R2924" i="8"/>
  <c r="S2924" i="8"/>
  <c r="AI2924" i="8" s="1"/>
  <c r="T2924" i="8"/>
  <c r="AJ2924" i="8" s="1"/>
  <c r="R2925" i="8"/>
  <c r="S2925" i="8"/>
  <c r="AI2925" i="8" s="1"/>
  <c r="T2925" i="8"/>
  <c r="AJ2925" i="8" s="1"/>
  <c r="R2926" i="8"/>
  <c r="S2926" i="8"/>
  <c r="AI2926" i="8" s="1"/>
  <c r="T2926" i="8"/>
  <c r="AJ2926" i="8" s="1"/>
  <c r="R2927" i="8"/>
  <c r="S2927" i="8"/>
  <c r="T2927" i="8"/>
  <c r="R2928" i="8"/>
  <c r="S2928" i="8"/>
  <c r="AI2928" i="8" s="1"/>
  <c r="T2928" i="8"/>
  <c r="AJ2928" i="8" s="1"/>
  <c r="R2929" i="8"/>
  <c r="S2929" i="8"/>
  <c r="AI2929" i="8" s="1"/>
  <c r="T2929" i="8"/>
  <c r="R2930" i="8"/>
  <c r="S2930" i="8"/>
  <c r="T2930" i="8"/>
  <c r="AJ2930" i="8" s="1"/>
  <c r="R2931" i="8"/>
  <c r="S2931" i="8"/>
  <c r="T2931" i="8"/>
  <c r="R2932" i="8"/>
  <c r="S2932" i="8"/>
  <c r="AI2932" i="8" s="1"/>
  <c r="T2932" i="8"/>
  <c r="AJ2932" i="8" s="1"/>
  <c r="R2933" i="8"/>
  <c r="S2933" i="8"/>
  <c r="AI2933" i="8" s="1"/>
  <c r="T2933" i="8"/>
  <c r="AJ2933" i="8" s="1"/>
  <c r="R2934" i="8"/>
  <c r="S2934" i="8"/>
  <c r="AI2934" i="8" s="1"/>
  <c r="T2934" i="8"/>
  <c r="AJ2934" i="8" s="1"/>
  <c r="R2935" i="8"/>
  <c r="S2935" i="8"/>
  <c r="T2935" i="8"/>
  <c r="R2936" i="8"/>
  <c r="S2936" i="8"/>
  <c r="AI2936" i="8" s="1"/>
  <c r="T2936" i="8"/>
  <c r="AJ2936" i="8" s="1"/>
  <c r="R2937" i="8"/>
  <c r="S2937" i="8"/>
  <c r="AI2937" i="8" s="1"/>
  <c r="T2937" i="8"/>
  <c r="R2938" i="8"/>
  <c r="S2938" i="8"/>
  <c r="T2938" i="8"/>
  <c r="AJ2938" i="8" s="1"/>
  <c r="R2939" i="8"/>
  <c r="S2939" i="8"/>
  <c r="T2939" i="8"/>
  <c r="R2940" i="8"/>
  <c r="S2940" i="8"/>
  <c r="AI2940" i="8" s="1"/>
  <c r="T2940" i="8"/>
  <c r="AJ2940" i="8" s="1"/>
  <c r="R2941" i="8"/>
  <c r="S2941" i="8"/>
  <c r="AI2941" i="8" s="1"/>
  <c r="T2941" i="8"/>
  <c r="AJ2941" i="8" s="1"/>
  <c r="R2942" i="8"/>
  <c r="S2942" i="8"/>
  <c r="AI2942" i="8" s="1"/>
  <c r="T2942" i="8"/>
  <c r="AJ2942" i="8" s="1"/>
  <c r="R2943" i="8"/>
  <c r="S2943" i="8"/>
  <c r="T2943" i="8"/>
  <c r="R2944" i="8"/>
  <c r="S2944" i="8"/>
  <c r="AI2944" i="8" s="1"/>
  <c r="T2944" i="8"/>
  <c r="AJ2944" i="8" s="1"/>
  <c r="R2945" i="8"/>
  <c r="S2945" i="8"/>
  <c r="AI2945" i="8" s="1"/>
  <c r="T2945" i="8"/>
  <c r="R2946" i="8"/>
  <c r="S2946" i="8"/>
  <c r="T2946" i="8"/>
  <c r="AJ2946" i="8" s="1"/>
  <c r="R2947" i="8"/>
  <c r="S2947" i="8"/>
  <c r="T2947" i="8"/>
  <c r="R2948" i="8"/>
  <c r="S2948" i="8"/>
  <c r="AI2948" i="8" s="1"/>
  <c r="T2948" i="8"/>
  <c r="AJ2948" i="8" s="1"/>
  <c r="R2949" i="8"/>
  <c r="S2949" i="8"/>
  <c r="AI2949" i="8" s="1"/>
  <c r="T2949" i="8"/>
  <c r="AJ2949" i="8" s="1"/>
  <c r="R2950" i="8"/>
  <c r="S2950" i="8"/>
  <c r="AI2950" i="8" s="1"/>
  <c r="T2950" i="8"/>
  <c r="AJ2950" i="8" s="1"/>
  <c r="R2951" i="8"/>
  <c r="S2951" i="8"/>
  <c r="T2951" i="8"/>
  <c r="R2952" i="8"/>
  <c r="S2952" i="8"/>
  <c r="AI2952" i="8" s="1"/>
  <c r="T2952" i="8"/>
  <c r="AJ2952" i="8" s="1"/>
  <c r="R2953" i="8"/>
  <c r="S2953" i="8"/>
  <c r="AI2953" i="8" s="1"/>
  <c r="T2953" i="8"/>
  <c r="R2954" i="8"/>
  <c r="S2954" i="8"/>
  <c r="T2954" i="8"/>
  <c r="AJ2954" i="8" s="1"/>
  <c r="R2955" i="8"/>
  <c r="S2955" i="8"/>
  <c r="T2955" i="8"/>
  <c r="R2956" i="8"/>
  <c r="S2956" i="8"/>
  <c r="AI2956" i="8" s="1"/>
  <c r="T2956" i="8"/>
  <c r="AJ2956" i="8" s="1"/>
  <c r="R2957" i="8"/>
  <c r="S2957" i="8"/>
  <c r="AI2957" i="8" s="1"/>
  <c r="T2957" i="8"/>
  <c r="AJ2957" i="8" s="1"/>
  <c r="R2958" i="8"/>
  <c r="S2958" i="8"/>
  <c r="AI2958" i="8" s="1"/>
  <c r="T2958" i="8"/>
  <c r="AJ2958" i="8" s="1"/>
  <c r="R2959" i="8"/>
  <c r="S2959" i="8"/>
  <c r="T2959" i="8"/>
  <c r="R2960" i="8"/>
  <c r="S2960" i="8"/>
  <c r="AI2960" i="8" s="1"/>
  <c r="T2960" i="8"/>
  <c r="AJ2960" i="8" s="1"/>
  <c r="R2961" i="8"/>
  <c r="S2961" i="8"/>
  <c r="AI2961" i="8" s="1"/>
  <c r="T2961" i="8"/>
  <c r="R2962" i="8"/>
  <c r="S2962" i="8"/>
  <c r="T2962" i="8"/>
  <c r="AJ2962" i="8" s="1"/>
  <c r="R2963" i="8"/>
  <c r="S2963" i="8"/>
  <c r="T2963" i="8"/>
  <c r="R2964" i="8"/>
  <c r="S2964" i="8"/>
  <c r="AI2964" i="8" s="1"/>
  <c r="T2964" i="8"/>
  <c r="AJ2964" i="8" s="1"/>
  <c r="R2965" i="8"/>
  <c r="S2965" i="8"/>
  <c r="AI2965" i="8" s="1"/>
  <c r="T2965" i="8"/>
  <c r="AJ2965" i="8" s="1"/>
  <c r="R2966" i="8"/>
  <c r="S2966" i="8"/>
  <c r="AI2966" i="8" s="1"/>
  <c r="T2966" i="8"/>
  <c r="AJ2966" i="8" s="1"/>
  <c r="R2967" i="8"/>
  <c r="S2967" i="8"/>
  <c r="T2967" i="8"/>
  <c r="R2968" i="8"/>
  <c r="S2968" i="8"/>
  <c r="AI2968" i="8" s="1"/>
  <c r="T2968" i="8"/>
  <c r="AJ2968" i="8" s="1"/>
  <c r="R2969" i="8"/>
  <c r="S2969" i="8"/>
  <c r="AI2969" i="8" s="1"/>
  <c r="T2969" i="8"/>
  <c r="R2970" i="8"/>
  <c r="S2970" i="8"/>
  <c r="T2970" i="8"/>
  <c r="AJ2970" i="8" s="1"/>
  <c r="R2971" i="8"/>
  <c r="S2971" i="8"/>
  <c r="T2971" i="8"/>
  <c r="R2972" i="8"/>
  <c r="S2972" i="8"/>
  <c r="AI2972" i="8" s="1"/>
  <c r="T2972" i="8"/>
  <c r="AJ2972" i="8" s="1"/>
  <c r="R2973" i="8"/>
  <c r="S2973" i="8"/>
  <c r="AI2973" i="8" s="1"/>
  <c r="T2973" i="8"/>
  <c r="AJ2973" i="8" s="1"/>
  <c r="R2974" i="8"/>
  <c r="S2974" i="8"/>
  <c r="AI2974" i="8" s="1"/>
  <c r="T2974" i="8"/>
  <c r="AJ2974" i="8" s="1"/>
  <c r="R2975" i="8"/>
  <c r="S2975" i="8"/>
  <c r="T2975" i="8"/>
  <c r="R2976" i="8"/>
  <c r="S2976" i="8"/>
  <c r="AI2976" i="8" s="1"/>
  <c r="T2976" i="8"/>
  <c r="AJ2976" i="8" s="1"/>
  <c r="R2977" i="8"/>
  <c r="S2977" i="8"/>
  <c r="AI2977" i="8" s="1"/>
  <c r="T2977" i="8"/>
  <c r="R2978" i="8"/>
  <c r="S2978" i="8"/>
  <c r="T2978" i="8"/>
  <c r="AJ2978" i="8" s="1"/>
  <c r="R2979" i="8"/>
  <c r="S2979" i="8"/>
  <c r="T2979" i="8"/>
  <c r="R2980" i="8"/>
  <c r="S2980" i="8"/>
  <c r="AI2980" i="8" s="1"/>
  <c r="T2980" i="8"/>
  <c r="AJ2980" i="8" s="1"/>
  <c r="R2981" i="8"/>
  <c r="S2981" i="8"/>
  <c r="AI2981" i="8" s="1"/>
  <c r="T2981" i="8"/>
  <c r="AJ2981" i="8" s="1"/>
  <c r="R2982" i="8"/>
  <c r="S2982" i="8"/>
  <c r="AI2982" i="8" s="1"/>
  <c r="T2982" i="8"/>
  <c r="AJ2982" i="8" s="1"/>
  <c r="R2983" i="8"/>
  <c r="S2983" i="8"/>
  <c r="T2983" i="8"/>
  <c r="R2984" i="8"/>
  <c r="S2984" i="8"/>
  <c r="AI2984" i="8" s="1"/>
  <c r="T2984" i="8"/>
  <c r="AJ2984" i="8" s="1"/>
  <c r="R2985" i="8"/>
  <c r="S2985" i="8"/>
  <c r="AI2985" i="8" s="1"/>
  <c r="T2985" i="8"/>
  <c r="R2986" i="8"/>
  <c r="S2986" i="8"/>
  <c r="T2986" i="8"/>
  <c r="AJ2986" i="8" s="1"/>
  <c r="R2987" i="8"/>
  <c r="S2987" i="8"/>
  <c r="T2987" i="8"/>
  <c r="R2988" i="8"/>
  <c r="S2988" i="8"/>
  <c r="AI2988" i="8" s="1"/>
  <c r="T2988" i="8"/>
  <c r="AJ2988" i="8" s="1"/>
  <c r="R2989" i="8"/>
  <c r="S2989" i="8"/>
  <c r="AI2989" i="8" s="1"/>
  <c r="T2989" i="8"/>
  <c r="AJ2989" i="8" s="1"/>
  <c r="R2990" i="8"/>
  <c r="S2990" i="8"/>
  <c r="AI2990" i="8" s="1"/>
  <c r="T2990" i="8"/>
  <c r="AJ2990" i="8" s="1"/>
  <c r="R2991" i="8"/>
  <c r="S2991" i="8"/>
  <c r="T2991" i="8"/>
  <c r="R2992" i="8"/>
  <c r="S2992" i="8"/>
  <c r="AI2992" i="8" s="1"/>
  <c r="T2992" i="8"/>
  <c r="AJ2992" i="8" s="1"/>
  <c r="R2993" i="8"/>
  <c r="S2993" i="8"/>
  <c r="AI2993" i="8" s="1"/>
  <c r="T2993" i="8"/>
  <c r="R2994" i="8"/>
  <c r="S2994" i="8"/>
  <c r="T2994" i="8"/>
  <c r="AJ2994" i="8" s="1"/>
  <c r="R2995" i="8"/>
  <c r="S2995" i="8"/>
  <c r="T2995" i="8"/>
  <c r="R2996" i="8"/>
  <c r="S2996" i="8"/>
  <c r="AI2996" i="8" s="1"/>
  <c r="T2996" i="8"/>
  <c r="AJ2996" i="8" s="1"/>
  <c r="R2997" i="8"/>
  <c r="S2997" i="8"/>
  <c r="AI2997" i="8" s="1"/>
  <c r="T2997" i="8"/>
  <c r="AJ2997" i="8" s="1"/>
  <c r="R2998" i="8"/>
  <c r="S2998" i="8"/>
  <c r="AI2998" i="8" s="1"/>
  <c r="T2998" i="8"/>
  <c r="AJ2998" i="8" s="1"/>
  <c r="R2999" i="8"/>
  <c r="S2999" i="8"/>
  <c r="T2999" i="8"/>
  <c r="R3000" i="8"/>
  <c r="S3000" i="8"/>
  <c r="AI3000" i="8" s="1"/>
  <c r="T3000" i="8"/>
  <c r="AJ3000" i="8" s="1"/>
  <c r="R3001" i="8"/>
  <c r="S3001" i="8"/>
  <c r="AI3001" i="8" s="1"/>
  <c r="T3001" i="8"/>
  <c r="R3002" i="8"/>
  <c r="S3002" i="8"/>
  <c r="T3002" i="8"/>
  <c r="AJ3002" i="8" s="1"/>
  <c r="R3003" i="8"/>
  <c r="S3003" i="8"/>
  <c r="T3003" i="8"/>
  <c r="R3004" i="8"/>
  <c r="S3004" i="8"/>
  <c r="AI3004" i="8" s="1"/>
  <c r="T3004" i="8"/>
  <c r="AJ3004" i="8" s="1"/>
  <c r="R3005" i="8"/>
  <c r="S3005" i="8"/>
  <c r="AI3005" i="8" s="1"/>
  <c r="T3005" i="8"/>
  <c r="AJ3005" i="8" s="1"/>
  <c r="R3006" i="8"/>
  <c r="S3006" i="8"/>
  <c r="AI3006" i="8" s="1"/>
  <c r="T3006" i="8"/>
  <c r="AJ3006" i="8" s="1"/>
  <c r="R3007" i="8"/>
  <c r="S3007" i="8"/>
  <c r="T3007" i="8"/>
  <c r="R3008" i="8"/>
  <c r="S3008" i="8"/>
  <c r="AI3008" i="8" s="1"/>
  <c r="T3008" i="8"/>
  <c r="AJ3008" i="8" s="1"/>
  <c r="R3009" i="8"/>
  <c r="S3009" i="8"/>
  <c r="AI3009" i="8" s="1"/>
  <c r="T3009" i="8"/>
  <c r="R3010" i="8"/>
  <c r="S3010" i="8"/>
  <c r="T3010" i="8"/>
  <c r="AJ3010" i="8" s="1"/>
  <c r="R3011" i="8"/>
  <c r="S3011" i="8"/>
  <c r="T3011" i="8"/>
  <c r="R3012" i="8"/>
  <c r="S3012" i="8"/>
  <c r="AI3012" i="8" s="1"/>
  <c r="T3012" i="8"/>
  <c r="AJ3012" i="8" s="1"/>
  <c r="R3013" i="8"/>
  <c r="S3013" i="8"/>
  <c r="AI3013" i="8" s="1"/>
  <c r="T3013" i="8"/>
  <c r="AJ3013" i="8" s="1"/>
  <c r="R3014" i="8"/>
  <c r="S3014" i="8"/>
  <c r="AI3014" i="8" s="1"/>
  <c r="T3014" i="8"/>
  <c r="AJ3014" i="8" s="1"/>
  <c r="R3015" i="8"/>
  <c r="S3015" i="8"/>
  <c r="T3015" i="8"/>
  <c r="R3016" i="8"/>
  <c r="S3016" i="8"/>
  <c r="AI3016" i="8" s="1"/>
  <c r="T3016" i="8"/>
  <c r="AJ3016" i="8" s="1"/>
  <c r="R3017" i="8"/>
  <c r="S3017" i="8"/>
  <c r="AI3017" i="8" s="1"/>
  <c r="T3017" i="8"/>
  <c r="R3018" i="8"/>
  <c r="S3018" i="8"/>
  <c r="T3018" i="8"/>
  <c r="AJ3018" i="8" s="1"/>
  <c r="R3019" i="8"/>
  <c r="S3019" i="8"/>
  <c r="T3019" i="8"/>
  <c r="R3020" i="8"/>
  <c r="S3020" i="8"/>
  <c r="AI3020" i="8" s="1"/>
  <c r="T3020" i="8"/>
  <c r="AJ3020" i="8" s="1"/>
  <c r="R3021" i="8"/>
  <c r="S3021" i="8"/>
  <c r="AI3021" i="8" s="1"/>
  <c r="T3021" i="8"/>
  <c r="AJ3021" i="8" s="1"/>
  <c r="R3022" i="8"/>
  <c r="S3022" i="8"/>
  <c r="AI3022" i="8" s="1"/>
  <c r="T3022" i="8"/>
  <c r="AJ3022" i="8" s="1"/>
  <c r="R3023" i="8"/>
  <c r="S3023" i="8"/>
  <c r="T3023" i="8"/>
  <c r="R3024" i="8"/>
  <c r="S3024" i="8"/>
  <c r="AI3024" i="8" s="1"/>
  <c r="T3024" i="8"/>
  <c r="AJ3024" i="8" s="1"/>
  <c r="R3025" i="8"/>
  <c r="S3025" i="8"/>
  <c r="AI3025" i="8" s="1"/>
  <c r="T3025" i="8"/>
  <c r="R3026" i="8"/>
  <c r="S3026" i="8"/>
  <c r="T3026" i="8"/>
  <c r="AJ3026" i="8" s="1"/>
  <c r="R3027" i="8"/>
  <c r="S3027" i="8"/>
  <c r="T3027" i="8"/>
  <c r="R3028" i="8"/>
  <c r="S3028" i="8"/>
  <c r="AI3028" i="8" s="1"/>
  <c r="T3028" i="8"/>
  <c r="AJ3028" i="8" s="1"/>
  <c r="R3029" i="8"/>
  <c r="S3029" i="8"/>
  <c r="AI3029" i="8" s="1"/>
  <c r="T3029" i="8"/>
  <c r="AJ3029" i="8" s="1"/>
  <c r="R3030" i="8"/>
  <c r="S3030" i="8"/>
  <c r="AI3030" i="8" s="1"/>
  <c r="T3030" i="8"/>
  <c r="AJ3030" i="8" s="1"/>
  <c r="R3031" i="8"/>
  <c r="S3031" i="8"/>
  <c r="T3031" i="8"/>
  <c r="R3032" i="8"/>
  <c r="S3032" i="8"/>
  <c r="AI3032" i="8" s="1"/>
  <c r="T3032" i="8"/>
  <c r="AJ3032" i="8" s="1"/>
  <c r="R3033" i="8"/>
  <c r="S3033" i="8"/>
  <c r="AI3033" i="8" s="1"/>
  <c r="T3033" i="8"/>
  <c r="R3034" i="8"/>
  <c r="S3034" i="8"/>
  <c r="T3034" i="8"/>
  <c r="AJ3034" i="8" s="1"/>
  <c r="R3035" i="8"/>
  <c r="S3035" i="8"/>
  <c r="T3035" i="8"/>
  <c r="R3036" i="8"/>
  <c r="S3036" i="8"/>
  <c r="AI3036" i="8" s="1"/>
  <c r="T3036" i="8"/>
  <c r="AJ3036" i="8" s="1"/>
  <c r="R3037" i="8"/>
  <c r="S3037" i="8"/>
  <c r="AI3037" i="8" s="1"/>
  <c r="T3037" i="8"/>
  <c r="AJ3037" i="8" s="1"/>
  <c r="R3038" i="8"/>
  <c r="S3038" i="8"/>
  <c r="AI3038" i="8" s="1"/>
  <c r="T3038" i="8"/>
  <c r="AJ3038" i="8" s="1"/>
  <c r="R3039" i="8"/>
  <c r="S3039" i="8"/>
  <c r="T3039" i="8"/>
  <c r="R3040" i="8"/>
  <c r="S3040" i="8"/>
  <c r="AI3040" i="8" s="1"/>
  <c r="T3040" i="8"/>
  <c r="AJ3040" i="8" s="1"/>
  <c r="R3041" i="8"/>
  <c r="S3041" i="8"/>
  <c r="AI3041" i="8" s="1"/>
  <c r="T3041" i="8"/>
  <c r="R3042" i="8"/>
  <c r="S3042" i="8"/>
  <c r="T3042" i="8"/>
  <c r="AJ3042" i="8" s="1"/>
  <c r="R3043" i="8"/>
  <c r="S3043" i="8"/>
  <c r="T3043" i="8"/>
  <c r="R3044" i="8"/>
  <c r="S3044" i="8"/>
  <c r="AI3044" i="8" s="1"/>
  <c r="T3044" i="8"/>
  <c r="AJ3044" i="8" s="1"/>
  <c r="R3045" i="8"/>
  <c r="S3045" i="8"/>
  <c r="AI3045" i="8" s="1"/>
  <c r="T3045" i="8"/>
  <c r="AJ3045" i="8" s="1"/>
  <c r="R3046" i="8"/>
  <c r="S3046" i="8"/>
  <c r="AI3046" i="8" s="1"/>
  <c r="T3046" i="8"/>
  <c r="AJ3046" i="8" s="1"/>
  <c r="R3047" i="8"/>
  <c r="S3047" i="8"/>
  <c r="T3047" i="8"/>
  <c r="R3048" i="8"/>
  <c r="S3048" i="8"/>
  <c r="AI3048" i="8" s="1"/>
  <c r="T3048" i="8"/>
  <c r="AJ3048" i="8" s="1"/>
  <c r="R3049" i="8"/>
  <c r="S3049" i="8"/>
  <c r="AI3049" i="8" s="1"/>
  <c r="T3049" i="8"/>
  <c r="R3050" i="8"/>
  <c r="S3050" i="8"/>
  <c r="T3050" i="8"/>
  <c r="AJ3050" i="8" s="1"/>
  <c r="R3051" i="8"/>
  <c r="S3051" i="8"/>
  <c r="T3051" i="8"/>
  <c r="R3052" i="8"/>
  <c r="S3052" i="8"/>
  <c r="AI3052" i="8" s="1"/>
  <c r="T3052" i="8"/>
  <c r="AJ3052" i="8" s="1"/>
  <c r="R3053" i="8"/>
  <c r="S3053" i="8"/>
  <c r="AI3053" i="8" s="1"/>
  <c r="T3053" i="8"/>
  <c r="AJ3053" i="8" s="1"/>
  <c r="R3054" i="8"/>
  <c r="S3054" i="8"/>
  <c r="AI3054" i="8" s="1"/>
  <c r="T3054" i="8"/>
  <c r="AJ3054" i="8" s="1"/>
  <c r="R3055" i="8"/>
  <c r="S3055" i="8"/>
  <c r="T3055" i="8"/>
  <c r="R3056" i="8"/>
  <c r="S3056" i="8"/>
  <c r="AI3056" i="8" s="1"/>
  <c r="T3056" i="8"/>
  <c r="AJ3056" i="8" s="1"/>
  <c r="R3057" i="8"/>
  <c r="S3057" i="8"/>
  <c r="AI3057" i="8" s="1"/>
  <c r="T3057" i="8"/>
  <c r="R3058" i="8"/>
  <c r="S3058" i="8"/>
  <c r="T3058" i="8"/>
  <c r="AJ3058" i="8" s="1"/>
  <c r="R3059" i="8"/>
  <c r="S3059" i="8"/>
  <c r="T3059" i="8"/>
  <c r="R3060" i="8"/>
  <c r="S3060" i="8"/>
  <c r="AI3060" i="8" s="1"/>
  <c r="T3060" i="8"/>
  <c r="AJ3060" i="8" s="1"/>
  <c r="R3061" i="8"/>
  <c r="S3061" i="8"/>
  <c r="AI3061" i="8" s="1"/>
  <c r="T3061" i="8"/>
  <c r="AJ3061" i="8" s="1"/>
  <c r="R3062" i="8"/>
  <c r="S3062" i="8"/>
  <c r="AI3062" i="8" s="1"/>
  <c r="T3062" i="8"/>
  <c r="AJ3062" i="8" s="1"/>
  <c r="R3063" i="8"/>
  <c r="S3063" i="8"/>
  <c r="T3063" i="8"/>
  <c r="R3064" i="8"/>
  <c r="S3064" i="8"/>
  <c r="AI3064" i="8" s="1"/>
  <c r="T3064" i="8"/>
  <c r="AJ3064" i="8" s="1"/>
  <c r="R3065" i="8"/>
  <c r="S3065" i="8"/>
  <c r="AI3065" i="8" s="1"/>
  <c r="T3065" i="8"/>
  <c r="R3066" i="8"/>
  <c r="S3066" i="8"/>
  <c r="T3066" i="8"/>
  <c r="AJ3066" i="8" s="1"/>
  <c r="R3067" i="8"/>
  <c r="S3067" i="8"/>
  <c r="T3067" i="8"/>
  <c r="R3068" i="8"/>
  <c r="S3068" i="8"/>
  <c r="AI3068" i="8" s="1"/>
  <c r="T3068" i="8"/>
  <c r="AJ3068" i="8" s="1"/>
  <c r="R3069" i="8"/>
  <c r="S3069" i="8"/>
  <c r="AI3069" i="8" s="1"/>
  <c r="T3069" i="8"/>
  <c r="AJ3069" i="8" s="1"/>
  <c r="R3070" i="8"/>
  <c r="S3070" i="8"/>
  <c r="AI3070" i="8" s="1"/>
  <c r="T3070" i="8"/>
  <c r="AJ3070" i="8" s="1"/>
  <c r="R3071" i="8"/>
  <c r="S3071" i="8"/>
  <c r="T3071" i="8"/>
  <c r="R3072" i="8"/>
  <c r="S3072" i="8"/>
  <c r="AI3072" i="8" s="1"/>
  <c r="T3072" i="8"/>
  <c r="AJ3072" i="8" s="1"/>
  <c r="R3073" i="8"/>
  <c r="S3073" i="8"/>
  <c r="AI3073" i="8" s="1"/>
  <c r="T3073" i="8"/>
  <c r="R3074" i="8"/>
  <c r="S3074" i="8"/>
  <c r="T3074" i="8"/>
  <c r="AJ3074" i="8" s="1"/>
  <c r="R3075" i="8"/>
  <c r="S3075" i="8"/>
  <c r="T3075" i="8"/>
  <c r="R3076" i="8"/>
  <c r="S3076" i="8"/>
  <c r="AI3076" i="8" s="1"/>
  <c r="T3076" i="8"/>
  <c r="AJ3076" i="8" s="1"/>
  <c r="R3077" i="8"/>
  <c r="S3077" i="8"/>
  <c r="AI3077" i="8" s="1"/>
  <c r="T3077" i="8"/>
  <c r="AJ3077" i="8" s="1"/>
  <c r="R3078" i="8"/>
  <c r="S3078" i="8"/>
  <c r="AI3078" i="8" s="1"/>
  <c r="T3078" i="8"/>
  <c r="AJ3078" i="8" s="1"/>
  <c r="R3079" i="8"/>
  <c r="S3079" i="8"/>
  <c r="T3079" i="8"/>
  <c r="R3080" i="8"/>
  <c r="S3080" i="8"/>
  <c r="AI3080" i="8" s="1"/>
  <c r="T3080" i="8"/>
  <c r="AJ3080" i="8" s="1"/>
  <c r="R3081" i="8"/>
  <c r="S3081" i="8"/>
  <c r="AI3081" i="8" s="1"/>
  <c r="T3081" i="8"/>
  <c r="R3082" i="8"/>
  <c r="S3082" i="8"/>
  <c r="T3082" i="8"/>
  <c r="AJ3082" i="8" s="1"/>
  <c r="R3083" i="8"/>
  <c r="S3083" i="8"/>
  <c r="T3083" i="8"/>
  <c r="R3084" i="8"/>
  <c r="S3084" i="8"/>
  <c r="AI3084" i="8" s="1"/>
  <c r="T3084" i="8"/>
  <c r="AJ3084" i="8" s="1"/>
  <c r="R3085" i="8"/>
  <c r="S3085" i="8"/>
  <c r="AI3085" i="8" s="1"/>
  <c r="T3085" i="8"/>
  <c r="AJ3085" i="8" s="1"/>
  <c r="R3086" i="8"/>
  <c r="S3086" i="8"/>
  <c r="AI3086" i="8" s="1"/>
  <c r="T3086" i="8"/>
  <c r="AJ3086" i="8" s="1"/>
  <c r="R3087" i="8"/>
  <c r="S3087" i="8"/>
  <c r="T3087" i="8"/>
  <c r="R3088" i="8"/>
  <c r="S3088" i="8"/>
  <c r="AI3088" i="8" s="1"/>
  <c r="T3088" i="8"/>
  <c r="AJ3088" i="8" s="1"/>
  <c r="R3089" i="8"/>
  <c r="S3089" i="8"/>
  <c r="AI3089" i="8" s="1"/>
  <c r="T3089" i="8"/>
  <c r="R3090" i="8"/>
  <c r="S3090" i="8"/>
  <c r="T3090" i="8"/>
  <c r="AJ3090" i="8" s="1"/>
  <c r="R3091" i="8"/>
  <c r="S3091" i="8"/>
  <c r="T3091" i="8"/>
  <c r="R3092" i="8"/>
  <c r="S3092" i="8"/>
  <c r="AI3092" i="8" s="1"/>
  <c r="T3092" i="8"/>
  <c r="AJ3092" i="8" s="1"/>
  <c r="R3093" i="8"/>
  <c r="S3093" i="8"/>
  <c r="AI3093" i="8" s="1"/>
  <c r="T3093" i="8"/>
  <c r="AJ3093" i="8" s="1"/>
  <c r="R3094" i="8"/>
  <c r="S3094" i="8"/>
  <c r="AI3094" i="8" s="1"/>
  <c r="T3094" i="8"/>
  <c r="AJ3094" i="8" s="1"/>
  <c r="R3095" i="8"/>
  <c r="S3095" i="8"/>
  <c r="T3095" i="8"/>
  <c r="R3096" i="8"/>
  <c r="S3096" i="8"/>
  <c r="AI3096" i="8" s="1"/>
  <c r="T3096" i="8"/>
  <c r="AJ3096" i="8" s="1"/>
  <c r="R3097" i="8"/>
  <c r="S3097" i="8"/>
  <c r="AI3097" i="8" s="1"/>
  <c r="T3097" i="8"/>
  <c r="R3098" i="8"/>
  <c r="S3098" i="8"/>
  <c r="T3098" i="8"/>
  <c r="AJ3098" i="8" s="1"/>
  <c r="R3099" i="8"/>
  <c r="S3099" i="8"/>
  <c r="T3099" i="8"/>
  <c r="R3100" i="8"/>
  <c r="S3100" i="8"/>
  <c r="AI3100" i="8" s="1"/>
  <c r="T3100" i="8"/>
  <c r="AJ3100" i="8" s="1"/>
  <c r="R3101" i="8"/>
  <c r="S3101" i="8"/>
  <c r="AI3101" i="8" s="1"/>
  <c r="T3101" i="8"/>
  <c r="AJ3101" i="8" s="1"/>
  <c r="R3102" i="8"/>
  <c r="S3102" i="8"/>
  <c r="AI3102" i="8" s="1"/>
  <c r="T3102" i="8"/>
  <c r="AJ3102" i="8" s="1"/>
  <c r="R3103" i="8"/>
  <c r="S3103" i="8"/>
  <c r="T3103" i="8"/>
  <c r="R3104" i="8"/>
  <c r="S3104" i="8"/>
  <c r="AI3104" i="8" s="1"/>
  <c r="T3104" i="8"/>
  <c r="AJ3104" i="8" s="1"/>
  <c r="R3105" i="8"/>
  <c r="S3105" i="8"/>
  <c r="AI3105" i="8" s="1"/>
  <c r="T3105" i="8"/>
  <c r="R3106" i="8"/>
  <c r="S3106" i="8"/>
  <c r="T3106" i="8"/>
  <c r="AJ3106" i="8" s="1"/>
  <c r="R3107" i="8"/>
  <c r="S3107" i="8"/>
  <c r="T3107" i="8"/>
  <c r="R3108" i="8"/>
  <c r="S3108" i="8"/>
  <c r="AI3108" i="8" s="1"/>
  <c r="T3108" i="8"/>
  <c r="AJ3108" i="8" s="1"/>
  <c r="R3109" i="8"/>
  <c r="S3109" i="8"/>
  <c r="AI3109" i="8" s="1"/>
  <c r="T3109" i="8"/>
  <c r="AJ3109" i="8" s="1"/>
  <c r="R3110" i="8"/>
  <c r="S3110" i="8"/>
  <c r="AI3110" i="8" s="1"/>
  <c r="T3110" i="8"/>
  <c r="AJ3110" i="8" s="1"/>
  <c r="R3111" i="8"/>
  <c r="S3111" i="8"/>
  <c r="T3111" i="8"/>
  <c r="R3112" i="8"/>
  <c r="S3112" i="8"/>
  <c r="AI3112" i="8" s="1"/>
  <c r="T3112" i="8"/>
  <c r="AJ3112" i="8" s="1"/>
  <c r="R3113" i="8"/>
  <c r="S3113" i="8"/>
  <c r="AI3113" i="8" s="1"/>
  <c r="T3113" i="8"/>
  <c r="R3114" i="8"/>
  <c r="S3114" i="8"/>
  <c r="T3114" i="8"/>
  <c r="AJ3114" i="8" s="1"/>
  <c r="R3115" i="8"/>
  <c r="S3115" i="8"/>
  <c r="T3115" i="8"/>
  <c r="R3116" i="8"/>
  <c r="S3116" i="8"/>
  <c r="AI3116" i="8" s="1"/>
  <c r="T3116" i="8"/>
  <c r="AJ3116" i="8" s="1"/>
  <c r="R3117" i="8"/>
  <c r="S3117" i="8"/>
  <c r="AI3117" i="8" s="1"/>
  <c r="T3117" i="8"/>
  <c r="AJ3117" i="8" s="1"/>
  <c r="R3118" i="8"/>
  <c r="S3118" i="8"/>
  <c r="AI3118" i="8" s="1"/>
  <c r="T3118" i="8"/>
  <c r="AJ3118" i="8" s="1"/>
  <c r="R3119" i="8"/>
  <c r="S3119" i="8"/>
  <c r="T3119" i="8"/>
  <c r="R3120" i="8"/>
  <c r="S3120" i="8"/>
  <c r="AI3120" i="8" s="1"/>
  <c r="T3120" i="8"/>
  <c r="AJ3120" i="8" s="1"/>
  <c r="R3121" i="8"/>
  <c r="S3121" i="8"/>
  <c r="AI3121" i="8" s="1"/>
  <c r="T3121" i="8"/>
  <c r="R3122" i="8"/>
  <c r="S3122" i="8"/>
  <c r="T3122" i="8"/>
  <c r="AJ3122" i="8" s="1"/>
  <c r="R3123" i="8"/>
  <c r="S3123" i="8"/>
  <c r="T3123" i="8"/>
  <c r="R3124" i="8"/>
  <c r="S3124" i="8"/>
  <c r="AI3124" i="8" s="1"/>
  <c r="T3124" i="8"/>
  <c r="AJ3124" i="8" s="1"/>
  <c r="R3125" i="8"/>
  <c r="S3125" i="8"/>
  <c r="AI3125" i="8" s="1"/>
  <c r="T3125" i="8"/>
  <c r="AJ3125" i="8" s="1"/>
  <c r="R3126" i="8"/>
  <c r="S3126" i="8"/>
  <c r="AI3126" i="8" s="1"/>
  <c r="T3126" i="8"/>
  <c r="AJ3126" i="8" s="1"/>
  <c r="R3127" i="8"/>
  <c r="S3127" i="8"/>
  <c r="T3127" i="8"/>
  <c r="R3128" i="8"/>
  <c r="S3128" i="8"/>
  <c r="AI3128" i="8" s="1"/>
  <c r="T3128" i="8"/>
  <c r="AJ3128" i="8" s="1"/>
  <c r="R3129" i="8"/>
  <c r="S3129" i="8"/>
  <c r="AI3129" i="8" s="1"/>
  <c r="T3129" i="8"/>
  <c r="R3130" i="8"/>
  <c r="S3130" i="8"/>
  <c r="T3130" i="8"/>
  <c r="AJ3130" i="8" s="1"/>
  <c r="R3131" i="8"/>
  <c r="S3131" i="8"/>
  <c r="T3131" i="8"/>
  <c r="R3132" i="8"/>
  <c r="S3132" i="8"/>
  <c r="AI3132" i="8" s="1"/>
  <c r="T3132" i="8"/>
  <c r="AJ3132" i="8" s="1"/>
  <c r="R3133" i="8"/>
  <c r="S3133" i="8"/>
  <c r="AI3133" i="8" s="1"/>
  <c r="T3133" i="8"/>
  <c r="AJ3133" i="8" s="1"/>
  <c r="R3134" i="8"/>
  <c r="S3134" i="8"/>
  <c r="AI3134" i="8" s="1"/>
  <c r="T3134" i="8"/>
  <c r="AJ3134" i="8" s="1"/>
  <c r="R3135" i="8"/>
  <c r="S3135" i="8"/>
  <c r="T3135" i="8"/>
  <c r="R3136" i="8"/>
  <c r="S3136" i="8"/>
  <c r="AI3136" i="8" s="1"/>
  <c r="T3136" i="8"/>
  <c r="AJ3136" i="8" s="1"/>
  <c r="R3137" i="8"/>
  <c r="S3137" i="8"/>
  <c r="AI3137" i="8" s="1"/>
  <c r="T3137" i="8"/>
  <c r="R3138" i="8"/>
  <c r="S3138" i="8"/>
  <c r="T3138" i="8"/>
  <c r="AJ3138" i="8" s="1"/>
  <c r="R3139" i="8"/>
  <c r="S3139" i="8"/>
  <c r="T3139" i="8"/>
  <c r="R3140" i="8"/>
  <c r="S3140" i="8"/>
  <c r="AI3140" i="8" s="1"/>
  <c r="T3140" i="8"/>
  <c r="AJ3140" i="8" s="1"/>
  <c r="R3141" i="8"/>
  <c r="S3141" i="8"/>
  <c r="AI3141" i="8" s="1"/>
  <c r="T3141" i="8"/>
  <c r="AJ3141" i="8" s="1"/>
  <c r="R3142" i="8"/>
  <c r="S3142" i="8"/>
  <c r="AI3142" i="8" s="1"/>
  <c r="T3142" i="8"/>
  <c r="AJ3142" i="8" s="1"/>
  <c r="R3143" i="8"/>
  <c r="S3143" i="8"/>
  <c r="T3143" i="8"/>
  <c r="R3144" i="8"/>
  <c r="S3144" i="8"/>
  <c r="AI3144" i="8" s="1"/>
  <c r="T3144" i="8"/>
  <c r="AJ3144" i="8" s="1"/>
  <c r="R3145" i="8"/>
  <c r="S3145" i="8"/>
  <c r="AI3145" i="8" s="1"/>
  <c r="T3145" i="8"/>
  <c r="R3146" i="8"/>
  <c r="S3146" i="8"/>
  <c r="T3146" i="8"/>
  <c r="AJ3146" i="8" s="1"/>
  <c r="R3147" i="8"/>
  <c r="S3147" i="8"/>
  <c r="T3147" i="8"/>
  <c r="R3148" i="8"/>
  <c r="S3148" i="8"/>
  <c r="AI3148" i="8" s="1"/>
  <c r="T3148" i="8"/>
  <c r="AJ3148" i="8" s="1"/>
  <c r="R3149" i="8"/>
  <c r="S3149" i="8"/>
  <c r="AI3149" i="8" s="1"/>
  <c r="T3149" i="8"/>
  <c r="AJ3149" i="8" s="1"/>
  <c r="R3150" i="8"/>
  <c r="S3150" i="8"/>
  <c r="AI3150" i="8" s="1"/>
  <c r="T3150" i="8"/>
  <c r="AJ3150" i="8" s="1"/>
  <c r="R3151" i="8"/>
  <c r="S3151" i="8"/>
  <c r="T3151" i="8"/>
  <c r="R3152" i="8"/>
  <c r="S3152" i="8"/>
  <c r="AI3152" i="8" s="1"/>
  <c r="T3152" i="8"/>
  <c r="AJ3152" i="8" s="1"/>
  <c r="R3153" i="8"/>
  <c r="S3153" i="8"/>
  <c r="AI3153" i="8" s="1"/>
  <c r="T3153" i="8"/>
  <c r="R3154" i="8"/>
  <c r="S3154" i="8"/>
  <c r="T3154" i="8"/>
  <c r="AJ3154" i="8" s="1"/>
  <c r="R3155" i="8"/>
  <c r="S3155" i="8"/>
  <c r="T3155" i="8"/>
  <c r="R3156" i="8"/>
  <c r="S3156" i="8"/>
  <c r="AI3156" i="8" s="1"/>
  <c r="T3156" i="8"/>
  <c r="AJ3156" i="8" s="1"/>
  <c r="R3157" i="8"/>
  <c r="S3157" i="8"/>
  <c r="AI3157" i="8" s="1"/>
  <c r="T3157" i="8"/>
  <c r="AJ3157" i="8" s="1"/>
  <c r="R3158" i="8"/>
  <c r="S3158" i="8"/>
  <c r="AI3158" i="8" s="1"/>
  <c r="T3158" i="8"/>
  <c r="AJ3158" i="8" s="1"/>
  <c r="R3159" i="8"/>
  <c r="S3159" i="8"/>
  <c r="T3159" i="8"/>
  <c r="R3160" i="8"/>
  <c r="S3160" i="8"/>
  <c r="AI3160" i="8" s="1"/>
  <c r="T3160" i="8"/>
  <c r="AJ3160" i="8" s="1"/>
  <c r="R3161" i="8"/>
  <c r="S3161" i="8"/>
  <c r="AI3161" i="8" s="1"/>
  <c r="T3161" i="8"/>
  <c r="O2727" i="8"/>
  <c r="O2728" i="8"/>
  <c r="O2729" i="8"/>
  <c r="O2730" i="8"/>
  <c r="O2731" i="8"/>
  <c r="O2732" i="8"/>
  <c r="O2733" i="8"/>
  <c r="O2734" i="8"/>
  <c r="O2735" i="8"/>
  <c r="O2736" i="8"/>
  <c r="O2737" i="8"/>
  <c r="O2738" i="8"/>
  <c r="O2739" i="8"/>
  <c r="O2740" i="8"/>
  <c r="O2741" i="8"/>
  <c r="O2742" i="8"/>
  <c r="O2743" i="8"/>
  <c r="O2744" i="8"/>
  <c r="O2745" i="8"/>
  <c r="O2746" i="8"/>
  <c r="O2747" i="8"/>
  <c r="O2748" i="8"/>
  <c r="O2749" i="8"/>
  <c r="O2750" i="8"/>
  <c r="O2751" i="8"/>
  <c r="O2752" i="8"/>
  <c r="O2753" i="8"/>
  <c r="O2754" i="8"/>
  <c r="O2755" i="8"/>
  <c r="O2756" i="8"/>
  <c r="O2757" i="8"/>
  <c r="O2758" i="8"/>
  <c r="O2759" i="8"/>
  <c r="O2760" i="8"/>
  <c r="O2761" i="8"/>
  <c r="O2762" i="8"/>
  <c r="O2763" i="8"/>
  <c r="O2764" i="8"/>
  <c r="O2765" i="8"/>
  <c r="O2766" i="8"/>
  <c r="O2767" i="8"/>
  <c r="O2768" i="8"/>
  <c r="O2769" i="8"/>
  <c r="O2770" i="8"/>
  <c r="O2771" i="8"/>
  <c r="O2772" i="8"/>
  <c r="O2773" i="8"/>
  <c r="O2774" i="8"/>
  <c r="O2775" i="8"/>
  <c r="O2776" i="8"/>
  <c r="O2777" i="8"/>
  <c r="O2778" i="8"/>
  <c r="O2779" i="8"/>
  <c r="O2780" i="8"/>
  <c r="O2781" i="8"/>
  <c r="O2782" i="8"/>
  <c r="O2783" i="8"/>
  <c r="O2784" i="8"/>
  <c r="O2785" i="8"/>
  <c r="O2786" i="8"/>
  <c r="O2787" i="8"/>
  <c r="O2788" i="8"/>
  <c r="O2789" i="8"/>
  <c r="O2790" i="8"/>
  <c r="O2791" i="8"/>
  <c r="O2792" i="8"/>
  <c r="O2793" i="8"/>
  <c r="O2794" i="8"/>
  <c r="O2795" i="8"/>
  <c r="O2796" i="8"/>
  <c r="O2797" i="8"/>
  <c r="O2798" i="8"/>
  <c r="O2799" i="8"/>
  <c r="O2800" i="8"/>
  <c r="O2801" i="8"/>
  <c r="O2802" i="8"/>
  <c r="O2803" i="8"/>
  <c r="O2804" i="8"/>
  <c r="O2805" i="8"/>
  <c r="O2806" i="8"/>
  <c r="O2807" i="8"/>
  <c r="O2808" i="8"/>
  <c r="O2809" i="8"/>
  <c r="O2810" i="8"/>
  <c r="O2811" i="8"/>
  <c r="O2812" i="8"/>
  <c r="O2813" i="8"/>
  <c r="O2814" i="8"/>
  <c r="O2815" i="8"/>
  <c r="O2816" i="8"/>
  <c r="O2817" i="8"/>
  <c r="O2818" i="8"/>
  <c r="O2819" i="8"/>
  <c r="O2820" i="8"/>
  <c r="O2821" i="8"/>
  <c r="O2822" i="8"/>
  <c r="O2823" i="8"/>
  <c r="O2824" i="8"/>
  <c r="O2825" i="8"/>
  <c r="O2826" i="8"/>
  <c r="O2827" i="8"/>
  <c r="O2828" i="8"/>
  <c r="O2829" i="8"/>
  <c r="O2830" i="8"/>
  <c r="O2831" i="8"/>
  <c r="O2832" i="8"/>
  <c r="O2833" i="8"/>
  <c r="O2834" i="8"/>
  <c r="O2835" i="8"/>
  <c r="O2836" i="8"/>
  <c r="O2837" i="8"/>
  <c r="O2838" i="8"/>
  <c r="O2839" i="8"/>
  <c r="O2840" i="8"/>
  <c r="O2841" i="8"/>
  <c r="O2842" i="8"/>
  <c r="O2843" i="8"/>
  <c r="O2844" i="8"/>
  <c r="O2845" i="8"/>
  <c r="O2846" i="8"/>
  <c r="O2847" i="8"/>
  <c r="O2848" i="8"/>
  <c r="O2849" i="8"/>
  <c r="O2850" i="8"/>
  <c r="O2851" i="8"/>
  <c r="O2852" i="8"/>
  <c r="O2853" i="8"/>
  <c r="O2854" i="8"/>
  <c r="O2855" i="8"/>
  <c r="O2856" i="8"/>
  <c r="O2857" i="8"/>
  <c r="O2858" i="8"/>
  <c r="O2859" i="8"/>
  <c r="O2860" i="8"/>
  <c r="O2861" i="8"/>
  <c r="O2862" i="8"/>
  <c r="O2863" i="8"/>
  <c r="O2864" i="8"/>
  <c r="O2865" i="8"/>
  <c r="O2866" i="8"/>
  <c r="O2867" i="8"/>
  <c r="O2868" i="8"/>
  <c r="O2869" i="8"/>
  <c r="O2870" i="8"/>
  <c r="O2871" i="8"/>
  <c r="O2872" i="8"/>
  <c r="O2873" i="8"/>
  <c r="O2874" i="8"/>
  <c r="O2875" i="8"/>
  <c r="O2876" i="8"/>
  <c r="O2877" i="8"/>
  <c r="O2878" i="8"/>
  <c r="O2879" i="8"/>
  <c r="O2880" i="8"/>
  <c r="O2881" i="8"/>
  <c r="O2882" i="8"/>
  <c r="O2883" i="8"/>
  <c r="O2884" i="8"/>
  <c r="O2885" i="8"/>
  <c r="O2886" i="8"/>
  <c r="O2887" i="8"/>
  <c r="O2888" i="8"/>
  <c r="O2889" i="8"/>
  <c r="O2890" i="8"/>
  <c r="O2891" i="8"/>
  <c r="O2892" i="8"/>
  <c r="O2893" i="8"/>
  <c r="O2894" i="8"/>
  <c r="O2895" i="8"/>
  <c r="O2896" i="8"/>
  <c r="O2897" i="8"/>
  <c r="O2898" i="8"/>
  <c r="O2899" i="8"/>
  <c r="O2900" i="8"/>
  <c r="O2901" i="8"/>
  <c r="O2902" i="8"/>
  <c r="O2903" i="8"/>
  <c r="O2904" i="8"/>
  <c r="O2905" i="8"/>
  <c r="O2906" i="8"/>
  <c r="O2907" i="8"/>
  <c r="O2908" i="8"/>
  <c r="O2909" i="8"/>
  <c r="O2910" i="8"/>
  <c r="O2911" i="8"/>
  <c r="O2912" i="8"/>
  <c r="O2913" i="8"/>
  <c r="O2914" i="8"/>
  <c r="O2915" i="8"/>
  <c r="O2916" i="8"/>
  <c r="O2917" i="8"/>
  <c r="O2918" i="8"/>
  <c r="O2919" i="8"/>
  <c r="O2920" i="8"/>
  <c r="O2921" i="8"/>
  <c r="O2922" i="8"/>
  <c r="O2923" i="8"/>
  <c r="O2924" i="8"/>
  <c r="O2925" i="8"/>
  <c r="O2926" i="8"/>
  <c r="O2927" i="8"/>
  <c r="O2928" i="8"/>
  <c r="O2929" i="8"/>
  <c r="O2930" i="8"/>
  <c r="O2931" i="8"/>
  <c r="O2932" i="8"/>
  <c r="O2933" i="8"/>
  <c r="O2934" i="8"/>
  <c r="O2935" i="8"/>
  <c r="O2936" i="8"/>
  <c r="O2937" i="8"/>
  <c r="O2938" i="8"/>
  <c r="O2939" i="8"/>
  <c r="O2940" i="8"/>
  <c r="O2941" i="8"/>
  <c r="O2942" i="8"/>
  <c r="O2943" i="8"/>
  <c r="O2944" i="8"/>
  <c r="O2945" i="8"/>
  <c r="O2946" i="8"/>
  <c r="O2947" i="8"/>
  <c r="O2948" i="8"/>
  <c r="O2949" i="8"/>
  <c r="O2950" i="8"/>
  <c r="O2951" i="8"/>
  <c r="O2952" i="8"/>
  <c r="O2953" i="8"/>
  <c r="O2954" i="8"/>
  <c r="O2955" i="8"/>
  <c r="O2956" i="8"/>
  <c r="O2957" i="8"/>
  <c r="O2958" i="8"/>
  <c r="O2959" i="8"/>
  <c r="O2960" i="8"/>
  <c r="O2961" i="8"/>
  <c r="O2962" i="8"/>
  <c r="O2963" i="8"/>
  <c r="O2964" i="8"/>
  <c r="O2965" i="8"/>
  <c r="O2966" i="8"/>
  <c r="O2967" i="8"/>
  <c r="O2968" i="8"/>
  <c r="O2969" i="8"/>
  <c r="O2970" i="8"/>
  <c r="O2971" i="8"/>
  <c r="O2972" i="8"/>
  <c r="O2973" i="8"/>
  <c r="O2974" i="8"/>
  <c r="O2975" i="8"/>
  <c r="O2976" i="8"/>
  <c r="O2977" i="8"/>
  <c r="O2978" i="8"/>
  <c r="O2979" i="8"/>
  <c r="O2980" i="8"/>
  <c r="O2981" i="8"/>
  <c r="O2982" i="8"/>
  <c r="O2983" i="8"/>
  <c r="O2984" i="8"/>
  <c r="O2985" i="8"/>
  <c r="O2986" i="8"/>
  <c r="O2987" i="8"/>
  <c r="O2988" i="8"/>
  <c r="O2989" i="8"/>
  <c r="O2990" i="8"/>
  <c r="O2991" i="8"/>
  <c r="O2992" i="8"/>
  <c r="O2993" i="8"/>
  <c r="O2994" i="8"/>
  <c r="O2995" i="8"/>
  <c r="O2996" i="8"/>
  <c r="O2997" i="8"/>
  <c r="O2998" i="8"/>
  <c r="O2999" i="8"/>
  <c r="O3000" i="8"/>
  <c r="O3001" i="8"/>
  <c r="O3002" i="8"/>
  <c r="O3003" i="8"/>
  <c r="O3004" i="8"/>
  <c r="O3005" i="8"/>
  <c r="O3006" i="8"/>
  <c r="O3007" i="8"/>
  <c r="O3008" i="8"/>
  <c r="O3009" i="8"/>
  <c r="O3010" i="8"/>
  <c r="O3011" i="8"/>
  <c r="O3012" i="8"/>
  <c r="O3013" i="8"/>
  <c r="O3014" i="8"/>
  <c r="O3015" i="8"/>
  <c r="O3016" i="8"/>
  <c r="O3017" i="8"/>
  <c r="O3018" i="8"/>
  <c r="O3019" i="8"/>
  <c r="O3020" i="8"/>
  <c r="O3021" i="8"/>
  <c r="O3022" i="8"/>
  <c r="O3023" i="8"/>
  <c r="O3024" i="8"/>
  <c r="O3025" i="8"/>
  <c r="O3026" i="8"/>
  <c r="O3027" i="8"/>
  <c r="O3028" i="8"/>
  <c r="O3029" i="8"/>
  <c r="O3030" i="8"/>
  <c r="O3031" i="8"/>
  <c r="O3032" i="8"/>
  <c r="O3033" i="8"/>
  <c r="O3034" i="8"/>
  <c r="O3035" i="8"/>
  <c r="O3036" i="8"/>
  <c r="O3037" i="8"/>
  <c r="O3038" i="8"/>
  <c r="O3039" i="8"/>
  <c r="O3040" i="8"/>
  <c r="O3041" i="8"/>
  <c r="O3042" i="8"/>
  <c r="O3043" i="8"/>
  <c r="O3044" i="8"/>
  <c r="O3045" i="8"/>
  <c r="O3046" i="8"/>
  <c r="O3047" i="8"/>
  <c r="O3048" i="8"/>
  <c r="O3049" i="8"/>
  <c r="O3050" i="8"/>
  <c r="O3051" i="8"/>
  <c r="O3052" i="8"/>
  <c r="O3053" i="8"/>
  <c r="O3054" i="8"/>
  <c r="O3055" i="8"/>
  <c r="O3056" i="8"/>
  <c r="O3057" i="8"/>
  <c r="O3058" i="8"/>
  <c r="O3059" i="8"/>
  <c r="O3060" i="8"/>
  <c r="O3061" i="8"/>
  <c r="O3062" i="8"/>
  <c r="O3063" i="8"/>
  <c r="O3064" i="8"/>
  <c r="O3065" i="8"/>
  <c r="O3066" i="8"/>
  <c r="O3067" i="8"/>
  <c r="O3068" i="8"/>
  <c r="O3069" i="8"/>
  <c r="O3070" i="8"/>
  <c r="O3071" i="8"/>
  <c r="O3072" i="8"/>
  <c r="O3073" i="8"/>
  <c r="O3074" i="8"/>
  <c r="O3075" i="8"/>
  <c r="O3076" i="8"/>
  <c r="O3077" i="8"/>
  <c r="O3078" i="8"/>
  <c r="O3079" i="8"/>
  <c r="O3080" i="8"/>
  <c r="O3081" i="8"/>
  <c r="O3082" i="8"/>
  <c r="O3083" i="8"/>
  <c r="O3084" i="8"/>
  <c r="O3085" i="8"/>
  <c r="O3086" i="8"/>
  <c r="O3087" i="8"/>
  <c r="O3088" i="8"/>
  <c r="O3089" i="8"/>
  <c r="O3090" i="8"/>
  <c r="O3091" i="8"/>
  <c r="O3092" i="8"/>
  <c r="O3093" i="8"/>
  <c r="O3094" i="8"/>
  <c r="O3095" i="8"/>
  <c r="O3096" i="8"/>
  <c r="O3097" i="8"/>
  <c r="O3098" i="8"/>
  <c r="O3099" i="8"/>
  <c r="O3100" i="8"/>
  <c r="O3101" i="8"/>
  <c r="O3102" i="8"/>
  <c r="O3103" i="8"/>
  <c r="O3104" i="8"/>
  <c r="O3105" i="8"/>
  <c r="O3106" i="8"/>
  <c r="O3107" i="8"/>
  <c r="O3108" i="8"/>
  <c r="O3109" i="8"/>
  <c r="O3110" i="8"/>
  <c r="O3111" i="8"/>
  <c r="O3112" i="8"/>
  <c r="O3113" i="8"/>
  <c r="O3114" i="8"/>
  <c r="O3115" i="8"/>
  <c r="O3116" i="8"/>
  <c r="O3117" i="8"/>
  <c r="O3118" i="8"/>
  <c r="O3119" i="8"/>
  <c r="O3120" i="8"/>
  <c r="O3121" i="8"/>
  <c r="O3122" i="8"/>
  <c r="O3123" i="8"/>
  <c r="O3124" i="8"/>
  <c r="O3125" i="8"/>
  <c r="O3126" i="8"/>
  <c r="O3127" i="8"/>
  <c r="O3128" i="8"/>
  <c r="O3129" i="8"/>
  <c r="O3130" i="8"/>
  <c r="O3131" i="8"/>
  <c r="O3132" i="8"/>
  <c r="O3133" i="8"/>
  <c r="O3134" i="8"/>
  <c r="O3135" i="8"/>
  <c r="O3136" i="8"/>
  <c r="O3137" i="8"/>
  <c r="O3138" i="8"/>
  <c r="O3139" i="8"/>
  <c r="O3140" i="8"/>
  <c r="O3141" i="8"/>
  <c r="O3142" i="8"/>
  <c r="O3143" i="8"/>
  <c r="O3144" i="8"/>
  <c r="O3145" i="8"/>
  <c r="O3146" i="8"/>
  <c r="O3147" i="8"/>
  <c r="O3148" i="8"/>
  <c r="O3149" i="8"/>
  <c r="O3150" i="8"/>
  <c r="O3151" i="8"/>
  <c r="O3152" i="8"/>
  <c r="O3153" i="8"/>
  <c r="O3154" i="8"/>
  <c r="O3155" i="8"/>
  <c r="O3156" i="8"/>
  <c r="O3157" i="8"/>
  <c r="O3158" i="8"/>
  <c r="O3159" i="8"/>
  <c r="O3160" i="8"/>
  <c r="O3161" i="8"/>
  <c r="M544" i="64" l="1"/>
  <c r="M543" i="64"/>
  <c r="M542" i="64"/>
  <c r="M541" i="64"/>
  <c r="M540" i="64"/>
  <c r="M539" i="64"/>
  <c r="M538" i="64"/>
  <c r="M537" i="64"/>
  <c r="M536" i="64"/>
  <c r="M535" i="64"/>
  <c r="M534" i="64"/>
  <c r="M533" i="64"/>
  <c r="M532" i="64"/>
  <c r="M531" i="64"/>
  <c r="M530" i="64"/>
  <c r="M529" i="64"/>
  <c r="M528" i="64"/>
  <c r="M527" i="64"/>
  <c r="M526" i="64"/>
  <c r="M525" i="64"/>
  <c r="M512" i="64"/>
  <c r="M511" i="64"/>
  <c r="M510" i="64"/>
  <c r="M509" i="64"/>
  <c r="M507" i="64"/>
  <c r="M506" i="64"/>
  <c r="M505" i="64"/>
  <c r="M504" i="64"/>
  <c r="M502" i="64"/>
  <c r="M501" i="64"/>
  <c r="M500" i="64"/>
  <c r="M499" i="64"/>
  <c r="M497" i="64"/>
  <c r="M496" i="64"/>
  <c r="M495" i="64"/>
  <c r="M494" i="64"/>
  <c r="M492" i="64"/>
  <c r="M480" i="64"/>
  <c r="M479" i="64"/>
  <c r="M478" i="64"/>
  <c r="M477" i="64"/>
  <c r="M475" i="64"/>
  <c r="M474" i="64"/>
  <c r="M473" i="64"/>
  <c r="M472" i="64"/>
  <c r="M470" i="64"/>
  <c r="M469" i="64"/>
  <c r="M468" i="64"/>
  <c r="M467" i="64"/>
  <c r="M465" i="64"/>
  <c r="M464" i="64"/>
  <c r="M463" i="64"/>
  <c r="M462" i="64"/>
  <c r="M460" i="64"/>
  <c r="M448" i="64"/>
  <c r="M447" i="64"/>
  <c r="M446" i="64"/>
  <c r="M445" i="64"/>
  <c r="M443" i="64"/>
  <c r="M442" i="64"/>
  <c r="M441" i="64"/>
  <c r="M440" i="64"/>
  <c r="M438" i="64"/>
  <c r="M437" i="64"/>
  <c r="M436" i="64"/>
  <c r="M435" i="64"/>
  <c r="M433" i="64"/>
  <c r="M432" i="64"/>
  <c r="M431" i="64"/>
  <c r="M430" i="64"/>
  <c r="M428" i="64"/>
  <c r="M415" i="64"/>
  <c r="M414" i="64"/>
  <c r="M413" i="64"/>
  <c r="M412" i="64"/>
  <c r="M410" i="64"/>
  <c r="M409" i="64"/>
  <c r="M408" i="64"/>
  <c r="M407" i="64"/>
  <c r="M405" i="64"/>
  <c r="M404" i="64"/>
  <c r="M403" i="64"/>
  <c r="M402" i="64"/>
  <c r="M400" i="64"/>
  <c r="M399" i="64"/>
  <c r="M398" i="64"/>
  <c r="M397" i="64"/>
  <c r="M395" i="64"/>
  <c r="M381" i="64"/>
  <c r="M380" i="64"/>
  <c r="M379" i="64"/>
  <c r="M378" i="64"/>
  <c r="M376" i="64"/>
  <c r="M375" i="64"/>
  <c r="M374" i="64"/>
  <c r="M373" i="64"/>
  <c r="M371" i="64"/>
  <c r="M370" i="64"/>
  <c r="M369" i="64"/>
  <c r="M368" i="64"/>
  <c r="M366" i="64"/>
  <c r="M365" i="64"/>
  <c r="M364" i="64"/>
  <c r="M363" i="64"/>
  <c r="M361" i="64"/>
  <c r="M348" i="64"/>
  <c r="M347" i="64"/>
  <c r="M346" i="64"/>
  <c r="M345" i="64"/>
  <c r="M343" i="64"/>
  <c r="M342" i="64"/>
  <c r="M341" i="64"/>
  <c r="M340" i="64"/>
  <c r="M338" i="64"/>
  <c r="M337" i="64"/>
  <c r="M336" i="64"/>
  <c r="M335" i="64"/>
  <c r="M333" i="64"/>
  <c r="M332" i="64"/>
  <c r="M331" i="64"/>
  <c r="M330" i="64"/>
  <c r="M328" i="64"/>
  <c r="M315" i="64"/>
  <c r="M314" i="64"/>
  <c r="M313" i="64"/>
  <c r="M312" i="64"/>
  <c r="M310" i="64"/>
  <c r="M309" i="64"/>
  <c r="M308" i="64"/>
  <c r="M307" i="64"/>
  <c r="M305" i="64"/>
  <c r="M304" i="64"/>
  <c r="M303" i="64"/>
  <c r="M302" i="64"/>
  <c r="M300" i="64"/>
  <c r="M299" i="64"/>
  <c r="M298" i="64"/>
  <c r="M297" i="64"/>
  <c r="M295" i="64"/>
  <c r="M283" i="64"/>
  <c r="M282" i="64"/>
  <c r="M281" i="64"/>
  <c r="M280" i="64"/>
  <c r="M278" i="64"/>
  <c r="M277" i="64"/>
  <c r="M276" i="64"/>
  <c r="M275" i="64"/>
  <c r="M273" i="64"/>
  <c r="M272" i="64"/>
  <c r="M271" i="64"/>
  <c r="M270" i="64"/>
  <c r="M268" i="64"/>
  <c r="M267" i="64"/>
  <c r="M266" i="64"/>
  <c r="M265" i="64"/>
  <c r="M263" i="64"/>
  <c r="M251" i="64"/>
  <c r="M250" i="64"/>
  <c r="M249" i="64"/>
  <c r="M248" i="64"/>
  <c r="M246" i="64"/>
  <c r="M245" i="64"/>
  <c r="M244" i="64"/>
  <c r="M243" i="64"/>
  <c r="M241" i="64"/>
  <c r="M240" i="64"/>
  <c r="M239" i="64"/>
  <c r="M238" i="64"/>
  <c r="M236" i="64"/>
  <c r="M235" i="64"/>
  <c r="M234" i="64"/>
  <c r="M233" i="64"/>
  <c r="M231" i="64"/>
  <c r="M219" i="64"/>
  <c r="M218" i="64"/>
  <c r="M217" i="64"/>
  <c r="M216" i="64"/>
  <c r="M214" i="64"/>
  <c r="M213" i="64"/>
  <c r="M212" i="64"/>
  <c r="M211" i="64"/>
  <c r="M209" i="64"/>
  <c r="M208" i="64"/>
  <c r="M207" i="64"/>
  <c r="M206" i="64"/>
  <c r="M204" i="64"/>
  <c r="M203" i="64"/>
  <c r="M202" i="64"/>
  <c r="M201" i="64"/>
  <c r="M199" i="64"/>
  <c r="M187" i="64"/>
  <c r="M186" i="64"/>
  <c r="M185" i="64"/>
  <c r="M184" i="64"/>
  <c r="M182" i="64"/>
  <c r="M181" i="64"/>
  <c r="M180" i="64"/>
  <c r="M179" i="64"/>
  <c r="M177" i="64"/>
  <c r="M176" i="64"/>
  <c r="M175" i="64"/>
  <c r="M174" i="64"/>
  <c r="M172" i="64"/>
  <c r="M171" i="64"/>
  <c r="M170" i="64"/>
  <c r="M169" i="64"/>
  <c r="M167" i="64"/>
  <c r="M155" i="64"/>
  <c r="M154" i="64"/>
  <c r="M153" i="64"/>
  <c r="M152" i="64"/>
  <c r="M150" i="64"/>
  <c r="M149" i="64"/>
  <c r="M148" i="64"/>
  <c r="M147" i="64"/>
  <c r="M145" i="64"/>
  <c r="M144" i="64"/>
  <c r="M143" i="64"/>
  <c r="M142" i="64"/>
  <c r="M140" i="64"/>
  <c r="M139" i="64"/>
  <c r="M138" i="64"/>
  <c r="M137" i="64"/>
  <c r="M135" i="64"/>
  <c r="M123" i="64"/>
  <c r="M122" i="64"/>
  <c r="M121" i="64"/>
  <c r="M120" i="64"/>
  <c r="M118" i="64"/>
  <c r="M117" i="64"/>
  <c r="M116" i="64"/>
  <c r="M115" i="64"/>
  <c r="M113" i="64"/>
  <c r="M112" i="64"/>
  <c r="M111" i="64"/>
  <c r="M110" i="64"/>
  <c r="M108" i="64"/>
  <c r="M107" i="64"/>
  <c r="M106" i="64"/>
  <c r="M105" i="64"/>
  <c r="M103" i="64"/>
  <c r="M91" i="64"/>
  <c r="M90" i="64"/>
  <c r="M89" i="64"/>
  <c r="M88" i="64"/>
  <c r="M86" i="64"/>
  <c r="M85" i="64"/>
  <c r="M84" i="64"/>
  <c r="M83" i="64"/>
  <c r="M81" i="64"/>
  <c r="M80" i="64"/>
  <c r="M79" i="64"/>
  <c r="M78" i="64"/>
  <c r="M76" i="64"/>
  <c r="M75" i="64"/>
  <c r="M74" i="64"/>
  <c r="M73" i="64"/>
  <c r="M71" i="64"/>
  <c r="M59" i="64"/>
  <c r="M58" i="64"/>
  <c r="M57" i="64"/>
  <c r="M56" i="64"/>
  <c r="M54" i="64"/>
  <c r="M53" i="64"/>
  <c r="M52" i="64"/>
  <c r="M51" i="64"/>
  <c r="M49" i="64"/>
  <c r="M48" i="64"/>
  <c r="M47" i="64"/>
  <c r="M46" i="64"/>
  <c r="M44" i="64"/>
  <c r="M43" i="64"/>
  <c r="M42" i="64"/>
  <c r="M41" i="64"/>
  <c r="M39" i="64"/>
  <c r="M27" i="64"/>
  <c r="M26" i="64"/>
  <c r="M25" i="64"/>
  <c r="M24" i="64"/>
  <c r="M22" i="64"/>
  <c r="M21" i="64"/>
  <c r="M20" i="64"/>
  <c r="M19" i="64"/>
  <c r="M17" i="64"/>
  <c r="M16" i="64"/>
  <c r="M15" i="64"/>
  <c r="M14" i="64"/>
  <c r="M12" i="64"/>
  <c r="M11" i="64"/>
  <c r="M10" i="64"/>
  <c r="M7" i="64"/>
  <c r="M551" i="22"/>
  <c r="M550" i="22"/>
  <c r="M519" i="22"/>
  <c r="M518" i="22"/>
  <c r="M517" i="22"/>
  <c r="M516" i="22"/>
  <c r="M514" i="22"/>
  <c r="M513" i="22"/>
  <c r="M512" i="22"/>
  <c r="M511" i="22"/>
  <c r="M509" i="22"/>
  <c r="M508" i="22"/>
  <c r="M507" i="22"/>
  <c r="M506" i="22"/>
  <c r="M504" i="22"/>
  <c r="M503" i="22"/>
  <c r="M502" i="22"/>
  <c r="M501" i="22"/>
  <c r="M499" i="22"/>
  <c r="M487" i="22"/>
  <c r="M486" i="22"/>
  <c r="M485" i="22"/>
  <c r="M484" i="22"/>
  <c r="M482" i="22"/>
  <c r="M481" i="22"/>
  <c r="M480" i="22"/>
  <c r="M479" i="22"/>
  <c r="M477" i="22"/>
  <c r="M476" i="22"/>
  <c r="M475" i="22"/>
  <c r="M474" i="22"/>
  <c r="M472" i="22"/>
  <c r="M471" i="22"/>
  <c r="M470" i="22"/>
  <c r="M469" i="22"/>
  <c r="M467" i="22"/>
  <c r="N455" i="22"/>
  <c r="M455" i="22"/>
  <c r="N454" i="22"/>
  <c r="M454" i="22"/>
  <c r="N453" i="22"/>
  <c r="M453" i="22"/>
  <c r="N452" i="22"/>
  <c r="M452" i="22"/>
  <c r="N450" i="22"/>
  <c r="M450" i="22"/>
  <c r="N449" i="22"/>
  <c r="M449" i="22"/>
  <c r="N448" i="22"/>
  <c r="M448" i="22"/>
  <c r="N447" i="22"/>
  <c r="M447" i="22"/>
  <c r="N445" i="22"/>
  <c r="M445" i="22"/>
  <c r="N444" i="22"/>
  <c r="M444" i="22"/>
  <c r="N443" i="22"/>
  <c r="M443" i="22"/>
  <c r="N442" i="22"/>
  <c r="M442" i="22"/>
  <c r="N440" i="22"/>
  <c r="M440" i="22"/>
  <c r="N439" i="22"/>
  <c r="M439" i="22"/>
  <c r="N438" i="22"/>
  <c r="M438" i="22"/>
  <c r="N437" i="22"/>
  <c r="M437" i="22"/>
  <c r="N435" i="22"/>
  <c r="M435" i="22"/>
  <c r="M423" i="22"/>
  <c r="M422" i="22"/>
  <c r="M421" i="22"/>
  <c r="M420" i="22"/>
  <c r="M418" i="22"/>
  <c r="M417" i="22"/>
  <c r="M416" i="22"/>
  <c r="M415" i="22"/>
  <c r="M413" i="22"/>
  <c r="M412" i="22"/>
  <c r="M411" i="22"/>
  <c r="M410" i="22"/>
  <c r="M408" i="22"/>
  <c r="M407" i="22"/>
  <c r="M406" i="22"/>
  <c r="M405" i="22"/>
  <c r="M403" i="22"/>
  <c r="M389" i="22"/>
  <c r="M388" i="22"/>
  <c r="M387" i="22"/>
  <c r="M386" i="22"/>
  <c r="M384" i="22"/>
  <c r="M383" i="22"/>
  <c r="M382" i="22"/>
  <c r="M381" i="22"/>
  <c r="M379" i="22"/>
  <c r="M378" i="22"/>
  <c r="M377" i="22"/>
  <c r="M376" i="22"/>
  <c r="M374" i="22"/>
  <c r="M373" i="22"/>
  <c r="M372" i="22"/>
  <c r="M371" i="22"/>
  <c r="M369" i="22"/>
  <c r="M356" i="22"/>
  <c r="M355" i="22"/>
  <c r="M354" i="22"/>
  <c r="M353" i="22"/>
  <c r="M351" i="22"/>
  <c r="M350" i="22"/>
  <c r="M349" i="22"/>
  <c r="M348" i="22"/>
  <c r="M346" i="22"/>
  <c r="M345" i="22"/>
  <c r="M344" i="22"/>
  <c r="M343" i="22"/>
  <c r="M341" i="22"/>
  <c r="M340" i="22"/>
  <c r="M339" i="22"/>
  <c r="M338" i="22"/>
  <c r="M336" i="22"/>
  <c r="M322" i="22"/>
  <c r="M321" i="22"/>
  <c r="M320" i="22"/>
  <c r="M319" i="22"/>
  <c r="M317" i="22"/>
  <c r="M316" i="22"/>
  <c r="M315" i="22"/>
  <c r="M314" i="22"/>
  <c r="M312" i="22"/>
  <c r="M311" i="22"/>
  <c r="M310" i="22"/>
  <c r="M309" i="22"/>
  <c r="M307" i="22"/>
  <c r="M306" i="22"/>
  <c r="M305" i="22"/>
  <c r="M304" i="22"/>
  <c r="M302" i="22"/>
  <c r="M289" i="22"/>
  <c r="M288" i="22"/>
  <c r="M287" i="22"/>
  <c r="M286" i="22"/>
  <c r="M284" i="22"/>
  <c r="M283" i="22"/>
  <c r="M282" i="22"/>
  <c r="M281" i="22"/>
  <c r="M279" i="22"/>
  <c r="M278" i="22"/>
  <c r="M277" i="22"/>
  <c r="M276" i="22"/>
  <c r="M274" i="22"/>
  <c r="M273" i="22"/>
  <c r="M272" i="22"/>
  <c r="M271" i="22"/>
  <c r="M269" i="22"/>
  <c r="N256" i="22"/>
  <c r="M256" i="22"/>
  <c r="N255" i="22"/>
  <c r="M255" i="22"/>
  <c r="N254" i="22"/>
  <c r="M254" i="22"/>
  <c r="N253" i="22"/>
  <c r="M253" i="22"/>
  <c r="N251" i="22"/>
  <c r="M251" i="22"/>
  <c r="N250" i="22"/>
  <c r="M250" i="22"/>
  <c r="N249" i="22"/>
  <c r="M249" i="22"/>
  <c r="N248" i="22"/>
  <c r="M248" i="22"/>
  <c r="N246" i="22"/>
  <c r="M246" i="22"/>
  <c r="N245" i="22"/>
  <c r="M245" i="22"/>
  <c r="N244" i="22"/>
  <c r="M244" i="22"/>
  <c r="N243" i="22"/>
  <c r="M243" i="22"/>
  <c r="N241" i="22"/>
  <c r="M241" i="22"/>
  <c r="N240" i="22"/>
  <c r="M240" i="22"/>
  <c r="N239" i="22"/>
  <c r="M239" i="22"/>
  <c r="N238" i="22"/>
  <c r="M238" i="22"/>
  <c r="N237" i="22"/>
  <c r="N236" i="22"/>
  <c r="M236" i="22"/>
  <c r="M224" i="22"/>
  <c r="M223" i="22"/>
  <c r="M222" i="22"/>
  <c r="M221" i="22"/>
  <c r="M219" i="22"/>
  <c r="M218" i="22"/>
  <c r="M217" i="22"/>
  <c r="M216" i="22"/>
  <c r="M214" i="22"/>
  <c r="M213" i="22"/>
  <c r="M212" i="22"/>
  <c r="M211" i="22"/>
  <c r="M209" i="22"/>
  <c r="M208" i="22"/>
  <c r="M207" i="22"/>
  <c r="M206" i="22"/>
  <c r="M204" i="22"/>
  <c r="M191" i="22"/>
  <c r="M190" i="22"/>
  <c r="M189" i="22"/>
  <c r="M188" i="22"/>
  <c r="M186" i="22"/>
  <c r="M185" i="22"/>
  <c r="M184" i="22"/>
  <c r="M183" i="22"/>
  <c r="M181" i="22"/>
  <c r="M180" i="22"/>
  <c r="M179" i="22"/>
  <c r="M178" i="22"/>
  <c r="M176" i="22"/>
  <c r="M175" i="22"/>
  <c r="M174" i="22"/>
  <c r="M173" i="22"/>
  <c r="M171" i="22"/>
  <c r="M159" i="22"/>
  <c r="M158" i="22"/>
  <c r="M157" i="22"/>
  <c r="M156" i="22"/>
  <c r="M154" i="22"/>
  <c r="M153" i="22"/>
  <c r="M152" i="22"/>
  <c r="M151" i="22"/>
  <c r="M149" i="22"/>
  <c r="M148" i="22"/>
  <c r="M147" i="22"/>
  <c r="M146" i="22"/>
  <c r="M144" i="22"/>
  <c r="M143" i="22"/>
  <c r="M142" i="22"/>
  <c r="M141" i="22"/>
  <c r="M139" i="22"/>
  <c r="M127" i="22"/>
  <c r="M126" i="22"/>
  <c r="M125" i="22"/>
  <c r="M124" i="22"/>
  <c r="M122" i="22"/>
  <c r="M121" i="22"/>
  <c r="M120" i="22"/>
  <c r="M119" i="22"/>
  <c r="M117" i="22"/>
  <c r="M116" i="22"/>
  <c r="M115" i="22"/>
  <c r="M114" i="22"/>
  <c r="M112" i="22"/>
  <c r="M111" i="22"/>
  <c r="M110" i="22"/>
  <c r="M109" i="22"/>
  <c r="M107" i="22"/>
  <c r="M94" i="22"/>
  <c r="M93" i="22"/>
  <c r="M92" i="22"/>
  <c r="M91" i="22"/>
  <c r="M89" i="22"/>
  <c r="M88" i="22"/>
  <c r="M87" i="22"/>
  <c r="M86" i="22"/>
  <c r="M84" i="22"/>
  <c r="M83" i="22"/>
  <c r="M82" i="22"/>
  <c r="M81" i="22"/>
  <c r="M79" i="22"/>
  <c r="M78" i="22"/>
  <c r="M77" i="22"/>
  <c r="M76" i="22"/>
  <c r="M74" i="22"/>
  <c r="M61" i="22"/>
  <c r="M60" i="22"/>
  <c r="M59" i="22"/>
  <c r="M58" i="22"/>
  <c r="M56" i="22"/>
  <c r="M55" i="22"/>
  <c r="M54" i="22"/>
  <c r="M53" i="22"/>
  <c r="M51" i="22"/>
  <c r="M50" i="22"/>
  <c r="M49" i="22"/>
  <c r="M48" i="22"/>
  <c r="M46" i="22"/>
  <c r="M45" i="22"/>
  <c r="M44" i="22"/>
  <c r="M43" i="22"/>
  <c r="M41" i="22"/>
  <c r="N28" i="22"/>
  <c r="M28" i="22"/>
  <c r="N27" i="22"/>
  <c r="M27" i="22"/>
  <c r="N26" i="22"/>
  <c r="M26" i="22"/>
  <c r="N25" i="22"/>
  <c r="M25" i="22"/>
  <c r="N23" i="22"/>
  <c r="M23" i="22"/>
  <c r="N22" i="22"/>
  <c r="M22" i="22"/>
  <c r="N21" i="22"/>
  <c r="M21" i="22"/>
  <c r="N20" i="22"/>
  <c r="M20" i="22"/>
  <c r="N18" i="22"/>
  <c r="M18" i="22"/>
  <c r="N17" i="22"/>
  <c r="M17" i="22"/>
  <c r="N16" i="22"/>
  <c r="M16" i="22"/>
  <c r="N15" i="22"/>
  <c r="M15" i="22"/>
  <c r="N13" i="22"/>
  <c r="M13" i="22"/>
  <c r="N12" i="22"/>
  <c r="M12" i="22"/>
  <c r="N11" i="22"/>
  <c r="M11" i="22"/>
  <c r="N10" i="22"/>
  <c r="M10" i="22"/>
  <c r="N8" i="22"/>
  <c r="M8" i="22"/>
  <c r="D453" i="22" l="1"/>
  <c r="C453" i="22"/>
  <c r="B453" i="22"/>
  <c r="E453" i="22"/>
  <c r="E550" i="22"/>
  <c r="J550" i="22" s="1"/>
  <c r="B550" i="22"/>
  <c r="C550" i="22"/>
  <c r="H550" i="22" s="1"/>
  <c r="D550" i="22"/>
  <c r="I550" i="22" s="1"/>
  <c r="S438" i="22"/>
  <c r="R438" i="22"/>
  <c r="S443" i="22"/>
  <c r="R443" i="22"/>
  <c r="S448" i="22"/>
  <c r="R448" i="22"/>
  <c r="S453" i="22"/>
  <c r="R453" i="22"/>
  <c r="D551" i="22"/>
  <c r="I551" i="22" s="1"/>
  <c r="C551" i="22"/>
  <c r="H551" i="22" s="1"/>
  <c r="E551" i="22"/>
  <c r="J551" i="22" s="1"/>
  <c r="B551" i="22"/>
  <c r="E439" i="22"/>
  <c r="D439" i="22"/>
  <c r="C439" i="22"/>
  <c r="B439" i="22"/>
  <c r="B444" i="22"/>
  <c r="E444" i="22"/>
  <c r="D444" i="22"/>
  <c r="C444" i="22"/>
  <c r="E449" i="22"/>
  <c r="D449" i="22"/>
  <c r="C449" i="22"/>
  <c r="B449" i="22"/>
  <c r="D454" i="22"/>
  <c r="E454" i="22"/>
  <c r="C454" i="22"/>
  <c r="B454" i="22"/>
  <c r="D443" i="22"/>
  <c r="E443" i="22"/>
  <c r="C443" i="22"/>
  <c r="B443" i="22"/>
  <c r="R439" i="22"/>
  <c r="S439" i="22"/>
  <c r="R454" i="22"/>
  <c r="S454" i="22"/>
  <c r="D435" i="22"/>
  <c r="E435" i="22"/>
  <c r="C435" i="22"/>
  <c r="B435" i="22"/>
  <c r="D445" i="22"/>
  <c r="C445" i="22"/>
  <c r="B445" i="22"/>
  <c r="E445" i="22"/>
  <c r="S435" i="22"/>
  <c r="R435" i="22"/>
  <c r="S440" i="22"/>
  <c r="R440" i="22"/>
  <c r="S445" i="22"/>
  <c r="R445" i="22"/>
  <c r="S450" i="22"/>
  <c r="R450" i="22"/>
  <c r="S455" i="22"/>
  <c r="R455" i="22"/>
  <c r="D438" i="22"/>
  <c r="C438" i="22"/>
  <c r="E438" i="22"/>
  <c r="B438" i="22"/>
  <c r="R444" i="22"/>
  <c r="S444" i="22"/>
  <c r="D450" i="22"/>
  <c r="C450" i="22"/>
  <c r="B450" i="22"/>
  <c r="E450" i="22"/>
  <c r="D437" i="22"/>
  <c r="E437" i="22"/>
  <c r="B437" i="22"/>
  <c r="C437" i="22"/>
  <c r="E442" i="22"/>
  <c r="D442" i="22"/>
  <c r="B442" i="22"/>
  <c r="C442" i="22"/>
  <c r="D447" i="22"/>
  <c r="E447" i="22"/>
  <c r="B447" i="22"/>
  <c r="C447" i="22"/>
  <c r="E452" i="22"/>
  <c r="D452" i="22"/>
  <c r="B452" i="22"/>
  <c r="C452" i="22"/>
  <c r="D448" i="22"/>
  <c r="E448" i="22"/>
  <c r="C448" i="22"/>
  <c r="B448" i="22"/>
  <c r="R449" i="22"/>
  <c r="S449" i="22"/>
  <c r="D440" i="22"/>
  <c r="C440" i="22"/>
  <c r="B440" i="22"/>
  <c r="E440" i="22"/>
  <c r="D455" i="22"/>
  <c r="C455" i="22"/>
  <c r="E455" i="22"/>
  <c r="B455" i="22"/>
  <c r="S437" i="22"/>
  <c r="R437" i="22"/>
  <c r="S442" i="22"/>
  <c r="R442" i="22"/>
  <c r="R447" i="22"/>
  <c r="S447" i="22"/>
  <c r="S452" i="22"/>
  <c r="R452" i="22"/>
  <c r="F550" i="22" l="1"/>
  <c r="K550" i="22" s="1"/>
  <c r="G550" i="22"/>
  <c r="F551" i="22"/>
  <c r="K551" i="22" s="1"/>
  <c r="G551" i="22"/>
  <c r="H977" i="8"/>
  <c r="T977" i="8" s="1"/>
  <c r="AJ977" i="8" s="1"/>
  <c r="I47" i="59" l="1"/>
  <c r="I46" i="59"/>
  <c r="I45" i="59"/>
  <c r="I44" i="59"/>
  <c r="I43" i="59"/>
  <c r="I42" i="59"/>
  <c r="I41" i="59"/>
  <c r="I40" i="59"/>
  <c r="I39" i="59"/>
  <c r="I38" i="59"/>
  <c r="I37" i="59"/>
  <c r="I36" i="59"/>
  <c r="I35" i="59"/>
  <c r="I34" i="59"/>
  <c r="I33" i="59"/>
  <c r="I32" i="59"/>
  <c r="I30" i="59"/>
  <c r="E432" i="64" l="1"/>
  <c r="D432" i="64"/>
  <c r="C432" i="64"/>
  <c r="B432" i="64"/>
  <c r="B441" i="64"/>
  <c r="E441" i="64"/>
  <c r="D441" i="64"/>
  <c r="C441" i="64"/>
  <c r="E448" i="64"/>
  <c r="C448" i="64"/>
  <c r="B448" i="64"/>
  <c r="D448" i="64"/>
  <c r="B438" i="64"/>
  <c r="E438" i="64"/>
  <c r="D438" i="64"/>
  <c r="C438" i="64"/>
  <c r="E447" i="64"/>
  <c r="D447" i="64"/>
  <c r="C447" i="64"/>
  <c r="B447" i="64"/>
  <c r="E437" i="64"/>
  <c r="D437" i="64"/>
  <c r="C437" i="64"/>
  <c r="B437" i="64"/>
  <c r="E446" i="64"/>
  <c r="C446" i="64"/>
  <c r="B446" i="64"/>
  <c r="D446" i="64"/>
  <c r="B436" i="64"/>
  <c r="C436" i="64"/>
  <c r="E436" i="64"/>
  <c r="D436" i="64"/>
  <c r="E445" i="64"/>
  <c r="D445" i="64"/>
  <c r="C445" i="64"/>
  <c r="B445" i="64"/>
  <c r="E435" i="64"/>
  <c r="D435" i="64"/>
  <c r="C435" i="64"/>
  <c r="B435" i="64"/>
  <c r="B443" i="64"/>
  <c r="E443" i="64"/>
  <c r="D443" i="64"/>
  <c r="C443" i="64"/>
  <c r="B433" i="64"/>
  <c r="E433" i="64"/>
  <c r="D433" i="64"/>
  <c r="C433" i="64"/>
  <c r="B428" i="64"/>
  <c r="D428" i="64"/>
  <c r="C428" i="64"/>
  <c r="E428" i="64"/>
  <c r="E440" i="64"/>
  <c r="D440" i="64"/>
  <c r="C440" i="64"/>
  <c r="B440" i="64"/>
  <c r="E430" i="64"/>
  <c r="D430" i="64"/>
  <c r="C430" i="64"/>
  <c r="B430" i="64"/>
  <c r="E442" i="64"/>
  <c r="D442" i="64"/>
  <c r="C442" i="64"/>
  <c r="B442" i="64"/>
  <c r="B431" i="64"/>
  <c r="E431" i="64"/>
  <c r="D431" i="64"/>
  <c r="C431" i="64"/>
  <c r="E7" i="53"/>
  <c r="AB1" i="8" l="1"/>
  <c r="C11" i="64" l="1"/>
  <c r="B380" i="64" l="1"/>
  <c r="C341" i="64" l="1"/>
  <c r="B71" i="64" l="1"/>
  <c r="D71" i="64"/>
  <c r="C71" i="64"/>
  <c r="B512" i="64" l="1"/>
  <c r="AO95" i="51" l="1"/>
  <c r="AN95" i="51"/>
  <c r="AM95" i="51"/>
  <c r="AL95" i="51"/>
  <c r="AK95" i="51"/>
  <c r="AJ95" i="51"/>
  <c r="AI95" i="51"/>
  <c r="AH95" i="51"/>
  <c r="AG95" i="51"/>
  <c r="AF95" i="51"/>
  <c r="AE95" i="51"/>
  <c r="AD95" i="51"/>
  <c r="AC95" i="51"/>
  <c r="AB95" i="51"/>
  <c r="AA95" i="51"/>
  <c r="Z95" i="51"/>
  <c r="AO93" i="51"/>
  <c r="AN93" i="51"/>
  <c r="AM93" i="51"/>
  <c r="AL93" i="51"/>
  <c r="AK93" i="51"/>
  <c r="AJ93" i="51"/>
  <c r="AI93" i="51"/>
  <c r="AH93" i="51"/>
  <c r="AG93" i="51"/>
  <c r="AF93" i="51"/>
  <c r="AE93" i="51"/>
  <c r="AD93" i="51"/>
  <c r="AC93" i="51"/>
  <c r="AB93" i="51"/>
  <c r="AA93" i="51"/>
  <c r="Z93" i="51"/>
  <c r="AO91" i="51"/>
  <c r="AN91" i="51"/>
  <c r="AM91" i="51"/>
  <c r="AL91" i="51"/>
  <c r="AK91" i="51"/>
  <c r="AJ91" i="51"/>
  <c r="AI91" i="51"/>
  <c r="AH91" i="51"/>
  <c r="AG91" i="51"/>
  <c r="AF91" i="51"/>
  <c r="AE91" i="51"/>
  <c r="AD91" i="51"/>
  <c r="AC91" i="51"/>
  <c r="AB91" i="51"/>
  <c r="AA91" i="51"/>
  <c r="Z91" i="51"/>
  <c r="AO89" i="51"/>
  <c r="AN89" i="51"/>
  <c r="AM89" i="51"/>
  <c r="AL89" i="51"/>
  <c r="AK89" i="51"/>
  <c r="AJ89" i="51"/>
  <c r="AI89" i="51"/>
  <c r="AH89" i="51"/>
  <c r="AG89" i="51"/>
  <c r="AF89" i="51"/>
  <c r="AE89" i="51"/>
  <c r="AD89" i="51"/>
  <c r="AC89" i="51"/>
  <c r="AB89" i="51"/>
  <c r="AA89" i="51"/>
  <c r="Z89" i="51"/>
  <c r="AO87" i="51"/>
  <c r="AN87" i="51"/>
  <c r="AM87" i="51"/>
  <c r="AL87" i="51"/>
  <c r="AK87" i="51"/>
  <c r="AJ87" i="51"/>
  <c r="AI87" i="51"/>
  <c r="AH87" i="51"/>
  <c r="AG87" i="51"/>
  <c r="AF87" i="51"/>
  <c r="AE87" i="51"/>
  <c r="AD87" i="51"/>
  <c r="AC87" i="51"/>
  <c r="AB87" i="51"/>
  <c r="AA87" i="51"/>
  <c r="Z87" i="51"/>
  <c r="AO85" i="51"/>
  <c r="AN85" i="51"/>
  <c r="AM85" i="51"/>
  <c r="AL85" i="51"/>
  <c r="AK85" i="51"/>
  <c r="AJ85" i="51"/>
  <c r="AI85" i="51"/>
  <c r="AH85" i="51"/>
  <c r="AG85" i="51"/>
  <c r="AF85" i="51"/>
  <c r="AE85" i="51"/>
  <c r="AD85" i="51"/>
  <c r="AC85" i="51"/>
  <c r="AB85" i="51"/>
  <c r="AA85" i="51"/>
  <c r="Z85" i="51"/>
  <c r="AO83" i="51"/>
  <c r="AN83" i="51"/>
  <c r="AM83" i="51"/>
  <c r="AL83" i="51"/>
  <c r="AK83" i="51"/>
  <c r="AJ83" i="51"/>
  <c r="AI83" i="51"/>
  <c r="AH83" i="51"/>
  <c r="AG83" i="51"/>
  <c r="AF83" i="51"/>
  <c r="AE83" i="51"/>
  <c r="AD83" i="51"/>
  <c r="AC83" i="51"/>
  <c r="AB83" i="51"/>
  <c r="AA83" i="51"/>
  <c r="Z83" i="51"/>
  <c r="AO81" i="51"/>
  <c r="AN81" i="51"/>
  <c r="AM81" i="51"/>
  <c r="AL81" i="51"/>
  <c r="AK81" i="51"/>
  <c r="AJ81" i="51"/>
  <c r="AI81" i="51"/>
  <c r="AH81" i="51"/>
  <c r="AG81" i="51"/>
  <c r="AF81" i="51"/>
  <c r="AE81" i="51"/>
  <c r="AD81" i="51"/>
  <c r="AC81" i="51"/>
  <c r="AB81" i="51"/>
  <c r="AA81" i="51"/>
  <c r="Z81" i="51"/>
  <c r="AO79" i="51"/>
  <c r="AN79" i="51"/>
  <c r="AM79" i="51"/>
  <c r="AL79" i="51"/>
  <c r="AK79" i="51"/>
  <c r="AJ79" i="51"/>
  <c r="AI79" i="51"/>
  <c r="AH79" i="51"/>
  <c r="AG79" i="51"/>
  <c r="AF79" i="51"/>
  <c r="AE79" i="51"/>
  <c r="AD79" i="51"/>
  <c r="AC79" i="51"/>
  <c r="AB79" i="51"/>
  <c r="AA79" i="51"/>
  <c r="Z79" i="51"/>
  <c r="AO77" i="51"/>
  <c r="AN77" i="51"/>
  <c r="AM77" i="51"/>
  <c r="AL77" i="51"/>
  <c r="AK77" i="51"/>
  <c r="AJ77" i="51"/>
  <c r="AI77" i="51"/>
  <c r="AH77" i="51"/>
  <c r="AG77" i="51"/>
  <c r="AF77" i="51"/>
  <c r="AE77" i="51"/>
  <c r="AD77" i="51"/>
  <c r="AC77" i="51"/>
  <c r="AB77" i="51"/>
  <c r="AA77" i="51"/>
  <c r="Z77" i="51"/>
  <c r="AO75" i="51"/>
  <c r="AN75" i="51"/>
  <c r="AM75" i="51"/>
  <c r="AL75" i="51"/>
  <c r="AK75" i="51"/>
  <c r="AJ75" i="51"/>
  <c r="AI75" i="51"/>
  <c r="AH75" i="51"/>
  <c r="AG75" i="51"/>
  <c r="AF75" i="51"/>
  <c r="AE75" i="51"/>
  <c r="AD75" i="51"/>
  <c r="AC75" i="51"/>
  <c r="AB75" i="51"/>
  <c r="AA75" i="51"/>
  <c r="Z75" i="51"/>
  <c r="AO73" i="51"/>
  <c r="AN73" i="51"/>
  <c r="AM73" i="51"/>
  <c r="AL73" i="51"/>
  <c r="AK73" i="51"/>
  <c r="AJ73" i="51"/>
  <c r="AI73" i="51"/>
  <c r="AH73" i="51"/>
  <c r="AG73" i="51"/>
  <c r="AF73" i="51"/>
  <c r="AE73" i="51"/>
  <c r="AD73" i="51"/>
  <c r="AC73" i="51"/>
  <c r="AB73" i="51"/>
  <c r="AA73" i="51"/>
  <c r="Z73" i="51"/>
  <c r="AO71" i="51"/>
  <c r="AN71" i="51"/>
  <c r="AM71" i="51"/>
  <c r="AL71" i="51"/>
  <c r="AK71" i="51"/>
  <c r="AJ71" i="51"/>
  <c r="AI71" i="51"/>
  <c r="AH71" i="51"/>
  <c r="AG71" i="51"/>
  <c r="AF71" i="51"/>
  <c r="AE71" i="51"/>
  <c r="AD71" i="51"/>
  <c r="AC71" i="51"/>
  <c r="AB71" i="51"/>
  <c r="AA71" i="51"/>
  <c r="Z71" i="51"/>
  <c r="AO69" i="51"/>
  <c r="AN69" i="51"/>
  <c r="AM69" i="51"/>
  <c r="AL69" i="51"/>
  <c r="AK69" i="51"/>
  <c r="AJ69" i="51"/>
  <c r="AI69" i="51"/>
  <c r="AH69" i="51"/>
  <c r="AG69" i="51"/>
  <c r="AF69" i="51"/>
  <c r="AE69" i="51"/>
  <c r="AD69" i="51"/>
  <c r="AC69" i="51"/>
  <c r="AB69" i="51"/>
  <c r="AA69" i="51"/>
  <c r="Z69" i="51"/>
  <c r="AO67" i="51"/>
  <c r="AN67" i="51"/>
  <c r="AM67" i="51"/>
  <c r="AL67" i="51"/>
  <c r="AK67" i="51"/>
  <c r="AJ67" i="51"/>
  <c r="AI67" i="51"/>
  <c r="AH67" i="51"/>
  <c r="AG67" i="51"/>
  <c r="AF67" i="51"/>
  <c r="AE67" i="51"/>
  <c r="AD67" i="51"/>
  <c r="AC67" i="51"/>
  <c r="AB67" i="51"/>
  <c r="AA67" i="51"/>
  <c r="Z67" i="51"/>
  <c r="AO65" i="51"/>
  <c r="AN65" i="51"/>
  <c r="AM65" i="51"/>
  <c r="AL65" i="51"/>
  <c r="AK65" i="51"/>
  <c r="AJ65" i="51"/>
  <c r="AI65" i="51"/>
  <c r="AH65" i="51"/>
  <c r="AG65" i="51"/>
  <c r="AF65" i="51"/>
  <c r="AE65" i="51"/>
  <c r="AD65" i="51"/>
  <c r="AC65" i="51"/>
  <c r="AB65" i="51"/>
  <c r="AA65" i="51"/>
  <c r="Z65" i="51"/>
  <c r="AO63" i="51"/>
  <c r="AN63" i="51"/>
  <c r="AM63" i="51"/>
  <c r="AL63" i="51"/>
  <c r="AK63" i="51"/>
  <c r="AJ63" i="51"/>
  <c r="AI63" i="51"/>
  <c r="AH63" i="51"/>
  <c r="AG63" i="51"/>
  <c r="AF63" i="51"/>
  <c r="AE63" i="51"/>
  <c r="AD63" i="51"/>
  <c r="AC63" i="51"/>
  <c r="AB63" i="51"/>
  <c r="AA63" i="51"/>
  <c r="Z63" i="51"/>
  <c r="AO61" i="51"/>
  <c r="AN61" i="51"/>
  <c r="AM61" i="51"/>
  <c r="AL61" i="51"/>
  <c r="AK61" i="51"/>
  <c r="AJ61" i="51"/>
  <c r="AI61" i="51"/>
  <c r="AH61" i="51"/>
  <c r="AG61" i="51"/>
  <c r="AF61" i="51"/>
  <c r="AE61" i="51"/>
  <c r="AD61" i="51"/>
  <c r="AC61" i="51"/>
  <c r="AB61" i="51"/>
  <c r="AA61" i="51"/>
  <c r="Z61" i="51"/>
  <c r="AO59" i="51"/>
  <c r="AN59" i="51"/>
  <c r="AM59" i="51"/>
  <c r="AL59" i="51"/>
  <c r="AK59" i="51"/>
  <c r="AJ59" i="51"/>
  <c r="AI59" i="51"/>
  <c r="AH59" i="51"/>
  <c r="AG59" i="51"/>
  <c r="AF59" i="51"/>
  <c r="AE59" i="51"/>
  <c r="AD59" i="51"/>
  <c r="AC59" i="51"/>
  <c r="AB59" i="51"/>
  <c r="AA59" i="51"/>
  <c r="Z59" i="51"/>
  <c r="AO57" i="51"/>
  <c r="AN57" i="51"/>
  <c r="AM57" i="51"/>
  <c r="AL57" i="51"/>
  <c r="AK57" i="51"/>
  <c r="AJ57" i="51"/>
  <c r="AI57" i="51"/>
  <c r="AH57" i="51"/>
  <c r="AG57" i="51"/>
  <c r="AF57" i="51"/>
  <c r="AE57" i="51"/>
  <c r="AD57" i="51"/>
  <c r="AC57" i="51"/>
  <c r="AB57" i="51"/>
  <c r="AA57" i="51"/>
  <c r="Z57" i="51"/>
  <c r="AO55" i="51"/>
  <c r="AN55" i="51"/>
  <c r="AM55" i="51"/>
  <c r="AL55" i="51"/>
  <c r="AK55" i="51"/>
  <c r="AJ55" i="51"/>
  <c r="AI55" i="51"/>
  <c r="AH55" i="51"/>
  <c r="AG55" i="51"/>
  <c r="AF55" i="51"/>
  <c r="AE55" i="51"/>
  <c r="AD55" i="51"/>
  <c r="AC55" i="51"/>
  <c r="AB55" i="51"/>
  <c r="AA55" i="51"/>
  <c r="Z55" i="51"/>
  <c r="AO53" i="51"/>
  <c r="AN53" i="51"/>
  <c r="AM53" i="51"/>
  <c r="AL53" i="51"/>
  <c r="AK53" i="51"/>
  <c r="AJ53" i="51"/>
  <c r="AI53" i="51"/>
  <c r="AH53" i="51"/>
  <c r="AG53" i="51"/>
  <c r="AF53" i="51"/>
  <c r="AE53" i="51"/>
  <c r="AD53" i="51"/>
  <c r="AC53" i="51"/>
  <c r="AB53" i="51"/>
  <c r="AA53" i="51"/>
  <c r="Z53" i="51"/>
  <c r="AO51" i="51"/>
  <c r="AN51" i="51"/>
  <c r="AM51" i="51"/>
  <c r="AL51" i="51"/>
  <c r="AK51" i="51"/>
  <c r="AJ51" i="51"/>
  <c r="AI51" i="51"/>
  <c r="AH51" i="51"/>
  <c r="AG51" i="51"/>
  <c r="AF51" i="51"/>
  <c r="AE51" i="51"/>
  <c r="AD51" i="51"/>
  <c r="AC51" i="51"/>
  <c r="AB51" i="51"/>
  <c r="AA51" i="51"/>
  <c r="Z51" i="51"/>
  <c r="AO49" i="51"/>
  <c r="AN49" i="51"/>
  <c r="AM49" i="51"/>
  <c r="AL49" i="51"/>
  <c r="AK49" i="51"/>
  <c r="AJ49" i="51"/>
  <c r="AI49" i="51"/>
  <c r="AH49" i="51"/>
  <c r="AG49" i="51"/>
  <c r="AF49" i="51"/>
  <c r="AE49" i="51"/>
  <c r="AD49" i="51"/>
  <c r="AC49" i="51"/>
  <c r="AB49" i="51"/>
  <c r="AA49" i="51"/>
  <c r="Z49" i="51"/>
  <c r="AO47" i="51"/>
  <c r="AN47" i="51"/>
  <c r="AM47" i="51"/>
  <c r="AL47" i="51"/>
  <c r="AK47" i="51"/>
  <c r="AJ47" i="51"/>
  <c r="AI47" i="51"/>
  <c r="AH47" i="51"/>
  <c r="AG47" i="51"/>
  <c r="AF47" i="51"/>
  <c r="AE47" i="51"/>
  <c r="AD47" i="51"/>
  <c r="AC47" i="51"/>
  <c r="AB47" i="51"/>
  <c r="AA47" i="51"/>
  <c r="Z47" i="51"/>
  <c r="AO45" i="51"/>
  <c r="AN45" i="51"/>
  <c r="AM45" i="51"/>
  <c r="AL45" i="51"/>
  <c r="AK45" i="51"/>
  <c r="AJ45" i="51"/>
  <c r="AI45" i="51"/>
  <c r="AH45" i="51"/>
  <c r="AG45" i="51"/>
  <c r="AF45" i="51"/>
  <c r="AE45" i="51"/>
  <c r="AD45" i="51"/>
  <c r="AC45" i="51"/>
  <c r="AB45" i="51"/>
  <c r="AA45" i="51"/>
  <c r="Z45" i="51"/>
  <c r="AO43" i="51"/>
  <c r="AN43" i="51"/>
  <c r="AM43" i="51"/>
  <c r="AL43" i="51"/>
  <c r="AK43" i="51"/>
  <c r="AJ43" i="51"/>
  <c r="AI43" i="51"/>
  <c r="AH43" i="51"/>
  <c r="AG43" i="51"/>
  <c r="AF43" i="51"/>
  <c r="AE43" i="51"/>
  <c r="AD43" i="51"/>
  <c r="AC43" i="51"/>
  <c r="AB43" i="51"/>
  <c r="AA43" i="51"/>
  <c r="Z43" i="51"/>
  <c r="AO41" i="51"/>
  <c r="AN41" i="51"/>
  <c r="AM41" i="51"/>
  <c r="AL41" i="51"/>
  <c r="AK41" i="51"/>
  <c r="AJ41" i="51"/>
  <c r="AI41" i="51"/>
  <c r="AH41" i="51"/>
  <c r="AG41" i="51"/>
  <c r="AF41" i="51"/>
  <c r="AE41" i="51"/>
  <c r="AD41" i="51"/>
  <c r="AC41" i="51"/>
  <c r="AB41" i="51"/>
  <c r="AA41" i="51"/>
  <c r="Z41" i="51"/>
  <c r="AO39" i="51"/>
  <c r="AN39" i="51"/>
  <c r="AM39" i="51"/>
  <c r="AL39" i="51"/>
  <c r="AK39" i="51"/>
  <c r="AJ39" i="51"/>
  <c r="AI39" i="51"/>
  <c r="AH39" i="51"/>
  <c r="AG39" i="51"/>
  <c r="AF39" i="51"/>
  <c r="AE39" i="51"/>
  <c r="AD39" i="51"/>
  <c r="AC39" i="51"/>
  <c r="AB39" i="51"/>
  <c r="AA39" i="51"/>
  <c r="Z39" i="51"/>
  <c r="AO37" i="51"/>
  <c r="AN37" i="51"/>
  <c r="AM37" i="51"/>
  <c r="AL37" i="51"/>
  <c r="AK37" i="51"/>
  <c r="AJ37" i="51"/>
  <c r="AI37" i="51"/>
  <c r="AH37" i="51"/>
  <c r="AG37" i="51"/>
  <c r="AF37" i="51"/>
  <c r="AE37" i="51"/>
  <c r="AD37" i="51"/>
  <c r="AC37" i="51"/>
  <c r="AB37" i="51"/>
  <c r="AA37" i="51"/>
  <c r="Z37" i="51"/>
  <c r="AO35" i="51"/>
  <c r="AN35" i="51"/>
  <c r="AM35" i="51"/>
  <c r="AL35" i="51"/>
  <c r="AK35" i="51"/>
  <c r="AJ35" i="51"/>
  <c r="AI35" i="51"/>
  <c r="AH35" i="51"/>
  <c r="AG35" i="51"/>
  <c r="AF35" i="51"/>
  <c r="AE35" i="51"/>
  <c r="AD35" i="51"/>
  <c r="AC35" i="51"/>
  <c r="AB35" i="51"/>
  <c r="AA35" i="51"/>
  <c r="Z35" i="51"/>
  <c r="AO33" i="51"/>
  <c r="AN33" i="51"/>
  <c r="AM33" i="51"/>
  <c r="AL33" i="51"/>
  <c r="AK33" i="51"/>
  <c r="AJ33" i="51"/>
  <c r="AI33" i="51"/>
  <c r="AH33" i="51"/>
  <c r="AG33" i="51"/>
  <c r="AF33" i="51"/>
  <c r="AE33" i="51"/>
  <c r="AD33" i="51"/>
  <c r="AC33" i="51"/>
  <c r="AB33" i="51"/>
  <c r="AA33" i="51"/>
  <c r="Z33" i="51"/>
  <c r="AO31" i="51"/>
  <c r="AN31" i="51"/>
  <c r="AM31" i="51"/>
  <c r="AL31" i="51"/>
  <c r="AK31" i="51"/>
  <c r="AJ31" i="51"/>
  <c r="AI31" i="51"/>
  <c r="AH31" i="51"/>
  <c r="AG31" i="51"/>
  <c r="AF31" i="51"/>
  <c r="AE31" i="51"/>
  <c r="AD31" i="51"/>
  <c r="AC31" i="51"/>
  <c r="AB31" i="51"/>
  <c r="AA31" i="51"/>
  <c r="Z31" i="51"/>
  <c r="AO29" i="51"/>
  <c r="AN29" i="51"/>
  <c r="AM29" i="51"/>
  <c r="AL29" i="51"/>
  <c r="AK29" i="51"/>
  <c r="AJ29" i="51"/>
  <c r="AI29" i="51"/>
  <c r="AH29" i="51"/>
  <c r="AG29" i="51"/>
  <c r="AF29" i="51"/>
  <c r="AE29" i="51"/>
  <c r="AD29" i="51"/>
  <c r="AC29" i="51"/>
  <c r="AB29" i="51"/>
  <c r="AA29" i="51"/>
  <c r="Z29" i="51"/>
  <c r="AO27" i="51"/>
  <c r="AN27" i="51"/>
  <c r="AM27" i="51"/>
  <c r="AL27" i="51"/>
  <c r="AK27" i="51"/>
  <c r="AJ27" i="51"/>
  <c r="AI27" i="51"/>
  <c r="AH27" i="51"/>
  <c r="AG27" i="51"/>
  <c r="AF27" i="51"/>
  <c r="AE27" i="51"/>
  <c r="AD27" i="51"/>
  <c r="AC27" i="51"/>
  <c r="AB27" i="51"/>
  <c r="AA27" i="51"/>
  <c r="Z27" i="51"/>
  <c r="AO25" i="51"/>
  <c r="AN25" i="51"/>
  <c r="AM25" i="51"/>
  <c r="AL25" i="51"/>
  <c r="AK25" i="51"/>
  <c r="AJ25" i="51"/>
  <c r="AI25" i="51"/>
  <c r="AH25" i="51"/>
  <c r="AG25" i="51"/>
  <c r="AF25" i="51"/>
  <c r="AE25" i="51"/>
  <c r="AD25" i="51"/>
  <c r="AC25" i="51"/>
  <c r="AB25" i="51"/>
  <c r="AA25" i="51"/>
  <c r="Z25" i="51"/>
  <c r="AO23" i="51"/>
  <c r="AN23" i="51"/>
  <c r="AM23" i="51"/>
  <c r="AL23" i="51"/>
  <c r="AK23" i="51"/>
  <c r="AJ23" i="51"/>
  <c r="AI23" i="51"/>
  <c r="AH23" i="51"/>
  <c r="AG23" i="51"/>
  <c r="AF23" i="51"/>
  <c r="AE23" i="51"/>
  <c r="AD23" i="51"/>
  <c r="AC23" i="51"/>
  <c r="AB23" i="51"/>
  <c r="AA23" i="51"/>
  <c r="Z23" i="51"/>
  <c r="AO21" i="51"/>
  <c r="AN21" i="51"/>
  <c r="AM21" i="51"/>
  <c r="AL21" i="51"/>
  <c r="AK21" i="51"/>
  <c r="AJ21" i="51"/>
  <c r="AI21" i="51"/>
  <c r="AH21" i="51"/>
  <c r="AG21" i="51"/>
  <c r="AF21" i="51"/>
  <c r="AE21" i="51"/>
  <c r="AD21" i="51"/>
  <c r="AC21" i="51"/>
  <c r="AB21" i="51"/>
  <c r="AA21" i="51"/>
  <c r="Z21" i="51"/>
  <c r="AO19" i="51"/>
  <c r="AN19" i="51"/>
  <c r="AM19" i="51"/>
  <c r="AL19" i="51"/>
  <c r="AK19" i="51"/>
  <c r="AJ19" i="51"/>
  <c r="AI19" i="51"/>
  <c r="AH19" i="51"/>
  <c r="AG19" i="51"/>
  <c r="AF19" i="51"/>
  <c r="AE19" i="51"/>
  <c r="AD19" i="51"/>
  <c r="AC19" i="51"/>
  <c r="AB19" i="51"/>
  <c r="AA19" i="51"/>
  <c r="Z19" i="51"/>
  <c r="AO17" i="51"/>
  <c r="AN17" i="51"/>
  <c r="AM17" i="51"/>
  <c r="AL17" i="51"/>
  <c r="AK17" i="51"/>
  <c r="AJ17" i="51"/>
  <c r="AI17" i="51"/>
  <c r="AH17" i="51"/>
  <c r="AG17" i="51"/>
  <c r="AF17" i="51"/>
  <c r="AE17" i="51"/>
  <c r="AD17" i="51"/>
  <c r="AC17" i="51"/>
  <c r="AB17" i="51"/>
  <c r="AA17" i="51"/>
  <c r="Z17" i="51"/>
  <c r="AO15" i="51"/>
  <c r="AN15" i="51"/>
  <c r="AM15" i="51"/>
  <c r="AL15" i="51"/>
  <c r="AK15" i="51"/>
  <c r="AJ15" i="51"/>
  <c r="AI15" i="51"/>
  <c r="AH15" i="51"/>
  <c r="AG15" i="51"/>
  <c r="AF15" i="51"/>
  <c r="AE15" i="51"/>
  <c r="AD15" i="51"/>
  <c r="AC15" i="51"/>
  <c r="AB15" i="51"/>
  <c r="AA15" i="51"/>
  <c r="Z15" i="51"/>
  <c r="AO13" i="51"/>
  <c r="AN13" i="51"/>
  <c r="AM13" i="51"/>
  <c r="AL13" i="51"/>
  <c r="AK13" i="51"/>
  <c r="AJ13" i="51"/>
  <c r="AI13" i="51"/>
  <c r="AH13" i="51"/>
  <c r="AG13" i="51"/>
  <c r="AF13" i="51"/>
  <c r="AE13" i="51"/>
  <c r="AD13" i="51"/>
  <c r="AC13" i="51"/>
  <c r="AB13" i="51"/>
  <c r="AA13" i="51"/>
  <c r="Z13" i="51"/>
  <c r="AO11" i="51"/>
  <c r="AN11" i="51"/>
  <c r="AM11" i="51"/>
  <c r="AL11" i="51"/>
  <c r="AK11" i="51"/>
  <c r="AJ11" i="51"/>
  <c r="AI11" i="51"/>
  <c r="AH11" i="51"/>
  <c r="AG11" i="51"/>
  <c r="AF11" i="51"/>
  <c r="AE11" i="51"/>
  <c r="AD11" i="51"/>
  <c r="AC11" i="51"/>
  <c r="AB11" i="51"/>
  <c r="AA11" i="51"/>
  <c r="Z11" i="51"/>
  <c r="AO9" i="51"/>
  <c r="AN9" i="51"/>
  <c r="AM9" i="51"/>
  <c r="AL9" i="51"/>
  <c r="AK9" i="51"/>
  <c r="AJ9" i="51"/>
  <c r="AI9" i="51"/>
  <c r="AH9" i="51"/>
  <c r="AG9" i="51"/>
  <c r="AF9" i="51"/>
  <c r="AE9" i="51"/>
  <c r="AD9" i="51"/>
  <c r="AC9" i="51"/>
  <c r="AB9" i="51"/>
  <c r="AA9" i="51"/>
  <c r="Z9" i="51"/>
  <c r="AO7" i="51"/>
  <c r="AN7" i="51"/>
  <c r="AM7" i="51"/>
  <c r="AL7" i="51"/>
  <c r="AK7" i="51"/>
  <c r="AJ7" i="51"/>
  <c r="AI7" i="51"/>
  <c r="AH7" i="51"/>
  <c r="AG7" i="51"/>
  <c r="AF7" i="51"/>
  <c r="AE7" i="51"/>
  <c r="AD7" i="51"/>
  <c r="AC7" i="51"/>
  <c r="AB7" i="51"/>
  <c r="AA7" i="51"/>
  <c r="Z7" i="51"/>
  <c r="AO5" i="51"/>
  <c r="AN5" i="51"/>
  <c r="AM5" i="51"/>
  <c r="AL5" i="51"/>
  <c r="AK5" i="51"/>
  <c r="AJ5" i="51"/>
  <c r="AI5" i="51"/>
  <c r="AH5" i="51"/>
  <c r="AG5" i="51"/>
  <c r="AF5" i="51"/>
  <c r="AE5" i="51"/>
  <c r="AD5" i="51"/>
  <c r="AC5" i="51"/>
  <c r="AB5" i="51"/>
  <c r="AA5" i="51"/>
  <c r="Z5" i="51"/>
  <c r="E268" i="64" l="1"/>
  <c r="B52" i="64" l="1"/>
  <c r="B56" i="64"/>
  <c r="B51" i="64"/>
  <c r="B59" i="64"/>
  <c r="B44" i="64"/>
  <c r="B47" i="64"/>
  <c r="B53" i="64"/>
  <c r="B42" i="64"/>
  <c r="B57" i="64"/>
  <c r="B43" i="64"/>
  <c r="B49" i="64"/>
  <c r="B58" i="64"/>
  <c r="B48" i="64"/>
  <c r="B46" i="64"/>
  <c r="B54" i="64"/>
  <c r="C39" i="64" l="1"/>
  <c r="D39" i="64"/>
  <c r="B39" i="64"/>
  <c r="C41" i="64"/>
  <c r="D41" i="64"/>
  <c r="B41" i="64"/>
  <c r="L47" i="59"/>
  <c r="L46" i="59"/>
  <c r="L45" i="59"/>
  <c r="L44" i="59"/>
  <c r="L43" i="59"/>
  <c r="L42" i="59"/>
  <c r="L41" i="59"/>
  <c r="L40" i="59"/>
  <c r="L39" i="59"/>
  <c r="L38" i="59"/>
  <c r="L37" i="59"/>
  <c r="L36" i="59"/>
  <c r="L35" i="59"/>
  <c r="L34" i="59"/>
  <c r="L33" i="59"/>
  <c r="L32" i="59"/>
  <c r="L30" i="59"/>
  <c r="L23" i="59"/>
  <c r="L22" i="59"/>
  <c r="L21" i="59"/>
  <c r="L20" i="59"/>
  <c r="L19" i="59"/>
  <c r="L18" i="59"/>
  <c r="L17" i="59"/>
  <c r="L16" i="59"/>
  <c r="L15" i="59"/>
  <c r="L14" i="59"/>
  <c r="L13" i="59"/>
  <c r="L12" i="59"/>
  <c r="L11" i="59"/>
  <c r="L10" i="59"/>
  <c r="L9" i="59"/>
  <c r="L8" i="59"/>
  <c r="L6" i="59"/>
  <c r="S47" i="59"/>
  <c r="S46" i="59"/>
  <c r="S45" i="59"/>
  <c r="S44" i="59"/>
  <c r="S43" i="59"/>
  <c r="S42" i="59"/>
  <c r="S41" i="59"/>
  <c r="S40" i="59"/>
  <c r="S39" i="59"/>
  <c r="S38" i="59"/>
  <c r="S37" i="59"/>
  <c r="S36" i="59"/>
  <c r="S35" i="59"/>
  <c r="S34" i="59"/>
  <c r="S33" i="59"/>
  <c r="S32" i="59"/>
  <c r="S30" i="59"/>
  <c r="R47" i="59"/>
  <c r="R46" i="59"/>
  <c r="R45" i="59"/>
  <c r="R44" i="59"/>
  <c r="R43" i="59"/>
  <c r="R42" i="59"/>
  <c r="R41" i="59"/>
  <c r="R40" i="59"/>
  <c r="R39" i="59"/>
  <c r="R38" i="59"/>
  <c r="R37" i="59"/>
  <c r="R36" i="59"/>
  <c r="R35" i="59"/>
  <c r="R34" i="59"/>
  <c r="R33" i="59"/>
  <c r="R32" i="59"/>
  <c r="R30" i="59"/>
  <c r="Q47" i="59"/>
  <c r="Q46" i="59"/>
  <c r="Q45" i="59"/>
  <c r="Q44" i="59"/>
  <c r="Q43" i="59"/>
  <c r="Q42" i="59"/>
  <c r="Q41" i="59"/>
  <c r="Q40" i="59"/>
  <c r="Q39" i="59"/>
  <c r="Q38" i="59"/>
  <c r="Q37" i="59"/>
  <c r="Q36" i="59"/>
  <c r="Q35" i="59"/>
  <c r="Q34" i="59"/>
  <c r="Q33" i="59"/>
  <c r="Q32" i="59"/>
  <c r="Q30" i="59"/>
  <c r="P47" i="59"/>
  <c r="P46" i="59"/>
  <c r="P45" i="59"/>
  <c r="P44" i="59"/>
  <c r="P43" i="59"/>
  <c r="P42" i="59"/>
  <c r="P41" i="59"/>
  <c r="P40" i="59"/>
  <c r="P39" i="59"/>
  <c r="P38" i="59"/>
  <c r="P37" i="59"/>
  <c r="P36" i="59"/>
  <c r="P35" i="59"/>
  <c r="P34" i="59"/>
  <c r="P33" i="59"/>
  <c r="P32" i="59"/>
  <c r="P30" i="59"/>
  <c r="O47" i="59"/>
  <c r="O46" i="59"/>
  <c r="O45" i="59"/>
  <c r="O44" i="59"/>
  <c r="O43" i="59"/>
  <c r="O42" i="59"/>
  <c r="O41" i="59"/>
  <c r="O40" i="59"/>
  <c r="O39" i="59"/>
  <c r="O38" i="59"/>
  <c r="O37" i="59"/>
  <c r="O36" i="59"/>
  <c r="O35" i="59"/>
  <c r="O34" i="59"/>
  <c r="O33" i="59"/>
  <c r="O32" i="59"/>
  <c r="O30" i="59"/>
  <c r="N47" i="59"/>
  <c r="N46" i="59"/>
  <c r="N45" i="59"/>
  <c r="N44" i="59"/>
  <c r="N43" i="59"/>
  <c r="N42" i="59"/>
  <c r="N41" i="59"/>
  <c r="N40" i="59"/>
  <c r="N39" i="59"/>
  <c r="N38" i="59"/>
  <c r="N37" i="59"/>
  <c r="N36" i="59"/>
  <c r="N35" i="59"/>
  <c r="N34" i="59"/>
  <c r="N33" i="59"/>
  <c r="N32" i="59"/>
  <c r="N30" i="59"/>
  <c r="H47" i="59"/>
  <c r="H46" i="59"/>
  <c r="H45" i="59"/>
  <c r="H44" i="59"/>
  <c r="H43" i="59"/>
  <c r="H42" i="59"/>
  <c r="H41" i="59"/>
  <c r="H40" i="59"/>
  <c r="H39" i="59"/>
  <c r="H38" i="59"/>
  <c r="H37" i="59"/>
  <c r="H36" i="59"/>
  <c r="H35" i="59"/>
  <c r="H34" i="59"/>
  <c r="H33" i="59"/>
  <c r="H32" i="59"/>
  <c r="H30" i="59"/>
  <c r="G47" i="59"/>
  <c r="G46" i="59"/>
  <c r="G45" i="59"/>
  <c r="G44" i="59"/>
  <c r="G43" i="59"/>
  <c r="G42" i="59"/>
  <c r="G41" i="59"/>
  <c r="G40" i="59"/>
  <c r="G39" i="59"/>
  <c r="G38" i="59"/>
  <c r="G37" i="59"/>
  <c r="G36" i="59"/>
  <c r="G35" i="59"/>
  <c r="G34" i="59"/>
  <c r="G33" i="59"/>
  <c r="G32" i="59"/>
  <c r="G30" i="59"/>
  <c r="F47" i="59"/>
  <c r="F46" i="59"/>
  <c r="F45" i="59"/>
  <c r="F44" i="59"/>
  <c r="F43" i="59"/>
  <c r="F42" i="59"/>
  <c r="F41" i="59"/>
  <c r="F40" i="59"/>
  <c r="F39" i="59"/>
  <c r="F38" i="59"/>
  <c r="F37" i="59"/>
  <c r="F36" i="59"/>
  <c r="F35" i="59"/>
  <c r="F34" i="59"/>
  <c r="F33" i="59"/>
  <c r="F32" i="59"/>
  <c r="F30" i="59"/>
  <c r="E47" i="59"/>
  <c r="E46" i="59"/>
  <c r="E45" i="59"/>
  <c r="E44" i="59"/>
  <c r="E43" i="59"/>
  <c r="E42" i="59"/>
  <c r="E41" i="59"/>
  <c r="E40" i="59"/>
  <c r="E39" i="59"/>
  <c r="E38" i="59"/>
  <c r="E37" i="59"/>
  <c r="E36" i="59"/>
  <c r="E35" i="59"/>
  <c r="E34" i="59"/>
  <c r="E33" i="59"/>
  <c r="E32" i="59"/>
  <c r="E30" i="59"/>
  <c r="D47" i="59"/>
  <c r="D46" i="59"/>
  <c r="D45" i="59"/>
  <c r="D44" i="59"/>
  <c r="D43" i="59"/>
  <c r="D42" i="59"/>
  <c r="D41" i="59"/>
  <c r="D40" i="59"/>
  <c r="D39" i="59"/>
  <c r="D38" i="59"/>
  <c r="D37" i="59"/>
  <c r="D36" i="59"/>
  <c r="D35" i="59"/>
  <c r="D34" i="59"/>
  <c r="D33" i="59"/>
  <c r="D32" i="59"/>
  <c r="D30" i="59"/>
  <c r="C47" i="59"/>
  <c r="C46" i="59"/>
  <c r="C45" i="59"/>
  <c r="C44" i="59"/>
  <c r="C43" i="59"/>
  <c r="C42" i="59"/>
  <c r="C41" i="59"/>
  <c r="C40" i="59"/>
  <c r="C39" i="59"/>
  <c r="C38" i="59"/>
  <c r="C37" i="59"/>
  <c r="C36" i="59"/>
  <c r="C35" i="59"/>
  <c r="C34" i="59"/>
  <c r="C33" i="59"/>
  <c r="C32" i="59"/>
  <c r="C30" i="59"/>
  <c r="B47" i="59"/>
  <c r="B46" i="59"/>
  <c r="B45" i="59"/>
  <c r="B44" i="59"/>
  <c r="B43" i="59"/>
  <c r="B42" i="59"/>
  <c r="B41" i="59"/>
  <c r="B40" i="59"/>
  <c r="B39" i="59"/>
  <c r="B38" i="59"/>
  <c r="B37" i="59"/>
  <c r="B36" i="59"/>
  <c r="B35" i="59"/>
  <c r="B34" i="59"/>
  <c r="B33" i="59"/>
  <c r="B32" i="59"/>
  <c r="B30" i="59"/>
  <c r="I23" i="59"/>
  <c r="I22" i="59"/>
  <c r="I21" i="59"/>
  <c r="I20" i="59"/>
  <c r="I19" i="59"/>
  <c r="I18" i="59"/>
  <c r="I17" i="59"/>
  <c r="I16" i="59"/>
  <c r="I15" i="59"/>
  <c r="I14" i="59"/>
  <c r="I13" i="59"/>
  <c r="I12" i="59"/>
  <c r="I11" i="59"/>
  <c r="I10" i="59"/>
  <c r="I9" i="59"/>
  <c r="I8" i="59"/>
  <c r="I6" i="59"/>
  <c r="H23" i="59"/>
  <c r="H22" i="59"/>
  <c r="H21" i="59"/>
  <c r="H20" i="59"/>
  <c r="H19" i="59"/>
  <c r="H18" i="59"/>
  <c r="H17" i="59"/>
  <c r="H16" i="59"/>
  <c r="H15" i="59"/>
  <c r="H14" i="59"/>
  <c r="H13" i="59"/>
  <c r="H12" i="59"/>
  <c r="H11" i="59"/>
  <c r="H10" i="59"/>
  <c r="H9" i="59"/>
  <c r="H8" i="59"/>
  <c r="H6" i="59"/>
  <c r="G23" i="59"/>
  <c r="G22" i="59"/>
  <c r="G21" i="59"/>
  <c r="G20" i="59"/>
  <c r="G19" i="59"/>
  <c r="G18" i="59"/>
  <c r="G17" i="59"/>
  <c r="G16" i="59"/>
  <c r="G15" i="59"/>
  <c r="G14" i="59"/>
  <c r="G13" i="59"/>
  <c r="G12" i="59"/>
  <c r="G11" i="59"/>
  <c r="G10" i="59"/>
  <c r="G9" i="59"/>
  <c r="G8" i="59"/>
  <c r="G6" i="59"/>
  <c r="F23" i="59"/>
  <c r="F22" i="59"/>
  <c r="F21" i="59"/>
  <c r="F20" i="59"/>
  <c r="F19" i="59"/>
  <c r="F18" i="59"/>
  <c r="F17" i="59"/>
  <c r="F16" i="59"/>
  <c r="F15" i="59"/>
  <c r="F14" i="59"/>
  <c r="F13" i="59"/>
  <c r="F12" i="59"/>
  <c r="F11" i="59"/>
  <c r="F10" i="59"/>
  <c r="F9" i="59"/>
  <c r="F8" i="59"/>
  <c r="F6" i="59"/>
  <c r="E23" i="59"/>
  <c r="E22" i="59"/>
  <c r="E21" i="59"/>
  <c r="E20" i="59"/>
  <c r="E19" i="59"/>
  <c r="E18" i="59"/>
  <c r="E17" i="59"/>
  <c r="E16" i="59"/>
  <c r="E15" i="59"/>
  <c r="E14" i="59"/>
  <c r="E13" i="59"/>
  <c r="E12" i="59"/>
  <c r="E11" i="59"/>
  <c r="E10" i="59"/>
  <c r="E9" i="59"/>
  <c r="E8" i="59"/>
  <c r="E6" i="59"/>
  <c r="D23" i="59"/>
  <c r="D22" i="59"/>
  <c r="D21" i="59"/>
  <c r="D20" i="59"/>
  <c r="D19" i="59"/>
  <c r="D18" i="59"/>
  <c r="D17" i="59"/>
  <c r="D16" i="59"/>
  <c r="D15" i="59"/>
  <c r="D14" i="59"/>
  <c r="D13" i="59"/>
  <c r="D12" i="59"/>
  <c r="D11" i="59"/>
  <c r="D10" i="59"/>
  <c r="D9" i="59"/>
  <c r="D8" i="59"/>
  <c r="D6" i="59"/>
  <c r="C23" i="59"/>
  <c r="C22" i="59"/>
  <c r="C21" i="59"/>
  <c r="C20" i="59"/>
  <c r="C19" i="59"/>
  <c r="C18" i="59"/>
  <c r="C17" i="59"/>
  <c r="C16" i="59"/>
  <c r="C15" i="59"/>
  <c r="C14" i="59"/>
  <c r="C13" i="59"/>
  <c r="C12" i="59"/>
  <c r="C11" i="59"/>
  <c r="C10" i="59"/>
  <c r="C9" i="59"/>
  <c r="C8" i="59"/>
  <c r="C6" i="59"/>
  <c r="B23" i="59"/>
  <c r="B22" i="59"/>
  <c r="B21" i="59"/>
  <c r="B20" i="59"/>
  <c r="B19" i="59"/>
  <c r="B18" i="59"/>
  <c r="B17" i="59"/>
  <c r="B16" i="59"/>
  <c r="B15" i="59"/>
  <c r="B14" i="59"/>
  <c r="B13" i="59"/>
  <c r="B12" i="59"/>
  <c r="B11" i="59"/>
  <c r="B10" i="59"/>
  <c r="B9" i="59"/>
  <c r="B8" i="59"/>
  <c r="B6" i="59"/>
  <c r="S22" i="59"/>
  <c r="S21" i="59"/>
  <c r="S20" i="59"/>
  <c r="S19" i="59"/>
  <c r="S18" i="59"/>
  <c r="S17" i="59"/>
  <c r="S16" i="59"/>
  <c r="S15" i="59"/>
  <c r="S14" i="59"/>
  <c r="S13" i="59"/>
  <c r="S12" i="59"/>
  <c r="S11" i="59"/>
  <c r="S10" i="59"/>
  <c r="S9" i="59"/>
  <c r="S8" i="59"/>
  <c r="S6" i="59"/>
  <c r="R23" i="59"/>
  <c r="R22" i="59"/>
  <c r="R21" i="59"/>
  <c r="R20" i="59"/>
  <c r="R19" i="59"/>
  <c r="R18" i="59"/>
  <c r="R17" i="59"/>
  <c r="R16" i="59"/>
  <c r="R15" i="59"/>
  <c r="R14" i="59"/>
  <c r="R13" i="59"/>
  <c r="R12" i="59"/>
  <c r="R11" i="59"/>
  <c r="R10" i="59"/>
  <c r="R9" i="59"/>
  <c r="R8" i="59"/>
  <c r="R6" i="59"/>
  <c r="Q23" i="59"/>
  <c r="Q22" i="59"/>
  <c r="Q21" i="59"/>
  <c r="Q20" i="59"/>
  <c r="Q19" i="59"/>
  <c r="Q18" i="59"/>
  <c r="Q17" i="59"/>
  <c r="Q16" i="59"/>
  <c r="Q15" i="59"/>
  <c r="Q14" i="59"/>
  <c r="Q13" i="59"/>
  <c r="Q12" i="59"/>
  <c r="Q11" i="59"/>
  <c r="Q10" i="59"/>
  <c r="Q9" i="59"/>
  <c r="Q8" i="59"/>
  <c r="Q6" i="59"/>
  <c r="P23" i="59"/>
  <c r="P22" i="59"/>
  <c r="P21" i="59"/>
  <c r="P20" i="59"/>
  <c r="P19" i="59"/>
  <c r="P18" i="59"/>
  <c r="P17" i="59"/>
  <c r="P16" i="59"/>
  <c r="P15" i="59"/>
  <c r="P14" i="59"/>
  <c r="P13" i="59"/>
  <c r="P12" i="59"/>
  <c r="P11" i="59"/>
  <c r="P10" i="59"/>
  <c r="P9" i="59"/>
  <c r="P8" i="59"/>
  <c r="P6" i="59"/>
  <c r="O23" i="59"/>
  <c r="O22" i="59"/>
  <c r="O21" i="59"/>
  <c r="O20" i="59"/>
  <c r="O19" i="59"/>
  <c r="O18" i="59"/>
  <c r="O17" i="59"/>
  <c r="O16" i="59"/>
  <c r="O15" i="59"/>
  <c r="O14" i="59"/>
  <c r="O13" i="59"/>
  <c r="O12" i="59"/>
  <c r="O11" i="59"/>
  <c r="O10" i="59"/>
  <c r="O9" i="59"/>
  <c r="O8" i="59"/>
  <c r="O6" i="59"/>
  <c r="N6" i="59"/>
  <c r="N23" i="59"/>
  <c r="N22" i="59"/>
  <c r="N21" i="59"/>
  <c r="N20" i="59"/>
  <c r="N19" i="59"/>
  <c r="N18" i="59"/>
  <c r="N17" i="59"/>
  <c r="N16" i="59"/>
  <c r="N15" i="59"/>
  <c r="N14" i="59"/>
  <c r="N13" i="59"/>
  <c r="N12" i="59"/>
  <c r="N11" i="59"/>
  <c r="N10" i="59"/>
  <c r="N9" i="59"/>
  <c r="N8" i="59"/>
  <c r="B9" i="21"/>
  <c r="J6" i="59" l="1"/>
  <c r="K6" i="59"/>
  <c r="M6" i="59" l="1"/>
  <c r="T6" i="59" s="1"/>
  <c r="D186" i="64"/>
  <c r="C105" i="64"/>
  <c r="C106" i="64"/>
  <c r="C107" i="64"/>
  <c r="C108" i="64"/>
  <c r="C110" i="64"/>
  <c r="C111" i="64"/>
  <c r="C112" i="64"/>
  <c r="C113" i="64"/>
  <c r="C115" i="64"/>
  <c r="C116" i="64"/>
  <c r="C117" i="64"/>
  <c r="C118" i="64"/>
  <c r="C120" i="64"/>
  <c r="C121" i="64"/>
  <c r="C122" i="64"/>
  <c r="C103" i="64"/>
  <c r="Y1" i="8" l="1"/>
  <c r="R1" i="8"/>
  <c r="O1" i="8"/>
  <c r="T1" i="8"/>
  <c r="AJ1" i="8" s="1"/>
  <c r="S1" i="8"/>
  <c r="AI1" i="8" s="1"/>
  <c r="E544" i="64" l="1"/>
  <c r="E538" i="64"/>
  <c r="E534" i="64"/>
  <c r="E532" i="64"/>
  <c r="D524" i="64"/>
  <c r="D475" i="64"/>
  <c r="I475" i="64" s="1"/>
  <c r="D473" i="64"/>
  <c r="D465" i="64"/>
  <c r="I465" i="64" s="1"/>
  <c r="D463" i="64"/>
  <c r="D415" i="64"/>
  <c r="I415" i="64" s="1"/>
  <c r="D413" i="64"/>
  <c r="D405" i="64"/>
  <c r="I405" i="64" s="1"/>
  <c r="D403" i="64"/>
  <c r="I403" i="64" s="1"/>
  <c r="D395" i="64"/>
  <c r="D380" i="64"/>
  <c r="D378" i="64"/>
  <c r="I378" i="64" s="1"/>
  <c r="D370" i="64"/>
  <c r="D368" i="64"/>
  <c r="I368" i="64" s="1"/>
  <c r="D348" i="64"/>
  <c r="I348" i="64" s="1"/>
  <c r="D346" i="64"/>
  <c r="D338" i="64"/>
  <c r="D336" i="64"/>
  <c r="I336" i="64" s="1"/>
  <c r="D328" i="64"/>
  <c r="D314" i="64"/>
  <c r="I314" i="64" s="1"/>
  <c r="D312" i="64"/>
  <c r="D304" i="64"/>
  <c r="D302" i="64"/>
  <c r="B7" i="64"/>
  <c r="E512" i="64"/>
  <c r="J512" i="64" s="1"/>
  <c r="E511" i="64"/>
  <c r="J511" i="64" s="1"/>
  <c r="E510" i="64"/>
  <c r="J510" i="64" s="1"/>
  <c r="E509" i="64"/>
  <c r="E507" i="64"/>
  <c r="J507" i="64" s="1"/>
  <c r="E506" i="64"/>
  <c r="E505" i="64"/>
  <c r="J505" i="64" s="1"/>
  <c r="E504" i="64"/>
  <c r="J504" i="64" s="1"/>
  <c r="E502" i="64"/>
  <c r="J502" i="64" s="1"/>
  <c r="E501" i="64"/>
  <c r="E500" i="64"/>
  <c r="J500" i="64" s="1"/>
  <c r="D512" i="64"/>
  <c r="D511" i="64"/>
  <c r="I511" i="64" s="1"/>
  <c r="D510" i="64"/>
  <c r="D509" i="64"/>
  <c r="I509" i="64" s="1"/>
  <c r="D507" i="64"/>
  <c r="I507" i="64" s="1"/>
  <c r="D506" i="64"/>
  <c r="I506" i="64" s="1"/>
  <c r="D505" i="64"/>
  <c r="D504" i="64"/>
  <c r="I504" i="64" s="1"/>
  <c r="D502" i="64"/>
  <c r="D501" i="64"/>
  <c r="I501" i="64" s="1"/>
  <c r="D500" i="64"/>
  <c r="I500" i="64" s="1"/>
  <c r="C512" i="64"/>
  <c r="C511" i="64"/>
  <c r="H511" i="64" s="1"/>
  <c r="C510" i="64"/>
  <c r="C509" i="64"/>
  <c r="C507" i="64"/>
  <c r="C506" i="64"/>
  <c r="C505" i="64"/>
  <c r="C504" i="64"/>
  <c r="C502" i="64"/>
  <c r="C501" i="64"/>
  <c r="C500" i="64"/>
  <c r="E499" i="64"/>
  <c r="D499" i="64"/>
  <c r="C499" i="64"/>
  <c r="G512" i="64"/>
  <c r="B511" i="64"/>
  <c r="B510" i="64"/>
  <c r="G510" i="64" s="1"/>
  <c r="B509" i="64"/>
  <c r="B507" i="64"/>
  <c r="G507" i="64" s="1"/>
  <c r="B506" i="64"/>
  <c r="B505" i="64"/>
  <c r="G505" i="64" s="1"/>
  <c r="B504" i="64"/>
  <c r="B502" i="64"/>
  <c r="G502" i="64" s="1"/>
  <c r="B501" i="64"/>
  <c r="B500" i="64"/>
  <c r="G500" i="64" s="1"/>
  <c r="B499" i="64"/>
  <c r="D54" i="64"/>
  <c r="D52" i="64"/>
  <c r="C48" i="64"/>
  <c r="C46" i="64"/>
  <c r="D44" i="64"/>
  <c r="C42" i="64"/>
  <c r="D47" i="64"/>
  <c r="D49" i="64"/>
  <c r="C51" i="64"/>
  <c r="C53" i="64"/>
  <c r="C56" i="64"/>
  <c r="D57" i="64"/>
  <c r="C58" i="64"/>
  <c r="D59" i="64"/>
  <c r="D73" i="64"/>
  <c r="C74" i="64"/>
  <c r="G74" i="64" s="1"/>
  <c r="D75" i="64"/>
  <c r="H75" i="64" s="1"/>
  <c r="C76" i="64"/>
  <c r="D78" i="64"/>
  <c r="C79" i="64"/>
  <c r="G79" i="64" s="1"/>
  <c r="D80" i="64"/>
  <c r="C81" i="64"/>
  <c r="D83" i="64"/>
  <c r="C84" i="64"/>
  <c r="D85" i="64"/>
  <c r="H85" i="64" s="1"/>
  <c r="C86" i="64"/>
  <c r="G86" i="64" s="1"/>
  <c r="D88" i="64"/>
  <c r="C89" i="64"/>
  <c r="D90" i="64"/>
  <c r="C91" i="64"/>
  <c r="G91" i="64" s="1"/>
  <c r="D103" i="64"/>
  <c r="B106" i="64"/>
  <c r="D107" i="64"/>
  <c r="D108" i="64"/>
  <c r="G110" i="64"/>
  <c r="D111" i="64"/>
  <c r="D113" i="64"/>
  <c r="G115" i="64"/>
  <c r="D116" i="64"/>
  <c r="D118" i="64"/>
  <c r="D121" i="64"/>
  <c r="D123" i="64"/>
  <c r="C135" i="64"/>
  <c r="D137" i="64"/>
  <c r="C138" i="64"/>
  <c r="D139" i="64"/>
  <c r="C140" i="64"/>
  <c r="D142" i="64"/>
  <c r="C143" i="64"/>
  <c r="D144" i="64"/>
  <c r="C145" i="64"/>
  <c r="D147" i="64"/>
  <c r="C148" i="64"/>
  <c r="D149" i="64"/>
  <c r="C150" i="64"/>
  <c r="D152" i="64"/>
  <c r="C153" i="64"/>
  <c r="D154" i="64"/>
  <c r="C155" i="64"/>
  <c r="G155" i="64" s="1"/>
  <c r="D167" i="64"/>
  <c r="C169" i="64"/>
  <c r="D170" i="64"/>
  <c r="C171" i="64"/>
  <c r="G171" i="64" s="1"/>
  <c r="D172" i="64"/>
  <c r="H172" i="64" s="1"/>
  <c r="C174" i="64"/>
  <c r="D175" i="64"/>
  <c r="C176" i="64"/>
  <c r="G176" i="64" s="1"/>
  <c r="D177" i="64"/>
  <c r="C179" i="64"/>
  <c r="D180" i="64"/>
  <c r="C181" i="64"/>
  <c r="D182" i="64"/>
  <c r="C184" i="64"/>
  <c r="D185" i="64"/>
  <c r="C186" i="64"/>
  <c r="D187" i="64"/>
  <c r="C199" i="64"/>
  <c r="D201" i="64"/>
  <c r="C202" i="64"/>
  <c r="D203" i="64"/>
  <c r="C204" i="64"/>
  <c r="D206" i="64"/>
  <c r="C207" i="64"/>
  <c r="G207" i="64" s="1"/>
  <c r="D208" i="64"/>
  <c r="C209" i="64"/>
  <c r="D211" i="64"/>
  <c r="C212" i="64"/>
  <c r="D213" i="64"/>
  <c r="C214" i="64"/>
  <c r="D216" i="64"/>
  <c r="H216" i="64" s="1"/>
  <c r="B217" i="64"/>
  <c r="D218" i="64"/>
  <c r="C219" i="64"/>
  <c r="D231" i="64"/>
  <c r="D233" i="64"/>
  <c r="D234" i="64"/>
  <c r="D235" i="64"/>
  <c r="D236" i="64"/>
  <c r="D238" i="64"/>
  <c r="D239" i="64"/>
  <c r="D240" i="64"/>
  <c r="D241" i="64"/>
  <c r="D243" i="64"/>
  <c r="D244" i="64"/>
  <c r="D245" i="64"/>
  <c r="D246" i="64"/>
  <c r="D248" i="64"/>
  <c r="D249" i="64"/>
  <c r="D250" i="64"/>
  <c r="D251" i="64"/>
  <c r="D263" i="64"/>
  <c r="D265" i="64"/>
  <c r="I265" i="64" s="1"/>
  <c r="D266" i="64"/>
  <c r="D267" i="64"/>
  <c r="I267" i="64" s="1"/>
  <c r="D268" i="64"/>
  <c r="D270" i="64"/>
  <c r="D271" i="64"/>
  <c r="I271" i="64" s="1"/>
  <c r="D272" i="64"/>
  <c r="I272" i="64" s="1"/>
  <c r="D273" i="64"/>
  <c r="D275" i="64"/>
  <c r="D276" i="64"/>
  <c r="D277" i="64"/>
  <c r="D278" i="64"/>
  <c r="I278" i="64" s="1"/>
  <c r="D280" i="64"/>
  <c r="I280" i="64" s="1"/>
  <c r="D281" i="64"/>
  <c r="D282" i="64"/>
  <c r="I282" i="64" s="1"/>
  <c r="D283" i="64"/>
  <c r="I283" i="64" s="1"/>
  <c r="D295" i="64"/>
  <c r="D297" i="64"/>
  <c r="D298" i="64"/>
  <c r="D299" i="64"/>
  <c r="D300" i="64"/>
  <c r="D303" i="64"/>
  <c r="D305" i="64"/>
  <c r="D307" i="64"/>
  <c r="D308" i="64"/>
  <c r="D309" i="64"/>
  <c r="D310" i="64"/>
  <c r="D313" i="64"/>
  <c r="D315" i="64"/>
  <c r="I315" i="64" s="1"/>
  <c r="D330" i="64"/>
  <c r="D331" i="64"/>
  <c r="D332" i="64"/>
  <c r="D333" i="64"/>
  <c r="D335" i="64"/>
  <c r="I335" i="64" s="1"/>
  <c r="D337" i="64"/>
  <c r="D340" i="64"/>
  <c r="D341" i="64"/>
  <c r="D342" i="64"/>
  <c r="D343" i="64"/>
  <c r="D345" i="64"/>
  <c r="D347" i="64"/>
  <c r="I347" i="64" s="1"/>
  <c r="D361" i="64"/>
  <c r="D363" i="64"/>
  <c r="D364" i="64"/>
  <c r="D365" i="64"/>
  <c r="I365" i="64" s="1"/>
  <c r="D366" i="64"/>
  <c r="D369" i="64"/>
  <c r="I369" i="64" s="1"/>
  <c r="D371" i="64"/>
  <c r="D373" i="64"/>
  <c r="D374" i="64"/>
  <c r="D375" i="64"/>
  <c r="D376" i="64"/>
  <c r="D379" i="64"/>
  <c r="D381" i="64"/>
  <c r="I381" i="64" s="1"/>
  <c r="D397" i="64"/>
  <c r="I397" i="64" s="1"/>
  <c r="D398" i="64"/>
  <c r="D399" i="64"/>
  <c r="I399" i="64" s="1"/>
  <c r="D400" i="64"/>
  <c r="I400" i="64" s="1"/>
  <c r="D402" i="64"/>
  <c r="I402" i="64" s="1"/>
  <c r="D404" i="64"/>
  <c r="D407" i="64"/>
  <c r="I407" i="64" s="1"/>
  <c r="D408" i="64"/>
  <c r="D409" i="64"/>
  <c r="I409" i="64" s="1"/>
  <c r="D410" i="64"/>
  <c r="D412" i="64"/>
  <c r="D414" i="64"/>
  <c r="I435" i="64"/>
  <c r="I436" i="64"/>
  <c r="I437" i="64"/>
  <c r="I438" i="64"/>
  <c r="I440" i="64"/>
  <c r="I441" i="64"/>
  <c r="D460" i="64"/>
  <c r="D462" i="64"/>
  <c r="I462" i="64" s="1"/>
  <c r="D464" i="64"/>
  <c r="I464" i="64" s="1"/>
  <c r="D467" i="64"/>
  <c r="I467" i="64" s="1"/>
  <c r="D468" i="64"/>
  <c r="I468" i="64" s="1"/>
  <c r="D469" i="64"/>
  <c r="D470" i="64"/>
  <c r="I470" i="64" s="1"/>
  <c r="D472" i="64"/>
  <c r="I472" i="64" s="1"/>
  <c r="D474" i="64"/>
  <c r="I474" i="64" s="1"/>
  <c r="D477" i="64"/>
  <c r="I477" i="64" s="1"/>
  <c r="D478" i="64"/>
  <c r="I478" i="64" s="1"/>
  <c r="D479" i="64"/>
  <c r="I479" i="64" s="1"/>
  <c r="D480" i="64"/>
  <c r="I480" i="64" s="1"/>
  <c r="D492" i="64"/>
  <c r="D494" i="64"/>
  <c r="I494" i="64" s="1"/>
  <c r="D495" i="64"/>
  <c r="D496" i="64"/>
  <c r="I496" i="64" s="1"/>
  <c r="D497" i="64"/>
  <c r="D526" i="64"/>
  <c r="I526" i="64" s="1"/>
  <c r="D527" i="64"/>
  <c r="I527" i="64" s="1"/>
  <c r="D528" i="64"/>
  <c r="I528" i="64" s="1"/>
  <c r="D529" i="64"/>
  <c r="I529" i="64" s="1"/>
  <c r="D531" i="64"/>
  <c r="I531" i="64" s="1"/>
  <c r="D533" i="64"/>
  <c r="I533" i="64" s="1"/>
  <c r="E536" i="64"/>
  <c r="E542" i="64"/>
  <c r="J542" i="64" s="1"/>
  <c r="F540" i="64"/>
  <c r="F535" i="64"/>
  <c r="F530" i="64"/>
  <c r="F525" i="64"/>
  <c r="C43" i="64"/>
  <c r="I380" i="64" l="1"/>
  <c r="I345" i="64"/>
  <c r="I312" i="64"/>
  <c r="I375" i="64"/>
  <c r="I304" i="64"/>
  <c r="I370" i="64"/>
  <c r="I337" i="64"/>
  <c r="I332" i="64"/>
  <c r="I299" i="64"/>
  <c r="I499" i="64"/>
  <c r="I275" i="64"/>
  <c r="I373" i="64"/>
  <c r="I307" i="64"/>
  <c r="I340" i="64"/>
  <c r="H431" i="64"/>
  <c r="J431" i="64"/>
  <c r="H432" i="64"/>
  <c r="J432" i="64"/>
  <c r="H433" i="64"/>
  <c r="J433" i="64"/>
  <c r="H435" i="64"/>
  <c r="H436" i="64"/>
  <c r="H437" i="64"/>
  <c r="H438" i="64"/>
  <c r="J438" i="64"/>
  <c r="H440" i="64"/>
  <c r="J440" i="64"/>
  <c r="H441" i="64"/>
  <c r="J441" i="64"/>
  <c r="H442" i="64"/>
  <c r="C460" i="64"/>
  <c r="E460" i="64"/>
  <c r="C462" i="64"/>
  <c r="E462" i="64"/>
  <c r="C463" i="64"/>
  <c r="H463" i="64" s="1"/>
  <c r="E463" i="64"/>
  <c r="J463" i="64" s="1"/>
  <c r="C464" i="64"/>
  <c r="H464" i="64" s="1"/>
  <c r="E464" i="64"/>
  <c r="J464" i="64" s="1"/>
  <c r="C465" i="64"/>
  <c r="H465" i="64" s="1"/>
  <c r="E465" i="64"/>
  <c r="J465" i="64" s="1"/>
  <c r="C467" i="64"/>
  <c r="H467" i="64" s="1"/>
  <c r="E467" i="64"/>
  <c r="C468" i="64"/>
  <c r="H468" i="64" s="1"/>
  <c r="E468" i="64"/>
  <c r="C469" i="64"/>
  <c r="E469" i="64"/>
  <c r="C470" i="64"/>
  <c r="H470" i="64" s="1"/>
  <c r="E470" i="64"/>
  <c r="J470" i="64" s="1"/>
  <c r="C472" i="64"/>
  <c r="H472" i="64" s="1"/>
  <c r="E472" i="64"/>
  <c r="J472" i="64" s="1"/>
  <c r="C473" i="64"/>
  <c r="H473" i="64" s="1"/>
  <c r="E473" i="64"/>
  <c r="J473" i="64" s="1"/>
  <c r="C474" i="64"/>
  <c r="E474" i="64"/>
  <c r="C475" i="64"/>
  <c r="H475" i="64" s="1"/>
  <c r="E475" i="64"/>
  <c r="J475" i="64" s="1"/>
  <c r="C477" i="64"/>
  <c r="H477" i="64" s="1"/>
  <c r="E477" i="64"/>
  <c r="C478" i="64"/>
  <c r="H478" i="64" s="1"/>
  <c r="E478" i="64"/>
  <c r="J478" i="64" s="1"/>
  <c r="C479" i="64"/>
  <c r="H479" i="64" s="1"/>
  <c r="E479" i="64"/>
  <c r="J479" i="64" s="1"/>
  <c r="C480" i="64"/>
  <c r="H480" i="64" s="1"/>
  <c r="E480" i="64"/>
  <c r="J480" i="64" s="1"/>
  <c r="C492" i="64"/>
  <c r="E492" i="64"/>
  <c r="C494" i="64"/>
  <c r="H504" i="64" s="1"/>
  <c r="E494" i="64"/>
  <c r="C495" i="64"/>
  <c r="H495" i="64" s="1"/>
  <c r="E495" i="64"/>
  <c r="J495" i="64" s="1"/>
  <c r="C496" i="64"/>
  <c r="H496" i="64" s="1"/>
  <c r="E496" i="64"/>
  <c r="J496" i="64" s="1"/>
  <c r="C497" i="64"/>
  <c r="H497" i="64" s="1"/>
  <c r="E497" i="64"/>
  <c r="J497" i="64" s="1"/>
  <c r="C524" i="64"/>
  <c r="E524" i="64"/>
  <c r="C526" i="64"/>
  <c r="H526" i="64" s="1"/>
  <c r="E526" i="64"/>
  <c r="J526" i="64" s="1"/>
  <c r="C527" i="64"/>
  <c r="H527" i="64" s="1"/>
  <c r="E527" i="64"/>
  <c r="J527" i="64" s="1"/>
  <c r="C528" i="64"/>
  <c r="H528" i="64" s="1"/>
  <c r="E528" i="64"/>
  <c r="J528" i="64" s="1"/>
  <c r="C529" i="64"/>
  <c r="H529" i="64" s="1"/>
  <c r="E529" i="64"/>
  <c r="J529" i="64" s="1"/>
  <c r="C531" i="64"/>
  <c r="H531" i="64" s="1"/>
  <c r="E531" i="64"/>
  <c r="J531" i="64" s="1"/>
  <c r="C532" i="64"/>
  <c r="H532" i="64" s="1"/>
  <c r="C533" i="64"/>
  <c r="E533" i="64"/>
  <c r="C534" i="64"/>
  <c r="H534" i="64" s="1"/>
  <c r="C536" i="64"/>
  <c r="H536" i="64" s="1"/>
  <c r="C537" i="64"/>
  <c r="H537" i="64" s="1"/>
  <c r="E537" i="64"/>
  <c r="J537" i="64" s="1"/>
  <c r="C538" i="64"/>
  <c r="H538" i="64" s="1"/>
  <c r="C539" i="64"/>
  <c r="H539" i="64" s="1"/>
  <c r="E539" i="64"/>
  <c r="J539" i="64" s="1"/>
  <c r="C541" i="64"/>
  <c r="H541" i="64" s="1"/>
  <c r="E541" i="64"/>
  <c r="J541" i="64" s="1"/>
  <c r="C542" i="64"/>
  <c r="H542" i="64" s="1"/>
  <c r="C543" i="64"/>
  <c r="H543" i="64" s="1"/>
  <c r="E543" i="64"/>
  <c r="J543" i="64" s="1"/>
  <c r="C544" i="64"/>
  <c r="H544" i="64" s="1"/>
  <c r="J544" i="64"/>
  <c r="J538" i="64"/>
  <c r="J536" i="64"/>
  <c r="J534" i="64"/>
  <c r="J532" i="64"/>
  <c r="G431" i="64"/>
  <c r="G432" i="64"/>
  <c r="G433" i="64"/>
  <c r="G438" i="64"/>
  <c r="G440" i="64"/>
  <c r="G441" i="64"/>
  <c r="G443" i="64"/>
  <c r="B460" i="64"/>
  <c r="B462" i="64"/>
  <c r="B463" i="64"/>
  <c r="G463" i="64" s="1"/>
  <c r="B464" i="64"/>
  <c r="G464" i="64" s="1"/>
  <c r="B465" i="64"/>
  <c r="G465" i="64" s="1"/>
  <c r="B467" i="64"/>
  <c r="B468" i="64"/>
  <c r="B469" i="64"/>
  <c r="B470" i="64"/>
  <c r="G470" i="64" s="1"/>
  <c r="B472" i="64"/>
  <c r="G472" i="64" s="1"/>
  <c r="B473" i="64"/>
  <c r="G473" i="64" s="1"/>
  <c r="B474" i="64"/>
  <c r="B475" i="64"/>
  <c r="G475" i="64" s="1"/>
  <c r="B477" i="64"/>
  <c r="B478" i="64"/>
  <c r="G478" i="64" s="1"/>
  <c r="B479" i="64"/>
  <c r="G479" i="64" s="1"/>
  <c r="B480" i="64"/>
  <c r="G480" i="64" s="1"/>
  <c r="B492" i="64"/>
  <c r="B494" i="64"/>
  <c r="B495" i="64"/>
  <c r="G495" i="64" s="1"/>
  <c r="B496" i="64"/>
  <c r="G496" i="64" s="1"/>
  <c r="B497" i="64"/>
  <c r="G497" i="64" s="1"/>
  <c r="B524" i="64"/>
  <c r="B526" i="64"/>
  <c r="G526" i="64" s="1"/>
  <c r="B527" i="64"/>
  <c r="G527" i="64" s="1"/>
  <c r="B528" i="64"/>
  <c r="G528" i="64" s="1"/>
  <c r="B529" i="64"/>
  <c r="G529" i="64" s="1"/>
  <c r="B531" i="64"/>
  <c r="G531" i="64" s="1"/>
  <c r="B532" i="64"/>
  <c r="G532" i="64" s="1"/>
  <c r="D532" i="64"/>
  <c r="I532" i="64" s="1"/>
  <c r="B533" i="64"/>
  <c r="B534" i="64"/>
  <c r="G534" i="64" s="1"/>
  <c r="D534" i="64"/>
  <c r="I534" i="64" s="1"/>
  <c r="B536" i="64"/>
  <c r="G536" i="64" s="1"/>
  <c r="D536" i="64"/>
  <c r="I536" i="64" s="1"/>
  <c r="B537" i="64"/>
  <c r="G537" i="64" s="1"/>
  <c r="D537" i="64"/>
  <c r="I537" i="64" s="1"/>
  <c r="B538" i="64"/>
  <c r="G538" i="64" s="1"/>
  <c r="D538" i="64"/>
  <c r="I538" i="64" s="1"/>
  <c r="B539" i="64"/>
  <c r="G539" i="64" s="1"/>
  <c r="D539" i="64"/>
  <c r="I539" i="64" s="1"/>
  <c r="B541" i="64"/>
  <c r="G541" i="64" s="1"/>
  <c r="D541" i="64"/>
  <c r="I541" i="64" s="1"/>
  <c r="B542" i="64"/>
  <c r="G542" i="64" s="1"/>
  <c r="D542" i="64"/>
  <c r="I542" i="64" s="1"/>
  <c r="B543" i="64"/>
  <c r="G543" i="64" s="1"/>
  <c r="D543" i="64"/>
  <c r="I543" i="64" s="1"/>
  <c r="B544" i="64"/>
  <c r="G544" i="64" s="1"/>
  <c r="D544" i="64"/>
  <c r="I544" i="64" s="1"/>
  <c r="C233" i="64"/>
  <c r="E233" i="64"/>
  <c r="C234" i="64"/>
  <c r="E234" i="64"/>
  <c r="C235" i="64"/>
  <c r="E235" i="64"/>
  <c r="C236" i="64"/>
  <c r="E236" i="64"/>
  <c r="C238" i="64"/>
  <c r="E238" i="64"/>
  <c r="C239" i="64"/>
  <c r="E239" i="64"/>
  <c r="C240" i="64"/>
  <c r="E240" i="64"/>
  <c r="C241" i="64"/>
  <c r="E241" i="64"/>
  <c r="C243" i="64"/>
  <c r="E243" i="64"/>
  <c r="C244" i="64"/>
  <c r="E244" i="64"/>
  <c r="C245" i="64"/>
  <c r="E245" i="64"/>
  <c r="C246" i="64"/>
  <c r="E246" i="64"/>
  <c r="C248" i="64"/>
  <c r="E248" i="64"/>
  <c r="C249" i="64"/>
  <c r="E249" i="64"/>
  <c r="C250" i="64"/>
  <c r="E250" i="64"/>
  <c r="C251" i="64"/>
  <c r="E251" i="64"/>
  <c r="C263" i="64"/>
  <c r="E263" i="64"/>
  <c r="C265" i="64"/>
  <c r="H265" i="64" s="1"/>
  <c r="E265" i="64"/>
  <c r="J265" i="64" s="1"/>
  <c r="C266" i="64"/>
  <c r="H266" i="64" s="1"/>
  <c r="E266" i="64"/>
  <c r="J266" i="64" s="1"/>
  <c r="C267" i="64"/>
  <c r="H267" i="64" s="1"/>
  <c r="E267" i="64"/>
  <c r="J267" i="64" s="1"/>
  <c r="C268" i="64"/>
  <c r="C270" i="64"/>
  <c r="H270" i="64" s="1"/>
  <c r="E270" i="64"/>
  <c r="C271" i="64"/>
  <c r="H271" i="64" s="1"/>
  <c r="E271" i="64"/>
  <c r="C272" i="64"/>
  <c r="H272" i="64" s="1"/>
  <c r="E272" i="64"/>
  <c r="C273" i="64"/>
  <c r="H273" i="64" s="1"/>
  <c r="E273" i="64"/>
  <c r="J273" i="64" s="1"/>
  <c r="C275" i="64"/>
  <c r="E275" i="64"/>
  <c r="C276" i="64"/>
  <c r="H276" i="64" s="1"/>
  <c r="E276" i="64"/>
  <c r="J276" i="64" s="1"/>
  <c r="C277" i="64"/>
  <c r="E277" i="64"/>
  <c r="C278" i="64"/>
  <c r="H278" i="64" s="1"/>
  <c r="E278" i="64"/>
  <c r="J278" i="64" s="1"/>
  <c r="C280" i="64"/>
  <c r="H280" i="64" s="1"/>
  <c r="E280" i="64"/>
  <c r="J280" i="64" s="1"/>
  <c r="C281" i="64"/>
  <c r="E281" i="64"/>
  <c r="C282" i="64"/>
  <c r="H282" i="64" s="1"/>
  <c r="E282" i="64"/>
  <c r="J282" i="64" s="1"/>
  <c r="C283" i="64"/>
  <c r="E283" i="64"/>
  <c r="C295" i="64"/>
  <c r="E295" i="64"/>
  <c r="C297" i="64"/>
  <c r="E297" i="64"/>
  <c r="C298" i="64"/>
  <c r="H298" i="64" s="1"/>
  <c r="E298" i="64"/>
  <c r="C299" i="64"/>
  <c r="E299" i="64"/>
  <c r="C300" i="64"/>
  <c r="E300" i="64"/>
  <c r="C302" i="64"/>
  <c r="H302" i="64" s="1"/>
  <c r="E302" i="64"/>
  <c r="C303" i="64"/>
  <c r="H303" i="64" s="1"/>
  <c r="E303" i="64"/>
  <c r="C304" i="64"/>
  <c r="E304" i="64"/>
  <c r="C305" i="64"/>
  <c r="E305" i="64"/>
  <c r="C307" i="64"/>
  <c r="E307" i="64"/>
  <c r="C308" i="64"/>
  <c r="E308" i="64"/>
  <c r="C309" i="64"/>
  <c r="E309" i="64"/>
  <c r="C310" i="64"/>
  <c r="E310" i="64"/>
  <c r="C312" i="64"/>
  <c r="E312" i="64"/>
  <c r="C313" i="64"/>
  <c r="E313" i="64"/>
  <c r="C314" i="64"/>
  <c r="H314" i="64" s="1"/>
  <c r="E314" i="64"/>
  <c r="J314" i="64" s="1"/>
  <c r="C315" i="64"/>
  <c r="H315" i="64" s="1"/>
  <c r="E315" i="64"/>
  <c r="J315" i="64" s="1"/>
  <c r="C328" i="64"/>
  <c r="E328" i="64"/>
  <c r="C330" i="64"/>
  <c r="E330" i="64"/>
  <c r="C331" i="64"/>
  <c r="E331" i="64"/>
  <c r="C332" i="64"/>
  <c r="E332" i="64"/>
  <c r="C333" i="64"/>
  <c r="E333" i="64"/>
  <c r="C335" i="64"/>
  <c r="H335" i="64" s="1"/>
  <c r="E335" i="64"/>
  <c r="C336" i="64"/>
  <c r="H336" i="64" s="1"/>
  <c r="E336" i="64"/>
  <c r="C337" i="64"/>
  <c r="E337" i="64"/>
  <c r="C338" i="64"/>
  <c r="E338" i="64"/>
  <c r="C340" i="64"/>
  <c r="E340" i="64"/>
  <c r="E341" i="64"/>
  <c r="C342" i="64"/>
  <c r="E342" i="64"/>
  <c r="C343" i="64"/>
  <c r="E343" i="64"/>
  <c r="C345" i="64"/>
  <c r="E345" i="64"/>
  <c r="C346" i="64"/>
  <c r="E346" i="64"/>
  <c r="C347" i="64"/>
  <c r="H347" i="64" s="1"/>
  <c r="E347" i="64"/>
  <c r="J347" i="64" s="1"/>
  <c r="C348" i="64"/>
  <c r="H348" i="64" s="1"/>
  <c r="E348" i="64"/>
  <c r="C361" i="64"/>
  <c r="E361" i="64"/>
  <c r="C363" i="64"/>
  <c r="E363" i="64"/>
  <c r="C364" i="64"/>
  <c r="E364" i="64"/>
  <c r="C365" i="64"/>
  <c r="H365" i="64" s="1"/>
  <c r="E365" i="64"/>
  <c r="J365" i="64" s="1"/>
  <c r="C366" i="64"/>
  <c r="E366" i="64"/>
  <c r="C368" i="64"/>
  <c r="E368" i="64"/>
  <c r="C369" i="64"/>
  <c r="E369" i="64"/>
  <c r="C370" i="64"/>
  <c r="E370" i="64"/>
  <c r="C371" i="64"/>
  <c r="E371" i="64"/>
  <c r="C373" i="64"/>
  <c r="E373" i="64"/>
  <c r="C374" i="64"/>
  <c r="E374" i="64"/>
  <c r="C375" i="64"/>
  <c r="E375" i="64"/>
  <c r="C376" i="64"/>
  <c r="E376" i="64"/>
  <c r="C378" i="64"/>
  <c r="H378" i="64" s="1"/>
  <c r="E378" i="64"/>
  <c r="C379" i="64"/>
  <c r="E379" i="64"/>
  <c r="C380" i="64"/>
  <c r="E380" i="64"/>
  <c r="C381" i="64"/>
  <c r="E381" i="64"/>
  <c r="C395" i="64"/>
  <c r="E395" i="64"/>
  <c r="C397" i="64"/>
  <c r="H397" i="64" s="1"/>
  <c r="E397" i="64"/>
  <c r="J397" i="64" s="1"/>
  <c r="C398" i="64"/>
  <c r="H398" i="64" s="1"/>
  <c r="E398" i="64"/>
  <c r="J398" i="64" s="1"/>
  <c r="C399" i="64"/>
  <c r="H399" i="64" s="1"/>
  <c r="E399" i="64"/>
  <c r="J399" i="64" s="1"/>
  <c r="C400" i="64"/>
  <c r="H400" i="64" s="1"/>
  <c r="E400" i="64"/>
  <c r="J400" i="64" s="1"/>
  <c r="C402" i="64"/>
  <c r="H402" i="64" s="1"/>
  <c r="E402" i="64"/>
  <c r="J402" i="64" s="1"/>
  <c r="C403" i="64"/>
  <c r="H403" i="64" s="1"/>
  <c r="E403" i="64"/>
  <c r="J403" i="64" s="1"/>
  <c r="C404" i="64"/>
  <c r="H404" i="64" s="1"/>
  <c r="E404" i="64"/>
  <c r="J404" i="64" s="1"/>
  <c r="C405" i="64"/>
  <c r="H405" i="64" s="1"/>
  <c r="E405" i="64"/>
  <c r="J405" i="64" s="1"/>
  <c r="C407" i="64"/>
  <c r="H407" i="64" s="1"/>
  <c r="E407" i="64"/>
  <c r="J407" i="64" s="1"/>
  <c r="C408" i="64"/>
  <c r="H408" i="64" s="1"/>
  <c r="E408" i="64"/>
  <c r="J408" i="64" s="1"/>
  <c r="C409" i="64"/>
  <c r="H409" i="64" s="1"/>
  <c r="E409" i="64"/>
  <c r="J409" i="64" s="1"/>
  <c r="C410" i="64"/>
  <c r="H410" i="64" s="1"/>
  <c r="E410" i="64"/>
  <c r="J410" i="64" s="1"/>
  <c r="C412" i="64"/>
  <c r="H412" i="64" s="1"/>
  <c r="E412" i="64"/>
  <c r="J412" i="64" s="1"/>
  <c r="C413" i="64"/>
  <c r="E413" i="64"/>
  <c r="C414" i="64"/>
  <c r="E414" i="64"/>
  <c r="C415" i="64"/>
  <c r="H415" i="64" s="1"/>
  <c r="E415" i="64"/>
  <c r="J415" i="64" s="1"/>
  <c r="B233" i="64"/>
  <c r="B234" i="64"/>
  <c r="B235" i="64"/>
  <c r="B236" i="64"/>
  <c r="B238" i="64"/>
  <c r="B239" i="64"/>
  <c r="B240" i="64"/>
  <c r="B241" i="64"/>
  <c r="B243" i="64"/>
  <c r="B244" i="64"/>
  <c r="B245" i="64"/>
  <c r="B246" i="64"/>
  <c r="B248" i="64"/>
  <c r="B249" i="64"/>
  <c r="B250" i="64"/>
  <c r="B251" i="64"/>
  <c r="B263" i="64"/>
  <c r="B265" i="64"/>
  <c r="G265" i="64" s="1"/>
  <c r="B266" i="64"/>
  <c r="G266" i="64" s="1"/>
  <c r="B267" i="64"/>
  <c r="G267" i="64" s="1"/>
  <c r="B268" i="64"/>
  <c r="B270" i="64"/>
  <c r="B271" i="64"/>
  <c r="G271" i="64" s="1"/>
  <c r="B272" i="64"/>
  <c r="B273" i="64"/>
  <c r="G273" i="64" s="1"/>
  <c r="B275" i="64"/>
  <c r="G275" i="64" s="1"/>
  <c r="B276" i="64"/>
  <c r="G276" i="64" s="1"/>
  <c r="B277" i="64"/>
  <c r="B278" i="64"/>
  <c r="G278" i="64" s="1"/>
  <c r="B280" i="64"/>
  <c r="G280" i="64" s="1"/>
  <c r="B281" i="64"/>
  <c r="B282" i="64"/>
  <c r="G282" i="64" s="1"/>
  <c r="B283" i="64"/>
  <c r="B295" i="64"/>
  <c r="B297" i="64"/>
  <c r="B298" i="64"/>
  <c r="B299" i="64"/>
  <c r="B300" i="64"/>
  <c r="B302" i="64"/>
  <c r="B303" i="64"/>
  <c r="B304" i="64"/>
  <c r="B305" i="64"/>
  <c r="B307" i="64"/>
  <c r="B308" i="64"/>
  <c r="B309" i="64"/>
  <c r="B310" i="64"/>
  <c r="B312" i="64"/>
  <c r="B313" i="64"/>
  <c r="B314" i="64"/>
  <c r="G314" i="64" s="1"/>
  <c r="B315" i="64"/>
  <c r="G315" i="64" s="1"/>
  <c r="B328" i="64"/>
  <c r="B330" i="64"/>
  <c r="B331" i="64"/>
  <c r="B332" i="64"/>
  <c r="B333" i="64"/>
  <c r="B335" i="64"/>
  <c r="B336" i="64"/>
  <c r="B337" i="64"/>
  <c r="B338" i="64"/>
  <c r="B340" i="64"/>
  <c r="B341" i="64"/>
  <c r="B342" i="64"/>
  <c r="B343" i="64"/>
  <c r="B345" i="64"/>
  <c r="B346" i="64"/>
  <c r="B347" i="64"/>
  <c r="G347" i="64" s="1"/>
  <c r="B348" i="64"/>
  <c r="B361" i="64"/>
  <c r="B363" i="64"/>
  <c r="B364" i="64"/>
  <c r="B365" i="64"/>
  <c r="G365" i="64" s="1"/>
  <c r="B366" i="64"/>
  <c r="B368" i="64"/>
  <c r="B369" i="64"/>
  <c r="B370" i="64"/>
  <c r="B371" i="64"/>
  <c r="B373" i="64"/>
  <c r="B374" i="64"/>
  <c r="B375" i="64"/>
  <c r="B376" i="64"/>
  <c r="B378" i="64"/>
  <c r="B379" i="64"/>
  <c r="B381" i="64"/>
  <c r="B395" i="64"/>
  <c r="B397" i="64"/>
  <c r="G397" i="64" s="1"/>
  <c r="B398" i="64"/>
  <c r="G398" i="64" s="1"/>
  <c r="B399" i="64"/>
  <c r="G399" i="64" s="1"/>
  <c r="B400" i="64"/>
  <c r="G400" i="64" s="1"/>
  <c r="B402" i="64"/>
  <c r="G402" i="64" s="1"/>
  <c r="B403" i="64"/>
  <c r="G403" i="64" s="1"/>
  <c r="B404" i="64"/>
  <c r="G404" i="64" s="1"/>
  <c r="B405" i="64"/>
  <c r="G405" i="64" s="1"/>
  <c r="B407" i="64"/>
  <c r="G407" i="64" s="1"/>
  <c r="B408" i="64"/>
  <c r="G408" i="64" s="1"/>
  <c r="B409" i="64"/>
  <c r="G409" i="64" s="1"/>
  <c r="B410" i="64"/>
  <c r="G410" i="64" s="1"/>
  <c r="B412" i="64"/>
  <c r="G412" i="64" s="1"/>
  <c r="B413" i="64"/>
  <c r="B414" i="64"/>
  <c r="B415" i="64"/>
  <c r="G415" i="64" s="1"/>
  <c r="D42" i="64"/>
  <c r="C44" i="64"/>
  <c r="D46" i="64"/>
  <c r="C47" i="64"/>
  <c r="D48" i="64"/>
  <c r="C49" i="64"/>
  <c r="D51" i="64"/>
  <c r="C52" i="64"/>
  <c r="D53" i="64"/>
  <c r="C54" i="64"/>
  <c r="D56" i="64"/>
  <c r="C57" i="64"/>
  <c r="D58" i="64"/>
  <c r="C59" i="64"/>
  <c r="E59" i="64" s="1"/>
  <c r="C73" i="64"/>
  <c r="B74" i="64"/>
  <c r="F74" i="64" s="1"/>
  <c r="D74" i="64"/>
  <c r="H74" i="64" s="1"/>
  <c r="C75" i="64"/>
  <c r="G75" i="64" s="1"/>
  <c r="B76" i="64"/>
  <c r="D76" i="64"/>
  <c r="C78" i="64"/>
  <c r="B79" i="64"/>
  <c r="F79" i="64" s="1"/>
  <c r="D79" i="64"/>
  <c r="H79" i="64" s="1"/>
  <c r="C80" i="64"/>
  <c r="B81" i="64"/>
  <c r="D81" i="64"/>
  <c r="C83" i="64"/>
  <c r="B84" i="64"/>
  <c r="D84" i="64"/>
  <c r="C85" i="64"/>
  <c r="G85" i="64" s="1"/>
  <c r="B86" i="64"/>
  <c r="F86" i="64" s="1"/>
  <c r="D86" i="64"/>
  <c r="H86" i="64" s="1"/>
  <c r="C88" i="64"/>
  <c r="B89" i="64"/>
  <c r="D89" i="64"/>
  <c r="C90" i="64"/>
  <c r="B91" i="64"/>
  <c r="F91" i="64" s="1"/>
  <c r="D91" i="64"/>
  <c r="H91" i="64" s="1"/>
  <c r="B105" i="64"/>
  <c r="D105" i="64"/>
  <c r="G107" i="64"/>
  <c r="D106" i="64"/>
  <c r="B110" i="64"/>
  <c r="D110" i="64"/>
  <c r="B112" i="64"/>
  <c r="D112" i="64"/>
  <c r="B115" i="64"/>
  <c r="D115" i="64"/>
  <c r="H115" i="64" s="1"/>
  <c r="B117" i="64"/>
  <c r="D117" i="64"/>
  <c r="B120" i="64"/>
  <c r="D120" i="64"/>
  <c r="B122" i="64"/>
  <c r="D122" i="64"/>
  <c r="C123" i="64"/>
  <c r="B135" i="64"/>
  <c r="D135" i="64"/>
  <c r="C137" i="64"/>
  <c r="B138" i="64"/>
  <c r="D138" i="64"/>
  <c r="C139" i="64"/>
  <c r="B140" i="64"/>
  <c r="D140" i="64"/>
  <c r="C142" i="64"/>
  <c r="B143" i="64"/>
  <c r="D143" i="64"/>
  <c r="C144" i="64"/>
  <c r="B145" i="64"/>
  <c r="D145" i="64"/>
  <c r="C147" i="64"/>
  <c r="B148" i="64"/>
  <c r="D148" i="64"/>
  <c r="C149" i="64"/>
  <c r="G149" i="64" s="1"/>
  <c r="B150" i="64"/>
  <c r="D150" i="64"/>
  <c r="C152" i="64"/>
  <c r="B153" i="64"/>
  <c r="D153" i="64"/>
  <c r="C154" i="64"/>
  <c r="B155" i="64"/>
  <c r="F155" i="64" s="1"/>
  <c r="D155" i="64"/>
  <c r="H155" i="64" s="1"/>
  <c r="C167" i="64"/>
  <c r="B169" i="64"/>
  <c r="D169" i="64"/>
  <c r="C170" i="64"/>
  <c r="B171" i="64"/>
  <c r="F171" i="64" s="1"/>
  <c r="D171" i="64"/>
  <c r="H171" i="64" s="1"/>
  <c r="C172" i="64"/>
  <c r="G172" i="64" s="1"/>
  <c r="B174" i="64"/>
  <c r="D174" i="64"/>
  <c r="C175" i="64"/>
  <c r="B176" i="64"/>
  <c r="F176" i="64" s="1"/>
  <c r="D176" i="64"/>
  <c r="H176" i="64" s="1"/>
  <c r="C177" i="64"/>
  <c r="G177" i="64" s="1"/>
  <c r="B179" i="64"/>
  <c r="D179" i="64"/>
  <c r="C180" i="64"/>
  <c r="B181" i="64"/>
  <c r="D181" i="64"/>
  <c r="C182" i="64"/>
  <c r="B184" i="64"/>
  <c r="D184" i="64"/>
  <c r="C185" i="64"/>
  <c r="B186" i="64"/>
  <c r="C187" i="64"/>
  <c r="B199" i="64"/>
  <c r="D199" i="64"/>
  <c r="C201" i="64"/>
  <c r="B202" i="64"/>
  <c r="D202" i="64"/>
  <c r="C203" i="64"/>
  <c r="G203" i="64" s="1"/>
  <c r="B204" i="64"/>
  <c r="D204" i="64"/>
  <c r="C206" i="64"/>
  <c r="G206" i="64" s="1"/>
  <c r="B207" i="64"/>
  <c r="F207" i="64" s="1"/>
  <c r="D207" i="64"/>
  <c r="H207" i="64" s="1"/>
  <c r="C208" i="64"/>
  <c r="B209" i="64"/>
  <c r="D209" i="64"/>
  <c r="C211" i="64"/>
  <c r="G211" i="64" s="1"/>
  <c r="B212" i="64"/>
  <c r="D212" i="64"/>
  <c r="C213" i="64"/>
  <c r="B214" i="64"/>
  <c r="D214" i="64"/>
  <c r="D217" i="64"/>
  <c r="C218" i="64"/>
  <c r="B219" i="64"/>
  <c r="D219" i="64"/>
  <c r="C216" i="64"/>
  <c r="G216" i="64" s="1"/>
  <c r="C217" i="64"/>
  <c r="C231" i="64"/>
  <c r="E231" i="64"/>
  <c r="B73" i="64"/>
  <c r="B75" i="64"/>
  <c r="F75" i="64" s="1"/>
  <c r="B78" i="64"/>
  <c r="B80" i="64"/>
  <c r="B83" i="64"/>
  <c r="B85" i="64"/>
  <c r="F85" i="64" s="1"/>
  <c r="B88" i="64"/>
  <c r="B90" i="64"/>
  <c r="B103" i="64"/>
  <c r="B107" i="64"/>
  <c r="B108" i="64"/>
  <c r="B111" i="64"/>
  <c r="B113" i="64"/>
  <c r="B116" i="64"/>
  <c r="B118" i="64"/>
  <c r="B121" i="64"/>
  <c r="B123" i="64"/>
  <c r="B137" i="64"/>
  <c r="B139" i="64"/>
  <c r="B142" i="64"/>
  <c r="B144" i="64"/>
  <c r="B147" i="64"/>
  <c r="B149" i="64"/>
  <c r="B152" i="64"/>
  <c r="B154" i="64"/>
  <c r="B167" i="64"/>
  <c r="B170" i="64"/>
  <c r="B172" i="64"/>
  <c r="F172" i="64" s="1"/>
  <c r="B175" i="64"/>
  <c r="B177" i="64"/>
  <c r="B180" i="64"/>
  <c r="B182" i="64"/>
  <c r="B185" i="64"/>
  <c r="B187" i="64"/>
  <c r="B201" i="64"/>
  <c r="B203" i="64"/>
  <c r="F203" i="64" s="1"/>
  <c r="B206" i="64"/>
  <c r="B208" i="64"/>
  <c r="B211" i="64"/>
  <c r="F211" i="64" s="1"/>
  <c r="B213" i="64"/>
  <c r="B218" i="64"/>
  <c r="B216" i="64"/>
  <c r="F216" i="64" s="1"/>
  <c r="B231" i="64"/>
  <c r="D26" i="64"/>
  <c r="B26" i="64"/>
  <c r="C26" i="64"/>
  <c r="D24" i="64"/>
  <c r="B24" i="64"/>
  <c r="C24" i="64"/>
  <c r="D21" i="64"/>
  <c r="B21" i="64"/>
  <c r="C21" i="64"/>
  <c r="D19" i="64"/>
  <c r="B19" i="64"/>
  <c r="C19" i="64"/>
  <c r="D16" i="64"/>
  <c r="B16" i="64"/>
  <c r="C16" i="64"/>
  <c r="D14" i="64"/>
  <c r="B14" i="64"/>
  <c r="C14" i="64"/>
  <c r="D11" i="64"/>
  <c r="B11" i="64"/>
  <c r="D9" i="64"/>
  <c r="B9" i="64"/>
  <c r="C9" i="64"/>
  <c r="C7" i="64"/>
  <c r="D7" i="64"/>
  <c r="C27" i="64"/>
  <c r="D27" i="64"/>
  <c r="B27" i="64"/>
  <c r="C25" i="64"/>
  <c r="D25" i="64"/>
  <c r="B25" i="64"/>
  <c r="C22" i="64"/>
  <c r="D22" i="64"/>
  <c r="B22" i="64"/>
  <c r="C20" i="64"/>
  <c r="D20" i="64"/>
  <c r="B20" i="64"/>
  <c r="C17" i="64"/>
  <c r="B17" i="64"/>
  <c r="D17" i="64"/>
  <c r="C15" i="64"/>
  <c r="D15" i="64"/>
  <c r="B15" i="64"/>
  <c r="C12" i="64"/>
  <c r="D12" i="64"/>
  <c r="B12" i="64"/>
  <c r="C10" i="64"/>
  <c r="B10" i="64"/>
  <c r="D10" i="64"/>
  <c r="I430" i="64"/>
  <c r="I431" i="64"/>
  <c r="I432" i="64"/>
  <c r="I433" i="64"/>
  <c r="F501" i="64"/>
  <c r="F509" i="64"/>
  <c r="I270" i="64"/>
  <c r="I277" i="64"/>
  <c r="I302" i="64"/>
  <c r="I442" i="64"/>
  <c r="E39" i="64"/>
  <c r="D43" i="64"/>
  <c r="E43" i="64" s="1"/>
  <c r="E71" i="64"/>
  <c r="G202" i="64"/>
  <c r="H203" i="64"/>
  <c r="H211" i="64"/>
  <c r="I266" i="64"/>
  <c r="I268" i="64"/>
  <c r="I273" i="64"/>
  <c r="I276" i="64"/>
  <c r="I300" i="64"/>
  <c r="I303" i="64"/>
  <c r="H152" i="64"/>
  <c r="I281" i="64"/>
  <c r="I308" i="64"/>
  <c r="I310" i="64"/>
  <c r="I333" i="64"/>
  <c r="I366" i="64"/>
  <c r="I404" i="64"/>
  <c r="I408" i="64"/>
  <c r="I410" i="64"/>
  <c r="I412" i="64"/>
  <c r="I463" i="64"/>
  <c r="I469" i="64"/>
  <c r="I473" i="64"/>
  <c r="I495" i="64"/>
  <c r="I497" i="64"/>
  <c r="F499" i="64"/>
  <c r="I502" i="64"/>
  <c r="F504" i="64"/>
  <c r="G504" i="64"/>
  <c r="I505" i="64"/>
  <c r="F506" i="64"/>
  <c r="I510" i="64"/>
  <c r="F511" i="64"/>
  <c r="K511" i="64" s="1"/>
  <c r="G511" i="64"/>
  <c r="I512" i="64"/>
  <c r="E41" i="64"/>
  <c r="I233" i="64"/>
  <c r="I234" i="64"/>
  <c r="I235" i="64"/>
  <c r="I236" i="64"/>
  <c r="I238" i="64"/>
  <c r="I239" i="64"/>
  <c r="I240" i="64"/>
  <c r="I241" i="64"/>
  <c r="I243" i="64"/>
  <c r="I244" i="64"/>
  <c r="I245" i="64"/>
  <c r="I246" i="64"/>
  <c r="I248" i="64"/>
  <c r="I249" i="64"/>
  <c r="I250" i="64"/>
  <c r="I413" i="64"/>
  <c r="I398" i="64"/>
  <c r="I251" i="64"/>
  <c r="I298" i="64"/>
  <c r="I331" i="64"/>
  <c r="I376" i="64"/>
  <c r="I305" i="64"/>
  <c r="I309" i="64"/>
  <c r="I414" i="64"/>
  <c r="I443" i="64"/>
  <c r="I445" i="64"/>
  <c r="I446" i="64"/>
  <c r="I447" i="64"/>
  <c r="I448" i="64"/>
  <c r="G446" i="64"/>
  <c r="G447" i="64"/>
  <c r="G448" i="64"/>
  <c r="H500" i="64"/>
  <c r="H502" i="64"/>
  <c r="H505" i="64"/>
  <c r="H507" i="64"/>
  <c r="H510" i="64"/>
  <c r="H512" i="64"/>
  <c r="H107" i="64" l="1"/>
  <c r="H149" i="64"/>
  <c r="J477" i="64"/>
  <c r="G477" i="64"/>
  <c r="H177" i="64"/>
  <c r="F177" i="64"/>
  <c r="F149" i="64"/>
  <c r="F107" i="64"/>
  <c r="G116" i="64"/>
  <c r="G122" i="64"/>
  <c r="H414" i="64"/>
  <c r="G218" i="64"/>
  <c r="H380" i="64"/>
  <c r="H379" i="64"/>
  <c r="H346" i="64"/>
  <c r="H313" i="64"/>
  <c r="H281" i="64"/>
  <c r="H413" i="64"/>
  <c r="G184" i="64"/>
  <c r="H312" i="64"/>
  <c r="H345" i="64"/>
  <c r="G181" i="64"/>
  <c r="G113" i="64"/>
  <c r="G117" i="64"/>
  <c r="H342" i="64"/>
  <c r="H309" i="64"/>
  <c r="H277" i="64"/>
  <c r="H474" i="64"/>
  <c r="G213" i="64"/>
  <c r="H375" i="64"/>
  <c r="G180" i="64"/>
  <c r="G148" i="64"/>
  <c r="G84" i="64"/>
  <c r="G212" i="64"/>
  <c r="G179" i="64"/>
  <c r="H337" i="64"/>
  <c r="H369" i="64"/>
  <c r="G144" i="64"/>
  <c r="G80" i="64"/>
  <c r="H304" i="64"/>
  <c r="H469" i="64"/>
  <c r="G209" i="64"/>
  <c r="G81" i="64"/>
  <c r="H305" i="64"/>
  <c r="G145" i="64"/>
  <c r="H370" i="64"/>
  <c r="G208" i="64"/>
  <c r="H333" i="64"/>
  <c r="G139" i="64"/>
  <c r="H366" i="64"/>
  <c r="H332" i="64"/>
  <c r="H300" i="64"/>
  <c r="H268" i="64"/>
  <c r="H299" i="64"/>
  <c r="H331" i="64"/>
  <c r="H208" i="64"/>
  <c r="J299" i="64"/>
  <c r="H88" i="64"/>
  <c r="F88" i="64"/>
  <c r="G348" i="64"/>
  <c r="J348" i="64"/>
  <c r="G299" i="64"/>
  <c r="F208" i="64"/>
  <c r="G88" i="64"/>
  <c r="H381" i="64"/>
  <c r="H371" i="64"/>
  <c r="H338" i="64"/>
  <c r="G73" i="64"/>
  <c r="E219" i="64"/>
  <c r="E204" i="64"/>
  <c r="F263" i="64"/>
  <c r="F492" i="64"/>
  <c r="F436" i="64"/>
  <c r="J268" i="64"/>
  <c r="J283" i="64"/>
  <c r="E153" i="64"/>
  <c r="J341" i="64"/>
  <c r="J331" i="64"/>
  <c r="J309" i="64"/>
  <c r="F115" i="64"/>
  <c r="E115" i="64"/>
  <c r="I115" i="64" s="1"/>
  <c r="J330" i="64"/>
  <c r="J337" i="64"/>
  <c r="J304" i="64"/>
  <c r="J298" i="64"/>
  <c r="J281" i="64"/>
  <c r="H283" i="64"/>
  <c r="E123" i="64"/>
  <c r="G106" i="64"/>
  <c r="E147" i="64"/>
  <c r="E116" i="64"/>
  <c r="F430" i="64"/>
  <c r="E106" i="64"/>
  <c r="E187" i="64"/>
  <c r="E137" i="64"/>
  <c r="F212" i="64"/>
  <c r="J494" i="64"/>
  <c r="E80" i="64"/>
  <c r="J506" i="64"/>
  <c r="F368" i="64"/>
  <c r="E90" i="64"/>
  <c r="J501" i="64"/>
  <c r="E11" i="64"/>
  <c r="E184" i="64"/>
  <c r="E179" i="64"/>
  <c r="E174" i="64"/>
  <c r="E143" i="64"/>
  <c r="G123" i="64"/>
  <c r="E120" i="64"/>
  <c r="E110" i="64"/>
  <c r="E89" i="64"/>
  <c r="E76" i="64"/>
  <c r="E56" i="64"/>
  <c r="E46" i="64"/>
  <c r="E42" i="64"/>
  <c r="E22" i="64"/>
  <c r="E186" i="64"/>
  <c r="E26" i="64"/>
  <c r="E214" i="64"/>
  <c r="E150" i="64"/>
  <c r="F376" i="64"/>
  <c r="E117" i="64"/>
  <c r="E53" i="64"/>
  <c r="G336" i="64"/>
  <c r="J533" i="64"/>
  <c r="G272" i="64"/>
  <c r="G268" i="64"/>
  <c r="G430" i="64"/>
  <c r="G297" i="64"/>
  <c r="J335" i="64"/>
  <c r="J302" i="64"/>
  <c r="J312" i="64"/>
  <c r="J305" i="64"/>
  <c r="J343" i="64"/>
  <c r="J277" i="64"/>
  <c r="E49" i="64"/>
  <c r="H84" i="64"/>
  <c r="G51" i="64"/>
  <c r="G380" i="64"/>
  <c r="E16" i="64"/>
  <c r="G283" i="64"/>
  <c r="H206" i="64"/>
  <c r="G302" i="64"/>
  <c r="G243" i="64"/>
  <c r="G474" i="64"/>
  <c r="E12" i="64"/>
  <c r="F10" i="64"/>
  <c r="G137" i="64"/>
  <c r="G376" i="64"/>
  <c r="G233" i="64"/>
  <c r="E169" i="64"/>
  <c r="G19" i="64"/>
  <c r="G21" i="64"/>
  <c r="G509" i="64"/>
  <c r="F441" i="64"/>
  <c r="K441" i="64" s="1"/>
  <c r="F438" i="64"/>
  <c r="K438" i="64" s="1"/>
  <c r="E79" i="64"/>
  <c r="I79" i="64" s="1"/>
  <c r="E21" i="64"/>
  <c r="F282" i="64"/>
  <c r="K282" i="64" s="1"/>
  <c r="F470" i="64"/>
  <c r="K470" i="64" s="1"/>
  <c r="F437" i="64"/>
  <c r="F435" i="64"/>
  <c r="E175" i="64"/>
  <c r="I175" i="64" s="1"/>
  <c r="G22" i="64"/>
  <c r="H202" i="64"/>
  <c r="H143" i="64"/>
  <c r="E83" i="64"/>
  <c r="E52" i="64"/>
  <c r="G343" i="64"/>
  <c r="G342" i="64"/>
  <c r="G307" i="64"/>
  <c r="G308" i="64"/>
  <c r="G248" i="64"/>
  <c r="G238" i="64"/>
  <c r="F340" i="64"/>
  <c r="G118" i="64"/>
  <c r="G41" i="64"/>
  <c r="F407" i="64"/>
  <c r="K407" i="64" s="1"/>
  <c r="F218" i="64"/>
  <c r="E144" i="64"/>
  <c r="E113" i="64"/>
  <c r="G175" i="64"/>
  <c r="G53" i="64"/>
  <c r="G150" i="64"/>
  <c r="G111" i="64"/>
  <c r="F332" i="64"/>
  <c r="H170" i="64"/>
  <c r="F123" i="64"/>
  <c r="E17" i="64"/>
  <c r="E27" i="64"/>
  <c r="E7" i="64"/>
  <c r="E19" i="64"/>
  <c r="F428" i="64"/>
  <c r="F399" i="64"/>
  <c r="K399" i="64" s="1"/>
  <c r="F397" i="64"/>
  <c r="K397" i="64" s="1"/>
  <c r="G374" i="64"/>
  <c r="G373" i="64"/>
  <c r="G335" i="64"/>
  <c r="G333" i="64"/>
  <c r="G305" i="64"/>
  <c r="G300" i="64"/>
  <c r="G304" i="64"/>
  <c r="G235" i="64"/>
  <c r="J380" i="64"/>
  <c r="F378" i="64"/>
  <c r="F370" i="64"/>
  <c r="F363" i="64"/>
  <c r="J346" i="64"/>
  <c r="J345" i="64"/>
  <c r="J342" i="64"/>
  <c r="J338" i="64"/>
  <c r="J333" i="64"/>
  <c r="F328" i="64"/>
  <c r="J313" i="64"/>
  <c r="J310" i="64"/>
  <c r="J308" i="64"/>
  <c r="J303" i="64"/>
  <c r="J300" i="64"/>
  <c r="J297" i="64"/>
  <c r="J272" i="64"/>
  <c r="J270" i="64"/>
  <c r="G501" i="64"/>
  <c r="J499" i="64"/>
  <c r="F214" i="64"/>
  <c r="G219" i="64"/>
  <c r="G169" i="64"/>
  <c r="G445" i="64"/>
  <c r="G12" i="64"/>
  <c r="F12" i="64"/>
  <c r="G14" i="64"/>
  <c r="G24" i="64"/>
  <c r="J509" i="64"/>
  <c r="F464" i="64"/>
  <c r="K464" i="64" s="1"/>
  <c r="F432" i="64"/>
  <c r="K432" i="64" s="1"/>
  <c r="F398" i="64"/>
  <c r="K398" i="64" s="1"/>
  <c r="G375" i="64"/>
  <c r="G309" i="64"/>
  <c r="G413" i="64"/>
  <c r="F403" i="64"/>
  <c r="K403" i="64" s="1"/>
  <c r="G346" i="64"/>
  <c r="G338" i="64"/>
  <c r="G281" i="64"/>
  <c r="G462" i="64"/>
  <c r="E207" i="64"/>
  <c r="I207" i="64" s="1"/>
  <c r="E201" i="64"/>
  <c r="E180" i="64"/>
  <c r="E170" i="64"/>
  <c r="E73" i="64"/>
  <c r="E24" i="64"/>
  <c r="E14" i="64"/>
  <c r="F217" i="64"/>
  <c r="E208" i="64"/>
  <c r="E140" i="64"/>
  <c r="E107" i="64"/>
  <c r="E86" i="64"/>
  <c r="I86" i="64" s="1"/>
  <c r="G186" i="64"/>
  <c r="G58" i="64"/>
  <c r="G47" i="64"/>
  <c r="G250" i="64"/>
  <c r="G245" i="64"/>
  <c r="G240" i="64"/>
  <c r="G143" i="64"/>
  <c r="G90" i="64"/>
  <c r="G9" i="64"/>
  <c r="G15" i="64"/>
  <c r="F541" i="64"/>
  <c r="K541" i="64" s="1"/>
  <c r="F536" i="64"/>
  <c r="F472" i="64"/>
  <c r="K472" i="64" s="1"/>
  <c r="F415" i="64"/>
  <c r="K415" i="64" s="1"/>
  <c r="H179" i="64"/>
  <c r="H153" i="64"/>
  <c r="F108" i="64"/>
  <c r="H43" i="64"/>
  <c r="H10" i="64"/>
  <c r="E10" i="64"/>
  <c r="E15" i="64"/>
  <c r="F17" i="64"/>
  <c r="E20" i="64"/>
  <c r="E25" i="64"/>
  <c r="G25" i="64"/>
  <c r="E211" i="64"/>
  <c r="I211" i="64" s="1"/>
  <c r="F206" i="64"/>
  <c r="F219" i="64"/>
  <c r="E154" i="64"/>
  <c r="E139" i="64"/>
  <c r="E118" i="64"/>
  <c r="E108" i="64"/>
  <c r="E103" i="64"/>
  <c r="E78" i="64"/>
  <c r="E57" i="64"/>
  <c r="E47" i="64"/>
  <c r="G217" i="64"/>
  <c r="H214" i="64"/>
  <c r="E209" i="64"/>
  <c r="H212" i="64"/>
  <c r="E202" i="64"/>
  <c r="G182" i="64"/>
  <c r="E181" i="64"/>
  <c r="H174" i="64"/>
  <c r="H169" i="64"/>
  <c r="E155" i="64"/>
  <c r="I155" i="64" s="1"/>
  <c r="E148" i="64"/>
  <c r="G147" i="64"/>
  <c r="E145" i="64"/>
  <c r="E142" i="64"/>
  <c r="H142" i="64"/>
  <c r="G140" i="64"/>
  <c r="E122" i="64"/>
  <c r="G121" i="64"/>
  <c r="E112" i="64"/>
  <c r="E111" i="64"/>
  <c r="H118" i="64"/>
  <c r="G108" i="64"/>
  <c r="E105" i="64"/>
  <c r="E84" i="64"/>
  <c r="E81" i="64"/>
  <c r="E58" i="64"/>
  <c r="E54" i="64"/>
  <c r="E51" i="64"/>
  <c r="E48" i="64"/>
  <c r="G46" i="64"/>
  <c r="F395" i="64"/>
  <c r="F380" i="64"/>
  <c r="G378" i="64"/>
  <c r="F375" i="64"/>
  <c r="F373" i="64"/>
  <c r="G368" i="64"/>
  <c r="F365" i="64"/>
  <c r="K365" i="64" s="1"/>
  <c r="G364" i="64"/>
  <c r="G341" i="64"/>
  <c r="G332" i="64"/>
  <c r="G312" i="64"/>
  <c r="F299" i="64"/>
  <c r="F297" i="64"/>
  <c r="G270" i="64"/>
  <c r="G234" i="64"/>
  <c r="F374" i="64"/>
  <c r="F361" i="64"/>
  <c r="F330" i="64"/>
  <c r="F308" i="64"/>
  <c r="H307" i="64"/>
  <c r="F295" i="64"/>
  <c r="F275" i="64"/>
  <c r="F543" i="64"/>
  <c r="K543" i="64" s="1"/>
  <c r="F538" i="64"/>
  <c r="K538" i="64" s="1"/>
  <c r="G533" i="64"/>
  <c r="F474" i="64"/>
  <c r="G469" i="64"/>
  <c r="G467" i="64"/>
  <c r="G468" i="64"/>
  <c r="F433" i="64"/>
  <c r="K433" i="64" s="1"/>
  <c r="F431" i="64"/>
  <c r="K431" i="64" s="1"/>
  <c r="F533" i="64"/>
  <c r="F524" i="64"/>
  <c r="F460" i="64"/>
  <c r="F442" i="64"/>
  <c r="F440" i="64"/>
  <c r="K440" i="64" s="1"/>
  <c r="G506" i="64"/>
  <c r="G499" i="64"/>
  <c r="F462" i="64"/>
  <c r="G414" i="64"/>
  <c r="F400" i="64"/>
  <c r="K400" i="64" s="1"/>
  <c r="G379" i="64"/>
  <c r="G337" i="64"/>
  <c r="G303" i="64"/>
  <c r="F409" i="64"/>
  <c r="K409" i="64" s="1"/>
  <c r="F405" i="64"/>
  <c r="K405" i="64" s="1"/>
  <c r="G371" i="64"/>
  <c r="G369" i="64"/>
  <c r="G366" i="64"/>
  <c r="G331" i="64"/>
  <c r="G310" i="64"/>
  <c r="G298" i="64"/>
  <c r="G251" i="64"/>
  <c r="H218" i="64"/>
  <c r="E203" i="64"/>
  <c r="I203" i="64" s="1"/>
  <c r="G201" i="64"/>
  <c r="E182" i="64"/>
  <c r="E176" i="64"/>
  <c r="I176" i="64" s="1"/>
  <c r="E172" i="64"/>
  <c r="I172" i="64" s="1"/>
  <c r="E149" i="64"/>
  <c r="E91" i="64"/>
  <c r="I91" i="64" s="1"/>
  <c r="E85" i="64"/>
  <c r="I85" i="64" s="1"/>
  <c r="E75" i="64"/>
  <c r="I75" i="64" s="1"/>
  <c r="E44" i="64"/>
  <c r="F27" i="64"/>
  <c r="F25" i="64"/>
  <c r="F22" i="64"/>
  <c r="F20" i="64"/>
  <c r="F15" i="64"/>
  <c r="E9" i="64"/>
  <c r="E213" i="64"/>
  <c r="E206" i="64"/>
  <c r="E177" i="64"/>
  <c r="E171" i="64"/>
  <c r="I171" i="64" s="1"/>
  <c r="E138" i="64"/>
  <c r="E121" i="64"/>
  <c r="E88" i="64"/>
  <c r="E74" i="64"/>
  <c r="I74" i="64" s="1"/>
  <c r="G11" i="64"/>
  <c r="G154" i="64"/>
  <c r="G120" i="64"/>
  <c r="G83" i="64"/>
  <c r="G57" i="64"/>
  <c r="G48" i="64"/>
  <c r="G26" i="64"/>
  <c r="G16" i="64"/>
  <c r="G249" i="64"/>
  <c r="G246" i="64"/>
  <c r="G244" i="64"/>
  <c r="G241" i="64"/>
  <c r="G239" i="64"/>
  <c r="G236" i="64"/>
  <c r="G153" i="64"/>
  <c r="G112" i="64"/>
  <c r="G56" i="64"/>
  <c r="G27" i="64"/>
  <c r="F496" i="64"/>
  <c r="K496" i="64" s="1"/>
  <c r="F494" i="64"/>
  <c r="F342" i="64"/>
  <c r="F335" i="64"/>
  <c r="F267" i="64"/>
  <c r="K267" i="64" s="1"/>
  <c r="F265" i="64"/>
  <c r="K265" i="64" s="1"/>
  <c r="H180" i="64"/>
  <c r="F337" i="64"/>
  <c r="F272" i="64"/>
  <c r="F468" i="64"/>
  <c r="F381" i="64"/>
  <c r="E152" i="64"/>
  <c r="I152" i="64" s="1"/>
  <c r="H112" i="64"/>
  <c r="F53" i="64"/>
  <c r="H111" i="64"/>
  <c r="F122" i="64"/>
  <c r="F78" i="64"/>
  <c r="H501" i="64"/>
  <c r="H533" i="64"/>
  <c r="H506" i="64"/>
  <c r="H499" i="64"/>
  <c r="F9" i="64"/>
  <c r="G340" i="64"/>
  <c r="J336" i="64"/>
  <c r="F213" i="64"/>
  <c r="F26" i="64"/>
  <c r="F24" i="64"/>
  <c r="F21" i="64"/>
  <c r="F19" i="64"/>
  <c r="F16" i="64"/>
  <c r="F14" i="64"/>
  <c r="F11" i="64"/>
  <c r="G89" i="64"/>
  <c r="G78" i="64"/>
  <c r="F345" i="64"/>
  <c r="F204" i="64"/>
  <c r="H117" i="64"/>
  <c r="F186" i="64"/>
  <c r="E167" i="64"/>
  <c r="E199" i="64"/>
  <c r="G187" i="64"/>
  <c r="F148" i="64"/>
  <c r="F184" i="64"/>
  <c r="F138" i="64"/>
  <c r="F147" i="64"/>
  <c r="F137" i="64"/>
  <c r="F185" i="64"/>
  <c r="F81" i="64"/>
  <c r="F76" i="64"/>
  <c r="H373" i="64"/>
  <c r="H340" i="64"/>
  <c r="E217" i="64"/>
  <c r="G170" i="64"/>
  <c r="G42" i="64"/>
  <c r="E185" i="64"/>
  <c r="G185" i="64"/>
  <c r="G54" i="64"/>
  <c r="G44" i="64"/>
  <c r="G59" i="64"/>
  <c r="G52" i="64"/>
  <c r="G49" i="64"/>
  <c r="F413" i="64"/>
  <c r="H275" i="64"/>
  <c r="H509" i="64"/>
  <c r="J275" i="64"/>
  <c r="J271" i="64"/>
  <c r="E212" i="64"/>
  <c r="E218" i="64"/>
  <c r="F43" i="64"/>
  <c r="G43" i="64"/>
  <c r="H139" i="64"/>
  <c r="H11" i="64"/>
  <c r="J332" i="64"/>
  <c r="F139" i="64"/>
  <c r="H49" i="64"/>
  <c r="H19" i="64"/>
  <c r="G10" i="64"/>
  <c r="H14" i="64"/>
  <c r="F180" i="64"/>
  <c r="F175" i="64"/>
  <c r="F170" i="64"/>
  <c r="F154" i="64"/>
  <c r="F144" i="64"/>
  <c r="F118" i="64"/>
  <c r="F113" i="64"/>
  <c r="F105" i="64"/>
  <c r="F57" i="64"/>
  <c r="F52" i="64"/>
  <c r="F46" i="64"/>
  <c r="H204" i="64"/>
  <c r="G214" i="64"/>
  <c r="F174" i="64"/>
  <c r="F181" i="64"/>
  <c r="F153" i="64"/>
  <c r="H150" i="64"/>
  <c r="F143" i="64"/>
  <c r="H137" i="64"/>
  <c r="E135" i="64"/>
  <c r="H122" i="64"/>
  <c r="F112" i="64"/>
  <c r="H121" i="64"/>
  <c r="H108" i="64"/>
  <c r="H81" i="64"/>
  <c r="H80" i="64"/>
  <c r="G76" i="64"/>
  <c r="G17" i="64"/>
  <c r="G20" i="64"/>
  <c r="G204" i="64"/>
  <c r="H187" i="64"/>
  <c r="H184" i="64"/>
  <c r="H147" i="64"/>
  <c r="H140" i="64"/>
  <c r="H90" i="64"/>
  <c r="G138" i="64"/>
  <c r="G105" i="64"/>
  <c r="H17" i="64"/>
  <c r="H59" i="64"/>
  <c r="H42" i="64"/>
  <c r="E216" i="64"/>
  <c r="I216" i="64" s="1"/>
  <c r="J373" i="64"/>
  <c r="J340" i="64"/>
  <c r="J307" i="64"/>
  <c r="H41" i="64"/>
  <c r="H368" i="64"/>
  <c r="G174" i="64"/>
  <c r="G142" i="64"/>
  <c r="G152" i="64"/>
  <c r="H57" i="64"/>
  <c r="I338" i="64"/>
  <c r="F59" i="64"/>
  <c r="J437" i="64"/>
  <c r="F120" i="64"/>
  <c r="F90" i="64"/>
  <c r="F84" i="64"/>
  <c r="F80" i="64"/>
  <c r="F73" i="64"/>
  <c r="J376" i="64"/>
  <c r="F347" i="64"/>
  <c r="K347" i="64" s="1"/>
  <c r="J442" i="64"/>
  <c r="J430" i="64"/>
  <c r="H376" i="64"/>
  <c r="G435" i="64"/>
  <c r="J435" i="64"/>
  <c r="J436" i="64"/>
  <c r="F298" i="64"/>
  <c r="J379" i="64"/>
  <c r="F49" i="64"/>
  <c r="F448" i="64"/>
  <c r="K448" i="64" s="1"/>
  <c r="F250" i="64"/>
  <c r="F248" i="64"/>
  <c r="F245" i="64"/>
  <c r="F243" i="64"/>
  <c r="F240" i="64"/>
  <c r="F238" i="64"/>
  <c r="F235" i="64"/>
  <c r="F233" i="64"/>
  <c r="F529" i="64"/>
  <c r="K529" i="64" s="1"/>
  <c r="F500" i="64"/>
  <c r="K500" i="64" s="1"/>
  <c r="F447" i="64"/>
  <c r="K447" i="64" s="1"/>
  <c r="F348" i="64"/>
  <c r="F346" i="64"/>
  <c r="F336" i="64"/>
  <c r="G437" i="64"/>
  <c r="F313" i="64"/>
  <c r="F187" i="64"/>
  <c r="H154" i="64"/>
  <c r="F140" i="64"/>
  <c r="H123" i="64"/>
  <c r="F58" i="64"/>
  <c r="F47" i="64"/>
  <c r="F251" i="64"/>
  <c r="F249" i="64"/>
  <c r="F246" i="64"/>
  <c r="F244" i="64"/>
  <c r="F241" i="64"/>
  <c r="F239" i="64"/>
  <c r="F236" i="64"/>
  <c r="F234" i="64"/>
  <c r="H20" i="64"/>
  <c r="J370" i="64"/>
  <c r="I346" i="64"/>
  <c r="F201" i="64"/>
  <c r="H175" i="64"/>
  <c r="F150" i="64"/>
  <c r="F111" i="64"/>
  <c r="H106" i="64"/>
  <c r="I313" i="64"/>
  <c r="I297" i="64"/>
  <c r="F445" i="64"/>
  <c r="F266" i="64"/>
  <c r="J381" i="64"/>
  <c r="J374" i="64"/>
  <c r="H363" i="64"/>
  <c r="G436" i="64"/>
  <c r="G442" i="64"/>
  <c r="I371" i="64"/>
  <c r="G363" i="64"/>
  <c r="G381" i="64"/>
  <c r="I343" i="64"/>
  <c r="I341" i="64"/>
  <c r="G330" i="64"/>
  <c r="F315" i="64"/>
  <c r="K315" i="64" s="1"/>
  <c r="F307" i="64"/>
  <c r="F303" i="64"/>
  <c r="H209" i="64"/>
  <c r="H219" i="64"/>
  <c r="H201" i="64"/>
  <c r="H185" i="64"/>
  <c r="H181" i="64"/>
  <c r="F169" i="64"/>
  <c r="F152" i="64"/>
  <c r="F145" i="64"/>
  <c r="F142" i="64"/>
  <c r="F121" i="64"/>
  <c r="F117" i="64"/>
  <c r="F106" i="64"/>
  <c r="F89" i="64"/>
  <c r="F83" i="64"/>
  <c r="H76" i="64"/>
  <c r="F54" i="64"/>
  <c r="F51" i="64"/>
  <c r="F48" i="64"/>
  <c r="F44" i="64"/>
  <c r="F41" i="64"/>
  <c r="H25" i="64"/>
  <c r="F56" i="64"/>
  <c r="H51" i="64"/>
  <c r="H46" i="64"/>
  <c r="H27" i="64"/>
  <c r="H22" i="64"/>
  <c r="H12" i="64"/>
  <c r="F277" i="64"/>
  <c r="F270" i="64"/>
  <c r="H213" i="64"/>
  <c r="F209" i="64"/>
  <c r="G313" i="64"/>
  <c r="H186" i="64"/>
  <c r="H26" i="64"/>
  <c r="H182" i="64"/>
  <c r="H116" i="64"/>
  <c r="H83" i="64"/>
  <c r="H58" i="64"/>
  <c r="H44" i="64"/>
  <c r="H16" i="64"/>
  <c r="H21" i="64"/>
  <c r="I364" i="64"/>
  <c r="I363" i="64"/>
  <c r="I342" i="64"/>
  <c r="I330" i="64"/>
  <c r="H430" i="64"/>
  <c r="G494" i="64"/>
  <c r="I379" i="64"/>
  <c r="F531" i="64"/>
  <c r="K531" i="64" s="1"/>
  <c r="F528" i="64"/>
  <c r="K528" i="64" s="1"/>
  <c r="F526" i="64"/>
  <c r="K526" i="64" s="1"/>
  <c r="F480" i="64"/>
  <c r="K480" i="64" s="1"/>
  <c r="F478" i="64"/>
  <c r="K478" i="64" s="1"/>
  <c r="F379" i="64"/>
  <c r="I374" i="64"/>
  <c r="G370" i="64"/>
  <c r="G345" i="64"/>
  <c r="F309" i="64"/>
  <c r="F305" i="64"/>
  <c r="H217" i="64"/>
  <c r="F182" i="64"/>
  <c r="F179" i="64"/>
  <c r="H148" i="64"/>
  <c r="H144" i="64"/>
  <c r="H138" i="64"/>
  <c r="F116" i="64"/>
  <c r="H113" i="64"/>
  <c r="F110" i="64"/>
  <c r="H105" i="64"/>
  <c r="H78" i="64"/>
  <c r="H53" i="64"/>
  <c r="H47" i="64"/>
  <c r="H15" i="64"/>
  <c r="H56" i="64"/>
  <c r="H52" i="64"/>
  <c r="F42" i="64"/>
  <c r="H24" i="64"/>
  <c r="H9" i="64"/>
  <c r="G277" i="64"/>
  <c r="H145" i="64"/>
  <c r="F280" i="64"/>
  <c r="F202" i="64"/>
  <c r="H120" i="64"/>
  <c r="H110" i="64"/>
  <c r="H89" i="64"/>
  <c r="H73" i="64"/>
  <c r="H48" i="64"/>
  <c r="H54" i="64"/>
  <c r="J448" i="64"/>
  <c r="J447" i="64"/>
  <c r="J446" i="64"/>
  <c r="J445" i="64"/>
  <c r="J443" i="64"/>
  <c r="J250" i="64"/>
  <c r="J249" i="64"/>
  <c r="J248" i="64"/>
  <c r="J246" i="64"/>
  <c r="J245" i="64"/>
  <c r="J244" i="64"/>
  <c r="J243" i="64"/>
  <c r="J241" i="64"/>
  <c r="J240" i="64"/>
  <c r="J239" i="64"/>
  <c r="J238" i="64"/>
  <c r="J236" i="64"/>
  <c r="J235" i="64"/>
  <c r="J234" i="64"/>
  <c r="J233" i="64"/>
  <c r="F544" i="64"/>
  <c r="K544" i="64" s="1"/>
  <c r="F539" i="64"/>
  <c r="K539" i="64" s="1"/>
  <c r="F534" i="64"/>
  <c r="K534" i="64" s="1"/>
  <c r="F532" i="64"/>
  <c r="K532" i="64" s="1"/>
  <c r="F527" i="64"/>
  <c r="F510" i="64"/>
  <c r="K510" i="64" s="1"/>
  <c r="F507" i="64"/>
  <c r="K507" i="64" s="1"/>
  <c r="F505" i="64"/>
  <c r="K505" i="64" s="1"/>
  <c r="F495" i="64"/>
  <c r="K504" i="64" s="1"/>
  <c r="F477" i="64"/>
  <c r="F473" i="64"/>
  <c r="K473" i="64" s="1"/>
  <c r="F467" i="64"/>
  <c r="J462" i="64"/>
  <c r="F446" i="64"/>
  <c r="F443" i="64"/>
  <c r="H494" i="64"/>
  <c r="J469" i="64"/>
  <c r="J468" i="64"/>
  <c r="J467" i="64"/>
  <c r="F364" i="64"/>
  <c r="F331" i="64"/>
  <c r="J414" i="64"/>
  <c r="J413" i="64"/>
  <c r="F410" i="64"/>
  <c r="K410" i="64" s="1"/>
  <c r="H343" i="64"/>
  <c r="H341" i="64"/>
  <c r="J378" i="64"/>
  <c r="J375" i="64"/>
  <c r="J369" i="64"/>
  <c r="F314" i="64"/>
  <c r="K314" i="64" s="1"/>
  <c r="F304" i="64"/>
  <c r="F283" i="64"/>
  <c r="F281" i="64"/>
  <c r="F271" i="64"/>
  <c r="F371" i="64"/>
  <c r="J368" i="64"/>
  <c r="F366" i="64"/>
  <c r="J363" i="64"/>
  <c r="F343" i="64"/>
  <c r="H297" i="64"/>
  <c r="F276" i="64"/>
  <c r="K276" i="64" s="1"/>
  <c r="J251" i="64"/>
  <c r="H448" i="64"/>
  <c r="H447" i="64"/>
  <c r="H446" i="64"/>
  <c r="H445" i="64"/>
  <c r="H443" i="64"/>
  <c r="H251" i="64"/>
  <c r="H250" i="64"/>
  <c r="H249" i="64"/>
  <c r="H248" i="64"/>
  <c r="H246" i="64"/>
  <c r="H245" i="64"/>
  <c r="H244" i="64"/>
  <c r="H243" i="64"/>
  <c r="H241" i="64"/>
  <c r="H240" i="64"/>
  <c r="H239" i="64"/>
  <c r="H238" i="64"/>
  <c r="H236" i="64"/>
  <c r="H235" i="64"/>
  <c r="H234" i="64"/>
  <c r="H233" i="64"/>
  <c r="F231" i="64"/>
  <c r="F542" i="64"/>
  <c r="K542" i="64" s="1"/>
  <c r="F537" i="64"/>
  <c r="K537" i="64" s="1"/>
  <c r="F512" i="64"/>
  <c r="F502" i="64"/>
  <c r="F497" i="64"/>
  <c r="K497" i="64" s="1"/>
  <c r="F479" i="64"/>
  <c r="K479" i="64" s="1"/>
  <c r="F475" i="64"/>
  <c r="K475" i="64" s="1"/>
  <c r="F469" i="64"/>
  <c r="H462" i="64"/>
  <c r="J474" i="64"/>
  <c r="F465" i="64"/>
  <c r="K465" i="64" s="1"/>
  <c r="F414" i="64"/>
  <c r="F412" i="64"/>
  <c r="K412" i="64" s="1"/>
  <c r="H364" i="64"/>
  <c r="H310" i="64"/>
  <c r="H308" i="64"/>
  <c r="F463" i="64"/>
  <c r="F369" i="64"/>
  <c r="F312" i="64"/>
  <c r="F310" i="64"/>
  <c r="F278" i="64"/>
  <c r="K278" i="64" s="1"/>
  <c r="F402" i="64"/>
  <c r="K402" i="64" s="1"/>
  <c r="J371" i="64"/>
  <c r="J366" i="64"/>
  <c r="J364" i="64"/>
  <c r="H374" i="64"/>
  <c r="F341" i="64"/>
  <c r="F338" i="64"/>
  <c r="F333" i="64"/>
  <c r="H330" i="64"/>
  <c r="F302" i="64"/>
  <c r="F300" i="64"/>
  <c r="F273" i="64"/>
  <c r="F268" i="64"/>
  <c r="F408" i="64"/>
  <c r="K408" i="64" s="1"/>
  <c r="F404" i="64"/>
  <c r="K404" i="64" s="1"/>
  <c r="K477" i="64" l="1"/>
  <c r="I177" i="64"/>
  <c r="I149" i="64"/>
  <c r="I107" i="64"/>
  <c r="K348" i="64"/>
  <c r="K299" i="64"/>
  <c r="I208" i="64"/>
  <c r="I88" i="64"/>
  <c r="K239" i="64"/>
  <c r="I44" i="64"/>
  <c r="I73" i="64"/>
  <c r="I123" i="64"/>
  <c r="I80" i="64"/>
  <c r="I84" i="64"/>
  <c r="I49" i="64"/>
  <c r="I59" i="64"/>
  <c r="I54" i="64"/>
  <c r="I56" i="64"/>
  <c r="I20" i="64"/>
  <c r="I138" i="64"/>
  <c r="I182" i="64"/>
  <c r="I47" i="64"/>
  <c r="I112" i="64"/>
  <c r="I184" i="64"/>
  <c r="I170" i="64"/>
  <c r="I21" i="64"/>
  <c r="I9" i="64"/>
  <c r="I81" i="64"/>
  <c r="I116" i="64"/>
  <c r="I154" i="64"/>
  <c r="I27" i="64"/>
  <c r="I46" i="64"/>
  <c r="I187" i="64"/>
  <c r="I120" i="64"/>
  <c r="I209" i="64"/>
  <c r="I144" i="64"/>
  <c r="I57" i="64"/>
  <c r="I111" i="64"/>
  <c r="I148" i="64"/>
  <c r="I169" i="64"/>
  <c r="I179" i="64"/>
  <c r="I106" i="64"/>
  <c r="I143" i="64"/>
  <c r="I180" i="64"/>
  <c r="I113" i="64"/>
  <c r="I122" i="64"/>
  <c r="I185" i="64"/>
  <c r="I118" i="64"/>
  <c r="I58" i="64"/>
  <c r="I202" i="64"/>
  <c r="I218" i="64"/>
  <c r="I219" i="64"/>
  <c r="I213" i="64"/>
  <c r="I212" i="64"/>
  <c r="I17" i="64"/>
  <c r="I16" i="64"/>
  <c r="I26" i="64"/>
  <c r="I10" i="64"/>
  <c r="I43" i="64"/>
  <c r="K235" i="64"/>
  <c r="I214" i="64"/>
  <c r="I41" i="64"/>
  <c r="I51" i="64"/>
  <c r="I78" i="64"/>
  <c r="I105" i="64"/>
  <c r="I121" i="64"/>
  <c r="I142" i="64"/>
  <c r="I206" i="64"/>
  <c r="I217" i="64"/>
  <c r="I42" i="64"/>
  <c r="I52" i="64"/>
  <c r="I83" i="64"/>
  <c r="I110" i="64"/>
  <c r="I137" i="64"/>
  <c r="I147" i="64"/>
  <c r="I174" i="64"/>
  <c r="I201" i="64"/>
  <c r="I12" i="64"/>
  <c r="I22" i="64"/>
  <c r="I14" i="64"/>
  <c r="I19" i="64"/>
  <c r="I24" i="64"/>
  <c r="I53" i="64"/>
  <c r="I76" i="64"/>
  <c r="I90" i="64"/>
  <c r="I117" i="64"/>
  <c r="I140" i="64"/>
  <c r="I150" i="64"/>
  <c r="I181" i="64"/>
  <c r="I204" i="64"/>
  <c r="I48" i="64"/>
  <c r="I108" i="64"/>
  <c r="I145" i="64"/>
  <c r="I186" i="64"/>
  <c r="I11" i="64"/>
  <c r="I15" i="64"/>
  <c r="I25" i="64"/>
  <c r="I89" i="64"/>
  <c r="I153" i="64"/>
  <c r="I139" i="64"/>
  <c r="K273" i="64"/>
  <c r="K502" i="64"/>
  <c r="K271" i="64"/>
  <c r="K266" i="64"/>
  <c r="K275" i="64"/>
  <c r="K512" i="64"/>
  <c r="K280" i="64"/>
  <c r="K536" i="64"/>
  <c r="K332" i="64"/>
  <c r="K445" i="64"/>
  <c r="K373" i="64"/>
  <c r="K340" i="64"/>
  <c r="K307" i="64"/>
  <c r="K243" i="64"/>
  <c r="K251" i="64"/>
  <c r="K244" i="64"/>
  <c r="K249" i="64"/>
  <c r="K234" i="64"/>
  <c r="K236" i="64"/>
  <c r="K241" i="64"/>
  <c r="K246" i="64"/>
  <c r="K430" i="64"/>
  <c r="K381" i="64"/>
  <c r="K250" i="64"/>
  <c r="K238" i="64"/>
  <c r="K248" i="64"/>
  <c r="K369" i="64"/>
  <c r="K233" i="64"/>
  <c r="K240" i="64"/>
  <c r="K245" i="64"/>
  <c r="K436" i="64"/>
  <c r="K333" i="64"/>
  <c r="K370" i="64"/>
  <c r="K376" i="64"/>
  <c r="K462" i="64"/>
  <c r="K268" i="64"/>
  <c r="K300" i="64"/>
  <c r="K375" i="64"/>
  <c r="K379" i="64"/>
  <c r="K341" i="64"/>
  <c r="K443" i="64"/>
  <c r="K495" i="64"/>
  <c r="K501" i="64"/>
  <c r="K509" i="64"/>
  <c r="K494" i="64"/>
  <c r="K499" i="64"/>
  <c r="K506" i="64"/>
  <c r="K527" i="64"/>
  <c r="K533" i="64"/>
  <c r="K309" i="64"/>
  <c r="K302" i="64"/>
  <c r="K338" i="64"/>
  <c r="K310" i="64"/>
  <c r="K336" i="64"/>
  <c r="K363" i="64"/>
  <c r="K380" i="64"/>
  <c r="K469" i="64"/>
  <c r="K272" i="64"/>
  <c r="K313" i="64"/>
  <c r="K281" i="64"/>
  <c r="K297" i="64"/>
  <c r="K298" i="64"/>
  <c r="K364" i="64"/>
  <c r="K413" i="64"/>
  <c r="K437" i="64"/>
  <c r="K442" i="64"/>
  <c r="K308" i="64"/>
  <c r="K463" i="64"/>
  <c r="K468" i="64"/>
  <c r="K474" i="64"/>
  <c r="K331" i="64"/>
  <c r="K330" i="64"/>
  <c r="K342" i="64"/>
  <c r="K337" i="64"/>
  <c r="K335" i="64"/>
  <c r="K345" i="64"/>
  <c r="K446" i="64"/>
  <c r="K270" i="64"/>
  <c r="K303" i="64"/>
  <c r="K312" i="64"/>
  <c r="K346" i="64"/>
  <c r="K414" i="64"/>
  <c r="K305" i="64"/>
  <c r="K343" i="64"/>
  <c r="K366" i="64"/>
  <c r="K371" i="64"/>
  <c r="K277" i="64"/>
  <c r="K283" i="64"/>
  <c r="K304" i="64"/>
  <c r="K368" i="64"/>
  <c r="K378" i="64"/>
  <c r="K467" i="64"/>
  <c r="K435" i="64"/>
  <c r="K374" i="64"/>
  <c r="T436" i="22" l="1"/>
  <c r="Q436" i="22"/>
  <c r="P436" i="22"/>
  <c r="O436" i="22"/>
  <c r="Q237" i="22"/>
  <c r="P237" i="22"/>
  <c r="O237" i="22"/>
  <c r="T237" i="22"/>
  <c r="T29" i="22"/>
  <c r="S238" i="22"/>
  <c r="R239" i="22"/>
  <c r="S240" i="22"/>
  <c r="R241" i="22"/>
  <c r="S243" i="22"/>
  <c r="R244" i="22"/>
  <c r="S245" i="22"/>
  <c r="R246" i="22"/>
  <c r="S248" i="22"/>
  <c r="R249" i="22"/>
  <c r="S250" i="22"/>
  <c r="R251" i="22"/>
  <c r="S253" i="22"/>
  <c r="R254" i="22"/>
  <c r="S255" i="22"/>
  <c r="R256" i="22"/>
  <c r="R236" i="22"/>
  <c r="S10" i="22"/>
  <c r="S11" i="22"/>
  <c r="S12" i="22"/>
  <c r="R13" i="22"/>
  <c r="R15" i="22"/>
  <c r="R16" i="22"/>
  <c r="R17" i="22"/>
  <c r="R18" i="22"/>
  <c r="S20" i="22"/>
  <c r="S21" i="22"/>
  <c r="S22" i="22"/>
  <c r="S23" i="22"/>
  <c r="S25" i="22"/>
  <c r="S26" i="22"/>
  <c r="S27" i="22"/>
  <c r="S28" i="22"/>
  <c r="R8" i="22"/>
  <c r="S8" i="22" l="1"/>
  <c r="T8" i="22" s="1"/>
  <c r="R10" i="22"/>
  <c r="T10" i="22" s="1"/>
  <c r="R11" i="22"/>
  <c r="T11" i="22" s="1"/>
  <c r="S13" i="22"/>
  <c r="T13" i="22" s="1"/>
  <c r="R12" i="22"/>
  <c r="T12" i="22" s="1"/>
  <c r="S15" i="22"/>
  <c r="T15" i="22" s="1"/>
  <c r="S16" i="22"/>
  <c r="T16" i="22" s="1"/>
  <c r="S17" i="22"/>
  <c r="T17" i="22" s="1"/>
  <c r="S18" i="22"/>
  <c r="T18" i="22" s="1"/>
  <c r="R20" i="22"/>
  <c r="T20" i="22" s="1"/>
  <c r="R21" i="22"/>
  <c r="T21" i="22" s="1"/>
  <c r="R22" i="22"/>
  <c r="T22" i="22" s="1"/>
  <c r="R23" i="22"/>
  <c r="T23" i="22" s="1"/>
  <c r="R25" i="22"/>
  <c r="T25" i="22" s="1"/>
  <c r="R26" i="22"/>
  <c r="T26" i="22" s="1"/>
  <c r="R27" i="22"/>
  <c r="T27" i="22" s="1"/>
  <c r="R28" i="22"/>
  <c r="T28" i="22" s="1"/>
  <c r="S236" i="22"/>
  <c r="T236" i="22" s="1"/>
  <c r="S239" i="22"/>
  <c r="T239" i="22" s="1"/>
  <c r="S241" i="22"/>
  <c r="T241" i="22" s="1"/>
  <c r="S244" i="22"/>
  <c r="T244" i="22" s="1"/>
  <c r="S246" i="22"/>
  <c r="T246" i="22" s="1"/>
  <c r="S249" i="22"/>
  <c r="T249" i="22" s="1"/>
  <c r="S251" i="22"/>
  <c r="T251" i="22" s="1"/>
  <c r="S254" i="22"/>
  <c r="T254" i="22" s="1"/>
  <c r="S256" i="22"/>
  <c r="T256" i="22" s="1"/>
  <c r="R238" i="22"/>
  <c r="T238" i="22" s="1"/>
  <c r="R240" i="22"/>
  <c r="T240" i="22" s="1"/>
  <c r="R243" i="22"/>
  <c r="T243" i="22" s="1"/>
  <c r="R245" i="22"/>
  <c r="T245" i="22" s="1"/>
  <c r="R248" i="22"/>
  <c r="T248" i="22" s="1"/>
  <c r="R250" i="22"/>
  <c r="T250" i="22" s="1"/>
  <c r="R253" i="22"/>
  <c r="T253" i="22" s="1"/>
  <c r="R255" i="22"/>
  <c r="T255" i="22" s="1"/>
  <c r="T437" i="22" l="1"/>
  <c r="T438" i="22" l="1"/>
  <c r="T439" i="22"/>
  <c r="T440" i="22"/>
  <c r="T442" i="22"/>
  <c r="T443" i="22"/>
  <c r="T444" i="22"/>
  <c r="T445" i="22"/>
  <c r="T447" i="22"/>
  <c r="T448" i="22"/>
  <c r="T449" i="22"/>
  <c r="T450" i="22"/>
  <c r="T452" i="22"/>
  <c r="T453" i="22"/>
  <c r="T454" i="22"/>
  <c r="T455" i="22"/>
  <c r="K26" i="65"/>
  <c r="B9" i="65"/>
  <c r="E17" i="65"/>
  <c r="I21" i="65"/>
  <c r="N25" i="65"/>
  <c r="I17" i="65"/>
  <c r="I11" i="65"/>
  <c r="L7" i="65"/>
  <c r="L16" i="65"/>
  <c r="B26" i="65"/>
  <c r="M24" i="65"/>
  <c r="E21" i="65"/>
  <c r="D10" i="65"/>
  <c r="M17" i="65"/>
  <c r="M19" i="65"/>
  <c r="N10" i="65"/>
  <c r="E10" i="65"/>
  <c r="B21" i="65"/>
  <c r="M10" i="65"/>
  <c r="G16" i="65"/>
  <c r="F11" i="65"/>
  <c r="K15" i="65"/>
  <c r="N27" i="65"/>
  <c r="M7" i="65"/>
  <c r="K14" i="65"/>
  <c r="C24" i="65"/>
  <c r="L22" i="65"/>
  <c r="F20" i="65"/>
  <c r="J27" i="65"/>
  <c r="J10" i="65"/>
  <c r="E16" i="65"/>
  <c r="L17" i="65"/>
  <c r="L26" i="65"/>
  <c r="I25" i="65"/>
  <c r="I14" i="65"/>
  <c r="G9" i="65"/>
  <c r="D25" i="65"/>
  <c r="L25" i="65"/>
  <c r="L19" i="65"/>
  <c r="E7" i="65"/>
  <c r="C11" i="65"/>
  <c r="C27" i="65"/>
  <c r="D22" i="65"/>
  <c r="C25" i="65"/>
  <c r="E9" i="65"/>
  <c r="G17" i="65"/>
  <c r="I24" i="65"/>
  <c r="K24" i="65"/>
  <c r="F9" i="65"/>
  <c r="M21" i="65"/>
  <c r="I12" i="65"/>
  <c r="K27" i="65"/>
  <c r="L24" i="65"/>
  <c r="N21" i="65"/>
  <c r="K10" i="65"/>
  <c r="I16" i="65"/>
  <c r="J14" i="65"/>
  <c r="N9" i="65"/>
  <c r="K12" i="65"/>
  <c r="I15" i="65"/>
  <c r="D19" i="65"/>
  <c r="F7" i="65"/>
  <c r="N19" i="65"/>
  <c r="M27" i="65"/>
  <c r="C15" i="65"/>
  <c r="I19" i="65"/>
  <c r="G14" i="65"/>
  <c r="F15" i="65"/>
  <c r="K20" i="65"/>
  <c r="D9" i="65"/>
  <c r="C20" i="65"/>
  <c r="C7" i="65"/>
  <c r="M11" i="65"/>
  <c r="N20" i="65"/>
  <c r="I10" i="65"/>
  <c r="J7" i="65"/>
  <c r="F14" i="65"/>
  <c r="F21" i="65"/>
  <c r="G21" i="65"/>
  <c r="B10" i="65"/>
  <c r="F17" i="65"/>
  <c r="N14" i="65"/>
  <c r="F19" i="65"/>
  <c r="N7" i="65"/>
  <c r="D16" i="65"/>
  <c r="J19" i="65"/>
  <c r="C14" i="65"/>
  <c r="F26" i="65"/>
  <c r="J25" i="65"/>
  <c r="D15" i="65"/>
  <c r="L10" i="65"/>
  <c r="D7" i="65"/>
  <c r="G11" i="65"/>
  <c r="K7" i="65"/>
  <c r="E27" i="65"/>
  <c r="E19" i="65"/>
  <c r="F24" i="65"/>
  <c r="B20" i="65"/>
  <c r="B11" i="65"/>
  <c r="E15" i="65"/>
  <c r="E20" i="65"/>
  <c r="N12" i="65"/>
  <c r="G25" i="65"/>
  <c r="D11" i="65"/>
  <c r="N11" i="65"/>
  <c r="B7" i="65"/>
  <c r="B16" i="65"/>
  <c r="J11" i="65"/>
  <c r="G19" i="65"/>
  <c r="I27" i="65"/>
  <c r="B19" i="65"/>
  <c r="J22" i="65"/>
  <c r="M20" i="65"/>
  <c r="G26" i="65"/>
  <c r="M12" i="65"/>
  <c r="J20" i="65"/>
  <c r="B15" i="65"/>
  <c r="G22" i="65"/>
  <c r="J16" i="65"/>
  <c r="J24" i="65"/>
  <c r="J21" i="65"/>
  <c r="I20" i="65"/>
  <c r="J15" i="65"/>
  <c r="F27" i="65"/>
  <c r="N16" i="65"/>
  <c r="B22" i="65"/>
  <c r="C12" i="65"/>
  <c r="D24" i="65"/>
  <c r="N24" i="65"/>
  <c r="D12" i="65"/>
  <c r="J17" i="65"/>
  <c r="B17" i="65"/>
  <c r="G27" i="65"/>
  <c r="J12" i="65"/>
  <c r="F22" i="65"/>
  <c r="K22" i="65"/>
  <c r="E12" i="65"/>
  <c r="B12" i="65"/>
  <c r="G12" i="65"/>
  <c r="M9" i="65"/>
  <c r="N15" i="65"/>
  <c r="F25" i="65"/>
  <c r="K19" i="65"/>
  <c r="L20" i="65"/>
  <c r="L21" i="65"/>
  <c r="L11" i="65"/>
  <c r="C26" i="65"/>
  <c r="M15" i="65"/>
  <c r="M16" i="65"/>
  <c r="F16" i="65"/>
  <c r="B25" i="65"/>
  <c r="K9" i="65"/>
  <c r="G7" i="65"/>
  <c r="B14" i="65"/>
  <c r="K25" i="65"/>
  <c r="M22" i="65"/>
  <c r="G20" i="65"/>
  <c r="D27" i="65"/>
  <c r="B24" i="65"/>
  <c r="M25" i="65"/>
  <c r="B27" i="65"/>
  <c r="C9" i="65"/>
  <c r="D20" i="65"/>
  <c r="F10" i="65"/>
  <c r="L14" i="65"/>
  <c r="K16" i="65"/>
  <c r="M14" i="65"/>
  <c r="I22" i="65"/>
  <c r="N26" i="65"/>
  <c r="K17" i="65"/>
  <c r="C10" i="65"/>
  <c r="C16" i="65"/>
  <c r="G24" i="65"/>
  <c r="E14" i="65"/>
  <c r="N17" i="65"/>
  <c r="J9" i="65"/>
  <c r="L15" i="65"/>
  <c r="D21" i="65"/>
  <c r="D17" i="65"/>
  <c r="L27" i="65"/>
  <c r="C19" i="65"/>
  <c r="C21" i="65"/>
  <c r="K11" i="65"/>
  <c r="E26" i="65"/>
  <c r="L9" i="65"/>
  <c r="L12" i="65"/>
  <c r="E24" i="65"/>
  <c r="D26" i="65"/>
  <c r="F12" i="65"/>
  <c r="I26" i="65"/>
  <c r="K21" i="65"/>
  <c r="G15" i="65"/>
  <c r="N22" i="65"/>
  <c r="D14" i="65"/>
  <c r="I7" i="65"/>
  <c r="E25" i="65"/>
  <c r="C17" i="65"/>
  <c r="E22" i="65"/>
  <c r="J26" i="65"/>
  <c r="I9" i="65"/>
  <c r="E11" i="65"/>
  <c r="G10" i="65"/>
  <c r="M26" i="65"/>
  <c r="C22" i="65"/>
  <c r="O9" i="65" l="1"/>
  <c r="H21" i="65"/>
  <c r="O26" i="65"/>
  <c r="H20" i="65"/>
  <c r="H17" i="65"/>
  <c r="H24" i="65"/>
  <c r="O25" i="65"/>
  <c r="O16" i="65"/>
  <c r="H11" i="65"/>
  <c r="H27" i="65"/>
  <c r="H22" i="65"/>
  <c r="O21" i="65"/>
  <c r="O15" i="65"/>
  <c r="H25" i="65"/>
  <c r="O7" i="65"/>
  <c r="O20" i="65"/>
  <c r="H7" i="65"/>
  <c r="O27" i="65"/>
  <c r="H15" i="65"/>
  <c r="O24" i="65"/>
  <c r="O19" i="65"/>
  <c r="O17" i="65"/>
  <c r="O14" i="65"/>
  <c r="H14" i="65"/>
  <c r="H26" i="65"/>
  <c r="O10" i="65"/>
  <c r="O11" i="65"/>
  <c r="O22" i="65"/>
  <c r="H12" i="65"/>
  <c r="O12" i="65"/>
  <c r="H10" i="65"/>
  <c r="H19" i="65"/>
  <c r="H16" i="65"/>
  <c r="H9" i="65"/>
  <c r="P11" i="65" l="1"/>
  <c r="U11" i="65" s="1"/>
  <c r="P16" i="65"/>
  <c r="W16" i="65" s="1"/>
  <c r="P24" i="65"/>
  <c r="AB24" i="65" s="1"/>
  <c r="P27" i="65"/>
  <c r="AC27" i="65" s="1"/>
  <c r="P21" i="65"/>
  <c r="X21" i="65" s="1"/>
  <c r="P9" i="65"/>
  <c r="S9" i="65" s="1"/>
  <c r="P20" i="65"/>
  <c r="U20" i="65" s="1"/>
  <c r="P25" i="65"/>
  <c r="V25" i="65" s="1"/>
  <c r="P19" i="65"/>
  <c r="U19" i="65" s="1"/>
  <c r="P22" i="65"/>
  <c r="AE22" i="65" s="1"/>
  <c r="P10" i="65"/>
  <c r="S10" i="65" s="1"/>
  <c r="P14" i="65"/>
  <c r="S14" i="65" s="1"/>
  <c r="P17" i="65"/>
  <c r="U17" i="65" s="1"/>
  <c r="P12" i="65"/>
  <c r="S12" i="65" s="1"/>
  <c r="P7" i="65"/>
  <c r="AF7" i="65" s="1"/>
  <c r="P15" i="65"/>
  <c r="P26" i="65"/>
  <c r="AB20" i="65" l="1"/>
  <c r="AF24" i="65"/>
  <c r="Z24" i="65"/>
  <c r="T16" i="65"/>
  <c r="W9" i="65"/>
  <c r="S24" i="65"/>
  <c r="S11" i="65"/>
  <c r="Z11" i="65"/>
  <c r="AA11" i="65"/>
  <c r="AD19" i="65"/>
  <c r="AE11" i="65"/>
  <c r="V11" i="65"/>
  <c r="W11" i="65"/>
  <c r="AF11" i="65"/>
  <c r="AB11" i="65"/>
  <c r="X11" i="65"/>
  <c r="Z25" i="65"/>
  <c r="T11" i="65"/>
  <c r="AC11" i="65"/>
  <c r="T25" i="65"/>
  <c r="AD11" i="65"/>
  <c r="X17" i="65"/>
  <c r="S25" i="65"/>
  <c r="X20" i="65"/>
  <c r="AE25" i="65"/>
  <c r="U25" i="65"/>
  <c r="AF25" i="65"/>
  <c r="AA25" i="65"/>
  <c r="AB9" i="65"/>
  <c r="T14" i="65"/>
  <c r="AE17" i="65"/>
  <c r="V9" i="65"/>
  <c r="AE24" i="65"/>
  <c r="AE16" i="65"/>
  <c r="U24" i="65"/>
  <c r="AF14" i="65"/>
  <c r="AA24" i="65"/>
  <c r="AD24" i="65"/>
  <c r="AF16" i="65"/>
  <c r="U16" i="65"/>
  <c r="V24" i="65"/>
  <c r="AD16" i="65"/>
  <c r="AC24" i="65"/>
  <c r="AB16" i="65"/>
  <c r="Z17" i="65"/>
  <c r="T24" i="65"/>
  <c r="AA16" i="65"/>
  <c r="Z16" i="65"/>
  <c r="AC16" i="65"/>
  <c r="W24" i="65"/>
  <c r="X16" i="65"/>
  <c r="T22" i="65"/>
  <c r="AB14" i="65"/>
  <c r="X24" i="65"/>
  <c r="W22" i="65"/>
  <c r="X14" i="65"/>
  <c r="V16" i="65"/>
  <c r="AA17" i="65"/>
  <c r="S16" i="65"/>
  <c r="U14" i="65"/>
  <c r="AA14" i="65"/>
  <c r="V14" i="65"/>
  <c r="Z14" i="65"/>
  <c r="AF21" i="65"/>
  <c r="AB21" i="65"/>
  <c r="AA10" i="65"/>
  <c r="AC14" i="65"/>
  <c r="S17" i="65"/>
  <c r="AF10" i="65"/>
  <c r="AD14" i="65"/>
  <c r="AC17" i="65"/>
  <c r="T27" i="65"/>
  <c r="W20" i="65"/>
  <c r="AE20" i="65"/>
  <c r="AA12" i="65"/>
  <c r="T21" i="65"/>
  <c r="Z21" i="65"/>
  <c r="W19" i="65"/>
  <c r="AB27" i="65"/>
  <c r="AA22" i="65"/>
  <c r="W21" i="65"/>
  <c r="AD10" i="65"/>
  <c r="AA19" i="65"/>
  <c r="Z27" i="65"/>
  <c r="AF27" i="65"/>
  <c r="T9" i="65"/>
  <c r="V22" i="65"/>
  <c r="AE21" i="65"/>
  <c r="AB10" i="65"/>
  <c r="AE14" i="65"/>
  <c r="X27" i="65"/>
  <c r="AE27" i="65"/>
  <c r="X25" i="65"/>
  <c r="AD9" i="65"/>
  <c r="S22" i="65"/>
  <c r="AA21" i="65"/>
  <c r="AD20" i="65"/>
  <c r="AC21" i="65"/>
  <c r="AA27" i="65"/>
  <c r="S27" i="65"/>
  <c r="X9" i="65"/>
  <c r="AC9" i="65"/>
  <c r="AC22" i="65"/>
  <c r="AD21" i="65"/>
  <c r="S21" i="65"/>
  <c r="AC19" i="65"/>
  <c r="AD27" i="65"/>
  <c r="U27" i="65"/>
  <c r="AF9" i="65"/>
  <c r="AB22" i="65"/>
  <c r="V21" i="65"/>
  <c r="V27" i="65"/>
  <c r="W27" i="65"/>
  <c r="Z9" i="65"/>
  <c r="U22" i="65"/>
  <c r="AF22" i="65"/>
  <c r="U21" i="65"/>
  <c r="AC10" i="65"/>
  <c r="X19" i="65"/>
  <c r="AB25" i="65"/>
  <c r="AE9" i="65"/>
  <c r="U9" i="65"/>
  <c r="X22" i="65"/>
  <c r="S20" i="65"/>
  <c r="AA20" i="65"/>
  <c r="AC20" i="65"/>
  <c r="AE10" i="65"/>
  <c r="W14" i="65"/>
  <c r="AF19" i="65"/>
  <c r="AD25" i="65"/>
  <c r="W25" i="65"/>
  <c r="AA9" i="65"/>
  <c r="AD22" i="65"/>
  <c r="AF20" i="65"/>
  <c r="Z10" i="65"/>
  <c r="AB17" i="65"/>
  <c r="AB19" i="65"/>
  <c r="AC25" i="65"/>
  <c r="Z22" i="65"/>
  <c r="T20" i="65"/>
  <c r="V20" i="65"/>
  <c r="Z20" i="65"/>
  <c r="U12" i="65"/>
  <c r="X12" i="65"/>
  <c r="T10" i="65"/>
  <c r="V10" i="65"/>
  <c r="W10" i="65"/>
  <c r="U10" i="65"/>
  <c r="X10" i="65"/>
  <c r="AD17" i="65"/>
  <c r="T17" i="65"/>
  <c r="W17" i="65"/>
  <c r="AF17" i="65"/>
  <c r="V17" i="65"/>
  <c r="V19" i="65"/>
  <c r="Z19" i="65"/>
  <c r="T19" i="65"/>
  <c r="S19" i="65"/>
  <c r="AE19" i="65"/>
  <c r="AD12" i="65"/>
  <c r="T12" i="65"/>
  <c r="AC12" i="65"/>
  <c r="Z12" i="65"/>
  <c r="AB12" i="65"/>
  <c r="AE12" i="65"/>
  <c r="AF12" i="65"/>
  <c r="W12" i="65"/>
  <c r="V12" i="65"/>
  <c r="T7" i="65"/>
  <c r="AD7" i="65"/>
  <c r="AE7" i="65"/>
  <c r="AC7" i="65"/>
  <c r="S7" i="65"/>
  <c r="W7" i="65"/>
  <c r="Z7" i="65"/>
  <c r="X7" i="65"/>
  <c r="V7" i="65"/>
  <c r="AA7" i="65"/>
  <c r="AB7" i="65"/>
  <c r="U7" i="65"/>
  <c r="AC15" i="65"/>
  <c r="AA15" i="65"/>
  <c r="Z15" i="65"/>
  <c r="AF15" i="65"/>
  <c r="V15" i="65"/>
  <c r="AD15" i="65"/>
  <c r="U15" i="65"/>
  <c r="S15" i="65"/>
  <c r="W15" i="65"/>
  <c r="X15" i="65"/>
  <c r="AB15" i="65"/>
  <c r="AE15" i="65"/>
  <c r="T15" i="65"/>
  <c r="AF26" i="65"/>
  <c r="AB26" i="65"/>
  <c r="T26" i="65"/>
  <c r="AE26" i="65"/>
  <c r="X26" i="65"/>
  <c r="AD26" i="65"/>
  <c r="W26" i="65"/>
  <c r="AA26" i="65"/>
  <c r="V26" i="65"/>
  <c r="AC26" i="65"/>
  <c r="S26" i="65"/>
  <c r="Z26" i="65"/>
  <c r="U26" i="65"/>
  <c r="T435" i="22"/>
  <c r="B8" i="22"/>
  <c r="Y16" i="65" l="1"/>
  <c r="AG16" i="65" s="1"/>
  <c r="Y11" i="65"/>
  <c r="AG11" i="65" s="1"/>
  <c r="Y22" i="65"/>
  <c r="AG22" i="65" s="1"/>
  <c r="Y17" i="65"/>
  <c r="AG17" i="65" s="1"/>
  <c r="Y9" i="65"/>
  <c r="AG9" i="65" s="1"/>
  <c r="Y24" i="65"/>
  <c r="AG24" i="65" s="1"/>
  <c r="Y10" i="65"/>
  <c r="AG10" i="65" s="1"/>
  <c r="Y20" i="65"/>
  <c r="AG20" i="65" s="1"/>
  <c r="Y14" i="65"/>
  <c r="AG14" i="65" s="1"/>
  <c r="Y27" i="65"/>
  <c r="AG27" i="65" s="1"/>
  <c r="Y25" i="65"/>
  <c r="AG25" i="65" s="1"/>
  <c r="Y19" i="65"/>
  <c r="AG19" i="65" s="1"/>
  <c r="Y21" i="65"/>
  <c r="AG21" i="65" s="1"/>
  <c r="Y12" i="65"/>
  <c r="AG12" i="65" s="1"/>
  <c r="Y7" i="65"/>
  <c r="AG7" i="65" s="1"/>
  <c r="Y26" i="65"/>
  <c r="AG26" i="65" s="1"/>
  <c r="Y15" i="65"/>
  <c r="AG15" i="65" s="1"/>
  <c r="AB435" i="22"/>
  <c r="AC435" i="22" l="1"/>
  <c r="P435" i="22"/>
  <c r="V435" i="22" s="1"/>
  <c r="AA435" i="22"/>
  <c r="H52" i="59"/>
  <c r="I52" i="59"/>
  <c r="J52" i="59"/>
  <c r="I54" i="59"/>
  <c r="J54" i="59"/>
  <c r="H55" i="59"/>
  <c r="I55" i="59"/>
  <c r="J55" i="59"/>
  <c r="H56" i="59"/>
  <c r="J56" i="59"/>
  <c r="H57" i="59"/>
  <c r="I57" i="59"/>
  <c r="J57" i="59"/>
  <c r="I58" i="59"/>
  <c r="J58" i="59"/>
  <c r="H59" i="59"/>
  <c r="J59" i="59"/>
  <c r="H60" i="59"/>
  <c r="I60" i="59"/>
  <c r="H61" i="59"/>
  <c r="I61" i="59"/>
  <c r="J61" i="59"/>
  <c r="I62" i="59"/>
  <c r="J62" i="59"/>
  <c r="H63" i="59"/>
  <c r="J63" i="59"/>
  <c r="H64" i="59"/>
  <c r="I64" i="59"/>
  <c r="H65" i="59"/>
  <c r="I65" i="59"/>
  <c r="J65" i="59"/>
  <c r="I66" i="59"/>
  <c r="J66" i="59"/>
  <c r="H67" i="59"/>
  <c r="J67" i="59"/>
  <c r="H68" i="59"/>
  <c r="I68" i="59"/>
  <c r="H69" i="59"/>
  <c r="I69" i="59"/>
  <c r="J69" i="59"/>
  <c r="S23" i="59"/>
  <c r="I74" i="59"/>
  <c r="J74" i="59"/>
  <c r="H76" i="59"/>
  <c r="J76" i="59"/>
  <c r="H77" i="59"/>
  <c r="I77" i="59"/>
  <c r="H78" i="59"/>
  <c r="I78" i="59"/>
  <c r="J78" i="59"/>
  <c r="I79" i="59"/>
  <c r="J79" i="59"/>
  <c r="H80" i="59"/>
  <c r="J80" i="59"/>
  <c r="H81" i="59"/>
  <c r="I81" i="59"/>
  <c r="H82" i="59"/>
  <c r="I82" i="59"/>
  <c r="I103" i="59" s="1"/>
  <c r="J82" i="59"/>
  <c r="I83" i="59"/>
  <c r="I104" i="59" s="1"/>
  <c r="J83" i="59"/>
  <c r="H84" i="59"/>
  <c r="J84" i="59"/>
  <c r="H85" i="59"/>
  <c r="I85" i="59"/>
  <c r="H86" i="59"/>
  <c r="H107" i="59" s="1"/>
  <c r="I86" i="59"/>
  <c r="J86" i="59"/>
  <c r="H87" i="59"/>
  <c r="I87" i="59"/>
  <c r="H88" i="59"/>
  <c r="I88" i="59"/>
  <c r="I109" i="59" s="1"/>
  <c r="J88" i="59"/>
  <c r="H89" i="59"/>
  <c r="H110" i="59" s="1"/>
  <c r="I89" i="59"/>
  <c r="J89" i="59"/>
  <c r="H90" i="59"/>
  <c r="I90" i="59"/>
  <c r="J90" i="59"/>
  <c r="H91" i="59"/>
  <c r="H112" i="59" s="1"/>
  <c r="I91" i="59"/>
  <c r="I112" i="59" s="1"/>
  <c r="J91" i="59"/>
  <c r="H54" i="59"/>
  <c r="E56" i="59"/>
  <c r="I56" i="59"/>
  <c r="H58" i="59"/>
  <c r="I59" i="59"/>
  <c r="J60" i="59"/>
  <c r="H62" i="59"/>
  <c r="I63" i="59"/>
  <c r="J64" i="59"/>
  <c r="H66" i="59"/>
  <c r="I67" i="59"/>
  <c r="J68" i="59"/>
  <c r="H74" i="59"/>
  <c r="I76" i="59"/>
  <c r="J77" i="59"/>
  <c r="H79" i="59"/>
  <c r="I80" i="59"/>
  <c r="J81" i="59"/>
  <c r="H83" i="59"/>
  <c r="I84" i="59"/>
  <c r="J85" i="59"/>
  <c r="J87" i="59"/>
  <c r="D10" i="22"/>
  <c r="P10" i="22" s="1"/>
  <c r="V10" i="22" s="1"/>
  <c r="B12" i="22"/>
  <c r="C11" i="22"/>
  <c r="AA11" i="22" s="1"/>
  <c r="C12" i="22"/>
  <c r="AA12" i="22" s="1"/>
  <c r="D12" i="22"/>
  <c r="P12" i="22" s="1"/>
  <c r="V12" i="22" s="1"/>
  <c r="B13" i="22"/>
  <c r="B15" i="22"/>
  <c r="C16" i="22"/>
  <c r="AA16" i="22" s="1"/>
  <c r="B17" i="22"/>
  <c r="B21" i="22"/>
  <c r="C21" i="22"/>
  <c r="AA21" i="22" s="1"/>
  <c r="B23" i="22"/>
  <c r="C23" i="22"/>
  <c r="AA23" i="22" s="1"/>
  <c r="B25" i="22"/>
  <c r="C25" i="22"/>
  <c r="AA25" i="22" s="1"/>
  <c r="B27" i="22"/>
  <c r="C27" i="22"/>
  <c r="AA27" i="22" s="1"/>
  <c r="B41" i="22"/>
  <c r="C41" i="22"/>
  <c r="B43" i="22"/>
  <c r="D44" i="22"/>
  <c r="C45" i="22"/>
  <c r="C46" i="22"/>
  <c r="C48" i="22"/>
  <c r="B49" i="22"/>
  <c r="C49" i="22"/>
  <c r="B51" i="22"/>
  <c r="B53" i="22"/>
  <c r="C53" i="22"/>
  <c r="C54" i="22"/>
  <c r="B55" i="22"/>
  <c r="C55" i="22"/>
  <c r="D55" i="22"/>
  <c r="B59" i="22"/>
  <c r="C60" i="22"/>
  <c r="B61" i="22"/>
  <c r="B77" i="22"/>
  <c r="F77" i="22" s="1"/>
  <c r="B78" i="22"/>
  <c r="F78" i="22" s="1"/>
  <c r="D77" i="22"/>
  <c r="H77" i="22" s="1"/>
  <c r="C77" i="22"/>
  <c r="G77" i="22" s="1"/>
  <c r="B79" i="22"/>
  <c r="B81" i="22"/>
  <c r="C81" i="22"/>
  <c r="C82" i="22"/>
  <c r="G82" i="22" s="1"/>
  <c r="B83" i="22"/>
  <c r="C83" i="22"/>
  <c r="C84" i="22"/>
  <c r="C86" i="22"/>
  <c r="B87" i="22"/>
  <c r="C88" i="22"/>
  <c r="G88" i="22" s="1"/>
  <c r="B89" i="22"/>
  <c r="F89" i="22" s="1"/>
  <c r="B91" i="22"/>
  <c r="C91" i="22"/>
  <c r="C92" i="22"/>
  <c r="B93" i="22"/>
  <c r="C93" i="22"/>
  <c r="B107" i="22"/>
  <c r="B109" i="22"/>
  <c r="C109" i="22"/>
  <c r="D110" i="22"/>
  <c r="C111" i="22"/>
  <c r="G111" i="22" s="1"/>
  <c r="C112" i="22"/>
  <c r="C114" i="22"/>
  <c r="G114" i="22" s="1"/>
  <c r="B115" i="22"/>
  <c r="B117" i="22"/>
  <c r="C117" i="22"/>
  <c r="B119" i="22"/>
  <c r="C119" i="22"/>
  <c r="G119" i="22" s="1"/>
  <c r="B121" i="22"/>
  <c r="B125" i="22"/>
  <c r="C125" i="22"/>
  <c r="D125" i="22"/>
  <c r="B127" i="22"/>
  <c r="C127" i="22"/>
  <c r="D127" i="22"/>
  <c r="C139" i="22"/>
  <c r="C141" i="22"/>
  <c r="B142" i="22"/>
  <c r="B143" i="22"/>
  <c r="C142" i="22"/>
  <c r="D142" i="22"/>
  <c r="B144" i="22"/>
  <c r="C144" i="22"/>
  <c r="D144" i="22"/>
  <c r="B146" i="22"/>
  <c r="C146" i="22"/>
  <c r="D146" i="22"/>
  <c r="B148" i="22"/>
  <c r="B152" i="22"/>
  <c r="B154" i="22"/>
  <c r="B156" i="22"/>
  <c r="B158" i="22"/>
  <c r="C159" i="22"/>
  <c r="G159" i="22" s="1"/>
  <c r="B171" i="22"/>
  <c r="C171" i="22"/>
  <c r="B173" i="22"/>
  <c r="D174" i="22"/>
  <c r="C175" i="22"/>
  <c r="G175" i="22" s="1"/>
  <c r="B179" i="22"/>
  <c r="C179" i="22"/>
  <c r="D179" i="22"/>
  <c r="C180" i="22"/>
  <c r="G180" i="22" s="1"/>
  <c r="B181" i="22"/>
  <c r="C181" i="22"/>
  <c r="G181" i="22" s="1"/>
  <c r="B183" i="22"/>
  <c r="C184" i="22"/>
  <c r="B185" i="22"/>
  <c r="C186" i="22"/>
  <c r="C188" i="22"/>
  <c r="B189" i="22"/>
  <c r="C190" i="22"/>
  <c r="B191" i="22"/>
  <c r="C204" i="22"/>
  <c r="C206" i="22"/>
  <c r="B207" i="22"/>
  <c r="B208" i="22"/>
  <c r="C207" i="22"/>
  <c r="D208" i="22"/>
  <c r="H208" i="22" s="1"/>
  <c r="B209" i="22"/>
  <c r="B211" i="22"/>
  <c r="C211" i="22"/>
  <c r="G211" i="22" s="1"/>
  <c r="D211" i="22"/>
  <c r="C212" i="22"/>
  <c r="G212" i="22" s="1"/>
  <c r="B213" i="22"/>
  <c r="C213" i="22"/>
  <c r="D213" i="22"/>
  <c r="C214" i="22"/>
  <c r="C216" i="22"/>
  <c r="G216" i="22" s="1"/>
  <c r="B217" i="22"/>
  <c r="C217" i="22"/>
  <c r="D217" i="22"/>
  <c r="C218" i="22"/>
  <c r="B219" i="22"/>
  <c r="C219" i="22"/>
  <c r="D219" i="22"/>
  <c r="B221" i="22"/>
  <c r="F221" i="22" s="1"/>
  <c r="C221" i="22"/>
  <c r="G221" i="22" s="1"/>
  <c r="D221" i="22"/>
  <c r="H221" i="22" s="1"/>
  <c r="B222" i="22"/>
  <c r="B223" i="22"/>
  <c r="C223" i="22"/>
  <c r="D223" i="22"/>
  <c r="B224" i="22"/>
  <c r="B236" i="22"/>
  <c r="C236" i="22"/>
  <c r="AA236" i="22" s="1"/>
  <c r="D236" i="22"/>
  <c r="AB236" i="22" s="1"/>
  <c r="E236" i="22"/>
  <c r="B238" i="22"/>
  <c r="B239" i="22"/>
  <c r="B240" i="22"/>
  <c r="E240" i="22"/>
  <c r="P240" i="22" s="1"/>
  <c r="V240" i="22" s="1"/>
  <c r="B241" i="22"/>
  <c r="C241" i="22"/>
  <c r="D241" i="22"/>
  <c r="I241" i="22" s="1"/>
  <c r="E241" i="22"/>
  <c r="B243" i="22"/>
  <c r="C243" i="22"/>
  <c r="AA243" i="22" s="1"/>
  <c r="E243" i="22"/>
  <c r="B244" i="22"/>
  <c r="B245" i="22"/>
  <c r="C245" i="22"/>
  <c r="AA245" i="22" s="1"/>
  <c r="E245" i="22"/>
  <c r="B246" i="22"/>
  <c r="B248" i="22"/>
  <c r="C248" i="22"/>
  <c r="AA248" i="22" s="1"/>
  <c r="E248" i="22"/>
  <c r="B249" i="22"/>
  <c r="C249" i="22"/>
  <c r="AA249" i="22" s="1"/>
  <c r="E249" i="22"/>
  <c r="B250" i="22"/>
  <c r="B251" i="22"/>
  <c r="C251" i="22"/>
  <c r="AA251" i="22" s="1"/>
  <c r="D251" i="22"/>
  <c r="AB251" i="22" s="1"/>
  <c r="E251" i="22"/>
  <c r="B253" i="22"/>
  <c r="B254" i="22"/>
  <c r="C254" i="22"/>
  <c r="AA254" i="22" s="1"/>
  <c r="E254" i="22"/>
  <c r="B255" i="22"/>
  <c r="C255" i="22"/>
  <c r="AA255" i="22" s="1"/>
  <c r="D255" i="22"/>
  <c r="AB255" i="22" s="1"/>
  <c r="E255" i="22"/>
  <c r="B256" i="22"/>
  <c r="B283" i="22"/>
  <c r="B284" i="22"/>
  <c r="C284" i="22"/>
  <c r="E284" i="22"/>
  <c r="B286" i="22"/>
  <c r="E286" i="22"/>
  <c r="B287" i="22"/>
  <c r="E287" i="22"/>
  <c r="B288" i="22"/>
  <c r="B289" i="22"/>
  <c r="E289" i="22"/>
  <c r="B302" i="22"/>
  <c r="C302" i="22"/>
  <c r="E302" i="22"/>
  <c r="B304" i="22"/>
  <c r="B305" i="22"/>
  <c r="B306" i="22"/>
  <c r="D305" i="22"/>
  <c r="B307" i="22"/>
  <c r="E307" i="22"/>
  <c r="B309" i="22"/>
  <c r="E309" i="22"/>
  <c r="B310" i="22"/>
  <c r="E310" i="22"/>
  <c r="B311" i="22"/>
  <c r="B312" i="22"/>
  <c r="E312" i="22"/>
  <c r="B314" i="22"/>
  <c r="C314" i="22"/>
  <c r="E314" i="22"/>
  <c r="B315" i="22"/>
  <c r="B316" i="22"/>
  <c r="E316" i="22"/>
  <c r="B317" i="22"/>
  <c r="E317" i="22"/>
  <c r="B319" i="22"/>
  <c r="E319" i="22"/>
  <c r="B320" i="22"/>
  <c r="C320" i="22"/>
  <c r="E320" i="22"/>
  <c r="B321" i="22"/>
  <c r="C321" i="22"/>
  <c r="H321" i="22" s="1"/>
  <c r="E321" i="22"/>
  <c r="J321" i="22" s="1"/>
  <c r="B322" i="22"/>
  <c r="B336" i="22"/>
  <c r="B338" i="22"/>
  <c r="E338" i="22"/>
  <c r="B339" i="22"/>
  <c r="B340" i="22"/>
  <c r="C339" i="22"/>
  <c r="E339" i="22"/>
  <c r="E341" i="22"/>
  <c r="B343" i="22"/>
  <c r="E343" i="22"/>
  <c r="B344" i="22"/>
  <c r="C344" i="22"/>
  <c r="H344" i="22" s="1"/>
  <c r="E344" i="22"/>
  <c r="C345" i="22"/>
  <c r="B346" i="22"/>
  <c r="C348" i="22"/>
  <c r="E349" i="22"/>
  <c r="B350" i="22"/>
  <c r="C350" i="22"/>
  <c r="E350" i="22"/>
  <c r="B351" i="22"/>
  <c r="E351" i="22"/>
  <c r="C353" i="22"/>
  <c r="E353" i="22"/>
  <c r="E354" i="22"/>
  <c r="B355" i="22"/>
  <c r="G355" i="22" s="1"/>
  <c r="E355" i="22"/>
  <c r="J355" i="22" s="1"/>
  <c r="B356" i="22"/>
  <c r="C356" i="22"/>
  <c r="H356" i="22" s="1"/>
  <c r="E356" i="22"/>
  <c r="C369" i="22"/>
  <c r="C371" i="22"/>
  <c r="E371" i="22"/>
  <c r="B372" i="22"/>
  <c r="C372" i="22"/>
  <c r="E372" i="22"/>
  <c r="E374" i="22"/>
  <c r="B376" i="22"/>
  <c r="C376" i="22"/>
  <c r="D376" i="22"/>
  <c r="I376" i="22" s="1"/>
  <c r="E376" i="22"/>
  <c r="B377" i="22"/>
  <c r="C378" i="22"/>
  <c r="B379" i="22"/>
  <c r="E379" i="22"/>
  <c r="C381" i="22"/>
  <c r="E381" i="22"/>
  <c r="E382" i="22"/>
  <c r="B383" i="22"/>
  <c r="C383" i="22"/>
  <c r="D383" i="22"/>
  <c r="E383" i="22"/>
  <c r="B384" i="22"/>
  <c r="C386" i="22"/>
  <c r="H386" i="22" s="1"/>
  <c r="E387" i="22"/>
  <c r="B388" i="22"/>
  <c r="C388" i="22"/>
  <c r="E388" i="22"/>
  <c r="B389" i="22"/>
  <c r="E389" i="22"/>
  <c r="C403" i="22"/>
  <c r="E403" i="22"/>
  <c r="B405" i="22"/>
  <c r="C406" i="22"/>
  <c r="H406" i="22" s="1"/>
  <c r="E407" i="22"/>
  <c r="J407" i="22" s="1"/>
  <c r="B408" i="22"/>
  <c r="G408" i="22" s="1"/>
  <c r="C408" i="22"/>
  <c r="H408" i="22" s="1"/>
  <c r="E408" i="22"/>
  <c r="J408" i="22" s="1"/>
  <c r="B410" i="22"/>
  <c r="G410" i="22" s="1"/>
  <c r="C410" i="22"/>
  <c r="H410" i="22" s="1"/>
  <c r="E410" i="22"/>
  <c r="J410" i="22" s="1"/>
  <c r="B411" i="22"/>
  <c r="E411" i="22"/>
  <c r="J411" i="22" s="1"/>
  <c r="C412" i="22"/>
  <c r="H412" i="22" s="1"/>
  <c r="E412" i="22"/>
  <c r="J412" i="22" s="1"/>
  <c r="E413" i="22"/>
  <c r="J413" i="22" s="1"/>
  <c r="E415" i="22"/>
  <c r="J415" i="22" s="1"/>
  <c r="B416" i="22"/>
  <c r="G416" i="22" s="1"/>
  <c r="C416" i="22"/>
  <c r="H416" i="22" s="1"/>
  <c r="D416" i="22"/>
  <c r="I416" i="22" s="1"/>
  <c r="E416" i="22"/>
  <c r="J416" i="22" s="1"/>
  <c r="B417" i="22"/>
  <c r="C418" i="22"/>
  <c r="H418" i="22" s="1"/>
  <c r="E418" i="22"/>
  <c r="J418" i="22" s="1"/>
  <c r="C420" i="22"/>
  <c r="H420" i="22" s="1"/>
  <c r="E420" i="22"/>
  <c r="J420" i="22" s="1"/>
  <c r="B421" i="22"/>
  <c r="E421" i="22"/>
  <c r="B422" i="22"/>
  <c r="B423" i="22"/>
  <c r="D422" i="22"/>
  <c r="E423" i="22"/>
  <c r="J423" i="22" s="1"/>
  <c r="C422" i="22"/>
  <c r="C423" i="22"/>
  <c r="H423" i="22" s="1"/>
  <c r="I438" i="22"/>
  <c r="H440" i="22"/>
  <c r="AA442" i="22"/>
  <c r="AA444" i="22"/>
  <c r="AA447" i="22"/>
  <c r="AA448" i="22"/>
  <c r="AA450" i="22"/>
  <c r="AA454" i="22"/>
  <c r="B467" i="22"/>
  <c r="C467" i="22"/>
  <c r="D467" i="22"/>
  <c r="E467" i="22"/>
  <c r="B469" i="22"/>
  <c r="B471" i="22"/>
  <c r="E471" i="22"/>
  <c r="J471" i="22" s="1"/>
  <c r="C472" i="22"/>
  <c r="E472" i="22"/>
  <c r="J472" i="22" s="1"/>
  <c r="E474" i="22"/>
  <c r="B475" i="22"/>
  <c r="E476" i="22"/>
  <c r="B477" i="22"/>
  <c r="C480" i="22"/>
  <c r="E480" i="22"/>
  <c r="J480" i="22" s="1"/>
  <c r="B481" i="22"/>
  <c r="C481" i="22"/>
  <c r="E481" i="22"/>
  <c r="C482" i="22"/>
  <c r="C484" i="22"/>
  <c r="H484" i="22" s="1"/>
  <c r="B485" i="22"/>
  <c r="C485" i="22"/>
  <c r="H485" i="22" s="1"/>
  <c r="E485" i="22"/>
  <c r="J485" i="22" s="1"/>
  <c r="E486" i="22"/>
  <c r="J486" i="22" s="1"/>
  <c r="B487" i="22"/>
  <c r="B499" i="22"/>
  <c r="E499" i="22"/>
  <c r="C501" i="22"/>
  <c r="B502" i="22"/>
  <c r="G502" i="22" s="1"/>
  <c r="B503" i="22"/>
  <c r="C502" i="22"/>
  <c r="H502" i="22" s="1"/>
  <c r="E502" i="22"/>
  <c r="J502" i="22" s="1"/>
  <c r="D502" i="22"/>
  <c r="I502" i="22" s="1"/>
  <c r="C504" i="22"/>
  <c r="H504" i="22" s="1"/>
  <c r="B506" i="22"/>
  <c r="C506" i="22"/>
  <c r="E506" i="22"/>
  <c r="C508" i="22"/>
  <c r="E508" i="22"/>
  <c r="C509" i="22"/>
  <c r="H509" i="22" s="1"/>
  <c r="E509" i="22"/>
  <c r="J509" i="22" s="1"/>
  <c r="B511" i="22"/>
  <c r="G511" i="22" s="1"/>
  <c r="C511" i="22"/>
  <c r="H511" i="22" s="1"/>
  <c r="D511" i="22"/>
  <c r="I511" i="22" s="1"/>
  <c r="E511" i="22"/>
  <c r="J511" i="22" s="1"/>
  <c r="E513" i="22"/>
  <c r="C514" i="22"/>
  <c r="H514" i="22" s="1"/>
  <c r="E514" i="22"/>
  <c r="J514" i="22" s="1"/>
  <c r="B516" i="22"/>
  <c r="C516" i="22"/>
  <c r="D516" i="22"/>
  <c r="I516" i="22" s="1"/>
  <c r="E516" i="22"/>
  <c r="C518" i="22"/>
  <c r="H518" i="22" s="1"/>
  <c r="E518" i="22"/>
  <c r="J518" i="22" s="1"/>
  <c r="C519" i="22"/>
  <c r="H519" i="22" s="1"/>
  <c r="I101" i="59" l="1"/>
  <c r="I107" i="59"/>
  <c r="H109" i="59"/>
  <c r="J108" i="59"/>
  <c r="H102" i="59"/>
  <c r="H103" i="59"/>
  <c r="H104" i="59"/>
  <c r="H101" i="59"/>
  <c r="J99" i="59"/>
  <c r="J110" i="59"/>
  <c r="I97" i="59"/>
  <c r="H99" i="59"/>
  <c r="I110" i="59"/>
  <c r="I99" i="59"/>
  <c r="H105" i="59"/>
  <c r="O27" i="22"/>
  <c r="U27" i="22" s="1"/>
  <c r="O25" i="22"/>
  <c r="U25" i="22" s="1"/>
  <c r="O23" i="22"/>
  <c r="U23" i="22" s="1"/>
  <c r="O21" i="22"/>
  <c r="U21" i="22" s="1"/>
  <c r="AC254" i="22"/>
  <c r="P254" i="22"/>
  <c r="V254" i="22" s="1"/>
  <c r="Z236" i="22"/>
  <c r="O236" i="22"/>
  <c r="U236" i="22" s="1"/>
  <c r="O12" i="22"/>
  <c r="U12" i="22" s="1"/>
  <c r="AC450" i="22"/>
  <c r="P450" i="22"/>
  <c r="V450" i="22" s="1"/>
  <c r="Z255" i="22"/>
  <c r="O255" i="22"/>
  <c r="U255" i="22" s="1"/>
  <c r="AC251" i="22"/>
  <c r="P251" i="22"/>
  <c r="V251" i="22" s="1"/>
  <c r="AC447" i="22"/>
  <c r="P447" i="22"/>
  <c r="V447" i="22" s="1"/>
  <c r="AC444" i="22"/>
  <c r="P444" i="22"/>
  <c r="V444" i="22" s="1"/>
  <c r="Z444" i="22"/>
  <c r="AC442" i="22"/>
  <c r="P442" i="22"/>
  <c r="V442" i="22" s="1"/>
  <c r="Z442" i="22"/>
  <c r="J440" i="22"/>
  <c r="P440" i="22"/>
  <c r="V440" i="22" s="1"/>
  <c r="G440" i="22"/>
  <c r="J439" i="22"/>
  <c r="P439" i="22"/>
  <c r="V439" i="22" s="1"/>
  <c r="AC437" i="22"/>
  <c r="P437" i="22"/>
  <c r="V437" i="22" s="1"/>
  <c r="AC255" i="22"/>
  <c r="P255" i="22"/>
  <c r="V255" i="22" s="1"/>
  <c r="Z251" i="22"/>
  <c r="O251" i="22"/>
  <c r="U251" i="22" s="1"/>
  <c r="AC249" i="22"/>
  <c r="P249" i="22"/>
  <c r="V249" i="22" s="1"/>
  <c r="AC248" i="22"/>
  <c r="P248" i="22"/>
  <c r="V248" i="22" s="1"/>
  <c r="AC245" i="22"/>
  <c r="P245" i="22"/>
  <c r="V245" i="22" s="1"/>
  <c r="AC243" i="22"/>
  <c r="P243" i="22"/>
  <c r="V243" i="22" s="1"/>
  <c r="AC241" i="22"/>
  <c r="P241" i="22"/>
  <c r="V241" i="22" s="1"/>
  <c r="AC236" i="22"/>
  <c r="P236" i="22"/>
  <c r="V236" i="22" s="1"/>
  <c r="Z15" i="22"/>
  <c r="Z435" i="22"/>
  <c r="O435" i="22"/>
  <c r="U435" i="22" s="1"/>
  <c r="O241" i="22"/>
  <c r="U241" i="22" s="1"/>
  <c r="B52" i="59"/>
  <c r="I102" i="59"/>
  <c r="G56" i="59"/>
  <c r="C56" i="59"/>
  <c r="I98" i="59"/>
  <c r="I95" i="59"/>
  <c r="D281" i="22"/>
  <c r="B282" i="22"/>
  <c r="G282" i="22" s="1"/>
  <c r="I106" i="59"/>
  <c r="I108" i="59"/>
  <c r="I100" i="59"/>
  <c r="AB438" i="22"/>
  <c r="AA241" i="22"/>
  <c r="C499" i="22"/>
  <c r="E484" i="22"/>
  <c r="E519" i="22"/>
  <c r="J519" i="22" s="1"/>
  <c r="D506" i="22"/>
  <c r="I506" i="22" s="1"/>
  <c r="E504" i="22"/>
  <c r="J504" i="22" s="1"/>
  <c r="D503" i="22"/>
  <c r="I503" i="22" s="1"/>
  <c r="E503" i="22"/>
  <c r="J503" i="22" s="1"/>
  <c r="C503" i="22"/>
  <c r="H503" i="22" s="1"/>
  <c r="E501" i="22"/>
  <c r="D499" i="22"/>
  <c r="E487" i="22"/>
  <c r="J487" i="22" s="1"/>
  <c r="E477" i="22"/>
  <c r="J477" i="22" s="1"/>
  <c r="AC448" i="22"/>
  <c r="AB447" i="22"/>
  <c r="F444" i="22"/>
  <c r="AB442" i="22"/>
  <c r="E417" i="22"/>
  <c r="J417" i="22" s="1"/>
  <c r="D410" i="22"/>
  <c r="I410" i="22" s="1"/>
  <c r="E406" i="22"/>
  <c r="J406" i="22" s="1"/>
  <c r="E405" i="22"/>
  <c r="J405" i="22" s="1"/>
  <c r="C389" i="22"/>
  <c r="E386" i="22"/>
  <c r="E384" i="22"/>
  <c r="C379" i="22"/>
  <c r="E378" i="22"/>
  <c r="E377" i="22"/>
  <c r="C355" i="22"/>
  <c r="H355" i="22" s="1"/>
  <c r="C351" i="22"/>
  <c r="E348" i="22"/>
  <c r="E346" i="22"/>
  <c r="E345" i="22"/>
  <c r="C343" i="22"/>
  <c r="H343" i="22" s="1"/>
  <c r="C338" i="22"/>
  <c r="E322" i="22"/>
  <c r="J322" i="22" s="1"/>
  <c r="C316" i="22"/>
  <c r="E315" i="22"/>
  <c r="C312" i="22"/>
  <c r="C309" i="22"/>
  <c r="H309" i="22" s="1"/>
  <c r="C307" i="22"/>
  <c r="C289" i="22"/>
  <c r="C286" i="22"/>
  <c r="H286" i="22" s="1"/>
  <c r="E282" i="22"/>
  <c r="J282" i="22" s="1"/>
  <c r="E238" i="22"/>
  <c r="C191" i="22"/>
  <c r="C173" i="22"/>
  <c r="C158" i="22"/>
  <c r="C156" i="22"/>
  <c r="G156" i="22" s="1"/>
  <c r="C154" i="22"/>
  <c r="C152" i="22"/>
  <c r="C148" i="22"/>
  <c r="C121" i="22"/>
  <c r="D117" i="22"/>
  <c r="E117" i="22" s="1"/>
  <c r="C107" i="22"/>
  <c r="C79" i="22"/>
  <c r="C61" i="22"/>
  <c r="C51" i="22"/>
  <c r="D41" i="22"/>
  <c r="E41" i="22" s="1"/>
  <c r="C17" i="22"/>
  <c r="AA17" i="22" s="1"/>
  <c r="C15" i="22"/>
  <c r="AA15" i="22" s="1"/>
  <c r="C13" i="22"/>
  <c r="AA13" i="22" s="1"/>
  <c r="C63" i="59"/>
  <c r="G62" i="59"/>
  <c r="D60" i="59"/>
  <c r="C59" i="59"/>
  <c r="G58" i="59"/>
  <c r="AC440" i="22"/>
  <c r="F241" i="22"/>
  <c r="F376" i="22"/>
  <c r="G91" i="59"/>
  <c r="E91" i="59"/>
  <c r="E90" i="59"/>
  <c r="G89" i="59"/>
  <c r="C89" i="59"/>
  <c r="G88" i="59"/>
  <c r="C88" i="59"/>
  <c r="E87" i="59"/>
  <c r="E86" i="59"/>
  <c r="F85" i="59"/>
  <c r="D85" i="59"/>
  <c r="B85" i="59"/>
  <c r="G84" i="59"/>
  <c r="C84" i="59"/>
  <c r="G83" i="59"/>
  <c r="E83" i="59"/>
  <c r="C83" i="59"/>
  <c r="E82" i="59"/>
  <c r="F81" i="59"/>
  <c r="D81" i="59"/>
  <c r="B81" i="59"/>
  <c r="G80" i="59"/>
  <c r="C80" i="59"/>
  <c r="G79" i="59"/>
  <c r="E79" i="59"/>
  <c r="C79" i="59"/>
  <c r="E78" i="59"/>
  <c r="E99" i="59" s="1"/>
  <c r="F77" i="59"/>
  <c r="D77" i="59"/>
  <c r="B77" i="59"/>
  <c r="G76" i="59"/>
  <c r="C76" i="59"/>
  <c r="F74" i="59"/>
  <c r="D74" i="59"/>
  <c r="B74" i="59"/>
  <c r="G74" i="59"/>
  <c r="E74" i="59"/>
  <c r="C74" i="59"/>
  <c r="G69" i="59"/>
  <c r="E69" i="59"/>
  <c r="C69" i="59"/>
  <c r="F68" i="59"/>
  <c r="D68" i="59"/>
  <c r="B68" i="59"/>
  <c r="G67" i="59"/>
  <c r="C67" i="59"/>
  <c r="G66" i="59"/>
  <c r="E66" i="59"/>
  <c r="C66" i="59"/>
  <c r="E65" i="59"/>
  <c r="F64" i="59"/>
  <c r="D64" i="59"/>
  <c r="B64" i="59"/>
  <c r="G63" i="59"/>
  <c r="E62" i="59"/>
  <c r="C62" i="59"/>
  <c r="E61" i="59"/>
  <c r="F60" i="59"/>
  <c r="B60" i="59"/>
  <c r="G59" i="59"/>
  <c r="E58" i="59"/>
  <c r="C58" i="59"/>
  <c r="E57" i="59"/>
  <c r="F55" i="59"/>
  <c r="D55" i="59"/>
  <c r="B55" i="59"/>
  <c r="F54" i="59"/>
  <c r="D54" i="59"/>
  <c r="B54" i="59"/>
  <c r="F52" i="59"/>
  <c r="D52" i="59"/>
  <c r="J102" i="59"/>
  <c r="F511" i="22"/>
  <c r="K511" i="22" s="1"/>
  <c r="H480" i="22"/>
  <c r="H472" i="22"/>
  <c r="AA440" i="22"/>
  <c r="F236" i="22"/>
  <c r="J112" i="59"/>
  <c r="J98" i="59"/>
  <c r="G55" i="59"/>
  <c r="J9" i="59"/>
  <c r="C55" i="59"/>
  <c r="G52" i="59"/>
  <c r="C52" i="59"/>
  <c r="I105" i="59"/>
  <c r="G90" i="59"/>
  <c r="C90" i="59"/>
  <c r="E89" i="59"/>
  <c r="E88" i="59"/>
  <c r="J109" i="59"/>
  <c r="G87" i="59"/>
  <c r="G86" i="59"/>
  <c r="C86" i="59"/>
  <c r="J107" i="59"/>
  <c r="G85" i="59"/>
  <c r="E85" i="59"/>
  <c r="E84" i="59"/>
  <c r="J105" i="59"/>
  <c r="F83" i="59"/>
  <c r="D83" i="59"/>
  <c r="B83" i="59"/>
  <c r="G82" i="59"/>
  <c r="C82" i="59"/>
  <c r="J103" i="59"/>
  <c r="G81" i="59"/>
  <c r="E81" i="59"/>
  <c r="E80" i="59"/>
  <c r="J101" i="59"/>
  <c r="F79" i="59"/>
  <c r="D79" i="59"/>
  <c r="B79" i="59"/>
  <c r="G78" i="59"/>
  <c r="C78" i="59"/>
  <c r="G77" i="59"/>
  <c r="E77" i="59"/>
  <c r="E76" i="59"/>
  <c r="G68" i="59"/>
  <c r="E68" i="59"/>
  <c r="E67" i="59"/>
  <c r="F66" i="59"/>
  <c r="D66" i="59"/>
  <c r="B66" i="59"/>
  <c r="G65" i="59"/>
  <c r="C65" i="59"/>
  <c r="G64" i="59"/>
  <c r="E64" i="59"/>
  <c r="E63" i="59"/>
  <c r="F62" i="59"/>
  <c r="D62" i="59"/>
  <c r="B62" i="59"/>
  <c r="G61" i="59"/>
  <c r="C61" i="59"/>
  <c r="G60" i="59"/>
  <c r="E60" i="59"/>
  <c r="E59" i="59"/>
  <c r="F58" i="59"/>
  <c r="D58" i="59"/>
  <c r="B58" i="59"/>
  <c r="G57" i="59"/>
  <c r="C57" i="59"/>
  <c r="K8" i="59"/>
  <c r="F467" i="22"/>
  <c r="H450" i="22"/>
  <c r="K47" i="59"/>
  <c r="K45" i="59"/>
  <c r="K43" i="59"/>
  <c r="K41" i="59"/>
  <c r="K39" i="59"/>
  <c r="K37" i="59"/>
  <c r="K35" i="59"/>
  <c r="K33" i="59"/>
  <c r="K30" i="59"/>
  <c r="K22" i="59"/>
  <c r="K20" i="59"/>
  <c r="K18" i="59"/>
  <c r="K16" i="59"/>
  <c r="K14" i="59"/>
  <c r="K12" i="59"/>
  <c r="I111" i="59"/>
  <c r="C91" i="59"/>
  <c r="C87" i="59"/>
  <c r="C85" i="59"/>
  <c r="C81" i="59"/>
  <c r="C77" i="59"/>
  <c r="C68" i="59"/>
  <c r="C64" i="59"/>
  <c r="C60" i="59"/>
  <c r="E55" i="59"/>
  <c r="E52" i="59"/>
  <c r="J46" i="59"/>
  <c r="J44" i="59"/>
  <c r="J42" i="59"/>
  <c r="J40" i="59"/>
  <c r="J38" i="59"/>
  <c r="J36" i="59"/>
  <c r="J34" i="59"/>
  <c r="J32" i="59"/>
  <c r="J23" i="59"/>
  <c r="J21" i="59"/>
  <c r="J19" i="59"/>
  <c r="J17" i="59"/>
  <c r="J15" i="59"/>
  <c r="J13" i="59"/>
  <c r="J11" i="59"/>
  <c r="K9" i="59"/>
  <c r="H98" i="59"/>
  <c r="J95" i="59"/>
  <c r="H95" i="59"/>
  <c r="F91" i="59"/>
  <c r="D91" i="59"/>
  <c r="B91" i="59"/>
  <c r="H111" i="59"/>
  <c r="K46" i="59"/>
  <c r="F89" i="59"/>
  <c r="D89" i="59"/>
  <c r="B89" i="59"/>
  <c r="K44" i="59"/>
  <c r="F87" i="59"/>
  <c r="D87" i="59"/>
  <c r="B87" i="59"/>
  <c r="K42" i="59"/>
  <c r="K40" i="59"/>
  <c r="K38" i="59"/>
  <c r="K36" i="59"/>
  <c r="K34" i="59"/>
  <c r="K32" i="59"/>
  <c r="K23" i="59"/>
  <c r="K21" i="59"/>
  <c r="K19" i="59"/>
  <c r="K17" i="59"/>
  <c r="K15" i="59"/>
  <c r="K13" i="59"/>
  <c r="K11" i="59"/>
  <c r="J111" i="59"/>
  <c r="J10" i="59"/>
  <c r="H482" i="22"/>
  <c r="Z439" i="22"/>
  <c r="H439" i="22"/>
  <c r="B420" i="22"/>
  <c r="G420" i="22" s="1"/>
  <c r="D420" i="22"/>
  <c r="I420" i="22" s="1"/>
  <c r="B418" i="22"/>
  <c r="D418" i="22"/>
  <c r="I418" i="22" s="1"/>
  <c r="B413" i="22"/>
  <c r="G413" i="22" s="1"/>
  <c r="C413" i="22"/>
  <c r="H413" i="22" s="1"/>
  <c r="B412" i="22"/>
  <c r="D412" i="22"/>
  <c r="I412" i="22" s="1"/>
  <c r="B403" i="22"/>
  <c r="D403" i="22"/>
  <c r="B382" i="22"/>
  <c r="C382" i="22"/>
  <c r="B381" i="22"/>
  <c r="D381" i="22"/>
  <c r="B374" i="22"/>
  <c r="C374" i="22"/>
  <c r="B373" i="22"/>
  <c r="C373" i="22"/>
  <c r="D373" i="22"/>
  <c r="I373" i="22" s="1"/>
  <c r="E373" i="22"/>
  <c r="B371" i="22"/>
  <c r="D371" i="22"/>
  <c r="B354" i="22"/>
  <c r="C354" i="22"/>
  <c r="B353" i="22"/>
  <c r="D353" i="22"/>
  <c r="B345" i="22"/>
  <c r="D345" i="22"/>
  <c r="G322" i="22"/>
  <c r="Z17" i="22"/>
  <c r="F502" i="22"/>
  <c r="K502" i="22" s="1"/>
  <c r="D501" i="22"/>
  <c r="B501" i="22"/>
  <c r="C487" i="22"/>
  <c r="H487" i="22" s="1"/>
  <c r="D486" i="22"/>
  <c r="I486" i="22" s="1"/>
  <c r="D482" i="22"/>
  <c r="I482" i="22" s="1"/>
  <c r="B482" i="22"/>
  <c r="G482" i="22" s="1"/>
  <c r="C479" i="22"/>
  <c r="H479" i="22" s="1"/>
  <c r="C477" i="22"/>
  <c r="H477" i="22" s="1"/>
  <c r="C475" i="22"/>
  <c r="H475" i="22" s="1"/>
  <c r="D474" i="22"/>
  <c r="I474" i="22" s="1"/>
  <c r="C471" i="22"/>
  <c r="H471" i="22" s="1"/>
  <c r="C469" i="22"/>
  <c r="AB454" i="22"/>
  <c r="P453" i="22"/>
  <c r="V453" i="22" s="1"/>
  <c r="D372" i="22"/>
  <c r="F372" i="22" s="1"/>
  <c r="AB448" i="22"/>
  <c r="Z447" i="22"/>
  <c r="G447" i="22"/>
  <c r="AA437" i="22"/>
  <c r="B415" i="22"/>
  <c r="G415" i="22" s="1"/>
  <c r="C415" i="22"/>
  <c r="H415" i="22" s="1"/>
  <c r="B407" i="22"/>
  <c r="G407" i="22" s="1"/>
  <c r="C407" i="22"/>
  <c r="H407" i="22" s="1"/>
  <c r="B406" i="22"/>
  <c r="D406" i="22"/>
  <c r="I406" i="22" s="1"/>
  <c r="B387" i="22"/>
  <c r="C387" i="22"/>
  <c r="B386" i="22"/>
  <c r="D386" i="22"/>
  <c r="I386" i="22" s="1"/>
  <c r="B378" i="22"/>
  <c r="D378" i="22"/>
  <c r="B369" i="22"/>
  <c r="D369" i="22"/>
  <c r="B349" i="22"/>
  <c r="C349" i="22"/>
  <c r="B348" i="22"/>
  <c r="D348" i="22"/>
  <c r="B341" i="22"/>
  <c r="C341" i="22"/>
  <c r="Z254" i="22"/>
  <c r="Z249" i="22"/>
  <c r="Z248" i="22"/>
  <c r="G248" i="22"/>
  <c r="Z245" i="22"/>
  <c r="G245" i="22"/>
  <c r="Z243" i="22"/>
  <c r="G243" i="22"/>
  <c r="E482" i="22"/>
  <c r="J482" i="22" s="1"/>
  <c r="E475" i="22"/>
  <c r="E469" i="22"/>
  <c r="P454" i="22"/>
  <c r="V454" i="22" s="1"/>
  <c r="E213" i="22"/>
  <c r="F416" i="22"/>
  <c r="K416" i="22" s="1"/>
  <c r="F383" i="22"/>
  <c r="E340" i="22"/>
  <c r="D340" i="22"/>
  <c r="C340" i="22"/>
  <c r="D338" i="22"/>
  <c r="C336" i="22"/>
  <c r="D322" i="22"/>
  <c r="I322" i="22" s="1"/>
  <c r="D320" i="22"/>
  <c r="F320" i="22" s="1"/>
  <c r="D317" i="22"/>
  <c r="D315" i="22"/>
  <c r="C311" i="22"/>
  <c r="D310" i="22"/>
  <c r="I310" i="22" s="1"/>
  <c r="D307" i="22"/>
  <c r="E306" i="22"/>
  <c r="C306" i="22"/>
  <c r="C304" i="22"/>
  <c r="C288" i="22"/>
  <c r="H288" i="22" s="1"/>
  <c r="D287" i="22"/>
  <c r="C283" i="22"/>
  <c r="D282" i="22"/>
  <c r="I282" i="22" s="1"/>
  <c r="D254" i="22"/>
  <c r="AB254" i="22" s="1"/>
  <c r="D249" i="22"/>
  <c r="AB249" i="22" s="1"/>
  <c r="D248" i="22"/>
  <c r="F248" i="22" s="1"/>
  <c r="Q248" i="22" s="1"/>
  <c r="W248" i="22" s="1"/>
  <c r="D245" i="22"/>
  <c r="F245" i="22" s="1"/>
  <c r="Q245" i="22" s="1"/>
  <c r="W245" i="22" s="1"/>
  <c r="D243" i="22"/>
  <c r="F243" i="22" s="1"/>
  <c r="Q243" i="22" s="1"/>
  <c r="W243" i="22" s="1"/>
  <c r="D239" i="22"/>
  <c r="AB239" i="22" s="1"/>
  <c r="C224" i="22"/>
  <c r="C222" i="22"/>
  <c r="D209" i="22"/>
  <c r="D207" i="22"/>
  <c r="E207" i="22" s="1"/>
  <c r="C208" i="22"/>
  <c r="E208" i="22" s="1"/>
  <c r="I208" i="22" s="1"/>
  <c r="D189" i="22"/>
  <c r="D185" i="22"/>
  <c r="D183" i="22"/>
  <c r="D181" i="22"/>
  <c r="D173" i="22"/>
  <c r="D143" i="22"/>
  <c r="C143" i="22"/>
  <c r="D115" i="22"/>
  <c r="D109" i="22"/>
  <c r="E109" i="22" s="1"/>
  <c r="D93" i="22"/>
  <c r="E93" i="22" s="1"/>
  <c r="D91" i="22"/>
  <c r="E91" i="22" s="1"/>
  <c r="D89" i="22"/>
  <c r="H89" i="22" s="1"/>
  <c r="D87" i="22"/>
  <c r="D83" i="22"/>
  <c r="D81" i="22"/>
  <c r="E81" i="22" s="1"/>
  <c r="D61" i="22"/>
  <c r="D59" i="22"/>
  <c r="D53" i="22"/>
  <c r="E53" i="22" s="1"/>
  <c r="D49" i="22"/>
  <c r="E49" i="22" s="1"/>
  <c r="D43" i="22"/>
  <c r="D17" i="22"/>
  <c r="P17" i="22" s="1"/>
  <c r="V17" i="22" s="1"/>
  <c r="C8" i="22"/>
  <c r="H454" i="22"/>
  <c r="J450" i="22"/>
  <c r="H448" i="22"/>
  <c r="G315" i="22"/>
  <c r="G312" i="22"/>
  <c r="F255" i="22"/>
  <c r="F251" i="22"/>
  <c r="E142" i="22"/>
  <c r="J47" i="59"/>
  <c r="J45" i="59"/>
  <c r="J43" i="59"/>
  <c r="J41" i="59"/>
  <c r="J39" i="59"/>
  <c r="J37" i="59"/>
  <c r="J35" i="59"/>
  <c r="J33" i="59"/>
  <c r="J97" i="59"/>
  <c r="J30" i="59"/>
  <c r="J22" i="59"/>
  <c r="J20" i="59"/>
  <c r="J18" i="59"/>
  <c r="J106" i="59"/>
  <c r="J16" i="59"/>
  <c r="J104" i="59"/>
  <c r="J14" i="59"/>
  <c r="J12" i="59"/>
  <c r="J100" i="59"/>
  <c r="K10" i="59"/>
  <c r="G54" i="59"/>
  <c r="J8" i="59"/>
  <c r="C54" i="59"/>
  <c r="B56" i="59"/>
  <c r="F516" i="22"/>
  <c r="E223" i="22"/>
  <c r="B90" i="59"/>
  <c r="B88" i="59"/>
  <c r="B86" i="59"/>
  <c r="B84" i="59"/>
  <c r="B82" i="59"/>
  <c r="B80" i="59"/>
  <c r="B78" i="59"/>
  <c r="H97" i="59"/>
  <c r="B76" i="59"/>
  <c r="B69" i="59"/>
  <c r="B67" i="59"/>
  <c r="H108" i="59"/>
  <c r="B65" i="59"/>
  <c r="H106" i="59"/>
  <c r="B63" i="59"/>
  <c r="B61" i="59"/>
  <c r="B59" i="59"/>
  <c r="H100" i="59"/>
  <c r="B57" i="59"/>
  <c r="G487" i="22"/>
  <c r="G477" i="22"/>
  <c r="G471" i="22"/>
  <c r="Z449" i="22"/>
  <c r="G417" i="22"/>
  <c r="G411" i="22"/>
  <c r="G405" i="22"/>
  <c r="G321" i="22"/>
  <c r="G319" i="22"/>
  <c r="G316" i="22"/>
  <c r="G309" i="22"/>
  <c r="G305" i="22"/>
  <c r="G256" i="22"/>
  <c r="Z256" i="22"/>
  <c r="Z253" i="22"/>
  <c r="G253" i="22"/>
  <c r="Z250" i="22"/>
  <c r="G250" i="22"/>
  <c r="G239" i="22"/>
  <c r="Z239" i="22"/>
  <c r="G320" i="22"/>
  <c r="G317" i="22"/>
  <c r="G310" i="22"/>
  <c r="G307" i="22"/>
  <c r="G241" i="22"/>
  <c r="B519" i="22"/>
  <c r="D519" i="22"/>
  <c r="I519" i="22" s="1"/>
  <c r="B517" i="22"/>
  <c r="D517" i="22"/>
  <c r="I517" i="22" s="1"/>
  <c r="B514" i="22"/>
  <c r="D514" i="22"/>
  <c r="I514" i="22" s="1"/>
  <c r="B512" i="22"/>
  <c r="D512" i="22"/>
  <c r="I512" i="22" s="1"/>
  <c r="B509" i="22"/>
  <c r="D509" i="22"/>
  <c r="I509" i="22" s="1"/>
  <c r="B507" i="22"/>
  <c r="D507" i="22"/>
  <c r="I507" i="22" s="1"/>
  <c r="B504" i="22"/>
  <c r="D504" i="22"/>
  <c r="I504" i="22" s="1"/>
  <c r="G503" i="22"/>
  <c r="G485" i="22"/>
  <c r="G455" i="22"/>
  <c r="Z455" i="22"/>
  <c r="Z452" i="22"/>
  <c r="G445" i="22"/>
  <c r="Z445" i="22"/>
  <c r="Z443" i="22"/>
  <c r="G438" i="22"/>
  <c r="Z438" i="22"/>
  <c r="G423" i="22"/>
  <c r="G314" i="22"/>
  <c r="G311" i="22"/>
  <c r="G306" i="22"/>
  <c r="G304" i="22"/>
  <c r="G288" i="22"/>
  <c r="G246" i="22"/>
  <c r="Z246" i="22"/>
  <c r="G244" i="22"/>
  <c r="Z244" i="22"/>
  <c r="G240" i="22"/>
  <c r="Z240" i="22"/>
  <c r="G238" i="22"/>
  <c r="Z238" i="22"/>
  <c r="B178" i="22"/>
  <c r="D178" i="22"/>
  <c r="B176" i="22"/>
  <c r="D176" i="22"/>
  <c r="B175" i="22"/>
  <c r="D175" i="22"/>
  <c r="B157" i="22"/>
  <c r="D157" i="22"/>
  <c r="B153" i="22"/>
  <c r="D153" i="22"/>
  <c r="B151" i="22"/>
  <c r="D151" i="22"/>
  <c r="B149" i="22"/>
  <c r="D149" i="22"/>
  <c r="B147" i="22"/>
  <c r="D147" i="22"/>
  <c r="B126" i="22"/>
  <c r="D126" i="22"/>
  <c r="B124" i="22"/>
  <c r="D124" i="22"/>
  <c r="B122" i="22"/>
  <c r="D122" i="22"/>
  <c r="B120" i="22"/>
  <c r="D120" i="22"/>
  <c r="B116" i="22"/>
  <c r="D116" i="22"/>
  <c r="B110" i="22"/>
  <c r="C110" i="22"/>
  <c r="B94" i="22"/>
  <c r="D94" i="22"/>
  <c r="H94" i="22" s="1"/>
  <c r="B76" i="22"/>
  <c r="D76" i="22"/>
  <c r="B74" i="22"/>
  <c r="D74" i="22"/>
  <c r="B58" i="22"/>
  <c r="D58" i="22"/>
  <c r="B56" i="22"/>
  <c r="D56" i="22"/>
  <c r="B50" i="22"/>
  <c r="D50" i="22"/>
  <c r="B44" i="22"/>
  <c r="C44" i="22"/>
  <c r="B28" i="22"/>
  <c r="D28" i="22"/>
  <c r="P28" i="22" s="1"/>
  <c r="V28" i="22" s="1"/>
  <c r="B26" i="22"/>
  <c r="D26" i="22"/>
  <c r="P26" i="22" s="1"/>
  <c r="V26" i="22" s="1"/>
  <c r="B22" i="22"/>
  <c r="D22" i="22"/>
  <c r="P22" i="22" s="1"/>
  <c r="V22" i="22" s="1"/>
  <c r="B20" i="22"/>
  <c r="D20" i="22"/>
  <c r="P20" i="22" s="1"/>
  <c r="V20" i="22" s="1"/>
  <c r="B18" i="22"/>
  <c r="D18" i="22"/>
  <c r="P18" i="22" s="1"/>
  <c r="V18" i="22" s="1"/>
  <c r="AB12" i="22"/>
  <c r="E12" i="22"/>
  <c r="Q12" i="22" s="1"/>
  <c r="Z12" i="22"/>
  <c r="AB10" i="22"/>
  <c r="Z8" i="22"/>
  <c r="E179" i="22"/>
  <c r="E146" i="22"/>
  <c r="E144" i="22"/>
  <c r="E127" i="22"/>
  <c r="E125" i="22"/>
  <c r="E77" i="22"/>
  <c r="I77" i="22" s="1"/>
  <c r="B218" i="22"/>
  <c r="D218" i="22"/>
  <c r="B216" i="22"/>
  <c r="D216" i="22"/>
  <c r="H216" i="22" s="1"/>
  <c r="B214" i="22"/>
  <c r="D214" i="22"/>
  <c r="B212" i="22"/>
  <c r="D212" i="22"/>
  <c r="H212" i="22" s="1"/>
  <c r="F208" i="22"/>
  <c r="B206" i="22"/>
  <c r="D206" i="22"/>
  <c r="B204" i="22"/>
  <c r="D204" i="22"/>
  <c r="B190" i="22"/>
  <c r="D190" i="22"/>
  <c r="B188" i="22"/>
  <c r="D188" i="22"/>
  <c r="B186" i="22"/>
  <c r="D186" i="22"/>
  <c r="B184" i="22"/>
  <c r="D184" i="22"/>
  <c r="B180" i="22"/>
  <c r="D180" i="22"/>
  <c r="B174" i="22"/>
  <c r="C174" i="22"/>
  <c r="B159" i="22"/>
  <c r="D159" i="22"/>
  <c r="H159" i="22" s="1"/>
  <c r="B141" i="22"/>
  <c r="D141" i="22"/>
  <c r="B139" i="22"/>
  <c r="D139" i="22"/>
  <c r="B114" i="22"/>
  <c r="D114" i="22"/>
  <c r="B112" i="22"/>
  <c r="D112" i="22"/>
  <c r="B111" i="22"/>
  <c r="D111" i="22"/>
  <c r="B92" i="22"/>
  <c r="D92" i="22"/>
  <c r="B88" i="22"/>
  <c r="D88" i="22"/>
  <c r="H88" i="22" s="1"/>
  <c r="B86" i="22"/>
  <c r="D86" i="22"/>
  <c r="B84" i="22"/>
  <c r="D84" i="22"/>
  <c r="B82" i="22"/>
  <c r="D82" i="22"/>
  <c r="H82" i="22" s="1"/>
  <c r="B60" i="22"/>
  <c r="D60" i="22"/>
  <c r="B54" i="22"/>
  <c r="D54" i="22"/>
  <c r="B48" i="22"/>
  <c r="D48" i="22"/>
  <c r="B46" i="22"/>
  <c r="D46" i="22"/>
  <c r="B45" i="22"/>
  <c r="D45" i="22"/>
  <c r="B16" i="22"/>
  <c r="O16" i="22" s="1"/>
  <c r="U16" i="22" s="1"/>
  <c r="D16" i="22"/>
  <c r="P16" i="22" s="1"/>
  <c r="V16" i="22" s="1"/>
  <c r="D11" i="22"/>
  <c r="P11" i="22" s="1"/>
  <c r="V11" i="22" s="1"/>
  <c r="B11" i="22"/>
  <c r="O11" i="22" s="1"/>
  <c r="U11" i="22" s="1"/>
  <c r="B10" i="22"/>
  <c r="C10" i="22"/>
  <c r="D487" i="22"/>
  <c r="I487" i="22" s="1"/>
  <c r="D485" i="22"/>
  <c r="I485" i="22" s="1"/>
  <c r="D481" i="22"/>
  <c r="I481" i="22" s="1"/>
  <c r="D479" i="22"/>
  <c r="I479" i="22" s="1"/>
  <c r="D477" i="22"/>
  <c r="I477" i="22" s="1"/>
  <c r="D475" i="22"/>
  <c r="I475" i="22" s="1"/>
  <c r="D471" i="22"/>
  <c r="I471" i="22" s="1"/>
  <c r="E470" i="22"/>
  <c r="C470" i="22"/>
  <c r="H470" i="22" s="1"/>
  <c r="D469" i="22"/>
  <c r="P455" i="22"/>
  <c r="V455" i="22" s="1"/>
  <c r="P452" i="22"/>
  <c r="V452" i="22" s="1"/>
  <c r="P449" i="22"/>
  <c r="V449" i="22" s="1"/>
  <c r="J447" i="22"/>
  <c r="H447" i="22"/>
  <c r="P445" i="22"/>
  <c r="V445" i="22" s="1"/>
  <c r="H444" i="22"/>
  <c r="P443" i="22"/>
  <c r="V443" i="22" s="1"/>
  <c r="H442" i="22"/>
  <c r="Z440" i="22"/>
  <c r="AC439" i="22"/>
  <c r="P438" i="22"/>
  <c r="V438" i="22" s="1"/>
  <c r="O438" i="22"/>
  <c r="U438" i="22" s="1"/>
  <c r="E422" i="22"/>
  <c r="D423" i="22"/>
  <c r="I423" i="22" s="1"/>
  <c r="D421" i="22"/>
  <c r="D417" i="22"/>
  <c r="I417" i="22" s="1"/>
  <c r="D415" i="22"/>
  <c r="I415" i="22" s="1"/>
  <c r="D413" i="22"/>
  <c r="I413" i="22" s="1"/>
  <c r="D411" i="22"/>
  <c r="I411" i="22" s="1"/>
  <c r="D407" i="22"/>
  <c r="I407" i="22" s="1"/>
  <c r="D405" i="22"/>
  <c r="I405" i="22" s="1"/>
  <c r="D389" i="22"/>
  <c r="I389" i="22" s="1"/>
  <c r="D387" i="22"/>
  <c r="D384" i="22"/>
  <c r="D382" i="22"/>
  <c r="D379" i="22"/>
  <c r="D377" i="22"/>
  <c r="I377" i="22" s="1"/>
  <c r="D374" i="22"/>
  <c r="D356" i="22"/>
  <c r="I356" i="22" s="1"/>
  <c r="D354" i="22"/>
  <c r="D351" i="22"/>
  <c r="D349" i="22"/>
  <c r="D346" i="22"/>
  <c r="D344" i="22"/>
  <c r="I344" i="22" s="1"/>
  <c r="D341" i="22"/>
  <c r="D336" i="22"/>
  <c r="D321" i="22"/>
  <c r="I321" i="22" s="1"/>
  <c r="D319" i="22"/>
  <c r="D316" i="22"/>
  <c r="D314" i="22"/>
  <c r="D311" i="22"/>
  <c r="D309" i="22"/>
  <c r="I309" i="22" s="1"/>
  <c r="E305" i="22"/>
  <c r="D306" i="22"/>
  <c r="C305" i="22"/>
  <c r="D304" i="22"/>
  <c r="D302" i="22"/>
  <c r="F302" i="22" s="1"/>
  <c r="D288" i="22"/>
  <c r="I288" i="22" s="1"/>
  <c r="D286" i="22"/>
  <c r="I286" i="22" s="1"/>
  <c r="D283" i="22"/>
  <c r="G255" i="22"/>
  <c r="G254" i="22"/>
  <c r="E256" i="22"/>
  <c r="P256" i="22" s="1"/>
  <c r="V256" i="22" s="1"/>
  <c r="D256" i="22"/>
  <c r="C256" i="22"/>
  <c r="G251" i="22"/>
  <c r="E253" i="22"/>
  <c r="P253" i="22" s="1"/>
  <c r="V253" i="22" s="1"/>
  <c r="D253" i="22"/>
  <c r="C253" i="22"/>
  <c r="G249" i="22"/>
  <c r="E250" i="22"/>
  <c r="P250" i="22" s="1"/>
  <c r="V250" i="22" s="1"/>
  <c r="D250" i="22"/>
  <c r="C250" i="22"/>
  <c r="E246" i="22"/>
  <c r="P246" i="22" s="1"/>
  <c r="V246" i="22" s="1"/>
  <c r="D246" i="22"/>
  <c r="C246" i="22"/>
  <c r="E244" i="22"/>
  <c r="P244" i="22" s="1"/>
  <c r="V244" i="22" s="1"/>
  <c r="D244" i="22"/>
  <c r="C244" i="22"/>
  <c r="AB241" i="22"/>
  <c r="Z241" i="22"/>
  <c r="AC240" i="22"/>
  <c r="E239" i="22"/>
  <c r="P239" i="22" s="1"/>
  <c r="V239" i="22" s="1"/>
  <c r="D240" i="22"/>
  <c r="C239" i="22"/>
  <c r="D238" i="22"/>
  <c r="D224" i="22"/>
  <c r="D222" i="22"/>
  <c r="E221" i="22"/>
  <c r="I221" i="22" s="1"/>
  <c r="E219" i="22"/>
  <c r="E217" i="22"/>
  <c r="E211" i="22"/>
  <c r="C178" i="22"/>
  <c r="C176" i="22"/>
  <c r="C157" i="22"/>
  <c r="C153" i="22"/>
  <c r="G153" i="22" s="1"/>
  <c r="C151" i="22"/>
  <c r="C149" i="22"/>
  <c r="C147" i="22"/>
  <c r="C126" i="22"/>
  <c r="C124" i="22"/>
  <c r="C122" i="22"/>
  <c r="C120" i="22"/>
  <c r="F119" i="22"/>
  <c r="C116" i="22"/>
  <c r="C94" i="22"/>
  <c r="G94" i="22" s="1"/>
  <c r="C76" i="22"/>
  <c r="C74" i="22"/>
  <c r="C58" i="22"/>
  <c r="C56" i="22"/>
  <c r="E55" i="22"/>
  <c r="C50" i="22"/>
  <c r="C28" i="22"/>
  <c r="Z27" i="22"/>
  <c r="C26" i="22"/>
  <c r="Z25" i="22"/>
  <c r="Z23" i="22"/>
  <c r="C22" i="22"/>
  <c r="Z21" i="22"/>
  <c r="C20" i="22"/>
  <c r="C18" i="22"/>
  <c r="Z13" i="22"/>
  <c r="F90" i="59"/>
  <c r="D90" i="59"/>
  <c r="F88" i="59"/>
  <c r="D88" i="59"/>
  <c r="D109" i="59" s="1"/>
  <c r="F86" i="59"/>
  <c r="D86" i="59"/>
  <c r="D107" i="59" s="1"/>
  <c r="F84" i="59"/>
  <c r="D84" i="59"/>
  <c r="F82" i="59"/>
  <c r="D82" i="59"/>
  <c r="F80" i="59"/>
  <c r="D80" i="59"/>
  <c r="D101" i="59" s="1"/>
  <c r="F78" i="59"/>
  <c r="D78" i="59"/>
  <c r="F76" i="59"/>
  <c r="D76" i="59"/>
  <c r="F69" i="59"/>
  <c r="D69" i="59"/>
  <c r="F67" i="59"/>
  <c r="D67" i="59"/>
  <c r="F65" i="59"/>
  <c r="D65" i="59"/>
  <c r="F63" i="59"/>
  <c r="D63" i="59"/>
  <c r="F61" i="59"/>
  <c r="D61" i="59"/>
  <c r="F59" i="59"/>
  <c r="D59" i="59"/>
  <c r="F57" i="59"/>
  <c r="D57" i="59"/>
  <c r="F56" i="59"/>
  <c r="D56" i="59"/>
  <c r="E54" i="59"/>
  <c r="D8" i="22"/>
  <c r="F181" i="22" l="1"/>
  <c r="C110" i="59"/>
  <c r="B107" i="59"/>
  <c r="F107" i="59"/>
  <c r="E110" i="59"/>
  <c r="G110" i="59"/>
  <c r="D110" i="59"/>
  <c r="B110" i="59"/>
  <c r="E107" i="59"/>
  <c r="G152" i="22"/>
  <c r="G105" i="59"/>
  <c r="G148" i="22"/>
  <c r="G149" i="22"/>
  <c r="G99" i="59"/>
  <c r="W12" i="22"/>
  <c r="F213" i="22"/>
  <c r="H213" i="22"/>
  <c r="G356" i="22"/>
  <c r="D111" i="59"/>
  <c r="D105" i="59"/>
  <c r="C112" i="59"/>
  <c r="F100" i="59"/>
  <c r="B98" i="59"/>
  <c r="F103" i="59"/>
  <c r="F111" i="59"/>
  <c r="B104" i="59"/>
  <c r="M9" i="59"/>
  <c r="T9" i="59" s="1"/>
  <c r="D112" i="59"/>
  <c r="C95" i="59"/>
  <c r="M46" i="59"/>
  <c r="T46" i="59" s="1"/>
  <c r="F97" i="59"/>
  <c r="F105" i="59"/>
  <c r="D106" i="59"/>
  <c r="C99" i="59"/>
  <c r="I454" i="22"/>
  <c r="C106" i="59"/>
  <c r="C102" i="59"/>
  <c r="C98" i="59"/>
  <c r="F109" i="59"/>
  <c r="F101" i="59"/>
  <c r="E103" i="59"/>
  <c r="F499" i="22"/>
  <c r="M10" i="59"/>
  <c r="T10" i="59" s="1"/>
  <c r="D95" i="59"/>
  <c r="B106" i="59"/>
  <c r="B95" i="59"/>
  <c r="D100" i="59"/>
  <c r="D102" i="59"/>
  <c r="D104" i="59"/>
  <c r="D108" i="59"/>
  <c r="D97" i="59"/>
  <c r="D103" i="59"/>
  <c r="B111" i="59"/>
  <c r="M16" i="59"/>
  <c r="T16" i="59" s="1"/>
  <c r="M35" i="59"/>
  <c r="T35" i="59" s="1"/>
  <c r="M39" i="59"/>
  <c r="T39" i="59" s="1"/>
  <c r="M43" i="59"/>
  <c r="T43" i="59" s="1"/>
  <c r="M47" i="59"/>
  <c r="T47" i="59" s="1"/>
  <c r="E181" i="22"/>
  <c r="E173" i="22"/>
  <c r="F338" i="22"/>
  <c r="G102" i="59"/>
  <c r="G106" i="59"/>
  <c r="K54" i="59"/>
  <c r="D98" i="59"/>
  <c r="G382" i="22"/>
  <c r="G344" i="22"/>
  <c r="J382" i="22"/>
  <c r="B99" i="59"/>
  <c r="G354" i="22"/>
  <c r="G371" i="22"/>
  <c r="G422" i="22"/>
  <c r="J372" i="22"/>
  <c r="F191" i="22"/>
  <c r="O239" i="22"/>
  <c r="U239" i="22" s="1"/>
  <c r="G389" i="22"/>
  <c r="J381" i="22"/>
  <c r="G339" i="22"/>
  <c r="G372" i="22"/>
  <c r="G421" i="22"/>
  <c r="I444" i="22"/>
  <c r="G388" i="22"/>
  <c r="B108" i="59"/>
  <c r="B102" i="59"/>
  <c r="O250" i="22"/>
  <c r="U250" i="22" s="1"/>
  <c r="O253" i="22"/>
  <c r="U253" i="22" s="1"/>
  <c r="O256" i="22"/>
  <c r="U256" i="22" s="1"/>
  <c r="O443" i="22"/>
  <c r="U443" i="22" s="1"/>
  <c r="O445" i="22"/>
  <c r="U445" i="22" s="1"/>
  <c r="O452" i="22"/>
  <c r="U452" i="22" s="1"/>
  <c r="O244" i="22"/>
  <c r="U244" i="22" s="1"/>
  <c r="O246" i="22"/>
  <c r="U246" i="22" s="1"/>
  <c r="O449" i="22"/>
  <c r="U449" i="22" s="1"/>
  <c r="O455" i="22"/>
  <c r="U455" i="22" s="1"/>
  <c r="Z454" i="22"/>
  <c r="O454" i="22"/>
  <c r="U454" i="22" s="1"/>
  <c r="G439" i="22"/>
  <c r="O439" i="22"/>
  <c r="U439" i="22" s="1"/>
  <c r="AD241" i="22"/>
  <c r="Q241" i="22"/>
  <c r="W241" i="22" s="1"/>
  <c r="AC238" i="22"/>
  <c r="P238" i="22"/>
  <c r="V238" i="22" s="1"/>
  <c r="AD444" i="22"/>
  <c r="Q444" i="22"/>
  <c r="W444" i="22" s="1"/>
  <c r="J448" i="22"/>
  <c r="P448" i="22"/>
  <c r="V448" i="22" s="1"/>
  <c r="O245" i="22"/>
  <c r="U245" i="22" s="1"/>
  <c r="O249" i="22"/>
  <c r="U249" i="22" s="1"/>
  <c r="O447" i="22"/>
  <c r="U447" i="22" s="1"/>
  <c r="O15" i="22"/>
  <c r="U15" i="22" s="1"/>
  <c r="O442" i="22"/>
  <c r="U442" i="22" s="1"/>
  <c r="O444" i="22"/>
  <c r="U444" i="22" s="1"/>
  <c r="AD251" i="22"/>
  <c r="Q251" i="22"/>
  <c r="W251" i="22" s="1"/>
  <c r="AB8" i="22"/>
  <c r="P8" i="22"/>
  <c r="V8" i="22" s="1"/>
  <c r="AD255" i="22"/>
  <c r="Q255" i="22"/>
  <c r="W255" i="22" s="1"/>
  <c r="AA8" i="22"/>
  <c r="O8" i="22"/>
  <c r="U8" i="22" s="1"/>
  <c r="Z437" i="22"/>
  <c r="O437" i="22"/>
  <c r="U437" i="22" s="1"/>
  <c r="Z448" i="22"/>
  <c r="O448" i="22"/>
  <c r="U448" i="22" s="1"/>
  <c r="AD236" i="22"/>
  <c r="Q236" i="22"/>
  <c r="W236" i="22" s="1"/>
  <c r="O10" i="22"/>
  <c r="U10" i="22" s="1"/>
  <c r="O18" i="22"/>
  <c r="U18" i="22" s="1"/>
  <c r="O20" i="22"/>
  <c r="U20" i="22" s="1"/>
  <c r="O22" i="22"/>
  <c r="U22" i="22" s="1"/>
  <c r="O26" i="22"/>
  <c r="U26" i="22" s="1"/>
  <c r="O28" i="22"/>
  <c r="U28" i="22" s="1"/>
  <c r="O17" i="22"/>
  <c r="U17" i="22" s="1"/>
  <c r="O243" i="22"/>
  <c r="U243" i="22" s="1"/>
  <c r="O248" i="22"/>
  <c r="U248" i="22" s="1"/>
  <c r="O254" i="22"/>
  <c r="U254" i="22" s="1"/>
  <c r="O13" i="22"/>
  <c r="U13" i="22" s="1"/>
  <c r="J387" i="22"/>
  <c r="J344" i="22"/>
  <c r="J389" i="22"/>
  <c r="F447" i="22"/>
  <c r="K447" i="22" s="1"/>
  <c r="F207" i="22"/>
  <c r="G95" i="59"/>
  <c r="G157" i="22"/>
  <c r="M32" i="59"/>
  <c r="T32" i="59" s="1"/>
  <c r="M17" i="59"/>
  <c r="T17" i="59" s="1"/>
  <c r="M40" i="59"/>
  <c r="T40" i="59" s="1"/>
  <c r="K55" i="59"/>
  <c r="C121" i="59" s="1"/>
  <c r="B112" i="59"/>
  <c r="G97" i="59"/>
  <c r="M14" i="59"/>
  <c r="T14" i="59" s="1"/>
  <c r="M18" i="59"/>
  <c r="T18" i="59" s="1"/>
  <c r="M22" i="59"/>
  <c r="T22" i="59" s="1"/>
  <c r="M13" i="59"/>
  <c r="T13" i="59" s="1"/>
  <c r="M21" i="59"/>
  <c r="T21" i="59" s="1"/>
  <c r="M36" i="59"/>
  <c r="T36" i="59" s="1"/>
  <c r="E97" i="59"/>
  <c r="F102" i="59"/>
  <c r="G104" i="59"/>
  <c r="E61" i="22"/>
  <c r="J384" i="22"/>
  <c r="AA439" i="22"/>
  <c r="G448" i="22"/>
  <c r="G346" i="22"/>
  <c r="G379" i="22"/>
  <c r="G350" i="22"/>
  <c r="G383" i="22"/>
  <c r="F448" i="22"/>
  <c r="K448" i="22" s="1"/>
  <c r="AB444" i="22"/>
  <c r="F127" i="22"/>
  <c r="F144" i="22"/>
  <c r="F110" i="59"/>
  <c r="M44" i="59"/>
  <c r="T44" i="59" s="1"/>
  <c r="M11" i="59"/>
  <c r="T11" i="59" s="1"/>
  <c r="M15" i="59"/>
  <c r="T15" i="59" s="1"/>
  <c r="M19" i="59"/>
  <c r="T19" i="59" s="1"/>
  <c r="M23" i="59"/>
  <c r="T23" i="59" s="1"/>
  <c r="M34" i="59"/>
  <c r="T34" i="59" s="1"/>
  <c r="M38" i="59"/>
  <c r="T38" i="59" s="1"/>
  <c r="M42" i="59"/>
  <c r="T42" i="59" s="1"/>
  <c r="B100" i="59"/>
  <c r="B97" i="59"/>
  <c r="B103" i="59"/>
  <c r="F95" i="59"/>
  <c r="F209" i="22"/>
  <c r="G349" i="22"/>
  <c r="G387" i="22"/>
  <c r="G384" i="22"/>
  <c r="G374" i="22"/>
  <c r="G377" i="22"/>
  <c r="G341" i="22"/>
  <c r="G351" i="22"/>
  <c r="G338" i="22"/>
  <c r="F420" i="22"/>
  <c r="K420" i="22" s="1"/>
  <c r="E95" i="59"/>
  <c r="C111" i="59"/>
  <c r="E111" i="59"/>
  <c r="J349" i="22"/>
  <c r="J354" i="22"/>
  <c r="F211" i="22"/>
  <c r="F373" i="22"/>
  <c r="J386" i="22"/>
  <c r="E143" i="22"/>
  <c r="F125" i="22"/>
  <c r="J422" i="22"/>
  <c r="F439" i="22"/>
  <c r="Q439" i="22" s="1"/>
  <c r="W439" i="22" s="1"/>
  <c r="I448" i="22"/>
  <c r="G454" i="22"/>
  <c r="F503" i="22"/>
  <c r="K503" i="22" s="1"/>
  <c r="F442" i="22"/>
  <c r="I442" i="22"/>
  <c r="I447" i="22"/>
  <c r="E17" i="22"/>
  <c r="J379" i="22"/>
  <c r="J383" i="22"/>
  <c r="J388" i="22"/>
  <c r="F410" i="22"/>
  <c r="K410" i="22" s="1"/>
  <c r="F506" i="22"/>
  <c r="F454" i="22"/>
  <c r="C281" i="22"/>
  <c r="B281" i="22"/>
  <c r="E281" i="22"/>
  <c r="G154" i="22"/>
  <c r="E109" i="59"/>
  <c r="K74" i="59"/>
  <c r="K52" i="59"/>
  <c r="C118" i="59" s="1"/>
  <c r="G100" i="59"/>
  <c r="G109" i="59"/>
  <c r="M8" i="59"/>
  <c r="T8" i="59" s="1"/>
  <c r="M33" i="59"/>
  <c r="T33" i="59" s="1"/>
  <c r="M37" i="59"/>
  <c r="T37" i="59" s="1"/>
  <c r="M41" i="59"/>
  <c r="T41" i="59" s="1"/>
  <c r="M45" i="59"/>
  <c r="T45" i="59" s="1"/>
  <c r="G208" i="22"/>
  <c r="J377" i="22"/>
  <c r="G144" i="22"/>
  <c r="F15" i="22"/>
  <c r="F179" i="22"/>
  <c r="F158" i="22"/>
  <c r="F156" i="22"/>
  <c r="F148" i="22"/>
  <c r="F146" i="22"/>
  <c r="F142" i="22"/>
  <c r="F59" i="22"/>
  <c r="F79" i="22"/>
  <c r="F121" i="22"/>
  <c r="F51" i="22"/>
  <c r="F117" i="22"/>
  <c r="F152" i="22"/>
  <c r="F154" i="22"/>
  <c r="F173" i="22"/>
  <c r="F340" i="22"/>
  <c r="C108" i="59"/>
  <c r="F108" i="59"/>
  <c r="G107" i="59"/>
  <c r="C97" i="59"/>
  <c r="C100" i="59"/>
  <c r="C105" i="59"/>
  <c r="F106" i="59"/>
  <c r="F112" i="59"/>
  <c r="C103" i="59"/>
  <c r="F104" i="59"/>
  <c r="C101" i="59"/>
  <c r="C104" i="59"/>
  <c r="C109" i="59"/>
  <c r="J374" i="22"/>
  <c r="E98" i="59"/>
  <c r="C107" i="59"/>
  <c r="G98" i="59"/>
  <c r="F12" i="22"/>
  <c r="F143" i="22"/>
  <c r="J240" i="22"/>
  <c r="F99" i="59"/>
  <c r="G151" i="22"/>
  <c r="G12" i="22"/>
  <c r="F27" i="22"/>
  <c r="G373" i="22"/>
  <c r="K62" i="59"/>
  <c r="C128" i="59" s="1"/>
  <c r="K83" i="59"/>
  <c r="D99" i="59"/>
  <c r="G340" i="22"/>
  <c r="F501" i="22"/>
  <c r="C517" i="22"/>
  <c r="H517" i="22" s="1"/>
  <c r="E517" i="22"/>
  <c r="J517" i="22" s="1"/>
  <c r="B513" i="22"/>
  <c r="D513" i="22"/>
  <c r="I513" i="22" s="1"/>
  <c r="C507" i="22"/>
  <c r="E507" i="22"/>
  <c r="B479" i="22"/>
  <c r="G479" i="22" s="1"/>
  <c r="E479" i="22"/>
  <c r="J479" i="22" s="1"/>
  <c r="B476" i="22"/>
  <c r="D476" i="22"/>
  <c r="I476" i="22" s="1"/>
  <c r="B470" i="22"/>
  <c r="D470" i="22"/>
  <c r="I470" i="22" s="1"/>
  <c r="B518" i="22"/>
  <c r="D518" i="22"/>
  <c r="I518" i="22" s="1"/>
  <c r="C512" i="22"/>
  <c r="H512" i="22" s="1"/>
  <c r="E512" i="22"/>
  <c r="J512" i="22" s="1"/>
  <c r="B508" i="22"/>
  <c r="D508" i="22"/>
  <c r="I508" i="22" s="1"/>
  <c r="B486" i="22"/>
  <c r="C486" i="22"/>
  <c r="H486" i="22" s="1"/>
  <c r="B484" i="22"/>
  <c r="D484" i="22"/>
  <c r="I484" i="22" s="1"/>
  <c r="B480" i="22"/>
  <c r="D480" i="22"/>
  <c r="I480" i="22" s="1"/>
  <c r="B474" i="22"/>
  <c r="C474" i="22"/>
  <c r="H474" i="22" s="1"/>
  <c r="B472" i="22"/>
  <c r="D472" i="22"/>
  <c r="I472" i="22" s="1"/>
  <c r="C513" i="22"/>
  <c r="C476" i="22"/>
  <c r="O440" i="22"/>
  <c r="U440" i="22" s="1"/>
  <c r="F435" i="22"/>
  <c r="C421" i="22"/>
  <c r="H421" i="22" s="1"/>
  <c r="C417" i="22"/>
  <c r="H417" i="22" s="1"/>
  <c r="C411" i="22"/>
  <c r="H411" i="22" s="1"/>
  <c r="D408" i="22"/>
  <c r="I421" i="22" s="1"/>
  <c r="C405" i="22"/>
  <c r="D388" i="22"/>
  <c r="I387" i="22" s="1"/>
  <c r="C384" i="22"/>
  <c r="F384" i="22" s="1"/>
  <c r="C377" i="22"/>
  <c r="E369" i="22"/>
  <c r="F369" i="22" s="1"/>
  <c r="D355" i="22"/>
  <c r="D350" i="22"/>
  <c r="F350" i="22" s="1"/>
  <c r="C346" i="22"/>
  <c r="H346" i="22" s="1"/>
  <c r="D343" i="22"/>
  <c r="D339" i="22"/>
  <c r="F339" i="22" s="1"/>
  <c r="E336" i="22"/>
  <c r="F336" i="22" s="1"/>
  <c r="C322" i="22"/>
  <c r="H322" i="22" s="1"/>
  <c r="C319" i="22"/>
  <c r="H319" i="22" s="1"/>
  <c r="C317" i="22"/>
  <c r="C315" i="22"/>
  <c r="F315" i="22" s="1"/>
  <c r="D312" i="22"/>
  <c r="F312" i="22" s="1"/>
  <c r="E311" i="22"/>
  <c r="F311" i="22" s="1"/>
  <c r="C310" i="22"/>
  <c r="H310" i="22" s="1"/>
  <c r="E304" i="22"/>
  <c r="D289" i="22"/>
  <c r="E288" i="22"/>
  <c r="J288" i="22" s="1"/>
  <c r="C287" i="22"/>
  <c r="D284" i="22"/>
  <c r="E283" i="22"/>
  <c r="F283" i="22" s="1"/>
  <c r="C282" i="22"/>
  <c r="H282" i="22" s="1"/>
  <c r="D279" i="22"/>
  <c r="C240" i="22"/>
  <c r="C238" i="22"/>
  <c r="C209" i="22"/>
  <c r="G223" i="22" s="1"/>
  <c r="D191" i="22"/>
  <c r="H186" i="22" s="1"/>
  <c r="C189" i="22"/>
  <c r="C185" i="22"/>
  <c r="C183" i="22"/>
  <c r="D171" i="22"/>
  <c r="E171" i="22" s="1"/>
  <c r="D158" i="22"/>
  <c r="E158" i="22" s="1"/>
  <c r="D156" i="22"/>
  <c r="E156" i="22" s="1"/>
  <c r="D154" i="22"/>
  <c r="E154" i="22" s="1"/>
  <c r="D152" i="22"/>
  <c r="E152" i="22" s="1"/>
  <c r="D148" i="22"/>
  <c r="E148" i="22" s="1"/>
  <c r="D121" i="22"/>
  <c r="E121" i="22" s="1"/>
  <c r="D119" i="22"/>
  <c r="C115" i="22"/>
  <c r="G120" i="22" s="1"/>
  <c r="D107" i="22"/>
  <c r="E107" i="22" s="1"/>
  <c r="C89" i="22"/>
  <c r="C87" i="22"/>
  <c r="D79" i="22"/>
  <c r="E79" i="22" s="1"/>
  <c r="C78" i="22"/>
  <c r="D78" i="22"/>
  <c r="H78" i="22" s="1"/>
  <c r="C59" i="22"/>
  <c r="E59" i="22" s="1"/>
  <c r="D51" i="22"/>
  <c r="H50" i="22" s="1"/>
  <c r="C43" i="22"/>
  <c r="D27" i="22"/>
  <c r="P27" i="22" s="1"/>
  <c r="V27" i="22" s="1"/>
  <c r="D25" i="22"/>
  <c r="P25" i="22" s="1"/>
  <c r="V25" i="22" s="1"/>
  <c r="D23" i="22"/>
  <c r="P23" i="22" s="1"/>
  <c r="V23" i="22" s="1"/>
  <c r="D21" i="22"/>
  <c r="P21" i="22" s="1"/>
  <c r="V21" i="22" s="1"/>
  <c r="D15" i="22"/>
  <c r="P15" i="22" s="1"/>
  <c r="V15" i="22" s="1"/>
  <c r="D13" i="22"/>
  <c r="P13" i="22" s="1"/>
  <c r="V13" i="22" s="1"/>
  <c r="K89" i="59"/>
  <c r="B101" i="59"/>
  <c r="B105" i="59"/>
  <c r="B109" i="59"/>
  <c r="M12" i="59"/>
  <c r="T12" i="59" s="1"/>
  <c r="M20" i="59"/>
  <c r="T20" i="59" s="1"/>
  <c r="M30" i="59"/>
  <c r="T30" i="59" s="1"/>
  <c r="K91" i="59"/>
  <c r="E101" i="59"/>
  <c r="E105" i="59"/>
  <c r="G101" i="59"/>
  <c r="F21" i="22"/>
  <c r="F183" i="22"/>
  <c r="K60" i="59"/>
  <c r="C126" i="59" s="1"/>
  <c r="F98" i="59"/>
  <c r="E104" i="59"/>
  <c r="E108" i="59"/>
  <c r="E112" i="59"/>
  <c r="E100" i="59"/>
  <c r="G112" i="59"/>
  <c r="H211" i="22"/>
  <c r="F53" i="22"/>
  <c r="F81" i="22"/>
  <c r="G376" i="22"/>
  <c r="G108" i="59"/>
  <c r="J444" i="22"/>
  <c r="F17" i="22"/>
  <c r="K58" i="59"/>
  <c r="C124" i="59" s="1"/>
  <c r="K66" i="59"/>
  <c r="C132" i="59" s="1"/>
  <c r="K79" i="59"/>
  <c r="E102" i="59"/>
  <c r="G103" i="59"/>
  <c r="E106" i="59"/>
  <c r="G111" i="59"/>
  <c r="G143" i="22"/>
  <c r="G146" i="22"/>
  <c r="J339" i="22"/>
  <c r="J343" i="22"/>
  <c r="J373" i="22"/>
  <c r="J376" i="22"/>
  <c r="G147" i="22"/>
  <c r="J248" i="22"/>
  <c r="J243" i="22"/>
  <c r="J245" i="22"/>
  <c r="G15" i="22"/>
  <c r="F25" i="22"/>
  <c r="F83" i="22"/>
  <c r="G343" i="22"/>
  <c r="J345" i="22"/>
  <c r="J378" i="22"/>
  <c r="G17" i="22"/>
  <c r="K87" i="59"/>
  <c r="K77" i="59"/>
  <c r="K68" i="59"/>
  <c r="C134" i="59" s="1"/>
  <c r="K81" i="59"/>
  <c r="K85" i="59"/>
  <c r="K64" i="59"/>
  <c r="C130" i="59" s="1"/>
  <c r="AD245" i="22"/>
  <c r="AB243" i="22"/>
  <c r="I243" i="22"/>
  <c r="AB248" i="22"/>
  <c r="I248" i="22"/>
  <c r="G348" i="22"/>
  <c r="F348" i="22"/>
  <c r="G378" i="22"/>
  <c r="F378" i="22"/>
  <c r="G386" i="22"/>
  <c r="F386" i="22"/>
  <c r="G406" i="22"/>
  <c r="F406" i="22"/>
  <c r="K406" i="22" s="1"/>
  <c r="AC453" i="22"/>
  <c r="J453" i="22"/>
  <c r="G345" i="22"/>
  <c r="F345" i="22"/>
  <c r="G353" i="22"/>
  <c r="F353" i="22"/>
  <c r="G381" i="22"/>
  <c r="F381" i="22"/>
  <c r="G412" i="22"/>
  <c r="F412" i="22"/>
  <c r="K412" i="22" s="1"/>
  <c r="G418" i="22"/>
  <c r="F418" i="22"/>
  <c r="K418" i="22" s="1"/>
  <c r="G158" i="22"/>
  <c r="J346" i="22"/>
  <c r="J350" i="22"/>
  <c r="E83" i="22"/>
  <c r="J348" i="22"/>
  <c r="F249" i="22"/>
  <c r="F371" i="22"/>
  <c r="F403" i="22"/>
  <c r="J371" i="22"/>
  <c r="F482" i="22"/>
  <c r="K482" i="22" s="1"/>
  <c r="AB17" i="22"/>
  <c r="AB245" i="22"/>
  <c r="I245" i="22"/>
  <c r="J340" i="22"/>
  <c r="J338" i="22"/>
  <c r="AC454" i="22"/>
  <c r="J454" i="22"/>
  <c r="AA453" i="22"/>
  <c r="H453" i="22"/>
  <c r="H373" i="22"/>
  <c r="G142" i="22"/>
  <c r="F306" i="22"/>
  <c r="F471" i="22"/>
  <c r="K471" i="22" s="1"/>
  <c r="J351" i="22"/>
  <c r="J356" i="22"/>
  <c r="F254" i="22"/>
  <c r="G141" i="22"/>
  <c r="F307" i="22"/>
  <c r="J353" i="22"/>
  <c r="J341" i="22"/>
  <c r="AD243" i="22"/>
  <c r="K56" i="59"/>
  <c r="C122" i="59" s="1"/>
  <c r="K67" i="59"/>
  <c r="C133" i="59" s="1"/>
  <c r="H222" i="22"/>
  <c r="AD248" i="22"/>
  <c r="G18" i="22"/>
  <c r="AA18" i="22"/>
  <c r="I238" i="22"/>
  <c r="AB238" i="22"/>
  <c r="I244" i="22"/>
  <c r="AB244" i="22"/>
  <c r="AB250" i="22"/>
  <c r="I250" i="22"/>
  <c r="AB253" i="22"/>
  <c r="I253" i="22"/>
  <c r="J438" i="22"/>
  <c r="AC438" i="22"/>
  <c r="I443" i="22"/>
  <c r="AB443" i="22"/>
  <c r="AB449" i="22"/>
  <c r="I449" i="22"/>
  <c r="G20" i="22"/>
  <c r="AA20" i="22"/>
  <c r="G26" i="22"/>
  <c r="AA26" i="22"/>
  <c r="AA239" i="22"/>
  <c r="J239" i="22"/>
  <c r="AC239" i="22"/>
  <c r="J241" i="22"/>
  <c r="J249" i="22"/>
  <c r="J251" i="22"/>
  <c r="J254" i="22"/>
  <c r="J255" i="22"/>
  <c r="AA244" i="22"/>
  <c r="AC244" i="22"/>
  <c r="J244" i="22"/>
  <c r="AA246" i="22"/>
  <c r="AC246" i="22"/>
  <c r="J246" i="22"/>
  <c r="AA250" i="22"/>
  <c r="J250" i="22"/>
  <c r="AC250" i="22"/>
  <c r="AA253" i="22"/>
  <c r="J253" i="22"/>
  <c r="AC253" i="22"/>
  <c r="AA256" i="22"/>
  <c r="AC256" i="22"/>
  <c r="J256" i="22"/>
  <c r="H305" i="22"/>
  <c r="H438" i="22"/>
  <c r="AA438" i="22"/>
  <c r="I439" i="22"/>
  <c r="AB439" i="22"/>
  <c r="AA443" i="22"/>
  <c r="H443" i="22"/>
  <c r="AC443" i="22"/>
  <c r="J443" i="22"/>
  <c r="I445" i="22"/>
  <c r="AB445" i="22"/>
  <c r="H449" i="22"/>
  <c r="AA449" i="22"/>
  <c r="J449" i="22"/>
  <c r="AC449" i="22"/>
  <c r="H452" i="22"/>
  <c r="AA452" i="22"/>
  <c r="J452" i="22"/>
  <c r="AC452" i="22"/>
  <c r="AA455" i="22"/>
  <c r="H455" i="22"/>
  <c r="AC455" i="22"/>
  <c r="J455" i="22"/>
  <c r="E10" i="22"/>
  <c r="Q10" i="22" s="1"/>
  <c r="Z10" i="22"/>
  <c r="F10" i="22"/>
  <c r="AB11" i="22"/>
  <c r="F16" i="22"/>
  <c r="Z16" i="22"/>
  <c r="E16" i="22"/>
  <c r="Q16" i="22" s="1"/>
  <c r="F45" i="22"/>
  <c r="E45" i="22"/>
  <c r="F46" i="22"/>
  <c r="E46" i="22"/>
  <c r="F48" i="22"/>
  <c r="E48" i="22"/>
  <c r="F54" i="22"/>
  <c r="E54" i="22"/>
  <c r="F60" i="22"/>
  <c r="E60" i="22"/>
  <c r="F82" i="22"/>
  <c r="E82" i="22"/>
  <c r="I82" i="22" s="1"/>
  <c r="F84" i="22"/>
  <c r="E84" i="22"/>
  <c r="F86" i="22"/>
  <c r="E86" i="22"/>
  <c r="F88" i="22"/>
  <c r="E88" i="22"/>
  <c r="I88" i="22" s="1"/>
  <c r="F92" i="22"/>
  <c r="E92" i="22"/>
  <c r="F111" i="22"/>
  <c r="E111" i="22"/>
  <c r="F112" i="22"/>
  <c r="E112" i="22"/>
  <c r="F114" i="22"/>
  <c r="E114" i="22"/>
  <c r="F141" i="22"/>
  <c r="E141" i="22"/>
  <c r="F159" i="22"/>
  <c r="E159" i="22"/>
  <c r="I159" i="22" s="1"/>
  <c r="E174" i="22"/>
  <c r="F174" i="22"/>
  <c r="F185" i="22"/>
  <c r="F189" i="22"/>
  <c r="F180" i="22"/>
  <c r="E180" i="22"/>
  <c r="F184" i="22"/>
  <c r="E184" i="22"/>
  <c r="F186" i="22"/>
  <c r="E186" i="22"/>
  <c r="F188" i="22"/>
  <c r="E188" i="22"/>
  <c r="F190" i="22"/>
  <c r="E190" i="22"/>
  <c r="F206" i="22"/>
  <c r="E206" i="22"/>
  <c r="F217" i="22"/>
  <c r="F219" i="22"/>
  <c r="F223" i="22"/>
  <c r="F212" i="22"/>
  <c r="E212" i="22"/>
  <c r="I212" i="22" s="1"/>
  <c r="F214" i="22"/>
  <c r="E214" i="22"/>
  <c r="F216" i="22"/>
  <c r="E216" i="22"/>
  <c r="I216" i="22" s="1"/>
  <c r="F218" i="22"/>
  <c r="E218" i="22"/>
  <c r="AB18" i="22"/>
  <c r="AB20" i="22"/>
  <c r="AB22" i="22"/>
  <c r="AB26" i="22"/>
  <c r="AB28" i="22"/>
  <c r="H175" i="22"/>
  <c r="F13" i="22"/>
  <c r="F23" i="22"/>
  <c r="G176" i="22"/>
  <c r="H224" i="22"/>
  <c r="I249" i="22"/>
  <c r="I251" i="22"/>
  <c r="I254" i="22"/>
  <c r="E139" i="22"/>
  <c r="E204" i="22"/>
  <c r="K57" i="59"/>
  <c r="C123" i="59" s="1"/>
  <c r="K59" i="59"/>
  <c r="C125" i="59" s="1"/>
  <c r="K61" i="59"/>
  <c r="C127" i="59" s="1"/>
  <c r="K63" i="59"/>
  <c r="C129" i="59" s="1"/>
  <c r="K65" i="59"/>
  <c r="C131" i="59" s="1"/>
  <c r="K69" i="59"/>
  <c r="C135" i="59" s="1"/>
  <c r="K76" i="59"/>
  <c r="K78" i="59"/>
  <c r="K80" i="59"/>
  <c r="K82" i="59"/>
  <c r="K84" i="59"/>
  <c r="K86" i="59"/>
  <c r="K88" i="59"/>
  <c r="K90" i="59"/>
  <c r="H176" i="22"/>
  <c r="J238" i="22"/>
  <c r="J421" i="22"/>
  <c r="F244" i="22"/>
  <c r="Q244" i="22" s="1"/>
  <c r="W244" i="22" s="1"/>
  <c r="F246" i="22"/>
  <c r="Q246" i="22" s="1"/>
  <c r="W246" i="22" s="1"/>
  <c r="F314" i="22"/>
  <c r="F344" i="22"/>
  <c r="F349" i="22"/>
  <c r="F354" i="22"/>
  <c r="F382" i="22"/>
  <c r="F387" i="22"/>
  <c r="F407" i="22"/>
  <c r="K407" i="22" s="1"/>
  <c r="F413" i="22"/>
  <c r="K413" i="22" s="1"/>
  <c r="F415" i="22"/>
  <c r="K415" i="22" s="1"/>
  <c r="F423" i="22"/>
  <c r="K423" i="22" s="1"/>
  <c r="F443" i="22"/>
  <c r="Q443" i="22" s="1"/>
  <c r="W443" i="22" s="1"/>
  <c r="F452" i="22"/>
  <c r="Q452" i="22" s="1"/>
  <c r="W452" i="22" s="1"/>
  <c r="E222" i="22"/>
  <c r="E224" i="22"/>
  <c r="F305" i="22"/>
  <c r="G22" i="22"/>
  <c r="AA22" i="22"/>
  <c r="G28" i="22"/>
  <c r="AA28" i="22"/>
  <c r="I240" i="22"/>
  <c r="AB240" i="22"/>
  <c r="I246" i="22"/>
  <c r="AB246" i="22"/>
  <c r="I256" i="22"/>
  <c r="AB256" i="22"/>
  <c r="AB437" i="22"/>
  <c r="I437" i="22"/>
  <c r="AA445" i="22"/>
  <c r="H445" i="22"/>
  <c r="AC445" i="22"/>
  <c r="J445" i="22"/>
  <c r="AB452" i="22"/>
  <c r="I452" i="22"/>
  <c r="I455" i="22"/>
  <c r="AB455" i="22"/>
  <c r="J470" i="22"/>
  <c r="G13" i="22"/>
  <c r="G21" i="22"/>
  <c r="G23" i="22"/>
  <c r="G25" i="22"/>
  <c r="G27" i="22"/>
  <c r="G10" i="22"/>
  <c r="AA10" i="22"/>
  <c r="G11" i="22"/>
  <c r="G16" i="22"/>
  <c r="F11" i="22"/>
  <c r="Z11" i="22"/>
  <c r="E11" i="22"/>
  <c r="Q11" i="22" s="1"/>
  <c r="AB16" i="22"/>
  <c r="H206" i="22"/>
  <c r="H207" i="22"/>
  <c r="H209" i="22"/>
  <c r="H217" i="22"/>
  <c r="H219" i="22"/>
  <c r="H223" i="22"/>
  <c r="AC12" i="22"/>
  <c r="F18" i="22"/>
  <c r="Z18" i="22"/>
  <c r="E18" i="22"/>
  <c r="Q18" i="22" s="1"/>
  <c r="F20" i="22"/>
  <c r="Z20" i="22"/>
  <c r="E20" i="22"/>
  <c r="Q20" i="22" s="1"/>
  <c r="F22" i="22"/>
  <c r="Z22" i="22"/>
  <c r="E22" i="22"/>
  <c r="Q22" i="22" s="1"/>
  <c r="F26" i="22"/>
  <c r="Z26" i="22"/>
  <c r="E26" i="22"/>
  <c r="Q26" i="22" s="1"/>
  <c r="F28" i="22"/>
  <c r="Z28" i="22"/>
  <c r="E28" i="22"/>
  <c r="Q28" i="22" s="1"/>
  <c r="E44" i="22"/>
  <c r="F44" i="22"/>
  <c r="F43" i="22"/>
  <c r="F49" i="22"/>
  <c r="F55" i="22"/>
  <c r="F61" i="22"/>
  <c r="F50" i="22"/>
  <c r="E50" i="22"/>
  <c r="F56" i="22"/>
  <c r="E56" i="22"/>
  <c r="F58" i="22"/>
  <c r="E58" i="22"/>
  <c r="F76" i="22"/>
  <c r="E76" i="22"/>
  <c r="F87" i="22"/>
  <c r="F91" i="22"/>
  <c r="F93" i="22"/>
  <c r="F94" i="22"/>
  <c r="E94" i="22"/>
  <c r="I94" i="22" s="1"/>
  <c r="E110" i="22"/>
  <c r="F110" i="22"/>
  <c r="F109" i="22"/>
  <c r="F115" i="22"/>
  <c r="F116" i="22"/>
  <c r="E116" i="22"/>
  <c r="F120" i="22"/>
  <c r="E120" i="22"/>
  <c r="F122" i="22"/>
  <c r="E122" i="22"/>
  <c r="F124" i="22"/>
  <c r="E124" i="22"/>
  <c r="F126" i="22"/>
  <c r="E126" i="22"/>
  <c r="F147" i="22"/>
  <c r="E147" i="22"/>
  <c r="F149" i="22"/>
  <c r="E149" i="22"/>
  <c r="F151" i="22"/>
  <c r="E151" i="22"/>
  <c r="F153" i="22"/>
  <c r="E153" i="22"/>
  <c r="F157" i="22"/>
  <c r="E157" i="22"/>
  <c r="E175" i="22"/>
  <c r="I175" i="22" s="1"/>
  <c r="F175" i="22"/>
  <c r="F176" i="22"/>
  <c r="E176" i="22"/>
  <c r="F178" i="22"/>
  <c r="E178" i="22"/>
  <c r="F504" i="22"/>
  <c r="K504" i="22" s="1"/>
  <c r="G504" i="22"/>
  <c r="G507" i="22"/>
  <c r="F509" i="22"/>
  <c r="K509" i="22" s="1"/>
  <c r="G509" i="22"/>
  <c r="G512" i="22"/>
  <c r="F514" i="22"/>
  <c r="K514" i="22" s="1"/>
  <c r="G514" i="22"/>
  <c r="G517" i="22"/>
  <c r="F519" i="22"/>
  <c r="K519" i="22" s="1"/>
  <c r="G519" i="22"/>
  <c r="I255" i="22"/>
  <c r="J442" i="22"/>
  <c r="H214" i="22"/>
  <c r="H218" i="22"/>
  <c r="E8" i="22"/>
  <c r="E74" i="22"/>
  <c r="I239" i="22"/>
  <c r="H437" i="22"/>
  <c r="F438" i="22"/>
  <c r="Q438" i="22" s="1"/>
  <c r="W438" i="22" s="1"/>
  <c r="F445" i="22"/>
  <c r="Q445" i="22" s="1"/>
  <c r="W445" i="22" s="1"/>
  <c r="F455" i="22"/>
  <c r="Q455" i="22" s="1"/>
  <c r="W455" i="22" s="1"/>
  <c r="F475" i="22"/>
  <c r="F481" i="22"/>
  <c r="F485" i="22"/>
  <c r="K485" i="22" s="1"/>
  <c r="J437" i="22"/>
  <c r="F222" i="22"/>
  <c r="F224" i="22"/>
  <c r="F239" i="22"/>
  <c r="Q239" i="22" s="1"/>
  <c r="W239" i="22" s="1"/>
  <c r="F250" i="22"/>
  <c r="Q250" i="22" s="1"/>
  <c r="W250" i="22" s="1"/>
  <c r="F253" i="22"/>
  <c r="Q253" i="22" s="1"/>
  <c r="W253" i="22" s="1"/>
  <c r="F256" i="22"/>
  <c r="Q256" i="22" s="1"/>
  <c r="W256" i="22" s="1"/>
  <c r="F286" i="22"/>
  <c r="F309" i="22"/>
  <c r="F316" i="22"/>
  <c r="F321" i="22"/>
  <c r="K321" i="22" s="1"/>
  <c r="F341" i="22"/>
  <c r="F351" i="22"/>
  <c r="F356" i="22"/>
  <c r="F374" i="22"/>
  <c r="F379" i="22"/>
  <c r="F389" i="22"/>
  <c r="F422" i="22"/>
  <c r="F437" i="22"/>
  <c r="Q437" i="22" s="1"/>
  <c r="W437" i="22" s="1"/>
  <c r="F449" i="22"/>
  <c r="Q449" i="22" s="1"/>
  <c r="W449" i="22" s="1"/>
  <c r="F469" i="22"/>
  <c r="F477" i="22"/>
  <c r="K477" i="22" s="1"/>
  <c r="F487" i="22"/>
  <c r="K487" i="22" s="1"/>
  <c r="I469" i="22" l="1"/>
  <c r="I501" i="22"/>
  <c r="H111" i="22"/>
  <c r="J484" i="22"/>
  <c r="H181" i="22"/>
  <c r="I153" i="22"/>
  <c r="H153" i="22"/>
  <c r="H378" i="22"/>
  <c r="H253" i="22"/>
  <c r="G126" i="22"/>
  <c r="H388" i="22"/>
  <c r="H387" i="22"/>
  <c r="H254" i="22"/>
  <c r="H354" i="22"/>
  <c r="H320" i="22"/>
  <c r="G188" i="22"/>
  <c r="I353" i="22"/>
  <c r="I319" i="22"/>
  <c r="H353" i="22"/>
  <c r="G121" i="22"/>
  <c r="H250" i="22"/>
  <c r="I383" i="22"/>
  <c r="H316" i="22"/>
  <c r="G219" i="22"/>
  <c r="G218" i="22"/>
  <c r="H350" i="22"/>
  <c r="H481" i="22"/>
  <c r="H513" i="22"/>
  <c r="H383" i="22"/>
  <c r="G184" i="22"/>
  <c r="G217" i="22"/>
  <c r="G84" i="22"/>
  <c r="H476" i="22"/>
  <c r="I378" i="22"/>
  <c r="I345" i="22"/>
  <c r="H311" i="22"/>
  <c r="H244" i="22"/>
  <c r="I311" i="22"/>
  <c r="G83" i="22"/>
  <c r="H245" i="22"/>
  <c r="H345" i="22"/>
  <c r="G214" i="22"/>
  <c r="H312" i="22"/>
  <c r="E115" i="22"/>
  <c r="G117" i="22"/>
  <c r="G213" i="22"/>
  <c r="H340" i="22"/>
  <c r="H374" i="22"/>
  <c r="I307" i="22"/>
  <c r="I340" i="22"/>
  <c r="H341" i="22"/>
  <c r="H306" i="22"/>
  <c r="I374" i="22"/>
  <c r="H307" i="22"/>
  <c r="I306" i="22"/>
  <c r="H241" i="22"/>
  <c r="I341" i="22"/>
  <c r="H339" i="22"/>
  <c r="W28" i="22"/>
  <c r="W11" i="22"/>
  <c r="W22" i="22"/>
  <c r="W10" i="22"/>
  <c r="W26" i="22"/>
  <c r="W16" i="22"/>
  <c r="W20" i="22"/>
  <c r="W18" i="22"/>
  <c r="H246" i="22"/>
  <c r="H379" i="22"/>
  <c r="J306" i="22"/>
  <c r="G91" i="22"/>
  <c r="H91" i="22"/>
  <c r="H255" i="22"/>
  <c r="H405" i="22"/>
  <c r="H422" i="22"/>
  <c r="I305" i="22"/>
  <c r="K107" i="59"/>
  <c r="B130" i="59" s="1"/>
  <c r="I422" i="22"/>
  <c r="G508" i="22"/>
  <c r="G53" i="22"/>
  <c r="J305" i="22"/>
  <c r="K105" i="59"/>
  <c r="B128" i="59" s="1"/>
  <c r="AD439" i="22"/>
  <c r="K98" i="59"/>
  <c r="B121" i="59" s="1"/>
  <c r="H508" i="22"/>
  <c r="H45" i="22"/>
  <c r="I381" i="22"/>
  <c r="G76" i="22"/>
  <c r="F405" i="22"/>
  <c r="K405" i="22" s="1"/>
  <c r="J319" i="22"/>
  <c r="G46" i="22"/>
  <c r="G476" i="22"/>
  <c r="G51" i="22"/>
  <c r="J315" i="22"/>
  <c r="G516" i="22"/>
  <c r="G191" i="22"/>
  <c r="C120" i="59"/>
  <c r="D120" i="59" s="1"/>
  <c r="K101" i="59"/>
  <c r="B124" i="59" s="1"/>
  <c r="D127" i="59"/>
  <c r="F377" i="22"/>
  <c r="H389" i="22"/>
  <c r="H516" i="22"/>
  <c r="H506" i="22"/>
  <c r="I348" i="22"/>
  <c r="F411" i="22"/>
  <c r="K411" i="22" s="1"/>
  <c r="F319" i="22"/>
  <c r="J304" i="22"/>
  <c r="I157" i="22"/>
  <c r="J316" i="22"/>
  <c r="F421" i="22"/>
  <c r="F288" i="22"/>
  <c r="K288" i="22" s="1"/>
  <c r="G60" i="22"/>
  <c r="G59" i="22"/>
  <c r="G44" i="22"/>
  <c r="J320" i="22"/>
  <c r="J307" i="22"/>
  <c r="G56" i="22"/>
  <c r="G224" i="22"/>
  <c r="H10" i="22"/>
  <c r="G109" i="22"/>
  <c r="H87" i="22"/>
  <c r="F346" i="22"/>
  <c r="H154" i="22"/>
  <c r="H112" i="22"/>
  <c r="H127" i="22"/>
  <c r="H110" i="22"/>
  <c r="H469" i="22"/>
  <c r="I315" i="22"/>
  <c r="H117" i="22"/>
  <c r="H149" i="22"/>
  <c r="H179" i="22"/>
  <c r="G112" i="22"/>
  <c r="H27" i="22"/>
  <c r="D122" i="59"/>
  <c r="A122" i="59" s="1"/>
  <c r="G79" i="22"/>
  <c r="G186" i="22"/>
  <c r="F507" i="22"/>
  <c r="K507" i="22" s="1"/>
  <c r="AD254" i="22"/>
  <c r="Q254" i="22"/>
  <c r="W254" i="22" s="1"/>
  <c r="H256" i="22"/>
  <c r="O238" i="22"/>
  <c r="U238" i="22" s="1"/>
  <c r="Q435" i="22"/>
  <c r="W435" i="22" s="1"/>
  <c r="AD435" i="22"/>
  <c r="AD454" i="22"/>
  <c r="Q454" i="22"/>
  <c r="W454" i="22" s="1"/>
  <c r="AD442" i="22"/>
  <c r="Q442" i="22"/>
  <c r="W442" i="22" s="1"/>
  <c r="AD448" i="22"/>
  <c r="Q448" i="22"/>
  <c r="W448" i="22" s="1"/>
  <c r="AD447" i="22"/>
  <c r="Q447" i="22"/>
  <c r="W447" i="22" s="1"/>
  <c r="AC8" i="22"/>
  <c r="Q8" i="22"/>
  <c r="AD249" i="22"/>
  <c r="Q249" i="22"/>
  <c r="W249" i="22" s="1"/>
  <c r="F240" i="22"/>
  <c r="O240" i="22"/>
  <c r="U240" i="22" s="1"/>
  <c r="G449" i="22"/>
  <c r="O450" i="22"/>
  <c r="U450" i="22" s="1"/>
  <c r="AC17" i="22"/>
  <c r="Q17" i="22"/>
  <c r="H54" i="22"/>
  <c r="G174" i="22"/>
  <c r="H16" i="22"/>
  <c r="H152" i="22"/>
  <c r="H122" i="22"/>
  <c r="I316" i="22"/>
  <c r="H61" i="22"/>
  <c r="K439" i="22"/>
  <c r="G115" i="22"/>
  <c r="H93" i="22"/>
  <c r="H13" i="22"/>
  <c r="H11" i="22"/>
  <c r="H249" i="22"/>
  <c r="H239" i="22"/>
  <c r="F474" i="22"/>
  <c r="I350" i="22"/>
  <c r="I379" i="22"/>
  <c r="H338" i="22"/>
  <c r="O453" i="22"/>
  <c r="U453" i="22" s="1"/>
  <c r="H23" i="22"/>
  <c r="F479" i="22"/>
  <c r="K479" i="22" s="1"/>
  <c r="F417" i="22"/>
  <c r="K417" i="22" s="1"/>
  <c r="F281" i="22"/>
  <c r="H304" i="22"/>
  <c r="H109" i="22"/>
  <c r="F470" i="22"/>
  <c r="K470" i="22" s="1"/>
  <c r="H121" i="22"/>
  <c r="H60" i="22"/>
  <c r="H46" i="22"/>
  <c r="F517" i="22"/>
  <c r="K517" i="22" s="1"/>
  <c r="F512" i="22"/>
  <c r="K512" i="22" s="1"/>
  <c r="H142" i="22"/>
  <c r="H59" i="22"/>
  <c r="J474" i="22"/>
  <c r="I320" i="22"/>
  <c r="I317" i="22"/>
  <c r="H238" i="22"/>
  <c r="F238" i="22"/>
  <c r="Q238" i="22" s="1"/>
  <c r="W238" i="22" s="1"/>
  <c r="H126" i="22"/>
  <c r="H58" i="22"/>
  <c r="H189" i="22"/>
  <c r="G127" i="22"/>
  <c r="G110" i="22"/>
  <c r="H79" i="22"/>
  <c r="H76" i="22"/>
  <c r="H315" i="22"/>
  <c r="I372" i="22"/>
  <c r="G173" i="22"/>
  <c r="G179" i="22"/>
  <c r="H185" i="22"/>
  <c r="H173" i="22"/>
  <c r="H184" i="22"/>
  <c r="G481" i="22"/>
  <c r="J481" i="22"/>
  <c r="G92" i="22"/>
  <c r="G190" i="22"/>
  <c r="G125" i="22"/>
  <c r="G222" i="22"/>
  <c r="G58" i="22"/>
  <c r="J309" i="22"/>
  <c r="H381" i="22"/>
  <c r="J513" i="22"/>
  <c r="H348" i="22"/>
  <c r="H314" i="22"/>
  <c r="H248" i="22"/>
  <c r="G50" i="22"/>
  <c r="H371" i="22"/>
  <c r="H51" i="22"/>
  <c r="H44" i="22"/>
  <c r="H56" i="22"/>
  <c r="H49" i="22"/>
  <c r="H18" i="22"/>
  <c r="H21" i="22"/>
  <c r="H25" i="22"/>
  <c r="G93" i="22"/>
  <c r="H120" i="22"/>
  <c r="J311" i="22"/>
  <c r="D121" i="59"/>
  <c r="A121" i="59" s="1"/>
  <c r="D126" i="59"/>
  <c r="A126" i="59" s="1"/>
  <c r="D133" i="59"/>
  <c r="A133" i="59" s="1"/>
  <c r="D128" i="59"/>
  <c r="A128" i="59" s="1"/>
  <c r="D118" i="59"/>
  <c r="A118" i="59" s="1"/>
  <c r="H158" i="22"/>
  <c r="H141" i="22"/>
  <c r="F304" i="22"/>
  <c r="H157" i="22"/>
  <c r="H147" i="22"/>
  <c r="H124" i="22"/>
  <c r="K111" i="59"/>
  <c r="B134" i="59" s="1"/>
  <c r="K103" i="59"/>
  <c r="B126" i="59" s="1"/>
  <c r="K99" i="59"/>
  <c r="B122" i="59" s="1"/>
  <c r="G54" i="22"/>
  <c r="G61" i="22"/>
  <c r="G55" i="22"/>
  <c r="G49" i="22"/>
  <c r="G43" i="22"/>
  <c r="H28" i="22"/>
  <c r="H26" i="22"/>
  <c r="H22" i="22"/>
  <c r="H20" i="22"/>
  <c r="J317" i="22"/>
  <c r="J312" i="22"/>
  <c r="F282" i="22"/>
  <c r="K282" i="22" s="1"/>
  <c r="G206" i="22"/>
  <c r="G48" i="22"/>
  <c r="F453" i="22"/>
  <c r="Q453" i="22" s="1"/>
  <c r="W453" i="22" s="1"/>
  <c r="F287" i="22"/>
  <c r="I349" i="22"/>
  <c r="H125" i="22"/>
  <c r="H116" i="22"/>
  <c r="H382" i="22"/>
  <c r="F322" i="22"/>
  <c r="K322" i="22" s="1"/>
  <c r="H349" i="22"/>
  <c r="F310" i="22"/>
  <c r="I339" i="22"/>
  <c r="I371" i="22"/>
  <c r="I384" i="22"/>
  <c r="I354" i="22"/>
  <c r="I314" i="22"/>
  <c r="I382" i="22"/>
  <c r="H17" i="22"/>
  <c r="I338" i="22"/>
  <c r="H188" i="22"/>
  <c r="H84" i="22"/>
  <c r="I346" i="22"/>
  <c r="H178" i="22"/>
  <c r="K454" i="22"/>
  <c r="G81" i="22"/>
  <c r="H376" i="22"/>
  <c r="H83" i="22"/>
  <c r="H183" i="22"/>
  <c r="H180" i="22"/>
  <c r="H174" i="22"/>
  <c r="H190" i="22"/>
  <c r="H92" i="22"/>
  <c r="I351" i="22"/>
  <c r="G124" i="22"/>
  <c r="H148" i="22"/>
  <c r="H53" i="22"/>
  <c r="H151" i="22"/>
  <c r="H146" i="22"/>
  <c r="H156" i="22"/>
  <c r="H48" i="22"/>
  <c r="J476" i="22"/>
  <c r="H251" i="22"/>
  <c r="B279" i="22"/>
  <c r="G279" i="22" s="1"/>
  <c r="E279" i="22"/>
  <c r="J279" i="22" s="1"/>
  <c r="C279" i="22"/>
  <c r="H279" i="22" s="1"/>
  <c r="H384" i="22"/>
  <c r="I312" i="22"/>
  <c r="I304" i="22"/>
  <c r="H351" i="22"/>
  <c r="H317" i="22"/>
  <c r="K95" i="59"/>
  <c r="B118" i="59" s="1"/>
  <c r="G122" i="22"/>
  <c r="H15" i="22"/>
  <c r="H144" i="22"/>
  <c r="I144" i="22"/>
  <c r="K109" i="59"/>
  <c r="B132" i="59" s="1"/>
  <c r="K97" i="59"/>
  <c r="B120" i="59" s="1"/>
  <c r="H12" i="22"/>
  <c r="I143" i="22"/>
  <c r="E43" i="22"/>
  <c r="G45" i="22"/>
  <c r="H81" i="22"/>
  <c r="H114" i="22"/>
  <c r="H86" i="22"/>
  <c r="H43" i="22"/>
  <c r="H143" i="22"/>
  <c r="G86" i="22"/>
  <c r="H115" i="22"/>
  <c r="AB15" i="22"/>
  <c r="E15" i="22"/>
  <c r="AB23" i="22"/>
  <c r="E23" i="22"/>
  <c r="AB27" i="22"/>
  <c r="E27" i="22"/>
  <c r="E51" i="22"/>
  <c r="H55" i="22"/>
  <c r="G89" i="22"/>
  <c r="E89" i="22"/>
  <c r="I89" i="22" s="1"/>
  <c r="G185" i="22"/>
  <c r="E185" i="22"/>
  <c r="H191" i="22"/>
  <c r="E191" i="22"/>
  <c r="H243" i="22"/>
  <c r="AA238" i="22"/>
  <c r="I279" i="22"/>
  <c r="I289" i="22"/>
  <c r="F289" i="22"/>
  <c r="I355" i="22"/>
  <c r="F355" i="22"/>
  <c r="K355" i="22" s="1"/>
  <c r="H377" i="22"/>
  <c r="H372" i="22"/>
  <c r="I388" i="22"/>
  <c r="F388" i="22"/>
  <c r="I408" i="22"/>
  <c r="F408" i="22"/>
  <c r="K408" i="22" s="1"/>
  <c r="AB450" i="22"/>
  <c r="I450" i="22"/>
  <c r="AB453" i="22"/>
  <c r="I453" i="22"/>
  <c r="G469" i="22"/>
  <c r="G470" i="22"/>
  <c r="G475" i="22"/>
  <c r="H507" i="22"/>
  <c r="H501" i="22"/>
  <c r="G513" i="22"/>
  <c r="F513" i="22"/>
  <c r="F476" i="22"/>
  <c r="G116" i="22"/>
  <c r="AB13" i="22"/>
  <c r="E13" i="22"/>
  <c r="Q13" i="22" s="1"/>
  <c r="AB21" i="22"/>
  <c r="E21" i="22"/>
  <c r="AB25" i="22"/>
  <c r="E25" i="22"/>
  <c r="G78" i="22"/>
  <c r="E78" i="22"/>
  <c r="I78" i="22" s="1"/>
  <c r="G87" i="22"/>
  <c r="E87" i="22"/>
  <c r="H119" i="22"/>
  <c r="E119" i="22"/>
  <c r="G183" i="22"/>
  <c r="E183" i="22"/>
  <c r="G189" i="22"/>
  <c r="E189" i="22"/>
  <c r="G209" i="22"/>
  <c r="E209" i="22"/>
  <c r="I211" i="22" s="1"/>
  <c r="G207" i="22"/>
  <c r="H240" i="22"/>
  <c r="AA240" i="22"/>
  <c r="F284" i="22"/>
  <c r="I343" i="22"/>
  <c r="F343" i="22"/>
  <c r="I440" i="22"/>
  <c r="F440" i="22"/>
  <c r="Q440" i="22" s="1"/>
  <c r="W440" i="22" s="1"/>
  <c r="AB440" i="22"/>
  <c r="Z450" i="22"/>
  <c r="G437" i="22"/>
  <c r="G452" i="22"/>
  <c r="F450" i="22"/>
  <c r="Q450" i="22" s="1"/>
  <c r="W450" i="22" s="1"/>
  <c r="G444" i="22"/>
  <c r="G442" i="22"/>
  <c r="G443" i="22"/>
  <c r="G450" i="22"/>
  <c r="Z453" i="22"/>
  <c r="G453" i="22"/>
  <c r="G472" i="22"/>
  <c r="F472" i="22"/>
  <c r="K472" i="22" s="1"/>
  <c r="G480" i="22"/>
  <c r="F480" i="22"/>
  <c r="K480" i="22" s="1"/>
  <c r="G484" i="22"/>
  <c r="F484" i="22"/>
  <c r="G486" i="22"/>
  <c r="F486" i="22"/>
  <c r="K486" i="22" s="1"/>
  <c r="F508" i="22"/>
  <c r="G501" i="22"/>
  <c r="G518" i="22"/>
  <c r="F518" i="22"/>
  <c r="K518" i="22" s="1"/>
  <c r="J507" i="22"/>
  <c r="J506" i="22"/>
  <c r="J508" i="22"/>
  <c r="J501" i="22"/>
  <c r="J516" i="22"/>
  <c r="G474" i="22"/>
  <c r="F317" i="22"/>
  <c r="J469" i="22"/>
  <c r="G178" i="22"/>
  <c r="G506" i="22"/>
  <c r="I146" i="22"/>
  <c r="K110" i="59"/>
  <c r="B133" i="59" s="1"/>
  <c r="I151" i="22"/>
  <c r="I156" i="22"/>
  <c r="I148" i="22"/>
  <c r="I149" i="22"/>
  <c r="I147" i="22"/>
  <c r="I154" i="22"/>
  <c r="I158" i="22"/>
  <c r="I152" i="22"/>
  <c r="AD437" i="22"/>
  <c r="AD239" i="22"/>
  <c r="K445" i="22"/>
  <c r="AD445" i="22"/>
  <c r="AC28" i="22"/>
  <c r="AC22" i="22"/>
  <c r="AC18" i="22"/>
  <c r="AD452" i="22"/>
  <c r="AD244" i="22"/>
  <c r="K108" i="59"/>
  <c r="B131" i="59" s="1"/>
  <c r="K104" i="59"/>
  <c r="B127" i="59" s="1"/>
  <c r="K100" i="59"/>
  <c r="B123" i="59" s="1"/>
  <c r="AD253" i="22"/>
  <c r="AD449" i="22"/>
  <c r="AD256" i="22"/>
  <c r="AD250" i="22"/>
  <c r="K455" i="22"/>
  <c r="AD455" i="22"/>
  <c r="K438" i="22"/>
  <c r="AD438" i="22"/>
  <c r="AC26" i="22"/>
  <c r="AC20" i="22"/>
  <c r="AC11" i="22"/>
  <c r="AD443" i="22"/>
  <c r="AD246" i="22"/>
  <c r="K112" i="59"/>
  <c r="B135" i="59" s="1"/>
  <c r="K106" i="59"/>
  <c r="B129" i="59" s="1"/>
  <c r="K102" i="59"/>
  <c r="B125" i="59" s="1"/>
  <c r="I141" i="22"/>
  <c r="I142" i="22"/>
  <c r="AC16" i="22"/>
  <c r="AC10" i="22"/>
  <c r="I176" i="22"/>
  <c r="I111" i="22" l="1"/>
  <c r="K484" i="22"/>
  <c r="I181" i="22"/>
  <c r="I116" i="22"/>
  <c r="W17" i="22"/>
  <c r="W13" i="22"/>
  <c r="W8" i="22"/>
  <c r="K384" i="22"/>
  <c r="K356" i="22"/>
  <c r="I59" i="22"/>
  <c r="K306" i="22"/>
  <c r="I213" i="22"/>
  <c r="K244" i="22"/>
  <c r="K239" i="22"/>
  <c r="I87" i="22"/>
  <c r="K255" i="22"/>
  <c r="K243" i="22"/>
  <c r="K381" i="22"/>
  <c r="K374" i="22"/>
  <c r="K340" i="22"/>
  <c r="K251" i="22"/>
  <c r="AD238" i="22"/>
  <c r="K250" i="22"/>
  <c r="AD453" i="22"/>
  <c r="I189" i="22"/>
  <c r="K421" i="22"/>
  <c r="K422" i="22"/>
  <c r="I93" i="22"/>
  <c r="I60" i="22"/>
  <c r="I51" i="22"/>
  <c r="K240" i="22"/>
  <c r="I92" i="22"/>
  <c r="K249" i="22"/>
  <c r="K254" i="22"/>
  <c r="K241" i="22"/>
  <c r="K238" i="22"/>
  <c r="K246" i="22"/>
  <c r="K256" i="22"/>
  <c r="K253" i="22"/>
  <c r="K453" i="22"/>
  <c r="K245" i="22"/>
  <c r="K248" i="22"/>
  <c r="K309" i="22"/>
  <c r="I190" i="22"/>
  <c r="I186" i="22"/>
  <c r="I109" i="22"/>
  <c r="K383" i="22"/>
  <c r="K387" i="22"/>
  <c r="K379" i="22"/>
  <c r="I173" i="22"/>
  <c r="K389" i="22"/>
  <c r="I223" i="22"/>
  <c r="AC25" i="22"/>
  <c r="Q25" i="22"/>
  <c r="AC21" i="22"/>
  <c r="Q21" i="22"/>
  <c r="AC27" i="22"/>
  <c r="Q27" i="22"/>
  <c r="AC23" i="22"/>
  <c r="Q23" i="22"/>
  <c r="AC15" i="22"/>
  <c r="Q15" i="22"/>
  <c r="AD240" i="22"/>
  <c r="Q240" i="22"/>
  <c r="W240" i="22" s="1"/>
  <c r="K449" i="22"/>
  <c r="I125" i="22"/>
  <c r="I126" i="22"/>
  <c r="I48" i="22"/>
  <c r="I54" i="22"/>
  <c r="I56" i="22"/>
  <c r="K350" i="22"/>
  <c r="K382" i="22"/>
  <c r="K386" i="22"/>
  <c r="K481" i="22"/>
  <c r="I120" i="22"/>
  <c r="K513" i="22"/>
  <c r="I191" i="22"/>
  <c r="K378" i="22"/>
  <c r="K376" i="22"/>
  <c r="K353" i="22"/>
  <c r="K351" i="22"/>
  <c r="K320" i="22"/>
  <c r="I46" i="22"/>
  <c r="I43" i="22"/>
  <c r="I49" i="22"/>
  <c r="I50" i="22"/>
  <c r="I44" i="22"/>
  <c r="I53" i="22"/>
  <c r="D130" i="59"/>
  <c r="A130" i="59" s="1"/>
  <c r="A120" i="59"/>
  <c r="D135" i="59"/>
  <c r="A135" i="59" s="1"/>
  <c r="D124" i="59"/>
  <c r="A124" i="59" s="1"/>
  <c r="I61" i="22"/>
  <c r="I55" i="22"/>
  <c r="I58" i="22"/>
  <c r="D129" i="59"/>
  <c r="A129" i="59" s="1"/>
  <c r="D131" i="59"/>
  <c r="A131" i="59" s="1"/>
  <c r="D125" i="59"/>
  <c r="A125" i="59" s="1"/>
  <c r="A127" i="59"/>
  <c r="D123" i="59"/>
  <c r="A123" i="59" s="1"/>
  <c r="D132" i="59"/>
  <c r="A132" i="59" s="1"/>
  <c r="D134" i="59"/>
  <c r="A134" i="59" s="1"/>
  <c r="K442" i="22"/>
  <c r="I28" i="22"/>
  <c r="K474" i="22"/>
  <c r="I115" i="22"/>
  <c r="K452" i="22"/>
  <c r="I22" i="22"/>
  <c r="I174" i="22"/>
  <c r="I26" i="22"/>
  <c r="I185" i="22"/>
  <c r="I84" i="22"/>
  <c r="I184" i="22"/>
  <c r="I188" i="22"/>
  <c r="I23" i="22"/>
  <c r="I91" i="22"/>
  <c r="I124" i="22"/>
  <c r="I79" i="22"/>
  <c r="I10" i="22"/>
  <c r="I16" i="22"/>
  <c r="I206" i="22"/>
  <c r="I20" i="22"/>
  <c r="I222" i="22"/>
  <c r="I224" i="22"/>
  <c r="K437" i="22"/>
  <c r="F279" i="22"/>
  <c r="K279" i="22" s="1"/>
  <c r="B278" i="22"/>
  <c r="D278" i="22"/>
  <c r="I278" i="22" s="1"/>
  <c r="C278" i="22"/>
  <c r="H278" i="22" s="1"/>
  <c r="E278" i="22"/>
  <c r="E277" i="22"/>
  <c r="B277" i="22"/>
  <c r="D277" i="22"/>
  <c r="I277" i="22" s="1"/>
  <c r="C277" i="22"/>
  <c r="H277" i="22" s="1"/>
  <c r="K316" i="22"/>
  <c r="K319" i="22"/>
  <c r="K388" i="22"/>
  <c r="K444" i="22"/>
  <c r="K310" i="22"/>
  <c r="I218" i="22"/>
  <c r="I25" i="22"/>
  <c r="K371" i="22"/>
  <c r="K377" i="22"/>
  <c r="I86" i="22"/>
  <c r="J475" i="22"/>
  <c r="J314" i="22"/>
  <c r="J310" i="22"/>
  <c r="K469" i="22"/>
  <c r="K315" i="22"/>
  <c r="K348" i="22"/>
  <c r="K339" i="22"/>
  <c r="K311" i="22"/>
  <c r="I15" i="22"/>
  <c r="I180" i="22"/>
  <c r="I13" i="22"/>
  <c r="I112" i="22"/>
  <c r="I27" i="22"/>
  <c r="I122" i="22"/>
  <c r="I121" i="22"/>
  <c r="K475" i="22"/>
  <c r="I207" i="22"/>
  <c r="K443" i="22"/>
  <c r="I11" i="22"/>
  <c r="I179" i="22"/>
  <c r="K312" i="22"/>
  <c r="K307" i="22"/>
  <c r="K317" i="22"/>
  <c r="K304" i="22"/>
  <c r="I18" i="22"/>
  <c r="I214" i="22"/>
  <c r="I217" i="22"/>
  <c r="I21" i="22"/>
  <c r="I110" i="22"/>
  <c r="I117" i="22"/>
  <c r="K372" i="22"/>
  <c r="I219" i="22"/>
  <c r="K344" i="22"/>
  <c r="K305" i="22"/>
  <c r="K349" i="22"/>
  <c r="K343" i="22"/>
  <c r="K508" i="22"/>
  <c r="I183" i="22"/>
  <c r="K476" i="22"/>
  <c r="AC13" i="22"/>
  <c r="I12" i="22"/>
  <c r="I45" i="22"/>
  <c r="K373" i="22"/>
  <c r="K354" i="22"/>
  <c r="K506" i="22"/>
  <c r="K341" i="22"/>
  <c r="K314" i="22"/>
  <c r="K516" i="22"/>
  <c r="K501" i="22"/>
  <c r="I76" i="22"/>
  <c r="K346" i="22"/>
  <c r="I114" i="22"/>
  <c r="I209" i="22"/>
  <c r="K338" i="22"/>
  <c r="K345" i="22"/>
  <c r="I83" i="22"/>
  <c r="I17" i="22"/>
  <c r="I178" i="22"/>
  <c r="I81" i="22"/>
  <c r="AD450" i="22"/>
  <c r="K450" i="22"/>
  <c r="K440" i="22"/>
  <c r="AD440" i="22"/>
  <c r="I119" i="22"/>
  <c r="I127" i="22"/>
  <c r="G19" i="66"/>
  <c r="K22" i="66"/>
  <c r="G12" i="66"/>
  <c r="O27" i="66"/>
  <c r="K42" i="66"/>
  <c r="F14" i="66"/>
  <c r="D17" i="66"/>
  <c r="P49" i="66"/>
  <c r="S12" i="66"/>
  <c r="F49" i="66"/>
  <c r="M42" i="66"/>
  <c r="N39" i="66"/>
  <c r="T53" i="66"/>
  <c r="H27" i="66"/>
  <c r="H20" i="66"/>
  <c r="D47" i="66"/>
  <c r="S18" i="66"/>
  <c r="L49" i="66"/>
  <c r="G31" i="66"/>
  <c r="J42" i="66"/>
  <c r="P46" i="66"/>
  <c r="I54" i="66"/>
  <c r="M33" i="66"/>
  <c r="K16" i="66"/>
  <c r="I14" i="66"/>
  <c r="D42" i="66"/>
  <c r="S43" i="66"/>
  <c r="L41" i="66"/>
  <c r="E50" i="66"/>
  <c r="H17" i="66"/>
  <c r="E16" i="66"/>
  <c r="O44" i="66"/>
  <c r="Q42" i="66"/>
  <c r="E17" i="66"/>
  <c r="M51" i="66"/>
  <c r="N47" i="66"/>
  <c r="P33" i="66"/>
  <c r="I52" i="66"/>
  <c r="R16" i="66"/>
  <c r="Q47" i="66"/>
  <c r="J35" i="66"/>
  <c r="P13" i="66"/>
  <c r="M8" i="66"/>
  <c r="H45" i="66"/>
  <c r="J17" i="66"/>
  <c r="M45" i="66"/>
  <c r="D43" i="66"/>
  <c r="I19" i="66"/>
  <c r="P29" i="66"/>
  <c r="P28" i="66"/>
  <c r="S31" i="66"/>
  <c r="H47" i="66"/>
  <c r="H48" i="66"/>
  <c r="N33" i="66"/>
  <c r="R44" i="66"/>
  <c r="H50" i="66"/>
  <c r="L33" i="66"/>
  <c r="H30" i="66"/>
  <c r="L37" i="66"/>
  <c r="P20" i="66"/>
  <c r="R35" i="66"/>
  <c r="M43" i="66"/>
  <c r="Q43" i="66"/>
  <c r="D33" i="66"/>
  <c r="S21" i="66"/>
  <c r="K54" i="66"/>
  <c r="L12" i="66"/>
  <c r="P38" i="66"/>
  <c r="K9" i="66"/>
  <c r="D19" i="66"/>
  <c r="E21" i="66"/>
  <c r="S16" i="66"/>
  <c r="N11" i="66"/>
  <c r="T31" i="66"/>
  <c r="Q28" i="66"/>
  <c r="S29" i="66"/>
  <c r="F53" i="66"/>
  <c r="Q49" i="66"/>
  <c r="D53" i="66"/>
  <c r="P30" i="66"/>
  <c r="E29" i="66"/>
  <c r="Q10" i="66"/>
  <c r="L11" i="66"/>
  <c r="I47" i="66"/>
  <c r="F42" i="66"/>
  <c r="M52" i="66"/>
  <c r="F8" i="66"/>
  <c r="S13" i="66"/>
  <c r="O47" i="66"/>
  <c r="Q39" i="66"/>
  <c r="F38" i="66"/>
  <c r="T34" i="66"/>
  <c r="F33" i="66"/>
  <c r="Q12" i="66"/>
  <c r="I13" i="66"/>
  <c r="I39" i="66"/>
  <c r="H13" i="66"/>
  <c r="S34" i="66"/>
  <c r="L17" i="66"/>
  <c r="T48" i="66"/>
  <c r="J18" i="66"/>
  <c r="Q40" i="66"/>
  <c r="I21" i="66"/>
  <c r="T5" i="66"/>
  <c r="H41" i="66"/>
  <c r="G18" i="66"/>
  <c r="D30" i="66"/>
  <c r="L38" i="66"/>
  <c r="H22" i="66"/>
  <c r="N52" i="66"/>
  <c r="J5" i="66"/>
  <c r="F40" i="66"/>
  <c r="K33" i="66"/>
  <c r="F30" i="66"/>
  <c r="T33" i="66"/>
  <c r="P8" i="66"/>
  <c r="R20" i="66"/>
  <c r="Q14" i="66"/>
  <c r="R43" i="66"/>
  <c r="F13" i="66"/>
  <c r="R10" i="66"/>
  <c r="O31" i="66"/>
  <c r="G54" i="66"/>
  <c r="D48" i="66"/>
  <c r="T38" i="66"/>
  <c r="K39" i="66"/>
  <c r="Q48" i="66"/>
  <c r="P47" i="66"/>
  <c r="E39" i="66"/>
  <c r="S5" i="66"/>
  <c r="I48" i="66"/>
  <c r="E31" i="66"/>
  <c r="S38" i="66"/>
  <c r="R46" i="66"/>
  <c r="D31" i="66"/>
  <c r="L13" i="66"/>
  <c r="H38" i="66"/>
  <c r="M19" i="66"/>
  <c r="Q37" i="66"/>
  <c r="M48" i="66"/>
  <c r="E35" i="66"/>
  <c r="F11" i="66"/>
  <c r="F43" i="66"/>
  <c r="G43" i="66"/>
  <c r="T54" i="66"/>
  <c r="N51" i="66"/>
  <c r="H33" i="66"/>
  <c r="P17" i="66"/>
  <c r="G30" i="66"/>
  <c r="J44" i="66"/>
  <c r="K45" i="66"/>
  <c r="E47" i="66"/>
  <c r="P50" i="66"/>
  <c r="D45" i="66"/>
  <c r="H44" i="66"/>
  <c r="T47" i="66"/>
  <c r="H54" i="66"/>
  <c r="O13" i="66"/>
  <c r="L14" i="66"/>
  <c r="M13" i="66"/>
  <c r="H40" i="66"/>
  <c r="P45" i="66"/>
  <c r="L51" i="66"/>
  <c r="T11" i="66"/>
  <c r="J53" i="66"/>
  <c r="I46" i="66"/>
  <c r="O40" i="66"/>
  <c r="K30" i="66"/>
  <c r="I41" i="66"/>
  <c r="K49" i="66"/>
  <c r="S33" i="66"/>
  <c r="Q54" i="66"/>
  <c r="S8" i="66"/>
  <c r="K47" i="66"/>
  <c r="J50" i="66"/>
  <c r="G48" i="66"/>
  <c r="P10" i="66"/>
  <c r="N42" i="66"/>
  <c r="K21" i="66"/>
  <c r="T46" i="66"/>
  <c r="T27" i="66"/>
  <c r="L54" i="66"/>
  <c r="J54" i="66"/>
  <c r="J27" i="66"/>
  <c r="O16" i="66"/>
  <c r="O51" i="66"/>
  <c r="R5" i="66"/>
  <c r="E49" i="66"/>
  <c r="T39" i="66"/>
  <c r="L48" i="66"/>
  <c r="S11" i="66"/>
  <c r="N14" i="66"/>
  <c r="M30" i="66"/>
  <c r="J46" i="66"/>
  <c r="I44" i="66"/>
  <c r="O42" i="66"/>
  <c r="J33" i="66"/>
  <c r="T43" i="66"/>
  <c r="M11" i="66"/>
  <c r="R11" i="66"/>
  <c r="O46" i="66"/>
  <c r="M39" i="66"/>
  <c r="T40" i="66"/>
  <c r="D22" i="66"/>
  <c r="N53" i="66"/>
  <c r="N38" i="66"/>
  <c r="G37" i="66"/>
  <c r="Q11" i="66"/>
  <c r="M40" i="66"/>
  <c r="P12" i="66"/>
  <c r="S9" i="66"/>
  <c r="L52" i="66"/>
  <c r="O48" i="66"/>
  <c r="E40" i="66"/>
  <c r="G51" i="66"/>
  <c r="O20" i="66"/>
  <c r="T8" i="66"/>
  <c r="L35" i="66"/>
  <c r="M34" i="66"/>
  <c r="H51" i="66"/>
  <c r="N20" i="66"/>
  <c r="G10" i="66"/>
  <c r="Q53" i="66"/>
  <c r="L9" i="66"/>
  <c r="H37" i="66"/>
  <c r="O22" i="66"/>
  <c r="I28" i="66"/>
  <c r="M38" i="66"/>
  <c r="M54" i="66"/>
  <c r="N5" i="66"/>
  <c r="J45" i="66"/>
  <c r="N37" i="66"/>
  <c r="R9" i="66"/>
  <c r="E52" i="66"/>
  <c r="S46" i="66"/>
  <c r="D28" i="66"/>
  <c r="E19" i="66"/>
  <c r="R45" i="66"/>
  <c r="O52" i="66"/>
  <c r="L21" i="66"/>
  <c r="L30" i="66"/>
  <c r="O54" i="66"/>
  <c r="S42" i="66"/>
  <c r="G14" i="66"/>
  <c r="F18" i="66"/>
  <c r="D21" i="66"/>
  <c r="L31" i="66"/>
  <c r="Q34" i="66"/>
  <c r="R22" i="66"/>
  <c r="I53" i="66"/>
  <c r="E9" i="66"/>
  <c r="N50" i="66"/>
  <c r="O37" i="66"/>
  <c r="P22" i="66"/>
  <c r="S20" i="66"/>
  <c r="P21" i="66"/>
  <c r="S40" i="66"/>
  <c r="T41" i="66"/>
  <c r="N13" i="66"/>
  <c r="N9" i="66"/>
  <c r="S44" i="66"/>
  <c r="G50" i="66"/>
  <c r="T42" i="66"/>
  <c r="J14" i="66"/>
  <c r="M12" i="66"/>
  <c r="S52" i="66"/>
  <c r="Q51" i="66"/>
  <c r="K40" i="66"/>
  <c r="D52" i="66"/>
  <c r="N44" i="66"/>
  <c r="J39" i="66"/>
  <c r="O14" i="66"/>
  <c r="O53" i="66"/>
  <c r="O43" i="66"/>
  <c r="T37" i="66"/>
  <c r="J21" i="66"/>
  <c r="F46" i="66"/>
  <c r="Q13" i="66"/>
  <c r="G46" i="66"/>
  <c r="J12" i="66"/>
  <c r="I9" i="66"/>
  <c r="I17" i="66"/>
  <c r="S53" i="66"/>
  <c r="R53" i="66"/>
  <c r="E44" i="66"/>
  <c r="O28" i="66"/>
  <c r="G29" i="66"/>
  <c r="H49" i="66"/>
  <c r="Q30" i="66"/>
  <c r="P18" i="66"/>
  <c r="N49" i="66"/>
  <c r="F19" i="66"/>
  <c r="E14" i="66"/>
  <c r="Q33" i="66"/>
  <c r="F52" i="66"/>
  <c r="T18" i="66"/>
  <c r="T21" i="66"/>
  <c r="L20" i="66"/>
  <c r="L28" i="66"/>
  <c r="L42" i="66"/>
  <c r="S51" i="66"/>
  <c r="H12" i="66"/>
  <c r="M44" i="66"/>
  <c r="G34" i="66"/>
  <c r="K43" i="66"/>
  <c r="P41" i="66"/>
  <c r="K31" i="66"/>
  <c r="T49" i="66"/>
  <c r="S19" i="66"/>
  <c r="F12" i="66"/>
  <c r="L44" i="66"/>
  <c r="P27" i="66"/>
  <c r="J19" i="66"/>
  <c r="O38" i="66"/>
  <c r="I30" i="66"/>
  <c r="E12" i="66"/>
  <c r="O33" i="66"/>
  <c r="Q38" i="66"/>
  <c r="F21" i="66"/>
  <c r="I37" i="66"/>
  <c r="E38" i="66"/>
  <c r="D38" i="66"/>
  <c r="I12" i="66"/>
  <c r="L8" i="66"/>
  <c r="O12" i="66"/>
  <c r="M28" i="66"/>
  <c r="G47" i="66"/>
  <c r="H5" i="66"/>
  <c r="D5" i="66"/>
  <c r="F31" i="66"/>
  <c r="Q44" i="66"/>
  <c r="S28" i="66"/>
  <c r="O29" i="66"/>
  <c r="N35" i="66"/>
  <c r="I38" i="66"/>
  <c r="O30" i="66"/>
  <c r="D14" i="66"/>
  <c r="T13" i="66"/>
  <c r="Q50" i="66"/>
  <c r="G16" i="66"/>
  <c r="E13" i="66"/>
  <c r="E18" i="66"/>
  <c r="P37" i="66"/>
  <c r="N43" i="66"/>
  <c r="Q5" i="66"/>
  <c r="O8" i="66"/>
  <c r="K18" i="66"/>
  <c r="M5" i="66"/>
  <c r="N19" i="66"/>
  <c r="D27" i="66"/>
  <c r="D18" i="66"/>
  <c r="F9" i="66"/>
  <c r="N34" i="66"/>
  <c r="R50" i="66"/>
  <c r="M41" i="66"/>
  <c r="K13" i="66"/>
  <c r="J40" i="66"/>
  <c r="P42" i="66"/>
  <c r="Q9" i="66"/>
  <c r="J13" i="66"/>
  <c r="M20" i="66"/>
  <c r="H21" i="66"/>
  <c r="J30" i="66"/>
  <c r="L27" i="66"/>
  <c r="M9" i="66"/>
  <c r="F10" i="66"/>
  <c r="D12" i="66"/>
  <c r="Q20" i="66"/>
  <c r="L50" i="66"/>
  <c r="G28" i="66"/>
  <c r="P43" i="66"/>
  <c r="T19" i="66"/>
  <c r="K37" i="66"/>
  <c r="K53" i="66"/>
  <c r="N28" i="66"/>
  <c r="Q29" i="66"/>
  <c r="R28" i="66"/>
  <c r="D50" i="66"/>
  <c r="K44" i="66"/>
  <c r="K27" i="66"/>
  <c r="S39" i="66"/>
  <c r="I40" i="66"/>
  <c r="R18" i="66"/>
  <c r="K14" i="66"/>
  <c r="E10" i="66"/>
  <c r="P5" i="66"/>
  <c r="R12" i="66"/>
  <c r="I50" i="66"/>
  <c r="T10" i="66"/>
  <c r="E30" i="66"/>
  <c r="G44" i="66"/>
  <c r="S54" i="66"/>
  <c r="G8" i="66"/>
  <c r="P34" i="66"/>
  <c r="J34" i="66"/>
  <c r="R21" i="66"/>
  <c r="K51" i="66"/>
  <c r="D8" i="66"/>
  <c r="L34" i="66"/>
  <c r="Q17" i="66"/>
  <c r="N12" i="66"/>
  <c r="L29" i="66"/>
  <c r="P48" i="66"/>
  <c r="E41" i="66"/>
  <c r="J20" i="66"/>
  <c r="S10" i="66"/>
  <c r="O39" i="66"/>
  <c r="P53" i="66"/>
  <c r="N41" i="66"/>
  <c r="R42" i="66"/>
  <c r="F41" i="66"/>
  <c r="P31" i="66"/>
  <c r="H42" i="66"/>
  <c r="F51" i="66"/>
  <c r="R29" i="66"/>
  <c r="I35" i="66"/>
  <c r="J28" i="66"/>
  <c r="N45" i="66"/>
  <c r="E46" i="66"/>
  <c r="F54" i="66"/>
  <c r="I49" i="66"/>
  <c r="F5" i="66"/>
  <c r="D13" i="66"/>
  <c r="O49" i="66"/>
  <c r="I43" i="66"/>
  <c r="E54" i="66"/>
  <c r="H34" i="66"/>
  <c r="D39" i="66"/>
  <c r="N29" i="66"/>
  <c r="O17" i="66"/>
  <c r="P11" i="66"/>
  <c r="T17" i="66"/>
  <c r="L53" i="66"/>
  <c r="K28" i="66"/>
  <c r="O18" i="66"/>
  <c r="R49" i="66"/>
  <c r="O21" i="66"/>
  <c r="L5" i="66"/>
  <c r="Q8" i="66"/>
  <c r="F29" i="66"/>
  <c r="D9" i="66"/>
  <c r="S27" i="66"/>
  <c r="J8" i="66"/>
  <c r="N22" i="66"/>
  <c r="E5" i="66"/>
  <c r="G53" i="66"/>
  <c r="H16" i="66"/>
  <c r="J52" i="66"/>
  <c r="J48" i="66"/>
  <c r="T20" i="66"/>
  <c r="D46" i="66"/>
  <c r="L46" i="66"/>
  <c r="S17" i="66"/>
  <c r="R38" i="66"/>
  <c r="T22" i="66"/>
  <c r="M18" i="66"/>
  <c r="R51" i="66"/>
  <c r="R8" i="66"/>
  <c r="E20" i="66"/>
  <c r="L19" i="66"/>
  <c r="K52" i="66"/>
  <c r="G38" i="66"/>
  <c r="I18" i="66"/>
  <c r="J38" i="66"/>
  <c r="S47" i="66"/>
  <c r="R39" i="66"/>
  <c r="K17" i="66"/>
  <c r="P40" i="66"/>
  <c r="P14" i="66"/>
  <c r="K5" i="66"/>
  <c r="P16" i="66"/>
  <c r="I10" i="66"/>
  <c r="D29" i="66"/>
  <c r="N48" i="66"/>
  <c r="H46" i="66"/>
  <c r="S41" i="66"/>
  <c r="D16" i="66"/>
  <c r="Q16" i="66"/>
  <c r="D37" i="66"/>
  <c r="G49" i="66"/>
  <c r="F47" i="66"/>
  <c r="J47" i="66"/>
  <c r="O19" i="66"/>
  <c r="S45" i="66"/>
  <c r="J43" i="66"/>
  <c r="R17" i="66"/>
  <c r="F35" i="66"/>
  <c r="R14" i="66"/>
  <c r="M29" i="66"/>
  <c r="P54" i="66"/>
  <c r="H11" i="66"/>
  <c r="E8" i="66"/>
  <c r="M37" i="66"/>
  <c r="E11" i="66"/>
  <c r="Q21" i="66"/>
  <c r="P44" i="66"/>
  <c r="G13" i="66"/>
  <c r="E37" i="66"/>
  <c r="I51" i="66"/>
  <c r="D51" i="66"/>
  <c r="L47" i="66"/>
  <c r="E43" i="66"/>
  <c r="H9" i="66"/>
  <c r="G39" i="66"/>
  <c r="O5" i="66"/>
  <c r="O11" i="66"/>
  <c r="G9" i="66"/>
  <c r="R27" i="66"/>
  <c r="M35" i="66"/>
  <c r="O9" i="66"/>
  <c r="M46" i="66"/>
  <c r="L16" i="66"/>
  <c r="T9" i="66"/>
  <c r="N18" i="66"/>
  <c r="P51" i="66"/>
  <c r="E33" i="66"/>
  <c r="S49" i="66"/>
  <c r="K11" i="66"/>
  <c r="K10" i="66"/>
  <c r="I5" i="66"/>
  <c r="R30" i="66"/>
  <c r="G21" i="66"/>
  <c r="R19" i="66"/>
  <c r="F28" i="66"/>
  <c r="E27" i="66"/>
  <c r="F34" i="66"/>
  <c r="J29" i="66"/>
  <c r="I42" i="66"/>
  <c r="H52" i="66"/>
  <c r="J31" i="66"/>
  <c r="J9" i="66"/>
  <c r="E42" i="66"/>
  <c r="S35" i="66"/>
  <c r="S22" i="66"/>
  <c r="H39" i="66"/>
  <c r="T35" i="66"/>
  <c r="N27" i="66"/>
  <c r="D49" i="66"/>
  <c r="D35" i="66"/>
  <c r="T28" i="66"/>
  <c r="K35" i="66"/>
  <c r="K8" i="66"/>
  <c r="E48" i="66"/>
  <c r="F22" i="66"/>
  <c r="S30" i="66"/>
  <c r="P52" i="66"/>
  <c r="L22" i="66"/>
  <c r="J49" i="66"/>
  <c r="K12" i="66"/>
  <c r="N21" i="66"/>
  <c r="I11" i="66"/>
  <c r="D41" i="66"/>
  <c r="H35" i="66"/>
  <c r="G40" i="66"/>
  <c r="D54" i="66"/>
  <c r="E28" i="66"/>
  <c r="Q52" i="66"/>
  <c r="T12" i="66"/>
  <c r="T45" i="66"/>
  <c r="N17" i="66"/>
  <c r="T29" i="66"/>
  <c r="H28" i="66"/>
  <c r="R34" i="66"/>
  <c r="I8" i="66"/>
  <c r="G27" i="66"/>
  <c r="N54" i="66"/>
  <c r="M53" i="66"/>
  <c r="D40" i="66"/>
  <c r="Q31" i="66"/>
  <c r="Q18" i="66"/>
  <c r="M10" i="66"/>
  <c r="M47" i="66"/>
  <c r="I22" i="66"/>
  <c r="I16" i="66"/>
  <c r="L39" i="66"/>
  <c r="G41" i="66"/>
  <c r="T50" i="66"/>
  <c r="M50" i="66"/>
  <c r="H19" i="66"/>
  <c r="T14" i="66"/>
  <c r="P9" i="66"/>
  <c r="M17" i="66"/>
  <c r="F20" i="66"/>
  <c r="R41" i="66"/>
  <c r="J11" i="66"/>
  <c r="K20" i="66"/>
  <c r="O35" i="66"/>
  <c r="E22" i="66"/>
  <c r="P39" i="66"/>
  <c r="L18" i="66"/>
  <c r="J37" i="66"/>
  <c r="R47" i="66"/>
  <c r="H18" i="66"/>
  <c r="I27" i="66"/>
  <c r="J22" i="66"/>
  <c r="J10" i="66"/>
  <c r="K50" i="66"/>
  <c r="G33" i="66"/>
  <c r="P19" i="66"/>
  <c r="R52" i="66"/>
  <c r="H29" i="66"/>
  <c r="F44" i="66"/>
  <c r="G5" i="66"/>
  <c r="H10" i="66"/>
  <c r="T44" i="66"/>
  <c r="T52" i="66"/>
  <c r="H53" i="66"/>
  <c r="G52" i="66"/>
  <c r="M14" i="66"/>
  <c r="K19" i="66"/>
  <c r="N10" i="66"/>
  <c r="K38" i="66"/>
  <c r="R40" i="66"/>
  <c r="J51" i="66"/>
  <c r="N8" i="66"/>
  <c r="Q35" i="66"/>
  <c r="D44" i="66"/>
  <c r="H14" i="66"/>
  <c r="E34" i="66"/>
  <c r="R31" i="66"/>
  <c r="I45" i="66"/>
  <c r="F16" i="66"/>
  <c r="Q22" i="66"/>
  <c r="D20" i="66"/>
  <c r="S37" i="66"/>
  <c r="F37" i="66"/>
  <c r="T51" i="66"/>
  <c r="I34" i="66"/>
  <c r="S48" i="66"/>
  <c r="O50" i="66"/>
  <c r="L10" i="66"/>
  <c r="D34" i="66"/>
  <c r="R37" i="66"/>
  <c r="H31" i="66"/>
  <c r="G17" i="66"/>
  <c r="R54" i="66"/>
  <c r="G42" i="66"/>
  <c r="O41" i="66"/>
  <c r="J41" i="66"/>
  <c r="F27" i="66"/>
  <c r="G22" i="66"/>
  <c r="M49" i="66"/>
  <c r="K41" i="66"/>
  <c r="F39" i="66"/>
  <c r="R13" i="66"/>
  <c r="N16" i="66"/>
  <c r="I31" i="66"/>
  <c r="S50" i="66"/>
  <c r="N40" i="66"/>
  <c r="J16" i="66"/>
  <c r="Q46" i="66"/>
  <c r="T16" i="66"/>
  <c r="P35" i="66"/>
  <c r="K29" i="66"/>
  <c r="M22" i="66"/>
  <c r="G11" i="66"/>
  <c r="R48" i="66"/>
  <c r="I33" i="66"/>
  <c r="L43" i="66"/>
  <c r="I29" i="66"/>
  <c r="R33" i="66"/>
  <c r="M16" i="66"/>
  <c r="N30" i="66"/>
  <c r="O10" i="66"/>
  <c r="Q45" i="66"/>
  <c r="Q41" i="66"/>
  <c r="Q19" i="66"/>
  <c r="F45" i="66"/>
  <c r="L45" i="66"/>
  <c r="M31" i="66"/>
  <c r="G20" i="66"/>
  <c r="F50" i="66"/>
  <c r="E45" i="66"/>
  <c r="Q27" i="66"/>
  <c r="L40" i="66"/>
  <c r="T30" i="66"/>
  <c r="D10" i="66"/>
  <c r="O34" i="66"/>
  <c r="N31" i="66"/>
  <c r="H8" i="66"/>
  <c r="K48" i="66"/>
  <c r="F17" i="66"/>
  <c r="K46" i="66"/>
  <c r="I20" i="66"/>
  <c r="M27" i="66"/>
  <c r="E51" i="66"/>
  <c r="H43" i="66"/>
  <c r="O45" i="66"/>
  <c r="G45" i="66"/>
  <c r="S14" i="66"/>
  <c r="K34" i="66"/>
  <c r="E53" i="66"/>
  <c r="F48" i="66"/>
  <c r="N46" i="66"/>
  <c r="D11" i="66"/>
  <c r="G35" i="66"/>
  <c r="M21" i="66"/>
  <c r="W27" i="22" l="1"/>
  <c r="W21" i="22"/>
  <c r="W15" i="22"/>
  <c r="W25" i="22"/>
  <c r="W23" i="22"/>
  <c r="D36" i="66"/>
  <c r="D13" i="67" s="1"/>
  <c r="Q11" i="67"/>
  <c r="I14" i="67"/>
  <c r="K11" i="67"/>
  <c r="O15" i="67"/>
  <c r="D14" i="67"/>
  <c r="O36" i="66"/>
  <c r="O13" i="67" s="1"/>
  <c r="E26" i="66"/>
  <c r="E10" i="67" s="1"/>
  <c r="M6" i="66"/>
  <c r="J32" i="66"/>
  <c r="J12" i="67" s="1"/>
  <c r="M15" i="67"/>
  <c r="T32" i="66"/>
  <c r="T12" i="67" s="1"/>
  <c r="G15" i="66"/>
  <c r="G8" i="67" s="1"/>
  <c r="E15" i="66"/>
  <c r="E8" i="67" s="1"/>
  <c r="N32" i="66"/>
  <c r="N12" i="67" s="1"/>
  <c r="E11" i="67"/>
  <c r="E5" i="67"/>
  <c r="I15" i="66"/>
  <c r="I8" i="67" s="1"/>
  <c r="J6" i="66"/>
  <c r="S16" i="67"/>
  <c r="T9" i="67"/>
  <c r="F15" i="66"/>
  <c r="F8" i="67" s="1"/>
  <c r="R15" i="67"/>
  <c r="L26" i="66"/>
  <c r="L10" i="67" s="1"/>
  <c r="I32" i="66"/>
  <c r="I12" i="67" s="1"/>
  <c r="T14" i="67"/>
  <c r="D16" i="67"/>
  <c r="Q15" i="67"/>
  <c r="N6" i="66"/>
  <c r="L32" i="66"/>
  <c r="L12" i="67" s="1"/>
  <c r="T6" i="66"/>
  <c r="E36" i="66"/>
  <c r="E13" i="67" s="1"/>
  <c r="K14" i="67"/>
  <c r="F5" i="67"/>
  <c r="K26" i="66"/>
  <c r="K10" i="67" s="1"/>
  <c r="K15" i="67"/>
  <c r="R6" i="66"/>
  <c r="O26" i="66"/>
  <c r="O10" i="67" s="1"/>
  <c r="D5" i="67"/>
  <c r="O6" i="66"/>
  <c r="P16" i="67"/>
  <c r="I26" i="66"/>
  <c r="I10" i="67" s="1"/>
  <c r="R15" i="66"/>
  <c r="R8" i="67" s="1"/>
  <c r="I5" i="67"/>
  <c r="H9" i="67"/>
  <c r="G16" i="67"/>
  <c r="I6" i="66"/>
  <c r="D26" i="66"/>
  <c r="D10" i="67" s="1"/>
  <c r="L11" i="67"/>
  <c r="D11" i="67"/>
  <c r="Q15" i="66"/>
  <c r="Q8" i="67" s="1"/>
  <c r="Q32" i="66"/>
  <c r="Q12" i="67" s="1"/>
  <c r="G14" i="67"/>
  <c r="K32" i="66"/>
  <c r="K12" i="67" s="1"/>
  <c r="L16" i="67"/>
  <c r="Q36" i="66"/>
  <c r="Q13" i="67" s="1"/>
  <c r="R9" i="67"/>
  <c r="L36" i="66"/>
  <c r="L13" i="67" s="1"/>
  <c r="O16" i="67"/>
  <c r="S26" i="66"/>
  <c r="S10" i="67" s="1"/>
  <c r="F16" i="67"/>
  <c r="G15" i="67"/>
  <c r="H26" i="66"/>
  <c r="H10" i="67" s="1"/>
  <c r="O11" i="67"/>
  <c r="K6" i="66"/>
  <c r="M26" i="66"/>
  <c r="M10" i="67" s="1"/>
  <c r="K16" i="67"/>
  <c r="J36" i="66"/>
  <c r="J13" i="67" s="1"/>
  <c r="R26" i="66"/>
  <c r="R10" i="67" s="1"/>
  <c r="P5" i="67"/>
  <c r="L15" i="66"/>
  <c r="L8" i="67" s="1"/>
  <c r="K9" i="67"/>
  <c r="N14" i="67"/>
  <c r="F6" i="66"/>
  <c r="I9" i="67"/>
  <c r="T15" i="67"/>
  <c r="L5" i="67"/>
  <c r="H15" i="66"/>
  <c r="H8" i="67" s="1"/>
  <c r="J9" i="67"/>
  <c r="R36" i="66"/>
  <c r="R13" i="67" s="1"/>
  <c r="Q16" i="67"/>
  <c r="D15" i="66"/>
  <c r="D8" i="67" s="1"/>
  <c r="G26" i="66"/>
  <c r="G10" i="67" s="1"/>
  <c r="T26" i="66"/>
  <c r="T10" i="67" s="1"/>
  <c r="R16" i="67"/>
  <c r="M32" i="66"/>
  <c r="M12" i="67" s="1"/>
  <c r="M5" i="67"/>
  <c r="N5" i="67"/>
  <c r="K36" i="66"/>
  <c r="K13" i="67" s="1"/>
  <c r="H15" i="67"/>
  <c r="L14" i="67"/>
  <c r="P9" i="67"/>
  <c r="K15" i="66"/>
  <c r="K8" i="67" s="1"/>
  <c r="H36" i="66"/>
  <c r="H13" i="67" s="1"/>
  <c r="R14" i="67"/>
  <c r="P15" i="67"/>
  <c r="Q9" i="67"/>
  <c r="Q14" i="67"/>
  <c r="H14" i="67"/>
  <c r="F9" i="67"/>
  <c r="D6" i="66"/>
  <c r="D6" i="67" s="1"/>
  <c r="N15" i="67"/>
  <c r="G9" i="67"/>
  <c r="H32" i="66"/>
  <c r="H12" i="67" s="1"/>
  <c r="P36" i="66"/>
  <c r="P13" i="67" s="1"/>
  <c r="G32" i="66"/>
  <c r="G12" i="67" s="1"/>
  <c r="H11" i="67"/>
  <c r="T11" i="67"/>
  <c r="K5" i="67"/>
  <c r="I36" i="66"/>
  <c r="I13" i="67" s="1"/>
  <c r="L9" i="67"/>
  <c r="F26" i="66"/>
  <c r="F10" i="67" s="1"/>
  <c r="M15" i="66"/>
  <c r="M8" i="67" s="1"/>
  <c r="E6" i="66"/>
  <c r="N26" i="66"/>
  <c r="N10" i="67" s="1"/>
  <c r="Q26" i="66"/>
  <c r="Q10" i="67" s="1"/>
  <c r="N15" i="66"/>
  <c r="N8" i="67" s="1"/>
  <c r="F11" i="67"/>
  <c r="O32" i="66"/>
  <c r="O12" i="67" s="1"/>
  <c r="F36" i="66"/>
  <c r="F13" i="67" s="1"/>
  <c r="O14" i="67"/>
  <c r="S6" i="66"/>
  <c r="H6" i="66"/>
  <c r="J5" i="67"/>
  <c r="E32" i="66"/>
  <c r="E12" i="67" s="1"/>
  <c r="M36" i="66"/>
  <c r="M13" i="67" s="1"/>
  <c r="F32" i="66"/>
  <c r="F12" i="67" s="1"/>
  <c r="G36" i="66"/>
  <c r="G13" i="67" s="1"/>
  <c r="H5" i="67"/>
  <c r="M11" i="67"/>
  <c r="S36" i="66"/>
  <c r="S13" i="67" s="1"/>
  <c r="O15" i="66"/>
  <c r="O8" i="67" s="1"/>
  <c r="D32" i="66"/>
  <c r="D12" i="67" s="1"/>
  <c r="M14" i="67"/>
  <c r="F15" i="67"/>
  <c r="R5" i="67"/>
  <c r="Q5" i="67"/>
  <c r="N11" i="67"/>
  <c r="F14" i="67"/>
  <c r="P14" i="67"/>
  <c r="M9" i="67"/>
  <c r="H16" i="67"/>
  <c r="J14" i="67"/>
  <c r="J15" i="66"/>
  <c r="J8" i="67" s="1"/>
  <c r="T15" i="66"/>
  <c r="T8" i="67" s="1"/>
  <c r="S14" i="67"/>
  <c r="I15" i="67"/>
  <c r="J15" i="67"/>
  <c r="P11" i="67"/>
  <c r="I11" i="67"/>
  <c r="D15" i="67"/>
  <c r="E9" i="67"/>
  <c r="S11" i="67"/>
  <c r="P26" i="66"/>
  <c r="P10" i="67" s="1"/>
  <c r="S15" i="67"/>
  <c r="E15" i="67"/>
  <c r="D9" i="67"/>
  <c r="L15" i="67"/>
  <c r="S15" i="66"/>
  <c r="S8" i="67" s="1"/>
  <c r="O5" i="67"/>
  <c r="T36" i="66"/>
  <c r="T13" i="67" s="1"/>
  <c r="S5" i="67"/>
  <c r="G5" i="67"/>
  <c r="J26" i="66"/>
  <c r="J10" i="67" s="1"/>
  <c r="O9" i="67"/>
  <c r="M16" i="67"/>
  <c r="J16" i="67"/>
  <c r="P6" i="66"/>
  <c r="Q6" i="66"/>
  <c r="Q7" i="66" s="1"/>
  <c r="N36" i="66"/>
  <c r="N13" i="67" s="1"/>
  <c r="J11" i="67"/>
  <c r="I16" i="67"/>
  <c r="T5" i="67"/>
  <c r="S9" i="67"/>
  <c r="R32" i="66"/>
  <c r="R12" i="67" s="1"/>
  <c r="N16" i="67"/>
  <c r="E14" i="67"/>
  <c r="G6" i="66"/>
  <c r="G11" i="67"/>
  <c r="S32" i="66"/>
  <c r="S12" i="67" s="1"/>
  <c r="R11" i="67"/>
  <c r="E16" i="67"/>
  <c r="N9" i="67"/>
  <c r="L6" i="66"/>
  <c r="L7" i="66" s="1"/>
  <c r="P32" i="66"/>
  <c r="P12" i="67" s="1"/>
  <c r="T16" i="67"/>
  <c r="P15" i="66"/>
  <c r="P8" i="67" s="1"/>
  <c r="F278" i="22"/>
  <c r="F277" i="22"/>
  <c r="E276" i="22"/>
  <c r="B276" i="22"/>
  <c r="C276" i="22"/>
  <c r="H276" i="22" s="1"/>
  <c r="D276" i="22"/>
  <c r="I276" i="22" s="1"/>
  <c r="D7" i="67" l="1"/>
  <c r="D17" i="67" s="1"/>
  <c r="C7" i="67"/>
  <c r="D7" i="66"/>
  <c r="D55" i="66" s="1"/>
  <c r="L55" i="66"/>
  <c r="Q6" i="67"/>
  <c r="Q7" i="67" s="1"/>
  <c r="Q17" i="67" s="1"/>
  <c r="G7" i="66"/>
  <c r="G55" i="66" s="1"/>
  <c r="G6" i="67"/>
  <c r="G7" i="67" s="1"/>
  <c r="G17" i="67" s="1"/>
  <c r="P7" i="66"/>
  <c r="P55" i="66" s="1"/>
  <c r="P6" i="67"/>
  <c r="P7" i="67" s="1"/>
  <c r="P17" i="67" s="1"/>
  <c r="S7" i="66"/>
  <c r="S55" i="66" s="1"/>
  <c r="S6" i="67"/>
  <c r="S7" i="67" s="1"/>
  <c r="S17" i="67" s="1"/>
  <c r="H6" i="67"/>
  <c r="H7" i="67" s="1"/>
  <c r="H17" i="67" s="1"/>
  <c r="H7" i="66"/>
  <c r="H55" i="66" s="1"/>
  <c r="K6" i="67"/>
  <c r="K7" i="67" s="1"/>
  <c r="K17" i="67" s="1"/>
  <c r="K7" i="66"/>
  <c r="K55" i="66" s="1"/>
  <c r="I7" i="66"/>
  <c r="I55" i="66" s="1"/>
  <c r="I6" i="67"/>
  <c r="I7" i="67" s="1"/>
  <c r="I17" i="67" s="1"/>
  <c r="R7" i="66"/>
  <c r="R55" i="66" s="1"/>
  <c r="R6" i="67"/>
  <c r="R7" i="67" s="1"/>
  <c r="R17" i="67" s="1"/>
  <c r="T6" i="67"/>
  <c r="T7" i="67" s="1"/>
  <c r="T17" i="67" s="1"/>
  <c r="T7" i="66"/>
  <c r="T55" i="66" s="1"/>
  <c r="N6" i="67"/>
  <c r="N7" i="67" s="1"/>
  <c r="N17" i="67" s="1"/>
  <c r="N7" i="66"/>
  <c r="N55" i="66" s="1"/>
  <c r="J7" i="66"/>
  <c r="J55" i="66" s="1"/>
  <c r="J6" i="67"/>
  <c r="J7" i="67" s="1"/>
  <c r="J17" i="67" s="1"/>
  <c r="M7" i="66"/>
  <c r="M55" i="66" s="1"/>
  <c r="M6" i="67"/>
  <c r="M7" i="67" s="1"/>
  <c r="M17" i="67" s="1"/>
  <c r="L6" i="67"/>
  <c r="L7" i="67" s="1"/>
  <c r="L17" i="67" s="1"/>
  <c r="Q55" i="66"/>
  <c r="E6" i="67"/>
  <c r="E7" i="67" s="1"/>
  <c r="E17" i="67" s="1"/>
  <c r="E7" i="66"/>
  <c r="E55" i="66" s="1"/>
  <c r="F6" i="67"/>
  <c r="F7" i="67" s="1"/>
  <c r="F17" i="67" s="1"/>
  <c r="F7" i="66"/>
  <c r="F55" i="66" s="1"/>
  <c r="O7" i="66"/>
  <c r="O55" i="66" s="1"/>
  <c r="O6" i="67"/>
  <c r="O7" i="67" s="1"/>
  <c r="O17" i="67" s="1"/>
  <c r="F276" i="22"/>
  <c r="C274" i="22"/>
  <c r="B274" i="22"/>
  <c r="E274" i="22"/>
  <c r="D274" i="22"/>
  <c r="C273" i="22"/>
  <c r="H273" i="22" s="1"/>
  <c r="B273" i="22"/>
  <c r="E273" i="22"/>
  <c r="J273" i="22" s="1"/>
  <c r="D273" i="22"/>
  <c r="I273" i="22" s="1"/>
  <c r="G273" i="22" l="1"/>
  <c r="F273" i="22"/>
  <c r="K273" i="22" s="1"/>
  <c r="F274" i="22"/>
  <c r="B269" i="22"/>
  <c r="E269" i="22"/>
  <c r="C269" i="22"/>
  <c r="D269" i="22"/>
  <c r="C271" i="22"/>
  <c r="H287" i="22" s="1"/>
  <c r="B271" i="22"/>
  <c r="E271" i="22"/>
  <c r="D271" i="22"/>
  <c r="B272" i="22"/>
  <c r="E272" i="22"/>
  <c r="J272" i="22" s="1"/>
  <c r="D272" i="22"/>
  <c r="I272" i="22" s="1"/>
  <c r="C272" i="22"/>
  <c r="H272" i="22" s="1"/>
  <c r="H281" i="22" l="1"/>
  <c r="H283" i="22"/>
  <c r="I274" i="22"/>
  <c r="H274" i="22"/>
  <c r="J286" i="22"/>
  <c r="J281" i="22"/>
  <c r="J277" i="22"/>
  <c r="I281" i="22"/>
  <c r="I284" i="22"/>
  <c r="G286" i="22"/>
  <c r="G281" i="22"/>
  <c r="G277" i="22"/>
  <c r="I283" i="22"/>
  <c r="J287" i="22"/>
  <c r="I271" i="22"/>
  <c r="I287" i="22"/>
  <c r="G287" i="22"/>
  <c r="H289" i="22"/>
  <c r="J274" i="22"/>
  <c r="J283" i="22"/>
  <c r="G283" i="22"/>
  <c r="F269" i="22"/>
  <c r="G284" i="22"/>
  <c r="G271" i="22"/>
  <c r="G289" i="22"/>
  <c r="F271" i="22"/>
  <c r="G278" i="22"/>
  <c r="G276" i="22"/>
  <c r="G274" i="22"/>
  <c r="G272" i="22"/>
  <c r="F272" i="22"/>
  <c r="K272" i="22" s="1"/>
  <c r="J271" i="22"/>
  <c r="J284" i="22"/>
  <c r="J289" i="22"/>
  <c r="J278" i="22"/>
  <c r="J276" i="22"/>
  <c r="H271" i="22"/>
  <c r="H284" i="22"/>
  <c r="K286" i="22" l="1"/>
  <c r="K281" i="22"/>
  <c r="K277" i="22"/>
  <c r="K287" i="22"/>
  <c r="K274" i="22"/>
  <c r="K283" i="22"/>
  <c r="K271" i="22"/>
  <c r="K289" i="22"/>
  <c r="K284" i="22"/>
  <c r="K278" i="22"/>
  <c r="K276" i="22"/>
  <c r="C23" i="21"/>
  <c r="K27" i="21"/>
  <c r="B17" i="21"/>
  <c r="K16" i="21"/>
  <c r="J14" i="21"/>
  <c r="E24" i="21"/>
  <c r="K21" i="21"/>
  <c r="C24" i="21"/>
  <c r="B27" i="21"/>
  <c r="G14" i="21"/>
  <c r="M29" i="21"/>
  <c r="N24" i="21"/>
  <c r="L18" i="21"/>
  <c r="L26" i="21"/>
  <c r="I27" i="21"/>
  <c r="L16" i="21"/>
  <c r="L29" i="21"/>
  <c r="B14" i="21"/>
  <c r="F19" i="21"/>
  <c r="G18" i="21"/>
  <c r="L12" i="21"/>
  <c r="D12" i="21"/>
  <c r="E14" i="21"/>
  <c r="C19" i="21"/>
  <c r="B21" i="21"/>
  <c r="K23" i="21"/>
  <c r="G22" i="21"/>
  <c r="C11" i="21"/>
  <c r="E13" i="21"/>
  <c r="G24" i="21"/>
  <c r="K9" i="21"/>
  <c r="G29" i="21"/>
  <c r="I21" i="21"/>
  <c r="N17" i="21"/>
  <c r="I29" i="21"/>
  <c r="G13" i="21"/>
  <c r="D21" i="21"/>
  <c r="D18" i="21"/>
  <c r="F22" i="21"/>
  <c r="D13" i="21"/>
  <c r="N13" i="21"/>
  <c r="D28" i="21"/>
  <c r="E12" i="21"/>
  <c r="G23" i="21"/>
  <c r="M22" i="21"/>
  <c r="N28" i="21"/>
  <c r="M14" i="21"/>
  <c r="F16" i="21"/>
  <c r="M13" i="21"/>
  <c r="E17" i="21"/>
  <c r="J28" i="21"/>
  <c r="K12" i="21"/>
  <c r="C26" i="21"/>
  <c r="B23" i="21"/>
  <c r="I13" i="21"/>
  <c r="C21" i="21"/>
  <c r="M17" i="21"/>
  <c r="L28" i="21"/>
  <c r="B11" i="21"/>
  <c r="E9" i="21"/>
  <c r="I14" i="21"/>
  <c r="K14" i="21"/>
  <c r="B26" i="21"/>
  <c r="E22" i="21"/>
  <c r="M21" i="21"/>
  <c r="I24" i="21"/>
  <c r="G28" i="21"/>
  <c r="E28" i="21"/>
  <c r="M16" i="21"/>
  <c r="G17" i="21"/>
  <c r="M12" i="21"/>
  <c r="K29" i="21"/>
  <c r="F26" i="21"/>
  <c r="F24" i="21"/>
  <c r="F18" i="21"/>
  <c r="C17" i="21"/>
  <c r="J22" i="21"/>
  <c r="C12" i="21"/>
  <c r="M11" i="21"/>
  <c r="J17" i="21"/>
  <c r="E26" i="21"/>
  <c r="J29" i="21"/>
  <c r="L24" i="21"/>
  <c r="L14" i="21"/>
  <c r="F14" i="21"/>
  <c r="C29" i="21"/>
  <c r="D14" i="21"/>
  <c r="L27" i="21"/>
  <c r="G9" i="21"/>
  <c r="E11" i="21"/>
  <c r="D23" i="21"/>
  <c r="D27" i="21"/>
  <c r="L13" i="21"/>
  <c r="M27" i="21"/>
  <c r="I16" i="21"/>
  <c r="L23" i="21"/>
  <c r="E21" i="21"/>
  <c r="K28" i="21"/>
  <c r="D26" i="21"/>
  <c r="C27" i="21"/>
  <c r="D9" i="21"/>
  <c r="B24" i="21"/>
  <c r="I17" i="21"/>
  <c r="K11" i="21"/>
  <c r="N26" i="21"/>
  <c r="L9" i="21"/>
  <c r="E29" i="21"/>
  <c r="L21" i="21"/>
  <c r="M24" i="21"/>
  <c r="M26" i="21"/>
  <c r="C14" i="21"/>
  <c r="J27" i="21"/>
  <c r="E23" i="21"/>
  <c r="B18" i="21"/>
  <c r="J23" i="21"/>
  <c r="G11" i="21"/>
  <c r="N22" i="21"/>
  <c r="D19" i="21"/>
  <c r="F9" i="21"/>
  <c r="K22" i="21"/>
  <c r="B19" i="21"/>
  <c r="B29" i="21"/>
  <c r="K13" i="21"/>
  <c r="G16" i="21"/>
  <c r="K24" i="21"/>
  <c r="G12" i="21"/>
  <c r="D11" i="21"/>
  <c r="J11" i="21"/>
  <c r="M23" i="21"/>
  <c r="L19" i="21"/>
  <c r="G26" i="21"/>
  <c r="J13" i="21"/>
  <c r="B12" i="21"/>
  <c r="F12" i="21"/>
  <c r="N9" i="21"/>
  <c r="C22" i="21"/>
  <c r="G21" i="21"/>
  <c r="C13" i="21"/>
  <c r="B28" i="21"/>
  <c r="C28" i="21"/>
  <c r="C9" i="21"/>
  <c r="J18" i="21"/>
  <c r="L17" i="21"/>
  <c r="F27" i="21"/>
  <c r="F23" i="21"/>
  <c r="J26" i="21"/>
  <c r="K26" i="21"/>
  <c r="K18" i="21"/>
  <c r="N16" i="21"/>
  <c r="M18" i="21"/>
  <c r="F17" i="21"/>
  <c r="N19" i="21"/>
  <c r="J9" i="21"/>
  <c r="L11" i="21"/>
  <c r="I26" i="21"/>
  <c r="J24" i="21"/>
  <c r="I18" i="21"/>
  <c r="J16" i="21"/>
  <c r="M9" i="21"/>
  <c r="D24" i="21"/>
  <c r="N11" i="21"/>
  <c r="L22" i="21"/>
  <c r="N29" i="21"/>
  <c r="D22" i="21"/>
  <c r="M28" i="21"/>
  <c r="B13" i="21"/>
  <c r="G19" i="21"/>
  <c r="C18" i="21"/>
  <c r="J12" i="21"/>
  <c r="I19" i="21"/>
  <c r="E18" i="21"/>
  <c r="N18" i="21"/>
  <c r="B16" i="21"/>
  <c r="B22" i="21"/>
  <c r="N12" i="21"/>
  <c r="F21" i="21"/>
  <c r="J19" i="21"/>
  <c r="E16" i="21"/>
  <c r="K17" i="21"/>
  <c r="I22" i="21"/>
  <c r="E19" i="21"/>
  <c r="N21" i="21"/>
  <c r="K19" i="21"/>
  <c r="G27" i="21"/>
  <c r="I12" i="21"/>
  <c r="N14" i="21"/>
  <c r="E27" i="21"/>
  <c r="I23" i="21"/>
  <c r="I9" i="21"/>
  <c r="C16" i="21"/>
  <c r="I11" i="21"/>
  <c r="F13" i="21"/>
  <c r="D16" i="21"/>
  <c r="I28" i="21"/>
  <c r="D17" i="21"/>
  <c r="N27" i="21"/>
  <c r="F28" i="21"/>
  <c r="M19" i="21"/>
  <c r="F11" i="21"/>
  <c r="N23" i="21"/>
  <c r="F29" i="21"/>
  <c r="J21" i="21"/>
  <c r="D29" i="21"/>
  <c r="H18" i="21" l="1"/>
  <c r="H23" i="21"/>
  <c r="O28" i="21"/>
  <c r="O21" i="21"/>
  <c r="O24" i="21"/>
  <c r="O23" i="21"/>
  <c r="O13" i="21"/>
  <c r="H27" i="21"/>
  <c r="H12" i="21"/>
  <c r="O17" i="21"/>
  <c r="O12" i="21"/>
  <c r="O18" i="21"/>
  <c r="O9" i="21"/>
  <c r="O29" i="21"/>
  <c r="H14" i="21"/>
  <c r="O16" i="21"/>
  <c r="O22" i="21"/>
  <c r="H11" i="21"/>
  <c r="H21" i="21"/>
  <c r="O26" i="21"/>
  <c r="H17" i="21"/>
  <c r="H29" i="21"/>
  <c r="H24" i="21"/>
  <c r="O14" i="21"/>
  <c r="O27" i="21"/>
  <c r="H28" i="21"/>
  <c r="H16" i="21"/>
  <c r="H9" i="21"/>
  <c r="O11" i="21"/>
  <c r="H13" i="21"/>
  <c r="H22" i="21"/>
  <c r="H19" i="21"/>
  <c r="O19" i="21"/>
  <c r="H26" i="21"/>
  <c r="P26" i="21" l="1"/>
  <c r="AD26" i="21" s="1"/>
  <c r="P12" i="21"/>
  <c r="AF12" i="21" s="1"/>
  <c r="P23" i="21"/>
  <c r="Z23" i="21" s="1"/>
  <c r="P13" i="21"/>
  <c r="AA13" i="21" s="1"/>
  <c r="P14" i="21"/>
  <c r="T14" i="21" s="1"/>
  <c r="P11" i="21"/>
  <c r="V11" i="21" s="1"/>
  <c r="P17" i="21"/>
  <c r="U17" i="21" s="1"/>
  <c r="P27" i="21"/>
  <c r="AC27" i="21" s="1"/>
  <c r="P16" i="21"/>
  <c r="AE16" i="21" s="1"/>
  <c r="P18" i="21"/>
  <c r="AF18" i="21" s="1"/>
  <c r="P29" i="21"/>
  <c r="S29" i="21" s="1"/>
  <c r="P19" i="21"/>
  <c r="U19" i="21" s="1"/>
  <c r="P24" i="21"/>
  <c r="P28" i="21"/>
  <c r="P22" i="21"/>
  <c r="P9" i="21"/>
  <c r="P21" i="21"/>
  <c r="AB26" i="21" l="1"/>
  <c r="T23" i="21"/>
  <c r="V23" i="21"/>
  <c r="AF14" i="21"/>
  <c r="AC26" i="21"/>
  <c r="T26" i="21"/>
  <c r="V26" i="21"/>
  <c r="W13" i="21"/>
  <c r="AA14" i="21"/>
  <c r="Z14" i="21"/>
  <c r="W14" i="21"/>
  <c r="U11" i="21"/>
  <c r="AF11" i="21"/>
  <c r="S11" i="21"/>
  <c r="W26" i="21"/>
  <c r="U26" i="21"/>
  <c r="Z27" i="21"/>
  <c r="AE26" i="21"/>
  <c r="U27" i="21"/>
  <c r="S26" i="21"/>
  <c r="AB16" i="21"/>
  <c r="AF23" i="21"/>
  <c r="AA26" i="21"/>
  <c r="S16" i="21"/>
  <c r="T12" i="21"/>
  <c r="T13" i="21"/>
  <c r="V13" i="21"/>
  <c r="X14" i="21"/>
  <c r="U14" i="21"/>
  <c r="X13" i="21"/>
  <c r="AB14" i="21"/>
  <c r="AC14" i="21"/>
  <c r="V14" i="21"/>
  <c r="S14" i="21"/>
  <c r="AE14" i="21"/>
  <c r="S13" i="21"/>
  <c r="Z26" i="21"/>
  <c r="X26" i="21"/>
  <c r="AD14" i="21"/>
  <c r="AF26" i="21"/>
  <c r="T17" i="21"/>
  <c r="AC13" i="21"/>
  <c r="Z17" i="21"/>
  <c r="AC16" i="21"/>
  <c r="AE11" i="21"/>
  <c r="AA12" i="21"/>
  <c r="AA23" i="21"/>
  <c r="AE23" i="21"/>
  <c r="S12" i="21"/>
  <c r="W12" i="21"/>
  <c r="AE12" i="21"/>
  <c r="Z12" i="21"/>
  <c r="AB12" i="21"/>
  <c r="AC12" i="21"/>
  <c r="AB17" i="21"/>
  <c r="X12" i="21"/>
  <c r="S17" i="21"/>
  <c r="U23" i="21"/>
  <c r="S23" i="21"/>
  <c r="AD12" i="21"/>
  <c r="X23" i="21"/>
  <c r="W23" i="21"/>
  <c r="V12" i="21"/>
  <c r="T18" i="21"/>
  <c r="AD23" i="21"/>
  <c r="U12" i="21"/>
  <c r="AA17" i="21"/>
  <c r="W17" i="21"/>
  <c r="AD16" i="21"/>
  <c r="T11" i="21"/>
  <c r="AC23" i="21"/>
  <c r="AB23" i="21"/>
  <c r="X16" i="21"/>
  <c r="U16" i="21"/>
  <c r="X11" i="21"/>
  <c r="V17" i="21"/>
  <c r="AE19" i="21"/>
  <c r="AB19" i="21"/>
  <c r="V16" i="21"/>
  <c r="W16" i="21"/>
  <c r="T16" i="21"/>
  <c r="AF16" i="21"/>
  <c r="AA16" i="21"/>
  <c r="Z16" i="21"/>
  <c r="AB11" i="21"/>
  <c r="W11" i="21"/>
  <c r="AC11" i="21"/>
  <c r="AD11" i="21"/>
  <c r="Z11" i="21"/>
  <c r="AA11" i="21"/>
  <c r="X19" i="21"/>
  <c r="Z18" i="21"/>
  <c r="AF13" i="21"/>
  <c r="U13" i="21"/>
  <c r="AD13" i="21"/>
  <c r="Z13" i="21"/>
  <c r="AB13" i="21"/>
  <c r="AE13" i="21"/>
  <c r="AD17" i="21"/>
  <c r="AC17" i="21"/>
  <c r="X17" i="21"/>
  <c r="AF17" i="21"/>
  <c r="AE17" i="21"/>
  <c r="AE27" i="21"/>
  <c r="S27" i="21"/>
  <c r="AE29" i="21"/>
  <c r="V27" i="21"/>
  <c r="T27" i="21"/>
  <c r="AF27" i="21"/>
  <c r="AB29" i="21"/>
  <c r="U29" i="21"/>
  <c r="W29" i="21"/>
  <c r="AB27" i="21"/>
  <c r="AD27" i="21"/>
  <c r="AA27" i="21"/>
  <c r="W27" i="21"/>
  <c r="X27" i="21"/>
  <c r="Z29" i="21"/>
  <c r="AA29" i="21"/>
  <c r="AC29" i="21"/>
  <c r="X29" i="21"/>
  <c r="T29" i="21"/>
  <c r="AF29" i="21"/>
  <c r="AD29" i="21"/>
  <c r="V29" i="21"/>
  <c r="S19" i="21"/>
  <c r="AC19" i="21"/>
  <c r="V19" i="21"/>
  <c r="AA19" i="21"/>
  <c r="W19" i="21"/>
  <c r="W18" i="21"/>
  <c r="AB18" i="21"/>
  <c r="S18" i="21"/>
  <c r="AA18" i="21"/>
  <c r="AD18" i="21"/>
  <c r="AC18" i="21"/>
  <c r="U18" i="21"/>
  <c r="AE18" i="21"/>
  <c r="X18" i="21"/>
  <c r="V18" i="21"/>
  <c r="AD19" i="21"/>
  <c r="Z19" i="21"/>
  <c r="AF19" i="21"/>
  <c r="V9" i="21"/>
  <c r="W9" i="21"/>
  <c r="T9" i="21"/>
  <c r="AD9" i="21"/>
  <c r="AC9" i="21"/>
  <c r="X9" i="21"/>
  <c r="U9" i="21"/>
  <c r="AA9" i="21"/>
  <c r="AE9" i="21"/>
  <c r="AB9" i="21"/>
  <c r="AF9" i="21"/>
  <c r="Z9" i="21"/>
  <c r="S9" i="21"/>
  <c r="V28" i="21"/>
  <c r="X28" i="21"/>
  <c r="AB28" i="21"/>
  <c r="AA28" i="21"/>
  <c r="Z28" i="21"/>
  <c r="AC28" i="21"/>
  <c r="W28" i="21"/>
  <c r="AD28" i="21"/>
  <c r="U28" i="21"/>
  <c r="S28" i="21"/>
  <c r="AE28" i="21"/>
  <c r="AF28" i="21"/>
  <c r="T28" i="21"/>
  <c r="V21" i="21"/>
  <c r="AE21" i="21"/>
  <c r="AB21" i="21"/>
  <c r="AA21" i="21"/>
  <c r="U21" i="21"/>
  <c r="X21" i="21"/>
  <c r="AC21" i="21"/>
  <c r="AF21" i="21"/>
  <c r="T21" i="21"/>
  <c r="Z21" i="21"/>
  <c r="AD21" i="21"/>
  <c r="W21" i="21"/>
  <c r="S21" i="21"/>
  <c r="AF22" i="21"/>
  <c r="U22" i="21"/>
  <c r="S22" i="21"/>
  <c r="W22" i="21"/>
  <c r="AD22" i="21"/>
  <c r="AE22" i="21"/>
  <c r="Z22" i="21"/>
  <c r="X22" i="21"/>
  <c r="T22" i="21"/>
  <c r="AC22" i="21"/>
  <c r="AA22" i="21"/>
  <c r="V22" i="21"/>
  <c r="AB22" i="21"/>
  <c r="AB24" i="21"/>
  <c r="T24" i="21"/>
  <c r="AD24" i="21"/>
  <c r="AA24" i="21"/>
  <c r="W24" i="21"/>
  <c r="AF24" i="21"/>
  <c r="X24" i="21"/>
  <c r="AC24" i="21"/>
  <c r="AE24" i="21"/>
  <c r="S24" i="21"/>
  <c r="U24" i="21"/>
  <c r="V24" i="21"/>
  <c r="Z24" i="21"/>
  <c r="Y13" i="21" l="1"/>
  <c r="AG13" i="21" s="1"/>
  <c r="Y11" i="21"/>
  <c r="AG11" i="21" s="1"/>
  <c r="Y26" i="21"/>
  <c r="AG26" i="21" s="1"/>
  <c r="Y27" i="21"/>
  <c r="AG27" i="21" s="1"/>
  <c r="Y14" i="21"/>
  <c r="AG14" i="21" s="1"/>
  <c r="Y16" i="21"/>
  <c r="AG16" i="21" s="1"/>
  <c r="Y17" i="21"/>
  <c r="AG17" i="21" s="1"/>
  <c r="Y12" i="21"/>
  <c r="AG12" i="21" s="1"/>
  <c r="Y29" i="21"/>
  <c r="AG29" i="21" s="1"/>
  <c r="Y23" i="21"/>
  <c r="AG23" i="21" s="1"/>
  <c r="T19" i="21"/>
  <c r="Y19" i="21" s="1"/>
  <c r="AG19" i="21" s="1"/>
  <c r="Y9" i="21"/>
  <c r="AG9" i="21" s="1"/>
  <c r="Y18" i="21"/>
  <c r="AG18" i="21" s="1"/>
  <c r="Y21" i="21"/>
  <c r="AG21" i="21" s="1"/>
  <c r="Y28" i="21"/>
  <c r="AG28" i="21" s="1"/>
  <c r="Y24" i="21"/>
  <c r="AG24" i="21" s="1"/>
  <c r="Y22" i="21"/>
  <c r="AG22" i="21" s="1"/>
  <c r="J36" i="53"/>
  <c r="G15" i="53"/>
  <c r="E50" i="53"/>
  <c r="F11" i="53"/>
  <c r="G16" i="53"/>
  <c r="I16" i="53"/>
  <c r="J53" i="53"/>
  <c r="D57" i="53"/>
  <c r="Q54" i="53"/>
  <c r="K50" i="53"/>
  <c r="L56" i="53"/>
  <c r="T45" i="53"/>
  <c r="T51" i="53"/>
  <c r="P44" i="53"/>
  <c r="M37" i="53"/>
  <c r="O13" i="53"/>
  <c r="F56" i="53"/>
  <c r="P55" i="53"/>
  <c r="J23" i="53"/>
  <c r="T52" i="53"/>
  <c r="R53" i="53"/>
  <c r="P42" i="53"/>
  <c r="Q43" i="53"/>
  <c r="R23" i="53"/>
  <c r="J40" i="53"/>
  <c r="Q53" i="53"/>
  <c r="O47" i="53"/>
  <c r="J32" i="53"/>
  <c r="T46" i="53"/>
  <c r="R55" i="53"/>
  <c r="J21" i="53"/>
  <c r="F13" i="53"/>
  <c r="M46" i="53"/>
  <c r="F31" i="53"/>
  <c r="E41" i="53"/>
  <c r="L13" i="53"/>
  <c r="R38" i="53"/>
  <c r="N16" i="53"/>
  <c r="N19" i="53"/>
  <c r="T7" i="53"/>
  <c r="H50" i="53"/>
  <c r="Q56" i="53"/>
  <c r="H40" i="53"/>
  <c r="S42" i="53"/>
  <c r="I55" i="53"/>
  <c r="P52" i="53"/>
  <c r="L55" i="53"/>
  <c r="T44" i="53"/>
  <c r="T32" i="53"/>
  <c r="M49" i="53"/>
  <c r="P23" i="53"/>
  <c r="E49" i="53"/>
  <c r="P49" i="53"/>
  <c r="T42" i="53"/>
  <c r="K7" i="53"/>
  <c r="L57" i="53"/>
  <c r="M40" i="53"/>
  <c r="S16" i="53"/>
  <c r="P50" i="53"/>
  <c r="L7" i="53"/>
  <c r="E13" i="53"/>
  <c r="M30" i="53"/>
  <c r="R32" i="53"/>
  <c r="P33" i="53"/>
  <c r="H15" i="53"/>
  <c r="N54" i="53"/>
  <c r="D11" i="53"/>
  <c r="P19" i="53"/>
  <c r="O19" i="53"/>
  <c r="M51" i="53"/>
  <c r="T54" i="53"/>
  <c r="J49" i="53"/>
  <c r="H11" i="53"/>
  <c r="Q36" i="53"/>
  <c r="O11" i="53"/>
  <c r="K31" i="53"/>
  <c r="I51" i="53"/>
  <c r="F34" i="53"/>
  <c r="O30" i="53"/>
  <c r="P30" i="53"/>
  <c r="H42" i="53"/>
  <c r="N10" i="53"/>
  <c r="T15" i="53"/>
  <c r="E31" i="53"/>
  <c r="Q41" i="53"/>
  <c r="E23" i="53"/>
  <c r="R31" i="53"/>
  <c r="M16" i="53"/>
  <c r="P32" i="53"/>
  <c r="P13" i="53"/>
  <c r="D50" i="53"/>
  <c r="G40" i="53"/>
  <c r="J42" i="53"/>
  <c r="D10" i="53"/>
  <c r="N48" i="53"/>
  <c r="H37" i="53"/>
  <c r="Q12" i="53"/>
  <c r="J14" i="53"/>
  <c r="G10" i="53"/>
  <c r="P14" i="53"/>
  <c r="O21" i="53"/>
  <c r="P34" i="53"/>
  <c r="G22" i="53"/>
  <c r="I14" i="53"/>
  <c r="Q34" i="53"/>
  <c r="N41" i="53"/>
  <c r="F37" i="53"/>
  <c r="K10" i="53"/>
  <c r="L40" i="53"/>
  <c r="H43" i="53"/>
  <c r="O57" i="53"/>
  <c r="D15" i="53"/>
  <c r="M11" i="53"/>
  <c r="D38" i="53"/>
  <c r="L54" i="53"/>
  <c r="S44" i="53"/>
  <c r="H13" i="53"/>
  <c r="Q18" i="53"/>
  <c r="J41" i="53"/>
  <c r="D30" i="53"/>
  <c r="K21" i="53"/>
  <c r="G34" i="53"/>
  <c r="J16" i="53"/>
  <c r="I43" i="53"/>
  <c r="Q13" i="53"/>
  <c r="S38" i="53"/>
  <c r="L23" i="53"/>
  <c r="S33" i="53"/>
  <c r="D34" i="53"/>
  <c r="M32" i="53"/>
  <c r="G11" i="53"/>
  <c r="R36" i="53"/>
  <c r="S32" i="53"/>
  <c r="N22" i="53"/>
  <c r="E37" i="53"/>
  <c r="O48" i="53"/>
  <c r="N45" i="53"/>
  <c r="M47" i="53"/>
  <c r="J24" i="53"/>
  <c r="F15" i="53"/>
  <c r="K49" i="53"/>
  <c r="F50" i="53"/>
  <c r="D47" i="53"/>
  <c r="J45" i="53"/>
  <c r="K41" i="53"/>
  <c r="Q49" i="53"/>
  <c r="K40" i="53"/>
  <c r="R16" i="53"/>
  <c r="L15" i="53"/>
  <c r="R13" i="53"/>
  <c r="F7" i="53"/>
  <c r="I40" i="53"/>
  <c r="S54" i="53"/>
  <c r="M10" i="53"/>
  <c r="E36" i="53"/>
  <c r="S11" i="53"/>
  <c r="D49" i="53"/>
  <c r="T40" i="53"/>
  <c r="Q50" i="53"/>
  <c r="D18" i="53"/>
  <c r="I36" i="53"/>
  <c r="Q46" i="53"/>
  <c r="H49" i="53"/>
  <c r="H41" i="53"/>
  <c r="P56" i="53"/>
  <c r="G20" i="53"/>
  <c r="N53" i="53"/>
  <c r="G23" i="53"/>
  <c r="J51" i="53"/>
  <c r="G30" i="53"/>
  <c r="I30" i="53"/>
  <c r="Q42" i="53"/>
  <c r="D23" i="53"/>
  <c r="T12" i="53"/>
  <c r="T10" i="53"/>
  <c r="O23" i="53"/>
  <c r="L33" i="53"/>
  <c r="E33" i="53"/>
  <c r="G36" i="53"/>
  <c r="N18" i="53"/>
  <c r="F43" i="53"/>
  <c r="L42" i="53"/>
  <c r="N30" i="53"/>
  <c r="L44" i="53"/>
  <c r="I20" i="53"/>
  <c r="G43" i="53"/>
  <c r="N55" i="53"/>
  <c r="O36" i="53"/>
  <c r="Q10" i="53"/>
  <c r="T13" i="53"/>
  <c r="F12" i="53"/>
  <c r="F33" i="53"/>
  <c r="O34" i="53"/>
  <c r="T16" i="53"/>
  <c r="M14" i="53"/>
  <c r="J10" i="53"/>
  <c r="O14" i="53"/>
  <c r="O20" i="53"/>
  <c r="E55" i="53"/>
  <c r="H31" i="53"/>
  <c r="F49" i="53"/>
  <c r="G48" i="53"/>
  <c r="E15" i="53"/>
  <c r="J46" i="53"/>
  <c r="O10" i="53"/>
  <c r="R18" i="53"/>
  <c r="P31" i="53"/>
  <c r="J20" i="53"/>
  <c r="I57" i="53"/>
  <c r="P43" i="53"/>
  <c r="T37" i="53"/>
  <c r="I32" i="53"/>
  <c r="R41" i="53"/>
  <c r="N42" i="53"/>
  <c r="T19" i="53"/>
  <c r="H48" i="53"/>
  <c r="E24" i="53"/>
  <c r="I24" i="53"/>
  <c r="K36" i="53"/>
  <c r="K51" i="53"/>
  <c r="O42" i="53"/>
  <c r="O40" i="53"/>
  <c r="E54" i="53"/>
  <c r="S48" i="53"/>
  <c r="D45" i="53"/>
  <c r="K47" i="53"/>
  <c r="N57" i="53"/>
  <c r="T48" i="53"/>
  <c r="O33" i="53"/>
  <c r="F24" i="53"/>
  <c r="L11" i="53"/>
  <c r="N11" i="53"/>
  <c r="M36" i="53"/>
  <c r="O49" i="53"/>
  <c r="Q32" i="53"/>
  <c r="E11" i="53"/>
  <c r="S45" i="53"/>
  <c r="I56" i="53"/>
  <c r="T57" i="53"/>
  <c r="T41" i="53"/>
  <c r="J57" i="53"/>
  <c r="L52" i="53"/>
  <c r="F30" i="53"/>
  <c r="T22" i="53"/>
  <c r="P10" i="53"/>
  <c r="P36" i="53"/>
  <c r="L49" i="53"/>
  <c r="J15" i="53"/>
  <c r="S50" i="53"/>
  <c r="K24" i="53"/>
  <c r="Q47" i="53"/>
  <c r="L47" i="53"/>
  <c r="Q20" i="53"/>
  <c r="I45" i="53"/>
  <c r="L32" i="53"/>
  <c r="I10" i="53"/>
  <c r="K52" i="53"/>
  <c r="F38" i="53"/>
  <c r="S53" i="53"/>
  <c r="I18" i="53"/>
  <c r="N21" i="53"/>
  <c r="G55" i="53"/>
  <c r="E22" i="53"/>
  <c r="L20" i="53"/>
  <c r="H45" i="53"/>
  <c r="H16" i="53"/>
  <c r="I46" i="53"/>
  <c r="I47" i="53"/>
  <c r="K12" i="53"/>
  <c r="H22" i="53"/>
  <c r="H53" i="53"/>
  <c r="T14" i="53"/>
  <c r="R11" i="53"/>
  <c r="Q55" i="53"/>
  <c r="Q7" i="53"/>
  <c r="Q31" i="53"/>
  <c r="K15" i="53"/>
  <c r="L37" i="53"/>
  <c r="K37" i="53"/>
  <c r="D7" i="53"/>
  <c r="E51" i="53"/>
  <c r="D48" i="53"/>
  <c r="O38" i="53"/>
  <c r="P37" i="53"/>
  <c r="Q19" i="53"/>
  <c r="J13" i="53"/>
  <c r="R15" i="53"/>
  <c r="R10" i="53"/>
  <c r="G19" i="53"/>
  <c r="T30" i="53"/>
  <c r="F16" i="53"/>
  <c r="R33" i="53"/>
  <c r="S52" i="53"/>
  <c r="T21" i="53"/>
  <c r="D22" i="53"/>
  <c r="D36" i="53"/>
  <c r="L14" i="53"/>
  <c r="N32" i="53"/>
  <c r="D41" i="53"/>
  <c r="N33" i="53"/>
  <c r="G53" i="53"/>
  <c r="Q51" i="53"/>
  <c r="N36" i="53"/>
  <c r="F48" i="53"/>
  <c r="F20" i="53"/>
  <c r="K13" i="53"/>
  <c r="S56" i="53"/>
  <c r="L31" i="53"/>
  <c r="Q21" i="53"/>
  <c r="S40" i="53"/>
  <c r="S51" i="53"/>
  <c r="R34" i="53"/>
  <c r="D51" i="53"/>
  <c r="S15" i="53"/>
  <c r="J54" i="53"/>
  <c r="K23" i="53"/>
  <c r="Q37" i="53"/>
  <c r="O44" i="53"/>
  <c r="R40" i="53"/>
  <c r="P41" i="53"/>
  <c r="F42" i="53"/>
  <c r="Q40" i="53"/>
  <c r="E56" i="53"/>
  <c r="E44" i="53"/>
  <c r="M54" i="53"/>
  <c r="G42" i="53"/>
  <c r="O55" i="53"/>
  <c r="K33" i="53"/>
  <c r="R46" i="53"/>
  <c r="S55" i="53"/>
  <c r="J37" i="53"/>
  <c r="O41" i="53"/>
  <c r="N15" i="53"/>
  <c r="S23" i="53"/>
  <c r="G38" i="53"/>
  <c r="M31" i="53"/>
  <c r="G32" i="53"/>
  <c r="T50" i="53"/>
  <c r="L41" i="53"/>
  <c r="D40" i="53"/>
  <c r="Q11" i="53"/>
  <c r="P20" i="53"/>
  <c r="L45" i="53"/>
  <c r="E40" i="53"/>
  <c r="I31" i="53"/>
  <c r="O15" i="53"/>
  <c r="G7" i="53"/>
  <c r="P51" i="53"/>
  <c r="L36" i="53"/>
  <c r="L21" i="53"/>
  <c r="R56" i="53"/>
  <c r="F47" i="53"/>
  <c r="F23" i="53"/>
  <c r="K11" i="53"/>
  <c r="M18" i="53"/>
  <c r="I34" i="53"/>
  <c r="M13" i="53"/>
  <c r="E47" i="53"/>
  <c r="M33" i="53"/>
  <c r="H38" i="53"/>
  <c r="E32" i="53"/>
  <c r="D33" i="53"/>
  <c r="R37" i="53"/>
  <c r="D54" i="53"/>
  <c r="K20" i="53"/>
  <c r="S43" i="53"/>
  <c r="J52" i="53"/>
  <c r="R30" i="53"/>
  <c r="F18" i="53"/>
  <c r="L10" i="53"/>
  <c r="G49" i="53"/>
  <c r="G21" i="53"/>
  <c r="K46" i="53"/>
  <c r="Q38" i="53"/>
  <c r="H24" i="53"/>
  <c r="E12" i="53"/>
  <c r="O54" i="53"/>
  <c r="N37" i="53"/>
  <c r="E19" i="53"/>
  <c r="D24" i="53"/>
  <c r="N24" i="53"/>
  <c r="P16" i="53"/>
  <c r="M21" i="53"/>
  <c r="H12" i="53"/>
  <c r="H23" i="53"/>
  <c r="S19" i="53"/>
  <c r="J38" i="53"/>
  <c r="K55" i="53"/>
  <c r="S57" i="53"/>
  <c r="J44" i="53"/>
  <c r="D37" i="53"/>
  <c r="G57" i="53"/>
  <c r="G47" i="53"/>
  <c r="E30" i="53"/>
  <c r="J33" i="53"/>
  <c r="F54" i="53"/>
  <c r="Q48" i="53"/>
  <c r="R19" i="53"/>
  <c r="K57" i="53"/>
  <c r="R54" i="53"/>
  <c r="D13" i="53"/>
  <c r="K53" i="53"/>
  <c r="S18" i="53"/>
  <c r="I22" i="53"/>
  <c r="M15" i="53"/>
  <c r="K44" i="53"/>
  <c r="E38" i="53"/>
  <c r="E48" i="53"/>
  <c r="T53" i="53"/>
  <c r="I44" i="53"/>
  <c r="T33" i="53"/>
  <c r="K18" i="53"/>
  <c r="R7" i="53"/>
  <c r="T34" i="53"/>
  <c r="T24" i="53"/>
  <c r="L18" i="53"/>
  <c r="O32" i="53"/>
  <c r="M7" i="53"/>
  <c r="H46" i="53"/>
  <c r="S36" i="53"/>
  <c r="I13" i="53"/>
  <c r="T56" i="53"/>
  <c r="G44" i="53"/>
  <c r="G13" i="53"/>
  <c r="J34" i="53"/>
  <c r="L24" i="53"/>
  <c r="O12" i="53"/>
  <c r="D56" i="53"/>
  <c r="I42" i="53"/>
  <c r="M44" i="53"/>
  <c r="Q14" i="53"/>
  <c r="N23" i="53"/>
  <c r="H14" i="53"/>
  <c r="J19" i="53"/>
  <c r="D44" i="53"/>
  <c r="S10" i="53"/>
  <c r="F36" i="53"/>
  <c r="N43" i="53"/>
  <c r="I23" i="53"/>
  <c r="P47" i="53"/>
  <c r="K48" i="53"/>
  <c r="O45" i="53"/>
  <c r="H18" i="53"/>
  <c r="H20" i="53"/>
  <c r="N7" i="53"/>
  <c r="G54" i="53"/>
  <c r="S30" i="53"/>
  <c r="I33" i="53"/>
  <c r="F32" i="53"/>
  <c r="K38" i="53"/>
  <c r="S34" i="53"/>
  <c r="K22" i="53"/>
  <c r="M42" i="53"/>
  <c r="R44" i="53"/>
  <c r="T36" i="53"/>
  <c r="I38" i="53"/>
  <c r="L53" i="53"/>
  <c r="F52" i="53"/>
  <c r="F19" i="53"/>
  <c r="L19" i="53"/>
  <c r="E20" i="53"/>
  <c r="N47" i="53"/>
  <c r="Q24" i="53"/>
  <c r="Q23" i="53"/>
  <c r="P22" i="53"/>
  <c r="S7" i="53"/>
  <c r="G18" i="53"/>
  <c r="O7" i="53"/>
  <c r="J7" i="53"/>
  <c r="J11" i="53"/>
  <c r="M23" i="53"/>
  <c r="M53" i="53"/>
  <c r="H21" i="53"/>
  <c r="D42" i="53"/>
  <c r="E21" i="53"/>
  <c r="I48" i="53"/>
  <c r="H30" i="53"/>
  <c r="G33" i="53"/>
  <c r="F41" i="53"/>
  <c r="M55" i="53"/>
  <c r="D53" i="53"/>
  <c r="M38" i="53"/>
  <c r="J48" i="53"/>
  <c r="Q15" i="53"/>
  <c r="M48" i="53"/>
  <c r="O50" i="53"/>
  <c r="P53" i="53"/>
  <c r="P38" i="53"/>
  <c r="E34" i="53"/>
  <c r="K56" i="53"/>
  <c r="I37" i="53"/>
  <c r="P46" i="53"/>
  <c r="P11" i="53"/>
  <c r="L22" i="53"/>
  <c r="S31" i="53"/>
  <c r="D14" i="53"/>
  <c r="R20" i="53"/>
  <c r="P24" i="53"/>
  <c r="O24" i="53"/>
  <c r="I19" i="53"/>
  <c r="J56" i="53"/>
  <c r="L34" i="53"/>
  <c r="R22" i="53"/>
  <c r="H55" i="53"/>
  <c r="M34" i="53"/>
  <c r="N49" i="53"/>
  <c r="L43" i="53"/>
  <c r="P7" i="53"/>
  <c r="H19" i="53"/>
  <c r="S41" i="53"/>
  <c r="T38" i="53"/>
  <c r="N50" i="53"/>
  <c r="F46" i="53"/>
  <c r="G14" i="53"/>
  <c r="I21" i="53"/>
  <c r="M43" i="53"/>
  <c r="R51" i="53"/>
  <c r="M22" i="53"/>
  <c r="E45" i="53"/>
  <c r="D52" i="53"/>
  <c r="M24" i="53"/>
  <c r="N20" i="53"/>
  <c r="P54" i="53"/>
  <c r="N52" i="53"/>
  <c r="R49" i="53"/>
  <c r="D12" i="53"/>
  <c r="G50" i="53"/>
  <c r="I49" i="53"/>
  <c r="T43" i="53"/>
  <c r="E52" i="53"/>
  <c r="M12" i="53"/>
  <c r="O51" i="53"/>
  <c r="H52" i="53"/>
  <c r="Q45" i="53"/>
  <c r="Q33" i="53"/>
  <c r="M56" i="53"/>
  <c r="S20" i="53"/>
  <c r="R50" i="53"/>
  <c r="D21" i="53"/>
  <c r="E16" i="53"/>
  <c r="J30" i="53"/>
  <c r="Q30" i="53"/>
  <c r="Q52" i="53"/>
  <c r="Q57" i="53"/>
  <c r="E42" i="53"/>
  <c r="O37" i="53"/>
  <c r="N38" i="53"/>
  <c r="L38" i="53"/>
  <c r="D43" i="53"/>
  <c r="R21" i="53"/>
  <c r="T23" i="53"/>
  <c r="O56" i="53"/>
  <c r="H54" i="53"/>
  <c r="J50" i="53"/>
  <c r="J55" i="53"/>
  <c r="J31" i="53"/>
  <c r="D16" i="53"/>
  <c r="H51" i="53"/>
  <c r="N44" i="53"/>
  <c r="J47" i="53"/>
  <c r="J18" i="53"/>
  <c r="F10" i="53"/>
  <c r="E43" i="53"/>
  <c r="F53" i="53"/>
  <c r="D32" i="53"/>
  <c r="N56" i="53"/>
  <c r="G37" i="53"/>
  <c r="J12" i="53"/>
  <c r="F51" i="53"/>
  <c r="P48" i="53"/>
  <c r="I50" i="53"/>
  <c r="K16" i="53"/>
  <c r="E10" i="53"/>
  <c r="R14" i="53"/>
  <c r="H44" i="53"/>
  <c r="N51" i="53"/>
  <c r="O46" i="53"/>
  <c r="G41" i="53"/>
  <c r="S47" i="53"/>
  <c r="D19" i="53"/>
  <c r="T20" i="53"/>
  <c r="O22" i="53"/>
  <c r="G24" i="53"/>
  <c r="I11" i="53"/>
  <c r="L50" i="53"/>
  <c r="L30" i="53"/>
  <c r="K19" i="53"/>
  <c r="K54" i="53"/>
  <c r="S12" i="53"/>
  <c r="I41" i="53"/>
  <c r="G12" i="53"/>
  <c r="I15" i="53"/>
  <c r="H32" i="53"/>
  <c r="M41" i="53"/>
  <c r="E57" i="53"/>
  <c r="H7" i="53"/>
  <c r="D20" i="53"/>
  <c r="N31" i="53"/>
  <c r="E46" i="53"/>
  <c r="L16" i="53"/>
  <c r="I7" i="53"/>
  <c r="G51" i="53"/>
  <c r="S46" i="53"/>
  <c r="M20" i="53"/>
  <c r="N34" i="53"/>
  <c r="K14" i="53"/>
  <c r="N12" i="53"/>
  <c r="F22" i="53"/>
  <c r="L48" i="53"/>
  <c r="K45" i="53"/>
  <c r="E14" i="53"/>
  <c r="F57" i="53"/>
  <c r="P57" i="53"/>
  <c r="G56" i="53"/>
  <c r="G52" i="53"/>
  <c r="T11" i="53"/>
  <c r="K32" i="53"/>
  <c r="S24" i="53"/>
  <c r="K43" i="53"/>
  <c r="D55" i="53"/>
  <c r="O52" i="53"/>
  <c r="R43" i="53"/>
  <c r="I52" i="53"/>
  <c r="I53" i="53"/>
  <c r="P21" i="53"/>
  <c r="O16" i="53"/>
  <c r="N46" i="53"/>
  <c r="P18" i="53"/>
  <c r="S49" i="53"/>
  <c r="G31" i="53"/>
  <c r="Q16" i="53"/>
  <c r="S14" i="53"/>
  <c r="H34" i="53"/>
  <c r="M52" i="53"/>
  <c r="O18" i="53"/>
  <c r="P40" i="53"/>
  <c r="D31" i="53"/>
  <c r="R42" i="53"/>
  <c r="N13" i="53"/>
  <c r="R45" i="53"/>
  <c r="R47" i="53"/>
  <c r="T49" i="53"/>
  <c r="N40" i="53"/>
  <c r="K30" i="53"/>
  <c r="G45" i="53"/>
  <c r="E53" i="53"/>
  <c r="R57" i="53"/>
  <c r="G46" i="53"/>
  <c r="M50" i="53"/>
  <c r="D46" i="53"/>
  <c r="P45" i="53"/>
  <c r="H57" i="53"/>
  <c r="T55" i="53"/>
  <c r="S21" i="53"/>
  <c r="H10" i="53"/>
  <c r="M57" i="53"/>
  <c r="L51" i="53"/>
  <c r="J43" i="53"/>
  <c r="F40" i="53"/>
  <c r="O53" i="53"/>
  <c r="E18" i="53"/>
  <c r="R24" i="53"/>
  <c r="S37" i="53"/>
  <c r="T31" i="53"/>
  <c r="Q22" i="53"/>
  <c r="L12" i="53"/>
  <c r="L46" i="53"/>
  <c r="O43" i="53"/>
  <c r="F44" i="53"/>
  <c r="H36" i="53"/>
  <c r="R12" i="53"/>
  <c r="K34" i="53"/>
  <c r="H56" i="53"/>
  <c r="F14" i="53"/>
  <c r="J22" i="53"/>
  <c r="I12" i="53"/>
  <c r="P15" i="53"/>
  <c r="M19" i="53"/>
  <c r="T18" i="53"/>
  <c r="Q44" i="53"/>
  <c r="M45" i="53"/>
  <c r="H47" i="53"/>
  <c r="T47" i="53"/>
  <c r="R52" i="53"/>
  <c r="F55" i="53"/>
  <c r="H33" i="53"/>
  <c r="F21" i="53"/>
  <c r="S13" i="53"/>
  <c r="R48" i="53"/>
  <c r="K42" i="53"/>
  <c r="O31" i="53"/>
  <c r="P12" i="53"/>
  <c r="N14" i="53"/>
  <c r="I54" i="53"/>
  <c r="F45" i="53"/>
  <c r="S22" i="53"/>
  <c r="L13" i="52" l="1"/>
  <c r="N16" i="52"/>
  <c r="O16" i="52"/>
  <c r="O18" i="52"/>
  <c r="F16" i="52"/>
  <c r="S16" i="52"/>
  <c r="G16" i="52"/>
  <c r="J13" i="52"/>
  <c r="F35" i="53"/>
  <c r="F14" i="52" s="1"/>
  <c r="O17" i="52"/>
  <c r="R7" i="52"/>
  <c r="O29" i="53"/>
  <c r="O12" i="52" s="1"/>
  <c r="H7" i="52"/>
  <c r="I11" i="52"/>
  <c r="N17" i="53"/>
  <c r="N10" i="52" s="1"/>
  <c r="I29" i="53"/>
  <c r="I12" i="52" s="1"/>
  <c r="D39" i="53"/>
  <c r="D15" i="52" s="1"/>
  <c r="S35" i="53"/>
  <c r="S14" i="52" s="1"/>
  <c r="P17" i="52"/>
  <c r="S8" i="53"/>
  <c r="E7" i="52"/>
  <c r="K17" i="52"/>
  <c r="R39" i="53"/>
  <c r="R15" i="52" s="1"/>
  <c r="J39" i="53"/>
  <c r="J15" i="52" s="1"/>
  <c r="G35" i="53"/>
  <c r="G14" i="52" s="1"/>
  <c r="T13" i="52"/>
  <c r="N11" i="52"/>
  <c r="L11" i="52"/>
  <c r="T35" i="53"/>
  <c r="T14" i="52" s="1"/>
  <c r="G29" i="53"/>
  <c r="G12" i="52" s="1"/>
  <c r="K29" i="53"/>
  <c r="K12" i="52" s="1"/>
  <c r="D13" i="52"/>
  <c r="D17" i="52"/>
  <c r="S39" i="53"/>
  <c r="S15" i="52" s="1"/>
  <c r="H39" i="53"/>
  <c r="H15" i="52" s="1"/>
  <c r="J18" i="52"/>
  <c r="I35" i="53"/>
  <c r="I14" i="52" s="1"/>
  <c r="R13" i="52"/>
  <c r="N8" i="53"/>
  <c r="M8" i="53"/>
  <c r="T11" i="52"/>
  <c r="R17" i="53"/>
  <c r="R10" i="52" s="1"/>
  <c r="T39" i="53"/>
  <c r="T15" i="52" s="1"/>
  <c r="P35" i="53"/>
  <c r="P14" i="52" s="1"/>
  <c r="D16" i="52"/>
  <c r="J8" i="53"/>
  <c r="D17" i="53"/>
  <c r="D10" i="52" s="1"/>
  <c r="M16" i="52"/>
  <c r="I16" i="52"/>
  <c r="P13" i="52"/>
  <c r="L17" i="52"/>
  <c r="H8" i="53"/>
  <c r="E29" i="53"/>
  <c r="E12" i="52" s="1"/>
  <c r="R18" i="52"/>
  <c r="T8" i="53"/>
  <c r="J35" i="53"/>
  <c r="J14" i="52" s="1"/>
  <c r="K17" i="53"/>
  <c r="K10" i="52" s="1"/>
  <c r="N13" i="52"/>
  <c r="F39" i="53"/>
  <c r="F15" i="52" s="1"/>
  <c r="H17" i="53"/>
  <c r="H10" i="52" s="1"/>
  <c r="G7" i="52"/>
  <c r="Q35" i="53"/>
  <c r="Q14" i="52" s="1"/>
  <c r="P39" i="53"/>
  <c r="P15" i="52" s="1"/>
  <c r="N29" i="53"/>
  <c r="N12" i="52" s="1"/>
  <c r="H18" i="52"/>
  <c r="F11" i="52"/>
  <c r="Q39" i="53"/>
  <c r="Q15" i="52" s="1"/>
  <c r="T16" i="52"/>
  <c r="S17" i="53"/>
  <c r="S10" i="52" s="1"/>
  <c r="K7" i="52"/>
  <c r="H29" i="53"/>
  <c r="H12" i="52" s="1"/>
  <c r="F17" i="53"/>
  <c r="F10" i="52" s="1"/>
  <c r="E39" i="53"/>
  <c r="E15" i="52" s="1"/>
  <c r="P8" i="53"/>
  <c r="P18" i="52"/>
  <c r="R29" i="53"/>
  <c r="R12" i="52" s="1"/>
  <c r="P11" i="52"/>
  <c r="H11" i="52"/>
  <c r="T17" i="52"/>
  <c r="S29" i="53"/>
  <c r="S12" i="52" s="1"/>
  <c r="G18" i="52"/>
  <c r="J7" i="52"/>
  <c r="D8" i="53"/>
  <c r="N17" i="52"/>
  <c r="Q13" i="52"/>
  <c r="S7" i="52"/>
  <c r="M17" i="53"/>
  <c r="M10" i="52" s="1"/>
  <c r="R11" i="52"/>
  <c r="F8" i="53"/>
  <c r="G13" i="52"/>
  <c r="M18" i="52"/>
  <c r="M11" i="52"/>
  <c r="G8" i="53"/>
  <c r="L35" i="53"/>
  <c r="L14" i="52" s="1"/>
  <c r="G39" i="53"/>
  <c r="G15" i="52" s="1"/>
  <c r="M29" i="53"/>
  <c r="M12" i="52" s="1"/>
  <c r="T7" i="52"/>
  <c r="I39" i="53"/>
  <c r="I15" i="52" s="1"/>
  <c r="D7" i="52"/>
  <c r="H16" i="52"/>
  <c r="S18" i="52"/>
  <c r="R8" i="53"/>
  <c r="I17" i="53"/>
  <c r="I10" i="52" s="1"/>
  <c r="Q17" i="53"/>
  <c r="Q10" i="52" s="1"/>
  <c r="O7" i="52"/>
  <c r="P17" i="53"/>
  <c r="P10" i="52" s="1"/>
  <c r="I13" i="52"/>
  <c r="J29" i="53"/>
  <c r="J12" i="52" s="1"/>
  <c r="O11" i="52"/>
  <c r="H35" i="53"/>
  <c r="H14" i="52" s="1"/>
  <c r="G17" i="52"/>
  <c r="L29" i="53"/>
  <c r="L12" i="52" s="1"/>
  <c r="L39" i="53"/>
  <c r="L15" i="52" s="1"/>
  <c r="L8" i="53"/>
  <c r="I7" i="52"/>
  <c r="K8" i="53"/>
  <c r="J16" i="52"/>
  <c r="L17" i="53"/>
  <c r="L10" i="52" s="1"/>
  <c r="O35" i="53"/>
  <c r="O14" i="52" s="1"/>
  <c r="E18" i="52"/>
  <c r="Q11" i="52"/>
  <c r="M39" i="53"/>
  <c r="M15" i="52" s="1"/>
  <c r="N7" i="52"/>
  <c r="G17" i="53"/>
  <c r="G10" i="52" s="1"/>
  <c r="O17" i="53"/>
  <c r="O10" i="52" s="1"/>
  <c r="T18" i="52"/>
  <c r="K18" i="52"/>
  <c r="L18" i="52"/>
  <c r="I17" i="52"/>
  <c r="F29" i="53"/>
  <c r="F12" i="52" s="1"/>
  <c r="D35" i="53"/>
  <c r="D14" i="52" s="1"/>
  <c r="K11" i="52"/>
  <c r="O13" i="52"/>
  <c r="D29" i="53"/>
  <c r="D12" i="52" s="1"/>
  <c r="J17" i="53"/>
  <c r="J10" i="52" s="1"/>
  <c r="M17" i="52"/>
  <c r="Q29" i="53"/>
  <c r="Q12" i="52" s="1"/>
  <c r="P16" i="52"/>
  <c r="T29" i="53"/>
  <c r="T12" i="52" s="1"/>
  <c r="G11" i="52"/>
  <c r="F7" i="52"/>
  <c r="N39" i="53"/>
  <c r="N15" i="52" s="1"/>
  <c r="Q8" i="53"/>
  <c r="Q7" i="52"/>
  <c r="S17" i="52"/>
  <c r="T17" i="53"/>
  <c r="T10" i="52" s="1"/>
  <c r="D18" i="52"/>
  <c r="E16" i="52"/>
  <c r="O39" i="53"/>
  <c r="O15" i="52" s="1"/>
  <c r="E13" i="52"/>
  <c r="N18" i="52"/>
  <c r="M35" i="53"/>
  <c r="M14" i="52" s="1"/>
  <c r="D11" i="52"/>
  <c r="L16" i="52"/>
  <c r="H13" i="52"/>
  <c r="Q17" i="52"/>
  <c r="M7" i="52"/>
  <c r="E17" i="52"/>
  <c r="F17" i="52"/>
  <c r="S11" i="52"/>
  <c r="F13" i="52"/>
  <c r="Q16" i="52"/>
  <c r="O8" i="53"/>
  <c r="E11" i="52"/>
  <c r="I18" i="52"/>
  <c r="R17" i="52"/>
  <c r="P7" i="52"/>
  <c r="N35" i="53"/>
  <c r="N14" i="52" s="1"/>
  <c r="E8" i="53"/>
  <c r="K13" i="52"/>
  <c r="R35" i="53"/>
  <c r="R14" i="52" s="1"/>
  <c r="K35" i="53"/>
  <c r="K14" i="52" s="1"/>
  <c r="P29" i="53"/>
  <c r="P12" i="52" s="1"/>
  <c r="K16" i="52"/>
  <c r="I8" i="53"/>
  <c r="J17" i="52"/>
  <c r="L7" i="52"/>
  <c r="M13" i="52"/>
  <c r="R16" i="52"/>
  <c r="K39" i="53"/>
  <c r="K15" i="52" s="1"/>
  <c r="E35" i="53"/>
  <c r="E14" i="52" s="1"/>
  <c r="H17" i="52"/>
  <c r="F18" i="52"/>
  <c r="J11" i="52"/>
  <c r="E17" i="53"/>
  <c r="E10" i="52" s="1"/>
  <c r="S13" i="52"/>
  <c r="Q18" i="52"/>
  <c r="G8" i="52" l="1"/>
  <c r="G9" i="52" s="1"/>
  <c r="G19" i="52" s="1"/>
  <c r="G9" i="53"/>
  <c r="G58" i="53" s="1"/>
  <c r="E9" i="53"/>
  <c r="E58" i="53" s="1"/>
  <c r="E8" i="52"/>
  <c r="E9" i="52" s="1"/>
  <c r="E19" i="52" s="1"/>
  <c r="M8" i="52"/>
  <c r="M9" i="52" s="1"/>
  <c r="M19" i="52" s="1"/>
  <c r="M9" i="53"/>
  <c r="M58" i="53" s="1"/>
  <c r="I9" i="53"/>
  <c r="I58" i="53" s="1"/>
  <c r="I8" i="52"/>
  <c r="I9" i="52" s="1"/>
  <c r="I19" i="52" s="1"/>
  <c r="Q9" i="53"/>
  <c r="Q58" i="53" s="1"/>
  <c r="Q8" i="52"/>
  <c r="Q9" i="52" s="1"/>
  <c r="Q19" i="52" s="1"/>
  <c r="T9" i="53"/>
  <c r="T58" i="53" s="1"/>
  <c r="T8" i="52"/>
  <c r="T9" i="52" s="1"/>
  <c r="T19" i="52" s="1"/>
  <c r="N8" i="52"/>
  <c r="N9" i="52" s="1"/>
  <c r="N19" i="52" s="1"/>
  <c r="N9" i="53"/>
  <c r="N58" i="53" s="1"/>
  <c r="R8" i="52"/>
  <c r="R9" i="52" s="1"/>
  <c r="R19" i="52" s="1"/>
  <c r="R9" i="53"/>
  <c r="R58" i="53" s="1"/>
  <c r="J9" i="53"/>
  <c r="J58" i="53" s="1"/>
  <c r="J8" i="52"/>
  <c r="J9" i="52" s="1"/>
  <c r="J19" i="52" s="1"/>
  <c r="K8" i="52"/>
  <c r="K9" i="52" s="1"/>
  <c r="K19" i="52" s="1"/>
  <c r="K9" i="53"/>
  <c r="K58" i="53" s="1"/>
  <c r="H9" i="53"/>
  <c r="H58" i="53" s="1"/>
  <c r="H8" i="52"/>
  <c r="H9" i="52" s="1"/>
  <c r="H19" i="52" s="1"/>
  <c r="O19" i="52"/>
  <c r="O9" i="53"/>
  <c r="O58" i="53" s="1"/>
  <c r="D8" i="52"/>
  <c r="D9" i="53"/>
  <c r="D58" i="53" s="1"/>
  <c r="S8" i="52"/>
  <c r="S9" i="52" s="1"/>
  <c r="S19" i="52" s="1"/>
  <c r="S9" i="53"/>
  <c r="S58" i="53" s="1"/>
  <c r="L9" i="53"/>
  <c r="L58" i="53" s="1"/>
  <c r="L8" i="52"/>
  <c r="L9" i="52" s="1"/>
  <c r="L19" i="52" s="1"/>
  <c r="P8" i="52"/>
  <c r="P9" i="52" s="1"/>
  <c r="P19" i="52" s="1"/>
  <c r="P9" i="53"/>
  <c r="P58" i="53" s="1"/>
  <c r="F8" i="52"/>
  <c r="F9" i="52" s="1"/>
  <c r="F19" i="52" s="1"/>
  <c r="F9" i="53"/>
  <c r="F58" i="53" s="1"/>
  <c r="C9" i="52" l="1"/>
  <c r="D9" i="52"/>
  <c r="D19" i="52" s="1"/>
</calcChain>
</file>

<file path=xl/comments1.xml><?xml version="1.0" encoding="utf-8"?>
<comments xmlns="http://schemas.openxmlformats.org/spreadsheetml/2006/main">
  <authors>
    <author>Lisa Cowan</author>
  </authors>
  <commentList>
    <comment ref="O9" authorId="0">
      <text>
        <r>
          <rPr>
            <b/>
            <sz val="9"/>
            <color indexed="81"/>
            <rFont val="Tahoma"/>
            <family val="2"/>
          </rPr>
          <t>Lisa Cowan:</t>
        </r>
        <r>
          <rPr>
            <sz val="9"/>
            <color indexed="81"/>
            <rFont val="Tahoma"/>
            <family val="2"/>
          </rPr>
          <t xml:space="preserve">
Formula manually changed, due to zero state ed. special purpose funding</t>
        </r>
      </text>
    </comment>
  </commentList>
</comments>
</file>

<file path=xl/comments2.xml><?xml version="1.0" encoding="utf-8"?>
<comments xmlns="http://schemas.openxmlformats.org/spreadsheetml/2006/main">
  <authors>
    <author>jmarks</author>
  </authors>
  <commentList>
    <comment ref="B117" authorId="0">
      <text>
        <r>
          <rPr>
            <b/>
            <sz val="10"/>
            <color indexed="81"/>
            <rFont val="Tahoma"/>
            <family val="2"/>
          </rPr>
          <t>jmarks:</t>
        </r>
        <r>
          <rPr>
            <sz val="10"/>
            <color indexed="81"/>
            <rFont val="Tahoma"/>
            <family val="2"/>
          </rPr>
          <t xml:space="preserve">
Must be range valued to sort right. But don't. See note above.</t>
        </r>
      </text>
    </comment>
  </commentList>
</comments>
</file>

<file path=xl/comments3.xml><?xml version="1.0" encoding="utf-8"?>
<comments xmlns="http://schemas.openxmlformats.org/spreadsheetml/2006/main">
  <authors>
    <author>JLM</author>
    <author>Alicia A. Diaz</author>
    <author>Cagle, Susan</author>
    <author>jmarks</author>
    <author xml:space="preserve"> </author>
    <author>johnd</author>
    <author>ashleyp</author>
    <author>claudiag</author>
    <author>aphillips</author>
    <author>FLDOE</author>
    <author>mloverde</author>
    <author>Pat Roessler</author>
    <author>Board of Regents</author>
    <author>Kincaid, Kenneth</author>
    <author>Lee, Cynthia M.</author>
    <author>Boelscher, Scott (CPE)</author>
    <author>mevilsiz</author>
    <author>Camille Brown</author>
    <author>Crystal Collins</author>
    <author>adiaz</author>
    <author>..</author>
    <author>Administrator</author>
  </authors>
  <commentList>
    <comment ref="G8" authorId="0">
      <text>
        <r>
          <rPr>
            <b/>
            <sz val="10"/>
            <color indexed="81"/>
            <rFont val="Tahoma"/>
            <family val="2"/>
          </rPr>
          <t>JLM:</t>
        </r>
        <r>
          <rPr>
            <sz val="10"/>
            <color indexed="81"/>
            <rFont val="Tahoma"/>
            <family val="2"/>
          </rPr>
          <t xml:space="preserve">
Reflecting end-of-year amounts. </t>
        </r>
      </text>
    </comment>
    <comment ref="I8" authorId="0">
      <text>
        <r>
          <rPr>
            <b/>
            <sz val="10"/>
            <color indexed="81"/>
            <rFont val="Tahoma"/>
            <family val="2"/>
          </rPr>
          <t>JLM:</t>
        </r>
        <r>
          <rPr>
            <sz val="10"/>
            <color indexed="81"/>
            <rFont val="Tahoma"/>
            <family val="2"/>
          </rPr>
          <t xml:space="preserve">
Reflecting end-of-year amounts. </t>
        </r>
      </text>
    </comment>
    <comment ref="K8" authorId="0">
      <text>
        <r>
          <rPr>
            <b/>
            <sz val="10"/>
            <color indexed="81"/>
            <rFont val="Tahoma"/>
            <family val="2"/>
          </rPr>
          <t>JLM:</t>
        </r>
        <r>
          <rPr>
            <sz val="10"/>
            <color indexed="81"/>
            <rFont val="Tahoma"/>
            <family val="2"/>
          </rPr>
          <t xml:space="preserve">
Reflecting end-of-year amounts. </t>
        </r>
      </text>
    </comment>
    <comment ref="M8" authorId="0">
      <text>
        <r>
          <rPr>
            <b/>
            <sz val="10"/>
            <color indexed="81"/>
            <rFont val="Tahoma"/>
            <family val="2"/>
          </rPr>
          <t>JLM:</t>
        </r>
        <r>
          <rPr>
            <sz val="10"/>
            <color indexed="81"/>
            <rFont val="Tahoma"/>
            <family val="2"/>
          </rPr>
          <t xml:space="preserve">
Reflecting end-of-year amounts. </t>
        </r>
      </text>
    </comment>
    <comment ref="N8" authorId="0">
      <text>
        <r>
          <rPr>
            <b/>
            <sz val="10"/>
            <color indexed="81"/>
            <rFont val="Tahoma"/>
            <family val="2"/>
          </rPr>
          <t>JLM:</t>
        </r>
        <r>
          <rPr>
            <sz val="10"/>
            <color indexed="81"/>
            <rFont val="Tahoma"/>
            <family val="2"/>
          </rPr>
          <t xml:space="preserve">
Reflecting end-of-year amounts. </t>
        </r>
      </text>
    </comment>
    <comment ref="U8" authorId="0">
      <text>
        <r>
          <rPr>
            <b/>
            <sz val="10"/>
            <color indexed="81"/>
            <rFont val="Tahoma"/>
            <family val="2"/>
          </rPr>
          <t>JLM:</t>
        </r>
        <r>
          <rPr>
            <sz val="10"/>
            <color indexed="81"/>
            <rFont val="Tahoma"/>
            <family val="2"/>
          </rPr>
          <t xml:space="preserve">
Reflecting end-of-year amounts. </t>
        </r>
      </text>
    </comment>
    <comment ref="W8" authorId="0">
      <text>
        <r>
          <rPr>
            <b/>
            <sz val="10"/>
            <color indexed="81"/>
            <rFont val="Tahoma"/>
            <family val="2"/>
          </rPr>
          <t>JLM:</t>
        </r>
        <r>
          <rPr>
            <sz val="10"/>
            <color indexed="81"/>
            <rFont val="Tahoma"/>
            <family val="2"/>
          </rPr>
          <t xml:space="preserve">
Reflecting end-of-year amounts. </t>
        </r>
      </text>
    </comment>
    <comment ref="X8" authorId="0">
      <text>
        <r>
          <rPr>
            <b/>
            <sz val="10"/>
            <color indexed="81"/>
            <rFont val="Tahoma"/>
            <family val="2"/>
          </rPr>
          <t>JLM:</t>
        </r>
        <r>
          <rPr>
            <sz val="10"/>
            <color indexed="81"/>
            <rFont val="Tahoma"/>
            <family val="2"/>
          </rPr>
          <t xml:space="preserve">
Reflecting end-of-year amounts. </t>
        </r>
      </text>
    </comment>
    <comment ref="AC8" authorId="0">
      <text>
        <r>
          <rPr>
            <b/>
            <sz val="10"/>
            <color indexed="81"/>
            <rFont val="Tahoma"/>
            <family val="2"/>
          </rPr>
          <t>JLM:</t>
        </r>
        <r>
          <rPr>
            <sz val="10"/>
            <color indexed="81"/>
            <rFont val="Tahoma"/>
            <family val="2"/>
          </rPr>
          <t xml:space="preserve">
Reflecting end-of-year amounts. </t>
        </r>
      </text>
    </comment>
    <comment ref="AE8" authorId="0">
      <text>
        <r>
          <rPr>
            <b/>
            <sz val="10"/>
            <color indexed="81"/>
            <rFont val="Tahoma"/>
            <family val="2"/>
          </rPr>
          <t>JLM:</t>
        </r>
        <r>
          <rPr>
            <sz val="10"/>
            <color indexed="81"/>
            <rFont val="Tahoma"/>
            <family val="2"/>
          </rPr>
          <t xml:space="preserve">
Reflecting end-of-year amounts. </t>
        </r>
      </text>
    </comment>
    <comment ref="AF8" authorId="0">
      <text>
        <r>
          <rPr>
            <b/>
            <sz val="10"/>
            <color indexed="81"/>
            <rFont val="Tahoma"/>
            <family val="2"/>
          </rPr>
          <t>JLM:</t>
        </r>
        <r>
          <rPr>
            <sz val="10"/>
            <color indexed="81"/>
            <rFont val="Tahoma"/>
            <family val="2"/>
          </rPr>
          <t xml:space="preserve">
Reflecting end-of-year amounts. </t>
        </r>
      </text>
    </comment>
    <comment ref="E102" authorId="1">
      <text>
        <r>
          <rPr>
            <b/>
            <sz val="8"/>
            <color indexed="81"/>
            <rFont val="Tahoma"/>
            <family val="2"/>
          </rPr>
          <t>No Freshmen, Upper Level school - will not have data in every section.</t>
        </r>
      </text>
    </comment>
    <comment ref="E103" authorId="1">
      <text>
        <r>
          <rPr>
            <b/>
            <sz val="8"/>
            <color indexed="81"/>
            <rFont val="Tahoma"/>
            <family val="2"/>
          </rPr>
          <t>No Freshmen, Upper Level school - will not have data in every section.</t>
        </r>
      </text>
    </comment>
    <comment ref="E104" authorId="1">
      <text>
        <r>
          <rPr>
            <b/>
            <sz val="8"/>
            <color indexed="81"/>
            <rFont val="Tahoma"/>
            <family val="2"/>
          </rPr>
          <t>No Freshmen, Upper Level school - will not have data in every section.</t>
        </r>
      </text>
    </comment>
    <comment ref="C242" authorId="2">
      <text>
        <r>
          <rPr>
            <b/>
            <sz val="9"/>
            <color indexed="81"/>
            <rFont val="Tahoma"/>
            <family val="2"/>
          </rPr>
          <t>Cagle, Susan:</t>
        </r>
        <r>
          <rPr>
            <sz val="9"/>
            <color indexed="81"/>
            <rFont val="Tahoma"/>
            <family val="2"/>
          </rPr>
          <t xml:space="preserve">
Moved from under Shelton State CC
</t>
        </r>
      </text>
    </comment>
    <comment ref="C264" authorId="2">
      <text>
        <r>
          <rPr>
            <b/>
            <sz val="9"/>
            <color indexed="81"/>
            <rFont val="Tahoma"/>
            <family val="2"/>
          </rPr>
          <t>Cagle, Susan:</t>
        </r>
        <r>
          <rPr>
            <sz val="9"/>
            <color indexed="81"/>
            <rFont val="Tahoma"/>
            <family val="2"/>
          </rPr>
          <t xml:space="preserve">
I wasn't sure what group number this should be given.</t>
        </r>
      </text>
    </comment>
    <comment ref="C382" authorId="3">
      <text>
        <r>
          <rPr>
            <b/>
            <sz val="8"/>
            <color indexed="81"/>
            <rFont val="Tahoma"/>
            <family val="2"/>
          </rPr>
          <t xml:space="preserve">jmarks: </t>
        </r>
        <r>
          <rPr>
            <sz val="8"/>
            <color indexed="81"/>
            <rFont val="Tahoma"/>
            <family val="2"/>
          </rPr>
          <t xml:space="preserve">note statewide unit code to left: reported here for comparability among land grants
</t>
        </r>
      </text>
    </comment>
    <comment ref="C383" authorId="3">
      <text>
        <r>
          <rPr>
            <b/>
            <sz val="8"/>
            <color indexed="81"/>
            <rFont val="Tahoma"/>
            <family val="2"/>
          </rPr>
          <t>jmarks:</t>
        </r>
        <r>
          <rPr>
            <sz val="8"/>
            <color indexed="81"/>
            <rFont val="Tahoma"/>
            <family val="2"/>
          </rPr>
          <t xml:space="preserve"> jmarks: note statewide unit code to left: reported here for comparability among land grants
</t>
        </r>
      </text>
    </comment>
    <comment ref="C384" authorId="3">
      <text>
        <r>
          <rPr>
            <b/>
            <sz val="8"/>
            <color indexed="81"/>
            <rFont val="Tahoma"/>
            <family val="2"/>
          </rPr>
          <t>jmarks:</t>
        </r>
        <r>
          <rPr>
            <sz val="8"/>
            <color indexed="81"/>
            <rFont val="Tahoma"/>
            <family val="2"/>
          </rPr>
          <t xml:space="preserve"> jmarks: note statewide unit code to left: reported here for comparability among land grants
</t>
        </r>
      </text>
    </comment>
    <comment ref="C392" authorId="4">
      <text>
        <r>
          <rPr>
            <sz val="10"/>
            <color indexed="81"/>
            <rFont val="Tahoma"/>
            <family val="2"/>
          </rPr>
          <t xml:space="preserve">Institution name changed - formerly Arkansas Valley Technical Institute now reported as part of main campus.
</t>
        </r>
      </text>
    </comment>
    <comment ref="C447" authorId="5">
      <text>
        <r>
          <rPr>
            <b/>
            <sz val="8"/>
            <color indexed="81"/>
            <rFont val="Tahoma"/>
            <family val="2"/>
          </rPr>
          <t>johnd:</t>
        </r>
        <r>
          <rPr>
            <sz val="8"/>
            <color indexed="81"/>
            <rFont val="Tahoma"/>
            <family val="2"/>
          </rPr>
          <t xml:space="preserve">
changed name from Dr. William M Scholl College of Podiatric Medicine</t>
        </r>
      </text>
    </comment>
    <comment ref="C450" authorId="6">
      <text>
        <r>
          <rPr>
            <b/>
            <sz val="8"/>
            <color indexed="81"/>
            <rFont val="Tahoma"/>
            <family val="2"/>
          </rPr>
          <t>ashleyp:</t>
        </r>
        <r>
          <rPr>
            <sz val="8"/>
            <color indexed="81"/>
            <rFont val="Tahoma"/>
            <family val="2"/>
          </rPr>
          <t xml:space="preserve">
new institution added </t>
        </r>
      </text>
    </comment>
    <comment ref="C478" authorId="6">
      <text>
        <r>
          <rPr>
            <b/>
            <sz val="8"/>
            <color indexed="81"/>
            <rFont val="Tahoma"/>
            <family val="2"/>
          </rPr>
          <t>ashleyp:</t>
        </r>
        <r>
          <rPr>
            <sz val="8"/>
            <color indexed="81"/>
            <rFont val="Tahoma"/>
            <family val="2"/>
          </rPr>
          <t xml:space="preserve">
new program
</t>
        </r>
      </text>
    </comment>
    <comment ref="C485" authorId="7">
      <text>
        <r>
          <rPr>
            <b/>
            <sz val="8"/>
            <color indexed="81"/>
            <rFont val="Tahoma"/>
            <family val="2"/>
          </rPr>
          <t>claudiag:</t>
        </r>
        <r>
          <rPr>
            <sz val="8"/>
            <color indexed="81"/>
            <rFont val="Tahoma"/>
            <family val="2"/>
          </rPr>
          <t xml:space="preserve">
Name changedfrom Teacher Retraining Grants to Teacher Opportunity Program</t>
        </r>
      </text>
    </comment>
    <comment ref="C590" authorId="3">
      <text>
        <r>
          <rPr>
            <b/>
            <sz val="8"/>
            <color indexed="81"/>
            <rFont val="Tahoma"/>
            <family val="2"/>
          </rPr>
          <t>jmarks:</t>
        </r>
        <r>
          <rPr>
            <sz val="8"/>
            <color indexed="81"/>
            <rFont val="Tahoma"/>
            <family val="2"/>
          </rPr>
          <t xml:space="preserve">
In DE  H.Ed. Office budget
</t>
        </r>
      </text>
    </comment>
    <comment ref="C594" authorId="8">
      <text>
        <r>
          <rPr>
            <b/>
            <sz val="8"/>
            <color indexed="81"/>
            <rFont val="Tahoma"/>
            <family val="2"/>
          </rPr>
          <t xml:space="preserve">aphillips: </t>
        </r>
        <r>
          <rPr>
            <sz val="8"/>
            <color indexed="81"/>
            <rFont val="Tahoma"/>
            <family val="2"/>
          </rPr>
          <t xml:space="preserve">Delaware remits a total of $1,250,000 to private medical colleges to reserve admissions slots for DE residents.  The remainder is overhead support.
</t>
        </r>
      </text>
    </comment>
    <comment ref="C597" authorId="8">
      <text>
        <r>
          <rPr>
            <b/>
            <sz val="8"/>
            <color indexed="81"/>
            <rFont val="Tahoma"/>
            <family val="2"/>
          </rPr>
          <t xml:space="preserve">aphillips: </t>
        </r>
        <r>
          <rPr>
            <sz val="8"/>
            <color indexed="81"/>
            <rFont val="Tahoma"/>
            <family val="2"/>
          </rPr>
          <t xml:space="preserve">2007-08 $75,000 remitted to Temple University to reserve admission slots for DE residents. $90,000 awarded to students for non-need based scholarships ("stipends"). $60,000 awarded to students for need-based scholarships. Temple is a public Pennsylvania university.
</t>
        </r>
      </text>
    </comment>
    <comment ref="C664" authorId="3">
      <text>
        <r>
          <rPr>
            <b/>
            <sz val="10"/>
            <color indexed="81"/>
            <rFont val="Tahoma"/>
            <family val="2"/>
          </rPr>
          <t>Aphillips: program being phased out</t>
        </r>
      </text>
    </comment>
    <comment ref="C678" authorId="3">
      <text>
        <r>
          <rPr>
            <b/>
            <sz val="10"/>
            <color indexed="81"/>
            <rFont val="Tahoma"/>
            <family val="2"/>
          </rPr>
          <t>APhillips:</t>
        </r>
        <r>
          <rPr>
            <sz val="10"/>
            <color indexed="81"/>
            <rFont val="Tahoma"/>
            <family val="2"/>
          </rPr>
          <t xml:space="preserve">
previously Gov's Workforce Dvlpmt Grant</t>
        </r>
      </text>
    </comment>
    <comment ref="C685" authorId="3">
      <text>
        <r>
          <rPr>
            <b/>
            <sz val="10"/>
            <color indexed="81"/>
            <rFont val="Tahoma"/>
            <family val="2"/>
          </rPr>
          <t>Aphillips: 
new program</t>
        </r>
      </text>
    </comment>
    <comment ref="C720" authorId="8">
      <text>
        <r>
          <rPr>
            <b/>
            <sz val="8"/>
            <color indexed="81"/>
            <rFont val="Tahoma"/>
            <family val="2"/>
          </rPr>
          <t>aphillips:</t>
        </r>
        <r>
          <rPr>
            <sz val="8"/>
            <color indexed="81"/>
            <rFont val="Tahoma"/>
            <family val="2"/>
          </rPr>
          <t xml:space="preserve">
Payments are made to individuals, not institutions for course reimbursements</t>
        </r>
      </text>
    </comment>
    <comment ref="C727" authorId="8">
      <text>
        <r>
          <rPr>
            <b/>
            <sz val="8"/>
            <color indexed="81"/>
            <rFont val="Tahoma"/>
            <family val="2"/>
          </rPr>
          <t>aphillips:</t>
        </r>
        <r>
          <rPr>
            <sz val="8"/>
            <color indexed="81"/>
            <rFont val="Tahoma"/>
            <family val="2"/>
          </rPr>
          <t xml:space="preserve">
Payments are made to individuals, not institutions, for application toward individual education debt.</t>
        </r>
      </text>
    </comment>
    <comment ref="C736" authorId="8">
      <text>
        <r>
          <rPr>
            <b/>
            <sz val="8"/>
            <color indexed="81"/>
            <rFont val="Tahoma"/>
            <family val="2"/>
          </rPr>
          <t>aphillips:</t>
        </r>
        <r>
          <rPr>
            <sz val="8"/>
            <color indexed="81"/>
            <rFont val="Tahoma"/>
            <family val="2"/>
          </rPr>
          <t xml:space="preserve">
New scholarship program effective 2006-2007, Dental Medicine student, Temple University only.</t>
        </r>
      </text>
    </comment>
    <comment ref="C961" authorId="9">
      <text>
        <r>
          <rPr>
            <b/>
            <sz val="8"/>
            <color indexed="81"/>
            <rFont val="Tahoma"/>
            <family val="2"/>
          </rPr>
          <t>FLDOE:</t>
        </r>
        <r>
          <rPr>
            <sz val="8"/>
            <color indexed="81"/>
            <rFont val="Tahoma"/>
            <family val="2"/>
          </rPr>
          <t xml:space="preserve">
Formely the Division of Community Colleges
</t>
        </r>
      </text>
    </comment>
    <comment ref="C966" authorId="10">
      <text>
        <r>
          <rPr>
            <b/>
            <sz val="8"/>
            <color indexed="81"/>
            <rFont val="Tahoma"/>
            <family val="2"/>
          </rPr>
          <t>according to Susan Wright, this is the first year this has been broken out</t>
        </r>
      </text>
    </comment>
    <comment ref="C976" authorId="11">
      <text>
        <r>
          <rPr>
            <b/>
            <sz val="9"/>
            <color indexed="81"/>
            <rFont val="Tahoma"/>
            <family val="2"/>
          </rPr>
          <t>Pat Roessler:</t>
        </r>
        <r>
          <rPr>
            <sz val="9"/>
            <color indexed="81"/>
            <rFont val="Tahoma"/>
            <family val="2"/>
          </rPr>
          <t xml:space="preserve">
Moved here for FY14</t>
        </r>
      </text>
    </comment>
    <comment ref="C1018" authorId="12">
      <text>
        <r>
          <rPr>
            <b/>
            <sz val="8"/>
            <color indexed="81"/>
            <rFont val="Tahoma"/>
            <family val="2"/>
          </rPr>
          <t>Board of Regents:</t>
        </r>
        <r>
          <rPr>
            <sz val="8"/>
            <color indexed="81"/>
            <rFont val="Tahoma"/>
            <family val="2"/>
          </rPr>
          <t xml:space="preserve">
The Board of Regents has a Shared Services Center that is supported by the institutions</t>
        </r>
      </text>
    </comment>
    <comment ref="C1019" authorId="3">
      <text>
        <r>
          <rPr>
            <sz val="10"/>
            <color indexed="81"/>
            <rFont val="Tahoma"/>
            <family val="2"/>
          </rPr>
          <t xml:space="preserve">Includes functions or positions in the System Office which directly support instruction or instruction related functions and programs at the institutions as well as for the University System in general. </t>
        </r>
      </text>
    </comment>
    <comment ref="C1022" authorId="3">
      <text>
        <r>
          <rPr>
            <sz val="10"/>
            <color indexed="81"/>
            <rFont val="Tahoma"/>
            <family val="2"/>
          </rPr>
          <t>Represents the portion of the System Office which supports non-instruction functions at the System Office and the institutions.</t>
        </r>
      </text>
    </comment>
    <comment ref="C1024" authorId="3">
      <text>
        <r>
          <rPr>
            <b/>
            <sz val="8"/>
            <color indexed="81"/>
            <rFont val="Tahoma"/>
            <family val="2"/>
          </rPr>
          <t>jmarks:</t>
        </r>
        <r>
          <rPr>
            <sz val="8"/>
            <color indexed="81"/>
            <rFont val="Tahoma"/>
            <family val="2"/>
          </rPr>
          <t xml:space="preserve">
adjusted for building</t>
        </r>
      </text>
    </comment>
    <comment ref="C1039" authorId="3">
      <text>
        <r>
          <rPr>
            <b/>
            <sz val="8"/>
            <color indexed="81"/>
            <rFont val="Tahoma"/>
            <family val="2"/>
          </rPr>
          <t>jmarks:</t>
        </r>
        <r>
          <rPr>
            <sz val="8"/>
            <color indexed="81"/>
            <rFont val="Tahoma"/>
            <family val="2"/>
          </rPr>
          <t xml:space="preserve">
Formerly SREB contract but now not. (In Dept. Community Health: GA. Bd. for Physician Workforce budgets.)</t>
        </r>
      </text>
    </comment>
    <comment ref="V1041" authorId="11">
      <text>
        <r>
          <rPr>
            <b/>
            <sz val="9"/>
            <color indexed="81"/>
            <rFont val="Tahoma"/>
            <family val="2"/>
          </rPr>
          <t>Pat Roessler:</t>
        </r>
        <r>
          <rPr>
            <sz val="9"/>
            <color indexed="81"/>
            <rFont val="Tahoma"/>
            <family val="2"/>
          </rPr>
          <t xml:space="preserve">
Funds were transferred to the Morehouse SOM Operating Grant in FY14 per Cherri Tucker</t>
        </r>
      </text>
    </comment>
    <comment ref="C1075" authorId="13">
      <text>
        <r>
          <rPr>
            <b/>
            <sz val="9"/>
            <color indexed="81"/>
            <rFont val="Tahoma"/>
            <family val="2"/>
          </rPr>
          <t>Kincaid, Kenneth:</t>
        </r>
        <r>
          <rPr>
            <sz val="9"/>
            <color indexed="81"/>
            <rFont val="Tahoma"/>
            <family val="2"/>
          </rPr>
          <t xml:space="preserve">
Middle Ga Tech merged with Central Ga Tech on July 1, 2013
</t>
        </r>
      </text>
    </comment>
    <comment ref="C1079" authorId="14">
      <text>
        <r>
          <rPr>
            <b/>
            <sz val="8"/>
            <color indexed="81"/>
            <rFont val="Tahoma"/>
            <family val="2"/>
          </rPr>
          <t>Lee, Cynthia M.:</t>
        </r>
        <r>
          <rPr>
            <sz val="8"/>
            <color indexed="81"/>
            <rFont val="Tahoma"/>
            <family val="2"/>
          </rPr>
          <t xml:space="preserve">
DeKalb was renamed to Georgia Piedmont as of 10/1/11</t>
        </r>
      </text>
    </comment>
    <comment ref="M1101" authorId="15">
      <text>
        <r>
          <rPr>
            <b/>
            <sz val="9"/>
            <color indexed="81"/>
            <rFont val="Tahoma"/>
            <family val="2"/>
          </rPr>
          <t>Updated for the 13-14 survey</t>
        </r>
      </text>
    </comment>
    <comment ref="AE1102" authorId="15">
      <text>
        <r>
          <rPr>
            <sz val="9"/>
            <color indexed="81"/>
            <rFont val="Tahoma"/>
            <family val="2"/>
          </rPr>
          <t>updated for 13-14 survey</t>
        </r>
      </text>
    </comment>
    <comment ref="M1116" authorId="15">
      <text>
        <r>
          <rPr>
            <b/>
            <sz val="9"/>
            <color indexed="81"/>
            <rFont val="Tahoma"/>
            <family val="2"/>
          </rPr>
          <t>updated for 13-14 survey</t>
        </r>
      </text>
    </comment>
    <comment ref="N1116" authorId="15">
      <text>
        <r>
          <rPr>
            <sz val="9"/>
            <color indexed="81"/>
            <rFont val="Tahoma"/>
            <family val="2"/>
          </rPr>
          <t>Added in the 2013-14 survey</t>
        </r>
      </text>
    </comment>
    <comment ref="M1123" authorId="15">
      <text>
        <r>
          <rPr>
            <b/>
            <sz val="9"/>
            <color indexed="81"/>
            <rFont val="Tahoma"/>
            <family val="2"/>
          </rPr>
          <t>updated for 13-14 survey</t>
        </r>
      </text>
    </comment>
    <comment ref="N1123" authorId="15">
      <text>
        <r>
          <rPr>
            <sz val="9"/>
            <color indexed="81"/>
            <rFont val="Tahoma"/>
            <family val="2"/>
          </rPr>
          <t>Added in the 2013-14 survey</t>
        </r>
      </text>
    </comment>
    <comment ref="M1131" authorId="15">
      <text>
        <r>
          <rPr>
            <b/>
            <sz val="9"/>
            <color indexed="81"/>
            <rFont val="Tahoma"/>
            <family val="2"/>
          </rPr>
          <t>updated for 13-14 survey</t>
        </r>
      </text>
    </comment>
    <comment ref="N1131" authorId="15">
      <text>
        <r>
          <rPr>
            <sz val="9"/>
            <color indexed="81"/>
            <rFont val="Tahoma"/>
            <family val="2"/>
          </rPr>
          <t>Added in the 2013-14 survey</t>
        </r>
      </text>
    </comment>
    <comment ref="M1137" authorId="15">
      <text>
        <r>
          <rPr>
            <sz val="9"/>
            <color indexed="81"/>
            <rFont val="Tahoma"/>
            <family val="2"/>
          </rPr>
          <t>updated for 13-14 survey</t>
        </r>
      </text>
    </comment>
    <comment ref="N1137" authorId="15">
      <text>
        <r>
          <rPr>
            <sz val="9"/>
            <color indexed="81"/>
            <rFont val="Tahoma"/>
            <family val="2"/>
          </rPr>
          <t>Added in the 2013-14 survey</t>
        </r>
      </text>
    </comment>
    <comment ref="C1155" authorId="16">
      <text>
        <r>
          <rPr>
            <b/>
            <sz val="8"/>
            <color indexed="81"/>
            <rFont val="Tahoma"/>
            <family val="2"/>
          </rPr>
          <t>mevilsiz:</t>
        </r>
        <r>
          <rPr>
            <sz val="8"/>
            <color indexed="81"/>
            <rFont val="Tahoma"/>
            <family val="2"/>
          </rPr>
          <t xml:space="preserve">
Formerly Bowling Green Technical College</t>
        </r>
      </text>
    </comment>
    <comment ref="C1173" authorId="15">
      <text>
        <r>
          <rPr>
            <sz val="9"/>
            <color indexed="81"/>
            <rFont val="Tahoma"/>
            <family val="2"/>
          </rPr>
          <t>Entered for first time in 2013-14. It incorrectly was not included in the 2012-13 survey.</t>
        </r>
      </text>
    </comment>
    <comment ref="U1178" authorId="15">
      <text>
        <r>
          <rPr>
            <sz val="9"/>
            <color indexed="81"/>
            <rFont val="Tahoma"/>
            <family val="2"/>
          </rPr>
          <t>updated for 2013-14 survey</t>
        </r>
      </text>
    </comment>
    <comment ref="C1219" authorId="3">
      <text>
        <r>
          <rPr>
            <b/>
            <sz val="8"/>
            <color indexed="81"/>
            <rFont val="Tahoma"/>
            <family val="2"/>
          </rPr>
          <t xml:space="preserve">jmarks: </t>
        </r>
        <r>
          <rPr>
            <sz val="8"/>
            <color indexed="81"/>
            <rFont val="Tahoma"/>
            <family val="2"/>
          </rPr>
          <t xml:space="preserve"> note statewide unit code to left: reported here for comparability among land grants
</t>
        </r>
      </text>
    </comment>
    <comment ref="C1223" authorId="3">
      <text>
        <r>
          <rPr>
            <b/>
            <sz val="8"/>
            <color indexed="81"/>
            <rFont val="Tahoma"/>
            <family val="2"/>
          </rPr>
          <t xml:space="preserve">jmarks: </t>
        </r>
        <r>
          <rPr>
            <sz val="8"/>
            <color indexed="81"/>
            <rFont val="Tahoma"/>
            <family val="2"/>
          </rPr>
          <t xml:space="preserve"> Operates as a statewide but reported here for comparability among land grants
</t>
        </r>
      </text>
    </comment>
    <comment ref="C1224" authorId="3">
      <text>
        <r>
          <rPr>
            <b/>
            <sz val="8"/>
            <color indexed="81"/>
            <rFont val="Tahoma"/>
            <family val="2"/>
          </rPr>
          <t xml:space="preserve">jmarks: </t>
        </r>
        <r>
          <rPr>
            <sz val="8"/>
            <color indexed="81"/>
            <rFont val="Tahoma"/>
            <family val="2"/>
          </rPr>
          <t xml:space="preserve"> Operates as a statewide but reported here for comparability among land grants
</t>
        </r>
      </text>
    </comment>
    <comment ref="C1225" authorId="3">
      <text>
        <r>
          <rPr>
            <b/>
            <sz val="8"/>
            <color indexed="81"/>
            <rFont val="Tahoma"/>
            <family val="2"/>
          </rPr>
          <t xml:space="preserve">jmarks: </t>
        </r>
        <r>
          <rPr>
            <sz val="8"/>
            <color indexed="81"/>
            <rFont val="Tahoma"/>
            <family val="2"/>
          </rPr>
          <t xml:space="preserve"> Operates as a statewide but reported here for comparability among land grants
</t>
        </r>
      </text>
    </comment>
    <comment ref="C1231" authorId="3">
      <text>
        <r>
          <rPr>
            <b/>
            <sz val="8"/>
            <color indexed="81"/>
            <rFont val="Tahoma"/>
            <family val="2"/>
          </rPr>
          <t xml:space="preserve">jmarks: </t>
        </r>
        <r>
          <rPr>
            <sz val="8"/>
            <color indexed="81"/>
            <rFont val="Tahoma"/>
            <family val="2"/>
          </rPr>
          <t xml:space="preserve"> Operates as a statewide but reported here for comparability among land grants
</t>
        </r>
      </text>
    </comment>
    <comment ref="C1232" authorId="3">
      <text>
        <r>
          <rPr>
            <b/>
            <sz val="8"/>
            <color indexed="81"/>
            <rFont val="Tahoma"/>
            <family val="2"/>
          </rPr>
          <t xml:space="preserve">jmarks: </t>
        </r>
        <r>
          <rPr>
            <sz val="8"/>
            <color indexed="81"/>
            <rFont val="Tahoma"/>
            <family val="2"/>
          </rPr>
          <t xml:space="preserve"> Operates as a statewide but reported here for comparability among land grants
</t>
        </r>
      </text>
    </comment>
    <comment ref="C1233" authorId="3">
      <text>
        <r>
          <rPr>
            <b/>
            <sz val="8"/>
            <color indexed="81"/>
            <rFont val="Tahoma"/>
            <family val="2"/>
          </rPr>
          <t xml:space="preserve">jmarks: </t>
        </r>
        <r>
          <rPr>
            <sz val="8"/>
            <color indexed="81"/>
            <rFont val="Tahoma"/>
            <family val="2"/>
          </rPr>
          <t xml:space="preserve"> Operates as a statewide but reported here for comparability among land grants
</t>
        </r>
      </text>
    </comment>
    <comment ref="C1567" authorId="3">
      <text>
        <r>
          <rPr>
            <sz val="10"/>
            <color indexed="81"/>
            <rFont val="Tahoma"/>
            <family val="2"/>
          </rPr>
          <t xml:space="preserve">WWTS, WWAR, NELB, NELR, CSA, GTS, NELM, NELP, NTSP, HCP (Excludes CNTP, CNAR, MTLR, SREB, STSC, MED, DENT, SDSP, VMMP)
</t>
        </r>
      </text>
    </comment>
    <comment ref="A1800" authorId="3">
      <text>
        <r>
          <rPr>
            <b/>
            <sz val="10"/>
            <color indexed="81"/>
            <rFont val="Tahoma"/>
            <family val="2"/>
          </rPr>
          <t xml:space="preserve">jmarks: </t>
        </r>
        <r>
          <rPr>
            <sz val="10"/>
            <color indexed="81"/>
            <rFont val="Tahoma"/>
            <family val="2"/>
          </rPr>
          <t>General note for all NC CCs: Beginning with the 2010-11 classfication new formulae were used to more accurately account for courses using contact hours rather than credit hours. The overall effect is to lower the calculated credit hour count and thus the FTE counts. This is, in effect, a recalibration and a number of instutitons have been reclassified as a result.</t>
        </r>
      </text>
    </comment>
    <comment ref="C1840" authorId="3">
      <text>
        <r>
          <rPr>
            <b/>
            <sz val="10"/>
            <color indexed="81"/>
            <rFont val="Tahoma"/>
            <family val="2"/>
          </rPr>
          <t>jmarks:</t>
        </r>
        <r>
          <rPr>
            <sz val="10"/>
            <color indexed="81"/>
            <rFont val="Tahoma"/>
            <family val="2"/>
          </rPr>
          <t xml:space="preserve">
Met the criteria for Two-Year 1 in 2009-10.</t>
        </r>
      </text>
    </comment>
    <comment ref="C1844" authorId="3">
      <text>
        <r>
          <rPr>
            <b/>
            <sz val="10"/>
            <color indexed="81"/>
            <rFont val="Tahoma"/>
            <family val="2"/>
          </rPr>
          <t>jmarks:</t>
        </r>
        <r>
          <rPr>
            <sz val="10"/>
            <color indexed="81"/>
            <rFont val="Tahoma"/>
            <family val="2"/>
          </rPr>
          <t xml:space="preserve">
Met the criteria for Two-Year 1 in 2009-10.</t>
        </r>
      </text>
    </comment>
    <comment ref="C1860" authorId="1">
      <text>
        <r>
          <rPr>
            <sz val="10"/>
            <color indexed="81"/>
            <rFont val="Tahoma"/>
            <family val="2"/>
          </rPr>
          <t>Met the criteria for SREB 2 Year 1 in 2008-09 and 2009-10.</t>
        </r>
      </text>
    </comment>
    <comment ref="C1940" authorId="3">
      <text>
        <r>
          <rPr>
            <sz val="10"/>
            <color indexed="81"/>
            <rFont val="Tahoma"/>
            <family val="2"/>
          </rPr>
          <t>Met the criteria for Two-Year 2 in 2009-10.</t>
        </r>
      </text>
    </comment>
    <comment ref="C1956" authorId="3">
      <text>
        <r>
          <rPr>
            <sz val="10"/>
            <color indexed="81"/>
            <rFont val="Tahoma"/>
            <family val="2"/>
          </rPr>
          <t>Met the criteria for Two-Year 2 in 2009-10.</t>
        </r>
      </text>
    </comment>
    <comment ref="C2008" authorId="3">
      <text>
        <r>
          <rPr>
            <sz val="10"/>
            <color indexed="81"/>
            <rFont val="Tahoma"/>
            <family val="2"/>
          </rPr>
          <t>Met the criteria for Two-Year 2 in 2009-10.</t>
        </r>
      </text>
    </comment>
    <comment ref="C2037" authorId="3">
      <text>
        <r>
          <rPr>
            <b/>
            <sz val="8"/>
            <color indexed="81"/>
            <rFont val="Tahoma"/>
            <family val="2"/>
          </rPr>
          <t>jmarks:</t>
        </r>
        <r>
          <rPr>
            <sz val="8"/>
            <color indexed="81"/>
            <rFont val="Tahoma"/>
            <family val="2"/>
          </rPr>
          <t xml:space="preserve">
Includes funds to develop statewide computer information ststem (CIS).</t>
        </r>
      </text>
    </comment>
    <comment ref="C2088" authorId="3">
      <text>
        <r>
          <rPr>
            <b/>
            <sz val="10"/>
            <color indexed="81"/>
            <rFont val="Tahoma"/>
            <family val="2"/>
          </rPr>
          <t>jmarks:</t>
        </r>
        <r>
          <rPr>
            <sz val="10"/>
            <color indexed="81"/>
            <rFont val="Tahoma"/>
            <family val="2"/>
          </rPr>
          <t xml:space="preserve">
System office funded out of institutional appropriations and not identified to state office.</t>
        </r>
      </text>
    </comment>
    <comment ref="C2099" authorId="3">
      <text>
        <r>
          <rPr>
            <b/>
            <sz val="8"/>
            <color indexed="81"/>
            <rFont val="Tahoma"/>
            <family val="2"/>
          </rPr>
          <t>jmarks:</t>
        </r>
        <r>
          <rPr>
            <sz val="8"/>
            <color indexed="81"/>
            <rFont val="Tahoma"/>
            <family val="2"/>
          </rPr>
          <t xml:space="preserve">
In the future, please identify amounts to public sector students and to private sector students, if possible.</t>
        </r>
      </text>
    </comment>
    <comment ref="V2622" authorId="17">
      <text>
        <r>
          <rPr>
            <b/>
            <sz val="9"/>
            <color indexed="81"/>
            <rFont val="Tahoma"/>
            <family val="2"/>
          </rPr>
          <t>Camille Brown:</t>
        </r>
        <r>
          <rPr>
            <sz val="9"/>
            <color indexed="81"/>
            <rFont val="Tahoma"/>
            <family val="2"/>
          </rPr>
          <t xml:space="preserve">
This is correct.</t>
        </r>
      </text>
    </comment>
    <comment ref="V2714" authorId="18">
      <text>
        <r>
          <rPr>
            <b/>
            <sz val="9"/>
            <color indexed="81"/>
            <rFont val="Tahoma"/>
            <family val="2"/>
          </rPr>
          <t>Crystal Collins:</t>
        </r>
        <r>
          <rPr>
            <sz val="9"/>
            <color indexed="81"/>
            <rFont val="Tahoma"/>
            <family val="2"/>
          </rPr>
          <t xml:space="preserve">
THEC will not have this information available until September 2014.</t>
        </r>
      </text>
    </comment>
    <comment ref="A2725" authorId="19">
      <text>
        <r>
          <rPr>
            <b/>
            <sz val="8"/>
            <color indexed="81"/>
            <rFont val="Tahoma"/>
            <family val="2"/>
          </rPr>
          <t>The Texas Transportation Institute received general revenue this year. When added to the benefits amount they receive every year, that’s the jump you see. 
The Howard College amount increased substantially. And that ties to their audited financial statements. I left out from last year’s survey the debt service amount. 
The tuition and fees for debt service column is correct. The amounts in that column are from an old bond program in Texas called the Skiles Act. That program ended in 1997 so it’s winding down in the amounts. 
In the special purpose area, state column, the amount for the Coordinating Board increased due to the following:
$16.7M for ARP. The Advanced Research Program is funded every other year. 
$12.3M for various trusteed funds including developmental education and others. Legislative priorities. 
$4.9M in additional funding for indirect administration and closing the gaps. 
Also the Joint Medical Admission program is funded every other year. 
For the health professions area, the Alzheimer’s program and the nursing hospital program are both funded every other year. 
The amounts for MD Anderson spiked because I remove capital project funding from the general state support amount. Last year, they received $150M for a capital project so that dragged last year’s number down. And therefore it looks like it spiked this year. 
I’m not sure why MD Anderson’s tuition collections went up. But the numbers tie to their financial reports. 
Galveston received additional funding for Hurricane recovery efforts. 
the increase in tuition collections at MD Anderson was from students at Galveston who evacuated from the hurricane and attended there. 
for the community colleges, $150M in group health insurance funding was vetoed and therefore not included in the 2008-09 numbers; group health insurance funding is included in 2009-10</t>
        </r>
      </text>
    </comment>
    <comment ref="C2727" authorId="20">
      <text>
        <r>
          <rPr>
            <b/>
            <sz val="9"/>
            <color indexed="81"/>
            <rFont val="Tahoma"/>
            <family val="2"/>
          </rPr>
          <t>..:</t>
        </r>
        <r>
          <rPr>
            <sz val="9"/>
            <color indexed="81"/>
            <rFont val="Tahoma"/>
            <family val="2"/>
          </rPr>
          <t xml:space="preserve">
Reporting Moved to Texas A&amp;M Row.</t>
        </r>
      </text>
    </comment>
    <comment ref="I2732" authorId="20">
      <text>
        <r>
          <rPr>
            <b/>
            <sz val="9"/>
            <color indexed="81"/>
            <rFont val="Tahoma"/>
            <family val="2"/>
          </rPr>
          <t>..:</t>
        </r>
        <r>
          <rPr>
            <sz val="9"/>
            <color indexed="81"/>
            <rFont val="Tahoma"/>
            <family val="2"/>
          </rPr>
          <t xml:space="preserve">
Revised Number.</t>
        </r>
      </text>
    </comment>
    <comment ref="I2733" authorId="20">
      <text>
        <r>
          <rPr>
            <b/>
            <sz val="9"/>
            <color indexed="81"/>
            <rFont val="Tahoma"/>
            <family val="2"/>
          </rPr>
          <t>..:</t>
        </r>
        <r>
          <rPr>
            <sz val="9"/>
            <color indexed="81"/>
            <rFont val="Tahoma"/>
            <family val="2"/>
          </rPr>
          <t xml:space="preserve">
Revised Number.</t>
        </r>
      </text>
    </comment>
    <comment ref="I2736" authorId="20">
      <text>
        <r>
          <rPr>
            <b/>
            <sz val="9"/>
            <color indexed="81"/>
            <rFont val="Tahoma"/>
            <family val="2"/>
          </rPr>
          <t>..:</t>
        </r>
        <r>
          <rPr>
            <sz val="9"/>
            <color indexed="81"/>
            <rFont val="Tahoma"/>
            <family val="2"/>
          </rPr>
          <t xml:space="preserve">
Revised Number.</t>
        </r>
      </text>
    </comment>
    <comment ref="I2737" authorId="20">
      <text>
        <r>
          <rPr>
            <b/>
            <sz val="9"/>
            <color indexed="81"/>
            <rFont val="Tahoma"/>
            <family val="2"/>
          </rPr>
          <t>..:</t>
        </r>
        <r>
          <rPr>
            <sz val="9"/>
            <color indexed="81"/>
            <rFont val="Tahoma"/>
            <family val="2"/>
          </rPr>
          <t xml:space="preserve">
Revised Number.</t>
        </r>
      </text>
    </comment>
    <comment ref="I2738" authorId="20">
      <text>
        <r>
          <rPr>
            <b/>
            <sz val="9"/>
            <color indexed="81"/>
            <rFont val="Tahoma"/>
            <family val="2"/>
          </rPr>
          <t>..:</t>
        </r>
        <r>
          <rPr>
            <sz val="9"/>
            <color indexed="81"/>
            <rFont val="Tahoma"/>
            <family val="2"/>
          </rPr>
          <t xml:space="preserve">
Revised Number.</t>
        </r>
      </text>
    </comment>
    <comment ref="G2739" authorId="20">
      <text>
        <r>
          <rPr>
            <b/>
            <sz val="9"/>
            <color indexed="81"/>
            <rFont val="Tahoma"/>
            <family val="2"/>
          </rPr>
          <t>..:</t>
        </r>
        <r>
          <rPr>
            <sz val="9"/>
            <color indexed="81"/>
            <rFont val="Tahoma"/>
            <family val="2"/>
          </rPr>
          <t xml:space="preserve">
Revised Number.</t>
        </r>
      </text>
    </comment>
    <comment ref="I2739" authorId="20">
      <text>
        <r>
          <rPr>
            <b/>
            <sz val="9"/>
            <color indexed="81"/>
            <rFont val="Tahoma"/>
            <family val="2"/>
          </rPr>
          <t>..:</t>
        </r>
        <r>
          <rPr>
            <sz val="9"/>
            <color indexed="81"/>
            <rFont val="Tahoma"/>
            <family val="2"/>
          </rPr>
          <t xml:space="preserve">
Revised Number.</t>
        </r>
      </text>
    </comment>
    <comment ref="G2740" authorId="20">
      <text>
        <r>
          <rPr>
            <b/>
            <sz val="9"/>
            <color indexed="81"/>
            <rFont val="Tahoma"/>
            <family val="2"/>
          </rPr>
          <t>..:</t>
        </r>
        <r>
          <rPr>
            <sz val="9"/>
            <color indexed="81"/>
            <rFont val="Tahoma"/>
            <family val="2"/>
          </rPr>
          <t xml:space="preserve">
Revised Number.</t>
        </r>
      </text>
    </comment>
    <comment ref="G2741" authorId="20">
      <text>
        <r>
          <rPr>
            <b/>
            <sz val="9"/>
            <color indexed="81"/>
            <rFont val="Tahoma"/>
            <family val="2"/>
          </rPr>
          <t>..:</t>
        </r>
        <r>
          <rPr>
            <sz val="9"/>
            <color indexed="81"/>
            <rFont val="Tahoma"/>
            <family val="2"/>
          </rPr>
          <t xml:space="preserve">
Revised Number.</t>
        </r>
      </text>
    </comment>
    <comment ref="I2741" authorId="20">
      <text>
        <r>
          <rPr>
            <b/>
            <sz val="9"/>
            <color indexed="81"/>
            <rFont val="Tahoma"/>
            <family val="2"/>
          </rPr>
          <t>..:</t>
        </r>
        <r>
          <rPr>
            <sz val="9"/>
            <color indexed="81"/>
            <rFont val="Tahoma"/>
            <family val="2"/>
          </rPr>
          <t xml:space="preserve">
Revised Number.</t>
        </r>
      </text>
    </comment>
    <comment ref="I2743" authorId="20">
      <text>
        <r>
          <rPr>
            <b/>
            <sz val="9"/>
            <color indexed="81"/>
            <rFont val="Tahoma"/>
            <family val="2"/>
          </rPr>
          <t>..:</t>
        </r>
        <r>
          <rPr>
            <sz val="9"/>
            <color indexed="81"/>
            <rFont val="Tahoma"/>
            <family val="2"/>
          </rPr>
          <t xml:space="preserve">
Revised Number.</t>
        </r>
      </text>
    </comment>
    <comment ref="I2744" authorId="20">
      <text>
        <r>
          <rPr>
            <b/>
            <sz val="9"/>
            <color indexed="81"/>
            <rFont val="Tahoma"/>
            <family val="2"/>
          </rPr>
          <t>..:</t>
        </r>
        <r>
          <rPr>
            <sz val="9"/>
            <color indexed="81"/>
            <rFont val="Tahoma"/>
            <family val="2"/>
          </rPr>
          <t xml:space="preserve">
Revised Number.</t>
        </r>
      </text>
    </comment>
    <comment ref="C2758" authorId="20">
      <text>
        <r>
          <rPr>
            <b/>
            <sz val="9"/>
            <color indexed="81"/>
            <rFont val="Tahoma"/>
            <family val="2"/>
          </rPr>
          <t>..:</t>
        </r>
        <r>
          <rPr>
            <sz val="9"/>
            <color indexed="81"/>
            <rFont val="Tahoma"/>
            <family val="2"/>
          </rPr>
          <t xml:space="preserve">
San Marcos is no longer a part of the name.</t>
        </r>
      </text>
    </comment>
    <comment ref="G2759" authorId="20">
      <text>
        <r>
          <rPr>
            <b/>
            <sz val="9"/>
            <color indexed="81"/>
            <rFont val="Tahoma"/>
            <family val="2"/>
          </rPr>
          <t>..:</t>
        </r>
        <r>
          <rPr>
            <sz val="9"/>
            <color indexed="81"/>
            <rFont val="Tahoma"/>
            <family val="2"/>
          </rPr>
          <t xml:space="preserve">
Revised Number.</t>
        </r>
      </text>
    </comment>
    <comment ref="C2765" authorId="3">
      <text>
        <r>
          <rPr>
            <b/>
            <sz val="10"/>
            <color indexed="81"/>
            <rFont val="Tahoma"/>
            <family val="2"/>
          </rPr>
          <t>jmarks:</t>
        </r>
        <r>
          <rPr>
            <sz val="10"/>
            <color indexed="81"/>
            <rFont val="Tahoma"/>
            <family val="2"/>
          </rPr>
          <t xml:space="preserve">
New fall 2009.</t>
        </r>
      </text>
    </comment>
    <comment ref="C2769" authorId="3">
      <text>
        <r>
          <rPr>
            <b/>
            <sz val="10"/>
            <color indexed="81"/>
            <rFont val="Tahoma"/>
            <family val="2"/>
          </rPr>
          <t>jmarks:</t>
        </r>
        <r>
          <rPr>
            <sz val="10"/>
            <color indexed="81"/>
            <rFont val="Tahoma"/>
            <family val="2"/>
          </rPr>
          <t xml:space="preserve">
New fall 2009.</t>
        </r>
      </text>
    </comment>
    <comment ref="C2778" authorId="3">
      <text>
        <r>
          <rPr>
            <b/>
            <sz val="8"/>
            <color indexed="81"/>
            <rFont val="Tahoma"/>
            <family val="2"/>
          </rPr>
          <t>jmarks:</t>
        </r>
        <r>
          <rPr>
            <sz val="8"/>
            <color indexed="81"/>
            <rFont val="Tahoma"/>
            <family val="2"/>
          </rPr>
          <t xml:space="preserve">
Reported the same way as SCH data (by campus) preferred.</t>
        </r>
      </text>
    </comment>
    <comment ref="C2782" authorId="3">
      <text>
        <r>
          <rPr>
            <b/>
            <sz val="8"/>
            <color indexed="81"/>
            <rFont val="Tahoma"/>
            <family val="2"/>
          </rPr>
          <t>jmarks:</t>
        </r>
        <r>
          <rPr>
            <sz val="8"/>
            <color indexed="81"/>
            <rFont val="Tahoma"/>
            <family val="2"/>
          </rPr>
          <t xml:space="preserve">
Reported the same way as SCH data (by campus) preferred.</t>
        </r>
      </text>
    </comment>
    <comment ref="C2792" authorId="3">
      <text>
        <r>
          <rPr>
            <b/>
            <sz val="8"/>
            <color indexed="81"/>
            <rFont val="Tahoma"/>
            <family val="2"/>
          </rPr>
          <t>jmarks:</t>
        </r>
        <r>
          <rPr>
            <sz val="8"/>
            <color indexed="81"/>
            <rFont val="Tahoma"/>
            <family val="2"/>
          </rPr>
          <t xml:space="preserve">
Reported the same way as SCH data (by campus) preferred.</t>
        </r>
      </text>
    </comment>
    <comment ref="C2793" authorId="3">
      <text>
        <r>
          <rPr>
            <b/>
            <sz val="8"/>
            <color indexed="81"/>
            <rFont val="Tahoma"/>
            <family val="2"/>
          </rPr>
          <t>jmarks:</t>
        </r>
        <r>
          <rPr>
            <sz val="8"/>
            <color indexed="81"/>
            <rFont val="Tahoma"/>
            <family val="2"/>
          </rPr>
          <t xml:space="preserve">
Reported the same way as SCH data (by campus) preferred.</t>
        </r>
      </text>
    </comment>
    <comment ref="C2794" authorId="3">
      <text>
        <r>
          <rPr>
            <b/>
            <sz val="8"/>
            <color indexed="81"/>
            <rFont val="Tahoma"/>
            <family val="2"/>
          </rPr>
          <t>jmarks:</t>
        </r>
        <r>
          <rPr>
            <sz val="8"/>
            <color indexed="81"/>
            <rFont val="Tahoma"/>
            <family val="2"/>
          </rPr>
          <t xml:space="preserve">
Reported the same way as SCH data (by campus) preferred.</t>
        </r>
      </text>
    </comment>
    <comment ref="C2795" authorId="3">
      <text>
        <r>
          <rPr>
            <b/>
            <sz val="8"/>
            <color indexed="81"/>
            <rFont val="Tahoma"/>
            <family val="2"/>
          </rPr>
          <t>jmarks:</t>
        </r>
        <r>
          <rPr>
            <sz val="8"/>
            <color indexed="81"/>
            <rFont val="Tahoma"/>
            <family val="2"/>
          </rPr>
          <t xml:space="preserve">
Reported the same way as SCH data (by campus) preferred.</t>
        </r>
      </text>
    </comment>
    <comment ref="C2796" authorId="3">
      <text>
        <r>
          <rPr>
            <b/>
            <sz val="8"/>
            <color indexed="81"/>
            <rFont val="Tahoma"/>
            <family val="2"/>
          </rPr>
          <t>jmarks:</t>
        </r>
        <r>
          <rPr>
            <sz val="8"/>
            <color indexed="81"/>
            <rFont val="Tahoma"/>
            <family val="2"/>
          </rPr>
          <t xml:space="preserve">
Reported the same way as SCH data (by campus) preferred.</t>
        </r>
      </text>
    </comment>
    <comment ref="C2799" authorId="3">
      <text>
        <r>
          <rPr>
            <b/>
            <sz val="8"/>
            <color indexed="81"/>
            <rFont val="Tahoma"/>
            <family val="2"/>
          </rPr>
          <t>jmarks:</t>
        </r>
        <r>
          <rPr>
            <sz val="8"/>
            <color indexed="81"/>
            <rFont val="Tahoma"/>
            <family val="2"/>
          </rPr>
          <t xml:space="preserve">
Reported the same way as SCH data (by campus) preferred.</t>
        </r>
      </text>
    </comment>
    <comment ref="C2840" authorId="3">
      <text>
        <r>
          <rPr>
            <b/>
            <sz val="8"/>
            <color indexed="81"/>
            <rFont val="Tahoma"/>
            <family val="2"/>
          </rPr>
          <t>jmarks:</t>
        </r>
        <r>
          <rPr>
            <sz val="8"/>
            <color indexed="81"/>
            <rFont val="Tahoma"/>
            <family val="2"/>
          </rPr>
          <t xml:space="preserve">
Reported the same way as SCH data (by campus) preferred.</t>
        </r>
      </text>
    </comment>
    <comment ref="C2841" authorId="3">
      <text>
        <r>
          <rPr>
            <b/>
            <sz val="8"/>
            <color indexed="81"/>
            <rFont val="Tahoma"/>
            <family val="2"/>
          </rPr>
          <t>jmarks:</t>
        </r>
        <r>
          <rPr>
            <sz val="8"/>
            <color indexed="81"/>
            <rFont val="Tahoma"/>
            <family val="2"/>
          </rPr>
          <t xml:space="preserve">
Reported the same way as SCH data (by campus) preferred.</t>
        </r>
      </text>
    </comment>
    <comment ref="C2845" authorId="20">
      <text>
        <r>
          <rPr>
            <b/>
            <sz val="9"/>
            <color indexed="81"/>
            <rFont val="Tahoma"/>
            <family val="2"/>
          </rPr>
          <t>..:</t>
        </r>
        <r>
          <rPr>
            <sz val="9"/>
            <color indexed="81"/>
            <rFont val="Tahoma"/>
            <family val="2"/>
          </rPr>
          <t xml:space="preserve">
New Separate Institution.</t>
        </r>
      </text>
    </comment>
    <comment ref="C2853" authorId="3">
      <text>
        <r>
          <rPr>
            <b/>
            <sz val="10"/>
            <color indexed="81"/>
            <rFont val="Tahoma"/>
            <family val="2"/>
          </rPr>
          <t>jmarks:</t>
        </r>
        <r>
          <rPr>
            <sz val="10"/>
            <color indexed="81"/>
            <rFont val="Tahoma"/>
            <family val="2"/>
          </rPr>
          <t xml:space="preserve">
New fall 2009.</t>
        </r>
      </text>
    </comment>
    <comment ref="C2858" authorId="21">
      <text>
        <r>
          <rPr>
            <b/>
            <sz val="8"/>
            <color indexed="81"/>
            <rFont val="Tahoma"/>
            <family val="2"/>
          </rPr>
          <t>GreeneAA:</t>
        </r>
        <r>
          <rPr>
            <sz val="8"/>
            <color indexed="81"/>
            <rFont val="Tahoma"/>
            <family val="2"/>
          </rPr>
          <t xml:space="preserve">
Name Change</t>
        </r>
      </text>
    </comment>
    <comment ref="C2866" authorId="3">
      <text>
        <r>
          <rPr>
            <b/>
            <sz val="8"/>
            <color indexed="81"/>
            <rFont val="Tahoma"/>
            <family val="2"/>
          </rPr>
          <t>jmarks:</t>
        </r>
        <r>
          <rPr>
            <sz val="8"/>
            <color indexed="81"/>
            <rFont val="Tahoma"/>
            <family val="2"/>
          </rPr>
          <t xml:space="preserve">
in HECB ?  Yes.</t>
        </r>
      </text>
    </comment>
    <comment ref="C2875" authorId="20">
      <text>
        <r>
          <rPr>
            <b/>
            <sz val="9"/>
            <color indexed="81"/>
            <rFont val="Tahoma"/>
            <family val="2"/>
          </rPr>
          <t>..:</t>
        </r>
        <r>
          <rPr>
            <sz val="9"/>
            <color indexed="81"/>
            <rFont val="Tahoma"/>
            <family val="2"/>
          </rPr>
          <t xml:space="preserve">
Funded every other year.</t>
        </r>
      </text>
    </comment>
    <comment ref="C2961" authorId="3">
      <text>
        <r>
          <rPr>
            <b/>
            <sz val="8"/>
            <color indexed="81"/>
            <rFont val="Tahoma"/>
            <family val="2"/>
          </rPr>
          <t>jmarks:</t>
        </r>
        <r>
          <rPr>
            <sz val="8"/>
            <color indexed="81"/>
            <rFont val="Tahoma"/>
            <family val="2"/>
          </rPr>
          <t xml:space="preserve">
Please itemize, if possible.</t>
        </r>
      </text>
    </comment>
  </commentList>
</comments>
</file>

<file path=xl/sharedStrings.xml><?xml version="1.0" encoding="utf-8"?>
<sst xmlns="http://schemas.openxmlformats.org/spreadsheetml/2006/main" count="12792" uniqueCount="1920">
  <si>
    <t>* Less than 0.1%</t>
  </si>
  <si>
    <r>
      <t>Net Tuition &amp; Fees</t>
    </r>
    <r>
      <rPr>
        <b/>
        <vertAlign val="superscript"/>
        <sz val="8"/>
        <color indexed="18"/>
        <rFont val="Arial"/>
        <family val="2"/>
      </rPr>
      <t xml:space="preserve"> </t>
    </r>
    <r>
      <rPr>
        <b/>
        <sz val="8"/>
        <color indexed="18"/>
        <rFont val="Arial"/>
        <family val="2"/>
      </rPr>
      <t>Available for Operations</t>
    </r>
    <r>
      <rPr>
        <b/>
        <vertAlign val="superscript"/>
        <sz val="8"/>
        <color indexed="18"/>
        <rFont val="Arial"/>
        <family val="2"/>
      </rPr>
      <t>3</t>
    </r>
  </si>
  <si>
    <r>
      <t>Total Funds Available for Operations</t>
    </r>
    <r>
      <rPr>
        <vertAlign val="superscript"/>
        <sz val="8"/>
        <color indexed="18"/>
        <rFont val="Arial"/>
        <family val="2"/>
      </rPr>
      <t xml:space="preserve">4 </t>
    </r>
  </si>
  <si>
    <r>
      <t>Totals</t>
    </r>
    <r>
      <rPr>
        <vertAlign val="superscript"/>
        <sz val="8"/>
        <color indexed="18"/>
        <rFont val="Arial"/>
        <family val="2"/>
      </rPr>
      <t>3</t>
    </r>
  </si>
  <si>
    <t>Sum of State Gen Purp-New</t>
  </si>
  <si>
    <t>Sum of Local-Old</t>
  </si>
  <si>
    <t>Sum of Local-New</t>
  </si>
  <si>
    <t>Total Sum of State Gen Purp-Old</t>
  </si>
  <si>
    <t>Total Sum of State Gen Purp-New</t>
  </si>
  <si>
    <t>Total Sum of Local-Old</t>
  </si>
  <si>
    <t>Total Sum of Local-New</t>
  </si>
  <si>
    <t>State</t>
  </si>
  <si>
    <t>Educational special-purpose funds to statewide units</t>
  </si>
  <si>
    <t>Tuition Tot-New</t>
  </si>
  <si>
    <t>Sum of Tuition Ops-New</t>
  </si>
  <si>
    <t>Total Sum of Tuition Ops-New</t>
  </si>
  <si>
    <t>Amount for Debt Service</t>
  </si>
  <si>
    <r>
      <t>1</t>
    </r>
    <r>
      <rPr>
        <sz val="8"/>
        <rFont val="Arial"/>
        <family val="2"/>
      </rPr>
      <t>Funds consist of (1) state and (2) local tax revenues allocated to colleges and universities or for higher education-related operating expenses, (3) other funds such as earnings from state-funded endowments used for operating purposes, (4) earmarked revenues such as from lotteries used for operating purposes and (5) tuition and fee revenue.</t>
    </r>
  </si>
  <si>
    <r>
      <t>Funds</t>
    </r>
    <r>
      <rPr>
        <b/>
        <vertAlign val="superscript"/>
        <sz val="12"/>
        <rFont val="Arial"/>
        <family val="2"/>
      </rPr>
      <t>1</t>
    </r>
    <r>
      <rPr>
        <b/>
        <sz val="12"/>
        <rFont val="Arial"/>
        <family val="2"/>
      </rPr>
      <t xml:space="preserve"> for E&amp;G Operations Per Full-Time-Equivalent Student</t>
    </r>
  </si>
  <si>
    <t>Sum of Total E&amp;G-Old</t>
  </si>
  <si>
    <t>Total Sum of Total E&amp;G-Old</t>
  </si>
  <si>
    <t>Sum of Total E&amp;G-New</t>
  </si>
  <si>
    <t>Total Sum of Total E&amp;G-New</t>
  </si>
  <si>
    <t xml:space="preserve"> % change in total E&amp;G funds</t>
  </si>
  <si>
    <t>Total  % change in total E&amp;G funds</t>
  </si>
  <si>
    <r>
      <t>Distribution of Funds</t>
    </r>
    <r>
      <rPr>
        <b/>
        <vertAlign val="superscript"/>
        <sz val="12"/>
        <rFont val="Arial"/>
        <family val="2"/>
      </rPr>
      <t>1</t>
    </r>
    <r>
      <rPr>
        <b/>
        <sz val="12"/>
        <rFont val="Arial"/>
        <family val="2"/>
      </rPr>
      <t xml:space="preserve"> for Higher Education-Related Operations</t>
    </r>
  </si>
  <si>
    <r>
      <t>3</t>
    </r>
    <r>
      <rPr>
        <sz val="8"/>
        <rFont val="Arial"/>
        <family val="2"/>
      </rPr>
      <t>Tuition &amp; fee revenue excluding state appropriations for student financial aid administered off campus awarded to public institution students &amp; excluding tuition &amp; fees revenues dedicated to debt service.</t>
    </r>
  </si>
  <si>
    <t>Virginia**</t>
  </si>
  <si>
    <t>Educational Special Purpose to Four-Year and Two-Year Universities, Colleges and Technical Institutes</t>
  </si>
  <si>
    <t>Educational Special Purpose to Statewide Units</t>
  </si>
  <si>
    <t>Health Professions Education</t>
  </si>
  <si>
    <t>General Purpose Appropriations to Public Four-Year Universities, Two-Year Colleges and Technical Institutes or Colleges</t>
  </si>
  <si>
    <t>Special Purpose Public Institutions Other Than Health Sciences</t>
  </si>
  <si>
    <t>Health Professions Education at Public Medical Schools</t>
  </si>
  <si>
    <t>Available to public &amp; private sector students</t>
  </si>
  <si>
    <t>Health professions education funds - to specialized institutions</t>
  </si>
  <si>
    <t>State Funds</t>
  </si>
  <si>
    <t>Need Basis Not Identified</t>
  </si>
  <si>
    <t>Sector of Students &amp; Need Basis Not Identified</t>
  </si>
  <si>
    <t>SREB states</t>
  </si>
  <si>
    <t>Public Need Based</t>
  </si>
  <si>
    <t>Public Non Need Based</t>
  </si>
  <si>
    <t>Public Not Identified</t>
  </si>
  <si>
    <t>Private Need Based</t>
  </si>
  <si>
    <t>Private Non Need Based</t>
  </si>
  <si>
    <t>Private Not Identified</t>
  </si>
  <si>
    <t>Sector of Students Not Identified</t>
  </si>
  <si>
    <t>Sector Not Identified Need Based</t>
  </si>
  <si>
    <t>Sector Not Identified Non Need Based</t>
  </si>
  <si>
    <t>Sector &amp; Need Basis Not Identified</t>
  </si>
  <si>
    <t>Subtotal</t>
  </si>
  <si>
    <t>Tuition and Fee Revenue (estm.)</t>
  </si>
  <si>
    <t>Available to public &amp; priv. sect. students</t>
  </si>
  <si>
    <t>Educational Special Purpose to Public Four-Year Universities, Two-Year Colleges and Technical Institutes or Colleges</t>
  </si>
  <si>
    <r>
      <t>2</t>
    </r>
    <r>
      <rPr>
        <sz val="8"/>
        <rFont val="Arial"/>
        <family val="2"/>
      </rPr>
      <t>Tuition and fee revenue minus amounts dedicated to debt service. Includes tuition and fee revenue from students receiving state student financial aid.</t>
    </r>
  </si>
  <si>
    <t>Dollars Per FTE Student</t>
  </si>
  <si>
    <r>
      <t>SREB states</t>
    </r>
    <r>
      <rPr>
        <vertAlign val="superscript"/>
        <sz val="10"/>
        <rFont val="Arial"/>
        <family val="2"/>
      </rPr>
      <t>3</t>
    </r>
  </si>
  <si>
    <t xml:space="preserve"> % change in tuition total</t>
  </si>
  <si>
    <t>Total  % change in tuition total</t>
  </si>
  <si>
    <t xml:space="preserve"> % change in tuition sp ops</t>
  </si>
  <si>
    <r>
      <t>3</t>
    </r>
    <r>
      <rPr>
        <sz val="8"/>
        <rFont val="Arial"/>
        <family val="2"/>
      </rPr>
      <t xml:space="preserve">The SREB SREB states' averages must be interpreted with caution because the number of states with each type of funding varies. </t>
    </r>
  </si>
  <si>
    <t>Need-Based</t>
  </si>
  <si>
    <t>Non Need-Based</t>
  </si>
  <si>
    <t>To Public Sector Students</t>
  </si>
  <si>
    <t>Available to Public &amp; Private Sector Students</t>
  </si>
  <si>
    <t>To Private Sector Students</t>
  </si>
  <si>
    <t>Sector of Students Unknown</t>
  </si>
  <si>
    <t>Limited to Public College Students Only</t>
  </si>
  <si>
    <t>Limited to Private College Students Only</t>
  </si>
  <si>
    <t>Limited to private sector students</t>
  </si>
  <si>
    <t>Sum of Tuition Tot-New</t>
  </si>
  <si>
    <t>Total Sum of Tuition Tot-New</t>
  </si>
  <si>
    <t>Sum of Other Spec Purp State-Old</t>
  </si>
  <si>
    <t>Total Sum of Other Spec Purp State-Old</t>
  </si>
  <si>
    <t>Sum of Other Spec Purp State-New</t>
  </si>
  <si>
    <t>Total Sum of Other Spec Purp State-New</t>
  </si>
  <si>
    <t xml:space="preserve"> % change in other spec purp state</t>
  </si>
  <si>
    <t>Total  % change in other spec purp state</t>
  </si>
  <si>
    <t>Sum of Health State-Old</t>
  </si>
  <si>
    <t>Total Sum of Health State-Old</t>
  </si>
  <si>
    <t>Sum of Health State-New</t>
  </si>
  <si>
    <t>Sum of Health Tuition-Old</t>
  </si>
  <si>
    <t>Total Sum of Health Tuition-Old</t>
  </si>
  <si>
    <r>
      <t>2</t>
    </r>
    <r>
      <rPr>
        <sz val="8"/>
        <rFont val="Arial"/>
        <family val="2"/>
      </rPr>
      <t>The SREB states' averages must be interpreted with caution because the number of states with each type of funding varies.</t>
    </r>
  </si>
  <si>
    <t>SREB contract program with priv. col.</t>
  </si>
  <si>
    <t>SREB contract program with pub. col.</t>
  </si>
  <si>
    <t>Educational special-purpose funds-- all other</t>
  </si>
  <si>
    <t>State General Purpose</t>
  </si>
  <si>
    <t>Local</t>
  </si>
  <si>
    <t>State Educational Special Purpose</t>
  </si>
  <si>
    <t>Tennessee</t>
  </si>
  <si>
    <t xml:space="preserve"> </t>
  </si>
  <si>
    <t>Tuition &amp; Fees</t>
  </si>
  <si>
    <r>
      <t>1</t>
    </r>
    <r>
      <rPr>
        <sz val="8"/>
        <rFont val="Arial"/>
        <family val="2"/>
      </rPr>
      <t>Funds consist of (1) state and (2) local tax revenues allocated to colleges and universities or for higher education-related operating expenses, (3) other funds such as earnings from state-funded endowments used for operating purposes, (4) earmarked revenues such as from lotteries used for operating purposes and (5) tuition and fees revenue.</t>
    </r>
  </si>
  <si>
    <t>Statewide student financial aid progs. administered off campus</t>
  </si>
  <si>
    <r>
      <t>SREB</t>
    </r>
    <r>
      <rPr>
        <vertAlign val="superscript"/>
        <sz val="9"/>
        <rFont val="Arial"/>
        <family val="2"/>
      </rPr>
      <t>2</t>
    </r>
  </si>
  <si>
    <r>
      <t>1</t>
    </r>
    <r>
      <rPr>
        <sz val="8"/>
        <rFont val="Arial"/>
        <family val="2"/>
      </rPr>
      <t>Public funds consist of (1) state and (2) local tax revenues allocated to colleges and universities or for higher education-related operating expenses, (3) other funds such as earnings from state-funded endowments used for operating purposes, (4) earmarked revenues such as from lotteries used for operating purposes and (5) tuition and fees revenue.</t>
    </r>
  </si>
  <si>
    <t>Total</t>
  </si>
  <si>
    <t>Calculated</t>
  </si>
  <si>
    <t>Four-Year Total</t>
  </si>
  <si>
    <t>Sum of Tuition SP Debt-New</t>
  </si>
  <si>
    <t>Total Sum of Tuition SP Debt-New</t>
  </si>
  <si>
    <t>Sum of Tuition SP Tot-New</t>
  </si>
  <si>
    <t xml:space="preserve">   
Local</t>
  </si>
  <si>
    <t>Total Sum of Tuition Tot-Old</t>
  </si>
  <si>
    <t>Tuition Ops-Old</t>
  </si>
  <si>
    <t>Tuition Debt-Old</t>
  </si>
  <si>
    <t>Tuition Ops-New</t>
  </si>
  <si>
    <t>Tuition Debt-New</t>
  </si>
  <si>
    <t>Statewide System Operations</t>
  </si>
  <si>
    <t xml:space="preserve"> % change in tuition sp debt</t>
  </si>
  <si>
    <t>Tuition &amp; Fees Revenues</t>
  </si>
  <si>
    <t>Limited to public sector students</t>
  </si>
  <si>
    <t>State Ed Spec Purp-Old</t>
  </si>
  <si>
    <t>State Ed Spec Purp-New</t>
  </si>
  <si>
    <t>Tuition Tot-Old</t>
  </si>
  <si>
    <t xml:space="preserve"> % change in state gen purp</t>
  </si>
  <si>
    <t>Total  % change in state gen purp</t>
  </si>
  <si>
    <t>Data</t>
  </si>
  <si>
    <t>Rankings</t>
  </si>
  <si>
    <t>Statewide system operations</t>
  </si>
  <si>
    <t>Limited to public college students</t>
  </si>
  <si>
    <t>state</t>
  </si>
  <si>
    <t>item</t>
  </si>
  <si>
    <t>group</t>
  </si>
  <si>
    <t>category</t>
  </si>
  <si>
    <t>ID #</t>
  </si>
  <si>
    <t>State Gen Purp-Old</t>
  </si>
  <si>
    <t>State Gen Purp-New</t>
  </si>
  <si>
    <t>Local-Old</t>
  </si>
  <si>
    <t>Local-New</t>
  </si>
  <si>
    <t>Health State-Old</t>
  </si>
  <si>
    <t>Health State-New</t>
  </si>
  <si>
    <t>Health Tuition-Old</t>
  </si>
  <si>
    <t>Health Tuition-New</t>
  </si>
  <si>
    <t>Other Spec Purp State-Old</t>
  </si>
  <si>
    <t>Other Spec Purp State-New</t>
  </si>
  <si>
    <t>Other contract education programs</t>
  </si>
  <si>
    <t>National or regional associations, compacts or consortia</t>
  </si>
  <si>
    <t>Two-year system(s), if any</t>
  </si>
  <si>
    <t>Colleges and universities</t>
  </si>
  <si>
    <t>Administration of Statewide Student Aid Programs (including centralized guaranteed student loans)</t>
  </si>
  <si>
    <t>AL</t>
  </si>
  <si>
    <t>AR</t>
  </si>
  <si>
    <t>GA</t>
  </si>
  <si>
    <t>LA</t>
  </si>
  <si>
    <t>SC</t>
  </si>
  <si>
    <t>TX</t>
  </si>
  <si>
    <t>DE</t>
  </si>
  <si>
    <t>FL</t>
  </si>
  <si>
    <t>KY</t>
  </si>
  <si>
    <t>MD</t>
  </si>
  <si>
    <t>MS</t>
  </si>
  <si>
    <t>NC</t>
  </si>
  <si>
    <t>OK</t>
  </si>
  <si>
    <t>TN</t>
  </si>
  <si>
    <t>VA</t>
  </si>
  <si>
    <t>WV</t>
  </si>
  <si>
    <r>
      <t>SREB states</t>
    </r>
    <r>
      <rPr>
        <vertAlign val="superscript"/>
        <sz val="10"/>
        <rFont val="Arial"/>
        <family val="2"/>
      </rPr>
      <t>5</t>
    </r>
  </si>
  <si>
    <t>Sum of Tuition SP Debt-Old</t>
  </si>
  <si>
    <t>Total Sum of Tuition SP Debt-Old</t>
  </si>
  <si>
    <t>Sum of Tuition SP Tot-Old</t>
  </si>
  <si>
    <t>Total Sum of Tuition SP Tot-Old</t>
  </si>
  <si>
    <t>Sum of Tuition SP Ops-New</t>
  </si>
  <si>
    <t>Total Sum of Tuition SP Ops-New</t>
  </si>
  <si>
    <r>
      <t>Net Tuition &amp; Fees</t>
    </r>
    <r>
      <rPr>
        <b/>
        <vertAlign val="superscript"/>
        <sz val="8"/>
        <rFont val="Arial"/>
        <family val="2"/>
      </rPr>
      <t xml:space="preserve">2 </t>
    </r>
    <r>
      <rPr>
        <b/>
        <sz val="8"/>
        <rFont val="Arial"/>
        <family val="2"/>
      </rPr>
      <t>Available for Operations</t>
    </r>
  </si>
  <si>
    <t>Sum of Tuition Debt-New</t>
  </si>
  <si>
    <t>Total Sum of Tuition Debt-New</t>
  </si>
  <si>
    <r>
      <t>Total Public Funds Available for Operations</t>
    </r>
    <r>
      <rPr>
        <vertAlign val="superscript"/>
        <sz val="8"/>
        <rFont val="Arial"/>
        <family val="2"/>
      </rPr>
      <t xml:space="preserve">4 </t>
    </r>
  </si>
  <si>
    <r>
      <t>SREB states</t>
    </r>
    <r>
      <rPr>
        <vertAlign val="superscript"/>
        <sz val="10"/>
        <rFont val="Arial"/>
        <family val="2"/>
      </rPr>
      <t>2</t>
    </r>
  </si>
  <si>
    <t>Tuition SP Ops-Old</t>
  </si>
  <si>
    <t>Tuition SP Debt-Old</t>
  </si>
  <si>
    <t>Tuition SP Tot-Old</t>
  </si>
  <si>
    <t>Tuition SP Ops-New</t>
  </si>
  <si>
    <t>Tuition SP Debt-New</t>
  </si>
  <si>
    <t xml:space="preserve"> % change in tuition debt</t>
  </si>
  <si>
    <t>Total  % change in tuition debt</t>
  </si>
  <si>
    <t>Texas*</t>
  </si>
  <si>
    <t>Virginia*</t>
  </si>
  <si>
    <t>Specialized</t>
  </si>
  <si>
    <t>Public Four-Year Universities, Two-Year Colleges and Technical Institutes</t>
  </si>
  <si>
    <r>
      <t>SREB states</t>
    </r>
    <r>
      <rPr>
        <vertAlign val="superscript"/>
        <sz val="9"/>
        <rFont val="Arial"/>
        <family val="2"/>
      </rPr>
      <t>5</t>
    </r>
  </si>
  <si>
    <t>Total  % change in tuition sp debt</t>
  </si>
  <si>
    <t xml:space="preserve"> % change in tuition sp total</t>
  </si>
  <si>
    <t>Total  % change in tuition sp total</t>
  </si>
  <si>
    <t>category2</t>
  </si>
  <si>
    <t>Four-Year</t>
  </si>
  <si>
    <t>State support to private colleges other than student financial aid</t>
  </si>
  <si>
    <t>Contract education programs</t>
  </si>
  <si>
    <r>
      <t>5</t>
    </r>
    <r>
      <rPr>
        <sz val="8"/>
        <rFont val="Arial"/>
        <family val="2"/>
      </rPr>
      <t>The SREB states averages must be interpreted with caution because the number of states with each type of funding varies.</t>
    </r>
  </si>
  <si>
    <t>Sum of State Gen Purp-Old</t>
  </si>
  <si>
    <t>Specialized Total</t>
  </si>
  <si>
    <t>Health professions education funds to public campuses</t>
  </si>
  <si>
    <t>Total Funds-Old</t>
  </si>
  <si>
    <t>Total Funds-New</t>
  </si>
  <si>
    <t>Sum of State Ed Spec Purp-Old</t>
  </si>
  <si>
    <t>Total Sum of State Ed Spec Purp-Old</t>
  </si>
  <si>
    <t>Total-Old</t>
  </si>
  <si>
    <t>Total Total-Old</t>
  </si>
  <si>
    <t>Total-New</t>
  </si>
  <si>
    <t>Total Total-New</t>
  </si>
  <si>
    <t xml:space="preserve">*Texas reflects colleges except those in the Alamo Community College District and the Dallas County Community College District that were not reported by campus. </t>
  </si>
  <si>
    <t>Total E&amp;G-Old</t>
  </si>
  <si>
    <t>Total E&amp;G-New</t>
  </si>
  <si>
    <t>2D1c2</t>
  </si>
  <si>
    <t>2D1d</t>
  </si>
  <si>
    <t>Tuition SP Tot-New</t>
  </si>
  <si>
    <t>Gross Tuition and Fees Revenue</t>
  </si>
  <si>
    <t>Special Purpose Institutions Other Than Health Sciences</t>
  </si>
  <si>
    <t>2D1c</t>
  </si>
  <si>
    <t>2D1c1</t>
  </si>
  <si>
    <t>Total Sum of Tuition SP Tot-New</t>
  </si>
  <si>
    <t>Four-Year and Two-Year Universities, Colleges and Technical Institutes</t>
  </si>
  <si>
    <t>General Purpose Appropriations to Four-Year and Two-Year Universities, Colleges and Technical Institutes</t>
  </si>
  <si>
    <t>Total Sum of Health State-New</t>
  </si>
  <si>
    <t xml:space="preserve"> % change in health state</t>
  </si>
  <si>
    <t>Total  % change in health state</t>
  </si>
  <si>
    <t>Louisiana*</t>
  </si>
  <si>
    <t>2D1d1</t>
  </si>
  <si>
    <t>2D1d2</t>
  </si>
  <si>
    <t>For Operations</t>
  </si>
  <si>
    <t>For Debt Service</t>
  </si>
  <si>
    <t>To private sector students</t>
  </si>
  <si>
    <t>Sum of Tuition Ops-Old</t>
  </si>
  <si>
    <t>Total Sum of Tuition Ops-Old</t>
  </si>
  <si>
    <t>Sum of Tuition Debt-Old</t>
  </si>
  <si>
    <t>National or regional associations</t>
  </si>
  <si>
    <t>Administration of statewide student aid</t>
  </si>
  <si>
    <t>SREB contract program with private institutions</t>
  </si>
  <si>
    <t>SREB contract program with public institutions</t>
  </si>
  <si>
    <t>Statewide student financial aid</t>
  </si>
  <si>
    <r>
      <t>3</t>
    </r>
    <r>
      <rPr>
        <sz val="8"/>
        <rFont val="Arial"/>
        <family val="2"/>
      </rPr>
      <t>Tuition and fee revenue excluding state appropriations for student financial aid administered off campus awarded to public institution students and excluding tuition and fees revenues dedicated to debt service.</t>
    </r>
  </si>
  <si>
    <r>
      <t>3</t>
    </r>
    <r>
      <rPr>
        <sz val="8"/>
        <rFont val="Arial"/>
        <family val="2"/>
      </rPr>
      <t>Totals may not equal sum of the column due to rounding.</t>
    </r>
  </si>
  <si>
    <r>
      <t>3</t>
    </r>
    <r>
      <rPr>
        <sz val="8"/>
        <rFont val="Arial"/>
        <family val="2"/>
      </rPr>
      <t>The SREB states' averages must be interpreted with caution because the number of states with each type of funding varies.</t>
    </r>
  </si>
  <si>
    <t>Public Special Purpose Institutions Other Than Health Sciences</t>
  </si>
  <si>
    <t>Total Sum of Health Tuition-New</t>
  </si>
  <si>
    <t xml:space="preserve"> % change in health tuition</t>
  </si>
  <si>
    <t>Total  % change in health tuition</t>
  </si>
  <si>
    <t>Health professions education funds - to public campuses</t>
  </si>
  <si>
    <t>Total Sum of Tuition Debt-Old</t>
  </si>
  <si>
    <t>Sum of Tuition SP Ops-Old</t>
  </si>
  <si>
    <t>Total Sum of Tuition SP Ops-Old</t>
  </si>
  <si>
    <t>Sum of State Ed Spec Purp-New</t>
  </si>
  <si>
    <t>Total Sum of State Ed Spec Purp-New</t>
  </si>
  <si>
    <t xml:space="preserve"> % change in state ed spec purp</t>
  </si>
  <si>
    <t>General purpose funds to public campuses</t>
  </si>
  <si>
    <r>
      <t>4</t>
    </r>
    <r>
      <rPr>
        <sz val="8"/>
        <rFont val="Arial"/>
        <family val="2"/>
      </rPr>
      <t>Total of state appropriations, local appropriations and net tuition revenues available for operations.</t>
    </r>
  </si>
  <si>
    <t xml:space="preserve"> % change in tuition ops</t>
  </si>
  <si>
    <t>Total  % change in tuition ops</t>
  </si>
  <si>
    <t>Non need-based</t>
  </si>
  <si>
    <t>To public sector students</t>
  </si>
  <si>
    <t>2D1b</t>
  </si>
  <si>
    <t>2D2a</t>
  </si>
  <si>
    <t>2D2b</t>
  </si>
  <si>
    <t>2D3a</t>
  </si>
  <si>
    <t>2D3b</t>
  </si>
  <si>
    <t>Agricultural experiment stations</t>
  </si>
  <si>
    <t>Agricultural cooperative extension</t>
  </si>
  <si>
    <t>Non-credit continuing education</t>
  </si>
  <si>
    <t>Statewide student financial aid programs administered off campus</t>
  </si>
  <si>
    <t>FTE</t>
  </si>
  <si>
    <r>
      <t>Other Special Purpose</t>
    </r>
    <r>
      <rPr>
        <b/>
        <vertAlign val="superscript"/>
        <sz val="8"/>
        <rFont val="Arial"/>
        <family val="2"/>
      </rPr>
      <t>2</t>
    </r>
  </si>
  <si>
    <t>Item Group</t>
  </si>
  <si>
    <t>Item Group Code</t>
  </si>
  <si>
    <t>1A</t>
  </si>
  <si>
    <t>1B</t>
  </si>
  <si>
    <t>1B1</t>
  </si>
  <si>
    <t>1B2</t>
  </si>
  <si>
    <t>1B3</t>
  </si>
  <si>
    <t>1B4</t>
  </si>
  <si>
    <t>1B5</t>
  </si>
  <si>
    <t>1B6</t>
  </si>
  <si>
    <t>1B7</t>
  </si>
  <si>
    <t>1C</t>
  </si>
  <si>
    <t>1C1</t>
  </si>
  <si>
    <t>1C2</t>
  </si>
  <si>
    <t>1C3</t>
  </si>
  <si>
    <t>1C5</t>
  </si>
  <si>
    <t>1C6</t>
  </si>
  <si>
    <t>1C7</t>
  </si>
  <si>
    <t>1D</t>
  </si>
  <si>
    <t>2A</t>
  </si>
  <si>
    <t>2A1</t>
  </si>
  <si>
    <t>2A2</t>
  </si>
  <si>
    <t>2A3</t>
  </si>
  <si>
    <t>2A4</t>
  </si>
  <si>
    <t>2B</t>
  </si>
  <si>
    <t>2C</t>
  </si>
  <si>
    <t>2C1</t>
  </si>
  <si>
    <t>2C2</t>
  </si>
  <si>
    <t>2C3</t>
  </si>
  <si>
    <t>2D</t>
  </si>
  <si>
    <t>2D1</t>
  </si>
  <si>
    <t>2D2</t>
  </si>
  <si>
    <t>2D3</t>
  </si>
  <si>
    <t>Other</t>
  </si>
  <si>
    <t>Total  % change in tuition sp ops</t>
  </si>
  <si>
    <t>Total  % change in state ed spec purp</t>
  </si>
  <si>
    <t xml:space="preserve"> % change in local</t>
  </si>
  <si>
    <t>Total  % change in local</t>
  </si>
  <si>
    <t>Support to private colleges other than student financial aid</t>
  </si>
  <si>
    <t>1E</t>
  </si>
  <si>
    <t>1F</t>
  </si>
  <si>
    <t>1G</t>
  </si>
  <si>
    <t>Health professions education funds to specialized institutions</t>
  </si>
  <si>
    <t>Special purpose institutions other than health professions education</t>
  </si>
  <si>
    <r>
      <t>Net Tuition &amp; Fee Revenue</t>
    </r>
    <r>
      <rPr>
        <b/>
        <vertAlign val="superscript"/>
        <sz val="8"/>
        <rFont val="Arial"/>
        <family val="2"/>
      </rPr>
      <t>2</t>
    </r>
  </si>
  <si>
    <t>Limited to private college students</t>
  </si>
  <si>
    <t>Engineering experiment stations</t>
  </si>
  <si>
    <t>Research centers/institutes</t>
  </si>
  <si>
    <t>2D1a</t>
  </si>
  <si>
    <t>Need-based</t>
  </si>
  <si>
    <r>
      <t>2</t>
    </r>
    <r>
      <rPr>
        <sz val="8"/>
        <rFont val="Arial"/>
        <family val="2"/>
      </rPr>
      <t>System operations, state support to private colleges other than student aid, contract education and statewide student financial aid administered off campus.</t>
    </r>
  </si>
  <si>
    <r>
      <t>Distribution of Public</t>
    </r>
    <r>
      <rPr>
        <b/>
        <vertAlign val="superscript"/>
        <sz val="12"/>
        <rFont val="Arial"/>
        <family val="2"/>
      </rPr>
      <t>1</t>
    </r>
    <r>
      <rPr>
        <b/>
        <sz val="12"/>
        <rFont val="Arial"/>
        <family val="2"/>
      </rPr>
      <t xml:space="preserve"> Funds for Higher Education-Related Operations</t>
    </r>
  </si>
  <si>
    <r>
      <t>Other Special Purpose</t>
    </r>
    <r>
      <rPr>
        <b/>
        <vertAlign val="superscript"/>
        <sz val="8"/>
        <rFont val="Arial"/>
        <family val="2"/>
      </rPr>
      <t>3</t>
    </r>
  </si>
  <si>
    <t>Health Professions</t>
  </si>
  <si>
    <t>Sub-Total</t>
  </si>
  <si>
    <t>Sum of Tuition Tot-Old</t>
  </si>
  <si>
    <t>Sum of Health Tuition-New</t>
  </si>
  <si>
    <t>Community or public service units</t>
  </si>
  <si>
    <t>Alabama</t>
  </si>
  <si>
    <t>Delaware</t>
  </si>
  <si>
    <t>Kentucky</t>
  </si>
  <si>
    <t>Mississippi</t>
  </si>
  <si>
    <t>North Carolina</t>
  </si>
  <si>
    <t>South Carolina</t>
  </si>
  <si>
    <t>Texas</t>
  </si>
  <si>
    <t>Virginia</t>
  </si>
  <si>
    <t>Florida</t>
  </si>
  <si>
    <t>Georgia</t>
  </si>
  <si>
    <t>Louisiana</t>
  </si>
  <si>
    <t>Oklahoma</t>
  </si>
  <si>
    <t>West Virginia</t>
  </si>
  <si>
    <t>Maryland</t>
  </si>
  <si>
    <t>Arkansas</t>
  </si>
  <si>
    <t>Grand Total</t>
  </si>
  <si>
    <t>A. Funds for E&amp;G Operations</t>
  </si>
  <si>
    <t>Funds for 
Non-Specialized Campus Operations</t>
  </si>
  <si>
    <t>Special Purpose Funds</t>
  </si>
  <si>
    <r>
      <t>1</t>
    </r>
    <r>
      <rPr>
        <sz val="8"/>
        <rFont val="Arial"/>
        <family val="2"/>
      </rPr>
      <t>Funds consist of (1) state and (2) local tax revenues allocated to colleges and universities or for higher education-related operating expenses, (3) other funds such as earnings from state-funded endowments used for operating purposes, (4) earmarked revenues such as from lotteries used for operating purposes and (5) tuition and fee revenue. Items in "A. General-purpose funds to public campuses and educational special-purpose funds to public campuses are the basis for the per student funding statistics.</t>
    </r>
  </si>
  <si>
    <r>
      <t>Distribution of Funds</t>
    </r>
    <r>
      <rPr>
        <b/>
        <sz val="12"/>
        <rFont val="Arial"/>
        <family val="2"/>
      </rPr>
      <t xml:space="preserve"> for Higher Education-Related Operations</t>
    </r>
  </si>
  <si>
    <r>
      <t>General-purpose funds to public campuses</t>
    </r>
    <r>
      <rPr>
        <b/>
        <vertAlign val="superscript"/>
        <sz val="10"/>
        <rFont val="Arial"/>
        <family val="2"/>
      </rPr>
      <t>1</t>
    </r>
  </si>
  <si>
    <r>
      <t>Educational special-purpose funds to public campuses</t>
    </r>
    <r>
      <rPr>
        <b/>
        <vertAlign val="superscript"/>
        <sz val="10"/>
        <rFont val="Arial"/>
        <family val="2"/>
      </rPr>
      <t>1</t>
    </r>
  </si>
  <si>
    <t>billion</t>
  </si>
  <si>
    <t>million</t>
  </si>
  <si>
    <r>
      <t>General-purpose funds to public campuses</t>
    </r>
    <r>
      <rPr>
        <b/>
        <vertAlign val="superscript"/>
        <sz val="8"/>
        <rFont val="Arial"/>
        <family val="2"/>
      </rPr>
      <t>1</t>
    </r>
  </si>
  <si>
    <r>
      <t>Educational special-purpose funds to public campuses</t>
    </r>
    <r>
      <rPr>
        <b/>
        <vertAlign val="superscript"/>
        <sz val="8"/>
        <rFont val="Arial"/>
        <family val="2"/>
      </rPr>
      <t>1</t>
    </r>
  </si>
  <si>
    <t>Funds for Non- Specialized Campus Operations</t>
  </si>
  <si>
    <t>Sub-total for per FTE Funding Statistics</t>
  </si>
  <si>
    <t>Technical Institute or College Size Unknown, 2009-10</t>
  </si>
  <si>
    <t>Health Tuition Debt - Old</t>
  </si>
  <si>
    <t>Health Tuition Debt - New</t>
  </si>
  <si>
    <r>
      <t xml:space="preserve">Educational special purpose funds - </t>
    </r>
    <r>
      <rPr>
        <b/>
        <u/>
        <sz val="10"/>
        <rFont val="Arial"/>
        <family val="2"/>
      </rPr>
      <t>to public campuses</t>
    </r>
  </si>
  <si>
    <r>
      <t xml:space="preserve">Educational special purpose funds - to </t>
    </r>
    <r>
      <rPr>
        <b/>
        <u/>
        <sz val="10"/>
        <rFont val="Arial"/>
        <family val="2"/>
      </rPr>
      <t>statewide units</t>
    </r>
  </si>
  <si>
    <t>Precent Changes</t>
  </si>
  <si>
    <t>Table 113</t>
  </si>
  <si>
    <t>Table 114</t>
  </si>
  <si>
    <t>Table 115</t>
  </si>
  <si>
    <t>Table 116</t>
  </si>
  <si>
    <t>Table 117</t>
  </si>
  <si>
    <t>Table 118</t>
  </si>
  <si>
    <t>Table 119</t>
  </si>
  <si>
    <t>Table 120</t>
  </si>
  <si>
    <t>Table 121</t>
  </si>
  <si>
    <t>Table 122</t>
  </si>
  <si>
    <t>Table 123</t>
  </si>
  <si>
    <t>Table 124</t>
  </si>
  <si>
    <t>Table 125</t>
  </si>
  <si>
    <t>Table 126</t>
  </si>
  <si>
    <t>Table 127</t>
  </si>
  <si>
    <t>Table 128</t>
  </si>
  <si>
    <t>Table 129</t>
  </si>
  <si>
    <t>Table 130</t>
  </si>
  <si>
    <t>Table 131</t>
  </si>
  <si>
    <t>Base Table-NEW</t>
  </si>
  <si>
    <t>Base Table-OLD</t>
  </si>
  <si>
    <t>Simplified Table-NEW</t>
  </si>
  <si>
    <t>Simplified Table-OLD</t>
  </si>
  <si>
    <t>SUMMARY FIGURES FOR HIGHLIGHTS REPORT</t>
  </si>
  <si>
    <t>Change</t>
  </si>
  <si>
    <t>FTE-NEW</t>
  </si>
  <si>
    <t>FTE-OLD</t>
  </si>
  <si>
    <t>Amounts For FB 75</t>
  </si>
  <si>
    <t>Tuition</t>
  </si>
  <si>
    <t>NEW Per FTE for Highlights</t>
  </si>
  <si>
    <t>OLD Per FTE for Highlights</t>
  </si>
  <si>
    <t>State/Local</t>
  </si>
  <si>
    <t>Percent Changes</t>
  </si>
  <si>
    <t>For Highlights</t>
  </si>
  <si>
    <r>
      <t>3</t>
    </r>
    <r>
      <rPr>
        <sz val="8"/>
        <rFont val="Arial"/>
        <family val="2"/>
      </rPr>
      <t xml:space="preserve">The SREB states' averages must be interpreted with caution because the number of states with each type of funding varies. </t>
    </r>
  </si>
  <si>
    <t xml:space="preserve">*Reflects Texas colleges in this category except those in the Alamo Community College District and the Dallas County Community College District that were not reported by campus. </t>
  </si>
  <si>
    <t>By Source and Purpose, All Types and Statewide……..OLD</t>
  </si>
  <si>
    <t>Do sorting in Highlights sheet to keep ability to calculate here.</t>
  </si>
  <si>
    <r>
      <t>SREB states</t>
    </r>
    <r>
      <rPr>
        <b/>
        <vertAlign val="superscript"/>
        <sz val="9"/>
        <rFont val="Arial"/>
        <family val="2"/>
      </rPr>
      <t>2</t>
    </r>
  </si>
  <si>
    <r>
      <t>SREB</t>
    </r>
    <r>
      <rPr>
        <b/>
        <vertAlign val="superscript"/>
        <sz val="9"/>
        <rFont val="Arial"/>
        <family val="2"/>
      </rPr>
      <t>2</t>
    </r>
  </si>
  <si>
    <r>
      <t>Other Special Purpose</t>
    </r>
    <r>
      <rPr>
        <b/>
        <vertAlign val="superscript"/>
        <sz val="9"/>
        <rFont val="Arial"/>
        <family val="2"/>
      </rPr>
      <t>2</t>
    </r>
  </si>
  <si>
    <r>
      <t>Net Tuition &amp; Fees</t>
    </r>
    <r>
      <rPr>
        <b/>
        <vertAlign val="superscript"/>
        <sz val="9"/>
        <color indexed="18"/>
        <rFont val="Arial"/>
        <family val="2"/>
      </rPr>
      <t xml:space="preserve"> </t>
    </r>
    <r>
      <rPr>
        <b/>
        <sz val="9"/>
        <color indexed="18"/>
        <rFont val="Arial"/>
        <family val="2"/>
      </rPr>
      <t>Available for Operations</t>
    </r>
    <r>
      <rPr>
        <b/>
        <vertAlign val="superscript"/>
        <sz val="9"/>
        <color indexed="18"/>
        <rFont val="Arial"/>
        <family val="2"/>
      </rPr>
      <t>3</t>
    </r>
  </si>
  <si>
    <r>
      <t>Total Funds Available for Operations</t>
    </r>
    <r>
      <rPr>
        <vertAlign val="superscript"/>
        <sz val="9"/>
        <color indexed="18"/>
        <rFont val="Arial"/>
        <family val="2"/>
      </rPr>
      <t xml:space="preserve">4 </t>
    </r>
  </si>
  <si>
    <r>
      <t>Net Tuition &amp; Fee Revenue</t>
    </r>
    <r>
      <rPr>
        <b/>
        <vertAlign val="superscript"/>
        <sz val="9"/>
        <rFont val="Arial"/>
        <family val="2"/>
      </rPr>
      <t>2</t>
    </r>
  </si>
  <si>
    <t>Sub-Total Revenue</t>
  </si>
  <si>
    <r>
      <t xml:space="preserve">Total for Operations                         </t>
    </r>
    <r>
      <rPr>
        <i/>
        <sz val="10"/>
        <color rgb="FF0000FF"/>
        <rFont val="Arial"/>
        <family val="2"/>
      </rPr>
      <t>(Net Debt Service)</t>
    </r>
  </si>
  <si>
    <t>Non-Med Specialized Tuition and Fee Revenue (estimated)</t>
  </si>
  <si>
    <t>Med-Specialized Tuition &amp; Fee Revenue (estimated)</t>
  </si>
  <si>
    <t>Total Funds (A+B+C)</t>
  </si>
  <si>
    <t>Classificatin Notes</t>
  </si>
  <si>
    <t>Technical Institute or College Size Unknown, 2010-11</t>
  </si>
  <si>
    <t>Percent Change</t>
  </si>
  <si>
    <t>New$</t>
  </si>
  <si>
    <t>lines</t>
  </si>
  <si>
    <t>By Source and Purpose, All Types and Statewide</t>
  </si>
  <si>
    <t>Amounts For FB</t>
  </si>
  <si>
    <t>For use in FB</t>
  </si>
  <si>
    <r>
      <t xml:space="preserve">Data Columns:  </t>
    </r>
    <r>
      <rPr>
        <sz val="10"/>
        <rFont val="Arial"/>
        <family val="2"/>
      </rPr>
      <t xml:space="preserve">White = New Data, Peach = Old Data, Purple/Grey = Calculated Data. </t>
    </r>
    <r>
      <rPr>
        <b/>
        <sz val="10"/>
        <rFont val="Arial"/>
        <family val="2"/>
      </rPr>
      <t xml:space="preserve"> Please highlight changes in YELLOW</t>
    </r>
  </si>
  <si>
    <t>Comments:  Please look for comments and answer questions; add comments as needed</t>
  </si>
  <si>
    <t>Institution</t>
  </si>
  <si>
    <t>Classification Notes</t>
  </si>
  <si>
    <t>IPEDS #</t>
  </si>
  <si>
    <t>Category</t>
  </si>
  <si>
    <r>
      <t>(</t>
    </r>
    <r>
      <rPr>
        <vertAlign val="superscript"/>
        <sz val="10"/>
        <rFont val="Arial"/>
        <family val="2"/>
      </rPr>
      <t xml:space="preserve">1 </t>
    </r>
    <r>
      <rPr>
        <sz val="10"/>
        <rFont val="Arial"/>
        <family val="2"/>
      </rPr>
      <t xml:space="preserve">State + local + tuition and fees. </t>
    </r>
    <r>
      <rPr>
        <vertAlign val="superscript"/>
        <sz val="10"/>
        <rFont val="Arial"/>
        <family val="2"/>
      </rPr>
      <t xml:space="preserve"> 2</t>
    </r>
    <r>
      <rPr>
        <sz val="10"/>
        <rFont val="Arial"/>
        <family val="2"/>
      </rPr>
      <t>System operations, state support to private colleges other than student aid, contract education and statewide student financial aid administered off campus and Special Purpose institutions.)</t>
    </r>
  </si>
  <si>
    <t>% Change</t>
  </si>
  <si>
    <t>1. System Operations, State Support to Private Colleges other than student aid, contract education and statewide student aid adm. off campus and non-med Special purp insts.</t>
  </si>
  <si>
    <t>2. Health Professions Education &amp; Institutions</t>
  </si>
  <si>
    <t>B. Other Special Purpose Funds and Funds for Health Professions Education</t>
  </si>
  <si>
    <t>2012-13</t>
  </si>
  <si>
    <t>(Multiple Items)</t>
  </si>
  <si>
    <t>Technical</t>
  </si>
  <si>
    <t>Technical Total</t>
  </si>
  <si>
    <t>Two-Year</t>
  </si>
  <si>
    <t>Two-Year Total</t>
  </si>
  <si>
    <t>Special line items for E&amp;G operations</t>
  </si>
  <si>
    <t xml:space="preserve">Special line items for E&amp;G operations </t>
  </si>
  <si>
    <t>Education special-purpose--all other</t>
  </si>
  <si>
    <t>By Purpose, Summary Distribution, 2012-13</t>
  </si>
  <si>
    <t>By Purpose, Detail Distribution, 2012-13</t>
  </si>
  <si>
    <t>By Source and Purpose, 2012-13</t>
  </si>
  <si>
    <t>Public Four-Year 1, 2012-13</t>
  </si>
  <si>
    <t>Public Four-Year 2, 2012-13</t>
  </si>
  <si>
    <t>Public Four-Year 3, 2012-13</t>
  </si>
  <si>
    <t>Public Four-Year 4, 2012-13</t>
  </si>
  <si>
    <t>Public Four-Year 5, 2012-13</t>
  </si>
  <si>
    <t>Public Four-Year 6, 2012-13</t>
  </si>
  <si>
    <t>Two-Year with Bachelor's, 2012-13</t>
  </si>
  <si>
    <t>Two-Year 1, 2012-13</t>
  </si>
  <si>
    <t>Two-Year 2, 2012-13</t>
  </si>
  <si>
    <t>Two-Year 3, 2012-13</t>
  </si>
  <si>
    <t>Two-Year Size Unknown, 2012-13</t>
  </si>
  <si>
    <t>Technical Institute or College 1, 2012-13</t>
  </si>
  <si>
    <t>Technical Institute or College 2, 2012-13</t>
  </si>
  <si>
    <t>**Reflects Richard Bland College only.</t>
  </si>
  <si>
    <t>*Reflects all community colleges except Richard Bland College.</t>
  </si>
  <si>
    <t>2013-14</t>
  </si>
  <si>
    <r>
      <t>Part 6: Funds</t>
    </r>
    <r>
      <rPr>
        <b/>
        <vertAlign val="superscript"/>
        <sz val="10"/>
        <color theme="0"/>
        <rFont val="Arial"/>
        <family val="2"/>
      </rPr>
      <t>1</t>
    </r>
    <r>
      <rPr>
        <b/>
        <sz val="10"/>
        <color theme="0"/>
        <rFont val="Arial"/>
        <family val="2"/>
      </rPr>
      <t xml:space="preserve"> for Public Colleges, Universities and Technical Institutes and for Other</t>
    </r>
    <r>
      <rPr>
        <b/>
        <vertAlign val="superscript"/>
        <sz val="10"/>
        <color theme="0"/>
        <rFont val="Arial"/>
        <family val="2"/>
      </rPr>
      <t>2</t>
    </r>
    <r>
      <rPr>
        <b/>
        <sz val="10"/>
        <color theme="0"/>
        <rFont val="Arial"/>
        <family val="2"/>
      </rPr>
      <t xml:space="preserve"> Higher Education-Related Operating Expenses</t>
    </r>
  </si>
  <si>
    <t xml:space="preserve">Auburn University  </t>
  </si>
  <si>
    <t>Veterinary School</t>
  </si>
  <si>
    <t>Educational Special-Purpose funds to public campuses</t>
  </si>
  <si>
    <t>Jules Collins Smith Art Museum</t>
  </si>
  <si>
    <t>Training for ASIMS</t>
  </si>
  <si>
    <t>Special Outreach PGM</t>
  </si>
  <si>
    <t>Teacher In-service Center</t>
  </si>
  <si>
    <t xml:space="preserve">University of Alabama </t>
  </si>
  <si>
    <t>Health Center</t>
  </si>
  <si>
    <t>AL Center for Civic Life</t>
  </si>
  <si>
    <t>Small Business Institute of Commerce</t>
  </si>
  <si>
    <t>Institute for Automotive Eng</t>
  </si>
  <si>
    <t>Trails Commission</t>
  </si>
  <si>
    <t>Insurance Info &amp; Res Ctr</t>
  </si>
  <si>
    <t>Ctr fot Ethics &amp; Social Responsibility</t>
  </si>
  <si>
    <t>University of Alabama at Birmingham</t>
  </si>
  <si>
    <t>Medical Center</t>
  </si>
  <si>
    <t>Chauncey-Sparks Mental Health Center</t>
  </si>
  <si>
    <t>James Cystic Fibrosis Ctr</t>
  </si>
  <si>
    <t>Diabetes Res Ctr</t>
  </si>
  <si>
    <t>T.J. Atchison Spinal Cord Inj Res</t>
  </si>
  <si>
    <t>Minority Bus Training Econ Dev Pgm</t>
  </si>
  <si>
    <t>High School Athletic Training Pgm</t>
  </si>
  <si>
    <t>University of Alabama in Huntsville</t>
  </si>
  <si>
    <t>Climatology Prg</t>
  </si>
  <si>
    <t>Alabama Agricultural &amp; Mechanical University</t>
  </si>
  <si>
    <t>Black Archives Museum</t>
  </si>
  <si>
    <t>Agricultural</t>
  </si>
  <si>
    <t>AL Agricultural LG Alliance</t>
  </si>
  <si>
    <t xml:space="preserve">Jacksonville State University </t>
  </si>
  <si>
    <t>AL Small Business Institute of Commerce</t>
  </si>
  <si>
    <t>Wellness Initiative</t>
  </si>
  <si>
    <t>Little River Canyon Field School</t>
  </si>
  <si>
    <t>AL Film Initiative</t>
  </si>
  <si>
    <t>AL Scenic River Trail</t>
  </si>
  <si>
    <t>Troy University</t>
  </si>
  <si>
    <t>Ctr for International Bus &amp; Econ Development</t>
  </si>
  <si>
    <t>Transfer Ag Center Board</t>
  </si>
  <si>
    <t>University of South Alabama</t>
  </si>
  <si>
    <t xml:space="preserve">Alabama State University </t>
  </si>
  <si>
    <t>Cooperative Efforts to Enhance Community Ed Institute</t>
  </si>
  <si>
    <t>Minority Technology Network</t>
  </si>
  <si>
    <t>Auburn University at Montgomery</t>
  </si>
  <si>
    <t>S.E.R.I.E.S. Pgm</t>
  </si>
  <si>
    <t>Institute for Accoutability &amp; Governement Efficiency</t>
  </si>
  <si>
    <t>GAAT/CPM Prm</t>
  </si>
  <si>
    <t>Senior Resource Center</t>
  </si>
  <si>
    <t>University of North Alabama</t>
  </si>
  <si>
    <t>University of Montevallo</t>
  </si>
  <si>
    <t>American Village</t>
  </si>
  <si>
    <t>University of West Alabama</t>
  </si>
  <si>
    <t>AL Medical Ed Consortium</t>
  </si>
  <si>
    <t>Econ &amp; Small Bus Devel Prm</t>
  </si>
  <si>
    <t>Regional Wellness &amp; Fitness Center</t>
  </si>
  <si>
    <t>National Young Farmers Ed Assoc</t>
  </si>
  <si>
    <t>Athens State University</t>
  </si>
  <si>
    <t>Gadsden State Community College</t>
  </si>
  <si>
    <t>Special line items for education operations</t>
  </si>
  <si>
    <t>Special Population Training</t>
  </si>
  <si>
    <t>Adult Basic Education</t>
  </si>
  <si>
    <t>Workforce Development</t>
  </si>
  <si>
    <t>Jefferson State Community College</t>
  </si>
  <si>
    <t>Ctr for Labor Ed &amp; Res</t>
  </si>
  <si>
    <t xml:space="preserve">John C. Calhoun State Community College </t>
  </si>
  <si>
    <t>Wallace Community College - Hanceville</t>
  </si>
  <si>
    <t>Bevill State Community College</t>
  </si>
  <si>
    <t>Bishop State Community College</t>
  </si>
  <si>
    <t>Central Alabama Community College</t>
  </si>
  <si>
    <t>Enterprise State Community College</t>
  </si>
  <si>
    <t>George C. Wallace Community College - Dothan</t>
  </si>
  <si>
    <t>James H. Faulkner State Community College</t>
  </si>
  <si>
    <t xml:space="preserve">Lawson State Community College </t>
  </si>
  <si>
    <t xml:space="preserve">Northeast Alabama State Community College </t>
  </si>
  <si>
    <t xml:space="preserve">Northwest-Shoals Community College </t>
  </si>
  <si>
    <t>Shelton State Community College</t>
  </si>
  <si>
    <t>Poison Control Center</t>
  </si>
  <si>
    <t>Partnership Preservation Of Labor Ed</t>
  </si>
  <si>
    <t>Southern Union State Community College</t>
  </si>
  <si>
    <t>Alabama Southern Community College</t>
  </si>
  <si>
    <t xml:space="preserve">Chattahoochee Valley State Community College </t>
  </si>
  <si>
    <t>George Corley Wallace State Community College - Selma</t>
  </si>
  <si>
    <t>Jefferson Davis Community College</t>
  </si>
  <si>
    <t xml:space="preserve">Lurleen B. Wallace Community College </t>
  </si>
  <si>
    <t xml:space="preserve">Snead State Community College </t>
  </si>
  <si>
    <t>Trenholm State Technical College</t>
  </si>
  <si>
    <t xml:space="preserve">J.F. Drake State Technical College </t>
  </si>
  <si>
    <t xml:space="preserve">J.F. Ingram State Technical College </t>
  </si>
  <si>
    <t xml:space="preserve">Reid State Technical College </t>
  </si>
  <si>
    <t>Marion Military Institute</t>
  </si>
  <si>
    <t>Educational special purpose funds - to statewide units</t>
  </si>
  <si>
    <t>Exprmntl Prog. for the Stimulation of Competitive Rsrch (EPSCOR) Consort.</t>
  </si>
  <si>
    <t>MESC/Dauphin Isl Sealab/Marine Environmental Sci Consort.</t>
  </si>
  <si>
    <t>Network of Al Academic Libraries (NAAL)</t>
  </si>
  <si>
    <t>AL Firefighters' Personnel Standards &amp; Ed Commission’s “Alabama Fire College”</t>
  </si>
  <si>
    <t>Alabama Technology Network</t>
  </si>
  <si>
    <t>Prison Education - Therapeutic Training</t>
  </si>
  <si>
    <t>LifeTech</t>
  </si>
  <si>
    <t>Washington Ctr Internship Pgm</t>
  </si>
  <si>
    <t>Continuing Ed for EMT Personnel</t>
  </si>
  <si>
    <t>Mine Safety Training Pgm</t>
  </si>
  <si>
    <t>Educational special purpose funds - all other</t>
  </si>
  <si>
    <t xml:space="preserve">Articulation </t>
  </si>
  <si>
    <t>Arts Council</t>
  </si>
  <si>
    <t>Adaptive &amp; Disability Sports ED</t>
  </si>
  <si>
    <t>Knight v Alabama</t>
  </si>
  <si>
    <t xml:space="preserve">School &amp; University Partnership for Education Renewal </t>
  </si>
  <si>
    <t>Alabama Innovation Fund</t>
  </si>
  <si>
    <t xml:space="preserve">Commission on Higher Education (CHE) Operations </t>
  </si>
  <si>
    <t>Department of Postsecondary Education Operations</t>
  </si>
  <si>
    <t>Two Year College appropriation not yet Distributed</t>
  </si>
  <si>
    <t>SREB Membership  *</t>
  </si>
  <si>
    <t>SREB ACHE Administrative Costs</t>
  </si>
  <si>
    <t>Adm. of Statewide Student Aid Progs. (including centralized guaranteed student loans)</t>
  </si>
  <si>
    <t>State Support to Private Colleges Other Than Student Aid</t>
  </si>
  <si>
    <t>AL A&amp;M-Miles College Consortium</t>
  </si>
  <si>
    <t>Talladega College</t>
  </si>
  <si>
    <t>Tuskegee University</t>
  </si>
  <si>
    <t>AL Agricultural LG Alliance Tuskegee University</t>
  </si>
  <si>
    <t>Contract Education Programs</t>
  </si>
  <si>
    <t>SREB contract program with private colleges</t>
  </si>
  <si>
    <t>Meharry Medical College (Dentistry &amp; Medicine)</t>
  </si>
  <si>
    <t>SREB contract program with public colleges</t>
  </si>
  <si>
    <t>Statewide Student Financial Aid Programs Administered Off Campus</t>
  </si>
  <si>
    <t>for medical students</t>
  </si>
  <si>
    <t>Amount to public sector students</t>
  </si>
  <si>
    <t>Amount to private sector students</t>
  </si>
  <si>
    <t>for dental students</t>
  </si>
  <si>
    <t>for optometry students</t>
  </si>
  <si>
    <t>for chiropractic students</t>
  </si>
  <si>
    <t>Board of Nursing program</t>
  </si>
  <si>
    <t>SREB minority doctoral fellows</t>
  </si>
  <si>
    <t>Alabama Student Assistance Program</t>
  </si>
  <si>
    <t>Dependents of blind parents program</t>
  </si>
  <si>
    <t>Department of Veterans Affairs programs</t>
  </si>
  <si>
    <t>Police Officer's scholarships</t>
  </si>
  <si>
    <t>National Guard Ed Assistance</t>
  </si>
  <si>
    <t>Limited to public college students only</t>
  </si>
  <si>
    <t>American Legion program</t>
  </si>
  <si>
    <t>Two-Year Transfer Scholarship Program</t>
  </si>
  <si>
    <t>Limited to private college students only</t>
  </si>
  <si>
    <t>Alabama Student Grant Program</t>
  </si>
  <si>
    <t>University of Arkansas, Fayetteville</t>
  </si>
  <si>
    <t>Univ of Ark. System Divison of Agriculture</t>
  </si>
  <si>
    <t>Univ of Ark. System Archeological Survey</t>
  </si>
  <si>
    <t>Univ of Ark. System Criminal Justice Institute</t>
  </si>
  <si>
    <t>Univ. of Ark. System Arkansas School of Mathematics, Sciences and the Arts</t>
  </si>
  <si>
    <t>Clinton School for Public Service</t>
  </si>
  <si>
    <t>Arkansas State University</t>
  </si>
  <si>
    <t>Arkansas Tech University</t>
  </si>
  <si>
    <t>Arkansas Tech University - Ozark</t>
  </si>
  <si>
    <t>University of Arkansas at Little Rock</t>
  </si>
  <si>
    <t>Research and Public Service Unit</t>
  </si>
  <si>
    <t xml:space="preserve">University of Central Arkansas </t>
  </si>
  <si>
    <t xml:space="preserve">Henderson State University </t>
  </si>
  <si>
    <t xml:space="preserve">Henderson State Community Education Center </t>
  </si>
  <si>
    <t>Formerly Southwest Arkansas Tech Learning Center.</t>
  </si>
  <si>
    <t>Southern Arkansas University</t>
  </si>
  <si>
    <t>University of Arkansas at Monticello</t>
  </si>
  <si>
    <t>UAM College of Technology-McGehee</t>
  </si>
  <si>
    <t xml:space="preserve">UAM College of Technology-Crossett </t>
  </si>
  <si>
    <t>University of Arkansas at Fort Smith</t>
  </si>
  <si>
    <t>.</t>
  </si>
  <si>
    <t>University of Arkansas at Pine Bluff</t>
  </si>
  <si>
    <t xml:space="preserve">Northwest Arkansas Community College </t>
  </si>
  <si>
    <t>Pulaski Technical College</t>
  </si>
  <si>
    <t>Arkansas State University-Beebe</t>
  </si>
  <si>
    <t>National Park Community College</t>
  </si>
  <si>
    <t>Arkansas Northeastern College</t>
  </si>
  <si>
    <t>Arkansas State University Mountain Home</t>
  </si>
  <si>
    <t>Arkansas State University-Newport</t>
  </si>
  <si>
    <t>Black River Technical College</t>
  </si>
  <si>
    <t>College of the Ouachitas</t>
  </si>
  <si>
    <t>Cossatot Community College of the University of Arkansas</t>
  </si>
  <si>
    <t xml:space="preserve">East Arkansas Community College </t>
  </si>
  <si>
    <t xml:space="preserve">Mid-South Community College </t>
  </si>
  <si>
    <t>North Arkansas College</t>
  </si>
  <si>
    <t xml:space="preserve">Ozarka College </t>
  </si>
  <si>
    <t>Phillips Community College of the Univ of Arkansas</t>
  </si>
  <si>
    <t xml:space="preserve">Rich Mountain Community College </t>
  </si>
  <si>
    <t>South Arkansas Community College</t>
  </si>
  <si>
    <t>Southeast Arkansas College</t>
  </si>
  <si>
    <t>Southern Arkansas University Tech</t>
  </si>
  <si>
    <t>Environmental Control Academy &amp; Fire Control Academy</t>
  </si>
  <si>
    <t>University of Arkansas Community College at Batesville</t>
  </si>
  <si>
    <t>University of Arkansas Community College at Hope</t>
  </si>
  <si>
    <t>University of Arkansas Community College at Morrilton</t>
  </si>
  <si>
    <t>University of Arkansas for Medical Sciences</t>
  </si>
  <si>
    <t>All Other State Operating Appropriations Related to Postsecondary Education</t>
  </si>
  <si>
    <t>Y.O.U. Program for At-Risk Youth</t>
  </si>
  <si>
    <t>Tuition Waiver Adjustments</t>
  </si>
  <si>
    <t>Higher Education Coordinating Board</t>
  </si>
  <si>
    <t>Univ. of Ark System Office</t>
  </si>
  <si>
    <t>Arkansas State University System Office</t>
  </si>
  <si>
    <t>SREB Membership</t>
  </si>
  <si>
    <t>Adm. of Statewide Student Aid Progs. (incldng centralized guaranteed student loans)</t>
  </si>
  <si>
    <t>Ohio College of Podiatric Medicine</t>
  </si>
  <si>
    <t>Meharry Medical College (Dentistry)</t>
  </si>
  <si>
    <t>Rosalind Franklin University</t>
  </si>
  <si>
    <t>Southern College of Optometry</t>
  </si>
  <si>
    <t>Virginia College of Osteopathic Medicine</t>
  </si>
  <si>
    <t>Southeastern University College of Osteopathic Medicine (NOVA)</t>
  </si>
  <si>
    <t>Louisiana State Univ. Medical Center (Dentistry)</t>
  </si>
  <si>
    <t>Mississippi State University (Veterinary Medicine)</t>
  </si>
  <si>
    <t>Oklahoma State University (Osteopathic Medicine)</t>
  </si>
  <si>
    <t>University of Tennessee (Dentistry)</t>
  </si>
  <si>
    <t>University of Oklahoma (Dentistry)</t>
  </si>
  <si>
    <t>Baylor College of Medicine-Texas A&amp;M (Dentistry)</t>
  </si>
  <si>
    <t>Louisiana State University (Veterinary Medicine)</t>
  </si>
  <si>
    <t>Northeastern University (Optometry)</t>
  </si>
  <si>
    <t>University of Louisville (Dentistry)</t>
  </si>
  <si>
    <t>Governor's Scholars</t>
  </si>
  <si>
    <t>Arkansas Academic Challenge Scholarship</t>
  </si>
  <si>
    <t>Higher Education Opportunities Grant (GO! Opportunities Grant)</t>
  </si>
  <si>
    <t>Teacher Opportunity Program</t>
  </si>
  <si>
    <t>Second Effort Scholarships</t>
  </si>
  <si>
    <t>MIA/KIA Dependents' Scholarship</t>
  </si>
  <si>
    <t>National Guard Scholarships</t>
  </si>
  <si>
    <t>Junior/Senior Minority Scholarships</t>
  </si>
  <si>
    <t>Minority Master's Fellows Program</t>
  </si>
  <si>
    <t>SREB Doctoral Scholars Program</t>
  </si>
  <si>
    <t>Geographical Critical Needs Teacher Scholarship</t>
  </si>
  <si>
    <t>Workforce Improvement Grant</t>
  </si>
  <si>
    <t>Surviving Chidren of Law Enforcement Offs.</t>
  </si>
  <si>
    <t>Florida International University</t>
  </si>
  <si>
    <t>Student Financial Aid</t>
  </si>
  <si>
    <t>Risk Management/Casualty Insurance</t>
  </si>
  <si>
    <t>Medical School</t>
  </si>
  <si>
    <t xml:space="preserve">Florida State University </t>
  </si>
  <si>
    <t>College of Medicine Autism Program</t>
  </si>
  <si>
    <t>Off-Campus Volunteers</t>
  </si>
  <si>
    <t>Developmental Research School</t>
  </si>
  <si>
    <t xml:space="preserve">University of Central Florida </t>
  </si>
  <si>
    <t>Autism Program</t>
  </si>
  <si>
    <t>University of Florida</t>
  </si>
  <si>
    <t>Jacksonville Autism Program</t>
  </si>
  <si>
    <t xml:space="preserve">University of South Florida </t>
  </si>
  <si>
    <t>Phosphate Research</t>
  </si>
  <si>
    <t>Mental Health Institute Autism Program</t>
  </si>
  <si>
    <t xml:space="preserve">Florida Atlantic University </t>
  </si>
  <si>
    <t xml:space="preserve">Florida Agricultural &amp; Mechanical University </t>
  </si>
  <si>
    <t>University of North Florida</t>
  </si>
  <si>
    <t>University of West Florida</t>
  </si>
  <si>
    <t>Florida Gulf Coast University</t>
  </si>
  <si>
    <t>New College of Florida</t>
  </si>
  <si>
    <t>Florida Polytech University</t>
  </si>
  <si>
    <t>????</t>
  </si>
  <si>
    <t>Education special purpose funds -all other</t>
  </si>
  <si>
    <t>Moffitt Cancer Center</t>
  </si>
  <si>
    <t xml:space="preserve">Institute for Human and Machine Cognition </t>
  </si>
  <si>
    <t>Distance Learning Consortium</t>
  </si>
  <si>
    <t>FL. Board of Governors</t>
  </si>
  <si>
    <t>SREB membership</t>
  </si>
  <si>
    <t>1st Accredited Medical School Support for Univ Miami</t>
  </si>
  <si>
    <t>Regional Diabetes Center at Univ of Miami</t>
  </si>
  <si>
    <t>Autism Program at Univ Miami</t>
  </si>
  <si>
    <t>Nova SE Univ-health programs (osteopathy, pharmacy, optometry)</t>
  </si>
  <si>
    <t>Bethune-Cookman</t>
  </si>
  <si>
    <t>Edwards Waters College</t>
  </si>
  <si>
    <t>Fl Memorial College</t>
  </si>
  <si>
    <t>Library resources for HBCU's</t>
  </si>
  <si>
    <t>University of Miami academic program contracts</t>
  </si>
  <si>
    <t>Nova SE Univ academic program contracts</t>
  </si>
  <si>
    <t>FL Inst. Of Technology</t>
  </si>
  <si>
    <t>Barry University</t>
  </si>
  <si>
    <t>Le Comm/Florida Health Programs</t>
  </si>
  <si>
    <t>Bright Futures Scholarships</t>
  </si>
  <si>
    <t>Children of deceased/disabled Veterans</t>
  </si>
  <si>
    <t>Florida Work Experience</t>
  </si>
  <si>
    <t>Jose Marti Scholarship Challenge Grant</t>
  </si>
  <si>
    <t>Prepaid Tuition Scholarships</t>
  </si>
  <si>
    <t>Florida Student Assistance - Public - Full &amp; Part-time</t>
  </si>
  <si>
    <t>Minority Teachers Scholarships</t>
  </si>
  <si>
    <t>Rosewood Family Scholarships</t>
  </si>
  <si>
    <t>Florida Resident Access Grant</t>
  </si>
  <si>
    <t>Access to Better Learning and Education</t>
  </si>
  <si>
    <t>Postsecondary Student Assistance Grant</t>
  </si>
  <si>
    <t>Private Student Assistance Grants</t>
  </si>
  <si>
    <t>Mary McCleod Bethune Scholarship</t>
  </si>
  <si>
    <t>Albany Technical College</t>
  </si>
  <si>
    <t>Altamaha Technical College</t>
  </si>
  <si>
    <t>Athens Technical College</t>
  </si>
  <si>
    <t>Atlanta Technical College</t>
  </si>
  <si>
    <t>Augusta Technical College</t>
  </si>
  <si>
    <t>Central Georgia Technical College</t>
  </si>
  <si>
    <t>Chattahoochee Technical College</t>
  </si>
  <si>
    <t>Columbus Technical College</t>
  </si>
  <si>
    <t>Georgia Northwestern Technical College</t>
  </si>
  <si>
    <t>Georgia Piedmont Technical College</t>
  </si>
  <si>
    <t>Gwinnett Technical College</t>
  </si>
  <si>
    <t>Lanier Technical College</t>
  </si>
  <si>
    <t>Moultrie Technical College</t>
  </si>
  <si>
    <t>North Georgia Technical College</t>
  </si>
  <si>
    <t>Oconee Fall Line Technical College</t>
  </si>
  <si>
    <t>Ogeechee Technical College</t>
  </si>
  <si>
    <t>Okefenokee Technical College</t>
  </si>
  <si>
    <t>Savannah Technical College</t>
  </si>
  <si>
    <t>South Georgia Technical College</t>
  </si>
  <si>
    <t>Southeastern Technical College</t>
  </si>
  <si>
    <t>Southern Crescent Technical College</t>
  </si>
  <si>
    <t>Southwest Georgia Technical College</t>
  </si>
  <si>
    <t>West Georgia Technical College</t>
  </si>
  <si>
    <t>Wiregrass Georgia Technical College</t>
  </si>
  <si>
    <t>Education special purpose funds -statewide units</t>
  </si>
  <si>
    <t>TCSG Technical Divisions at USG Schools</t>
  </si>
  <si>
    <t>TCSG Oversight Unit</t>
  </si>
  <si>
    <t>Mississippi State University</t>
  </si>
  <si>
    <t>Vet Med School</t>
  </si>
  <si>
    <t>Agricultural Cooperative Extension</t>
  </si>
  <si>
    <t>Agricultural Experiment Stations</t>
  </si>
  <si>
    <t>Research Units</t>
  </si>
  <si>
    <t>State Chemical Lab</t>
  </si>
  <si>
    <t>Forest/wildlife Research Center</t>
  </si>
  <si>
    <t>Water resources institute</t>
  </si>
  <si>
    <t>Stennis Institute</t>
  </si>
  <si>
    <t>Advanced Vehicular Systems</t>
  </si>
  <si>
    <t>University of Southern Mississippi</t>
  </si>
  <si>
    <t>Gulf-Coast Research Lab</t>
  </si>
  <si>
    <t>Polymer Institute</t>
  </si>
  <si>
    <t>Stennis Center</t>
  </si>
  <si>
    <t xml:space="preserve">Jackson State University </t>
  </si>
  <si>
    <t>Urban Research Center</t>
  </si>
  <si>
    <t>University of Mississippi</t>
  </si>
  <si>
    <t>Community/Public Service  Units</t>
  </si>
  <si>
    <t>Small Business Development Ctr.</t>
  </si>
  <si>
    <t>Pharmaceutical research</t>
  </si>
  <si>
    <t>Law Research Institute</t>
  </si>
  <si>
    <t>Mineral Resources Institute</t>
  </si>
  <si>
    <t>Supercomputer</t>
  </si>
  <si>
    <t xml:space="preserve">Center for Manufacturing Excellence </t>
  </si>
  <si>
    <t>Alcorn State University</t>
  </si>
  <si>
    <t>Agricultural Units</t>
  </si>
  <si>
    <t>Delta State University</t>
  </si>
  <si>
    <t>Mississippi Valley State University</t>
  </si>
  <si>
    <t>Mississippi University for Women</t>
  </si>
  <si>
    <t>University of Mississippi Medical Center</t>
  </si>
  <si>
    <t>Statewide Special-Purpose Units</t>
  </si>
  <si>
    <t>Volunteer Commission</t>
  </si>
  <si>
    <t>Education special purpose funds — all other</t>
  </si>
  <si>
    <t>AYERS Endowment/Summer Programs</t>
  </si>
  <si>
    <t>Ms Board of Trustees I.H.L</t>
  </si>
  <si>
    <t>SREB</t>
  </si>
  <si>
    <t>Student Financial Aid Administration</t>
  </si>
  <si>
    <t>Nova Southeastern University (Osteopathic Medicine)</t>
  </si>
  <si>
    <t>Edward Via VA College of Osteopathic Medicine</t>
  </si>
  <si>
    <t>University of Houston (Optometry)</t>
  </si>
  <si>
    <t>University of Alabama at Birmingham (Optometry)</t>
  </si>
  <si>
    <t>Higher Education Legislative Plan</t>
  </si>
  <si>
    <t>Scholarship/Grant Programs</t>
  </si>
  <si>
    <t>Need-based (GUMS and State LEAP)</t>
  </si>
  <si>
    <t>Non need-based (CGSA)</t>
  </si>
  <si>
    <t>Critical NeedsTeacherScholarship</t>
  </si>
  <si>
    <t>Amount to private sector students Non need-based</t>
  </si>
  <si>
    <t>MS Resident Tuition Assistance Grant</t>
  </si>
  <si>
    <t>MS Eminent Scholars Grant</t>
  </si>
  <si>
    <t>Loan/Scholarship Programs</t>
  </si>
  <si>
    <t>Mississippi Teacher Loan Repayment Program</t>
  </si>
  <si>
    <t>Need-based (SUMD)</t>
  </si>
  <si>
    <t>Non need-based (DENT, LAW, MED,PMGT, SDSP, VMMP,NISS)</t>
  </si>
  <si>
    <t>Non need-based (STSC)</t>
  </si>
  <si>
    <t xml:space="preserve">North Carolina State University </t>
  </si>
  <si>
    <t>Agricultural Research Service</t>
  </si>
  <si>
    <t xml:space="preserve">University of North Carolina at Chapel Hill </t>
  </si>
  <si>
    <t>Health professions education</t>
  </si>
  <si>
    <t>University of North Carolina at Greensboro</t>
  </si>
  <si>
    <t xml:space="preserve">East Carolina University </t>
  </si>
  <si>
    <t>University of North Carolina at Charlotte</t>
  </si>
  <si>
    <t xml:space="preserve">Appalachian State University </t>
  </si>
  <si>
    <t>North Carolina Agricultural &amp; Technical State University</t>
  </si>
  <si>
    <t xml:space="preserve">North Carolina Central University </t>
  </si>
  <si>
    <t>University of North Carolina at Wilmington</t>
  </si>
  <si>
    <t xml:space="preserve">Western Carolina University </t>
  </si>
  <si>
    <t xml:space="preserve">Fayetteville State University </t>
  </si>
  <si>
    <t>University of North Carolina at Pembroke</t>
  </si>
  <si>
    <t xml:space="preserve">Winston-Salem State University </t>
  </si>
  <si>
    <t xml:space="preserve">Elizabeth City State University </t>
  </si>
  <si>
    <t>University of North Carolina at Asheville</t>
  </si>
  <si>
    <t>North Carolina School of the Arts</t>
  </si>
  <si>
    <t>Education special purpose funds- statewide units</t>
  </si>
  <si>
    <t>Statewide Educational TV</t>
  </si>
  <si>
    <t>Univ Syst Community Service Programs</t>
  </si>
  <si>
    <t>Univ Syst Educational Computing Service</t>
  </si>
  <si>
    <t>UNC Hospitals</t>
  </si>
  <si>
    <t>UNC Area Health Education Centers Program</t>
  </si>
  <si>
    <t>Microelectronic Computing Center of North Carolina</t>
  </si>
  <si>
    <t>Education special purpose funds- all other</t>
  </si>
  <si>
    <t>UNC Reserve for Future Allocation</t>
  </si>
  <si>
    <t>UNC General Administration</t>
  </si>
  <si>
    <t>Capitation pymnts &amp; fnncl ad for rsdnt stdnts nrlld at prvt md schls</t>
  </si>
  <si>
    <t>Meharry Medical College (Dentistry, Medicine, Special Aid)</t>
  </si>
  <si>
    <t>Board of Governors Medical Scholarships</t>
  </si>
  <si>
    <t>NC Student Incentive Grant</t>
  </si>
  <si>
    <t>NC Student Loan Program for Health, Science and Mathematics</t>
  </si>
  <si>
    <t>Nurse Education Scholarship/Loans</t>
  </si>
  <si>
    <t>Graduate Nurse Scholars Program</t>
  </si>
  <si>
    <t>Prospective Teacher Scholarship Loan Program</t>
  </si>
  <si>
    <t>Future Teachers of North Carolina Scholarship Loan Program</t>
  </si>
  <si>
    <t>Nurse Scholars Program</t>
  </si>
  <si>
    <t>NC Veterans Scholarships</t>
  </si>
  <si>
    <t>Forgivable Education Loans for Service</t>
  </si>
  <si>
    <t>UNC Need-Based Grant</t>
  </si>
  <si>
    <t>NCSSM Tuition Grant</t>
  </si>
  <si>
    <t>Teacher Assistant Scholarships</t>
  </si>
  <si>
    <t>Board of Governor's Dental Scholarships</t>
  </si>
  <si>
    <t>Principal Fellows Program</t>
  </si>
  <si>
    <t>State Contractual Scholarship Fund</t>
  </si>
  <si>
    <t>Private College Need Based Aid</t>
  </si>
  <si>
    <t>Legislative Tuition Grant</t>
  </si>
  <si>
    <t>University of Memphis</t>
  </si>
  <si>
    <t>University of Tennessee, Knoxville</t>
  </si>
  <si>
    <t>Community/Public Service Units</t>
  </si>
  <si>
    <t>Municipal Technology Advisory Service</t>
  </si>
  <si>
    <t>County Technology Advisory Service</t>
  </si>
  <si>
    <t>Institute for Public Service</t>
  </si>
  <si>
    <t xml:space="preserve">Tennessee State University </t>
  </si>
  <si>
    <t>McMinnville Center Station</t>
  </si>
  <si>
    <t>TSU Institute of Agr and Environmental Research</t>
  </si>
  <si>
    <t>TSU Cooperative Education</t>
  </si>
  <si>
    <t>TSU McIntire-Stennis Forestry Research</t>
  </si>
  <si>
    <t xml:space="preserve">Austin Peay State University </t>
  </si>
  <si>
    <t xml:space="preserve">East Tennessee State University </t>
  </si>
  <si>
    <t xml:space="preserve">Middle Tennessee State University </t>
  </si>
  <si>
    <t xml:space="preserve">Tennessee Technological University </t>
  </si>
  <si>
    <t>University of Tennessee at Chattanooga</t>
  </si>
  <si>
    <t>University of Tennessee at Martin</t>
  </si>
  <si>
    <t xml:space="preserve">Chattanooga State Technical Community College </t>
  </si>
  <si>
    <t>Nashville State Technical Community College</t>
  </si>
  <si>
    <t>Pellissippi State Technical Community College</t>
  </si>
  <si>
    <t>Southwest Tennessee Community College</t>
  </si>
  <si>
    <t xml:space="preserve">Volunteer State Community College </t>
  </si>
  <si>
    <t xml:space="preserve">Cleveland State Community College </t>
  </si>
  <si>
    <t xml:space="preserve">Columbia State Community College </t>
  </si>
  <si>
    <t xml:space="preserve">Dyersburg State Community College </t>
  </si>
  <si>
    <t xml:space="preserve">Jackson State Community College </t>
  </si>
  <si>
    <t xml:space="preserve">Motlow State Community College </t>
  </si>
  <si>
    <t>Northeast State Technical Community College</t>
  </si>
  <si>
    <t xml:space="preserve">Roane State Community College </t>
  </si>
  <si>
    <t xml:space="preserve">Walters State Community College </t>
  </si>
  <si>
    <t>Tennessee College of Applied Technology at Chattanooga</t>
  </si>
  <si>
    <t>219824B</t>
  </si>
  <si>
    <t>Tennessee College of Applied Technology at Athens</t>
  </si>
  <si>
    <t>Tennessee College of Applied Technology at Covington</t>
  </si>
  <si>
    <t>Tennessee College of Applied Technology at Crossville</t>
  </si>
  <si>
    <t>Tennessee College of Applied Technology at Crump</t>
  </si>
  <si>
    <t>Tennessee College of Applied Technology at Dickson</t>
  </si>
  <si>
    <t>Tennessee College of Applied Technology at Elizabethton</t>
  </si>
  <si>
    <t>Tennessee College of Applied Technology at Harriman</t>
  </si>
  <si>
    <t>Tennessee College of Applied Technology at Hartsville</t>
  </si>
  <si>
    <t>Tennessee College of Applied Technology at Hohenwald</t>
  </si>
  <si>
    <t>Tennessee College of Applied Technology at Jacksboro</t>
  </si>
  <si>
    <t>Tennessee College of Applied Technology at Jackson</t>
  </si>
  <si>
    <t>Tennessee College of Applied Technology at Knoxville</t>
  </si>
  <si>
    <t>Tennessee College of Applied Technology at Livingston</t>
  </si>
  <si>
    <t>Tennessee College of Applied Technology at McKenzie</t>
  </si>
  <si>
    <t>Tennessee College of Applied Technology at McMinnville</t>
  </si>
  <si>
    <t>Tennessee College of Applied Technology at Memphis</t>
  </si>
  <si>
    <t>Tennessee College of Applied Technology at Morristown</t>
  </si>
  <si>
    <t>Tennessee College of Applied Technology at Murfreesboro</t>
  </si>
  <si>
    <t>Tennessee College of Applied Technology at Nashville</t>
  </si>
  <si>
    <t>Tennessee College of Applied Technology at Newbern</t>
  </si>
  <si>
    <t>Tennessee College of Applied Technology at Oneida</t>
  </si>
  <si>
    <t>Tennessee College of Applied Technology at Paris</t>
  </si>
  <si>
    <t>Tennessee College of Applied Technology at Pulaski</t>
  </si>
  <si>
    <t>Tennessee College of Applied Technology at Ripley</t>
  </si>
  <si>
    <t>Tennessee College of Applied Technology at Shelbyville</t>
  </si>
  <si>
    <t>Tennessee College of Applied Technology at Whiteville</t>
  </si>
  <si>
    <t>University of Tennessee Health Science Center</t>
  </si>
  <si>
    <t>University of Tennessee Space Institute</t>
  </si>
  <si>
    <t>Educational special purpose funds — all other</t>
  </si>
  <si>
    <t>Foreign Language Institute</t>
  </si>
  <si>
    <t>TN H.Ed. Commission</t>
  </si>
  <si>
    <t>Univ TN System Adm &amp; TN Board of Regents</t>
  </si>
  <si>
    <t>Academic Scholarships</t>
  </si>
  <si>
    <t xml:space="preserve">George Mason University </t>
  </si>
  <si>
    <t xml:space="preserve">Old Dominion University </t>
  </si>
  <si>
    <t>University of Virginia</t>
  </si>
  <si>
    <t xml:space="preserve">Virginia Tech </t>
  </si>
  <si>
    <t>Agricultural &amp; Foresty Research</t>
  </si>
  <si>
    <t>Cooperative Extension</t>
  </si>
  <si>
    <t>College of William &amp; Mary</t>
  </si>
  <si>
    <t>Va Inst of Marine Science</t>
  </si>
  <si>
    <t>Virginia Commonwealth University</t>
  </si>
  <si>
    <t xml:space="preserve">James Madison University  </t>
  </si>
  <si>
    <t xml:space="preserve">Norfolk State University </t>
  </si>
  <si>
    <t xml:space="preserve">Longwood University </t>
  </si>
  <si>
    <t>Radford University</t>
  </si>
  <si>
    <t xml:space="preserve">Virginia State University </t>
  </si>
  <si>
    <t>Christopher Newport University</t>
  </si>
  <si>
    <t>University of Mary Washington</t>
  </si>
  <si>
    <t xml:space="preserve">University of Virginia's College at Wise </t>
  </si>
  <si>
    <t>J.S. Reynolds Community College</t>
  </si>
  <si>
    <t xml:space="preserve">Northern Virginia Community College </t>
  </si>
  <si>
    <t xml:space="preserve">Thomas Nelson Community College </t>
  </si>
  <si>
    <t xml:space="preserve">Tidewater Community College </t>
  </si>
  <si>
    <t xml:space="preserve">Blue Ridge Community College </t>
  </si>
  <si>
    <t xml:space="preserve">Central Virginia Community College </t>
  </si>
  <si>
    <t xml:space="preserve">Danville Community College </t>
  </si>
  <si>
    <t>Germanna Community College</t>
  </si>
  <si>
    <t>John Tyler Community College</t>
  </si>
  <si>
    <t xml:space="preserve">Lord Fairfax Community College  </t>
  </si>
  <si>
    <t>Mountain Empire Community College</t>
  </si>
  <si>
    <t xml:space="preserve">New River Community College </t>
  </si>
  <si>
    <t xml:space="preserve">Patrick Henry Community College </t>
  </si>
  <si>
    <t xml:space="preserve">Piedmont Virginia Community College </t>
  </si>
  <si>
    <t xml:space="preserve">Southside Virginia Community College  </t>
  </si>
  <si>
    <t xml:space="preserve">Southwest Virginia Community College </t>
  </si>
  <si>
    <t xml:space="preserve">Virginia Western Community College </t>
  </si>
  <si>
    <t xml:space="preserve">Wytheville Community College </t>
  </si>
  <si>
    <t xml:space="preserve">D.S. Lancaster Community College </t>
  </si>
  <si>
    <t xml:space="preserve">Eastern Shore Community College  </t>
  </si>
  <si>
    <t xml:space="preserve">Paul D. Camp Community College  </t>
  </si>
  <si>
    <t xml:space="preserve">Rappahannock Community College  </t>
  </si>
  <si>
    <t xml:space="preserve">Richard Bland College </t>
  </si>
  <si>
    <t xml:space="preserve">Virginia Highlands Community College </t>
  </si>
  <si>
    <t>All Community Colleges except R.Bland</t>
  </si>
  <si>
    <t>Virginia Military Institute</t>
  </si>
  <si>
    <t>Innovative Technology Authority</t>
  </si>
  <si>
    <t>Jefferson Science Associates</t>
  </si>
  <si>
    <t>Higher Education Research Initiatives</t>
  </si>
  <si>
    <t>Special Line items for education operations</t>
  </si>
  <si>
    <t>New College Institute</t>
  </si>
  <si>
    <t>Eminent Scholars</t>
  </si>
  <si>
    <t>Library Sharing</t>
  </si>
  <si>
    <t>VMI/MBC Contract</t>
  </si>
  <si>
    <t>Space Grant</t>
  </si>
  <si>
    <t>Melcher's-Monroe Memorials</t>
  </si>
  <si>
    <t>Medical College Hampton Rds./Eastern VA Medical Auth.</t>
  </si>
  <si>
    <t>VCBA-Eq Trust Fund</t>
  </si>
  <si>
    <t>Southern Virginia Higher Education Center</t>
  </si>
  <si>
    <t>SW Va Higher Education Center</t>
  </si>
  <si>
    <t>Roanoke H. Ed. Authority</t>
  </si>
  <si>
    <t>Institute of Advanced Learning and Research</t>
  </si>
  <si>
    <t>interest earnings</t>
  </si>
  <si>
    <t>VCCS economic development</t>
  </si>
  <si>
    <t>VCU state health service</t>
  </si>
  <si>
    <t>University of North Carolina at Chapel Hill (Library Science)</t>
  </si>
  <si>
    <t>North Carolina State University (Pulp/Paper)</t>
  </si>
  <si>
    <t>North Carolina Central University (Library Science)</t>
  </si>
  <si>
    <t>Program name(s)???</t>
  </si>
  <si>
    <t>(Military tuition waiver) Non need-based</t>
  </si>
  <si>
    <t>Transfer grant</t>
  </si>
  <si>
    <t>Student Tuition Aid Grant</t>
  </si>
  <si>
    <t>Other Student Financial Aid</t>
  </si>
  <si>
    <t>West Virginia University</t>
  </si>
  <si>
    <t>School of Health Sciences</t>
  </si>
  <si>
    <t>BRIM insurance subsidy</t>
  </si>
  <si>
    <t>HSTA Program</t>
  </si>
  <si>
    <t>Health Sciences Career Opportunities</t>
  </si>
  <si>
    <t>WVU HSC - Blanchette Rockefeller Neuroligical Institute</t>
  </si>
  <si>
    <t>Public Health Program &amp; Health Science Technology</t>
  </si>
  <si>
    <t>WVUHSC - Graduate Medical Education</t>
  </si>
  <si>
    <t>WVU Health Sciences Center - Academy of Family Physicians Doc of the Day Program</t>
  </si>
  <si>
    <t>WVU - PRT</t>
  </si>
  <si>
    <t>Center for Excellence in Disabilities</t>
  </si>
  <si>
    <t xml:space="preserve">Marshall University </t>
  </si>
  <si>
    <t>MU/SWVVCTC 2+2 Program</t>
  </si>
  <si>
    <t>Autism Training Center</t>
  </si>
  <si>
    <t>MU SOM- Graduate Medical Education</t>
  </si>
  <si>
    <t>MU SOM- Academy of Family Physicians Doc of the Day Program</t>
  </si>
  <si>
    <t>MUSOM - Center for Rural Health</t>
  </si>
  <si>
    <t>Forensic Lab</t>
  </si>
  <si>
    <t>Fairmont State University</t>
  </si>
  <si>
    <t xml:space="preserve">Shepherd University </t>
  </si>
  <si>
    <t xml:space="preserve">Bluefield State College </t>
  </si>
  <si>
    <t xml:space="preserve">Concord University </t>
  </si>
  <si>
    <t xml:space="preserve">Glenville State College </t>
  </si>
  <si>
    <t>West Liberty University</t>
  </si>
  <si>
    <t xml:space="preserve">West Virginia State University </t>
  </si>
  <si>
    <t>West Virginia University Institute of Technology</t>
  </si>
  <si>
    <t>Accreditation supplement</t>
  </si>
  <si>
    <t>Potomac State College of West Virginia University</t>
  </si>
  <si>
    <t>West Virginia University at Parkersburg</t>
  </si>
  <si>
    <t>New River Community &amp; Technical College</t>
  </si>
  <si>
    <t>Pierpont Community &amp; Technical College</t>
  </si>
  <si>
    <t>West Virginia Northern Community College</t>
  </si>
  <si>
    <t>Blue Ridge Community &amp; Technical College</t>
  </si>
  <si>
    <t>Bridgemont Community &amp; Technical College</t>
  </si>
  <si>
    <t>Eastern West Virginia Community &amp; Technical College</t>
  </si>
  <si>
    <t>Kanawha Valley Community &amp; Technical College</t>
  </si>
  <si>
    <t>Mountwest Community &amp; Technical College</t>
  </si>
  <si>
    <t xml:space="preserve">Southern West Virginia Community &amp; Technical College </t>
  </si>
  <si>
    <t>West Virginia School of Osteopathic Medicine</t>
  </si>
  <si>
    <t>Rural Health Initiative</t>
  </si>
  <si>
    <t>RHI Program and Site Support - Gradutate Medical Education Fiscal Oversight</t>
  </si>
  <si>
    <t>RHI Program and Site Support - District Consortia</t>
  </si>
  <si>
    <t>Vice Chancellor for Health Sciences/Rural Health Program Support</t>
  </si>
  <si>
    <t>College Transition Program</t>
  </si>
  <si>
    <t>Transit Training Partnership</t>
  </si>
  <si>
    <t>WV Advanced Workforce Development &amp; Technical  Programs</t>
  </si>
  <si>
    <t>Higher Education Policy Commission</t>
  </si>
  <si>
    <t>WV Network for Education Telecommunications Computer Center</t>
  </si>
  <si>
    <t>WV Council for Community &amp; Technical Education</t>
  </si>
  <si>
    <t>Tuskegee University (Veterinary Medicine)</t>
  </si>
  <si>
    <t>University of Georgia (Veterinary Medicine)</t>
  </si>
  <si>
    <t>Auburn University</t>
  </si>
  <si>
    <t>UAB Birmingham (IL)</t>
  </si>
  <si>
    <t>Higher Education Grant Program</t>
  </si>
  <si>
    <r>
      <t xml:space="preserve">Amount to </t>
    </r>
    <r>
      <rPr>
        <i/>
        <sz val="10"/>
        <rFont val="Arial"/>
        <family val="2"/>
      </rPr>
      <t>public</t>
    </r>
    <r>
      <rPr>
        <sz val="10"/>
        <rFont val="Arial"/>
        <family val="2"/>
      </rPr>
      <t xml:space="preserve"> sector students</t>
    </r>
  </si>
  <si>
    <r>
      <t xml:space="preserve">Amount to </t>
    </r>
    <r>
      <rPr>
        <i/>
        <sz val="10"/>
        <rFont val="Arial"/>
        <family val="2"/>
      </rPr>
      <t>private</t>
    </r>
    <r>
      <rPr>
        <sz val="10"/>
        <rFont val="Arial"/>
        <family val="2"/>
      </rPr>
      <t xml:space="preserve"> sector students</t>
    </r>
  </si>
  <si>
    <t>PROMISE Scholarship</t>
  </si>
  <si>
    <t>SREB Minority Doctoral Fellows Program</t>
  </si>
  <si>
    <t>Underwood-Smith Teacher Scholarship Fund</t>
  </si>
  <si>
    <t>WV Engineering Science Technology Program</t>
  </si>
  <si>
    <t>Health Sciences Scholarship Fund</t>
  </si>
  <si>
    <r>
      <t xml:space="preserve">Amount to </t>
    </r>
    <r>
      <rPr>
        <i/>
        <sz val="10"/>
        <rFont val="Arial"/>
        <family val="2"/>
      </rPr>
      <t xml:space="preserve">public </t>
    </r>
    <r>
      <rPr>
        <sz val="10"/>
        <rFont val="Arial"/>
        <family val="2"/>
      </rPr>
      <t>sector students</t>
    </r>
  </si>
  <si>
    <t>HEAPS Grant Program</t>
  </si>
  <si>
    <t>University of Kentucky</t>
  </si>
  <si>
    <t>Public Service Units</t>
  </si>
  <si>
    <t>Livestock Disease Diagnostic Laboratory</t>
  </si>
  <si>
    <t>Agriculture Public Service</t>
  </si>
  <si>
    <t>Kentucky Geological Survey</t>
  </si>
  <si>
    <t>University Press</t>
  </si>
  <si>
    <t>Japanese Saturday School</t>
  </si>
  <si>
    <t>Rural Health Care</t>
  </si>
  <si>
    <t>Center for Applied Energy Research</t>
  </si>
  <si>
    <t>KY Cancer Registry</t>
  </si>
  <si>
    <t>University of Louisville</t>
  </si>
  <si>
    <t>Community Cancer Program</t>
  </si>
  <si>
    <t>State Data Center</t>
  </si>
  <si>
    <t xml:space="preserve">Eastern Kentucky University </t>
  </si>
  <si>
    <t xml:space="preserve">Morehead State University </t>
  </si>
  <si>
    <t>Appalachian Regional Service</t>
  </si>
  <si>
    <t>Institute for Correctional Training/Research</t>
  </si>
  <si>
    <t xml:space="preserve">Murray State University </t>
  </si>
  <si>
    <t>Breathitt Veterinary Clinic</t>
  </si>
  <si>
    <t xml:space="preserve">Western Kentucky University </t>
  </si>
  <si>
    <t>Kentucky Academy for Math and Science</t>
  </si>
  <si>
    <t xml:space="preserve">Kentucky State University </t>
  </si>
  <si>
    <t xml:space="preserve">Northern Kentucky University </t>
  </si>
  <si>
    <t>Kentucky Center for Mathamatics</t>
  </si>
  <si>
    <t>Bluegrass Community and Technical College</t>
  </si>
  <si>
    <t xml:space="preserve">Jefferson Community and Technical College </t>
  </si>
  <si>
    <t>Ashland Community and Technical College</t>
  </si>
  <si>
    <t xml:space="preserve">Big Sandy Community and Technical College </t>
  </si>
  <si>
    <t xml:space="preserve">Elizabethtown Community and Technical College </t>
  </si>
  <si>
    <t>Hazard Community and Technical College</t>
  </si>
  <si>
    <t xml:space="preserve">Hopkinsville Community College </t>
  </si>
  <si>
    <t>Madisonville Community College</t>
  </si>
  <si>
    <t xml:space="preserve">Maysville Community and Technical College </t>
  </si>
  <si>
    <t xml:space="preserve">Owensboro Community and Technical College </t>
  </si>
  <si>
    <t xml:space="preserve">Somerset Community College </t>
  </si>
  <si>
    <t>Southeast Kentucky Community and Technical College</t>
  </si>
  <si>
    <t>West Kentucky Community and Technical College</t>
  </si>
  <si>
    <t xml:space="preserve">Henderson Community College </t>
  </si>
  <si>
    <t>Gateway Community and Technical College</t>
  </si>
  <si>
    <t>Southcentral Kentucky Community and Technical College</t>
  </si>
  <si>
    <t>KY WINS</t>
  </si>
  <si>
    <t>Kentucky Coal Academy</t>
  </si>
  <si>
    <t>University Health Insurance Premium Supplement</t>
  </si>
  <si>
    <t>Kentucky Board of Emergency Medical Services</t>
  </si>
  <si>
    <t>Fire Commission</t>
  </si>
  <si>
    <t>(PEPP) Health Programs</t>
  </si>
  <si>
    <t>Minority Student Col Prep</t>
  </si>
  <si>
    <t>Research Challenge Trust Fund-Lung Cancer Research</t>
  </si>
  <si>
    <t>KY Postsecondary Education Network</t>
  </si>
  <si>
    <t>Commonweatlh Virtual Univ</t>
  </si>
  <si>
    <t>Adult Education Operations</t>
  </si>
  <si>
    <t xml:space="preserve"> Adult Education and Literacy Funding Program</t>
  </si>
  <si>
    <t>State Autism Training Center</t>
  </si>
  <si>
    <t>Science and Technology Trust Fund</t>
  </si>
  <si>
    <t>State Autism Traning Center</t>
  </si>
  <si>
    <t xml:space="preserve"> Ky Council on Postsecondary Education</t>
  </si>
  <si>
    <t>Ky Community and Technical College System operations</t>
  </si>
  <si>
    <t>SREB (General Operations + Small Grants)</t>
  </si>
  <si>
    <t>SREB Doctoral Scholar Program</t>
  </si>
  <si>
    <t>H. Ed. Asst. Authority</t>
  </si>
  <si>
    <t>Auburn University (Veterinary Medicine)</t>
  </si>
  <si>
    <t>Other contract education programs (Indiana University)</t>
  </si>
  <si>
    <t>KEES Kentucky Educational Excellence Scholarship</t>
  </si>
  <si>
    <t>College Access Program(CAP)</t>
  </si>
  <si>
    <t>Kentucky Tuition Grant (KTG)</t>
  </si>
  <si>
    <t>Pikeville College Osteopathic Medicine Scholarship</t>
  </si>
  <si>
    <t>Met the criteria for Four-Year 3 in 2012-13 and 2013-14.</t>
  </si>
  <si>
    <t>Met the criteria for Four-Year 3 in 2013-14</t>
  </si>
  <si>
    <t>Met the criteria for Two-Year 2 in 2013-14.</t>
  </si>
  <si>
    <t>Met the criteria for Two-Year 2 in 2012-13 and 2013-14.</t>
  </si>
  <si>
    <t>Met the criteria for Two-Year 3 in 2012-13 and 2013-14.</t>
  </si>
  <si>
    <t>Met the criteria for Four-Year 2 in 2012-13 and 2013-14.</t>
  </si>
  <si>
    <t>Met the criteria for Four-Year 5 in 2012-13 and 2013-14.</t>
  </si>
  <si>
    <t>Met the criteria for Four-Year 1 in 2012-13 and 2013-14.</t>
  </si>
  <si>
    <t>Met the criteria for Technical College or Institute 2 in 2013-14.</t>
  </si>
  <si>
    <t>Met the criteria for Four-Year 5 in 2013-14.</t>
  </si>
  <si>
    <t>Met the criteria for Four-Year 2 in 2013-14.</t>
  </si>
  <si>
    <t>Met the criteria for Four-Year 6 in 2013-14.</t>
  </si>
  <si>
    <t>University of Delaware</t>
  </si>
  <si>
    <t>Community/Public Service</t>
  </si>
  <si>
    <t>The College School</t>
  </si>
  <si>
    <t>Delaware Biotech Institute Operating Funds</t>
  </si>
  <si>
    <t>Sea Grant</t>
  </si>
  <si>
    <t>Urban Agent</t>
  </si>
  <si>
    <t>Public Service &amp; Applied Research Projects</t>
  </si>
  <si>
    <t>Local Government Research &amp; Assistance</t>
  </si>
  <si>
    <t>Research on School Finance</t>
  </si>
  <si>
    <t>Delaware Education Research &amp; Development Center</t>
  </si>
  <si>
    <t>Geological Survey</t>
  </si>
  <si>
    <t>Delaware State University</t>
  </si>
  <si>
    <t>Delaware Technical and Community College--Stanton-Wilmington</t>
  </si>
  <si>
    <t>Delaware Technical and Community College--Owens</t>
  </si>
  <si>
    <t>Delaware Technical and Community College--Terry</t>
  </si>
  <si>
    <t>Matching Funds Minority Engineering Recruitment</t>
  </si>
  <si>
    <t>Matching Funds; Advancement of Minorities in Engineering</t>
  </si>
  <si>
    <t>Associate in Arts Program (joint Del. Tech - UD program administered by Del Tech)</t>
  </si>
  <si>
    <t>DE Higher Education Commission</t>
  </si>
  <si>
    <t>Delaware Tech College System Office</t>
  </si>
  <si>
    <t>Adm. of Statewide Student Aid Programs (including centralized guaranteed student loans)</t>
  </si>
  <si>
    <t>Del Institute for Medical Ed &amp; Rsch (DIMER)</t>
  </si>
  <si>
    <t>Del Institute for Vet Medical Education (DIVME)</t>
  </si>
  <si>
    <t>Del Institute for Dental Ed &amp; Rsch (DIDER)</t>
  </si>
  <si>
    <t>Scholarship Incentive Program</t>
  </si>
  <si>
    <t>Diamond State Scholarship</t>
  </si>
  <si>
    <t>Ed Benefits for Children of Deceased Vets &amp; Others</t>
  </si>
  <si>
    <t>Christa McAuliffe Teacher Scholarship Loan</t>
  </si>
  <si>
    <t>Librarian and Archivist Incentive Program</t>
  </si>
  <si>
    <t>Delaware Nursing Incentive Program</t>
  </si>
  <si>
    <t>B. Bradford Barnes Memorial Scholarship</t>
  </si>
  <si>
    <t>Speech/Language Pathologist Incentive Program</t>
  </si>
  <si>
    <t>Herman M. Holloway, Sr. Memorial Scholarship</t>
  </si>
  <si>
    <t>Legislative Essay Scholarship</t>
  </si>
  <si>
    <t>Charles L. Hebner Memorial Scholarship</t>
  </si>
  <si>
    <t>Gov's Ed Grants for Working  Adults</t>
  </si>
  <si>
    <t>Governor's Education Grants for Unemployed Adults</t>
  </si>
  <si>
    <t>Del. Institute for Med. Ed. &amp; Research</t>
  </si>
  <si>
    <t>Ivy D.F. Davis Memorial Scholarship</t>
  </si>
  <si>
    <t>Michael C. Ferguson Achievement Scholarship</t>
  </si>
  <si>
    <t>Delaware Optometric Institutional Aid</t>
  </si>
  <si>
    <t>Critical Need Scholarship</t>
  </si>
  <si>
    <t>DE State Loan Repayment Program/Physicians &amp; Dentists</t>
  </si>
  <si>
    <t>DE Institute for Dental Education &amp; Research Scholarships</t>
  </si>
  <si>
    <t>Inspire Scholarship</t>
  </si>
  <si>
    <t xml:space="preserve">Georgia State University </t>
  </si>
  <si>
    <t>University of Georgia</t>
  </si>
  <si>
    <t>Heatlh Professions Education</t>
  </si>
  <si>
    <t>College of Veterinary Medicine</t>
  </si>
  <si>
    <t>Vet Med Teaching Hospital</t>
  </si>
  <si>
    <t>Ag Cooperative Extension Service</t>
  </si>
  <si>
    <t>Ag Experiment Stations</t>
  </si>
  <si>
    <t>Marine Extension Service</t>
  </si>
  <si>
    <t>Vet Med Exp Station</t>
  </si>
  <si>
    <t>Marine Institute</t>
  </si>
  <si>
    <t>Forest Research</t>
  </si>
  <si>
    <t>Skidaway Inst of Oceanography</t>
  </si>
  <si>
    <t>Georgia Institute of Technology</t>
  </si>
  <si>
    <t>Advanced Technology Development Center</t>
  </si>
  <si>
    <t>Eng Experiment Station (Ga. Tech. Resch Inst.)</t>
  </si>
  <si>
    <t>Georgia Southern University</t>
  </si>
  <si>
    <t>University of West Georgia</t>
  </si>
  <si>
    <t>Valdosta State University</t>
  </si>
  <si>
    <t xml:space="preserve">Albany State University </t>
  </si>
  <si>
    <t>Armstrong Atlantic State University</t>
  </si>
  <si>
    <t>Columbus State University</t>
  </si>
  <si>
    <t>Georgia College and State University</t>
  </si>
  <si>
    <t>Kennesaw State University</t>
  </si>
  <si>
    <t>Clayton State University</t>
  </si>
  <si>
    <t>Fort Valley State University</t>
  </si>
  <si>
    <t>Georgia Southwestern State University</t>
  </si>
  <si>
    <t>Savannah State University</t>
  </si>
  <si>
    <t>Georgia Gwinnett College</t>
  </si>
  <si>
    <t xml:space="preserve">Dalton State College </t>
  </si>
  <si>
    <t xml:space="preserve">Georgia Perimeter College </t>
  </si>
  <si>
    <t xml:space="preserve">Abraham Baldwin Agricultural College </t>
  </si>
  <si>
    <t>College of Coastal Georgia</t>
  </si>
  <si>
    <t xml:space="preserve">Georgia Highlands College </t>
  </si>
  <si>
    <t>Southern Polytechnic State University</t>
  </si>
  <si>
    <t>Georgia Archives</t>
  </si>
  <si>
    <t>Georgia Public Libraries</t>
  </si>
  <si>
    <t>Residence Instruction Reserve</t>
  </si>
  <si>
    <t>Office of Information and Instructional Technology</t>
  </si>
  <si>
    <t>(SHARED SERVICES) University System Regents</t>
  </si>
  <si>
    <t>"RCO A"</t>
  </si>
  <si>
    <t>"RCO B"</t>
  </si>
  <si>
    <t>Doctoral Scholars</t>
  </si>
  <si>
    <t>Ga Student Finance Commission</t>
  </si>
  <si>
    <t>Ga Military College</t>
  </si>
  <si>
    <t>Mercer University (Medicine)</t>
  </si>
  <si>
    <t>Morehouse School of Medicine</t>
  </si>
  <si>
    <t>Georgia Military College</t>
  </si>
  <si>
    <t>Southern College (Optometry)</t>
  </si>
  <si>
    <t>University of Alabama at Birmingham (Medicine)</t>
  </si>
  <si>
    <t>Other contracted programs (Med. Student Capitation Grants)</t>
  </si>
  <si>
    <t>Emory University (Medicine)</t>
  </si>
  <si>
    <t>Public Safety Memorial Grant</t>
  </si>
  <si>
    <t>Engineer Scholarships</t>
  </si>
  <si>
    <t>HOPE Scholarships</t>
  </si>
  <si>
    <t>Georgia Military College Scholarships</t>
  </si>
  <si>
    <t>Reclassified: met the criteria for Four-Year 3 in 2011-12, 2012-13, and 2013-14.</t>
  </si>
  <si>
    <t>Met the criteria for Four-Year 4 in 2013-14.</t>
  </si>
  <si>
    <t xml:space="preserve">Met the criteria for Two-Year 3 in 2013-14. </t>
  </si>
  <si>
    <t>Louisiana State University and A &amp; M College</t>
  </si>
  <si>
    <t>Paul M. Hebert Law Center</t>
  </si>
  <si>
    <t>Vet School</t>
  </si>
  <si>
    <t>Agricultural Center</t>
  </si>
  <si>
    <t>Administration</t>
  </si>
  <si>
    <t xml:space="preserve">Louisiana Tech University </t>
  </si>
  <si>
    <t>University of Louisiana at Lafayette</t>
  </si>
  <si>
    <t>University of New Orleans</t>
  </si>
  <si>
    <t xml:space="preserve">Southeastern Louisiana University </t>
  </si>
  <si>
    <t xml:space="preserve">Southern University and A&amp;M College at Baton Rouge </t>
  </si>
  <si>
    <t>Law Center</t>
  </si>
  <si>
    <t>Agriculture Center</t>
  </si>
  <si>
    <t>University of Louisiana at Monroe</t>
  </si>
  <si>
    <t>Grambling State University</t>
  </si>
  <si>
    <t>Louisiana State University in Shreveport</t>
  </si>
  <si>
    <t>McNeese State University</t>
  </si>
  <si>
    <t xml:space="preserve">Nicholls State University </t>
  </si>
  <si>
    <t>Northwestern State University</t>
  </si>
  <si>
    <t>Southern University at New Orleans</t>
  </si>
  <si>
    <t>Louisiana State University at Alexandria</t>
  </si>
  <si>
    <t>Baton Rouge Community College</t>
  </si>
  <si>
    <t>Bossier Parish Community College</t>
  </si>
  <si>
    <t xml:space="preserve">Delgado Community College </t>
  </si>
  <si>
    <t>Louisiana State University at Eunice</t>
  </si>
  <si>
    <t>South Louisiana Community College</t>
  </si>
  <si>
    <t>Louisiana Delta Community College</t>
  </si>
  <si>
    <t>Nunez Community College</t>
  </si>
  <si>
    <t>River Parishes Community College</t>
  </si>
  <si>
    <t>Southern University in Shreveport</t>
  </si>
  <si>
    <t>Capital Area Technical College</t>
  </si>
  <si>
    <t>Central LA Technical College</t>
  </si>
  <si>
    <t>L.E. Fletcher Technical Community College</t>
  </si>
  <si>
    <t>Northshore Technical College</t>
  </si>
  <si>
    <t>Northwest LA Technical College</t>
  </si>
  <si>
    <t>South Central LA Technical College</t>
  </si>
  <si>
    <t>Sowela Technical Community College</t>
  </si>
  <si>
    <t>Louisiana State University Health Sciences Center—New Orleans</t>
  </si>
  <si>
    <t>Louisiana State University Health Sciences Center — Shreveport</t>
  </si>
  <si>
    <t>Center for Innovative Teaching and Learning (CITAL)</t>
  </si>
  <si>
    <t>LA Universities' Marine Consortium</t>
  </si>
  <si>
    <t>Pennington Biomedical Research Center</t>
  </si>
  <si>
    <t>Health Care WorkForce</t>
  </si>
  <si>
    <t>Distance learning</t>
  </si>
  <si>
    <t>LA Online Library Network (LOUIS)</t>
  </si>
  <si>
    <t>LA Endowment for the Humanities</t>
  </si>
  <si>
    <t>Endowed Chairs/Professorships</t>
  </si>
  <si>
    <t>Endowed Scholarships</t>
  </si>
  <si>
    <t>LONI</t>
  </si>
  <si>
    <t>Other Initiatives</t>
  </si>
  <si>
    <t>Adult Education</t>
  </si>
  <si>
    <t>Board of Regents</t>
  </si>
  <si>
    <t>Southern University System Office</t>
  </si>
  <si>
    <t>LA State University System Office</t>
  </si>
  <si>
    <t>Univ. of LA System Office</t>
  </si>
  <si>
    <t>LA Community and Technical College System Office</t>
  </si>
  <si>
    <t>Louisiana Office of Student Financial Aid (LOSFA)</t>
  </si>
  <si>
    <t>State Support to Private Colleges Other Than Student Aid (ATI)</t>
  </si>
  <si>
    <t>TOPS,GO GRANT, LEAP</t>
  </si>
  <si>
    <t>ROCKEFELLER/DUAL ENROLLMENT</t>
  </si>
  <si>
    <t>Reclassified: met the criteria for Two-Year 2 in 2011-12, 2012-13, and 2013-14.</t>
  </si>
  <si>
    <t>Met the criteria for Technical Institute or College 2 in 2013-14.</t>
  </si>
  <si>
    <t>Asheville-Buncombe Technical Community College</t>
  </si>
  <si>
    <t>Nursing / allied health supplement</t>
  </si>
  <si>
    <t>Cape Fear Community College</t>
  </si>
  <si>
    <t xml:space="preserve">Central Piedmont Community College </t>
  </si>
  <si>
    <t>Fayetteville Technical Community College</t>
  </si>
  <si>
    <t>Forsyth Technical Community College</t>
  </si>
  <si>
    <t xml:space="preserve">Gaston College </t>
  </si>
  <si>
    <t>Guilford Technical Community College</t>
  </si>
  <si>
    <t>Pitt Community College</t>
  </si>
  <si>
    <t>Rowan-Cabarrus Community College</t>
  </si>
  <si>
    <t>Wake Technical Community College</t>
  </si>
  <si>
    <t>Alamance Community College</t>
  </si>
  <si>
    <t>Caldwell Community College &amp; Technical Institute</t>
  </si>
  <si>
    <t>Catawba Valley Community College</t>
  </si>
  <si>
    <t>Central Carolina Commuity College</t>
  </si>
  <si>
    <t>Cleveland Community College</t>
  </si>
  <si>
    <t xml:space="preserve">Coastal Carolina Community College </t>
  </si>
  <si>
    <t xml:space="preserve">Craven Community College </t>
  </si>
  <si>
    <t xml:space="preserve">Davidson County Community College </t>
  </si>
  <si>
    <t>Durham Technical Community College</t>
  </si>
  <si>
    <t>Edgecombe Community College</t>
  </si>
  <si>
    <t>Haywood Community College</t>
  </si>
  <si>
    <t xml:space="preserve">Isothermal Community College </t>
  </si>
  <si>
    <t>Johnston Community College</t>
  </si>
  <si>
    <t xml:space="preserve">Lenoir Community College </t>
  </si>
  <si>
    <t xml:space="preserve">Mitchell Community College </t>
  </si>
  <si>
    <t>Nash Community College</t>
  </si>
  <si>
    <t>Randolph Community College</t>
  </si>
  <si>
    <t>Robeson Community College</t>
  </si>
  <si>
    <t xml:space="preserve">Sandhills Community College </t>
  </si>
  <si>
    <t>Stanly Community College</t>
  </si>
  <si>
    <t xml:space="preserve">Surry Community College </t>
  </si>
  <si>
    <t xml:space="preserve">Vance-Granville Community College </t>
  </si>
  <si>
    <t>Wayne Community College</t>
  </si>
  <si>
    <t xml:space="preserve">Western Piedmont Community College </t>
  </si>
  <si>
    <t xml:space="preserve">Wilkes Community College </t>
  </si>
  <si>
    <t xml:space="preserve">Beaufort County Community College </t>
  </si>
  <si>
    <t>Bladen Community College</t>
  </si>
  <si>
    <t>Blue Ridge Community College</t>
  </si>
  <si>
    <t>Brunswick Community College</t>
  </si>
  <si>
    <t>Carteret Community College</t>
  </si>
  <si>
    <t>College of the Albemarle</t>
  </si>
  <si>
    <t xml:space="preserve">Halifax Community College </t>
  </si>
  <si>
    <t>James Sprunt Community College</t>
  </si>
  <si>
    <t xml:space="preserve">Martin Community College </t>
  </si>
  <si>
    <t>Mayland Community College</t>
  </si>
  <si>
    <t>McDowell Technical Community College</t>
  </si>
  <si>
    <t>Montgomery Community College</t>
  </si>
  <si>
    <t>Pamlico Community College</t>
  </si>
  <si>
    <t>Piedmont Community College</t>
  </si>
  <si>
    <t>Richmond Community College</t>
  </si>
  <si>
    <t>Roanoke-Chowan Community College</t>
  </si>
  <si>
    <t xml:space="preserve">Rockingham Community College </t>
  </si>
  <si>
    <t>Sampson Community College</t>
  </si>
  <si>
    <t>South Piedmont Community College</t>
  </si>
  <si>
    <t xml:space="preserve">Southeastern Community College </t>
  </si>
  <si>
    <t xml:space="preserve">Southwestern Community College </t>
  </si>
  <si>
    <t xml:space="preserve">Tri-County Community College </t>
  </si>
  <si>
    <t>Wilson Technical Community College</t>
  </si>
  <si>
    <t>Prison Education</t>
  </si>
  <si>
    <t>New &amp; Expanding Industry</t>
  </si>
  <si>
    <t>NC State Board for Community Colleges</t>
  </si>
  <si>
    <t>Reclassified: met the criteria for Two-Year 3 in 2011-12, 2012-13, and 2013-14.</t>
  </si>
  <si>
    <t>Oklahoma State University Main Campus</t>
  </si>
  <si>
    <t>College of Osteopathic Medicine</t>
  </si>
  <si>
    <t>Tulsa Branch</t>
  </si>
  <si>
    <t>University of Oklahoma Norman Campus</t>
  </si>
  <si>
    <t>Health Sciences Center</t>
  </si>
  <si>
    <t>Northeastern State University</t>
  </si>
  <si>
    <t>University of Central Oklahoma</t>
  </si>
  <si>
    <t xml:space="preserve">Southeastern Oklahoma State University </t>
  </si>
  <si>
    <t xml:space="preserve">Cameron University </t>
  </si>
  <si>
    <t xml:space="preserve">East Central University </t>
  </si>
  <si>
    <t>Langston University</t>
  </si>
  <si>
    <t xml:space="preserve">Northwestern Oklahoma State University </t>
  </si>
  <si>
    <t>Southwestern Oklahoma State University</t>
  </si>
  <si>
    <t xml:space="preserve">Oklahoma Panhandle State University </t>
  </si>
  <si>
    <t>Rogers State University</t>
  </si>
  <si>
    <t>University of Science and Arts of Oklahoma</t>
  </si>
  <si>
    <t xml:space="preserve">Oklahoma State University-Oklahoma City </t>
  </si>
  <si>
    <t xml:space="preserve">Oklahoma State University Technical Branch-Okmulgee </t>
  </si>
  <si>
    <t xml:space="preserve">Oklahoma City Community College </t>
  </si>
  <si>
    <t xml:space="preserve">Rose State College </t>
  </si>
  <si>
    <t xml:space="preserve">Tulsa Community College </t>
  </si>
  <si>
    <t>Carl Albert State College</t>
  </si>
  <si>
    <t xml:space="preserve">Northern Oklahoma College </t>
  </si>
  <si>
    <t xml:space="preserve">Connors State College </t>
  </si>
  <si>
    <t xml:space="preserve">Eastern Oklahoma State College </t>
  </si>
  <si>
    <t xml:space="preserve">Murray State College </t>
  </si>
  <si>
    <t xml:space="preserve">Northeastern Oklahoma A &amp; M College </t>
  </si>
  <si>
    <t>Redlands Community College</t>
  </si>
  <si>
    <t xml:space="preserve">Seminole State College </t>
  </si>
  <si>
    <t xml:space="preserve">Western Oklahoma State College </t>
  </si>
  <si>
    <t>Kerr Conference Center</t>
  </si>
  <si>
    <t>Educational special-purpose funds — all other</t>
  </si>
  <si>
    <t>Ardmore H.Ed. Program</t>
  </si>
  <si>
    <t>Jane Brooks School-USAO</t>
  </si>
  <si>
    <t>Fire Science Training</t>
  </si>
  <si>
    <t>Scholar Leadership Program</t>
  </si>
  <si>
    <t>Academic Scholar Program</t>
  </si>
  <si>
    <t>Oklahoma Teacher Connection Center</t>
  </si>
  <si>
    <t>OneNet User Fee Charges</t>
  </si>
  <si>
    <t>Student Preparation  Program</t>
  </si>
  <si>
    <t>Statewide Literacy Program</t>
  </si>
  <si>
    <t>Ok State Regents for H. Ed.</t>
  </si>
  <si>
    <t>Oklahoma College System</t>
  </si>
  <si>
    <t>SREB Dues</t>
  </si>
  <si>
    <t>Oklahoma Promise</t>
  </si>
  <si>
    <t>Chiropractic Education Assistance</t>
  </si>
  <si>
    <t>Prospective Teachers Scholars</t>
  </si>
  <si>
    <t>Regional University Scholarships</t>
  </si>
  <si>
    <t>OTAG</t>
  </si>
  <si>
    <t>OTEG</t>
  </si>
  <si>
    <t>Met the criteria for Two-Year 2 institution in 2012-13 and 2013-14.</t>
  </si>
  <si>
    <t>Met the criteria for Two-Year 2 institution in 2013-14.</t>
  </si>
  <si>
    <t>Met the criteria for Two-Year 3 institution in 2013-14.</t>
  </si>
  <si>
    <t>University of Maryland College Park</t>
  </si>
  <si>
    <t>Non-Credit Continuing Education</t>
  </si>
  <si>
    <t>Center for Environmental Science</t>
  </si>
  <si>
    <t>Morgan State University</t>
  </si>
  <si>
    <t>University of Maryland, Baltimore County</t>
  </si>
  <si>
    <t xml:space="preserve">Towson University </t>
  </si>
  <si>
    <t xml:space="preserve">Bowie State University </t>
  </si>
  <si>
    <t xml:space="preserve">Frostburg State University </t>
  </si>
  <si>
    <t xml:space="preserve">Salisbury University </t>
  </si>
  <si>
    <t>University of Baltimore</t>
  </si>
  <si>
    <t xml:space="preserve">University of Maryland Eastern Shore </t>
  </si>
  <si>
    <t>Coppin State University</t>
  </si>
  <si>
    <t>Saint Mary's College of Maryland</t>
  </si>
  <si>
    <t xml:space="preserve">Anne Arundel Community College </t>
  </si>
  <si>
    <t>College of Southern Maryland</t>
  </si>
  <si>
    <t>Community College of Baltimore County</t>
  </si>
  <si>
    <t xml:space="preserve">Howard Community College </t>
  </si>
  <si>
    <t>Montgomery College</t>
  </si>
  <si>
    <t xml:space="preserve">Prince George's Community College </t>
  </si>
  <si>
    <t>Allegany College of Maryland</t>
  </si>
  <si>
    <t>Baltimore City Community College</t>
  </si>
  <si>
    <t>Carroll Community College</t>
  </si>
  <si>
    <t xml:space="preserve">Frederick Community College </t>
  </si>
  <si>
    <t xml:space="preserve">Hagerstown Community College </t>
  </si>
  <si>
    <t xml:space="preserve">Harford Community College </t>
  </si>
  <si>
    <t xml:space="preserve">Wor-Wic Community College </t>
  </si>
  <si>
    <t xml:space="preserve">Cecil Community College </t>
  </si>
  <si>
    <t xml:space="preserve">Chesapeake College </t>
  </si>
  <si>
    <t xml:space="preserve">Garrett College </t>
  </si>
  <si>
    <t>University of Maryland University College</t>
  </si>
  <si>
    <t>University of Maryland at Baltimore</t>
  </si>
  <si>
    <t>Community College Statewide Programs</t>
  </si>
  <si>
    <t>Univ MD System Adm</t>
  </si>
  <si>
    <t>Md Commission on Higher Education</t>
  </si>
  <si>
    <t>Campus-Based Educational Assistance Grant</t>
  </si>
  <si>
    <t>Educational Excellence Awards</t>
  </si>
  <si>
    <t>Senatorial Scholarship</t>
  </si>
  <si>
    <t>Edward Conroy Grant</t>
  </si>
  <si>
    <t>Non-need based</t>
  </si>
  <si>
    <t>Delegate Scholarship</t>
  </si>
  <si>
    <t>Firemen's Tuition Reimbursement</t>
  </si>
  <si>
    <t>Distinguished Scholar Award</t>
  </si>
  <si>
    <t>Jack F. Tolbert Memorial Student Grant Program</t>
  </si>
  <si>
    <t>Child Care Providers Scholarship</t>
  </si>
  <si>
    <t xml:space="preserve">Developmental Disabilities, Mental Health, Child Welfare, and Juvenile Justice Workforce Tuition Assistance Program </t>
  </si>
  <si>
    <t>Distinguished Scholar Community College Transfer Program</t>
  </si>
  <si>
    <t>Gear Up Scholarship</t>
  </si>
  <si>
    <t xml:space="preserve">Graduate Nursing Faculy Scholarship </t>
  </si>
  <si>
    <t xml:space="preserve">Graduate Nursing Faculy Living Expenses Grant </t>
  </si>
  <si>
    <t xml:space="preserve">Veterans of Afghanistan and Iraq Conflicts Scholarship </t>
  </si>
  <si>
    <t>Workforce Shortage Student Assistance Grant</t>
  </si>
  <si>
    <t xml:space="preserve">Chipola College </t>
  </si>
  <si>
    <t xml:space="preserve">Daytona State College </t>
  </si>
  <si>
    <t xml:space="preserve">Edison State College </t>
  </si>
  <si>
    <t>Florida State College at Jacksonville</t>
  </si>
  <si>
    <t xml:space="preserve">Indian River State College </t>
  </si>
  <si>
    <t xml:space="preserve">Miami Dade College </t>
  </si>
  <si>
    <t>Northwest Florida State College</t>
  </si>
  <si>
    <t xml:space="preserve">St. Petersburg College </t>
  </si>
  <si>
    <t xml:space="preserve">Broward College </t>
  </si>
  <si>
    <t>College of Central Florida</t>
  </si>
  <si>
    <t xml:space="preserve">Hillsborough Community College </t>
  </si>
  <si>
    <t xml:space="preserve">Palm Beach State College </t>
  </si>
  <si>
    <t xml:space="preserve">Pasco-Hernando Community College </t>
  </si>
  <si>
    <t xml:space="preserve">Pensacola State College </t>
  </si>
  <si>
    <t xml:space="preserve">Polk State College </t>
  </si>
  <si>
    <t xml:space="preserve">Santa Fe College </t>
  </si>
  <si>
    <t>Seminole State College of Florida</t>
  </si>
  <si>
    <t>State College of Florida, Manatee-Sarasota</t>
  </si>
  <si>
    <t xml:space="preserve">Tallahassee Community College </t>
  </si>
  <si>
    <t xml:space="preserve">Valencia College </t>
  </si>
  <si>
    <t>Florida Gateway College</t>
  </si>
  <si>
    <t xml:space="preserve">Gulf Coast State College </t>
  </si>
  <si>
    <t xml:space="preserve">Lake-Sumter State College </t>
  </si>
  <si>
    <t xml:space="preserve">South Florida State College </t>
  </si>
  <si>
    <t xml:space="preserve">Florida Keys Community College </t>
  </si>
  <si>
    <t xml:space="preserve">North Florida Community College </t>
  </si>
  <si>
    <t xml:space="preserve">Division of Florida Colleges Central Office </t>
  </si>
  <si>
    <t>Reclassified: met the criteria for Two-Year with Bachelor's in 2011-12, 2012-13, and 2013-14.</t>
  </si>
  <si>
    <t>Met the criteria for Two-Year with Bachelor's in 2013-14.</t>
  </si>
  <si>
    <t>Eastern Florida State College</t>
  </si>
  <si>
    <t>Met the criteria for Two-Year with Bachelor's in 2012-13 and 2013-14.</t>
  </si>
  <si>
    <t xml:space="preserve">St. Johns River State College </t>
  </si>
  <si>
    <t xml:space="preserve">Hinds Community College </t>
  </si>
  <si>
    <t>Post-Secondary Vocational Education</t>
  </si>
  <si>
    <t xml:space="preserve">Itawamba Community College </t>
  </si>
  <si>
    <t xml:space="preserve">Mississippi Gulf Coast Community College </t>
  </si>
  <si>
    <t xml:space="preserve">Northwest Mississippi Community College </t>
  </si>
  <si>
    <t xml:space="preserve">Copiah-Lincoln Community College </t>
  </si>
  <si>
    <t xml:space="preserve">East Central Community College </t>
  </si>
  <si>
    <t xml:space="preserve">East Mississippi Community College </t>
  </si>
  <si>
    <t xml:space="preserve">Holmes Community College </t>
  </si>
  <si>
    <t xml:space="preserve">Jones County Junior College </t>
  </si>
  <si>
    <t xml:space="preserve">Meridian Community College </t>
  </si>
  <si>
    <t xml:space="preserve">Mississippi Delta Community College </t>
  </si>
  <si>
    <t xml:space="preserve">Northeast Mississippi Community College </t>
  </si>
  <si>
    <t xml:space="preserve">Pearl River Community College </t>
  </si>
  <si>
    <t xml:space="preserve">Coahoma Community College </t>
  </si>
  <si>
    <t xml:space="preserve">Southwest Mississippi Community College  </t>
  </si>
  <si>
    <t>Education special purpose funds — statewide units</t>
  </si>
  <si>
    <t>Internet and Line Charges for community colleges</t>
  </si>
  <si>
    <t>Greenville Higher Education Center (MDCC via MCCB)</t>
  </si>
  <si>
    <t>MS Community College Board</t>
  </si>
  <si>
    <t>Met criteria for Two-Year 1 in 2012-13 and 2013-14.</t>
  </si>
  <si>
    <t xml:space="preserve">Texas A&amp;M University </t>
  </si>
  <si>
    <t>Veterinary Medicine School</t>
  </si>
  <si>
    <t>Texas AgriLife Research</t>
  </si>
  <si>
    <t>Texas AgriLife Extension Service</t>
  </si>
  <si>
    <t>Texas Engineering Experiment Station</t>
  </si>
  <si>
    <t>Texas Transportation Institute</t>
  </si>
  <si>
    <t>Texas Engineering extension service</t>
  </si>
  <si>
    <t>Texas Forest Service</t>
  </si>
  <si>
    <t>Texas Vet Med Diagnostic Lab</t>
  </si>
  <si>
    <t xml:space="preserve">Texas Tech University </t>
  </si>
  <si>
    <t>University of Houston</t>
  </si>
  <si>
    <t>University of North Texas</t>
  </si>
  <si>
    <t>University of Texas at Arlington</t>
  </si>
  <si>
    <t>University of Texas at Austin</t>
  </si>
  <si>
    <t>University of Texas at Dallas</t>
  </si>
  <si>
    <t>Texas Woman's University</t>
  </si>
  <si>
    <t>University of Texas at El Paso</t>
  </si>
  <si>
    <t>University of Texas at San Antonio</t>
  </si>
  <si>
    <t>Angelo State University</t>
  </si>
  <si>
    <t>Lamar University</t>
  </si>
  <si>
    <t xml:space="preserve">Midwestern State University  </t>
  </si>
  <si>
    <t>Prairie View A&amp;M University</t>
  </si>
  <si>
    <t xml:space="preserve">Sam Houston State University </t>
  </si>
  <si>
    <t>Stephen F. Austin State University</t>
  </si>
  <si>
    <t xml:space="preserve">Sul Ross State University </t>
  </si>
  <si>
    <t xml:space="preserve">Tarleton State University  </t>
  </si>
  <si>
    <t>Texas A&amp;M International University</t>
  </si>
  <si>
    <t>Texas A&amp;M University-Commerce</t>
  </si>
  <si>
    <t xml:space="preserve">Texas A&amp;M University-Corpus Christi </t>
  </si>
  <si>
    <t>Texas A&amp;M University-Kingsville</t>
  </si>
  <si>
    <t xml:space="preserve">Texas Southern University </t>
  </si>
  <si>
    <t>Texas State University</t>
  </si>
  <si>
    <t xml:space="preserve">University of Houston-Clear Lake </t>
  </si>
  <si>
    <t>University of Texas at Brownsville</t>
  </si>
  <si>
    <t>University of Texas at Tyler</t>
  </si>
  <si>
    <t>University of Texas of the Permian Basin</t>
  </si>
  <si>
    <t>University of Texas-Pan American</t>
  </si>
  <si>
    <t>West Texas A&amp;M University</t>
  </si>
  <si>
    <t>Texas A&amp;M -Texarkana</t>
  </si>
  <si>
    <t>TEXAS A&amp;M UNIV-CENTRAL TEXAS</t>
  </si>
  <si>
    <t>???</t>
  </si>
  <si>
    <t>University of Houston-Victoria</t>
  </si>
  <si>
    <t>Sul Ross State University-Rio Grande College</t>
  </si>
  <si>
    <t>TEXAS A&amp;M UNIV-SAN ANTONIO</t>
  </si>
  <si>
    <t>University of Houston-Downtown</t>
  </si>
  <si>
    <t>Texas A&amp;M University at Galveston</t>
  </si>
  <si>
    <t xml:space="preserve">Brazosport College </t>
  </si>
  <si>
    <t xml:space="preserve">Midland College </t>
  </si>
  <si>
    <t>South Texas College</t>
  </si>
  <si>
    <t xml:space="preserve">Amarillo College </t>
  </si>
  <si>
    <t xml:space="preserve">Austin Community College </t>
  </si>
  <si>
    <t xml:space="preserve">Blinn College </t>
  </si>
  <si>
    <t>Brookhaven College  (DCCCD)</t>
  </si>
  <si>
    <t xml:space="preserve">Central Texas College </t>
  </si>
  <si>
    <t>Collin County Community College District</t>
  </si>
  <si>
    <t xml:space="preserve">Del Mar College </t>
  </si>
  <si>
    <t>Eastfield College  (DCCCD)</t>
  </si>
  <si>
    <t>El Centro College  (DCCCD)</t>
  </si>
  <si>
    <t>El Paso County Community College District</t>
  </si>
  <si>
    <t>Houston Community College</t>
  </si>
  <si>
    <t xml:space="preserve">Kilgore College </t>
  </si>
  <si>
    <t xml:space="preserve">Laredo Community College </t>
  </si>
  <si>
    <t>Lone Star College System District</t>
  </si>
  <si>
    <t xml:space="preserve">McLennan Community College </t>
  </si>
  <si>
    <t xml:space="preserve">Navarro College </t>
  </si>
  <si>
    <t>North Central Texas Community College</t>
  </si>
  <si>
    <t>North Lake College  (DCCCD)</t>
  </si>
  <si>
    <t>Northwest Vista College (ACCD)</t>
  </si>
  <si>
    <t>Palo Alto College  (ACCD)</t>
  </si>
  <si>
    <t>Richland College  (DCCCD)</t>
  </si>
  <si>
    <t>San Antonio College (ACCD)</t>
  </si>
  <si>
    <t>San Jacinto College (SJCDS)</t>
  </si>
  <si>
    <t xml:space="preserve">South Plains College </t>
  </si>
  <si>
    <t>St. Philip's College  (ACCD)</t>
  </si>
  <si>
    <t>Tarrant County College (TCJCD)</t>
  </si>
  <si>
    <t xml:space="preserve">Texas Southmost College </t>
  </si>
  <si>
    <t>Texas State Technical College-Waco</t>
  </si>
  <si>
    <t>Trinity Valley Community College</t>
  </si>
  <si>
    <t xml:space="preserve">Tyler Junior College </t>
  </si>
  <si>
    <t xml:space="preserve">Alvin Community College </t>
  </si>
  <si>
    <t xml:space="preserve">Angelina College </t>
  </si>
  <si>
    <t>Cedar Valley College  (DCCCD)</t>
  </si>
  <si>
    <t xml:space="preserve">Cisco Junior College </t>
  </si>
  <si>
    <t>Coastal Bend College</t>
  </si>
  <si>
    <t>College of the Mainland</t>
  </si>
  <si>
    <t xml:space="preserve">Grayson County College </t>
  </si>
  <si>
    <t>Hill College</t>
  </si>
  <si>
    <t>Howard College (HCJCD)</t>
  </si>
  <si>
    <t>Lamar Institute of Technology</t>
  </si>
  <si>
    <t>Lamar State College-Port Arthur</t>
  </si>
  <si>
    <t xml:space="preserve">Lee College </t>
  </si>
  <si>
    <t>Mountain View College  (DCCCD)</t>
  </si>
  <si>
    <t xml:space="preserve">Northeast Texas Community College </t>
  </si>
  <si>
    <t xml:space="preserve">Odessa College </t>
  </si>
  <si>
    <t>Paris Junior College</t>
  </si>
  <si>
    <t xml:space="preserve">Southwest Texas Junior College </t>
  </si>
  <si>
    <t xml:space="preserve">Temple College </t>
  </si>
  <si>
    <t xml:space="preserve">Texarkana College </t>
  </si>
  <si>
    <t xml:space="preserve">Texas State Technical College-Harlingen </t>
  </si>
  <si>
    <t xml:space="preserve">Vernon College </t>
  </si>
  <si>
    <t xml:space="preserve">Victoria College </t>
  </si>
  <si>
    <t xml:space="preserve">Weatherford College </t>
  </si>
  <si>
    <t xml:space="preserve">Wharton County Junior College </t>
  </si>
  <si>
    <t xml:space="preserve">Clarendon College </t>
  </si>
  <si>
    <t xml:space="preserve">Frank Phillips College </t>
  </si>
  <si>
    <t xml:space="preserve">Galveston College </t>
  </si>
  <si>
    <t>Lamar State College-Orange</t>
  </si>
  <si>
    <t>Northeast Lakeview College (ACCD)</t>
  </si>
  <si>
    <t>Panola College</t>
  </si>
  <si>
    <t xml:space="preserve">Ranger College </t>
  </si>
  <si>
    <t>Southwest Collegiate Institute for the Deaf (HCJCD)</t>
  </si>
  <si>
    <t>Texas State Technical College-Marshall</t>
  </si>
  <si>
    <t>Texas State Technical College-West Texas</t>
  </si>
  <si>
    <t xml:space="preserve">Western Texas College </t>
  </si>
  <si>
    <t>Alamo Community College District (ACCD)</t>
  </si>
  <si>
    <t>Dallas County Community College District (DCCD)</t>
  </si>
  <si>
    <t>Texas A&amp;M Health Science Center</t>
  </si>
  <si>
    <t>Texas Tech University Health Sciences Center</t>
  </si>
  <si>
    <t>Texas Tech University Health Sciences Center El Paso</t>
  </si>
  <si>
    <t>University of North Texas Health Science Center at Fort Worth</t>
  </si>
  <si>
    <t>University of Texas Health Science Center at Houston</t>
  </si>
  <si>
    <t>University of Texas Health Science Center at San Antonio</t>
  </si>
  <si>
    <t>University of Texas M.D. Anderson Cancer Center</t>
  </si>
  <si>
    <t>University of Texas Medical Branch at Galveston</t>
  </si>
  <si>
    <t>University of Texas Southwestern Medical Center</t>
  </si>
  <si>
    <t>University of Texas Health Center at Tyler</t>
  </si>
  <si>
    <t>UNIV. OF NORTH TEXAS AT DALLAS</t>
  </si>
  <si>
    <t>New fall 2009. No degrees yet granted.</t>
  </si>
  <si>
    <t xml:space="preserve">Family practice residency </t>
  </si>
  <si>
    <t>Other Health Related- Tobacco Settle-Minority Health Res. &amp; Ed.</t>
  </si>
  <si>
    <t>Other Health Related- Tobacco Settle-Nursing, Allied Health, etc.</t>
  </si>
  <si>
    <t>Nursing Shortage Reduction Program</t>
  </si>
  <si>
    <t>African American Museum</t>
  </si>
  <si>
    <t>Colleges and universities System Admin.</t>
  </si>
  <si>
    <t>Texas Higher Education Coordinating Board</t>
  </si>
  <si>
    <t>Texas State Technical College System Office</t>
  </si>
  <si>
    <t>Baylor College of Medicine</t>
  </si>
  <si>
    <t>Centers for Teacher Education</t>
  </si>
  <si>
    <t>TX Student Aid</t>
  </si>
  <si>
    <t>Teach for TX Conditional Grants</t>
  </si>
  <si>
    <t>Joint Admission Medical Program</t>
  </si>
  <si>
    <t>Border Faculty Loan Repayment Program</t>
  </si>
  <si>
    <t>Met the criteria for Four-Year 1 in 2013-14.</t>
  </si>
  <si>
    <t>Clemson University</t>
  </si>
  <si>
    <t>Fringe Benefits</t>
  </si>
  <si>
    <t>Ag Research, Extension Service, and Inspection</t>
  </si>
  <si>
    <t>Ag Research, Ext. Svc, &amp; Insp. Supplemental for Other Op.Exp. (NR)</t>
  </si>
  <si>
    <t>Research Centers/institutes</t>
  </si>
  <si>
    <t>Centers for Energy Systems</t>
  </si>
  <si>
    <t>Student Career Opportunity Program(NR)</t>
  </si>
  <si>
    <t>Deferred Maintenance (NR &amp; Lottery)</t>
  </si>
  <si>
    <t>Building Repair &amp; Maintenance (Lottery)</t>
  </si>
  <si>
    <t>Academic Endowment</t>
  </si>
  <si>
    <t>University of South Carolina-Columbia</t>
  </si>
  <si>
    <t>Palmetto Poison Center</t>
  </si>
  <si>
    <t>Palmetto College (Recurring &amp; NR)</t>
  </si>
  <si>
    <t>School Improvement Council</t>
  </si>
  <si>
    <t>Small Business Development Center</t>
  </si>
  <si>
    <t>On Your Time (NR)</t>
  </si>
  <si>
    <t>Deferred Maintenance (Lottery)</t>
  </si>
  <si>
    <t>Law Library</t>
  </si>
  <si>
    <t>Medical School-E&amp;G</t>
  </si>
  <si>
    <t>Medical School-Fringe Benefits</t>
  </si>
  <si>
    <t>Medical School-Child Abuse</t>
  </si>
  <si>
    <t>College of Charleston</t>
  </si>
  <si>
    <t>Avery Center</t>
  </si>
  <si>
    <t>Computer Science Program</t>
  </si>
  <si>
    <t>Interactive Digital Technology Pilot Project</t>
  </si>
  <si>
    <t>Lottery Technology (NR)</t>
  </si>
  <si>
    <t xml:space="preserve">Winthrop University </t>
  </si>
  <si>
    <t>Personal Services &amp; Operating</t>
  </si>
  <si>
    <t>Withers Roof Replacement Maint. &amp; Repairs</t>
  </si>
  <si>
    <t>Student Info. Technology Infrastructure Update (NR)</t>
  </si>
  <si>
    <t xml:space="preserve">The Citadel, the Military College of South Carolina </t>
  </si>
  <si>
    <t>Cadet Accountability System</t>
  </si>
  <si>
    <t>Jenkins Hall Arms Room Upgrade (NR)</t>
  </si>
  <si>
    <t>Coastal Carolina University</t>
  </si>
  <si>
    <t>Research Vessel (NR)</t>
  </si>
  <si>
    <t>Scientific Equipment for Research Vessel (NR)</t>
  </si>
  <si>
    <t xml:space="preserve">Francis Marion University </t>
  </si>
  <si>
    <t>Nurse Practitioner Program</t>
  </si>
  <si>
    <t>Industrial Engineering</t>
  </si>
  <si>
    <t xml:space="preserve">South Carolina State University </t>
  </si>
  <si>
    <t>Public Service Activities</t>
  </si>
  <si>
    <t xml:space="preserve">S.C. State Univ. Business School </t>
  </si>
  <si>
    <t>Enrollment Management</t>
  </si>
  <si>
    <t>Transportation Center Match</t>
  </si>
  <si>
    <t>South Carolina Alliance for Minority Participation (SCAMP)</t>
  </si>
  <si>
    <t>African American Loan Program</t>
  </si>
  <si>
    <t>Operating Funds (Lottery) (NR)</t>
  </si>
  <si>
    <t>Higher Education Excellence Enhancement Program (Lottery)(NR)</t>
  </si>
  <si>
    <t>Lander University</t>
  </si>
  <si>
    <t>National Center for Montessori Education</t>
  </si>
  <si>
    <t>University of South Carolina-Aiken</t>
  </si>
  <si>
    <t>Personal Services and Operating</t>
  </si>
  <si>
    <t>Palmetto College (Recurring)</t>
  </si>
  <si>
    <t>Building-Roof &amp; HVAC Repair/Replacement</t>
  </si>
  <si>
    <t>University of South Carolina-Beaufort</t>
  </si>
  <si>
    <t>Palmetto College</t>
  </si>
  <si>
    <t>University of South Carolina-Upstate</t>
  </si>
  <si>
    <t xml:space="preserve">Greenville Technical College </t>
  </si>
  <si>
    <t>Critical Needs Nursing Initiative</t>
  </si>
  <si>
    <t>Deferred Maintenance</t>
  </si>
  <si>
    <t>Pathways to Prosperity</t>
  </si>
  <si>
    <t xml:space="preserve">Horry-Georgetown Technical College </t>
  </si>
  <si>
    <t>Capital Reserve and Surplus 90.20</t>
  </si>
  <si>
    <t xml:space="preserve">Midlands Technical College </t>
  </si>
  <si>
    <t>Nursing Program</t>
  </si>
  <si>
    <t>Midlands Quick Jobs Program-Equipment</t>
  </si>
  <si>
    <t xml:space="preserve">Tri-County Technical College </t>
  </si>
  <si>
    <t xml:space="preserve">Trident Technical College </t>
  </si>
  <si>
    <t>Culinary Arts</t>
  </si>
  <si>
    <t xml:space="preserve">Aiken Technical College </t>
  </si>
  <si>
    <t xml:space="preserve">Central Carolina Technical College </t>
  </si>
  <si>
    <t xml:space="preserve">Florence-Darlington Technical College </t>
  </si>
  <si>
    <t>SIMT</t>
  </si>
  <si>
    <t xml:space="preserve">Orangeburg-Calhoun Technical College </t>
  </si>
  <si>
    <t xml:space="preserve">Piedmont Technical College </t>
  </si>
  <si>
    <t xml:space="preserve">Spartanburg Community College </t>
  </si>
  <si>
    <t>Academic Student Center-Industry  Training</t>
  </si>
  <si>
    <t>Spartanburg-Cherokee Expansion</t>
  </si>
  <si>
    <t xml:space="preserve">York Technical College </t>
  </si>
  <si>
    <t xml:space="preserve">Denmark Technical College </t>
  </si>
  <si>
    <t>Plant Funding for Science Building</t>
  </si>
  <si>
    <t>Northeastern Technical College</t>
  </si>
  <si>
    <t>Technical College of the Lowcountry</t>
  </si>
  <si>
    <t>Transitioning Milt. Supply and Training</t>
  </si>
  <si>
    <t>University of South Carolina-Lancaster</t>
  </si>
  <si>
    <t>Deferred Maintenance (NR)</t>
  </si>
  <si>
    <t>Parity Funding</t>
  </si>
  <si>
    <t>University of South Carolina-Salkehatchie</t>
  </si>
  <si>
    <t xml:space="preserve">  Salkehatchie Leadership Center</t>
  </si>
  <si>
    <t>University of South Carolina-Sumter</t>
  </si>
  <si>
    <t>University of South Carolina-Union</t>
  </si>
  <si>
    <t xml:space="preserve">Willamsburg Technical College </t>
  </si>
  <si>
    <t>Medical University of South Carolina</t>
  </si>
  <si>
    <t>Hypertension Initiative</t>
  </si>
  <si>
    <t>Diabetic Center (MUSC)</t>
  </si>
  <si>
    <t>Rural Dentist Incentive(MUSC)</t>
  </si>
  <si>
    <t>AHEC-Administration</t>
  </si>
  <si>
    <t>AHEC-Fringe Benefits</t>
  </si>
  <si>
    <t>AHEC-Operating Expenses</t>
  </si>
  <si>
    <t>AHEC-Health Professions Students' Rural Infrastructure Prog.</t>
  </si>
  <si>
    <t>AHEC-Rural Physicans Program</t>
  </si>
  <si>
    <t>AHEC-Nursing Recruitment</t>
  </si>
  <si>
    <t>Greenville Tech-Univ Center</t>
  </si>
  <si>
    <t>Greenville Center Operating Cost</t>
  </si>
  <si>
    <t>University Center of Greenville-Infrastructure Development(NR)</t>
  </si>
  <si>
    <t>Lowcountry Graduate Center</t>
  </si>
  <si>
    <t xml:space="preserve"> National Foundation of Teaching Entrepreneurship (NFTE)</t>
  </si>
  <si>
    <t>South Carolina Manufacturing Extension Program (SCMEP)</t>
  </si>
  <si>
    <t>GEARUP</t>
  </si>
  <si>
    <t>Statewide Electronic Library Supplemental</t>
  </si>
  <si>
    <t>Experimental Program for the Stimulation of Competitive Research (EPSCOR) Constorium</t>
  </si>
  <si>
    <t>Charleston Transition Connection</t>
  </si>
  <si>
    <t>SC Commission on H.Ed.</t>
  </si>
  <si>
    <t>Education &amp; Economic Development Act</t>
  </si>
  <si>
    <t>Statewide Electronic Library-Admin</t>
  </si>
  <si>
    <t>National Guard Tuition</t>
  </si>
  <si>
    <t>LIFE Scholarships Admin</t>
  </si>
  <si>
    <t>SC Tech College System</t>
  </si>
  <si>
    <t>SC Tech College System-Fringe Benefits</t>
  </si>
  <si>
    <t>SC Tech College System Data Processing Support</t>
  </si>
  <si>
    <t>Manufacturing Skills Standards Council Initiative</t>
  </si>
  <si>
    <t>Innovative Technical Training</t>
  </si>
  <si>
    <t>SBTCE Special Schools (Economic Development)</t>
  </si>
  <si>
    <t>System Wide Programs</t>
  </si>
  <si>
    <t>Other Direct Training Costs</t>
  </si>
  <si>
    <t>SBTCE CATT (NR)</t>
  </si>
  <si>
    <t>SBTCE CATT</t>
  </si>
  <si>
    <t>SREB - Technology Cooperative</t>
  </si>
  <si>
    <t>Higher Education Excellence Enhancement Program (Lottery)</t>
  </si>
  <si>
    <t>Doctoral Scholars Program</t>
  </si>
  <si>
    <t>Life Scholarships</t>
  </si>
  <si>
    <t>Lottery Tuition Assistance Program</t>
  </si>
  <si>
    <t xml:space="preserve">  Palmetto Fellows Scholarships</t>
  </si>
  <si>
    <t>SC HOPE</t>
  </si>
  <si>
    <t>SC Need-Based Grants</t>
  </si>
  <si>
    <t>National Guard College Assistance Program</t>
  </si>
  <si>
    <t>S.C. Tuition Grants</t>
  </si>
  <si>
    <t>Met the criteria for Four-Year 3 in 2013-14.</t>
  </si>
  <si>
    <t>Reclassified: met the criteria for Two-Year 1 in 2011-12, 2012-13, and 2013-14.</t>
  </si>
  <si>
    <t xml:space="preserve">Gordon State College </t>
  </si>
  <si>
    <t>Atlanta Metropolitan State College</t>
  </si>
  <si>
    <t xml:space="preserve">Bainbridge State College </t>
  </si>
  <si>
    <t xml:space="preserve">Darton State College </t>
  </si>
  <si>
    <t>East Georgia State College</t>
  </si>
  <si>
    <t xml:space="preserve">Benjamin Franklin Vocational Center </t>
  </si>
  <si>
    <t xml:space="preserve">Boone County Career &amp; Technical Center </t>
  </si>
  <si>
    <t>Cabell County Vocational-Technical Center</t>
  </si>
  <si>
    <t xml:space="preserve">Carver Vocational Center </t>
  </si>
  <si>
    <t>Fayette Institute of Technology</t>
  </si>
  <si>
    <t xml:space="preserve">Fred W. Eberle Technical Center </t>
  </si>
  <si>
    <t xml:space="preserve">Garnet Career Center </t>
  </si>
  <si>
    <t>James Rumsey Technical Institute</t>
  </si>
  <si>
    <t>John D. Rockefeller IV Career Center</t>
  </si>
  <si>
    <t>Marion County Vocational-Technical Center</t>
  </si>
  <si>
    <t xml:space="preserve">McDowell County Vocational-Technical Center </t>
  </si>
  <si>
    <t>Mercer County Vocational-Technical Center</t>
  </si>
  <si>
    <t xml:space="preserve">Mineral County Vocational-Technical Center </t>
  </si>
  <si>
    <t xml:space="preserve">Monongalia County Technical Education Center </t>
  </si>
  <si>
    <t>Putnam County Vocational-Technical Center</t>
  </si>
  <si>
    <t>Raleigh County Academy of Careers and Technology</t>
  </si>
  <si>
    <t>Ralph R. Willis Vocational-Technical Center</t>
  </si>
  <si>
    <t>Roane-Jackson Technical Center</t>
  </si>
  <si>
    <t>South Branch Career &amp; Technical Center</t>
  </si>
  <si>
    <t>United Technical Center</t>
  </si>
  <si>
    <t>Greenbrier Practical School of Nursing</t>
  </si>
  <si>
    <t>Mingo County Extended Learning Center</t>
  </si>
  <si>
    <t>Randolph County Career Technical Center</t>
  </si>
  <si>
    <t>Summers County School of Nursing</t>
  </si>
  <si>
    <t>Wood County School of Practical Nursing</t>
  </si>
  <si>
    <t xml:space="preserve">Wyoming County </t>
  </si>
  <si>
    <t>Georgia Regents University</t>
  </si>
  <si>
    <t>University of North Georgia</t>
  </si>
  <si>
    <t>South Georgia State College</t>
  </si>
  <si>
    <t>Middle Georgia State College</t>
  </si>
  <si>
    <t xml:space="preserve">Canadian Valley Technology Center                 </t>
  </si>
  <si>
    <t xml:space="preserve">Francis Tuttle Technology Center                  </t>
  </si>
  <si>
    <t xml:space="preserve">Metro Technology Centers                          </t>
  </si>
  <si>
    <t xml:space="preserve">Autry Technology Center                           </t>
  </si>
  <si>
    <t xml:space="preserve">Caddo Kiowa Technology Center                     </t>
  </si>
  <si>
    <t xml:space="preserve">Central Technology Center                         </t>
  </si>
  <si>
    <t xml:space="preserve">Chisholm Trail Technology Center                  </t>
  </si>
  <si>
    <t xml:space="preserve">Eastern Oklahoma County Technology Center         </t>
  </si>
  <si>
    <t xml:space="preserve">Gordon Cooper Technology Center                   </t>
  </si>
  <si>
    <t xml:space="preserve">Great Plains Technology Center                    </t>
  </si>
  <si>
    <t xml:space="preserve">Green Country Technology Center                   </t>
  </si>
  <si>
    <t xml:space="preserve">High Plains Technology Center                     </t>
  </si>
  <si>
    <t xml:space="preserve">Indian Capital Technology Center-Muskogee         </t>
  </si>
  <si>
    <t xml:space="preserve">Indian Capital Technology Center-Sallisaw         </t>
  </si>
  <si>
    <t xml:space="preserve">Indian Capital Technology Center-Stilwell         </t>
  </si>
  <si>
    <t xml:space="preserve">Indian Capital Technology Center-Tahlequah        </t>
  </si>
  <si>
    <t xml:space="preserve">Kiamichi Technology Center-Atoka                  </t>
  </si>
  <si>
    <t xml:space="preserve">Kiamichi Technology Center-Durant                 </t>
  </si>
  <si>
    <t xml:space="preserve">Kiamichi Technology Center-Hugo                   </t>
  </si>
  <si>
    <t xml:space="preserve">Kiamichi Technology Center-Idabel                 </t>
  </si>
  <si>
    <t xml:space="preserve">Kiamichi Technology Center-McAlester              </t>
  </si>
  <si>
    <t xml:space="preserve">Kiamichi Technology Center-Poteau                 </t>
  </si>
  <si>
    <t xml:space="preserve">Kiamichi Technology Center-Spiro                  </t>
  </si>
  <si>
    <t xml:space="preserve">Kiamichi Technology Center-Stigler                </t>
  </si>
  <si>
    <t xml:space="preserve">Kiamichi Technology Center-Talihina               </t>
  </si>
  <si>
    <t xml:space="preserve">Meridian Technology Center                        </t>
  </si>
  <si>
    <t xml:space="preserve">Mid-America Technology Center                     </t>
  </si>
  <si>
    <t xml:space="preserve">Mid-Del Technology Center                         </t>
  </si>
  <si>
    <t xml:space="preserve">Moore Norman Technology Center                    </t>
  </si>
  <si>
    <t xml:space="preserve">Northeast Technology Center-Afton                 </t>
  </si>
  <si>
    <t>Northeast Technology Center-Claremore</t>
  </si>
  <si>
    <t xml:space="preserve">Northeast Technology Center-Kansas                </t>
  </si>
  <si>
    <t xml:space="preserve">Northeast Technology Center-Pryor                 </t>
  </si>
  <si>
    <t xml:space="preserve">Northwest Technology Center-Alva                  </t>
  </si>
  <si>
    <t xml:space="preserve">Northwest Technology Center-Fairview              </t>
  </si>
  <si>
    <t xml:space="preserve">Pioneer Technology Center                         </t>
  </si>
  <si>
    <t xml:space="preserve">Pontotoc Technology Center                        </t>
  </si>
  <si>
    <t xml:space="preserve">Red River Technology Center                       </t>
  </si>
  <si>
    <t xml:space="preserve">Southern Oklahoma Technology Center               </t>
  </si>
  <si>
    <t xml:space="preserve">Southwest Technology Center                       </t>
  </si>
  <si>
    <t xml:space="preserve">Tri County Technology Center                      </t>
  </si>
  <si>
    <t xml:space="preserve">Tulsa County Area Voc Tech School Dist 18-Peoria  </t>
  </si>
  <si>
    <t xml:space="preserve">Tulsa Technology Center-Broken Arrow Campus       </t>
  </si>
  <si>
    <t xml:space="preserve">Tulsa Technology Center-Lemley Campus             </t>
  </si>
  <si>
    <t xml:space="preserve">Tulsa Technology Center-Riverside Campus          </t>
  </si>
  <si>
    <t xml:space="preserve">Wes Watkins Technology Center                     </t>
  </si>
  <si>
    <t xml:space="preserve">Western Technology Center                         </t>
  </si>
  <si>
    <t>Indian Capital……..All Campuses</t>
  </si>
  <si>
    <t>Kiamichi………All Campuses</t>
  </si>
  <si>
    <t>Northeast………..All Campuses</t>
  </si>
  <si>
    <t>Northwest………..All Campuses</t>
  </si>
  <si>
    <t>Tulsa County Dist 18………..All Campuses</t>
  </si>
  <si>
    <t xml:space="preserve">State Board </t>
  </si>
  <si>
    <t>Met the criteria for Technical Institute or College 1 in 2013-14.</t>
  </si>
  <si>
    <t>Met the criteria for Four-Year 4 in 2012-13 and 2013-14.</t>
  </si>
  <si>
    <t>Reclassified: met the criteria for Four-Year 6 in 2011-12, 2012-13, and 2013-14.</t>
  </si>
  <si>
    <t xml:space="preserve">Reclassified: met the criteria for Two-Year with Bachelor's in 2011-12, 2012-13, and 2013-14. </t>
  </si>
  <si>
    <t>Public Four-Year, 2013-14</t>
  </si>
  <si>
    <t>All Two-Year, 2013-14</t>
  </si>
  <si>
    <t>All Technical Institutes or Colleges, 2013-14</t>
  </si>
  <si>
    <t>State Teacher Education Program</t>
  </si>
  <si>
    <t>By Purpose, Summary Distribution, 2013-14</t>
  </si>
  <si>
    <t>February 2015</t>
  </si>
  <si>
    <t>By Purpose, Detail Distribution, 2013-14</t>
  </si>
  <si>
    <t xml:space="preserve"> February 2015</t>
  </si>
  <si>
    <t>By Source and Purpose, 2013-14</t>
  </si>
  <si>
    <t>Public Four-Year 1, 2013-14</t>
  </si>
  <si>
    <t>Public Four-Year 2, 2013-14</t>
  </si>
  <si>
    <t>Public Four-Year 3, 2013-14</t>
  </si>
  <si>
    <t>Public Four-Year 4, 2013-14</t>
  </si>
  <si>
    <t>Public Four-Year 5, 2013-14</t>
  </si>
  <si>
    <t>Public Four-Year 6, 2013-14</t>
  </si>
  <si>
    <t>Two-Year with Bachelor's, 2013-14</t>
  </si>
  <si>
    <t>Two-Year 1, 2013-14</t>
  </si>
  <si>
    <t>Two-Year 2, 2013-14</t>
  </si>
  <si>
    <t>Two-Year 3, 2013-14</t>
  </si>
  <si>
    <t>Two-Year Size Unknown, 2013-14</t>
  </si>
  <si>
    <t>Technical Institute or College 1, 2013-14</t>
  </si>
  <si>
    <t>Technical Institute or College 2, 2013-14</t>
  </si>
  <si>
    <t>Public Four-Year, 2012-13</t>
  </si>
  <si>
    <t>All Two-Year, 2012-13</t>
  </si>
  <si>
    <t>All Technical Institutes or Colleges, 2012-13</t>
  </si>
  <si>
    <t>XXX Table 131b</t>
  </si>
  <si>
    <t>XX Table 131b</t>
  </si>
</sst>
</file>

<file path=xl/styles.xml><?xml version="1.0" encoding="utf-8"?>
<styleSheet xmlns="http://schemas.openxmlformats.org/spreadsheetml/2006/main" xmlns:mc="http://schemas.openxmlformats.org/markup-compatibility/2006" xmlns:x14ac="http://schemas.microsoft.com/office/spreadsheetml/2009/9/ac" mc:Ignorable="x14ac">
  <numFmts count="12">
    <numFmt numFmtId="6" formatCode="&quot;$&quot;#,##0_);[Red]\(&quot;$&quot;#,##0\)"/>
    <numFmt numFmtId="42" formatCode="_(&quot;$&quot;* #,##0_);_(&quot;$&quot;* \(#,##0\);_(&quot;$&quot;* &quot;-&quot;_);_(@_)"/>
    <numFmt numFmtId="41" formatCode="_(* #,##0_);_(* \(#,##0\);_(* &quot;-&quot;_);_(@_)"/>
    <numFmt numFmtId="43" formatCode="_(* #,##0.00_);_(* \(#,##0.00\);_(* &quot;-&quot;??_);_(@_)"/>
    <numFmt numFmtId="164" formatCode="&quot;$&quot;#,##0"/>
    <numFmt numFmtId="165" formatCode="0_)"/>
    <numFmt numFmtId="166" formatCode="_(* #,##0_);_(* \(#,##0\);_(* &quot;-&quot;??_);_(@_)"/>
    <numFmt numFmtId="167" formatCode="#,##0.000_);\(#,##0.000\)"/>
    <numFmt numFmtId="168" formatCode="#,##0.0"/>
    <numFmt numFmtId="169" formatCode="0.0%"/>
    <numFmt numFmtId="170" formatCode="&quot;$&quot;#,##0.00"/>
    <numFmt numFmtId="171" formatCode="General_)"/>
  </numFmts>
  <fonts count="126" x14ac:knownFonts="1">
    <font>
      <sz val="10"/>
      <name val="Courie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0"/>
      <name val="Arial"/>
      <family val="2"/>
    </font>
    <font>
      <sz val="10"/>
      <name val="Courier"/>
      <family val="3"/>
    </font>
    <font>
      <b/>
      <sz val="8"/>
      <name val="Arial"/>
      <family val="2"/>
    </font>
    <font>
      <sz val="8"/>
      <name val="Arial"/>
      <family val="2"/>
    </font>
    <font>
      <sz val="8"/>
      <name val="Courier"/>
      <family val="3"/>
    </font>
    <font>
      <b/>
      <sz val="12"/>
      <name val="Arial"/>
      <family val="2"/>
    </font>
    <font>
      <vertAlign val="superscript"/>
      <sz val="8"/>
      <name val="Arial"/>
      <family val="2"/>
    </font>
    <font>
      <sz val="10"/>
      <name val="Arial"/>
      <family val="2"/>
    </font>
    <font>
      <vertAlign val="superscript"/>
      <sz val="10"/>
      <name val="Arial"/>
      <family val="2"/>
    </font>
    <font>
      <b/>
      <sz val="10"/>
      <name val="Arial"/>
      <family val="2"/>
    </font>
    <font>
      <b/>
      <vertAlign val="superscript"/>
      <sz val="8"/>
      <name val="Arial"/>
      <family val="2"/>
    </font>
    <font>
      <b/>
      <vertAlign val="superscript"/>
      <sz val="12"/>
      <name val="Arial"/>
      <family val="2"/>
    </font>
    <font>
      <sz val="9"/>
      <name val="Arial"/>
      <family val="2"/>
    </font>
    <font>
      <b/>
      <sz val="14"/>
      <name val="Arial"/>
      <family val="2"/>
    </font>
    <font>
      <sz val="8.5"/>
      <name val="Arial"/>
      <family val="2"/>
    </font>
    <font>
      <sz val="12"/>
      <name val="AGaramond"/>
      <family val="1"/>
    </font>
    <font>
      <sz val="10"/>
      <color indexed="18"/>
      <name val="Arial"/>
      <family val="2"/>
    </font>
    <font>
      <sz val="8"/>
      <color indexed="18"/>
      <name val="Arial"/>
      <family val="2"/>
    </font>
    <font>
      <b/>
      <sz val="9"/>
      <name val="Arial"/>
      <family val="2"/>
    </font>
    <font>
      <sz val="6"/>
      <name val="Arial"/>
      <family val="2"/>
    </font>
    <font>
      <vertAlign val="superscript"/>
      <sz val="9"/>
      <name val="Arial"/>
      <family val="2"/>
    </font>
    <font>
      <sz val="10"/>
      <color indexed="10"/>
      <name val="Arial"/>
      <family val="2"/>
    </font>
    <font>
      <sz val="12"/>
      <name val="Arial"/>
      <family val="2"/>
    </font>
    <font>
      <b/>
      <sz val="9"/>
      <color indexed="18"/>
      <name val="Arial"/>
      <family val="2"/>
    </font>
    <font>
      <sz val="9"/>
      <color indexed="8"/>
      <name val="Arial"/>
      <family val="2"/>
    </font>
    <font>
      <sz val="4"/>
      <name val="Arial"/>
      <family val="2"/>
    </font>
    <font>
      <b/>
      <sz val="6"/>
      <name val="Arial"/>
      <family val="2"/>
    </font>
    <font>
      <b/>
      <sz val="10"/>
      <color indexed="12"/>
      <name val="Arial"/>
      <family val="2"/>
    </font>
    <font>
      <b/>
      <vertAlign val="superscript"/>
      <sz val="10"/>
      <name val="Arial"/>
      <family val="2"/>
    </font>
    <font>
      <i/>
      <sz val="10"/>
      <name val="Arial"/>
      <family val="2"/>
    </font>
    <font>
      <b/>
      <i/>
      <sz val="10"/>
      <color indexed="12"/>
      <name val="Arial"/>
      <family val="2"/>
    </font>
    <font>
      <u/>
      <sz val="10"/>
      <name val="Arial"/>
      <family val="2"/>
    </font>
    <font>
      <b/>
      <sz val="10"/>
      <color indexed="81"/>
      <name val="Tahoma"/>
      <family val="2"/>
    </font>
    <font>
      <sz val="10"/>
      <color indexed="81"/>
      <name val="Tahoma"/>
      <family val="2"/>
    </font>
    <font>
      <b/>
      <u/>
      <sz val="10"/>
      <name val="Arial"/>
      <family val="2"/>
    </font>
    <font>
      <sz val="10"/>
      <name val="Verdana"/>
      <family val="2"/>
    </font>
    <font>
      <sz val="10"/>
      <color indexed="16"/>
      <name val="Verdana"/>
      <family val="2"/>
    </font>
    <font>
      <sz val="10"/>
      <color indexed="12"/>
      <name val="Arial"/>
      <family val="2"/>
    </font>
    <font>
      <b/>
      <sz val="8"/>
      <color indexed="12"/>
      <name val="Arial"/>
      <family val="2"/>
    </font>
    <font>
      <sz val="10"/>
      <color indexed="16"/>
      <name val="Arial"/>
      <family val="2"/>
    </font>
    <font>
      <b/>
      <sz val="10"/>
      <color indexed="16"/>
      <name val="Arial"/>
      <family val="2"/>
    </font>
    <font>
      <sz val="6"/>
      <color indexed="16"/>
      <name val="Arial"/>
      <family val="2"/>
    </font>
    <font>
      <b/>
      <sz val="8"/>
      <color indexed="16"/>
      <name val="Arial"/>
      <family val="2"/>
    </font>
    <font>
      <sz val="8"/>
      <color indexed="16"/>
      <name val="Arial"/>
      <family val="2"/>
    </font>
    <font>
      <b/>
      <sz val="8"/>
      <color indexed="18"/>
      <name val="Arial"/>
      <family val="2"/>
    </font>
    <font>
      <sz val="9"/>
      <color indexed="18"/>
      <name val="Arial"/>
      <family val="2"/>
    </font>
    <font>
      <b/>
      <vertAlign val="superscript"/>
      <sz val="8"/>
      <color indexed="18"/>
      <name val="Arial"/>
      <family val="2"/>
    </font>
    <font>
      <vertAlign val="superscript"/>
      <sz val="8"/>
      <color indexed="18"/>
      <name val="Arial"/>
      <family val="2"/>
    </font>
    <font>
      <b/>
      <u/>
      <sz val="10"/>
      <color indexed="12"/>
      <name val="Arial"/>
      <family val="2"/>
    </font>
    <font>
      <b/>
      <sz val="10"/>
      <color indexed="18"/>
      <name val="Arial"/>
      <family val="2"/>
    </font>
    <font>
      <sz val="12"/>
      <name val="AGaramond"/>
      <family val="3"/>
    </font>
    <font>
      <sz val="10"/>
      <color indexed="17"/>
      <name val="Arial"/>
      <family val="2"/>
    </font>
    <font>
      <b/>
      <sz val="18"/>
      <color rgb="FFFF0000"/>
      <name val="Arial"/>
      <family val="2"/>
    </font>
    <font>
      <sz val="10"/>
      <color rgb="FF0000FF"/>
      <name val="Arial"/>
      <family val="2"/>
    </font>
    <font>
      <b/>
      <sz val="10"/>
      <color rgb="FF0000FF"/>
      <name val="Arial"/>
      <family val="2"/>
    </font>
    <font>
      <b/>
      <sz val="10"/>
      <color rgb="FFFF0000"/>
      <name val="Arial"/>
      <family val="2"/>
    </font>
    <font>
      <b/>
      <vertAlign val="superscript"/>
      <sz val="9"/>
      <name val="Arial"/>
      <family val="2"/>
    </font>
    <font>
      <b/>
      <vertAlign val="superscript"/>
      <sz val="9"/>
      <color indexed="18"/>
      <name val="Arial"/>
      <family val="2"/>
    </font>
    <font>
      <vertAlign val="superscript"/>
      <sz val="9"/>
      <color indexed="18"/>
      <name val="Arial"/>
      <family val="2"/>
    </font>
    <font>
      <sz val="9"/>
      <name val="Courier"/>
      <family val="3"/>
    </font>
    <font>
      <i/>
      <sz val="10"/>
      <color rgb="FF0000FF"/>
      <name val="Arial"/>
      <family val="2"/>
    </font>
    <font>
      <b/>
      <i/>
      <sz val="10"/>
      <color theme="7" tint="0.39997558519241921"/>
      <name val="Arial"/>
      <family val="2"/>
    </font>
    <font>
      <sz val="10"/>
      <color rgb="FFC00000"/>
      <name val="Arial"/>
      <family val="2"/>
    </font>
    <font>
      <b/>
      <sz val="10"/>
      <color theme="0"/>
      <name val="Arial"/>
      <family val="2"/>
    </font>
    <font>
      <b/>
      <sz val="10"/>
      <color rgb="FFC00000"/>
      <name val="Arial"/>
      <family val="2"/>
    </font>
    <font>
      <sz val="12"/>
      <name val="Arial"/>
      <family val="2"/>
    </font>
    <font>
      <sz val="12"/>
      <name val="AGaramond"/>
      <family val="1"/>
    </font>
    <font>
      <sz val="10"/>
      <color indexed="8"/>
      <name val="Arial"/>
      <family val="2"/>
    </font>
    <font>
      <sz val="11"/>
      <color indexed="8"/>
      <name val="Calibri"/>
      <family val="2"/>
    </font>
    <font>
      <sz val="10"/>
      <name val="Helv"/>
    </font>
    <font>
      <sz val="10"/>
      <color rgb="FF000000"/>
      <name val="Times New Roman"/>
      <family val="1"/>
    </font>
    <font>
      <sz val="10"/>
      <color rgb="FF000000"/>
      <name val="Times New Roman"/>
      <family val="1"/>
    </font>
    <font>
      <b/>
      <vertAlign val="superscript"/>
      <sz val="10"/>
      <color theme="0"/>
      <name val="Arial"/>
      <family val="2"/>
    </font>
    <font>
      <sz val="12"/>
      <name val="AGaramond"/>
      <family val="1"/>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Arial"/>
      <family val="2"/>
    </font>
    <font>
      <u/>
      <sz val="10"/>
      <name val="Arial"/>
      <family val="2"/>
    </font>
    <font>
      <b/>
      <sz val="8"/>
      <name val="Times New Roman"/>
      <family val="1"/>
    </font>
    <font>
      <b/>
      <sz val="10"/>
      <color indexed="8"/>
      <name val="Arial"/>
      <family val="2"/>
    </font>
    <font>
      <b/>
      <sz val="8"/>
      <color rgb="FFC00000"/>
      <name val="Times New Roman"/>
      <family val="1"/>
    </font>
    <font>
      <b/>
      <i/>
      <sz val="10"/>
      <name val="Arial"/>
      <family val="2"/>
    </font>
    <font>
      <b/>
      <sz val="8"/>
      <color indexed="81"/>
      <name val="Tahoma"/>
      <family val="2"/>
    </font>
    <font>
      <b/>
      <sz val="9"/>
      <color indexed="81"/>
      <name val="Tahoma"/>
      <family val="2"/>
    </font>
    <font>
      <sz val="9"/>
      <color indexed="81"/>
      <name val="Tahoma"/>
      <family val="2"/>
    </font>
    <font>
      <sz val="10"/>
      <color rgb="FFFF0000"/>
      <name val="Arial"/>
      <family val="2"/>
    </font>
    <font>
      <sz val="8"/>
      <color indexed="81"/>
      <name val="Tahoma"/>
      <family val="2"/>
    </font>
    <font>
      <sz val="8"/>
      <name val="Book Antiqua"/>
      <family val="1"/>
    </font>
    <font>
      <b/>
      <sz val="8"/>
      <name val="Book Antiqua"/>
      <family val="1"/>
    </font>
    <font>
      <u/>
      <sz val="8"/>
      <name val="Book Antiqua"/>
      <family val="1"/>
    </font>
    <font>
      <b/>
      <sz val="8"/>
      <color rgb="FFFF0000"/>
      <name val="Book Antiqua"/>
      <family val="1"/>
    </font>
    <font>
      <b/>
      <i/>
      <sz val="8"/>
      <name val="Book Antiqua"/>
      <family val="1"/>
    </font>
    <font>
      <b/>
      <sz val="8"/>
      <color theme="1"/>
      <name val="Book Antiqua"/>
      <family val="1"/>
    </font>
    <font>
      <b/>
      <sz val="10"/>
      <color theme="3"/>
      <name val="Arial"/>
      <family val="2"/>
    </font>
    <font>
      <b/>
      <sz val="8"/>
      <color rgb="FFFF0000"/>
      <name val="Times New Roman"/>
      <family val="1"/>
    </font>
    <font>
      <b/>
      <sz val="10"/>
      <name val="AGaramond"/>
      <family val="1"/>
    </font>
    <font>
      <b/>
      <sz val="10"/>
      <color rgb="FFCC0099"/>
      <name val="Arial"/>
      <family val="2"/>
    </font>
    <font>
      <sz val="8"/>
      <name val="Times New Roman"/>
      <family val="1"/>
    </font>
    <font>
      <b/>
      <sz val="10"/>
      <color rgb="FFFFFF00"/>
      <name val="Arial"/>
      <family val="2"/>
    </font>
  </fonts>
  <fills count="70">
    <fill>
      <patternFill patternType="none"/>
    </fill>
    <fill>
      <patternFill patternType="gray125"/>
    </fill>
    <fill>
      <patternFill patternType="solid">
        <fgColor indexed="26"/>
      </patternFill>
    </fill>
    <fill>
      <patternFill patternType="solid">
        <fgColor indexed="16"/>
        <bgColor indexed="64"/>
      </patternFill>
    </fill>
    <fill>
      <patternFill patternType="solid">
        <fgColor indexed="22"/>
        <bgColor indexed="64"/>
      </patternFill>
    </fill>
    <fill>
      <patternFill patternType="solid">
        <fgColor indexed="62"/>
        <bgColor indexed="64"/>
      </patternFill>
    </fill>
    <fill>
      <patternFill patternType="solid">
        <fgColor indexed="46"/>
        <bgColor indexed="64"/>
      </patternFill>
    </fill>
    <fill>
      <patternFill patternType="solid">
        <fgColor indexed="13"/>
        <bgColor indexed="64"/>
      </patternFill>
    </fill>
    <fill>
      <patternFill patternType="solid">
        <fgColor rgb="FFFFFF00"/>
        <bgColor indexed="64"/>
      </patternFill>
    </fill>
    <fill>
      <patternFill patternType="solid">
        <fgColor theme="0" tint="-0.14999847407452621"/>
        <bgColor indexed="64"/>
      </patternFill>
    </fill>
    <fill>
      <patternFill patternType="solid">
        <fgColor theme="8" tint="0.59999389629810485"/>
        <bgColor indexed="64"/>
      </patternFill>
    </fill>
    <fill>
      <patternFill patternType="solid">
        <fgColor theme="5" tint="0.59999389629810485"/>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theme="9" tint="0.59999389629810485"/>
        <bgColor indexed="64"/>
      </patternFill>
    </fill>
    <fill>
      <patternFill patternType="solid">
        <fgColor theme="7" tint="0.39997558519241921"/>
        <bgColor indexed="64"/>
      </patternFill>
    </fill>
    <fill>
      <patternFill patternType="solid">
        <fgColor rgb="FFFCD5B4"/>
        <bgColor indexed="64"/>
      </patternFill>
    </fill>
    <fill>
      <patternFill patternType="solid">
        <fgColor theme="6" tint="0.79998168889431442"/>
        <bgColor indexed="64"/>
      </patternFill>
    </fill>
    <fill>
      <patternFill patternType="solid">
        <fgColor rgb="FFC00000"/>
        <bgColor indexed="64"/>
      </patternFill>
    </fill>
    <fill>
      <patternFill patternType="solid">
        <fgColor theme="1"/>
        <bgColor indexed="64"/>
      </patternFill>
    </fill>
    <fill>
      <patternFill patternType="solid">
        <fgColor theme="0"/>
        <bgColor indexed="64"/>
      </patternFill>
    </fill>
    <fill>
      <patternFill patternType="solid">
        <fgColor rgb="FFFFFFCC"/>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theme="0" tint="-0.249977111117893"/>
        <bgColor indexed="64"/>
      </patternFill>
    </fill>
    <fill>
      <patternFill patternType="solid">
        <fgColor indexed="45"/>
        <bgColor indexed="64"/>
      </patternFill>
    </fill>
    <fill>
      <patternFill patternType="solid">
        <fgColor rgb="FFFF99CC"/>
        <bgColor indexed="64"/>
      </patternFill>
    </fill>
    <fill>
      <patternFill patternType="solid">
        <fgColor indexed="47"/>
        <bgColor indexed="64"/>
      </patternFill>
    </fill>
    <fill>
      <patternFill patternType="solid">
        <fgColor indexed="42"/>
        <bgColor indexed="64"/>
      </patternFill>
    </fill>
    <fill>
      <patternFill patternType="solid">
        <fgColor rgb="FFCC99FF"/>
        <bgColor indexed="64"/>
      </patternFill>
    </fill>
    <fill>
      <patternFill patternType="solid">
        <fgColor indexed="43"/>
        <bgColor indexed="64"/>
      </patternFill>
    </fill>
    <fill>
      <patternFill patternType="solid">
        <fgColor indexed="15"/>
        <bgColor indexed="64"/>
      </patternFill>
    </fill>
    <fill>
      <patternFill patternType="solid">
        <fgColor rgb="FFFFC000"/>
        <bgColor indexed="64"/>
      </patternFill>
    </fill>
    <fill>
      <patternFill patternType="solid">
        <fgColor indexed="47"/>
        <bgColor indexed="42"/>
      </patternFill>
    </fill>
    <fill>
      <patternFill patternType="solid">
        <fgColor indexed="44"/>
        <bgColor indexed="64"/>
      </patternFill>
    </fill>
    <fill>
      <patternFill patternType="solid">
        <fgColor indexed="44"/>
        <bgColor indexed="42"/>
      </patternFill>
    </fill>
    <fill>
      <patternFill patternType="solid">
        <fgColor indexed="51"/>
        <bgColor indexed="64"/>
      </patternFill>
    </fill>
    <fill>
      <patternFill patternType="solid">
        <fgColor rgb="FFFFCC00"/>
        <bgColor indexed="64"/>
      </patternFill>
    </fill>
    <fill>
      <patternFill patternType="solid">
        <fgColor indexed="43"/>
        <bgColor indexed="42"/>
      </patternFill>
    </fill>
    <fill>
      <patternFill patternType="solid">
        <fgColor theme="6" tint="0.39997558519241921"/>
        <bgColor indexed="64"/>
      </patternFill>
    </fill>
    <fill>
      <patternFill patternType="solid">
        <fgColor indexed="42"/>
        <bgColor indexed="42"/>
      </patternFill>
    </fill>
    <fill>
      <patternFill patternType="solid">
        <fgColor indexed="50"/>
        <bgColor indexed="64"/>
      </patternFill>
    </fill>
    <fill>
      <patternFill patternType="solid">
        <fgColor theme="2" tint="-9.9978637043366805E-2"/>
        <bgColor indexed="64"/>
      </patternFill>
    </fill>
    <fill>
      <patternFill patternType="solid">
        <fgColor indexed="49"/>
        <bgColor indexed="64"/>
      </patternFill>
    </fill>
    <fill>
      <patternFill patternType="solid">
        <fgColor theme="8" tint="0.79998168889431442"/>
        <bgColor indexed="64"/>
      </patternFill>
    </fill>
    <fill>
      <patternFill patternType="solid">
        <fgColor rgb="FF7030A0"/>
        <bgColor indexed="64"/>
      </patternFill>
    </fill>
    <fill>
      <patternFill patternType="solid">
        <fgColor rgb="FF00B050"/>
        <bgColor indexed="64"/>
      </patternFill>
    </fill>
    <fill>
      <patternFill patternType="solid">
        <fgColor rgb="FF92D050"/>
        <bgColor indexed="64"/>
      </patternFill>
    </fill>
    <fill>
      <patternFill patternType="solid">
        <fgColor rgb="FF00B0F0"/>
        <bgColor indexed="64"/>
      </patternFill>
    </fill>
    <fill>
      <patternFill patternType="solid">
        <fgColor theme="6" tint="0.59999389629810485"/>
        <bgColor indexed="64"/>
      </patternFill>
    </fill>
    <fill>
      <patternFill patternType="solid">
        <fgColor theme="9" tint="0.79998168889431442"/>
        <bgColor indexed="64"/>
      </patternFill>
    </fill>
  </fills>
  <borders count="118">
    <border>
      <left/>
      <right/>
      <top/>
      <bottom/>
      <diagonal/>
    </border>
    <border>
      <left style="thin">
        <color indexed="22"/>
      </left>
      <right style="thin">
        <color indexed="22"/>
      </right>
      <top style="thin">
        <color indexed="22"/>
      </top>
      <bottom style="thin">
        <color indexed="22"/>
      </bottom>
      <diagonal/>
    </border>
    <border>
      <left/>
      <right/>
      <top/>
      <bottom style="thin">
        <color indexed="64"/>
      </bottom>
      <diagonal/>
    </border>
    <border>
      <left style="thin">
        <color indexed="64"/>
      </left>
      <right style="thin">
        <color indexed="64"/>
      </right>
      <top style="thin">
        <color indexed="22"/>
      </top>
      <bottom style="thin">
        <color indexed="22"/>
      </bottom>
      <diagonal/>
    </border>
    <border>
      <left style="thin">
        <color indexed="64"/>
      </left>
      <right style="thin">
        <color indexed="64"/>
      </right>
      <top/>
      <bottom style="thin">
        <color indexed="22"/>
      </bottom>
      <diagonal/>
    </border>
    <border>
      <left style="thin">
        <color indexed="64"/>
      </left>
      <right style="thin">
        <color indexed="64"/>
      </right>
      <top style="thin">
        <color indexed="22"/>
      </top>
      <bottom style="thin">
        <color indexed="64"/>
      </bottom>
      <diagonal/>
    </border>
    <border>
      <left style="thin">
        <color indexed="64"/>
      </left>
      <right style="thin">
        <color indexed="64"/>
      </right>
      <top/>
      <bottom style="thin">
        <color indexed="64"/>
      </bottom>
      <diagonal/>
    </border>
    <border>
      <left style="thin">
        <color indexed="8"/>
      </left>
      <right/>
      <top style="thin">
        <color indexed="8"/>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5"/>
      </left>
      <right/>
      <top style="thin">
        <color indexed="8"/>
      </top>
      <bottom/>
      <diagonal/>
    </border>
    <border>
      <left style="thin">
        <color indexed="8"/>
      </left>
      <right/>
      <top style="thin">
        <color indexed="65"/>
      </top>
      <bottom/>
      <diagonal/>
    </border>
    <border>
      <left/>
      <right style="thin">
        <color indexed="64"/>
      </right>
      <top/>
      <bottom/>
      <diagonal/>
    </border>
    <border>
      <left style="thin">
        <color indexed="64"/>
      </left>
      <right style="thin">
        <color indexed="64"/>
      </right>
      <top style="thin">
        <color indexed="64"/>
      </top>
      <bottom style="thin">
        <color indexed="22"/>
      </bottom>
      <diagonal/>
    </border>
    <border>
      <left/>
      <right/>
      <top style="thin">
        <color indexed="64"/>
      </top>
      <bottom style="thin">
        <color indexed="22"/>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top style="thin">
        <color indexed="8"/>
      </top>
      <bottom/>
      <diagonal/>
    </border>
    <border>
      <left/>
      <right style="thin">
        <color indexed="64"/>
      </right>
      <top/>
      <bottom style="thin">
        <color indexed="64"/>
      </bottom>
      <diagonal/>
    </border>
    <border>
      <left style="thin">
        <color indexed="64"/>
      </left>
      <right/>
      <top/>
      <bottom/>
      <diagonal/>
    </border>
    <border>
      <left style="thin">
        <color indexed="64"/>
      </left>
      <right/>
      <top style="thin">
        <color indexed="64"/>
      </top>
      <bottom/>
      <diagonal/>
    </border>
    <border>
      <left style="double">
        <color indexed="64"/>
      </left>
      <right/>
      <top/>
      <bottom/>
      <diagonal/>
    </border>
    <border>
      <left style="thin">
        <color indexed="64"/>
      </left>
      <right style="double">
        <color indexed="64"/>
      </right>
      <top/>
      <bottom/>
      <diagonal/>
    </border>
    <border>
      <left/>
      <right/>
      <top/>
      <bottom style="thin">
        <color indexed="22"/>
      </bottom>
      <diagonal/>
    </border>
    <border>
      <left style="thin">
        <color indexed="8"/>
      </left>
      <right/>
      <top/>
      <bottom/>
      <diagonal/>
    </border>
    <border>
      <left style="thin">
        <color indexed="8"/>
      </left>
      <right style="thin">
        <color indexed="64"/>
      </right>
      <top/>
      <bottom/>
      <diagonal/>
    </border>
    <border>
      <left style="thin">
        <color indexed="8"/>
      </left>
      <right/>
      <top style="thin">
        <color indexed="65"/>
      </top>
      <bottom style="thin">
        <color indexed="64"/>
      </bottom>
      <diagonal/>
    </border>
    <border>
      <left style="double">
        <color indexed="64"/>
      </left>
      <right/>
      <top style="thin">
        <color indexed="64"/>
      </top>
      <bottom style="thin">
        <color indexed="64"/>
      </bottom>
      <diagonal/>
    </border>
    <border>
      <left style="double">
        <color indexed="64"/>
      </left>
      <right style="thin">
        <color indexed="64"/>
      </right>
      <top/>
      <bottom/>
      <diagonal/>
    </border>
    <border>
      <left style="thin">
        <color indexed="65"/>
      </left>
      <right style="thin">
        <color indexed="64"/>
      </right>
      <top style="thin">
        <color indexed="8"/>
      </top>
      <bottom/>
      <diagonal/>
    </border>
    <border>
      <left style="thin">
        <color indexed="8"/>
      </left>
      <right style="thin">
        <color indexed="64"/>
      </right>
      <top style="thin">
        <color indexed="8"/>
      </top>
      <bottom/>
      <diagonal/>
    </border>
    <border>
      <left/>
      <right/>
      <top style="thin">
        <color indexed="65"/>
      </top>
      <bottom/>
      <diagonal/>
    </border>
    <border>
      <left style="thin">
        <color indexed="64"/>
      </left>
      <right style="thin">
        <color indexed="8"/>
      </right>
      <top style="thin">
        <color indexed="65"/>
      </top>
      <bottom style="thin">
        <color indexed="64"/>
      </bottom>
      <diagonal/>
    </border>
    <border>
      <left style="thin">
        <color indexed="8"/>
      </left>
      <right/>
      <top style="thin">
        <color indexed="64"/>
      </top>
      <bottom/>
      <diagonal/>
    </border>
    <border>
      <left style="thin">
        <color indexed="8"/>
      </left>
      <right style="thin">
        <color indexed="8"/>
      </right>
      <top style="thin">
        <color indexed="8"/>
      </top>
      <bottom/>
      <diagonal/>
    </border>
    <border>
      <left/>
      <right style="thin">
        <color indexed="64"/>
      </right>
      <top style="thin">
        <color indexed="64"/>
      </top>
      <bottom/>
      <diagonal/>
    </border>
    <border>
      <left/>
      <right/>
      <top/>
      <bottom style="medium">
        <color indexed="64"/>
      </bottom>
      <diagonal/>
    </border>
    <border>
      <left style="thin">
        <color indexed="64"/>
      </left>
      <right/>
      <top style="thin">
        <color indexed="64"/>
      </top>
      <bottom style="thin">
        <color indexed="22"/>
      </bottom>
      <diagonal/>
    </border>
    <border>
      <left style="thin">
        <color indexed="64"/>
      </left>
      <right/>
      <top/>
      <bottom style="thin">
        <color indexed="22"/>
      </bottom>
      <diagonal/>
    </border>
    <border>
      <left style="thin">
        <color indexed="64"/>
      </left>
      <right/>
      <top style="thin">
        <color indexed="22"/>
      </top>
      <bottom style="thin">
        <color indexed="22"/>
      </bottom>
      <diagonal/>
    </border>
    <border>
      <left/>
      <right style="thin">
        <color indexed="64"/>
      </right>
      <top style="thin">
        <color indexed="22"/>
      </top>
      <bottom style="thin">
        <color indexed="22"/>
      </bottom>
      <diagonal/>
    </border>
    <border>
      <left style="thin">
        <color indexed="64"/>
      </left>
      <right style="thin">
        <color indexed="64"/>
      </right>
      <top style="thin">
        <color indexed="22"/>
      </top>
      <bottom/>
      <diagonal/>
    </border>
    <border>
      <left style="thin">
        <color indexed="64"/>
      </left>
      <right/>
      <top style="thin">
        <color indexed="22"/>
      </top>
      <bottom style="thin">
        <color indexed="64"/>
      </bottom>
      <diagonal/>
    </border>
    <border>
      <left/>
      <right/>
      <top style="thin">
        <color indexed="22"/>
      </top>
      <bottom style="thin">
        <color indexed="22"/>
      </bottom>
      <diagonal/>
    </border>
    <border>
      <left style="thin">
        <color indexed="64"/>
      </left>
      <right/>
      <top style="thin">
        <color indexed="22"/>
      </top>
      <bottom/>
      <diagonal/>
    </border>
    <border>
      <left style="medium">
        <color indexed="64"/>
      </left>
      <right/>
      <top/>
      <bottom/>
      <diagonal/>
    </border>
    <border>
      <left style="thin">
        <color indexed="64"/>
      </left>
      <right style="thin">
        <color indexed="64"/>
      </right>
      <top style="thin">
        <color indexed="22"/>
      </top>
      <bottom style="thin">
        <color theme="0" tint="-0.24994659260841701"/>
      </bottom>
      <diagonal/>
    </border>
    <border>
      <left style="thin">
        <color indexed="64"/>
      </left>
      <right/>
      <top style="thin">
        <color indexed="22"/>
      </top>
      <bottom style="thin">
        <color theme="0" tint="-0.24994659260841701"/>
      </bottom>
      <diagonal/>
    </border>
    <border>
      <left/>
      <right/>
      <top style="thin">
        <color indexed="22"/>
      </top>
      <bottom style="thin">
        <color theme="0" tint="-0.24994659260841701"/>
      </bottom>
      <diagonal/>
    </border>
    <border>
      <left style="thin">
        <color indexed="64"/>
      </left>
      <right style="thin">
        <color indexed="64"/>
      </right>
      <top style="thin">
        <color indexed="64"/>
      </top>
      <bottom style="thin">
        <color theme="0" tint="-0.24994659260841701"/>
      </bottom>
      <diagonal/>
    </border>
    <border>
      <left style="thin">
        <color indexed="64"/>
      </left>
      <right style="thin">
        <color indexed="64"/>
      </right>
      <top style="thin">
        <color theme="0" tint="-0.24994659260841701"/>
      </top>
      <bottom style="thin">
        <color theme="0" tint="-0.24994659260841701"/>
      </bottom>
      <diagonal/>
    </border>
    <border>
      <left style="thin">
        <color indexed="64"/>
      </left>
      <right style="thin">
        <color indexed="64"/>
      </right>
      <top style="thin">
        <color theme="0" tint="-0.24994659260841701"/>
      </top>
      <bottom style="thin">
        <color indexed="64"/>
      </bottom>
      <diagonal/>
    </border>
    <border>
      <left style="thin">
        <color indexed="64"/>
      </left>
      <right style="thin">
        <color indexed="64"/>
      </right>
      <top/>
      <bottom style="thin">
        <color theme="0" tint="-0.14996795556505021"/>
      </bottom>
      <diagonal/>
    </border>
    <border>
      <left style="thin">
        <color indexed="64"/>
      </left>
      <right style="thin">
        <color indexed="64"/>
      </right>
      <top style="thin">
        <color theme="0" tint="-0.14996795556505021"/>
      </top>
      <bottom style="thin">
        <color theme="0" tint="-0.14996795556505021"/>
      </bottom>
      <diagonal/>
    </border>
    <border>
      <left style="thin">
        <color indexed="64"/>
      </left>
      <right style="thin">
        <color indexed="64"/>
      </right>
      <top style="thin">
        <color theme="0" tint="-0.14996795556505021"/>
      </top>
      <bottom style="thin">
        <color indexed="64"/>
      </bottom>
      <diagonal/>
    </border>
    <border>
      <left style="thin">
        <color indexed="8"/>
      </left>
      <right/>
      <top style="thin">
        <color indexed="8"/>
      </top>
      <bottom style="thin">
        <color indexed="8"/>
      </bottom>
      <diagonal/>
    </border>
    <border>
      <left style="thin">
        <color indexed="65"/>
      </left>
      <right/>
      <top style="thin">
        <color indexed="8"/>
      </top>
      <bottom style="thin">
        <color indexed="8"/>
      </bottom>
      <diagonal/>
    </border>
    <border>
      <left style="thin">
        <color indexed="8"/>
      </left>
      <right style="thin">
        <color indexed="64"/>
      </right>
      <top style="thin">
        <color indexed="8"/>
      </top>
      <bottom style="thin">
        <color indexed="64"/>
      </bottom>
      <diagonal/>
    </border>
    <border>
      <left style="thin">
        <color indexed="8"/>
      </left>
      <right style="thin">
        <color indexed="64"/>
      </right>
      <top/>
      <bottom style="thin">
        <color indexed="64"/>
      </bottom>
      <diagonal/>
    </border>
    <border>
      <left style="thin">
        <color indexed="8"/>
      </left>
      <right/>
      <top style="thin">
        <color indexed="8"/>
      </top>
      <bottom style="thin">
        <color indexed="64"/>
      </bottom>
      <diagonal/>
    </border>
    <border>
      <left style="thin">
        <color indexed="65"/>
      </left>
      <right/>
      <top style="thin">
        <color indexed="8"/>
      </top>
      <bottom style="thin">
        <color indexed="64"/>
      </bottom>
      <diagonal/>
    </border>
    <border>
      <left style="thin">
        <color indexed="8"/>
      </left>
      <right style="thin">
        <color indexed="8"/>
      </right>
      <top/>
      <bottom/>
      <diagonal/>
    </border>
    <border>
      <left style="thin">
        <color indexed="64"/>
      </left>
      <right style="thin">
        <color indexed="8"/>
      </right>
      <top style="thin">
        <color indexed="8"/>
      </top>
      <bottom/>
      <diagonal/>
    </border>
    <border>
      <left style="thin">
        <color indexed="64"/>
      </left>
      <right style="thin">
        <color indexed="8"/>
      </right>
      <top/>
      <bottom/>
      <diagonal/>
    </border>
    <border>
      <left/>
      <right style="thin">
        <color indexed="8"/>
      </right>
      <top style="thin">
        <color indexed="8"/>
      </top>
      <bottom/>
      <diagonal/>
    </border>
    <border>
      <left/>
      <right style="thin">
        <color indexed="8"/>
      </right>
      <top/>
      <bottom/>
      <diagonal/>
    </border>
    <border>
      <left/>
      <right style="thin">
        <color indexed="8"/>
      </right>
      <top/>
      <bottom style="thin">
        <color indexed="64"/>
      </bottom>
      <diagonal/>
    </border>
    <border>
      <left style="thin">
        <color indexed="8"/>
      </left>
      <right style="thin">
        <color indexed="8"/>
      </right>
      <top/>
      <bottom style="thin">
        <color indexed="8"/>
      </bottom>
      <diagonal/>
    </border>
    <border>
      <left/>
      <right style="thin">
        <color indexed="8"/>
      </right>
      <top style="thin">
        <color indexed="64"/>
      </top>
      <bottom/>
      <diagonal/>
    </border>
    <border>
      <left/>
      <right style="thin">
        <color indexed="8"/>
      </right>
      <top style="thin">
        <color indexed="65"/>
      </top>
      <bottom/>
      <diagonal/>
    </border>
    <border>
      <left/>
      <right style="thin">
        <color indexed="8"/>
      </right>
      <top style="thin">
        <color indexed="65"/>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8"/>
      </top>
      <bottom style="thin">
        <color indexed="8"/>
      </bottom>
      <diagonal/>
    </border>
    <border>
      <left style="thin">
        <color indexed="8"/>
      </left>
      <right style="thin">
        <color indexed="8"/>
      </right>
      <top style="thin">
        <color indexed="8"/>
      </top>
      <bottom style="thin">
        <color indexed="8"/>
      </bottom>
      <diagonal/>
    </border>
    <border>
      <left/>
      <right/>
      <top style="thin">
        <color indexed="8"/>
      </top>
      <bottom style="thin">
        <color indexed="64"/>
      </bottom>
      <diagonal/>
    </border>
    <border>
      <left style="thin">
        <color indexed="64"/>
      </left>
      <right style="medium">
        <color indexed="64"/>
      </right>
      <top/>
      <bottom/>
      <diagonal/>
    </border>
    <border>
      <left style="thin">
        <color indexed="65"/>
      </left>
      <right style="thin">
        <color indexed="8"/>
      </right>
      <top style="thin">
        <color indexed="8"/>
      </top>
      <bottom/>
      <diagonal/>
    </border>
    <border>
      <left/>
      <right style="thin">
        <color indexed="8"/>
      </right>
      <top style="thin">
        <color indexed="8"/>
      </top>
      <bottom style="thin">
        <color indexed="8"/>
      </bottom>
      <diagonal/>
    </border>
    <border>
      <left/>
      <right/>
      <top/>
      <bottom style="double">
        <color indexed="64"/>
      </bottom>
      <diagonal/>
    </border>
    <border>
      <left style="thin">
        <color indexed="64"/>
      </left>
      <right style="double">
        <color indexed="64"/>
      </right>
      <top style="thin">
        <color indexed="64"/>
      </top>
      <bottom style="thin">
        <color indexed="64"/>
      </bottom>
      <diagonal/>
    </border>
    <border>
      <left/>
      <right style="double">
        <color indexed="64"/>
      </right>
      <top style="thin">
        <color indexed="64"/>
      </top>
      <bottom style="thin">
        <color indexed="64"/>
      </bottom>
      <diagonal/>
    </border>
    <border>
      <left style="double">
        <color indexed="64"/>
      </left>
      <right/>
      <top style="thin">
        <color indexed="64"/>
      </top>
      <bottom/>
      <diagonal/>
    </border>
    <border>
      <left/>
      <right style="double">
        <color indexed="64"/>
      </right>
      <top/>
      <bottom/>
      <diagonal/>
    </border>
    <border>
      <left style="double">
        <color indexed="64"/>
      </left>
      <right/>
      <top/>
      <bottom style="thin">
        <color indexed="64"/>
      </bottom>
      <diagonal/>
    </border>
    <border>
      <left style="thin">
        <color indexed="64"/>
      </left>
      <right/>
      <top style="thin">
        <color indexed="8"/>
      </top>
      <bottom style="thin">
        <color indexed="64"/>
      </bottom>
      <diagonal/>
    </border>
    <border>
      <left style="thin">
        <color indexed="8"/>
      </left>
      <right/>
      <top/>
      <bottom style="thin">
        <color indexed="8"/>
      </bottom>
      <diagonal/>
    </border>
    <border>
      <left style="medium">
        <color indexed="64"/>
      </left>
      <right style="medium">
        <color indexed="64"/>
      </right>
      <top/>
      <bottom/>
      <diagonal/>
    </border>
    <border>
      <left style="thin">
        <color indexed="64"/>
      </left>
      <right style="thin">
        <color indexed="64"/>
      </right>
      <top style="thin">
        <color indexed="8"/>
      </top>
      <bottom/>
      <diagonal/>
    </border>
    <border>
      <left style="thin">
        <color indexed="8"/>
      </left>
      <right/>
      <top/>
      <bottom style="thin">
        <color indexed="64"/>
      </bottom>
      <diagonal/>
    </border>
    <border>
      <left style="thin">
        <color indexed="8"/>
      </left>
      <right style="thin">
        <color indexed="8"/>
      </right>
      <top style="thin">
        <color indexed="64"/>
      </top>
      <bottom/>
      <diagonal/>
    </border>
    <border>
      <left style="thin">
        <color indexed="8"/>
      </left>
      <right style="thin">
        <color indexed="8"/>
      </right>
      <top/>
      <bottom style="thin">
        <color indexed="64"/>
      </bottom>
      <diagonal/>
    </border>
    <border>
      <left style="thin">
        <color indexed="65"/>
      </left>
      <right style="thin">
        <color indexed="64"/>
      </right>
      <top style="thin">
        <color indexed="8"/>
      </top>
      <bottom style="thin">
        <color indexed="64"/>
      </bottom>
      <diagonal/>
    </border>
    <border>
      <left style="thin">
        <color indexed="8"/>
      </left>
      <right style="thin">
        <color indexed="8"/>
      </right>
      <top style="thin">
        <color indexed="8"/>
      </top>
      <bottom style="thin">
        <color indexed="64"/>
      </bottom>
      <diagonal/>
    </border>
    <border>
      <left style="medium">
        <color indexed="64"/>
      </left>
      <right/>
      <top/>
      <bottom style="thin">
        <color indexed="64"/>
      </bottom>
      <diagonal/>
    </border>
    <border>
      <left/>
      <right style="double">
        <color indexed="64"/>
      </right>
      <top/>
      <bottom style="thin">
        <color indexed="64"/>
      </bottom>
      <diagonal/>
    </border>
    <border>
      <left style="medium">
        <color indexed="64"/>
      </left>
      <right style="thin">
        <color indexed="64"/>
      </right>
      <top/>
      <bottom style="thin">
        <color indexed="64"/>
      </bottom>
      <diagonal/>
    </border>
    <border>
      <left style="thin">
        <color rgb="FFB2B2B2"/>
      </left>
      <right style="thin">
        <color rgb="FFB2B2B2"/>
      </right>
      <top style="thin">
        <color rgb="FFB2B2B2"/>
      </top>
      <bottom style="thin">
        <color rgb="FFB2B2B2"/>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style="thin">
        <color indexed="8"/>
      </top>
      <bottom/>
      <diagonal/>
    </border>
    <border>
      <left style="thin">
        <color indexed="8"/>
      </left>
      <right style="thin">
        <color indexed="8"/>
      </right>
      <top style="thick">
        <color indexed="8"/>
      </top>
      <bottom/>
      <diagonal/>
    </border>
    <border>
      <left style="thin">
        <color indexed="8"/>
      </left>
      <right style="thin">
        <color indexed="64"/>
      </right>
      <top style="thin">
        <color indexed="65"/>
      </top>
      <bottom/>
      <diagonal/>
    </border>
    <border>
      <left/>
      <right style="thin">
        <color indexed="64"/>
      </right>
      <top style="thin">
        <color indexed="8"/>
      </top>
      <bottom/>
      <diagonal/>
    </border>
    <border>
      <left style="thin">
        <color indexed="8"/>
      </left>
      <right/>
      <top style="thick">
        <color indexed="8"/>
      </top>
      <bottom/>
      <diagonal/>
    </border>
    <border>
      <left style="thin">
        <color indexed="64"/>
      </left>
      <right style="double">
        <color indexed="64"/>
      </right>
      <top style="thin">
        <color indexed="64"/>
      </top>
      <bottom/>
      <diagonal/>
    </border>
    <border>
      <left style="thin">
        <color indexed="64"/>
      </left>
      <right style="thin">
        <color indexed="8"/>
      </right>
      <top/>
      <bottom style="thick">
        <color indexed="8"/>
      </bottom>
      <diagonal/>
    </border>
  </borders>
  <cellStyleXfs count="13572">
    <xf numFmtId="0" fontId="0" fillId="0" borderId="0">
      <alignment horizontal="left" wrapText="1"/>
    </xf>
    <xf numFmtId="43" fontId="13" fillId="0" borderId="0" applyFont="0" applyFill="0" applyBorder="0" applyAlignment="0" applyProtection="0"/>
    <xf numFmtId="37" fontId="14" fillId="0" borderId="0"/>
    <xf numFmtId="37" fontId="14" fillId="0" borderId="0"/>
    <xf numFmtId="37" fontId="14" fillId="0" borderId="0"/>
    <xf numFmtId="0" fontId="13" fillId="2" borderId="1" applyNumberFormat="0" applyFont="0" applyAlignment="0" applyProtection="0"/>
    <xf numFmtId="9" fontId="13" fillId="0" borderId="0" applyFont="0" applyFill="0" applyBorder="0" applyAlignment="0" applyProtection="0"/>
    <xf numFmtId="43" fontId="28" fillId="0" borderId="0" applyFont="0" applyFill="0" applyBorder="0" applyAlignment="0" applyProtection="0"/>
    <xf numFmtId="43" fontId="63" fillId="0" borderId="0" applyFont="0" applyFill="0" applyBorder="0" applyAlignment="0" applyProtection="0"/>
    <xf numFmtId="0" fontId="13" fillId="0" borderId="0">
      <alignment horizontal="left" wrapText="1"/>
    </xf>
    <xf numFmtId="165" fontId="63" fillId="0" borderId="0"/>
    <xf numFmtId="165" fontId="63" fillId="0" borderId="0"/>
    <xf numFmtId="165" fontId="28" fillId="0" borderId="0"/>
    <xf numFmtId="9" fontId="63" fillId="0" borderId="0" applyFont="0" applyFill="0" applyBorder="0" applyAlignment="0" applyProtection="0"/>
    <xf numFmtId="43" fontId="63" fillId="0" borderId="0" applyFont="0" applyFill="0" applyBorder="0" applyAlignment="0" applyProtection="0"/>
    <xf numFmtId="0" fontId="14" fillId="0" borderId="0">
      <alignment horizontal="left" wrapText="1"/>
    </xf>
    <xf numFmtId="0" fontId="35" fillId="0" borderId="0"/>
    <xf numFmtId="0" fontId="35" fillId="0" borderId="0"/>
    <xf numFmtId="0" fontId="12" fillId="0" borderId="0"/>
    <xf numFmtId="0" fontId="13" fillId="0" borderId="0"/>
    <xf numFmtId="0" fontId="78" fillId="0" borderId="0"/>
    <xf numFmtId="165" fontId="79" fillId="0" borderId="0"/>
    <xf numFmtId="3" fontId="13" fillId="0" borderId="92" applyFont="0"/>
    <xf numFmtId="165" fontId="22" fillId="0" borderId="13" applyNumberFormat="0" applyFont="0" applyBorder="0" applyAlignment="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65" fontId="28" fillId="0" borderId="0"/>
    <xf numFmtId="165" fontId="79" fillId="0" borderId="0"/>
    <xf numFmtId="165" fontId="79" fillId="0" borderId="0"/>
    <xf numFmtId="9" fontId="28" fillId="0" borderId="0" applyFont="0" applyFill="0" applyBorder="0" applyAlignment="0" applyProtection="0"/>
    <xf numFmtId="165" fontId="79" fillId="0" borderId="0"/>
    <xf numFmtId="0" fontId="11" fillId="0" borderId="0"/>
    <xf numFmtId="165" fontId="28" fillId="0" borderId="0"/>
    <xf numFmtId="165" fontId="79" fillId="0" borderId="0"/>
    <xf numFmtId="0" fontId="11" fillId="0" borderId="0"/>
    <xf numFmtId="0" fontId="13" fillId="0" borderId="0"/>
    <xf numFmtId="0" fontId="11" fillId="0" borderId="0"/>
    <xf numFmtId="0" fontId="11" fillId="0" borderId="0"/>
    <xf numFmtId="0" fontId="12" fillId="0" borderId="0"/>
    <xf numFmtId="9" fontId="12" fillId="0" borderId="0" applyFont="0" applyFill="0" applyBorder="0" applyAlignment="0" applyProtection="0"/>
    <xf numFmtId="0" fontId="11"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0" fontId="81" fillId="0" borderId="0"/>
    <xf numFmtId="0" fontId="81" fillId="0" borderId="0"/>
    <xf numFmtId="0" fontId="81" fillId="0" borderId="0"/>
    <xf numFmtId="0" fontId="81" fillId="0" borderId="0"/>
    <xf numFmtId="0" fontId="80" fillId="0" borderId="0"/>
    <xf numFmtId="0" fontId="80" fillId="0" borderId="0">
      <alignment vertical="top"/>
    </xf>
    <xf numFmtId="0" fontId="13" fillId="0" borderId="0"/>
    <xf numFmtId="0" fontId="13" fillId="0" borderId="0"/>
    <xf numFmtId="0" fontId="11" fillId="0" borderId="0"/>
    <xf numFmtId="0" fontId="13" fillId="0" borderId="0"/>
    <xf numFmtId="43" fontId="1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165" fontId="79" fillId="0" borderId="0"/>
    <xf numFmtId="0" fontId="13" fillId="0" borderId="0"/>
    <xf numFmtId="0" fontId="13" fillId="0" borderId="0"/>
    <xf numFmtId="0" fontId="11" fillId="0" borderId="0"/>
    <xf numFmtId="0" fontId="13" fillId="0" borderId="0"/>
    <xf numFmtId="0" fontId="13" fillId="0" borderId="0"/>
    <xf numFmtId="0" fontId="13" fillId="0" borderId="0"/>
    <xf numFmtId="0" fontId="13" fillId="0" borderId="0"/>
    <xf numFmtId="0" fontId="13" fillId="0" borderId="0"/>
    <xf numFmtId="0" fontId="13" fillId="0" borderId="0"/>
    <xf numFmtId="165" fontId="63" fillId="0" borderId="0"/>
    <xf numFmtId="43" fontId="63"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3" fontId="16" fillId="0" borderId="0"/>
    <xf numFmtId="43" fontId="28" fillId="0" borderId="0" applyFont="0" applyFill="0" applyBorder="0" applyAlignment="0" applyProtection="0"/>
    <xf numFmtId="171" fontId="82" fillId="0" borderId="0"/>
    <xf numFmtId="171" fontId="82" fillId="0" borderId="0"/>
    <xf numFmtId="3" fontId="13" fillId="0" borderId="92" applyFont="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28" fillId="0" borderId="0" applyFont="0" applyFill="0" applyBorder="0" applyAlignment="0" applyProtection="0"/>
    <xf numFmtId="0" fontId="12" fillId="0" borderId="0"/>
    <xf numFmtId="9" fontId="12" fillId="0" borderId="0" applyFont="0" applyFill="0" applyBorder="0" applyAlignment="0" applyProtection="0"/>
    <xf numFmtId="0" fontId="11" fillId="0" borderId="0"/>
    <xf numFmtId="0" fontId="11" fillId="0" borderId="0"/>
    <xf numFmtId="0" fontId="81" fillId="0" borderId="0"/>
    <xf numFmtId="0" fontId="81" fillId="0" borderId="0"/>
    <xf numFmtId="0" fontId="81" fillId="0" borderId="0"/>
    <xf numFmtId="0" fontId="80" fillId="0" borderId="0">
      <alignment vertical="top"/>
    </xf>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2" fillId="0" borderId="0"/>
    <xf numFmtId="0" fontId="13" fillId="0" borderId="0"/>
    <xf numFmtId="0" fontId="11" fillId="0" borderId="0"/>
    <xf numFmtId="0" fontId="11" fillId="0" borderId="0"/>
    <xf numFmtId="165" fontId="79" fillId="0" borderId="0"/>
    <xf numFmtId="165" fontId="79" fillId="0" borderId="0"/>
    <xf numFmtId="165" fontId="79" fillId="0" borderId="0"/>
    <xf numFmtId="165" fontId="79" fillId="0" borderId="0"/>
    <xf numFmtId="165" fontId="79"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9" fillId="0" borderId="0"/>
    <xf numFmtId="165" fontId="79" fillId="0" borderId="0"/>
    <xf numFmtId="165" fontId="7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165" fontId="79" fillId="0" borderId="0"/>
    <xf numFmtId="0" fontId="9" fillId="0" borderId="0"/>
    <xf numFmtId="165" fontId="7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165" fontId="79" fillId="0" borderId="0"/>
    <xf numFmtId="165" fontId="79"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165" fontId="79" fillId="0" borderId="0"/>
    <xf numFmtId="165" fontId="79" fillId="0" borderId="0"/>
    <xf numFmtId="165" fontId="79" fillId="0" borderId="0"/>
    <xf numFmtId="165" fontId="79" fillId="0" borderId="0"/>
    <xf numFmtId="0" fontId="7" fillId="0" borderId="0"/>
    <xf numFmtId="165" fontId="79" fillId="0" borderId="0"/>
    <xf numFmtId="165" fontId="79"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6" fillId="0" borderId="0"/>
    <xf numFmtId="165" fontId="79"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165" fontId="79" fillId="0" borderId="0"/>
    <xf numFmtId="0" fontId="6" fillId="0" borderId="0"/>
    <xf numFmtId="43" fontId="6" fillId="0" borderId="0" applyFont="0" applyFill="0" applyBorder="0" applyAlignment="0" applyProtection="0"/>
    <xf numFmtId="0" fontId="6" fillId="0" borderId="0"/>
    <xf numFmtId="165" fontId="79" fillId="0" borderId="0"/>
    <xf numFmtId="0" fontId="6" fillId="0" borderId="0"/>
    <xf numFmtId="0" fontId="6" fillId="0" borderId="0"/>
    <xf numFmtId="0" fontId="6" fillId="0" borderId="0"/>
    <xf numFmtId="165" fontId="79" fillId="0" borderId="0"/>
    <xf numFmtId="0" fontId="6" fillId="0" borderId="0"/>
    <xf numFmtId="165" fontId="79" fillId="0" borderId="0"/>
    <xf numFmtId="0" fontId="6" fillId="0" borderId="0"/>
    <xf numFmtId="0" fontId="12"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171" fontId="82" fillId="0" borderId="0"/>
    <xf numFmtId="0" fontId="6" fillId="0" borderId="0"/>
    <xf numFmtId="0" fontId="6" fillId="0" borderId="0"/>
    <xf numFmtId="0" fontId="6" fillId="0" borderId="0"/>
    <xf numFmtId="0" fontId="6" fillId="0" borderId="0"/>
    <xf numFmtId="9" fontId="63"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9" fontId="12" fillId="0" borderId="0" applyFont="0" applyFill="0" applyBorder="0" applyAlignment="0" applyProtection="0"/>
    <xf numFmtId="165" fontId="79" fillId="0" borderId="0"/>
    <xf numFmtId="0" fontId="13"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13"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171" fontId="82"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165" fontId="79" fillId="0" borderId="0"/>
    <xf numFmtId="165" fontId="79" fillId="0" borderId="0"/>
    <xf numFmtId="165" fontId="79" fillId="0" borderId="0"/>
    <xf numFmtId="165" fontId="79" fillId="0" borderId="0"/>
    <xf numFmtId="165" fontId="79"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83" fillId="0" borderId="0"/>
    <xf numFmtId="0" fontId="5" fillId="0" borderId="0"/>
    <xf numFmtId="0" fontId="84" fillId="0" borderId="0"/>
    <xf numFmtId="0" fontId="5" fillId="0" borderId="0"/>
    <xf numFmtId="0" fontId="83" fillId="0" borderId="0"/>
    <xf numFmtId="0" fontId="5" fillId="0" borderId="0"/>
    <xf numFmtId="0" fontId="5" fillId="0" borderId="0"/>
    <xf numFmtId="165" fontId="79" fillId="0" borderId="0"/>
    <xf numFmtId="0" fontId="4" fillId="0" borderId="0"/>
    <xf numFmtId="0" fontId="35" fillId="0" borderId="0"/>
    <xf numFmtId="0" fontId="4" fillId="0" borderId="0"/>
    <xf numFmtId="165" fontId="28"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171" fontId="82"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83" fillId="0" borderId="0"/>
    <xf numFmtId="0" fontId="4" fillId="0" borderId="0"/>
    <xf numFmtId="0" fontId="4" fillId="0" borderId="0"/>
    <xf numFmtId="0" fontId="4" fillId="0" borderId="0"/>
    <xf numFmtId="165" fontId="86"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165" fontId="28"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165" fontId="28" fillId="0" borderId="0"/>
    <xf numFmtId="165" fontId="28"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165" fontId="28" fillId="0" borderId="0"/>
    <xf numFmtId="165" fontId="28" fillId="0" borderId="0"/>
    <xf numFmtId="165" fontId="28"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165" fontId="28"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165" fontId="28"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165" fontId="28"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8" fillId="0" borderId="0"/>
    <xf numFmtId="165" fontId="28" fillId="0" borderId="0"/>
    <xf numFmtId="165" fontId="28" fillId="0" borderId="0"/>
    <xf numFmtId="0" fontId="2" fillId="0" borderId="0"/>
    <xf numFmtId="0" fontId="2" fillId="0" borderId="0"/>
    <xf numFmtId="0" fontId="2" fillId="0" borderId="0"/>
    <xf numFmtId="0" fontId="2" fillId="0" borderId="0"/>
    <xf numFmtId="0" fontId="2" fillId="0" borderId="0"/>
    <xf numFmtId="165" fontId="28" fillId="0" borderId="0"/>
    <xf numFmtId="165" fontId="28" fillId="0" borderId="0"/>
    <xf numFmtId="165" fontId="28" fillId="0" borderId="0"/>
    <xf numFmtId="165" fontId="28" fillId="0" borderId="0"/>
    <xf numFmtId="165" fontId="28" fillId="0" borderId="0"/>
    <xf numFmtId="165" fontId="2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86" fillId="0" borderId="0"/>
    <xf numFmtId="165" fontId="86"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171" fontId="82" fillId="0" borderId="0"/>
    <xf numFmtId="0" fontId="13"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171" fontId="8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171" fontId="82"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165" fontId="28" fillId="0" borderId="0"/>
    <xf numFmtId="165"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165" fontId="28" fillId="0" borderId="0"/>
    <xf numFmtId="165" fontId="28" fillId="0" borderId="0"/>
    <xf numFmtId="165" fontId="28"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165" fontId="28" fillId="0" borderId="0"/>
    <xf numFmtId="165" fontId="28"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165" fontId="28"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83" fillId="0" borderId="0"/>
    <xf numFmtId="0" fontId="1" fillId="0" borderId="0"/>
    <xf numFmtId="0" fontId="1" fillId="0" borderId="0"/>
    <xf numFmtId="0" fontId="1" fillId="0" borderId="0"/>
    <xf numFmtId="165" fontId="28" fillId="0" borderId="0"/>
    <xf numFmtId="165" fontId="28"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1" borderId="102" applyNumberFormat="0" applyFont="0" applyAlignment="0" applyProtection="0"/>
    <xf numFmtId="0" fontId="81" fillId="22" borderId="0" applyNumberFormat="0" applyBorder="0" applyAlignment="0" applyProtection="0"/>
    <xf numFmtId="0" fontId="81" fillId="23" borderId="0" applyNumberFormat="0" applyBorder="0" applyAlignment="0" applyProtection="0"/>
    <xf numFmtId="0" fontId="81" fillId="24" borderId="0" applyNumberFormat="0" applyBorder="0" applyAlignment="0" applyProtection="0"/>
    <xf numFmtId="0" fontId="81" fillId="25" borderId="0" applyNumberFormat="0" applyBorder="0" applyAlignment="0" applyProtection="0"/>
    <xf numFmtId="0" fontId="81" fillId="26" borderId="0" applyNumberFormat="0" applyBorder="0" applyAlignment="0" applyProtection="0"/>
    <xf numFmtId="0" fontId="81" fillId="27" borderId="0" applyNumberFormat="0" applyBorder="0" applyAlignment="0" applyProtection="0"/>
    <xf numFmtId="0" fontId="81" fillId="28" borderId="0" applyNumberFormat="0" applyBorder="0" applyAlignment="0" applyProtection="0"/>
    <xf numFmtId="0" fontId="81" fillId="29" borderId="0" applyNumberFormat="0" applyBorder="0" applyAlignment="0" applyProtection="0"/>
    <xf numFmtId="0" fontId="81" fillId="30" borderId="0" applyNumberFormat="0" applyBorder="0" applyAlignment="0" applyProtection="0"/>
    <xf numFmtId="0" fontId="81" fillId="25" borderId="0" applyNumberFormat="0" applyBorder="0" applyAlignment="0" applyProtection="0"/>
    <xf numFmtId="0" fontId="81" fillId="28" borderId="0" applyNumberFormat="0" applyBorder="0" applyAlignment="0" applyProtection="0"/>
    <xf numFmtId="0" fontId="81" fillId="31" borderId="0" applyNumberFormat="0" applyBorder="0" applyAlignment="0" applyProtection="0"/>
    <xf numFmtId="0" fontId="87" fillId="32" borderId="0" applyNumberFormat="0" applyBorder="0" applyAlignment="0" applyProtection="0"/>
    <xf numFmtId="0" fontId="87" fillId="29" borderId="0" applyNumberFormat="0" applyBorder="0" applyAlignment="0" applyProtection="0"/>
    <xf numFmtId="0" fontId="87" fillId="30"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87" fillId="35" borderId="0" applyNumberFormat="0" applyBorder="0" applyAlignment="0" applyProtection="0"/>
    <xf numFmtId="0" fontId="87" fillId="36" borderId="0" applyNumberFormat="0" applyBorder="0" applyAlignment="0" applyProtection="0"/>
    <xf numFmtId="0" fontId="87" fillId="37" borderId="0" applyNumberFormat="0" applyBorder="0" applyAlignment="0" applyProtection="0"/>
    <xf numFmtId="0" fontId="87" fillId="38"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87" fillId="39" borderId="0" applyNumberFormat="0" applyBorder="0" applyAlignment="0" applyProtection="0"/>
    <xf numFmtId="0" fontId="88" fillId="23" borderId="0" applyNumberFormat="0" applyBorder="0" applyAlignment="0" applyProtection="0"/>
    <xf numFmtId="0" fontId="89" fillId="40" borderId="103" applyNumberFormat="0" applyAlignment="0" applyProtection="0"/>
    <xf numFmtId="0" fontId="90" fillId="41" borderId="104" applyNumberFormat="0" applyAlignment="0" applyProtection="0"/>
    <xf numFmtId="43" fontId="81" fillId="0" borderId="0" applyFont="0" applyFill="0" applyBorder="0" applyAlignment="0" applyProtection="0"/>
    <xf numFmtId="0" fontId="91" fillId="0" borderId="0" applyNumberFormat="0" applyFill="0" applyBorder="0" applyAlignment="0" applyProtection="0"/>
    <xf numFmtId="0" fontId="92" fillId="24" borderId="0" applyNumberFormat="0" applyBorder="0" applyAlignment="0" applyProtection="0"/>
    <xf numFmtId="0" fontId="93" fillId="0" borderId="105" applyNumberFormat="0" applyFill="0" applyAlignment="0" applyProtection="0"/>
    <xf numFmtId="0" fontId="94" fillId="0" borderId="106" applyNumberFormat="0" applyFill="0" applyAlignment="0" applyProtection="0"/>
    <xf numFmtId="0" fontId="95" fillId="0" borderId="107" applyNumberFormat="0" applyFill="0" applyAlignment="0" applyProtection="0"/>
    <xf numFmtId="0" fontId="95" fillId="0" borderId="0" applyNumberFormat="0" applyFill="0" applyBorder="0" applyAlignment="0" applyProtection="0"/>
    <xf numFmtId="0" fontId="96" fillId="27" borderId="103" applyNumberFormat="0" applyAlignment="0" applyProtection="0"/>
    <xf numFmtId="0" fontId="97" fillId="0" borderId="108" applyNumberFormat="0" applyFill="0" applyAlignment="0" applyProtection="0"/>
    <xf numFmtId="0" fontId="98" fillId="42" borderId="0" applyNumberFormat="0" applyBorder="0" applyAlignment="0" applyProtection="0"/>
    <xf numFmtId="0" fontId="81" fillId="0" borderId="0"/>
    <xf numFmtId="0" fontId="13" fillId="2" borderId="1" applyNumberFormat="0" applyFont="0" applyAlignment="0" applyProtection="0"/>
    <xf numFmtId="0" fontId="81" fillId="2" borderId="1" applyNumberFormat="0" applyFont="0" applyAlignment="0" applyProtection="0"/>
    <xf numFmtId="0" fontId="99" fillId="40" borderId="109" applyNumberFormat="0" applyAlignment="0" applyProtection="0"/>
    <xf numFmtId="9" fontId="13" fillId="0" borderId="0" applyFont="0" applyFill="0" applyBorder="0" applyAlignment="0" applyProtection="0"/>
    <xf numFmtId="9" fontId="81" fillId="0" borderId="0" applyFont="0" applyFill="0" applyBorder="0" applyAlignment="0" applyProtection="0"/>
    <xf numFmtId="0" fontId="100" fillId="0" borderId="0" applyNumberFormat="0" applyFill="0" applyBorder="0" applyAlignment="0" applyProtection="0"/>
    <xf numFmtId="0" fontId="101" fillId="0" borderId="110" applyNumberFormat="0" applyFill="0" applyAlignment="0" applyProtection="0"/>
    <xf numFmtId="0" fontId="102" fillId="0" borderId="0" applyNumberFormat="0" applyFill="0" applyBorder="0" applyAlignment="0" applyProtection="0"/>
    <xf numFmtId="0" fontId="81" fillId="2" borderId="1" applyNumberFormat="0" applyFont="0" applyAlignment="0" applyProtection="0"/>
    <xf numFmtId="0" fontId="13" fillId="2" borderId="1" applyNumberFormat="0" applyFont="0" applyAlignment="0" applyProtection="0"/>
    <xf numFmtId="0" fontId="96" fillId="27" borderId="103" applyNumberFormat="0" applyAlignment="0" applyProtection="0"/>
    <xf numFmtId="0" fontId="89" fillId="40" borderId="103" applyNumberFormat="0" applyAlignment="0" applyProtection="0"/>
    <xf numFmtId="0" fontId="99" fillId="40" borderId="109" applyNumberFormat="0" applyAlignment="0" applyProtection="0"/>
    <xf numFmtId="0" fontId="101" fillId="0" borderId="110" applyNumberFormat="0" applyFill="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1" borderId="102" applyNumberFormat="0" applyFont="0" applyAlignment="0" applyProtection="0"/>
    <xf numFmtId="165" fontId="28"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21" borderId="102" applyNumberFormat="0" applyFont="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 fontId="16" fillId="0" borderId="0"/>
    <xf numFmtId="0" fontId="1" fillId="0" borderId="0"/>
    <xf numFmtId="0" fontId="1" fillId="0" borderId="0"/>
    <xf numFmtId="0" fontId="1" fillId="0" borderId="0"/>
    <xf numFmtId="0" fontId="1" fillId="0" borderId="0"/>
    <xf numFmtId="0" fontId="1" fillId="0" borderId="0"/>
    <xf numFmtId="0" fontId="1" fillId="0" borderId="0"/>
    <xf numFmtId="3" fontId="16"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1" borderId="102" applyNumberFormat="0" applyFont="0" applyAlignment="0" applyProtection="0"/>
    <xf numFmtId="3" fontId="16"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28" fillId="0" borderId="0"/>
    <xf numFmtId="171" fontId="82"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28" fillId="0" borderId="0"/>
    <xf numFmtId="165" fontId="28"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1" borderId="102" applyNumberFormat="0" applyFont="0" applyAlignment="0" applyProtection="0"/>
    <xf numFmtId="165" fontId="28"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1" borderId="102"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21" borderId="102" applyNumberFormat="0" applyFont="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28" fillId="0" borderId="0"/>
    <xf numFmtId="165" fontId="28" fillId="0" borderId="0"/>
    <xf numFmtId="171" fontId="82" fillId="0" borderId="0"/>
    <xf numFmtId="171" fontId="82" fillId="0" borderId="0"/>
    <xf numFmtId="171" fontId="82" fillId="0" borderId="0"/>
    <xf numFmtId="165" fontId="28" fillId="0" borderId="0"/>
    <xf numFmtId="165" fontId="28" fillId="0" borderId="0"/>
    <xf numFmtId="165" fontId="28" fillId="0" borderId="0"/>
    <xf numFmtId="165"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 fontId="16" fillId="0" borderId="0"/>
    <xf numFmtId="165" fontId="86" fillId="0" borderId="0"/>
    <xf numFmtId="165" fontId="86" fillId="0" borderId="0"/>
    <xf numFmtId="171" fontId="82" fillId="0" borderId="0"/>
    <xf numFmtId="171" fontId="82" fillId="0" borderId="0"/>
    <xf numFmtId="171" fontId="82" fillId="0" borderId="0"/>
    <xf numFmtId="165" fontId="86" fillId="0" borderId="0"/>
    <xf numFmtId="165" fontId="28" fillId="0" borderId="0"/>
    <xf numFmtId="165" fontId="63" fillId="0" borderId="0"/>
    <xf numFmtId="165" fontId="28" fillId="0" borderId="0"/>
    <xf numFmtId="3" fontId="16" fillId="0" borderId="0"/>
    <xf numFmtId="165" fontId="28" fillId="0" borderId="0"/>
    <xf numFmtId="37" fontId="14" fillId="0" borderId="0"/>
    <xf numFmtId="37" fontId="14" fillId="0" borderId="0"/>
    <xf numFmtId="165" fontId="63" fillId="0" borderId="0"/>
    <xf numFmtId="165" fontId="63" fillId="0" borderId="0"/>
    <xf numFmtId="165" fontId="63" fillId="0" borderId="0"/>
    <xf numFmtId="165" fontId="28" fillId="0" borderId="0"/>
    <xf numFmtId="165" fontId="63" fillId="0" borderId="0"/>
    <xf numFmtId="165" fontId="28" fillId="0" borderId="0"/>
    <xf numFmtId="165" fontId="63" fillId="0" borderId="0"/>
    <xf numFmtId="37" fontId="14" fillId="0" borderId="0"/>
    <xf numFmtId="3" fontId="16" fillId="0" borderId="0"/>
  </cellStyleXfs>
  <cellXfs count="1632">
    <xf numFmtId="37" fontId="0" fillId="0" borderId="0" xfId="0" applyNumberFormat="1" applyAlignment="1"/>
    <xf numFmtId="37" fontId="16" fillId="0" borderId="0" xfId="0" applyNumberFormat="1" applyFont="1" applyFill="1" applyAlignment="1"/>
    <xf numFmtId="37" fontId="16" fillId="0" borderId="0" xfId="0" applyNumberFormat="1" applyFont="1" applyAlignment="1"/>
    <xf numFmtId="9" fontId="16" fillId="0" borderId="0" xfId="6" applyFont="1" applyFill="1"/>
    <xf numFmtId="37" fontId="20" fillId="0" borderId="0" xfId="0" applyNumberFormat="1" applyFont="1" applyFill="1" applyAlignment="1">
      <alignment horizontal="center"/>
    </xf>
    <xf numFmtId="37" fontId="20" fillId="0" borderId="0" xfId="0" applyNumberFormat="1" applyFont="1" applyFill="1" applyBorder="1" applyAlignment="1">
      <alignment horizontal="center"/>
    </xf>
    <xf numFmtId="37" fontId="20" fillId="0" borderId="0" xfId="0" applyNumberFormat="1" applyFont="1" applyFill="1" applyAlignment="1"/>
    <xf numFmtId="37" fontId="20" fillId="0" borderId="0" xfId="0" applyNumberFormat="1" applyFont="1" applyFill="1" applyBorder="1" applyAlignment="1"/>
    <xf numFmtId="37" fontId="20" fillId="0" borderId="2" xfId="0" applyNumberFormat="1" applyFont="1" applyFill="1" applyBorder="1" applyAlignment="1"/>
    <xf numFmtId="9" fontId="16" fillId="0" borderId="0" xfId="6" applyFont="1" applyFill="1" applyBorder="1"/>
    <xf numFmtId="37" fontId="20" fillId="0" borderId="0" xfId="0" applyNumberFormat="1" applyFont="1" applyAlignment="1"/>
    <xf numFmtId="0" fontId="20" fillId="0" borderId="8" xfId="1" applyNumberFormat="1" applyFont="1" applyFill="1" applyBorder="1" applyAlignment="1" applyProtection="1">
      <alignment horizontal="center" vertical="center" wrapText="1"/>
    </xf>
    <xf numFmtId="0" fontId="20" fillId="0" borderId="9" xfId="1" applyNumberFormat="1" applyFont="1" applyFill="1" applyBorder="1" applyAlignment="1" applyProtection="1">
      <alignment horizontal="center" vertical="center"/>
    </xf>
    <xf numFmtId="37" fontId="20" fillId="0" borderId="9" xfId="0" applyNumberFormat="1" applyFont="1" applyFill="1" applyBorder="1" applyAlignment="1" applyProtection="1">
      <alignment horizontal="center" vertical="center"/>
    </xf>
    <xf numFmtId="37" fontId="20" fillId="0" borderId="9" xfId="0" applyNumberFormat="1" applyFont="1" applyFill="1" applyBorder="1" applyAlignment="1">
      <alignment horizontal="center" vertical="center"/>
    </xf>
    <xf numFmtId="169" fontId="20" fillId="0" borderId="2" xfId="6" applyNumberFormat="1" applyFont="1" applyFill="1" applyBorder="1" applyAlignment="1">
      <alignment horizontal="center" vertical="center"/>
    </xf>
    <xf numFmtId="37" fontId="20" fillId="0" borderId="0" xfId="0" applyNumberFormat="1" applyFont="1" applyFill="1" applyBorder="1" applyAlignment="1">
      <alignment horizontal="centerContinuous"/>
    </xf>
    <xf numFmtId="37" fontId="18" fillId="0" borderId="0" xfId="0" applyNumberFormat="1" applyFont="1" applyFill="1" applyBorder="1" applyAlignment="1">
      <alignment horizontal="centerContinuous"/>
    </xf>
    <xf numFmtId="37" fontId="20" fillId="0" borderId="0" xfId="0" applyNumberFormat="1" applyFont="1" applyFill="1" applyAlignment="1">
      <alignment horizontal="left"/>
    </xf>
    <xf numFmtId="37" fontId="15" fillId="0" borderId="6" xfId="0" applyNumberFormat="1" applyFont="1" applyFill="1" applyBorder="1" applyAlignment="1">
      <alignment horizontal="center" wrapText="1"/>
    </xf>
    <xf numFmtId="167" fontId="15" fillId="0" borderId="10" xfId="0" applyNumberFormat="1" applyFont="1" applyFill="1" applyBorder="1" applyAlignment="1">
      <alignment horizontal="center" wrapText="1"/>
    </xf>
    <xf numFmtId="37" fontId="15" fillId="0" borderId="11" xfId="0" applyNumberFormat="1" applyFont="1" applyFill="1" applyBorder="1" applyAlignment="1" applyProtection="1">
      <alignment horizontal="centerContinuous"/>
    </xf>
    <xf numFmtId="37" fontId="18" fillId="0" borderId="14" xfId="0" applyNumberFormat="1" applyFont="1" applyFill="1" applyBorder="1" applyAlignment="1">
      <alignment horizontal="centerContinuous"/>
    </xf>
    <xf numFmtId="37" fontId="18" fillId="0" borderId="11" xfId="0" applyNumberFormat="1" applyFont="1" applyFill="1" applyBorder="1" applyAlignment="1">
      <alignment horizontal="centerContinuous"/>
    </xf>
    <xf numFmtId="37" fontId="20" fillId="0" borderId="14" xfId="0" applyNumberFormat="1" applyFont="1" applyFill="1" applyBorder="1" applyAlignment="1">
      <alignment horizontal="center"/>
    </xf>
    <xf numFmtId="9" fontId="16" fillId="0" borderId="0" xfId="6" applyFont="1" applyFill="1" applyAlignment="1"/>
    <xf numFmtId="169" fontId="20" fillId="0" borderId="16" xfId="6" applyNumberFormat="1" applyFont="1" applyFill="1" applyBorder="1" applyAlignment="1">
      <alignment horizontal="center" vertical="center"/>
    </xf>
    <xf numFmtId="9" fontId="30" fillId="0" borderId="0" xfId="6" applyFont="1" applyFill="1"/>
    <xf numFmtId="37" fontId="30" fillId="0" borderId="0" xfId="0" applyNumberFormat="1" applyFont="1" applyFill="1" applyAlignment="1"/>
    <xf numFmtId="166" fontId="20" fillId="0" borderId="14" xfId="1" quotePrefix="1" applyNumberFormat="1" applyFont="1" applyFill="1" applyBorder="1" applyAlignment="1">
      <alignment horizontal="center"/>
    </xf>
    <xf numFmtId="37" fontId="18" fillId="3" borderId="0" xfId="0" applyNumberFormat="1" applyFont="1" applyFill="1" applyBorder="1" applyAlignment="1">
      <alignment horizontal="centerContinuous"/>
    </xf>
    <xf numFmtId="37" fontId="15" fillId="3" borderId="2" xfId="0" applyNumberFormat="1" applyFont="1" applyFill="1" applyBorder="1" applyAlignment="1">
      <alignment horizontal="center" wrapText="1"/>
    </xf>
    <xf numFmtId="9" fontId="20" fillId="3" borderId="0" xfId="6" applyFont="1" applyFill="1" applyBorder="1" applyAlignment="1">
      <alignment horizontal="center"/>
    </xf>
    <xf numFmtId="166" fontId="20" fillId="3" borderId="0" xfId="1" quotePrefix="1" applyNumberFormat="1" applyFont="1" applyFill="1" applyBorder="1" applyAlignment="1">
      <alignment horizontal="center"/>
    </xf>
    <xf numFmtId="9" fontId="20" fillId="3" borderId="2" xfId="6" applyFont="1" applyFill="1" applyBorder="1" applyAlignment="1">
      <alignment horizontal="center"/>
    </xf>
    <xf numFmtId="37" fontId="20" fillId="3" borderId="0" xfId="0" applyNumberFormat="1" applyFont="1" applyFill="1" applyBorder="1" applyAlignment="1">
      <alignment horizontal="center"/>
    </xf>
    <xf numFmtId="37" fontId="15" fillId="0" borderId="17" xfId="0" applyNumberFormat="1" applyFont="1" applyFill="1" applyBorder="1" applyAlignment="1" applyProtection="1">
      <alignment horizontal="centerContinuous"/>
    </xf>
    <xf numFmtId="37" fontId="18" fillId="0" borderId="17" xfId="0" applyNumberFormat="1" applyFont="1" applyFill="1" applyBorder="1" applyAlignment="1">
      <alignment horizontal="centerContinuous"/>
    </xf>
    <xf numFmtId="37" fontId="15" fillId="0" borderId="18" xfId="0" applyNumberFormat="1" applyFont="1" applyFill="1" applyBorder="1" applyAlignment="1" applyProtection="1">
      <alignment horizontal="centerContinuous" wrapText="1"/>
    </xf>
    <xf numFmtId="37" fontId="15" fillId="0" borderId="9" xfId="0" applyNumberFormat="1" applyFont="1" applyFill="1" applyBorder="1" applyAlignment="1" applyProtection="1">
      <alignment horizontal="centerContinuous" wrapText="1"/>
    </xf>
    <xf numFmtId="37" fontId="15" fillId="0" borderId="17" xfId="0" applyNumberFormat="1" applyFont="1" applyFill="1" applyBorder="1" applyAlignment="1">
      <alignment horizontal="center" wrapText="1"/>
    </xf>
    <xf numFmtId="37" fontId="16" fillId="0" borderId="19" xfId="0" applyNumberFormat="1" applyFont="1" applyFill="1" applyBorder="1" applyAlignment="1" applyProtection="1">
      <alignment horizontal="left"/>
    </xf>
    <xf numFmtId="37" fontId="20" fillId="0" borderId="0" xfId="0" applyNumberFormat="1" applyFont="1" applyAlignment="1">
      <alignment horizontal="centerContinuous"/>
    </xf>
    <xf numFmtId="37" fontId="20" fillId="0" borderId="0" xfId="0" applyNumberFormat="1" applyFont="1" applyBorder="1" applyAlignment="1">
      <alignment horizontal="centerContinuous"/>
    </xf>
    <xf numFmtId="37" fontId="20" fillId="0" borderId="20" xfId="0" applyNumberFormat="1" applyFont="1" applyBorder="1" applyAlignment="1"/>
    <xf numFmtId="37" fontId="29" fillId="0" borderId="0" xfId="0" applyNumberFormat="1" applyFont="1" applyFill="1" applyAlignment="1"/>
    <xf numFmtId="9" fontId="20" fillId="0" borderId="0" xfId="6" applyFont="1" applyFill="1"/>
    <xf numFmtId="37" fontId="16" fillId="0" borderId="0" xfId="0" applyNumberFormat="1" applyFont="1" applyBorder="1" applyAlignment="1"/>
    <xf numFmtId="37" fontId="20" fillId="0" borderId="0" xfId="0" applyNumberFormat="1" applyFont="1" applyBorder="1" applyAlignment="1"/>
    <xf numFmtId="37" fontId="20" fillId="0" borderId="11" xfId="0" applyNumberFormat="1" applyFont="1" applyBorder="1" applyAlignment="1">
      <alignment horizontal="center" wrapText="1"/>
    </xf>
    <xf numFmtId="37" fontId="20" fillId="0" borderId="2" xfId="0" applyNumberFormat="1" applyFont="1" applyFill="1" applyBorder="1" applyAlignment="1" applyProtection="1">
      <alignment horizontal="center" wrapText="1"/>
    </xf>
    <xf numFmtId="167" fontId="15" fillId="0" borderId="9" xfId="0" applyNumberFormat="1" applyFont="1" applyFill="1" applyBorder="1" applyAlignment="1" applyProtection="1">
      <alignment horizontal="center" wrapText="1"/>
    </xf>
    <xf numFmtId="37" fontId="15" fillId="0" borderId="9" xfId="0" applyNumberFormat="1" applyFont="1" applyFill="1" applyBorder="1" applyAlignment="1">
      <alignment horizontal="center" wrapText="1"/>
    </xf>
    <xf numFmtId="167" fontId="15" fillId="0" borderId="18" xfId="0" applyNumberFormat="1" applyFont="1" applyFill="1" applyBorder="1" applyAlignment="1" applyProtection="1">
      <alignment horizontal="center" wrapText="1"/>
    </xf>
    <xf numFmtId="37" fontId="20" fillId="0" borderId="2" xfId="0" applyNumberFormat="1" applyFont="1" applyFill="1" applyBorder="1" applyAlignment="1" applyProtection="1">
      <alignment horizontal="center"/>
    </xf>
    <xf numFmtId="37" fontId="19" fillId="0" borderId="0" xfId="0" applyNumberFormat="1" applyFont="1" applyBorder="1" applyAlignment="1"/>
    <xf numFmtId="37" fontId="18" fillId="0" borderId="20" xfId="0" applyNumberFormat="1" applyFont="1" applyFill="1" applyBorder="1" applyAlignment="1">
      <alignment horizontal="center" vertical="center"/>
    </xf>
    <xf numFmtId="37" fontId="15" fillId="0" borderId="18" xfId="0" applyNumberFormat="1" applyFont="1" applyFill="1" applyBorder="1" applyAlignment="1">
      <alignment horizontal="centerContinuous" vertical="center" wrapText="1"/>
    </xf>
    <xf numFmtId="37" fontId="15" fillId="0" borderId="9" xfId="0" applyNumberFormat="1" applyFont="1" applyFill="1" applyBorder="1" applyAlignment="1">
      <alignment horizontal="centerContinuous" vertical="center" wrapText="1"/>
    </xf>
    <xf numFmtId="37" fontId="20" fillId="0" borderId="0" xfId="0" applyNumberFormat="1" applyFont="1" applyFill="1" applyAlignment="1">
      <alignment horizontal="center" vertical="center"/>
    </xf>
    <xf numFmtId="37" fontId="18" fillId="0" borderId="20" xfId="0" applyNumberFormat="1" applyFont="1" applyFill="1" applyBorder="1" applyAlignment="1">
      <alignment vertical="center"/>
    </xf>
    <xf numFmtId="37" fontId="20" fillId="0" borderId="0" xfId="0" applyNumberFormat="1" applyFont="1" applyFill="1" applyAlignment="1">
      <alignment vertical="center"/>
    </xf>
    <xf numFmtId="37" fontId="26" fillId="0" borderId="0" xfId="0" applyNumberFormat="1" applyFont="1" applyFill="1" applyBorder="1" applyAlignment="1">
      <alignment horizontal="centerContinuous"/>
    </xf>
    <xf numFmtId="37" fontId="32" fillId="0" borderId="0" xfId="0" applyNumberFormat="1" applyFont="1" applyFill="1" applyBorder="1" applyAlignment="1"/>
    <xf numFmtId="166" fontId="32" fillId="0" borderId="14" xfId="6" applyNumberFormat="1" applyFont="1" applyFill="1" applyBorder="1" applyAlignment="1">
      <alignment horizontal="center"/>
    </xf>
    <xf numFmtId="9" fontId="32" fillId="3" borderId="0" xfId="6" applyFont="1" applyFill="1" applyBorder="1" applyAlignment="1">
      <alignment horizontal="center"/>
    </xf>
    <xf numFmtId="37" fontId="32" fillId="0" borderId="0" xfId="0" applyNumberFormat="1" applyFont="1" applyFill="1" applyAlignment="1"/>
    <xf numFmtId="37" fontId="25" fillId="0" borderId="0" xfId="0" applyNumberFormat="1" applyFont="1" applyFill="1" applyBorder="1" applyAlignment="1"/>
    <xf numFmtId="37" fontId="25" fillId="0" borderId="2" xfId="0" applyNumberFormat="1" applyFont="1" applyFill="1" applyBorder="1" applyAlignment="1"/>
    <xf numFmtId="37" fontId="20" fillId="0" borderId="0" xfId="0" applyNumberFormat="1" applyFont="1" applyAlignment="1">
      <alignment vertical="top"/>
    </xf>
    <xf numFmtId="37" fontId="19" fillId="0" borderId="0" xfId="0" applyNumberFormat="1" applyFont="1" applyBorder="1" applyAlignment="1">
      <alignment vertical="top"/>
    </xf>
    <xf numFmtId="37" fontId="16" fillId="0" borderId="0" xfId="0" applyNumberFormat="1" applyFont="1" applyAlignment="1">
      <alignment vertical="top"/>
    </xf>
    <xf numFmtId="37" fontId="16" fillId="0" borderId="0" xfId="0" applyNumberFormat="1" applyFont="1" applyBorder="1" applyAlignment="1">
      <alignment vertical="top"/>
    </xf>
    <xf numFmtId="37" fontId="20" fillId="0" borderId="0" xfId="0" applyNumberFormat="1" applyFont="1" applyFill="1" applyBorder="1" applyAlignment="1">
      <alignment vertical="center"/>
    </xf>
    <xf numFmtId="37" fontId="20" fillId="0" borderId="2" xfId="0" applyNumberFormat="1" applyFont="1" applyFill="1" applyBorder="1" applyAlignment="1">
      <alignment vertical="center"/>
    </xf>
    <xf numFmtId="3" fontId="20" fillId="0" borderId="0" xfId="0" applyNumberFormat="1" applyFont="1" applyFill="1" applyBorder="1" applyAlignment="1">
      <alignment horizontal="right" vertical="center"/>
    </xf>
    <xf numFmtId="37" fontId="26" fillId="0" borderId="0" xfId="0" applyNumberFormat="1" applyFont="1" applyFill="1" applyAlignment="1">
      <alignment vertical="center"/>
    </xf>
    <xf numFmtId="37" fontId="20" fillId="0" borderId="2" xfId="0" applyNumberFormat="1" applyFont="1" applyBorder="1" applyAlignment="1">
      <alignment horizontal="center"/>
    </xf>
    <xf numFmtId="37" fontId="15" fillId="0" borderId="6" xfId="0" applyNumberFormat="1" applyFont="1" applyFill="1" applyBorder="1" applyAlignment="1" applyProtection="1">
      <alignment horizontal="center"/>
    </xf>
    <xf numFmtId="0" fontId="25" fillId="0" borderId="8" xfId="1" applyNumberFormat="1" applyFont="1" applyFill="1" applyBorder="1" applyAlignment="1" applyProtection="1">
      <alignment horizontal="center" vertical="center" wrapText="1"/>
    </xf>
    <xf numFmtId="37" fontId="25" fillId="0" borderId="9" xfId="0" applyNumberFormat="1" applyFont="1" applyBorder="1" applyAlignment="1">
      <alignment horizontal="center"/>
    </xf>
    <xf numFmtId="0" fontId="25" fillId="0" borderId="9" xfId="1" applyNumberFormat="1" applyFont="1" applyFill="1" applyBorder="1" applyAlignment="1" applyProtection="1">
      <alignment horizontal="center" vertical="center"/>
    </xf>
    <xf numFmtId="37" fontId="25" fillId="0" borderId="9" xfId="0" applyNumberFormat="1" applyFont="1" applyFill="1" applyBorder="1" applyAlignment="1" applyProtection="1">
      <alignment horizontal="center" vertical="center"/>
    </xf>
    <xf numFmtId="37" fontId="25" fillId="0" borderId="9" xfId="0" applyNumberFormat="1" applyFont="1" applyFill="1" applyBorder="1" applyAlignment="1">
      <alignment horizontal="center" vertical="center"/>
    </xf>
    <xf numFmtId="37" fontId="25" fillId="0" borderId="0" xfId="0" applyNumberFormat="1" applyFont="1" applyAlignment="1">
      <alignment horizontal="center"/>
    </xf>
    <xf numFmtId="37" fontId="38" fillId="0" borderId="0" xfId="0" applyNumberFormat="1" applyFont="1" applyFill="1" applyBorder="1" applyAlignment="1"/>
    <xf numFmtId="166" fontId="38" fillId="0" borderId="14" xfId="6" applyNumberFormat="1" applyFont="1" applyFill="1" applyBorder="1" applyAlignment="1">
      <alignment horizontal="center"/>
    </xf>
    <xf numFmtId="9" fontId="38" fillId="3" borderId="0" xfId="6" applyFont="1" applyFill="1" applyBorder="1" applyAlignment="1">
      <alignment horizontal="center"/>
    </xf>
    <xf numFmtId="37" fontId="38" fillId="0" borderId="0" xfId="0" applyNumberFormat="1" applyFont="1" applyFill="1" applyAlignment="1"/>
    <xf numFmtId="37" fontId="20" fillId="0" borderId="0" xfId="0" applyNumberFormat="1" applyFont="1" applyFill="1" applyBorder="1" applyAlignment="1">
      <alignment horizontal="center" vertical="center"/>
    </xf>
    <xf numFmtId="37" fontId="26" fillId="0" borderId="0" xfId="0" applyNumberFormat="1" applyFont="1" applyFill="1" applyBorder="1" applyAlignment="1">
      <alignment vertical="center"/>
    </xf>
    <xf numFmtId="37" fontId="18" fillId="0" borderId="0" xfId="0" applyNumberFormat="1" applyFont="1" applyFill="1" applyBorder="1" applyAlignment="1">
      <alignment horizontal="centerContinuous" vertical="center"/>
    </xf>
    <xf numFmtId="37" fontId="35" fillId="0" borderId="0" xfId="0" applyNumberFormat="1" applyFont="1" applyFill="1" applyBorder="1" applyAlignment="1">
      <alignment horizontal="centerContinuous" vertical="center"/>
    </xf>
    <xf numFmtId="37" fontId="35" fillId="0" borderId="0" xfId="0" applyNumberFormat="1" applyFont="1" applyFill="1" applyBorder="1" applyAlignment="1">
      <alignment vertical="center"/>
    </xf>
    <xf numFmtId="37" fontId="35" fillId="0" borderId="0" xfId="0" applyNumberFormat="1" applyFont="1" applyFill="1" applyAlignment="1">
      <alignment vertical="center"/>
    </xf>
    <xf numFmtId="37" fontId="18" fillId="0" borderId="0" xfId="0" applyNumberFormat="1" applyFont="1" applyFill="1" applyBorder="1" applyAlignment="1">
      <alignment vertical="center"/>
    </xf>
    <xf numFmtId="37" fontId="15" fillId="0" borderId="0" xfId="0" applyNumberFormat="1" applyFont="1" applyFill="1" applyBorder="1" applyAlignment="1">
      <alignment horizontal="centerContinuous" vertical="center"/>
    </xf>
    <xf numFmtId="37" fontId="15" fillId="0" borderId="2" xfId="0" applyNumberFormat="1" applyFont="1" applyFill="1" applyBorder="1" applyAlignment="1">
      <alignment horizontal="centerContinuous" vertical="center"/>
    </xf>
    <xf numFmtId="37" fontId="16" fillId="0" borderId="0" xfId="0" applyNumberFormat="1" applyFont="1" applyFill="1" applyBorder="1" applyAlignment="1">
      <alignment horizontal="centerContinuous" vertical="center"/>
    </xf>
    <xf numFmtId="37" fontId="16" fillId="0" borderId="0" xfId="0" applyNumberFormat="1" applyFont="1" applyFill="1" applyBorder="1" applyAlignment="1">
      <alignment vertical="center"/>
    </xf>
    <xf numFmtId="37" fontId="16" fillId="0" borderId="0" xfId="0" applyNumberFormat="1" applyFont="1" applyFill="1" applyAlignment="1">
      <alignment vertical="center"/>
    </xf>
    <xf numFmtId="37" fontId="20" fillId="0" borderId="0" xfId="0" applyNumberFormat="1" applyFont="1" applyFill="1" applyBorder="1" applyAlignment="1">
      <alignment horizontal="centerContinuous" vertical="center"/>
    </xf>
    <xf numFmtId="164" fontId="20" fillId="0" borderId="0" xfId="0" applyNumberFormat="1" applyFont="1" applyFill="1" applyBorder="1" applyAlignment="1">
      <alignment horizontal="right" vertical="center"/>
    </xf>
    <xf numFmtId="3" fontId="25" fillId="0" borderId="0" xfId="0" applyNumberFormat="1" applyFont="1" applyBorder="1" applyAlignment="1">
      <alignment vertical="center"/>
    </xf>
    <xf numFmtId="3" fontId="20" fillId="0" borderId="2" xfId="0" applyNumberFormat="1" applyFont="1" applyFill="1" applyBorder="1" applyAlignment="1">
      <alignment horizontal="right" vertical="center"/>
    </xf>
    <xf numFmtId="3" fontId="20" fillId="0" borderId="22" xfId="0" applyNumberFormat="1" applyFont="1" applyFill="1" applyBorder="1" applyAlignment="1">
      <alignment horizontal="right" vertical="center"/>
    </xf>
    <xf numFmtId="37" fontId="20" fillId="0" borderId="0" xfId="0" applyNumberFormat="1" applyFont="1" applyFill="1" applyBorder="1" applyAlignment="1">
      <alignment vertical="center" wrapText="1"/>
    </xf>
    <xf numFmtId="3" fontId="20" fillId="0" borderId="0" xfId="0" applyNumberFormat="1" applyFont="1" applyFill="1" applyBorder="1" applyAlignment="1">
      <alignment horizontal="center" vertical="center"/>
    </xf>
    <xf numFmtId="37" fontId="18" fillId="0" borderId="2" xfId="0" applyNumberFormat="1" applyFont="1" applyFill="1" applyBorder="1" applyAlignment="1">
      <alignment horizontal="centerContinuous" vertical="center"/>
    </xf>
    <xf numFmtId="37" fontId="15" fillId="0" borderId="20" xfId="0" applyNumberFormat="1" applyFont="1" applyFill="1" applyBorder="1" applyAlignment="1" applyProtection="1">
      <alignment horizontal="centerContinuous" vertical="center" wrapText="1"/>
    </xf>
    <xf numFmtId="37" fontId="32" fillId="0" borderId="0" xfId="0" applyNumberFormat="1" applyFont="1" applyFill="1" applyBorder="1" applyAlignment="1">
      <alignment vertical="center"/>
    </xf>
    <xf numFmtId="3" fontId="32" fillId="0" borderId="0" xfId="0" applyNumberFormat="1" applyFont="1" applyFill="1" applyBorder="1" applyAlignment="1">
      <alignment horizontal="right" vertical="center"/>
    </xf>
    <xf numFmtId="37" fontId="32" fillId="0" borderId="0" xfId="0" applyNumberFormat="1" applyFont="1" applyFill="1" applyAlignment="1">
      <alignment vertical="center"/>
    </xf>
    <xf numFmtId="37" fontId="16" fillId="0" borderId="0" xfId="0" applyNumberFormat="1" applyFont="1" applyFill="1" applyBorder="1" applyAlignment="1">
      <alignment vertical="center" wrapText="1"/>
    </xf>
    <xf numFmtId="164" fontId="20" fillId="0" borderId="23" xfId="0" applyNumberFormat="1" applyFont="1" applyFill="1" applyBorder="1" applyAlignment="1">
      <alignment horizontal="center" vertical="center"/>
    </xf>
    <xf numFmtId="164" fontId="20" fillId="0" borderId="0" xfId="0" applyNumberFormat="1" applyFont="1" applyFill="1" applyBorder="1" applyAlignment="1">
      <alignment horizontal="center" vertical="center"/>
    </xf>
    <xf numFmtId="3" fontId="20" fillId="0" borderId="23" xfId="0" applyNumberFormat="1" applyFont="1" applyFill="1" applyBorder="1" applyAlignment="1">
      <alignment horizontal="center" vertical="center"/>
    </xf>
    <xf numFmtId="3" fontId="20" fillId="0" borderId="10" xfId="0" applyNumberFormat="1" applyFont="1" applyFill="1" applyBorder="1" applyAlignment="1">
      <alignment horizontal="center" vertical="center"/>
    </xf>
    <xf numFmtId="3" fontId="20" fillId="0" borderId="2" xfId="0" applyNumberFormat="1" applyFont="1" applyFill="1" applyBorder="1" applyAlignment="1">
      <alignment horizontal="center" vertical="center"/>
    </xf>
    <xf numFmtId="3" fontId="32" fillId="0" borderId="23" xfId="0" applyNumberFormat="1" applyFont="1" applyFill="1" applyBorder="1" applyAlignment="1">
      <alignment horizontal="center" vertical="center"/>
    </xf>
    <xf numFmtId="3" fontId="32" fillId="0" borderId="0" xfId="0" applyNumberFormat="1" applyFont="1" applyFill="1" applyBorder="1" applyAlignment="1">
      <alignment horizontal="center" vertical="center"/>
    </xf>
    <xf numFmtId="3" fontId="20" fillId="0" borderId="0" xfId="0" quotePrefix="1" applyNumberFormat="1" applyFont="1" applyFill="1" applyBorder="1" applyAlignment="1">
      <alignment horizontal="center" vertical="center"/>
    </xf>
    <xf numFmtId="37" fontId="20" fillId="0" borderId="0" xfId="0" applyNumberFormat="1" applyFont="1" applyAlignment="1">
      <alignment vertical="center"/>
    </xf>
    <xf numFmtId="37" fontId="20" fillId="0" borderId="0" xfId="0" applyNumberFormat="1" applyFont="1" applyFill="1" applyAlignment="1">
      <alignment horizontal="centerContinuous" vertical="center"/>
    </xf>
    <xf numFmtId="37" fontId="20" fillId="0" borderId="0" xfId="0" applyNumberFormat="1" applyFont="1" applyAlignment="1">
      <alignment horizontal="centerContinuous" vertical="center"/>
    </xf>
    <xf numFmtId="37" fontId="25" fillId="0" borderId="19" xfId="0" applyNumberFormat="1" applyFont="1" applyFill="1" applyBorder="1" applyAlignment="1" applyProtection="1">
      <alignment horizontal="center" vertical="center"/>
    </xf>
    <xf numFmtId="37" fontId="36" fillId="0" borderId="3" xfId="0" applyNumberFormat="1" applyFont="1" applyFill="1" applyBorder="1" applyAlignment="1">
      <alignment horizontal="left" vertical="center" wrapText="1"/>
    </xf>
    <xf numFmtId="37" fontId="37" fillId="0" borderId="3" xfId="0" applyNumberFormat="1" applyFont="1" applyFill="1" applyBorder="1" applyAlignment="1" applyProtection="1">
      <alignment horizontal="right" vertical="center"/>
    </xf>
    <xf numFmtId="37" fontId="31" fillId="0" borderId="4" xfId="0" applyNumberFormat="1" applyFont="1" applyFill="1" applyBorder="1" applyAlignment="1">
      <alignment horizontal="left" vertical="center" wrapText="1"/>
    </xf>
    <xf numFmtId="37" fontId="31" fillId="0" borderId="5" xfId="0" applyNumberFormat="1" applyFont="1" applyFill="1" applyBorder="1" applyAlignment="1">
      <alignment horizontal="left" vertical="center" wrapText="1"/>
    </xf>
    <xf numFmtId="37" fontId="25" fillId="0" borderId="3" xfId="0" applyNumberFormat="1" applyFont="1" applyFill="1" applyBorder="1" applyAlignment="1">
      <alignment horizontal="right" vertical="center" wrapText="1"/>
    </xf>
    <xf numFmtId="37" fontId="31" fillId="0" borderId="3" xfId="0" applyNumberFormat="1" applyFont="1" applyFill="1" applyBorder="1" applyAlignment="1">
      <alignment horizontal="left" vertical="center" wrapText="1"/>
    </xf>
    <xf numFmtId="37" fontId="31" fillId="0" borderId="20" xfId="0" applyNumberFormat="1" applyFont="1" applyFill="1" applyBorder="1" applyAlignment="1">
      <alignment horizontal="right" vertical="center" wrapText="1"/>
    </xf>
    <xf numFmtId="37" fontId="16" fillId="0" borderId="0" xfId="0" applyNumberFormat="1" applyFont="1" applyAlignment="1">
      <alignment vertical="center"/>
    </xf>
    <xf numFmtId="37" fontId="25" fillId="0" borderId="20" xfId="0" applyNumberFormat="1" applyFont="1" applyFill="1" applyBorder="1" applyAlignment="1">
      <alignment vertical="center"/>
    </xf>
    <xf numFmtId="37" fontId="26" fillId="0" borderId="0" xfId="0" applyNumberFormat="1" applyFont="1" applyFill="1" applyBorder="1" applyAlignment="1">
      <alignment horizontal="centerContinuous" vertical="center"/>
    </xf>
    <xf numFmtId="9" fontId="20" fillId="0" borderId="0" xfId="6" applyFont="1" applyFill="1" applyAlignment="1">
      <alignment horizontal="centerContinuous" vertical="center"/>
    </xf>
    <xf numFmtId="37" fontId="18" fillId="0" borderId="0" xfId="0" applyNumberFormat="1" applyFont="1" applyFill="1" applyBorder="1" applyAlignment="1" applyProtection="1">
      <alignment horizontal="centerContinuous" vertical="center"/>
    </xf>
    <xf numFmtId="37" fontId="20" fillId="0" borderId="0" xfId="0" applyNumberFormat="1" applyFont="1" applyBorder="1" applyAlignment="1">
      <alignment horizontal="centerContinuous" vertical="center"/>
    </xf>
    <xf numFmtId="37" fontId="20" fillId="0" borderId="0" xfId="0" applyNumberFormat="1" applyFont="1" applyAlignment="1">
      <alignment horizontal="left" vertical="center"/>
    </xf>
    <xf numFmtId="37" fontId="18" fillId="0" borderId="0" xfId="0" applyNumberFormat="1" applyFont="1" applyFill="1" applyBorder="1" applyAlignment="1">
      <alignment horizontal="center" vertical="center"/>
    </xf>
    <xf numFmtId="37" fontId="35" fillId="0" borderId="0" xfId="0" applyNumberFormat="1" applyFont="1" applyFill="1" applyBorder="1" applyAlignment="1">
      <alignment horizontal="center" vertical="center"/>
    </xf>
    <xf numFmtId="37" fontId="35" fillId="0" borderId="0" xfId="0" applyNumberFormat="1" applyFont="1" applyFill="1" applyAlignment="1">
      <alignment horizontal="center" vertical="center"/>
    </xf>
    <xf numFmtId="37" fontId="35" fillId="0" borderId="14" xfId="0" applyNumberFormat="1" applyFont="1" applyFill="1" applyBorder="1" applyAlignment="1">
      <alignment horizontal="center" vertical="center"/>
    </xf>
    <xf numFmtId="37" fontId="35" fillId="3" borderId="0" xfId="0" applyNumberFormat="1" applyFont="1" applyFill="1" applyBorder="1" applyAlignment="1">
      <alignment horizontal="center" vertical="center"/>
    </xf>
    <xf numFmtId="37" fontId="18" fillId="0" borderId="14" xfId="0" applyNumberFormat="1" applyFont="1" applyFill="1" applyBorder="1" applyAlignment="1">
      <alignment horizontal="center" vertical="center"/>
    </xf>
    <xf numFmtId="37" fontId="18" fillId="3" borderId="0" xfId="0" applyNumberFormat="1" applyFont="1" applyFill="1" applyBorder="1" applyAlignment="1">
      <alignment horizontal="center" vertical="center"/>
    </xf>
    <xf numFmtId="166" fontId="20" fillId="0" borderId="14" xfId="1" quotePrefix="1" applyNumberFormat="1" applyFont="1" applyFill="1" applyBorder="1" applyAlignment="1">
      <alignment horizontal="center" vertical="center"/>
    </xf>
    <xf numFmtId="9" fontId="20" fillId="3" borderId="0" xfId="6" applyFont="1" applyFill="1" applyBorder="1" applyAlignment="1">
      <alignment horizontal="center" vertical="center"/>
    </xf>
    <xf numFmtId="37" fontId="25" fillId="0" borderId="0" xfId="0" applyNumberFormat="1" applyFont="1" applyFill="1" applyBorder="1" applyAlignment="1">
      <alignment vertical="center"/>
    </xf>
    <xf numFmtId="169" fontId="25" fillId="0" borderId="14" xfId="6" quotePrefix="1" applyNumberFormat="1" applyFont="1" applyFill="1" applyBorder="1" applyAlignment="1">
      <alignment horizontal="center" vertical="center"/>
    </xf>
    <xf numFmtId="37" fontId="18" fillId="0" borderId="20" xfId="0" applyNumberFormat="1" applyFont="1" applyFill="1" applyBorder="1" applyAlignment="1">
      <alignment horizontal="centerContinuous" vertical="center"/>
    </xf>
    <xf numFmtId="37" fontId="15" fillId="0" borderId="9" xfId="0" applyNumberFormat="1" applyFont="1" applyFill="1" applyBorder="1" applyAlignment="1" applyProtection="1">
      <alignment horizontal="centerContinuous" vertical="center"/>
    </xf>
    <xf numFmtId="37" fontId="18" fillId="0" borderId="9" xfId="0" applyNumberFormat="1" applyFont="1" applyFill="1" applyBorder="1" applyAlignment="1">
      <alignment horizontal="centerContinuous" vertical="center"/>
    </xf>
    <xf numFmtId="37" fontId="18" fillId="0" borderId="19" xfId="0" applyNumberFormat="1" applyFont="1" applyFill="1" applyBorder="1" applyAlignment="1">
      <alignment horizontal="centerContinuous" vertical="center"/>
    </xf>
    <xf numFmtId="37" fontId="15" fillId="0" borderId="11" xfId="0" applyNumberFormat="1" applyFont="1" applyFill="1" applyBorder="1" applyAlignment="1" applyProtection="1">
      <alignment horizontal="centerContinuous" vertical="center"/>
    </xf>
    <xf numFmtId="37" fontId="15" fillId="0" borderId="19" xfId="0" applyNumberFormat="1" applyFont="1" applyFill="1" applyBorder="1" applyAlignment="1" applyProtection="1">
      <alignment horizontal="centerContinuous" vertical="center"/>
    </xf>
    <xf numFmtId="37" fontId="18" fillId="0" borderId="11" xfId="0" applyNumberFormat="1" applyFont="1" applyFill="1" applyBorder="1" applyAlignment="1">
      <alignment horizontal="centerContinuous" vertical="center"/>
    </xf>
    <xf numFmtId="37" fontId="18" fillId="3" borderId="20" xfId="0" applyNumberFormat="1" applyFont="1" applyFill="1" applyBorder="1" applyAlignment="1">
      <alignment horizontal="centerContinuous" vertical="center"/>
    </xf>
    <xf numFmtId="37" fontId="18" fillId="0" borderId="18" xfId="0" applyNumberFormat="1" applyFont="1" applyFill="1" applyBorder="1" applyAlignment="1">
      <alignment horizontal="centerContinuous" vertical="center"/>
    </xf>
    <xf numFmtId="37" fontId="18" fillId="0" borderId="24" xfId="0" applyNumberFormat="1" applyFont="1" applyFill="1" applyBorder="1" applyAlignment="1">
      <alignment horizontal="centerContinuous" vertical="center"/>
    </xf>
    <xf numFmtId="37" fontId="20" fillId="3" borderId="0" xfId="0" applyNumberFormat="1" applyFont="1" applyFill="1" applyBorder="1" applyAlignment="1">
      <alignment vertical="center" wrapText="1"/>
    </xf>
    <xf numFmtId="37" fontId="20" fillId="0" borderId="0" xfId="0" applyNumberFormat="1" applyFont="1" applyBorder="1" applyAlignment="1">
      <alignment vertical="center" wrapText="1"/>
    </xf>
    <xf numFmtId="37" fontId="35" fillId="5" borderId="0" xfId="0" applyNumberFormat="1" applyFont="1" applyFill="1" applyAlignment="1">
      <alignment vertical="center"/>
    </xf>
    <xf numFmtId="37" fontId="18" fillId="5" borderId="0" xfId="0" applyNumberFormat="1" applyFont="1" applyFill="1" applyBorder="1" applyAlignment="1">
      <alignment horizontal="center" vertical="center" wrapText="1"/>
    </xf>
    <xf numFmtId="37" fontId="15" fillId="5" borderId="0" xfId="0" applyNumberFormat="1" applyFont="1" applyFill="1" applyBorder="1" applyAlignment="1">
      <alignment horizontal="center" vertical="center" wrapText="1"/>
    </xf>
    <xf numFmtId="37" fontId="15" fillId="5" borderId="0" xfId="0" applyNumberFormat="1" applyFont="1" applyFill="1" applyBorder="1" applyAlignment="1">
      <alignment vertical="center"/>
    </xf>
    <xf numFmtId="164" fontId="20" fillId="5" borderId="0" xfId="0" applyNumberFormat="1" applyFont="1" applyFill="1" applyBorder="1" applyAlignment="1">
      <alignment horizontal="center"/>
    </xf>
    <xf numFmtId="3" fontId="20" fillId="5" borderId="0" xfId="0" applyNumberFormat="1" applyFont="1" applyFill="1" applyBorder="1" applyAlignment="1">
      <alignment horizontal="center" vertical="center"/>
    </xf>
    <xf numFmtId="37" fontId="26" fillId="5" borderId="0" xfId="0" applyNumberFormat="1" applyFont="1" applyFill="1" applyAlignment="1">
      <alignment vertical="center"/>
    </xf>
    <xf numFmtId="37" fontId="20" fillId="5" borderId="0" xfId="0" applyNumberFormat="1" applyFont="1" applyFill="1" applyAlignment="1">
      <alignment vertical="center"/>
    </xf>
    <xf numFmtId="37" fontId="20" fillId="5" borderId="0" xfId="0" applyNumberFormat="1" applyFont="1" applyFill="1" applyBorder="1" applyAlignment="1">
      <alignment vertical="center"/>
    </xf>
    <xf numFmtId="167" fontId="15" fillId="5" borderId="0" xfId="0" applyNumberFormat="1" applyFont="1" applyFill="1" applyBorder="1" applyAlignment="1">
      <alignment horizontal="center" wrapText="1"/>
    </xf>
    <xf numFmtId="167" fontId="15" fillId="5" borderId="0" xfId="0" applyNumberFormat="1" applyFont="1" applyFill="1" applyBorder="1" applyAlignment="1">
      <alignment horizontal="center" vertical="center" wrapText="1"/>
    </xf>
    <xf numFmtId="3" fontId="20" fillId="5" borderId="0" xfId="0" applyNumberFormat="1" applyFont="1" applyFill="1" applyBorder="1" applyAlignment="1">
      <alignment horizontal="right" vertical="center"/>
    </xf>
    <xf numFmtId="3" fontId="32" fillId="5" borderId="0" xfId="0" applyNumberFormat="1" applyFont="1" applyFill="1" applyBorder="1" applyAlignment="1">
      <alignment horizontal="center" vertical="center"/>
    </xf>
    <xf numFmtId="164" fontId="20" fillId="5" borderId="0" xfId="0" applyNumberFormat="1" applyFont="1" applyFill="1" applyBorder="1" applyAlignment="1">
      <alignment horizontal="center" wrapText="1"/>
    </xf>
    <xf numFmtId="37" fontId="20" fillId="0" borderId="0" xfId="0" applyNumberFormat="1" applyFont="1" applyFill="1" applyBorder="1" applyAlignment="1">
      <alignment wrapText="1"/>
    </xf>
    <xf numFmtId="37" fontId="20" fillId="0" borderId="0" xfId="0" applyNumberFormat="1" applyFont="1" applyFill="1" applyAlignment="1">
      <alignment wrapText="1"/>
    </xf>
    <xf numFmtId="170" fontId="20" fillId="0" borderId="0" xfId="0" applyNumberFormat="1" applyFont="1" applyFill="1" applyBorder="1" applyAlignment="1">
      <alignment horizontal="right" vertical="center"/>
    </xf>
    <xf numFmtId="37" fontId="0" fillId="0" borderId="0" xfId="0" applyNumberFormat="1" applyFill="1" applyAlignment="1"/>
    <xf numFmtId="37" fontId="20" fillId="0" borderId="0" xfId="0" applyNumberFormat="1" applyFont="1" applyFill="1" applyAlignment="1">
      <alignment horizontal="centerContinuous"/>
    </xf>
    <xf numFmtId="169" fontId="20" fillId="0" borderId="0" xfId="6" applyNumberFormat="1" applyFont="1" applyFill="1" applyAlignment="1">
      <alignment horizontal="centerContinuous"/>
    </xf>
    <xf numFmtId="169" fontId="20" fillId="0" borderId="9" xfId="6" applyNumberFormat="1" applyFont="1" applyFill="1" applyBorder="1" applyAlignment="1">
      <alignment horizontal="center" vertical="center"/>
    </xf>
    <xf numFmtId="37" fontId="16" fillId="0" borderId="0" xfId="0" applyNumberFormat="1" applyFont="1" applyFill="1" applyAlignment="1">
      <alignment vertical="top"/>
    </xf>
    <xf numFmtId="169" fontId="16" fillId="0" borderId="0" xfId="6" applyNumberFormat="1" applyFont="1" applyFill="1" applyAlignment="1">
      <alignment vertical="top"/>
    </xf>
    <xf numFmtId="169" fontId="20" fillId="0" borderId="0" xfId="6" applyNumberFormat="1" applyFont="1" applyFill="1"/>
    <xf numFmtId="37" fontId="19" fillId="0" borderId="0" xfId="0" applyNumberFormat="1" applyFont="1" applyFill="1" applyBorder="1" applyAlignment="1">
      <alignment vertical="center" wrapText="1"/>
    </xf>
    <xf numFmtId="37" fontId="20" fillId="0" borderId="0" xfId="0" applyNumberFormat="1" applyFont="1" applyFill="1" applyAlignment="1">
      <alignment vertical="center" wrapText="1"/>
    </xf>
    <xf numFmtId="37" fontId="19" fillId="0" borderId="0" xfId="0" applyNumberFormat="1" applyFont="1" applyFill="1" applyBorder="1" applyAlignment="1">
      <alignment vertical="center"/>
    </xf>
    <xf numFmtId="164" fontId="32" fillId="0" borderId="0" xfId="0" applyNumberFormat="1" applyFont="1" applyFill="1" applyBorder="1" applyAlignment="1">
      <alignment horizontal="right" vertical="center"/>
    </xf>
    <xf numFmtId="164" fontId="32" fillId="0" borderId="23" xfId="0" applyNumberFormat="1" applyFont="1" applyFill="1" applyBorder="1" applyAlignment="1">
      <alignment horizontal="center" vertical="center"/>
    </xf>
    <xf numFmtId="164" fontId="32" fillId="0" borderId="0" xfId="0" applyNumberFormat="1" applyFont="1" applyFill="1" applyBorder="1" applyAlignment="1">
      <alignment horizontal="center" vertical="center"/>
    </xf>
    <xf numFmtId="49" fontId="16" fillId="0" borderId="0" xfId="0" applyNumberFormat="1" applyFont="1" applyFill="1" applyAlignment="1">
      <alignment horizontal="right" vertical="center"/>
    </xf>
    <xf numFmtId="37" fontId="39" fillId="0" borderId="0" xfId="0" applyNumberFormat="1" applyFont="1" applyFill="1" applyBorder="1" applyAlignment="1">
      <alignment horizontal="centerContinuous" vertical="center"/>
    </xf>
    <xf numFmtId="37" fontId="39" fillId="0" borderId="2" xfId="0" applyNumberFormat="1" applyFont="1" applyFill="1" applyBorder="1" applyAlignment="1">
      <alignment horizontal="centerContinuous" vertical="center"/>
    </xf>
    <xf numFmtId="37" fontId="39" fillId="5" borderId="0" xfId="0" applyNumberFormat="1" applyFont="1" applyFill="1" applyBorder="1" applyAlignment="1">
      <alignment horizontal="center" vertical="center" wrapText="1"/>
    </xf>
    <xf numFmtId="164" fontId="20" fillId="0" borderId="24" xfId="0" applyNumberFormat="1" applyFont="1" applyFill="1" applyBorder="1" applyAlignment="1">
      <alignment horizontal="center" vertical="center"/>
    </xf>
    <xf numFmtId="37" fontId="39" fillId="0" borderId="23" xfId="0" applyNumberFormat="1" applyFont="1" applyFill="1" applyBorder="1" applyAlignment="1">
      <alignment horizontal="centerContinuous" vertical="center"/>
    </xf>
    <xf numFmtId="37" fontId="21" fillId="0" borderId="2" xfId="4" applyFont="1" applyFill="1" applyBorder="1" applyAlignment="1" applyProtection="1">
      <alignment horizontal="left"/>
    </xf>
    <xf numFmtId="37" fontId="43" fillId="0" borderId="2" xfId="4" applyNumberFormat="1" applyFont="1" applyFill="1" applyBorder="1" applyAlignment="1" applyProtection="1">
      <alignment horizontal="left"/>
    </xf>
    <xf numFmtId="167" fontId="40" fillId="0" borderId="2" xfId="4" applyNumberFormat="1" applyFont="1" applyFill="1" applyBorder="1" applyAlignment="1"/>
    <xf numFmtId="3" fontId="22" fillId="0" borderId="0" xfId="6" applyNumberFormat="1" applyFont="1" applyFill="1" applyBorder="1"/>
    <xf numFmtId="3" fontId="22" fillId="0" borderId="0" xfId="6" applyNumberFormat="1" applyFont="1" applyFill="1" applyBorder="1" applyAlignment="1">
      <alignment horizontal="right"/>
    </xf>
    <xf numFmtId="37" fontId="15" fillId="5" borderId="0" xfId="0" applyNumberFormat="1" applyFont="1" applyFill="1" applyAlignment="1">
      <alignment vertical="center"/>
    </xf>
    <xf numFmtId="37" fontId="15" fillId="0" borderId="0" xfId="0" applyNumberFormat="1" applyFont="1" applyFill="1" applyAlignment="1">
      <alignment vertical="center"/>
    </xf>
    <xf numFmtId="37" fontId="15" fillId="0" borderId="0" xfId="0" applyNumberFormat="1" applyFont="1" applyFill="1" applyBorder="1" applyAlignment="1">
      <alignment vertical="center"/>
    </xf>
    <xf numFmtId="37" fontId="16" fillId="0" borderId="0" xfId="0" applyNumberFormat="1" applyFont="1" applyAlignment="1">
      <alignment horizontal="centerContinuous"/>
    </xf>
    <xf numFmtId="37" fontId="16" fillId="0" borderId="8" xfId="0" applyNumberFormat="1" applyFont="1" applyBorder="1" applyAlignment="1">
      <alignment horizontal="center" vertical="center" wrapText="1"/>
    </xf>
    <xf numFmtId="37" fontId="16" fillId="0" borderId="0" xfId="0" applyNumberFormat="1" applyFont="1" applyFill="1" applyBorder="1" applyAlignment="1">
      <alignment horizontal="center" vertical="center" wrapText="1"/>
    </xf>
    <xf numFmtId="37" fontId="16" fillId="0" borderId="2" xfId="0" applyNumberFormat="1" applyFont="1" applyFill="1" applyBorder="1" applyAlignment="1">
      <alignment horizontal="center" vertical="center" wrapText="1"/>
    </xf>
    <xf numFmtId="37" fontId="16" fillId="0" borderId="20" xfId="0" applyNumberFormat="1" applyFont="1" applyFill="1" applyBorder="1" applyAlignment="1">
      <alignment horizontal="center" vertical="center" wrapText="1"/>
    </xf>
    <xf numFmtId="3" fontId="22" fillId="0" borderId="2" xfId="6" applyNumberFormat="1" applyFont="1" applyFill="1" applyBorder="1" applyAlignment="1">
      <alignment horizontal="right"/>
    </xf>
    <xf numFmtId="37" fontId="22" fillId="0" borderId="12" xfId="0" applyNumberFormat="1" applyFont="1" applyFill="1" applyBorder="1" applyAlignment="1"/>
    <xf numFmtId="3" fontId="22" fillId="0" borderId="0" xfId="0" applyNumberFormat="1" applyFont="1" applyFill="1" applyBorder="1" applyAlignment="1"/>
    <xf numFmtId="3" fontId="22" fillId="0" borderId="2" xfId="6" applyNumberFormat="1" applyFont="1" applyFill="1" applyBorder="1"/>
    <xf numFmtId="37" fontId="36" fillId="0" borderId="4" xfId="0" applyNumberFormat="1" applyFont="1" applyFill="1" applyBorder="1" applyAlignment="1">
      <alignment horizontal="left" vertical="center" wrapText="1"/>
    </xf>
    <xf numFmtId="37" fontId="21" fillId="0" borderId="2" xfId="4" applyNumberFormat="1" applyFont="1" applyFill="1" applyBorder="1" applyAlignment="1" applyProtection="1">
      <alignment horizontal="center"/>
    </xf>
    <xf numFmtId="37" fontId="18" fillId="0" borderId="0" xfId="0" applyNumberFormat="1" applyFont="1" applyFill="1" applyBorder="1" applyAlignment="1">
      <alignment horizontal="left" vertical="center"/>
    </xf>
    <xf numFmtId="37" fontId="48" fillId="0" borderId="0" xfId="0" applyNumberFormat="1" applyFont="1" applyAlignment="1"/>
    <xf numFmtId="37" fontId="49" fillId="0" borderId="0" xfId="0" applyNumberFormat="1" applyFont="1" applyAlignment="1"/>
    <xf numFmtId="9" fontId="20" fillId="0" borderId="0" xfId="6" applyFont="1" applyFill="1" applyBorder="1" applyAlignment="1">
      <alignment vertical="center"/>
    </xf>
    <xf numFmtId="39" fontId="20" fillId="0" borderId="0" xfId="0" applyNumberFormat="1" applyFont="1" applyFill="1" applyAlignment="1">
      <alignment vertical="center"/>
    </xf>
    <xf numFmtId="37" fontId="15" fillId="0" borderId="0" xfId="0" applyNumberFormat="1" applyFont="1" applyFill="1" applyBorder="1" applyAlignment="1">
      <alignment horizontal="center" vertical="center" wrapText="1"/>
    </xf>
    <xf numFmtId="37" fontId="22" fillId="0" borderId="2" xfId="4" applyFont="1" applyFill="1" applyBorder="1" applyAlignment="1" applyProtection="1">
      <alignment horizontal="left"/>
    </xf>
    <xf numFmtId="167" fontId="40" fillId="0" borderId="0" xfId="4" applyNumberFormat="1" applyFont="1" applyFill="1" applyBorder="1"/>
    <xf numFmtId="37" fontId="22" fillId="0" borderId="31" xfId="4" applyNumberFormat="1" applyFont="1" applyFill="1" applyBorder="1"/>
    <xf numFmtId="167" fontId="22" fillId="0" borderId="18" xfId="3" applyNumberFormat="1" applyFont="1" applyFill="1" applyBorder="1" applyAlignment="1">
      <alignment horizontal="left"/>
    </xf>
    <xf numFmtId="37" fontId="40" fillId="0" borderId="0" xfId="4" applyNumberFormat="1" applyFont="1" applyFill="1" applyAlignment="1">
      <alignment horizontal="left"/>
    </xf>
    <xf numFmtId="167" fontId="40" fillId="0" borderId="0" xfId="4" applyNumberFormat="1" applyFont="1" applyFill="1" applyAlignment="1">
      <alignment horizontal="left"/>
    </xf>
    <xf numFmtId="37" fontId="22" fillId="0" borderId="7" xfId="0" applyNumberFormat="1" applyFont="1" applyFill="1" applyBorder="1" applyAlignment="1"/>
    <xf numFmtId="37" fontId="22" fillId="0" borderId="33" xfId="0" applyNumberFormat="1" applyFont="1" applyFill="1" applyBorder="1" applyAlignment="1"/>
    <xf numFmtId="37" fontId="22" fillId="0" borderId="34" xfId="0" applyNumberFormat="1" applyFont="1" applyFill="1" applyBorder="1" applyAlignment="1"/>
    <xf numFmtId="37" fontId="15" fillId="0" borderId="18" xfId="0" applyNumberFormat="1" applyFont="1" applyFill="1" applyBorder="1" applyAlignment="1" applyProtection="1">
      <alignment horizontal="centerContinuous" vertical="center" wrapText="1"/>
    </xf>
    <xf numFmtId="37" fontId="15" fillId="0" borderId="9" xfId="0" applyNumberFormat="1" applyFont="1" applyFill="1" applyBorder="1" applyAlignment="1" applyProtection="1">
      <alignment horizontal="centerContinuous" vertical="center" wrapText="1"/>
    </xf>
    <xf numFmtId="37" fontId="15" fillId="0" borderId="19" xfId="0" applyNumberFormat="1" applyFont="1" applyFill="1" applyBorder="1" applyAlignment="1" applyProtection="1">
      <alignment horizontal="centerContinuous" vertical="center" wrapText="1"/>
    </xf>
    <xf numFmtId="37" fontId="15" fillId="0" borderId="19" xfId="0" applyNumberFormat="1" applyFont="1" applyFill="1" applyBorder="1" applyAlignment="1">
      <alignment horizontal="center" wrapText="1"/>
    </xf>
    <xf numFmtId="37" fontId="15" fillId="0" borderId="10" xfId="0" applyNumberFormat="1" applyFont="1" applyFill="1" applyBorder="1" applyAlignment="1" applyProtection="1">
      <alignment horizontal="centerContinuous" vertical="center" wrapText="1"/>
    </xf>
    <xf numFmtId="37" fontId="15" fillId="0" borderId="2" xfId="0" applyNumberFormat="1" applyFont="1" applyFill="1" applyBorder="1" applyAlignment="1" applyProtection="1">
      <alignment horizontal="centerContinuous" vertical="center" wrapText="1"/>
    </xf>
    <xf numFmtId="37" fontId="15" fillId="0" borderId="24" xfId="0" applyNumberFormat="1" applyFont="1" applyFill="1" applyBorder="1" applyAlignment="1" applyProtection="1">
      <alignment horizontal="centerContinuous" vertical="center" wrapText="1"/>
    </xf>
    <xf numFmtId="37" fontId="51" fillId="0" borderId="9" xfId="0" applyNumberFormat="1" applyFont="1" applyFill="1" applyBorder="1" applyAlignment="1" applyProtection="1">
      <alignment horizontal="centerContinuous" vertical="center" wrapText="1"/>
    </xf>
    <xf numFmtId="167" fontId="51" fillId="0" borderId="9" xfId="0" applyNumberFormat="1" applyFont="1" applyFill="1" applyBorder="1" applyAlignment="1" applyProtection="1">
      <alignment horizontal="center" wrapText="1"/>
    </xf>
    <xf numFmtId="37" fontId="51" fillId="0" borderId="9" xfId="0" applyNumberFormat="1" applyFont="1" applyFill="1" applyBorder="1" applyAlignment="1">
      <alignment horizontal="center" wrapText="1"/>
    </xf>
    <xf numFmtId="3" fontId="50" fillId="0" borderId="23" xfId="0" applyNumberFormat="1" applyFont="1" applyFill="1" applyBorder="1" applyAlignment="1">
      <alignment vertical="center"/>
    </xf>
    <xf numFmtId="3" fontId="20" fillId="0" borderId="23" xfId="0" applyNumberFormat="1" applyFont="1" applyFill="1" applyBorder="1" applyAlignment="1">
      <alignment vertical="center"/>
    </xf>
    <xf numFmtId="3" fontId="20" fillId="0" borderId="23" xfId="0" quotePrefix="1" applyNumberFormat="1" applyFont="1" applyFill="1" applyBorder="1" applyAlignment="1">
      <alignment vertical="center"/>
    </xf>
    <xf numFmtId="3" fontId="20" fillId="0" borderId="14" xfId="0" quotePrefix="1" applyNumberFormat="1" applyFont="1" applyFill="1" applyBorder="1" applyAlignment="1">
      <alignment vertical="center"/>
    </xf>
    <xf numFmtId="3" fontId="50" fillId="0" borderId="0" xfId="0" quotePrefix="1" applyNumberFormat="1" applyFont="1" applyFill="1" applyBorder="1" applyAlignment="1">
      <alignment vertical="center"/>
    </xf>
    <xf numFmtId="3" fontId="20" fillId="0" borderId="0" xfId="0" quotePrefix="1" applyNumberFormat="1" applyFont="1" applyFill="1" applyBorder="1" applyAlignment="1">
      <alignment vertical="center"/>
    </xf>
    <xf numFmtId="3" fontId="20" fillId="0" borderId="0" xfId="0" applyNumberFormat="1" applyFont="1" applyFill="1" applyBorder="1" applyAlignment="1">
      <alignment vertical="center"/>
    </xf>
    <xf numFmtId="3" fontId="20" fillId="0" borderId="14" xfId="0" applyNumberFormat="1" applyFont="1" applyFill="1" applyBorder="1" applyAlignment="1">
      <alignment vertical="center"/>
    </xf>
    <xf numFmtId="3" fontId="50" fillId="0" borderId="0" xfId="0" applyNumberFormat="1" applyFont="1" applyFill="1" applyBorder="1" applyAlignment="1">
      <alignment vertical="center"/>
    </xf>
    <xf numFmtId="3" fontId="20" fillId="0" borderId="10" xfId="0" applyNumberFormat="1" applyFont="1" applyFill="1" applyBorder="1" applyAlignment="1">
      <alignment vertical="center"/>
    </xf>
    <xf numFmtId="3" fontId="20" fillId="0" borderId="2" xfId="0" applyNumberFormat="1" applyFont="1" applyFill="1" applyBorder="1" applyAlignment="1">
      <alignment vertical="center"/>
    </xf>
    <xf numFmtId="3" fontId="20" fillId="0" borderId="22" xfId="0" applyNumberFormat="1" applyFont="1" applyFill="1" applyBorder="1" applyAlignment="1">
      <alignment vertical="center"/>
    </xf>
    <xf numFmtId="3" fontId="50" fillId="0" borderId="2" xfId="0" applyNumberFormat="1" applyFont="1" applyFill="1" applyBorder="1" applyAlignment="1">
      <alignment vertical="center"/>
    </xf>
    <xf numFmtId="37" fontId="20" fillId="0" borderId="23" xfId="0" applyNumberFormat="1" applyFont="1" applyFill="1" applyBorder="1" applyAlignment="1"/>
    <xf numFmtId="37" fontId="51" fillId="0" borderId="6" xfId="0" applyNumberFormat="1" applyFont="1" applyFill="1" applyBorder="1" applyAlignment="1" applyProtection="1">
      <alignment horizontal="centerContinuous" vertical="center" wrapText="1"/>
    </xf>
    <xf numFmtId="37" fontId="15" fillId="0" borderId="11" xfId="0" applyNumberFormat="1" applyFont="1" applyFill="1" applyBorder="1" applyAlignment="1" applyProtection="1">
      <alignment horizontal="centerContinuous" vertical="center" wrapText="1"/>
    </xf>
    <xf numFmtId="37" fontId="20" fillId="0" borderId="10" xfId="0" applyNumberFormat="1" applyFont="1" applyFill="1" applyBorder="1" applyAlignment="1"/>
    <xf numFmtId="37" fontId="20" fillId="0" borderId="24" xfId="0" applyNumberFormat="1" applyFont="1" applyFill="1" applyBorder="1" applyAlignment="1"/>
    <xf numFmtId="37" fontId="51" fillId="0" borderId="10" xfId="0" applyNumberFormat="1" applyFont="1" applyFill="1" applyBorder="1" applyAlignment="1" applyProtection="1">
      <alignment horizontal="centerContinuous" vertical="center" wrapText="1"/>
    </xf>
    <xf numFmtId="37" fontId="20" fillId="0" borderId="0" xfId="0" quotePrefix="1" applyNumberFormat="1" applyFont="1" applyFill="1" applyAlignment="1"/>
    <xf numFmtId="37" fontId="20" fillId="0" borderId="2" xfId="0" quotePrefix="1" applyNumberFormat="1" applyFont="1" applyFill="1" applyBorder="1" applyAlignment="1"/>
    <xf numFmtId="37" fontId="18" fillId="0" borderId="9" xfId="0" applyNumberFormat="1" applyFont="1" applyFill="1" applyBorder="1" applyAlignment="1">
      <alignment vertical="center"/>
    </xf>
    <xf numFmtId="3" fontId="50" fillId="0" borderId="17" xfId="0" applyNumberFormat="1" applyFont="1" applyFill="1" applyBorder="1" applyAlignment="1">
      <alignment vertical="center"/>
    </xf>
    <xf numFmtId="3" fontId="50" fillId="0" borderId="6" xfId="0" applyNumberFormat="1" applyFont="1" applyFill="1" applyBorder="1" applyAlignment="1">
      <alignment vertical="center"/>
    </xf>
    <xf numFmtId="37" fontId="50" fillId="0" borderId="24" xfId="0" applyNumberFormat="1" applyFont="1" applyFill="1" applyBorder="1" applyAlignment="1"/>
    <xf numFmtId="37" fontId="50" fillId="0" borderId="23" xfId="0" applyNumberFormat="1" applyFont="1" applyFill="1" applyBorder="1" applyAlignment="1"/>
    <xf numFmtId="37" fontId="50" fillId="0" borderId="10" xfId="0" applyNumberFormat="1" applyFont="1" applyFill="1" applyBorder="1" applyAlignment="1"/>
    <xf numFmtId="37" fontId="51" fillId="0" borderId="10" xfId="0" applyNumberFormat="1" applyFont="1" applyFill="1" applyBorder="1" applyAlignment="1" applyProtection="1">
      <alignment horizontal="centerContinuous" wrapText="1"/>
    </xf>
    <xf numFmtId="3" fontId="50" fillId="0" borderId="0" xfId="0" applyNumberFormat="1" applyFont="1" applyFill="1" applyBorder="1" applyAlignment="1">
      <alignment horizontal="right" vertical="center"/>
    </xf>
    <xf numFmtId="3" fontId="20" fillId="0" borderId="24" xfId="0" applyNumberFormat="1" applyFont="1" applyFill="1" applyBorder="1" applyAlignment="1">
      <alignment horizontal="right" vertical="center"/>
    </xf>
    <xf numFmtId="3" fontId="50" fillId="0" borderId="39" xfId="0" applyNumberFormat="1" applyFont="1" applyFill="1" applyBorder="1" applyAlignment="1">
      <alignment horizontal="right" vertical="center"/>
    </xf>
    <xf numFmtId="3" fontId="50" fillId="0" borderId="20" xfId="0" applyNumberFormat="1" applyFont="1" applyFill="1" applyBorder="1" applyAlignment="1">
      <alignment horizontal="right" vertical="center"/>
    </xf>
    <xf numFmtId="3" fontId="50" fillId="0" borderId="2" xfId="0" applyNumberFormat="1" applyFont="1" applyFill="1" applyBorder="1" applyAlignment="1">
      <alignment horizontal="right" vertical="center"/>
    </xf>
    <xf numFmtId="3" fontId="50" fillId="0" borderId="14" xfId="0" applyNumberFormat="1" applyFont="1" applyFill="1" applyBorder="1" applyAlignment="1">
      <alignment horizontal="right" vertical="center"/>
    </xf>
    <xf numFmtId="3" fontId="50" fillId="0" borderId="22" xfId="0" applyNumberFormat="1" applyFont="1" applyFill="1" applyBorder="1" applyAlignment="1">
      <alignment horizontal="right" vertical="center"/>
    </xf>
    <xf numFmtId="37" fontId="15" fillId="0" borderId="6" xfId="0" applyNumberFormat="1" applyFont="1" applyFill="1" applyBorder="1" applyAlignment="1" applyProtection="1">
      <alignment horizontal="centerContinuous" vertical="center" wrapText="1"/>
    </xf>
    <xf numFmtId="37" fontId="51" fillId="0" borderId="9" xfId="0" applyNumberFormat="1" applyFont="1" applyFill="1" applyBorder="1" applyAlignment="1" applyProtection="1">
      <alignment horizontal="centerContinuous" wrapText="1"/>
    </xf>
    <xf numFmtId="9" fontId="50" fillId="0" borderId="20" xfId="6" applyFont="1" applyFill="1" applyBorder="1" applyAlignment="1">
      <alignment horizontal="right" vertical="center"/>
    </xf>
    <xf numFmtId="9" fontId="50" fillId="0" borderId="0" xfId="6" applyFont="1" applyFill="1" applyBorder="1" applyAlignment="1">
      <alignment horizontal="right" vertical="center"/>
    </xf>
    <xf numFmtId="9" fontId="50" fillId="0" borderId="14" xfId="6" applyFont="1" applyFill="1" applyBorder="1" applyAlignment="1">
      <alignment horizontal="right" vertical="center"/>
    </xf>
    <xf numFmtId="9" fontId="50" fillId="0" borderId="2" xfId="6" applyFont="1" applyFill="1" applyBorder="1" applyAlignment="1">
      <alignment horizontal="right" vertical="center"/>
    </xf>
    <xf numFmtId="9" fontId="50" fillId="0" borderId="22" xfId="6" applyFont="1" applyFill="1" applyBorder="1" applyAlignment="1">
      <alignment horizontal="right" vertical="center"/>
    </xf>
    <xf numFmtId="37" fontId="20" fillId="0" borderId="9" xfId="0" applyNumberFormat="1" applyFont="1" applyFill="1" applyBorder="1" applyAlignment="1" applyProtection="1">
      <alignment horizontal="center" wrapText="1"/>
    </xf>
    <xf numFmtId="9" fontId="50" fillId="0" borderId="24" xfId="6" applyFont="1" applyFill="1" applyBorder="1" applyAlignment="1">
      <alignment horizontal="right" vertical="center"/>
    </xf>
    <xf numFmtId="9" fontId="50" fillId="0" borderId="39" xfId="6" applyFont="1" applyFill="1" applyBorder="1" applyAlignment="1">
      <alignment horizontal="right" vertical="center"/>
    </xf>
    <xf numFmtId="9" fontId="50" fillId="0" borderId="23" xfId="6" applyFont="1" applyFill="1" applyBorder="1" applyAlignment="1">
      <alignment horizontal="right" vertical="center"/>
    </xf>
    <xf numFmtId="9" fontId="50" fillId="0" borderId="10" xfId="6" applyFont="1" applyFill="1" applyBorder="1" applyAlignment="1">
      <alignment horizontal="right" vertical="center"/>
    </xf>
    <xf numFmtId="3" fontId="20" fillId="0" borderId="2" xfId="0" applyNumberFormat="1" applyFont="1" applyFill="1" applyBorder="1" applyAlignment="1">
      <alignment horizontal="right"/>
    </xf>
    <xf numFmtId="9" fontId="50" fillId="0" borderId="24" xfId="6" applyFont="1" applyFill="1" applyBorder="1" applyAlignment="1">
      <alignment horizontal="center" vertical="center"/>
    </xf>
    <xf numFmtId="9" fontId="50" fillId="0" borderId="23" xfId="6" applyFont="1" applyFill="1" applyBorder="1" applyAlignment="1">
      <alignment horizontal="center" vertical="center"/>
    </xf>
    <xf numFmtId="9" fontId="50" fillId="0" borderId="10" xfId="6" applyFont="1" applyFill="1" applyBorder="1" applyAlignment="1">
      <alignment horizontal="center" vertical="center"/>
    </xf>
    <xf numFmtId="169" fontId="50" fillId="0" borderId="0" xfId="6" applyNumberFormat="1" applyFont="1" applyFill="1" applyBorder="1" applyAlignment="1">
      <alignment horizontal="right" vertical="center"/>
    </xf>
    <xf numFmtId="37" fontId="18" fillId="0" borderId="2" xfId="0" applyNumberFormat="1" applyFont="1" applyFill="1" applyBorder="1" applyAlignment="1">
      <alignment horizontal="left" vertical="center"/>
    </xf>
    <xf numFmtId="3" fontId="52" fillId="4" borderId="0" xfId="0" applyNumberFormat="1" applyFont="1" applyFill="1" applyBorder="1" applyAlignment="1">
      <alignment horizontal="right"/>
    </xf>
    <xf numFmtId="37" fontId="52" fillId="4" borderId="0" xfId="0" applyNumberFormat="1" applyFont="1" applyFill="1" applyAlignment="1">
      <alignment horizontal="right"/>
    </xf>
    <xf numFmtId="3" fontId="52" fillId="4" borderId="0" xfId="0" applyNumberFormat="1" applyFont="1" applyFill="1" applyBorder="1" applyAlignment="1">
      <alignment horizontal="right" wrapText="1"/>
    </xf>
    <xf numFmtId="37" fontId="52" fillId="4" borderId="0" xfId="0" applyNumberFormat="1" applyFont="1" applyFill="1" applyAlignment="1">
      <alignment horizontal="right" vertical="center"/>
    </xf>
    <xf numFmtId="3" fontId="53" fillId="4" borderId="0" xfId="0" applyNumberFormat="1" applyFont="1" applyFill="1" applyBorder="1" applyAlignment="1">
      <alignment horizontal="right"/>
    </xf>
    <xf numFmtId="37" fontId="54" fillId="4" borderId="0" xfId="0" applyNumberFormat="1" applyFont="1" applyFill="1" applyAlignment="1">
      <alignment horizontal="right" vertical="center"/>
    </xf>
    <xf numFmtId="37" fontId="55" fillId="0" borderId="0" xfId="0" applyNumberFormat="1" applyFont="1" applyFill="1" applyAlignment="1">
      <alignment vertical="center"/>
    </xf>
    <xf numFmtId="49" fontId="56" fillId="0" borderId="0" xfId="0" applyNumberFormat="1" applyFont="1" applyFill="1" applyAlignment="1">
      <alignment horizontal="right" vertical="center"/>
    </xf>
    <xf numFmtId="3" fontId="52" fillId="0" borderId="0" xfId="0" applyNumberFormat="1" applyFont="1" applyFill="1" applyBorder="1" applyAlignment="1">
      <alignment horizontal="right"/>
    </xf>
    <xf numFmtId="37" fontId="52" fillId="0" borderId="0" xfId="0" applyNumberFormat="1" applyFont="1" applyFill="1" applyAlignment="1">
      <alignment horizontal="right" vertical="center"/>
    </xf>
    <xf numFmtId="3" fontId="54" fillId="4" borderId="0" xfId="0" applyNumberFormat="1" applyFont="1" applyFill="1" applyBorder="1" applyAlignment="1">
      <alignment horizontal="right"/>
    </xf>
    <xf numFmtId="3" fontId="53" fillId="4" borderId="0" xfId="0" applyNumberFormat="1" applyFont="1" applyFill="1" applyBorder="1" applyAlignment="1">
      <alignment horizontal="right" wrapText="1"/>
    </xf>
    <xf numFmtId="37" fontId="16" fillId="0" borderId="0" xfId="0" applyNumberFormat="1" applyFont="1" applyFill="1" applyAlignment="1">
      <alignment horizontal="centerContinuous" vertical="center"/>
    </xf>
    <xf numFmtId="37" fontId="15" fillId="0" borderId="0" xfId="0" applyNumberFormat="1" applyFont="1" applyFill="1" applyBorder="1" applyAlignment="1" applyProtection="1">
      <alignment horizontal="centerContinuous" vertical="center"/>
    </xf>
    <xf numFmtId="37" fontId="16" fillId="0" borderId="8" xfId="0" applyNumberFormat="1" applyFont="1" applyFill="1" applyBorder="1" applyAlignment="1">
      <alignment horizontal="center" wrapText="1"/>
    </xf>
    <xf numFmtId="37" fontId="16" fillId="0" borderId="20" xfId="0" applyNumberFormat="1" applyFont="1" applyFill="1" applyBorder="1" applyAlignment="1">
      <alignment horizontal="left" vertical="center"/>
    </xf>
    <xf numFmtId="37" fontId="16" fillId="0" borderId="0" xfId="0" applyNumberFormat="1" applyFont="1" applyFill="1" applyAlignment="1">
      <alignment horizontal="left"/>
    </xf>
    <xf numFmtId="9" fontId="31" fillId="0" borderId="0" xfId="6" quotePrefix="1" applyFont="1" applyFill="1" applyBorder="1" applyAlignment="1" applyProtection="1">
      <alignment horizontal="centerContinuous" vertical="center"/>
    </xf>
    <xf numFmtId="37" fontId="20" fillId="0" borderId="9" xfId="0" applyNumberFormat="1" applyFont="1" applyFill="1" applyBorder="1" applyAlignment="1"/>
    <xf numFmtId="9" fontId="31" fillId="0" borderId="0" xfId="6" quotePrefix="1" applyNumberFormat="1" applyFont="1" applyFill="1" applyBorder="1" applyAlignment="1">
      <alignment horizontal="centerContinuous" vertical="center"/>
    </xf>
    <xf numFmtId="169" fontId="20" fillId="0" borderId="27" xfId="6" applyNumberFormat="1" applyFont="1" applyFill="1" applyBorder="1" applyAlignment="1">
      <alignment horizontal="center" vertical="center"/>
    </xf>
    <xf numFmtId="169" fontId="20" fillId="0" borderId="41" xfId="6" applyNumberFormat="1" applyFont="1" applyFill="1" applyBorder="1" applyAlignment="1">
      <alignment horizontal="center" vertical="center"/>
    </xf>
    <xf numFmtId="169" fontId="20" fillId="0" borderId="10" xfId="6" applyNumberFormat="1" applyFont="1" applyFill="1" applyBorder="1" applyAlignment="1">
      <alignment horizontal="center" vertical="center"/>
    </xf>
    <xf numFmtId="169" fontId="20" fillId="0" borderId="23" xfId="6" applyNumberFormat="1" applyFont="1" applyFill="1" applyBorder="1" applyAlignment="1">
      <alignment horizontal="center" vertical="center"/>
    </xf>
    <xf numFmtId="169" fontId="20" fillId="0" borderId="0" xfId="6" applyNumberFormat="1" applyFont="1" applyFill="1" applyBorder="1" applyAlignment="1">
      <alignment horizontal="center" vertical="center"/>
    </xf>
    <xf numFmtId="9" fontId="58" fillId="0" borderId="0" xfId="6" quotePrefix="1" applyNumberFormat="1" applyFont="1" applyFill="1" applyBorder="1" applyAlignment="1">
      <alignment horizontal="center" vertical="center"/>
    </xf>
    <xf numFmtId="37" fontId="30" fillId="0" borderId="0" xfId="0" applyNumberFormat="1" applyFont="1" applyFill="1" applyAlignment="1">
      <alignment horizontal="right" vertical="center"/>
    </xf>
    <xf numFmtId="37" fontId="30" fillId="0" borderId="0" xfId="0" applyNumberFormat="1" applyFont="1" applyFill="1" applyAlignment="1">
      <alignment vertical="center"/>
    </xf>
    <xf numFmtId="9" fontId="29" fillId="0" borderId="0" xfId="6" applyNumberFormat="1" applyFont="1" applyFill="1" applyAlignment="1">
      <alignment vertical="center"/>
    </xf>
    <xf numFmtId="169" fontId="25" fillId="0" borderId="22" xfId="6" quotePrefix="1" applyNumberFormat="1" applyFont="1" applyFill="1" applyBorder="1" applyAlignment="1">
      <alignment horizontal="center" vertical="center"/>
    </xf>
    <xf numFmtId="169" fontId="58" fillId="0" borderId="14" xfId="6" quotePrefix="1" applyNumberFormat="1" applyFont="1" applyFill="1" applyBorder="1" applyAlignment="1">
      <alignment horizontal="center" vertical="center"/>
    </xf>
    <xf numFmtId="9" fontId="58" fillId="0" borderId="10" xfId="6" quotePrefix="1" applyNumberFormat="1" applyFont="1" applyFill="1" applyBorder="1" applyAlignment="1">
      <alignment horizontal="center" vertical="center"/>
    </xf>
    <xf numFmtId="169" fontId="29" fillId="0" borderId="11" xfId="6" quotePrefix="1" applyNumberFormat="1" applyFont="1" applyFill="1" applyBorder="1" applyAlignment="1">
      <alignment horizontal="center" vertical="center"/>
    </xf>
    <xf numFmtId="169" fontId="29" fillId="0" borderId="17" xfId="6" quotePrefix="1" applyNumberFormat="1" applyFont="1" applyFill="1" applyBorder="1" applyAlignment="1">
      <alignment horizontal="center" vertical="center"/>
    </xf>
    <xf numFmtId="169" fontId="58" fillId="0" borderId="6" xfId="6" quotePrefix="1" applyNumberFormat="1" applyFont="1" applyFill="1" applyBorder="1" applyAlignment="1">
      <alignment horizontal="center" vertical="center"/>
    </xf>
    <xf numFmtId="169" fontId="29" fillId="0" borderId="6" xfId="6" quotePrefix="1" applyNumberFormat="1" applyFont="1" applyFill="1" applyBorder="1" applyAlignment="1">
      <alignment horizontal="center" vertical="center"/>
    </xf>
    <xf numFmtId="169" fontId="25" fillId="0" borderId="6" xfId="6" quotePrefix="1" applyNumberFormat="1" applyFont="1" applyFill="1" applyBorder="1" applyAlignment="1">
      <alignment horizontal="center" vertical="center"/>
    </xf>
    <xf numFmtId="169" fontId="20" fillId="0" borderId="42" xfId="6" applyNumberFormat="1" applyFont="1" applyFill="1" applyBorder="1" applyAlignment="1">
      <alignment horizontal="center" vertical="center"/>
    </xf>
    <xf numFmtId="9" fontId="27" fillId="0" borderId="20" xfId="6" applyNumberFormat="1" applyFont="1" applyFill="1" applyBorder="1" applyAlignment="1">
      <alignment horizontal="center" vertical="center"/>
    </xf>
    <xf numFmtId="37" fontId="16" fillId="0" borderId="0" xfId="0" applyNumberFormat="1" applyFont="1" applyBorder="1" applyAlignment="1">
      <alignment vertical="center"/>
    </xf>
    <xf numFmtId="37" fontId="16" fillId="0" borderId="0" xfId="0" applyNumberFormat="1" applyFont="1" applyFill="1" applyBorder="1" applyAlignment="1"/>
    <xf numFmtId="169" fontId="50" fillId="0" borderId="2" xfId="6" applyNumberFormat="1" applyFont="1" applyFill="1" applyBorder="1" applyAlignment="1">
      <alignment horizontal="right" vertical="center"/>
    </xf>
    <xf numFmtId="37" fontId="40" fillId="0" borderId="8" xfId="4" applyNumberFormat="1" applyFont="1" applyFill="1" applyBorder="1" applyAlignment="1" applyProtection="1">
      <alignment horizontal="center" wrapText="1"/>
    </xf>
    <xf numFmtId="37" fontId="40" fillId="0" borderId="0" xfId="2" applyNumberFormat="1" applyFont="1" applyFill="1" applyBorder="1"/>
    <xf numFmtId="167" fontId="40" fillId="0" borderId="0" xfId="2" applyNumberFormat="1" applyFont="1" applyFill="1" applyBorder="1"/>
    <xf numFmtId="37" fontId="13" fillId="0" borderId="0" xfId="4" applyFont="1" applyFill="1" applyBorder="1" applyAlignment="1">
      <alignment horizontal="left"/>
    </xf>
    <xf numFmtId="167" fontId="13" fillId="0" borderId="0" xfId="4" applyNumberFormat="1" applyFont="1" applyFill="1" applyAlignment="1">
      <alignment horizontal="left"/>
    </xf>
    <xf numFmtId="37" fontId="13" fillId="0" borderId="0" xfId="4" applyNumberFormat="1" applyFont="1" applyFill="1" applyAlignment="1">
      <alignment horizontal="left"/>
    </xf>
    <xf numFmtId="37" fontId="13" fillId="0" borderId="0" xfId="4" applyNumberFormat="1" applyFont="1" applyFill="1" applyBorder="1" applyAlignment="1">
      <alignment horizontal="left"/>
    </xf>
    <xf numFmtId="37" fontId="13" fillId="0" borderId="0" xfId="4" applyFont="1" applyFill="1" applyBorder="1"/>
    <xf numFmtId="37" fontId="13" fillId="0" borderId="2" xfId="4" applyFont="1" applyFill="1" applyBorder="1" applyAlignment="1"/>
    <xf numFmtId="167" fontId="13" fillId="0" borderId="2" xfId="4" applyNumberFormat="1" applyFont="1" applyFill="1" applyBorder="1" applyAlignment="1"/>
    <xf numFmtId="37" fontId="13" fillId="0" borderId="2" xfId="4" applyNumberFormat="1" applyFont="1" applyFill="1" applyBorder="1" applyAlignment="1"/>
    <xf numFmtId="167" fontId="13" fillId="0" borderId="0" xfId="4" applyNumberFormat="1" applyFont="1" applyFill="1" applyBorder="1"/>
    <xf numFmtId="37" fontId="13" fillId="0" borderId="9" xfId="4" applyFont="1" applyFill="1" applyBorder="1" applyAlignment="1">
      <alignment horizontal="center" wrapText="1"/>
    </xf>
    <xf numFmtId="37" fontId="13" fillId="0" borderId="0" xfId="4" applyFont="1" applyFill="1" applyBorder="1" applyAlignment="1">
      <alignment horizontal="center" wrapText="1"/>
    </xf>
    <xf numFmtId="37" fontId="13" fillId="0" borderId="0" xfId="2" applyFont="1" applyFill="1" applyBorder="1"/>
    <xf numFmtId="37" fontId="13" fillId="0" borderId="0" xfId="2" applyFont="1" applyFill="1" applyBorder="1" applyAlignment="1">
      <alignment horizontal="left"/>
    </xf>
    <xf numFmtId="37" fontId="13" fillId="0" borderId="0" xfId="2" applyFont="1" applyFill="1" applyBorder="1" applyAlignment="1"/>
    <xf numFmtId="49" fontId="13" fillId="0" borderId="0" xfId="2" applyNumberFormat="1" applyFont="1" applyFill="1" applyBorder="1"/>
    <xf numFmtId="37" fontId="13" fillId="0" borderId="0" xfId="2" applyNumberFormat="1" applyFont="1" applyFill="1" applyBorder="1" applyAlignment="1">
      <alignment horizontal="center"/>
    </xf>
    <xf numFmtId="167" fontId="13" fillId="0" borderId="0" xfId="2" applyNumberFormat="1" applyFont="1" applyFill="1" applyBorder="1"/>
    <xf numFmtId="37" fontId="13" fillId="0" borderId="0" xfId="2" applyNumberFormat="1" applyFont="1" applyFill="1" applyBorder="1"/>
    <xf numFmtId="169" fontId="20" fillId="0" borderId="51" xfId="6" applyNumberFormat="1" applyFont="1" applyFill="1" applyBorder="1" applyAlignment="1">
      <alignment horizontal="center" vertical="center"/>
    </xf>
    <xf numFmtId="169" fontId="20" fillId="0" borderId="52" xfId="6" applyNumberFormat="1" applyFont="1" applyFill="1" applyBorder="1" applyAlignment="1">
      <alignment horizontal="center" vertical="center"/>
    </xf>
    <xf numFmtId="37" fontId="22" fillId="0" borderId="4" xfId="0" applyNumberFormat="1" applyFont="1" applyFill="1" applyBorder="1" applyAlignment="1">
      <alignment horizontal="left" vertical="center" wrapText="1"/>
    </xf>
    <xf numFmtId="37" fontId="13" fillId="0" borderId="0" xfId="0" applyNumberFormat="1" applyFont="1" applyFill="1" applyBorder="1" applyAlignment="1">
      <alignment horizontal="center" vertical="center" wrapText="1"/>
    </xf>
    <xf numFmtId="169" fontId="22" fillId="0" borderId="15" xfId="6" applyNumberFormat="1" applyFont="1" applyFill="1" applyBorder="1" applyAlignment="1">
      <alignment horizontal="center" vertical="center"/>
    </xf>
    <xf numFmtId="169" fontId="22" fillId="0" borderId="44" xfId="6" applyNumberFormat="1" applyFont="1" applyFill="1" applyBorder="1" applyAlignment="1">
      <alignment horizontal="center" vertical="center"/>
    </xf>
    <xf numFmtId="169" fontId="22" fillId="0" borderId="47" xfId="6" applyNumberFormat="1" applyFont="1" applyFill="1" applyBorder="1" applyAlignment="1">
      <alignment horizontal="center" vertical="center"/>
    </xf>
    <xf numFmtId="169" fontId="62" fillId="0" borderId="44" xfId="6" applyNumberFormat="1" applyFont="1" applyFill="1" applyBorder="1" applyAlignment="1">
      <alignment horizontal="center" vertical="center"/>
    </xf>
    <xf numFmtId="169" fontId="62" fillId="0" borderId="47" xfId="6" applyNumberFormat="1" applyFont="1" applyFill="1" applyBorder="1" applyAlignment="1">
      <alignment horizontal="center" vertical="center"/>
    </xf>
    <xf numFmtId="37" fontId="37" fillId="0" borderId="50" xfId="0" applyNumberFormat="1" applyFont="1" applyFill="1" applyBorder="1" applyAlignment="1" applyProtection="1">
      <alignment horizontal="right" vertical="center"/>
    </xf>
    <xf numFmtId="37" fontId="16" fillId="0" borderId="53" xfId="0" applyNumberFormat="1" applyFont="1" applyFill="1" applyBorder="1" applyAlignment="1">
      <alignment horizontal="left" vertical="center" wrapText="1"/>
    </xf>
    <xf numFmtId="37" fontId="30" fillId="0" borderId="54" xfId="0" applyNumberFormat="1" applyFont="1" applyFill="1" applyBorder="1" applyAlignment="1">
      <alignment horizontal="left" vertical="center" wrapText="1"/>
    </xf>
    <xf numFmtId="37" fontId="16" fillId="0" borderId="54" xfId="0" applyNumberFormat="1" applyFont="1" applyFill="1" applyBorder="1" applyAlignment="1">
      <alignment horizontal="left" vertical="center" wrapText="1"/>
    </xf>
    <xf numFmtId="37" fontId="16" fillId="0" borderId="55" xfId="0" applyNumberFormat="1" applyFont="1" applyFill="1" applyBorder="1" applyAlignment="1">
      <alignment horizontal="left" vertical="center" wrapText="1"/>
    </xf>
    <xf numFmtId="37" fontId="30" fillId="0" borderId="56" xfId="0" applyNumberFormat="1" applyFont="1" applyFill="1" applyBorder="1" applyAlignment="1">
      <alignment horizontal="left" vertical="center" wrapText="1"/>
    </xf>
    <xf numFmtId="37" fontId="16" fillId="0" borderId="57" xfId="0" applyNumberFormat="1" applyFont="1" applyFill="1" applyBorder="1" applyAlignment="1">
      <alignment horizontal="left" vertical="center" wrapText="1"/>
    </xf>
    <xf numFmtId="37" fontId="30" fillId="0" borderId="57" xfId="0" applyNumberFormat="1" applyFont="1" applyFill="1" applyBorder="1" applyAlignment="1">
      <alignment horizontal="left" vertical="center" wrapText="1"/>
    </xf>
    <xf numFmtId="37" fontId="16" fillId="0" borderId="58" xfId="0" applyNumberFormat="1" applyFont="1" applyFill="1" applyBorder="1" applyAlignment="1">
      <alignment horizontal="left" vertical="center" wrapText="1"/>
    </xf>
    <xf numFmtId="37" fontId="22" fillId="0" borderId="4" xfId="0" applyNumberFormat="1" applyFont="1" applyFill="1" applyBorder="1" applyAlignment="1">
      <alignment horizontal="right" vertical="center" wrapText="1"/>
    </xf>
    <xf numFmtId="37" fontId="13" fillId="0" borderId="0" xfId="0" applyNumberFormat="1" applyFont="1" applyFill="1" applyAlignment="1"/>
    <xf numFmtId="37" fontId="13" fillId="0" borderId="0" xfId="0" applyNumberFormat="1" applyFont="1" applyFill="1" applyBorder="1" applyAlignment="1"/>
    <xf numFmtId="37" fontId="22" fillId="0" borderId="61" xfId="0" applyNumberFormat="1" applyFont="1" applyFill="1" applyBorder="1" applyAlignment="1"/>
    <xf numFmtId="37" fontId="22" fillId="0" borderId="63" xfId="0" applyNumberFormat="1" applyFont="1" applyFill="1" applyBorder="1" applyAlignment="1"/>
    <xf numFmtId="37" fontId="22" fillId="0" borderId="59" xfId="0" applyNumberFormat="1" applyFont="1" applyFill="1" applyBorder="1" applyAlignment="1"/>
    <xf numFmtId="37" fontId="22" fillId="0" borderId="60" xfId="0" applyNumberFormat="1" applyFont="1" applyFill="1" applyBorder="1" applyAlignment="1"/>
    <xf numFmtId="37" fontId="22" fillId="0" borderId="64" xfId="0" applyNumberFormat="1" applyFont="1" applyFill="1" applyBorder="1" applyAlignment="1"/>
    <xf numFmtId="37" fontId="14" fillId="0" borderId="0" xfId="0" applyNumberFormat="1" applyFont="1" applyFill="1" applyAlignment="1"/>
    <xf numFmtId="37" fontId="64" fillId="0" borderId="0" xfId="9" quotePrefix="1" applyNumberFormat="1" applyFont="1" applyFill="1" applyBorder="1" applyAlignment="1" applyProtection="1">
      <alignment horizontal="left"/>
    </xf>
    <xf numFmtId="37" fontId="65" fillId="0" borderId="0" xfId="0" applyNumberFormat="1" applyFont="1" applyFill="1" applyBorder="1" applyAlignment="1">
      <alignment horizontal="centerContinuous" vertical="center"/>
    </xf>
    <xf numFmtId="37" fontId="13" fillId="0" borderId="7" xfId="0" applyNumberFormat="1" applyFont="1" applyFill="1" applyBorder="1" applyAlignment="1"/>
    <xf numFmtId="37" fontId="13" fillId="0" borderId="28" xfId="0" applyNumberFormat="1" applyFont="1" applyFill="1" applyBorder="1" applyAlignment="1"/>
    <xf numFmtId="37" fontId="13" fillId="0" borderId="12" xfId="0" applyNumberFormat="1" applyFont="1" applyFill="1" applyBorder="1" applyAlignment="1"/>
    <xf numFmtId="3" fontId="13" fillId="0" borderId="38" xfId="0" applyNumberFormat="1" applyFont="1" applyFill="1" applyBorder="1" applyAlignment="1"/>
    <xf numFmtId="3" fontId="13" fillId="0" borderId="65" xfId="0" applyNumberFormat="1" applyFont="1" applyFill="1" applyBorder="1" applyAlignment="1"/>
    <xf numFmtId="37" fontId="15" fillId="0" borderId="4" xfId="0" applyNumberFormat="1" applyFont="1" applyFill="1" applyBorder="1" applyAlignment="1">
      <alignment horizontal="left" vertical="top" wrapText="1"/>
    </xf>
    <xf numFmtId="37" fontId="15" fillId="0" borderId="6" xfId="0" applyNumberFormat="1" applyFont="1" applyFill="1" applyBorder="1" applyAlignment="1">
      <alignment horizontal="left" vertical="top" wrapText="1"/>
    </xf>
    <xf numFmtId="37" fontId="15" fillId="0" borderId="15" xfId="0" applyNumberFormat="1" applyFont="1" applyFill="1" applyBorder="1" applyAlignment="1">
      <alignment horizontal="left" vertical="top" wrapText="1"/>
    </xf>
    <xf numFmtId="37" fontId="15" fillId="0" borderId="3" xfId="0" applyNumberFormat="1" applyFont="1" applyFill="1" applyBorder="1" applyAlignment="1">
      <alignment horizontal="left" vertical="top" wrapText="1"/>
    </xf>
    <xf numFmtId="37" fontId="15" fillId="0" borderId="5" xfId="0" applyNumberFormat="1" applyFont="1" applyFill="1" applyBorder="1" applyAlignment="1">
      <alignment horizontal="left" vertical="top" wrapText="1"/>
    </xf>
    <xf numFmtId="37" fontId="13" fillId="0" borderId="0" xfId="0" applyNumberFormat="1" applyFont="1" applyFill="1" applyAlignment="1">
      <alignment horizontal="right" vertical="top"/>
    </xf>
    <xf numFmtId="37" fontId="13" fillId="0" borderId="14" xfId="0" applyNumberFormat="1" applyFont="1" applyFill="1" applyBorder="1" applyAlignment="1">
      <alignment horizontal="right" vertical="top"/>
    </xf>
    <xf numFmtId="9" fontId="13" fillId="0" borderId="22" xfId="6" applyFont="1" applyFill="1" applyBorder="1" applyAlignment="1">
      <alignment horizontal="right" vertical="top"/>
    </xf>
    <xf numFmtId="37" fontId="13" fillId="0" borderId="0" xfId="0" applyNumberFormat="1" applyFont="1" applyFill="1" applyAlignment="1">
      <alignment vertical="top"/>
    </xf>
    <xf numFmtId="37" fontId="16" fillId="0" borderId="6" xfId="0" applyNumberFormat="1" applyFont="1" applyFill="1" applyBorder="1" applyAlignment="1">
      <alignment horizontal="center" vertical="center" wrapText="1"/>
    </xf>
    <xf numFmtId="37" fontId="13" fillId="0" borderId="0" xfId="0" applyNumberFormat="1" applyFont="1" applyFill="1" applyBorder="1" applyAlignment="1">
      <alignment horizontal="right" vertical="center" wrapText="1"/>
    </xf>
    <xf numFmtId="37" fontId="15" fillId="0" borderId="4" xfId="0" applyNumberFormat="1" applyFont="1" applyFill="1" applyBorder="1" applyAlignment="1">
      <alignment horizontal="right" vertical="top" wrapText="1"/>
    </xf>
    <xf numFmtId="37" fontId="13" fillId="0" borderId="29" xfId="0" applyNumberFormat="1" applyFont="1" applyFill="1" applyBorder="1" applyAlignment="1"/>
    <xf numFmtId="37" fontId="13" fillId="0" borderId="0" xfId="0" applyNumberFormat="1" applyFont="1" applyFill="1" applyBorder="1" applyAlignment="1">
      <alignment vertical="center"/>
    </xf>
    <xf numFmtId="37" fontId="13" fillId="0" borderId="2" xfId="0" applyNumberFormat="1" applyFont="1" applyFill="1" applyBorder="1" applyAlignment="1">
      <alignment vertical="center"/>
    </xf>
    <xf numFmtId="9" fontId="0" fillId="0" borderId="0" xfId="6" applyFont="1" applyFill="1" applyAlignment="1"/>
    <xf numFmtId="169" fontId="20" fillId="0" borderId="4" xfId="6" applyNumberFormat="1" applyFont="1" applyFill="1" applyBorder="1" applyAlignment="1">
      <alignment horizontal="center" vertical="center"/>
    </xf>
    <xf numFmtId="169" fontId="20" fillId="0" borderId="17" xfId="6" applyNumberFormat="1" applyFont="1" applyFill="1" applyBorder="1" applyAlignment="1">
      <alignment horizontal="center" vertical="center"/>
    </xf>
    <xf numFmtId="169" fontId="20" fillId="0" borderId="15" xfId="6" applyNumberFormat="1" applyFont="1" applyFill="1" applyBorder="1" applyAlignment="1">
      <alignment horizontal="center" vertical="center"/>
    </xf>
    <xf numFmtId="169" fontId="20" fillId="0" borderId="50" xfId="6" applyNumberFormat="1" applyFont="1" applyFill="1" applyBorder="1" applyAlignment="1">
      <alignment horizontal="center" vertical="center"/>
    </xf>
    <xf numFmtId="169" fontId="20" fillId="0" borderId="6" xfId="6" applyNumberFormat="1" applyFont="1" applyFill="1" applyBorder="1" applyAlignment="1">
      <alignment horizontal="center" vertical="center"/>
    </xf>
    <xf numFmtId="9" fontId="13" fillId="0" borderId="41" xfId="6" applyNumberFormat="1" applyFont="1" applyFill="1" applyBorder="1" applyAlignment="1">
      <alignment horizontal="center" vertical="center"/>
    </xf>
    <xf numFmtId="9" fontId="13" fillId="0" borderId="16" xfId="6" applyNumberFormat="1" applyFont="1" applyFill="1" applyBorder="1" applyAlignment="1">
      <alignment horizontal="center" vertical="center"/>
    </xf>
    <xf numFmtId="9" fontId="13" fillId="0" borderId="42" xfId="6" applyNumberFormat="1" applyFont="1" applyFill="1" applyBorder="1" applyAlignment="1">
      <alignment horizontal="center" vertical="center"/>
    </xf>
    <xf numFmtId="9" fontId="13" fillId="0" borderId="27" xfId="6" applyNumberFormat="1" applyFont="1" applyFill="1" applyBorder="1" applyAlignment="1">
      <alignment horizontal="center" vertical="center"/>
    </xf>
    <xf numFmtId="169" fontId="13" fillId="0" borderId="43" xfId="6" applyNumberFormat="1" applyFont="1" applyFill="1" applyBorder="1" applyAlignment="1">
      <alignment horizontal="center" vertical="center"/>
    </xf>
    <xf numFmtId="169" fontId="62" fillId="0" borderId="43" xfId="6" applyNumberFormat="1" applyFont="1" applyFill="1" applyBorder="1" applyAlignment="1">
      <alignment horizontal="center" vertical="center"/>
    </xf>
    <xf numFmtId="169" fontId="13" fillId="0" borderId="45" xfId="6" applyNumberFormat="1" applyFont="1" applyFill="1" applyBorder="1" applyAlignment="1">
      <alignment horizontal="center" vertical="center"/>
    </xf>
    <xf numFmtId="169" fontId="13" fillId="0" borderId="48" xfId="6" applyNumberFormat="1" applyFont="1" applyFill="1" applyBorder="1" applyAlignment="1">
      <alignment horizontal="center" vertical="center"/>
    </xf>
    <xf numFmtId="169" fontId="22" fillId="0" borderId="46" xfId="6" applyNumberFormat="1" applyFont="1" applyFill="1" applyBorder="1" applyAlignment="1">
      <alignment horizontal="center" vertical="center"/>
    </xf>
    <xf numFmtId="169" fontId="62" fillId="0" borderId="42" xfId="6" applyNumberFormat="1" applyFont="1" applyFill="1" applyBorder="1" applyAlignment="1">
      <alignment horizontal="center" vertical="center"/>
    </xf>
    <xf numFmtId="169" fontId="22" fillId="0" borderId="43" xfId="6" applyNumberFormat="1" applyFont="1" applyFill="1" applyBorder="1" applyAlignment="1">
      <alignment horizontal="center" vertical="center"/>
    </xf>
    <xf numFmtId="169" fontId="13" fillId="0" borderId="51" xfId="6" applyNumberFormat="1" applyFont="1" applyFill="1" applyBorder="1" applyAlignment="1">
      <alignment horizontal="center" vertical="center"/>
    </xf>
    <xf numFmtId="169" fontId="22" fillId="0" borderId="42" xfId="6" applyNumberFormat="1" applyFont="1" applyFill="1" applyBorder="1" applyAlignment="1">
      <alignment horizontal="center" vertical="center"/>
    </xf>
    <xf numFmtId="9" fontId="13" fillId="0" borderId="4" xfId="6" applyNumberFormat="1" applyFont="1" applyFill="1" applyBorder="1" applyAlignment="1">
      <alignment horizontal="center" vertical="center"/>
    </xf>
    <xf numFmtId="9" fontId="20" fillId="0" borderId="4" xfId="6" applyNumberFormat="1" applyFont="1" applyFill="1" applyBorder="1" applyAlignment="1">
      <alignment horizontal="center" vertical="center"/>
    </xf>
    <xf numFmtId="9" fontId="20" fillId="0" borderId="42" xfId="6" applyNumberFormat="1" applyFont="1" applyFill="1" applyBorder="1" applyAlignment="1">
      <alignment horizontal="center" vertical="center"/>
    </xf>
    <xf numFmtId="9" fontId="20" fillId="0" borderId="27" xfId="6" applyNumberFormat="1" applyFont="1" applyFill="1" applyBorder="1" applyAlignment="1">
      <alignment horizontal="center" vertical="center"/>
    </xf>
    <xf numFmtId="37" fontId="22" fillId="0" borderId="9" xfId="4" applyNumberFormat="1" applyFont="1" applyFill="1" applyBorder="1"/>
    <xf numFmtId="37" fontId="22" fillId="0" borderId="9" xfId="4" applyNumberFormat="1" applyFont="1" applyFill="1" applyBorder="1" applyAlignment="1"/>
    <xf numFmtId="37" fontId="22" fillId="0" borderId="0" xfId="0" applyNumberFormat="1" applyFont="1" applyFill="1" applyAlignment="1"/>
    <xf numFmtId="37" fontId="22" fillId="0" borderId="0" xfId="0" applyNumberFormat="1" applyFont="1" applyFill="1" applyBorder="1" applyAlignment="1"/>
    <xf numFmtId="37" fontId="22" fillId="0" borderId="21" xfId="0" applyNumberFormat="1" applyFont="1" applyFill="1" applyBorder="1" applyAlignment="1">
      <alignment vertical="top"/>
    </xf>
    <xf numFmtId="37" fontId="13" fillId="0" borderId="2" xfId="0" applyNumberFormat="1" applyFont="1" applyFill="1" applyBorder="1" applyAlignment="1">
      <alignment vertical="top"/>
    </xf>
    <xf numFmtId="37" fontId="13" fillId="0" borderId="34" xfId="0" applyNumberFormat="1" applyFont="1" applyFill="1" applyBorder="1" applyAlignment="1">
      <alignment vertical="center"/>
    </xf>
    <xf numFmtId="37" fontId="13" fillId="0" borderId="11" xfId="0" applyNumberFormat="1" applyFont="1" applyFill="1" applyBorder="1" applyAlignment="1">
      <alignment vertical="center"/>
    </xf>
    <xf numFmtId="37" fontId="13" fillId="0" borderId="35" xfId="0" applyNumberFormat="1" applyFont="1" applyFill="1" applyBorder="1" applyAlignment="1">
      <alignment vertical="top"/>
    </xf>
    <xf numFmtId="37" fontId="13" fillId="0" borderId="21" xfId="0" applyNumberFormat="1" applyFont="1" applyFill="1" applyBorder="1" applyAlignment="1">
      <alignment horizontal="right" vertical="top"/>
    </xf>
    <xf numFmtId="37" fontId="13" fillId="0" borderId="35" xfId="0" applyNumberFormat="1" applyFont="1" applyFill="1" applyBorder="1" applyAlignment="1">
      <alignment horizontal="right" vertical="top"/>
    </xf>
    <xf numFmtId="37" fontId="13" fillId="0" borderId="36" xfId="0" applyNumberFormat="1" applyFont="1" applyFill="1" applyBorder="1" applyAlignment="1">
      <alignment horizontal="right" vertical="top"/>
    </xf>
    <xf numFmtId="37" fontId="22" fillId="0" borderId="2" xfId="0" applyNumberFormat="1" applyFont="1" applyFill="1" applyBorder="1" applyAlignment="1"/>
    <xf numFmtId="37" fontId="22" fillId="0" borderId="62" xfId="0" applyNumberFormat="1" applyFont="1" applyFill="1" applyBorder="1" applyAlignment="1"/>
    <xf numFmtId="9" fontId="22" fillId="0" borderId="0" xfId="0" applyNumberFormat="1" applyFont="1" applyFill="1" applyBorder="1" applyAlignment="1"/>
    <xf numFmtId="37" fontId="13" fillId="0" borderId="20" xfId="0" applyNumberFormat="1" applyFont="1" applyFill="1" applyBorder="1" applyAlignment="1">
      <alignment vertical="center"/>
    </xf>
    <xf numFmtId="9" fontId="22" fillId="0" borderId="2" xfId="0" applyNumberFormat="1" applyFont="1" applyFill="1" applyBorder="1" applyAlignment="1"/>
    <xf numFmtId="37" fontId="13" fillId="0" borderId="66" xfId="0" applyNumberFormat="1" applyFont="1" applyFill="1" applyBorder="1" applyAlignment="1">
      <alignment vertical="center"/>
    </xf>
    <xf numFmtId="37" fontId="13" fillId="0" borderId="67" xfId="0" applyNumberFormat="1" applyFont="1" applyFill="1" applyBorder="1" applyAlignment="1">
      <alignment vertical="center"/>
    </xf>
    <xf numFmtId="37" fontId="13" fillId="0" borderId="71" xfId="0" applyNumberFormat="1" applyFont="1" applyFill="1" applyBorder="1" applyAlignment="1">
      <alignment vertical="center"/>
    </xf>
    <xf numFmtId="37" fontId="13" fillId="0" borderId="70" xfId="0" applyNumberFormat="1" applyFont="1" applyFill="1" applyBorder="1" applyAlignment="1">
      <alignment horizontal="right" vertical="top"/>
    </xf>
    <xf numFmtId="37" fontId="13" fillId="0" borderId="0" xfId="0" applyNumberFormat="1" applyFont="1" applyFill="1" applyBorder="1" applyAlignment="1">
      <alignment horizontal="right"/>
    </xf>
    <xf numFmtId="39" fontId="13" fillId="0" borderId="0" xfId="0" applyNumberFormat="1" applyFont="1" applyFill="1" applyBorder="1" applyAlignment="1">
      <alignment vertical="center"/>
    </xf>
    <xf numFmtId="37" fontId="22" fillId="0" borderId="72" xfId="0" applyNumberFormat="1" applyFont="1" applyFill="1" applyBorder="1" applyAlignment="1">
      <alignment vertical="top"/>
    </xf>
    <xf numFmtId="37" fontId="13" fillId="0" borderId="73" xfId="0" applyNumberFormat="1" applyFont="1" applyFill="1" applyBorder="1" applyAlignment="1">
      <alignment horizontal="right" vertical="top"/>
    </xf>
    <xf numFmtId="37" fontId="22" fillId="0" borderId="68" xfId="0" applyNumberFormat="1" applyFont="1" applyFill="1" applyBorder="1" applyAlignment="1">
      <alignment vertical="top"/>
    </xf>
    <xf numFmtId="37" fontId="13" fillId="0" borderId="68" xfId="0" applyNumberFormat="1" applyFont="1" applyFill="1" applyBorder="1" applyAlignment="1">
      <alignment horizontal="right" vertical="top"/>
    </xf>
    <xf numFmtId="37" fontId="13" fillId="0" borderId="73" xfId="0" applyNumberFormat="1" applyFont="1" applyFill="1" applyBorder="1" applyAlignment="1">
      <alignment vertical="top"/>
    </xf>
    <xf numFmtId="37" fontId="44" fillId="0" borderId="68" xfId="0" applyNumberFormat="1" applyFont="1" applyFill="1" applyBorder="1" applyAlignment="1">
      <alignment horizontal="right" vertical="top"/>
    </xf>
    <xf numFmtId="37" fontId="13" fillId="0" borderId="74" xfId="0" applyNumberFormat="1" applyFont="1" applyFill="1" applyBorder="1" applyAlignment="1">
      <alignment horizontal="right" vertical="top"/>
    </xf>
    <xf numFmtId="37" fontId="67" fillId="0" borderId="0" xfId="0" applyNumberFormat="1" applyFont="1" applyFill="1" applyAlignment="1"/>
    <xf numFmtId="37" fontId="67" fillId="0" borderId="7" xfId="0" applyNumberFormat="1" applyFont="1" applyFill="1" applyBorder="1" applyAlignment="1"/>
    <xf numFmtId="37" fontId="67" fillId="0" borderId="12" xfId="0" applyNumberFormat="1" applyFont="1" applyFill="1" applyBorder="1" applyAlignment="1"/>
    <xf numFmtId="37" fontId="67" fillId="0" borderId="7" xfId="0" applyNumberFormat="1" applyFont="1" applyFill="1" applyBorder="1" applyAlignment="1">
      <alignment horizontal="right"/>
    </xf>
    <xf numFmtId="37" fontId="67" fillId="0" borderId="21" xfId="0" applyNumberFormat="1" applyFont="1" applyFill="1" applyBorder="1" applyAlignment="1">
      <alignment horizontal="right"/>
    </xf>
    <xf numFmtId="3" fontId="22" fillId="0" borderId="71" xfId="0" applyNumberFormat="1" applyFont="1" applyFill="1" applyBorder="1" applyAlignment="1"/>
    <xf numFmtId="166" fontId="20" fillId="0" borderId="0" xfId="1" applyNumberFormat="1" applyFont="1" applyFill="1" applyBorder="1" applyAlignment="1">
      <alignment vertical="center"/>
    </xf>
    <xf numFmtId="166" fontId="20" fillId="0" borderId="23" xfId="1" applyNumberFormat="1" applyFont="1" applyFill="1" applyBorder="1" applyAlignment="1">
      <alignment vertical="center"/>
    </xf>
    <xf numFmtId="166" fontId="50" fillId="0" borderId="23" xfId="1" applyNumberFormat="1" applyFont="1" applyFill="1" applyBorder="1" applyAlignment="1">
      <alignment vertical="center"/>
    </xf>
    <xf numFmtId="166" fontId="0" fillId="0" borderId="0" xfId="1" applyNumberFormat="1" applyFont="1" applyFill="1" applyAlignment="1"/>
    <xf numFmtId="166" fontId="20" fillId="0" borderId="0" xfId="1" applyNumberFormat="1" applyFont="1" applyFill="1" applyAlignment="1"/>
    <xf numFmtId="37" fontId="20" fillId="0" borderId="23" xfId="0" applyNumberFormat="1" applyFont="1" applyFill="1" applyBorder="1" applyAlignment="1">
      <alignment vertical="center"/>
    </xf>
    <xf numFmtId="3" fontId="52" fillId="4" borderId="2" xfId="0" applyNumberFormat="1" applyFont="1" applyFill="1" applyBorder="1" applyAlignment="1">
      <alignment horizontal="right" wrapText="1"/>
    </xf>
    <xf numFmtId="37" fontId="66" fillId="0" borderId="9" xfId="0" applyNumberFormat="1" applyFont="1" applyFill="1" applyBorder="1" applyAlignment="1">
      <alignment vertical="center"/>
    </xf>
    <xf numFmtId="37" fontId="66" fillId="0" borderId="19" xfId="0" applyNumberFormat="1" applyFont="1" applyFill="1" applyBorder="1" applyAlignment="1">
      <alignment vertical="center"/>
    </xf>
    <xf numFmtId="37" fontId="66" fillId="0" borderId="10" xfId="0" applyNumberFormat="1" applyFont="1" applyFill="1" applyBorder="1" applyAlignment="1">
      <alignment horizontal="right"/>
    </xf>
    <xf numFmtId="37" fontId="66" fillId="0" borderId="2" xfId="0" applyNumberFormat="1" applyFont="1" applyFill="1" applyBorder="1" applyAlignment="1">
      <alignment horizontal="right"/>
    </xf>
    <xf numFmtId="37" fontId="66" fillId="0" borderId="23" xfId="0" applyNumberFormat="1" applyFont="1" applyFill="1" applyBorder="1" applyAlignment="1">
      <alignment vertical="center"/>
    </xf>
    <xf numFmtId="37" fontId="66" fillId="0" borderId="0" xfId="0" applyNumberFormat="1" applyFont="1" applyFill="1" applyBorder="1" applyAlignment="1">
      <alignment vertical="center"/>
    </xf>
    <xf numFmtId="37" fontId="66" fillId="0" borderId="0" xfId="0" applyNumberFormat="1" applyFont="1" applyFill="1" applyAlignment="1">
      <alignment vertical="center"/>
    </xf>
    <xf numFmtId="164" fontId="66" fillId="0" borderId="24" xfId="0" applyNumberFormat="1" applyFont="1" applyFill="1" applyBorder="1" applyAlignment="1">
      <alignment horizontal="right" vertical="center"/>
    </xf>
    <xf numFmtId="164" fontId="66" fillId="0" borderId="0" xfId="0" applyNumberFormat="1" applyFont="1" applyFill="1" applyBorder="1" applyAlignment="1">
      <alignment horizontal="right" vertical="center"/>
    </xf>
    <xf numFmtId="164" fontId="66" fillId="0" borderId="23" xfId="0" applyNumberFormat="1" applyFont="1" applyFill="1" applyBorder="1" applyAlignment="1">
      <alignment horizontal="right" vertical="center"/>
    </xf>
    <xf numFmtId="37" fontId="22" fillId="0" borderId="0" xfId="0" applyNumberFormat="1" applyFont="1" applyFill="1" applyBorder="1" applyAlignment="1">
      <alignment vertical="center"/>
    </xf>
    <xf numFmtId="169" fontId="66" fillId="0" borderId="23" xfId="6" applyNumberFormat="1" applyFont="1" applyFill="1" applyBorder="1" applyAlignment="1">
      <alignment horizontal="right" vertical="center"/>
    </xf>
    <xf numFmtId="169" fontId="66" fillId="0" borderId="24" xfId="6" applyNumberFormat="1" applyFont="1" applyFill="1" applyBorder="1" applyAlignment="1">
      <alignment horizontal="right" vertical="center"/>
    </xf>
    <xf numFmtId="169" fontId="66" fillId="0" borderId="0" xfId="6" applyNumberFormat="1" applyFont="1" applyFill="1" applyAlignment="1">
      <alignment horizontal="right" vertical="center"/>
    </xf>
    <xf numFmtId="169" fontId="20" fillId="0" borderId="0" xfId="6" applyNumberFormat="1" applyFont="1" applyFill="1" applyAlignment="1">
      <alignment horizontal="right" vertical="center"/>
    </xf>
    <xf numFmtId="169" fontId="20" fillId="0" borderId="23" xfId="6" applyNumberFormat="1" applyFont="1" applyFill="1" applyBorder="1" applyAlignment="1">
      <alignment horizontal="right" vertical="center"/>
    </xf>
    <xf numFmtId="39" fontId="13" fillId="0" borderId="0" xfId="0" applyNumberFormat="1" applyFont="1" applyFill="1" applyAlignment="1">
      <alignment vertical="center"/>
    </xf>
    <xf numFmtId="37" fontId="13" fillId="0" borderId="0" xfId="0" applyNumberFormat="1" applyFont="1" applyFill="1" applyAlignment="1">
      <alignment vertical="center"/>
    </xf>
    <xf numFmtId="37" fontId="18" fillId="8" borderId="0" xfId="0" applyNumberFormat="1" applyFont="1" applyFill="1" applyBorder="1" applyAlignment="1">
      <alignment vertical="center"/>
    </xf>
    <xf numFmtId="37" fontId="16" fillId="0" borderId="0" xfId="0" applyNumberFormat="1" applyFont="1" applyFill="1" applyBorder="1" applyAlignment="1">
      <alignment vertical="top"/>
    </xf>
    <xf numFmtId="37" fontId="19" fillId="0" borderId="0" xfId="0" applyNumberFormat="1" applyFont="1" applyFill="1" applyBorder="1" applyAlignment="1">
      <alignment vertical="center" wrapText="1"/>
    </xf>
    <xf numFmtId="37" fontId="20" fillId="0" borderId="0" xfId="0" applyNumberFormat="1" applyFont="1" applyBorder="1" applyAlignment="1">
      <alignment vertical="center" wrapText="1"/>
    </xf>
    <xf numFmtId="37" fontId="15" fillId="0" borderId="6" xfId="0" applyNumberFormat="1" applyFont="1" applyFill="1" applyBorder="1" applyAlignment="1">
      <alignment horizontal="center" wrapText="1"/>
    </xf>
    <xf numFmtId="37" fontId="18" fillId="0" borderId="0" xfId="0" applyNumberFormat="1" applyFont="1" applyFill="1" applyBorder="1" applyAlignment="1">
      <alignment horizontal="center" vertical="center"/>
    </xf>
    <xf numFmtId="37" fontId="15" fillId="0" borderId="6" xfId="0" applyNumberFormat="1" applyFont="1" applyFill="1" applyBorder="1" applyAlignment="1" applyProtection="1">
      <alignment horizontal="center"/>
    </xf>
    <xf numFmtId="37" fontId="16" fillId="0" borderId="0" xfId="0" applyNumberFormat="1" applyFont="1" applyFill="1" applyBorder="1" applyAlignment="1">
      <alignment vertical="center" wrapText="1"/>
    </xf>
    <xf numFmtId="9" fontId="66" fillId="0" borderId="40" xfId="6" applyFont="1" applyFill="1" applyBorder="1"/>
    <xf numFmtId="37" fontId="66" fillId="0" borderId="0" xfId="0" applyNumberFormat="1" applyFont="1" applyFill="1" applyAlignment="1">
      <alignment horizontal="right"/>
    </xf>
    <xf numFmtId="9" fontId="66" fillId="0" borderId="0" xfId="6" applyFont="1" applyFill="1"/>
    <xf numFmtId="168" fontId="66" fillId="0" borderId="0" xfId="0" applyNumberFormat="1" applyFont="1" applyFill="1" applyBorder="1" applyAlignment="1">
      <alignment horizontal="right" vertical="center"/>
    </xf>
    <xf numFmtId="37" fontId="13" fillId="0" borderId="40" xfId="0" applyNumberFormat="1" applyFont="1" applyFill="1" applyBorder="1" applyAlignment="1"/>
    <xf numFmtId="37" fontId="66" fillId="0" borderId="0" xfId="9" quotePrefix="1" applyNumberFormat="1" applyFont="1" applyFill="1" applyBorder="1" applyAlignment="1" applyProtection="1">
      <alignment horizontal="left"/>
    </xf>
    <xf numFmtId="37" fontId="68" fillId="0" borderId="0" xfId="0" applyNumberFormat="1" applyFont="1" applyFill="1" applyAlignment="1"/>
    <xf numFmtId="167" fontId="40" fillId="0" borderId="20" xfId="4" applyNumberFormat="1" applyFont="1" applyFill="1" applyBorder="1"/>
    <xf numFmtId="37" fontId="61" fillId="0" borderId="20" xfId="4" applyNumberFormat="1" applyFont="1" applyFill="1" applyBorder="1" applyAlignment="1">
      <alignment horizontal="center" wrapText="1"/>
    </xf>
    <xf numFmtId="37" fontId="18" fillId="0" borderId="0" xfId="0" applyNumberFormat="1" applyFont="1" applyFill="1" applyBorder="1" applyAlignment="1" applyProtection="1">
      <alignment horizontal="center" vertical="top"/>
    </xf>
    <xf numFmtId="37" fontId="18" fillId="0" borderId="0" xfId="0" applyNumberFormat="1" applyFont="1" applyFill="1" applyBorder="1" applyAlignment="1">
      <alignment horizontal="center" vertical="center"/>
    </xf>
    <xf numFmtId="37" fontId="22" fillId="8" borderId="75" xfId="0" applyNumberFormat="1" applyFont="1" applyFill="1" applyBorder="1" applyAlignment="1"/>
    <xf numFmtId="37" fontId="0" fillId="8" borderId="76" xfId="0" applyNumberFormat="1" applyFill="1" applyBorder="1" applyAlignment="1"/>
    <xf numFmtId="37" fontId="0" fillId="8" borderId="77" xfId="0" applyNumberFormat="1" applyFill="1" applyBorder="1" applyAlignment="1"/>
    <xf numFmtId="37" fontId="13" fillId="0" borderId="2" xfId="0" applyNumberFormat="1" applyFont="1" applyFill="1" applyBorder="1" applyAlignment="1"/>
    <xf numFmtId="9" fontId="66" fillId="0" borderId="0" xfId="6" applyNumberFormat="1" applyFont="1" applyFill="1"/>
    <xf numFmtId="0" fontId="31" fillId="0" borderId="8" xfId="1" applyNumberFormat="1" applyFont="1" applyFill="1" applyBorder="1" applyAlignment="1" applyProtection="1">
      <alignment horizontal="center" vertical="center" wrapText="1"/>
    </xf>
    <xf numFmtId="0" fontId="31" fillId="0" borderId="9" xfId="1" applyNumberFormat="1" applyFont="1" applyFill="1" applyBorder="1" applyAlignment="1" applyProtection="1">
      <alignment horizontal="center" vertical="center"/>
    </xf>
    <xf numFmtId="37" fontId="31" fillId="0" borderId="9" xfId="0" applyNumberFormat="1" applyFont="1" applyFill="1" applyBorder="1" applyAlignment="1" applyProtection="1">
      <alignment horizontal="center" vertical="center"/>
    </xf>
    <xf numFmtId="37" fontId="31" fillId="0" borderId="9" xfId="0" applyNumberFormat="1" applyFont="1" applyFill="1" applyBorder="1" applyAlignment="1">
      <alignment horizontal="center" vertical="center"/>
    </xf>
    <xf numFmtId="169" fontId="31" fillId="0" borderId="9" xfId="6" applyNumberFormat="1" applyFont="1" applyFill="1" applyBorder="1" applyAlignment="1">
      <alignment horizontal="center" vertical="center"/>
    </xf>
    <xf numFmtId="169" fontId="13" fillId="0" borderId="4" xfId="6" applyNumberFormat="1" applyFont="1" applyFill="1" applyBorder="1" applyAlignment="1">
      <alignment horizontal="center" vertical="center"/>
    </xf>
    <xf numFmtId="169" fontId="13" fillId="0" borderId="42" xfId="6" applyNumberFormat="1" applyFont="1" applyFill="1" applyBorder="1" applyAlignment="1">
      <alignment horizontal="center" vertical="center"/>
    </xf>
    <xf numFmtId="169" fontId="13" fillId="0" borderId="27" xfId="6" applyNumberFormat="1" applyFont="1" applyFill="1" applyBorder="1" applyAlignment="1">
      <alignment horizontal="center" vertical="center"/>
    </xf>
    <xf numFmtId="169" fontId="13" fillId="0" borderId="17" xfId="6" applyNumberFormat="1" applyFont="1" applyFill="1" applyBorder="1" applyAlignment="1">
      <alignment horizontal="center" vertical="center"/>
    </xf>
    <xf numFmtId="169" fontId="13" fillId="0" borderId="23" xfId="6" applyNumberFormat="1" applyFont="1" applyFill="1" applyBorder="1" applyAlignment="1">
      <alignment horizontal="center" vertical="center"/>
    </xf>
    <xf numFmtId="169" fontId="13" fillId="0" borderId="0" xfId="6" applyNumberFormat="1" applyFont="1" applyFill="1" applyBorder="1" applyAlignment="1">
      <alignment horizontal="center" vertical="center"/>
    </xf>
    <xf numFmtId="169" fontId="13" fillId="0" borderId="15" xfId="6" applyNumberFormat="1" applyFont="1" applyFill="1" applyBorder="1" applyAlignment="1">
      <alignment horizontal="center" vertical="center"/>
    </xf>
    <xf numFmtId="169" fontId="13" fillId="0" borderId="41" xfId="6" applyNumberFormat="1" applyFont="1" applyFill="1" applyBorder="1" applyAlignment="1">
      <alignment horizontal="center" vertical="center"/>
    </xf>
    <xf numFmtId="169" fontId="13" fillId="0" borderId="16" xfId="6" applyNumberFormat="1" applyFont="1" applyFill="1" applyBorder="1" applyAlignment="1">
      <alignment horizontal="center" vertical="center"/>
    </xf>
    <xf numFmtId="169" fontId="13" fillId="0" borderId="50" xfId="6" applyNumberFormat="1" applyFont="1" applyFill="1" applyBorder="1" applyAlignment="1">
      <alignment horizontal="center" vertical="center"/>
    </xf>
    <xf numFmtId="169" fontId="13" fillId="0" borderId="52" xfId="6" applyNumberFormat="1" applyFont="1" applyFill="1" applyBorder="1" applyAlignment="1">
      <alignment horizontal="center" vertical="center"/>
    </xf>
    <xf numFmtId="169" fontId="13" fillId="0" borderId="6" xfId="6" applyNumberFormat="1" applyFont="1" applyFill="1" applyBorder="1" applyAlignment="1">
      <alignment horizontal="center" vertical="center"/>
    </xf>
    <xf numFmtId="169" fontId="13" fillId="0" borderId="10" xfId="6" applyNumberFormat="1" applyFont="1" applyFill="1" applyBorder="1" applyAlignment="1">
      <alignment horizontal="center" vertical="center"/>
    </xf>
    <xf numFmtId="169" fontId="13" fillId="0" borderId="2" xfId="6" applyNumberFormat="1" applyFont="1" applyFill="1" applyBorder="1" applyAlignment="1">
      <alignment horizontal="center" vertical="center"/>
    </xf>
    <xf numFmtId="37" fontId="16" fillId="0" borderId="0" xfId="0" quotePrefix="1" applyNumberFormat="1" applyFont="1" applyFill="1" applyBorder="1" applyAlignment="1">
      <alignment horizontal="right"/>
    </xf>
    <xf numFmtId="37" fontId="31" fillId="0" borderId="9" xfId="0" applyNumberFormat="1" applyFont="1" applyFill="1" applyBorder="1" applyAlignment="1" applyProtection="1">
      <alignment horizontal="centerContinuous" vertical="center"/>
    </xf>
    <xf numFmtId="37" fontId="31" fillId="0" borderId="9" xfId="0" applyNumberFormat="1" applyFont="1" applyFill="1" applyBorder="1" applyAlignment="1">
      <alignment horizontal="centerContinuous" vertical="center"/>
    </xf>
    <xf numFmtId="37" fontId="31" fillId="0" borderId="19" xfId="0" applyNumberFormat="1" applyFont="1" applyFill="1" applyBorder="1" applyAlignment="1">
      <alignment horizontal="centerContinuous" vertical="center"/>
    </xf>
    <xf numFmtId="37" fontId="31" fillId="0" borderId="11" xfId="0" applyNumberFormat="1" applyFont="1" applyFill="1" applyBorder="1" applyAlignment="1" applyProtection="1">
      <alignment horizontal="centerContinuous" vertical="center"/>
    </xf>
    <xf numFmtId="37" fontId="31" fillId="0" borderId="18" xfId="0" applyNumberFormat="1" applyFont="1" applyFill="1" applyBorder="1" applyAlignment="1">
      <alignment horizontal="centerContinuous" vertical="center"/>
    </xf>
    <xf numFmtId="37" fontId="31" fillId="0" borderId="24" xfId="0" applyNumberFormat="1" applyFont="1" applyFill="1" applyBorder="1" applyAlignment="1">
      <alignment horizontal="centerContinuous" vertical="center"/>
    </xf>
    <xf numFmtId="37" fontId="31" fillId="0" borderId="6" xfId="0" applyNumberFormat="1" applyFont="1" applyFill="1" applyBorder="1" applyAlignment="1">
      <alignment horizontal="center" wrapText="1"/>
    </xf>
    <xf numFmtId="167" fontId="31" fillId="0" borderId="10" xfId="0" applyNumberFormat="1" applyFont="1" applyFill="1" applyBorder="1" applyAlignment="1">
      <alignment horizontal="center" wrapText="1"/>
    </xf>
    <xf numFmtId="169" fontId="13" fillId="0" borderId="14" xfId="6" quotePrefix="1" applyNumberFormat="1" applyFont="1" applyFill="1" applyBorder="1" applyAlignment="1">
      <alignment horizontal="center" vertical="center"/>
    </xf>
    <xf numFmtId="169" fontId="29" fillId="0" borderId="14" xfId="6" quotePrefix="1" applyNumberFormat="1" applyFont="1" applyFill="1" applyBorder="1" applyAlignment="1">
      <alignment horizontal="center" vertical="center"/>
    </xf>
    <xf numFmtId="9" fontId="29" fillId="0" borderId="0" xfId="6" quotePrefix="1" applyNumberFormat="1" applyFont="1" applyFill="1" applyBorder="1" applyAlignment="1">
      <alignment horizontal="center" vertical="center"/>
    </xf>
    <xf numFmtId="169" fontId="13" fillId="0" borderId="22" xfId="6" quotePrefix="1" applyNumberFormat="1" applyFont="1" applyFill="1" applyBorder="1" applyAlignment="1">
      <alignment horizontal="center" vertical="center"/>
    </xf>
    <xf numFmtId="169" fontId="13" fillId="0" borderId="6" xfId="6" quotePrefix="1" applyNumberFormat="1" applyFont="1" applyFill="1" applyBorder="1" applyAlignment="1">
      <alignment horizontal="center" vertical="center"/>
    </xf>
    <xf numFmtId="9" fontId="29" fillId="0" borderId="10" xfId="6" quotePrefix="1" applyNumberFormat="1" applyFont="1" applyFill="1" applyBorder="1" applyAlignment="1">
      <alignment horizontal="center" vertical="center"/>
    </xf>
    <xf numFmtId="167" fontId="31" fillId="0" borderId="9" xfId="0" applyNumberFormat="1" applyFont="1" applyFill="1" applyBorder="1" applyAlignment="1" applyProtection="1">
      <alignment horizontal="center" wrapText="1"/>
    </xf>
    <xf numFmtId="37" fontId="31" fillId="0" borderId="9" xfId="0" applyNumberFormat="1" applyFont="1" applyFill="1" applyBorder="1" applyAlignment="1">
      <alignment horizontal="center" wrapText="1"/>
    </xf>
    <xf numFmtId="167" fontId="31" fillId="0" borderId="18" xfId="0" applyNumberFormat="1" applyFont="1" applyFill="1" applyBorder="1" applyAlignment="1" applyProtection="1">
      <alignment horizontal="center" wrapText="1"/>
    </xf>
    <xf numFmtId="164" fontId="13" fillId="0" borderId="0" xfId="0" applyNumberFormat="1" applyFont="1" applyFill="1" applyBorder="1" applyAlignment="1">
      <alignment horizontal="right" vertical="center"/>
    </xf>
    <xf numFmtId="164" fontId="13" fillId="0" borderId="23" xfId="0" applyNumberFormat="1" applyFont="1" applyFill="1" applyBorder="1" applyAlignment="1">
      <alignment horizontal="center" vertical="center"/>
    </xf>
    <xf numFmtId="164" fontId="13" fillId="0" borderId="0" xfId="0" applyNumberFormat="1" applyFont="1" applyFill="1" applyBorder="1" applyAlignment="1">
      <alignment horizontal="center" vertical="center"/>
    </xf>
    <xf numFmtId="3" fontId="13" fillId="0" borderId="0" xfId="0" applyNumberFormat="1" applyFont="1" applyFill="1" applyBorder="1" applyAlignment="1">
      <alignment horizontal="right" vertical="center"/>
    </xf>
    <xf numFmtId="3" fontId="13" fillId="0" borderId="23" xfId="0" applyNumberFormat="1" applyFont="1" applyFill="1" applyBorder="1" applyAlignment="1">
      <alignment horizontal="center" vertical="center"/>
    </xf>
    <xf numFmtId="3" fontId="13" fillId="0" borderId="0" xfId="0" applyNumberFormat="1" applyFont="1" applyFill="1" applyBorder="1" applyAlignment="1">
      <alignment horizontal="center" vertical="center"/>
    </xf>
    <xf numFmtId="3" fontId="13" fillId="0" borderId="0" xfId="0" quotePrefix="1" applyNumberFormat="1" applyFont="1" applyFill="1" applyBorder="1" applyAlignment="1">
      <alignment horizontal="right" vertical="center"/>
    </xf>
    <xf numFmtId="3" fontId="13" fillId="0" borderId="23" xfId="0" quotePrefix="1" applyNumberFormat="1" applyFont="1" applyFill="1" applyBorder="1" applyAlignment="1">
      <alignment horizontal="center" vertical="center"/>
    </xf>
    <xf numFmtId="3" fontId="13" fillId="0" borderId="0" xfId="0" quotePrefix="1" applyNumberFormat="1" applyFont="1" applyFill="1" applyBorder="1" applyAlignment="1">
      <alignment horizontal="center" vertical="center"/>
    </xf>
    <xf numFmtId="3" fontId="13" fillId="0" borderId="2" xfId="0" applyNumberFormat="1" applyFont="1" applyFill="1" applyBorder="1" applyAlignment="1">
      <alignment horizontal="right" vertical="center"/>
    </xf>
    <xf numFmtId="3" fontId="13" fillId="0" borderId="22" xfId="0" applyNumberFormat="1" applyFont="1" applyFill="1" applyBorder="1" applyAlignment="1">
      <alignment horizontal="right" vertical="center"/>
    </xf>
    <xf numFmtId="3" fontId="13" fillId="0" borderId="10" xfId="0" applyNumberFormat="1" applyFont="1" applyFill="1" applyBorder="1" applyAlignment="1">
      <alignment horizontal="center" vertical="center"/>
    </xf>
    <xf numFmtId="3" fontId="13" fillId="0" borderId="2" xfId="0" applyNumberFormat="1" applyFont="1" applyFill="1" applyBorder="1" applyAlignment="1">
      <alignment horizontal="center" vertical="center"/>
    </xf>
    <xf numFmtId="37" fontId="13" fillId="0" borderId="0" xfId="0" applyNumberFormat="1" applyFont="1" applyFill="1" applyBorder="1" applyAlignment="1">
      <alignment horizontal="centerContinuous" vertical="center"/>
    </xf>
    <xf numFmtId="37" fontId="31" fillId="0" borderId="20" xfId="0" applyNumberFormat="1" applyFont="1" applyFill="1" applyBorder="1" applyAlignment="1" applyProtection="1">
      <alignment horizontal="centerContinuous" vertical="center" wrapText="1"/>
    </xf>
    <xf numFmtId="37" fontId="25" fillId="0" borderId="20" xfId="0" applyNumberFormat="1" applyFont="1" applyFill="1" applyBorder="1" applyAlignment="1">
      <alignment horizontal="centerContinuous" vertical="center" wrapText="1"/>
    </xf>
    <xf numFmtId="37" fontId="31" fillId="0" borderId="18" xfId="0" applyNumberFormat="1" applyFont="1" applyFill="1" applyBorder="1" applyAlignment="1">
      <alignment horizontal="centerContinuous" vertical="center" wrapText="1"/>
    </xf>
    <xf numFmtId="37" fontId="31" fillId="0" borderId="9" xfId="0" applyNumberFormat="1" applyFont="1" applyFill="1" applyBorder="1" applyAlignment="1">
      <alignment horizontal="centerContinuous" vertical="center" wrapText="1"/>
    </xf>
    <xf numFmtId="169" fontId="66" fillId="13" borderId="0" xfId="6" applyNumberFormat="1" applyFont="1" applyFill="1" applyAlignment="1">
      <alignment horizontal="right" vertical="center"/>
    </xf>
    <xf numFmtId="169" fontId="20" fillId="13" borderId="0" xfId="6" applyNumberFormat="1" applyFont="1" applyFill="1" applyAlignment="1">
      <alignment horizontal="right" vertical="center"/>
    </xf>
    <xf numFmtId="169" fontId="66" fillId="9" borderId="0" xfId="6" applyNumberFormat="1" applyFont="1" applyFill="1" applyAlignment="1">
      <alignment horizontal="right" vertical="center"/>
    </xf>
    <xf numFmtId="169" fontId="20" fillId="9" borderId="0" xfId="6" applyNumberFormat="1" applyFont="1" applyFill="1" applyAlignment="1">
      <alignment horizontal="right" vertical="center"/>
    </xf>
    <xf numFmtId="37" fontId="66" fillId="9" borderId="0" xfId="0" applyNumberFormat="1" applyFont="1" applyFill="1" applyAlignment="1">
      <alignment vertical="center"/>
    </xf>
    <xf numFmtId="169" fontId="66" fillId="12" borderId="24" xfId="6" applyNumberFormat="1" applyFont="1" applyFill="1" applyBorder="1" applyAlignment="1">
      <alignment horizontal="right" vertical="center"/>
    </xf>
    <xf numFmtId="169" fontId="20" fillId="12" borderId="23" xfId="6" applyNumberFormat="1" applyFont="1" applyFill="1" applyBorder="1" applyAlignment="1">
      <alignment horizontal="right" vertical="center"/>
    </xf>
    <xf numFmtId="169" fontId="66" fillId="12" borderId="23" xfId="6" applyNumberFormat="1" applyFont="1" applyFill="1" applyBorder="1" applyAlignment="1">
      <alignment horizontal="right" vertical="center"/>
    </xf>
    <xf numFmtId="169" fontId="66" fillId="11" borderId="24" xfId="6" applyNumberFormat="1" applyFont="1" applyFill="1" applyBorder="1" applyAlignment="1">
      <alignment horizontal="right" vertical="center"/>
    </xf>
    <xf numFmtId="169" fontId="20" fillId="11" borderId="23" xfId="6" applyNumberFormat="1" applyFont="1" applyFill="1" applyBorder="1" applyAlignment="1">
      <alignment horizontal="right" vertical="center"/>
    </xf>
    <xf numFmtId="169" fontId="66" fillId="11" borderId="23" xfId="6" applyNumberFormat="1" applyFont="1" applyFill="1" applyBorder="1" applyAlignment="1">
      <alignment horizontal="right" vertical="center"/>
    </xf>
    <xf numFmtId="37" fontId="66" fillId="11" borderId="23" xfId="0" applyNumberFormat="1" applyFont="1" applyFill="1" applyBorder="1" applyAlignment="1">
      <alignment vertical="center"/>
    </xf>
    <xf numFmtId="169" fontId="66" fillId="10" borderId="0" xfId="6" applyNumberFormat="1" applyFont="1" applyFill="1" applyAlignment="1">
      <alignment horizontal="right" vertical="center"/>
    </xf>
    <xf numFmtId="169" fontId="20" fillId="10" borderId="0" xfId="6" applyNumberFormat="1" applyFont="1" applyFill="1" applyAlignment="1">
      <alignment horizontal="right" vertical="center"/>
    </xf>
    <xf numFmtId="37" fontId="66" fillId="10" borderId="0" xfId="0" applyNumberFormat="1" applyFont="1" applyFill="1" applyBorder="1" applyAlignment="1">
      <alignment vertical="center"/>
    </xf>
    <xf numFmtId="37" fontId="66" fillId="12" borderId="23" xfId="0" applyNumberFormat="1" applyFont="1" applyFill="1" applyBorder="1" applyAlignment="1">
      <alignment vertical="center"/>
    </xf>
    <xf numFmtId="37" fontId="66" fillId="13" borderId="0" xfId="0" applyNumberFormat="1" applyFont="1" applyFill="1" applyBorder="1" applyAlignment="1">
      <alignment vertical="center"/>
    </xf>
    <xf numFmtId="3" fontId="13" fillId="0" borderId="0" xfId="0" applyNumberFormat="1" applyFont="1" applyFill="1" applyBorder="1" applyAlignment="1"/>
    <xf numFmtId="3" fontId="13" fillId="0" borderId="23" xfId="0" applyNumberFormat="1" applyFont="1" applyFill="1" applyBorder="1" applyAlignment="1"/>
    <xf numFmtId="3" fontId="13" fillId="0" borderId="14" xfId="0" applyNumberFormat="1" applyFont="1" applyFill="1" applyBorder="1" applyAlignment="1"/>
    <xf numFmtId="3" fontId="13" fillId="0" borderId="0" xfId="6" applyNumberFormat="1" applyFont="1" applyFill="1" applyBorder="1" applyAlignment="1">
      <alignment horizontal="right"/>
    </xf>
    <xf numFmtId="3" fontId="13" fillId="0" borderId="0" xfId="0" applyNumberFormat="1" applyFont="1" applyFill="1" applyAlignment="1"/>
    <xf numFmtId="3" fontId="13" fillId="0" borderId="0" xfId="6" applyNumberFormat="1" applyFont="1" applyFill="1" applyBorder="1" applyAlignment="1"/>
    <xf numFmtId="3" fontId="13" fillId="0" borderId="0" xfId="0" applyNumberFormat="1" applyFont="1" applyAlignment="1"/>
    <xf numFmtId="3" fontId="13" fillId="0" borderId="0" xfId="0" applyNumberFormat="1" applyFont="1" applyBorder="1" applyAlignment="1"/>
    <xf numFmtId="3" fontId="22" fillId="0" borderId="0" xfId="0" applyNumberFormat="1" applyFont="1" applyAlignment="1"/>
    <xf numFmtId="3" fontId="22" fillId="14" borderId="32" xfId="4" applyNumberFormat="1" applyFont="1" applyFill="1" applyBorder="1" applyAlignment="1" applyProtection="1">
      <alignment horizontal="center" wrapText="1"/>
      <protection locked="0"/>
    </xf>
    <xf numFmtId="3" fontId="22" fillId="0" borderId="23" xfId="4" applyNumberFormat="1" applyFont="1" applyFill="1" applyBorder="1" applyAlignment="1" applyProtection="1">
      <alignment horizontal="center" wrapText="1"/>
      <protection locked="0"/>
    </xf>
    <xf numFmtId="3" fontId="67" fillId="15" borderId="11" xfId="4" applyNumberFormat="1" applyFont="1" applyFill="1" applyBorder="1" applyAlignment="1" applyProtection="1">
      <alignment horizontal="center" wrapText="1"/>
      <protection locked="0"/>
    </xf>
    <xf numFmtId="3" fontId="22" fillId="0" borderId="2" xfId="4" applyNumberFormat="1" applyFont="1" applyFill="1" applyBorder="1" applyAlignment="1" applyProtection="1">
      <alignment horizontal="centerContinuous" wrapText="1"/>
      <protection locked="0"/>
    </xf>
    <xf numFmtId="167" fontId="13" fillId="0" borderId="24" xfId="4" applyNumberFormat="1" applyFont="1" applyFill="1" applyBorder="1" applyAlignment="1" applyProtection="1">
      <alignment horizontal="center" wrapText="1"/>
    </xf>
    <xf numFmtId="167" fontId="22" fillId="0" borderId="10" xfId="4" applyNumberFormat="1" applyFont="1" applyFill="1" applyBorder="1" applyAlignment="1" applyProtection="1">
      <alignment horizontal="centerContinuous" wrapText="1"/>
    </xf>
    <xf numFmtId="37" fontId="22" fillId="0" borderId="8" xfId="4" applyNumberFormat="1" applyFont="1" applyFill="1" applyBorder="1" applyAlignment="1"/>
    <xf numFmtId="37" fontId="40" fillId="0" borderId="9" xfId="4" applyNumberFormat="1" applyFont="1" applyFill="1" applyBorder="1" applyAlignment="1" applyProtection="1">
      <alignment horizontal="center" wrapText="1"/>
    </xf>
    <xf numFmtId="37" fontId="40" fillId="0" borderId="86" xfId="4" applyNumberFormat="1" applyFont="1" applyFill="1" applyBorder="1" applyAlignment="1" applyProtection="1">
      <alignment horizontal="center" wrapText="1"/>
    </xf>
    <xf numFmtId="37" fontId="13" fillId="0" borderId="25" xfId="4" applyFont="1" applyFill="1" applyBorder="1" applyAlignment="1">
      <alignment horizontal="center" wrapText="1"/>
    </xf>
    <xf numFmtId="37" fontId="40" fillId="6" borderId="25" xfId="4" applyFont="1" applyFill="1" applyBorder="1" applyAlignment="1">
      <alignment horizontal="centerContinuous" wrapText="1"/>
    </xf>
    <xf numFmtId="3" fontId="67" fillId="9" borderId="81" xfId="3" applyNumberFormat="1" applyFont="1" applyFill="1" applyBorder="1" applyAlignment="1" applyProtection="1">
      <alignment horizontal="right"/>
    </xf>
    <xf numFmtId="3" fontId="66" fillId="15" borderId="49" xfId="3" applyNumberFormat="1" applyFont="1" applyFill="1" applyBorder="1" applyAlignment="1" applyProtection="1">
      <alignment horizontal="right"/>
    </xf>
    <xf numFmtId="3" fontId="67" fillId="9" borderId="26" xfId="3" applyNumberFormat="1" applyFont="1" applyFill="1" applyBorder="1" applyAlignment="1" applyProtection="1">
      <alignment horizontal="right"/>
    </xf>
    <xf numFmtId="37" fontId="13" fillId="0" borderId="0" xfId="2" applyFont="1" applyFill="1" applyBorder="1" applyProtection="1">
      <protection locked="0"/>
    </xf>
    <xf numFmtId="167" fontId="40" fillId="4" borderId="39" xfId="4" applyNumberFormat="1" applyFont="1" applyFill="1" applyBorder="1" applyAlignment="1">
      <alignment horizontal="centerContinuous"/>
    </xf>
    <xf numFmtId="167" fontId="40" fillId="0" borderId="14" xfId="4" applyNumberFormat="1" applyFont="1" applyFill="1" applyBorder="1" applyAlignment="1">
      <alignment horizontal="centerContinuous"/>
    </xf>
    <xf numFmtId="37" fontId="40" fillId="0" borderId="14" xfId="4" applyFont="1" applyFill="1" applyBorder="1" applyAlignment="1">
      <alignment horizontal="center" wrapText="1"/>
    </xf>
    <xf numFmtId="37" fontId="13" fillId="7" borderId="2" xfId="4" applyFont="1" applyFill="1" applyBorder="1" applyAlignment="1">
      <alignment horizontal="center" wrapText="1"/>
    </xf>
    <xf numFmtId="0" fontId="13" fillId="7" borderId="2" xfId="8" applyNumberFormat="1" applyFont="1" applyFill="1" applyBorder="1" applyAlignment="1" applyProtection="1">
      <alignment horizontal="center" wrapText="1"/>
    </xf>
    <xf numFmtId="49" fontId="13" fillId="7" borderId="2" xfId="8" applyNumberFormat="1" applyFont="1" applyFill="1" applyBorder="1" applyAlignment="1" applyProtection="1">
      <alignment horizontal="center" wrapText="1"/>
    </xf>
    <xf numFmtId="167" fontId="13" fillId="7" borderId="2" xfId="4" applyNumberFormat="1" applyFont="1" applyFill="1" applyBorder="1" applyAlignment="1" applyProtection="1">
      <alignment horizontal="center" wrapText="1"/>
    </xf>
    <xf numFmtId="167" fontId="13" fillId="7" borderId="2" xfId="4" applyNumberFormat="1" applyFont="1" applyFill="1" applyBorder="1" applyAlignment="1">
      <alignment horizontal="center" wrapText="1"/>
    </xf>
    <xf numFmtId="37" fontId="13" fillId="7" borderId="2" xfId="4" applyNumberFormat="1" applyFont="1" applyFill="1" applyBorder="1" applyAlignment="1">
      <alignment horizontal="center" wrapText="1"/>
    </xf>
    <xf numFmtId="167" fontId="13" fillId="7" borderId="89" xfId="4" applyNumberFormat="1" applyFont="1" applyFill="1" applyBorder="1" applyAlignment="1" applyProtection="1">
      <alignment horizontal="center" wrapText="1"/>
    </xf>
    <xf numFmtId="167" fontId="13" fillId="7" borderId="10" xfId="4" applyNumberFormat="1" applyFont="1" applyFill="1" applyBorder="1" applyAlignment="1" applyProtection="1">
      <alignment horizontal="center" wrapText="1"/>
    </xf>
    <xf numFmtId="37" fontId="13" fillId="7" borderId="22" xfId="4" applyNumberFormat="1" applyFont="1" applyFill="1" applyBorder="1" applyAlignment="1">
      <alignment horizontal="center" wrapText="1"/>
    </xf>
    <xf numFmtId="167" fontId="13" fillId="16" borderId="32" xfId="4" applyNumberFormat="1" applyFont="1" applyFill="1" applyBorder="1" applyAlignment="1" applyProtection="1">
      <alignment horizontal="center" wrapText="1"/>
    </xf>
    <xf numFmtId="0" fontId="66" fillId="0" borderId="0" xfId="0" applyFont="1" applyAlignment="1">
      <alignment horizontal="right" wrapText="1"/>
    </xf>
    <xf numFmtId="3" fontId="20" fillId="17" borderId="0" xfId="0" applyNumberFormat="1" applyFont="1" applyFill="1" applyBorder="1" applyAlignment="1">
      <alignment vertical="center"/>
    </xf>
    <xf numFmtId="166" fontId="74" fillId="0" borderId="0" xfId="1" applyNumberFormat="1" applyFont="1" applyFill="1" applyBorder="1" applyAlignment="1">
      <alignment horizontal="right" vertical="center"/>
    </xf>
    <xf numFmtId="166" fontId="74" fillId="0" borderId="0" xfId="1" applyNumberFormat="1" applyFont="1" applyFill="1" applyBorder="1" applyAlignment="1">
      <alignment vertical="center"/>
    </xf>
    <xf numFmtId="166" fontId="74" fillId="0" borderId="23" xfId="1" applyNumberFormat="1" applyFont="1" applyFill="1" applyBorder="1" applyAlignment="1">
      <alignment vertical="center"/>
    </xf>
    <xf numFmtId="166" fontId="74" fillId="0" borderId="14" xfId="1" applyNumberFormat="1" applyFont="1" applyFill="1" applyBorder="1" applyAlignment="1">
      <alignment vertical="center"/>
    </xf>
    <xf numFmtId="3" fontId="20" fillId="17" borderId="20" xfId="0" applyNumberFormat="1" applyFont="1" applyFill="1" applyBorder="1" applyAlignment="1">
      <alignment vertical="center"/>
    </xf>
    <xf numFmtId="3" fontId="20" fillId="17" borderId="14" xfId="0" applyNumberFormat="1" applyFont="1" applyFill="1" applyBorder="1" applyAlignment="1">
      <alignment vertical="center"/>
    </xf>
    <xf numFmtId="3" fontId="20" fillId="17" borderId="23" xfId="0" applyNumberFormat="1" applyFont="1" applyFill="1" applyBorder="1" applyAlignment="1">
      <alignment vertical="center"/>
    </xf>
    <xf numFmtId="3" fontId="20" fillId="17" borderId="39" xfId="0" applyNumberFormat="1" applyFont="1" applyFill="1" applyBorder="1" applyAlignment="1">
      <alignment vertical="center"/>
    </xf>
    <xf numFmtId="3" fontId="50" fillId="17" borderId="23" xfId="0" applyNumberFormat="1" applyFont="1" applyFill="1" applyBorder="1" applyAlignment="1">
      <alignment vertical="center"/>
    </xf>
    <xf numFmtId="37" fontId="22" fillId="0" borderId="13" xfId="0" applyNumberFormat="1" applyFont="1" applyFill="1" applyBorder="1" applyAlignment="1"/>
    <xf numFmtId="37" fontId="22" fillId="0" borderId="28" xfId="0" applyNumberFormat="1" applyFont="1" applyFill="1" applyBorder="1" applyAlignment="1"/>
    <xf numFmtId="37" fontId="22" fillId="0" borderId="82" xfId="0" applyNumberFormat="1" applyFont="1" applyFill="1" applyBorder="1" applyAlignment="1"/>
    <xf numFmtId="37" fontId="22" fillId="0" borderId="91" xfId="0" applyNumberFormat="1" applyFont="1" applyFill="1" applyBorder="1" applyAlignment="1">
      <alignment horizontal="right"/>
    </xf>
    <xf numFmtId="37" fontId="22" fillId="0" borderId="30" xfId="0" applyNumberFormat="1" applyFont="1" applyFill="1" applyBorder="1" applyAlignment="1"/>
    <xf numFmtId="9" fontId="13" fillId="0" borderId="0" xfId="6" applyFont="1" applyFill="1" applyBorder="1" applyAlignment="1"/>
    <xf numFmtId="37" fontId="13" fillId="0" borderId="21" xfId="0" applyNumberFormat="1" applyFont="1" applyFill="1" applyBorder="1" applyAlignment="1"/>
    <xf numFmtId="37" fontId="16" fillId="0" borderId="0" xfId="0" applyNumberFormat="1" applyFont="1" applyBorder="1" applyAlignment="1">
      <alignment horizontal="right"/>
    </xf>
    <xf numFmtId="37" fontId="19" fillId="0" borderId="0" xfId="0" applyNumberFormat="1" applyFont="1" applyFill="1" applyBorder="1" applyAlignment="1">
      <alignment vertical="center" wrapText="1"/>
    </xf>
    <xf numFmtId="37" fontId="16" fillId="0" borderId="0" xfId="0" applyNumberFormat="1" applyFont="1" applyFill="1" applyBorder="1" applyAlignment="1">
      <alignment vertical="center" wrapText="1"/>
    </xf>
    <xf numFmtId="3" fontId="13" fillId="0" borderId="0" xfId="0" applyNumberFormat="1" applyFont="1" applyFill="1" applyBorder="1" applyAlignment="1">
      <alignment horizontal="right"/>
    </xf>
    <xf numFmtId="37" fontId="13" fillId="0" borderId="0" xfId="0" applyNumberFormat="1" applyFont="1" applyFill="1" applyAlignment="1">
      <alignment horizontal="right"/>
    </xf>
    <xf numFmtId="3" fontId="13" fillId="9" borderId="2" xfId="0" applyNumberFormat="1" applyFont="1" applyFill="1" applyBorder="1" applyAlignment="1">
      <alignment horizontal="right" wrapText="1"/>
    </xf>
    <xf numFmtId="3" fontId="13" fillId="9" borderId="0" xfId="0" applyNumberFormat="1" applyFont="1" applyFill="1" applyBorder="1" applyAlignment="1">
      <alignment horizontal="right"/>
    </xf>
    <xf numFmtId="37" fontId="13" fillId="0" borderId="2" xfId="0" applyNumberFormat="1" applyFont="1" applyFill="1" applyBorder="1" applyAlignment="1" applyProtection="1">
      <alignment horizontal="center" wrapText="1"/>
    </xf>
    <xf numFmtId="37" fontId="13" fillId="0" borderId="0" xfId="0" applyNumberFormat="1" applyFont="1" applyFill="1" applyBorder="1" applyAlignment="1">
      <alignment horizontal="centerContinuous"/>
    </xf>
    <xf numFmtId="164" fontId="13" fillId="5" borderId="0" xfId="0" applyNumberFormat="1" applyFont="1" applyFill="1" applyBorder="1" applyAlignment="1">
      <alignment horizontal="center"/>
    </xf>
    <xf numFmtId="164" fontId="13" fillId="0" borderId="0" xfId="0" quotePrefix="1" applyNumberFormat="1" applyFont="1" applyFill="1" applyBorder="1" applyAlignment="1">
      <alignment horizontal="right" vertical="center"/>
    </xf>
    <xf numFmtId="3" fontId="13" fillId="5" borderId="0" xfId="0" applyNumberFormat="1" applyFont="1" applyFill="1" applyBorder="1" applyAlignment="1">
      <alignment horizontal="center" vertical="center"/>
    </xf>
    <xf numFmtId="37" fontId="13" fillId="5" borderId="0" xfId="0" applyNumberFormat="1" applyFont="1" applyFill="1" applyAlignment="1">
      <alignment vertical="center"/>
    </xf>
    <xf numFmtId="3" fontId="13" fillId="5" borderId="0" xfId="0" applyNumberFormat="1" applyFont="1" applyFill="1" applyBorder="1" applyAlignment="1">
      <alignment horizontal="right" vertical="center"/>
    </xf>
    <xf numFmtId="37" fontId="13" fillId="0" borderId="0" xfId="0" applyNumberFormat="1" applyFont="1" applyFill="1" applyBorder="1" applyAlignment="1">
      <alignment vertical="center" wrapText="1"/>
    </xf>
    <xf numFmtId="37" fontId="13" fillId="5" borderId="0" xfId="0" applyNumberFormat="1" applyFont="1" applyFill="1" applyBorder="1" applyAlignment="1">
      <alignment vertical="center"/>
    </xf>
    <xf numFmtId="37" fontId="13" fillId="0" borderId="0" xfId="0" applyNumberFormat="1" applyFont="1" applyFill="1" applyAlignment="1">
      <alignment vertical="center" wrapText="1"/>
    </xf>
    <xf numFmtId="37" fontId="13" fillId="9" borderId="0" xfId="0" applyNumberFormat="1" applyFont="1" applyFill="1" applyAlignment="1">
      <alignment horizontal="right" vertical="center"/>
    </xf>
    <xf numFmtId="3" fontId="13" fillId="9" borderId="0" xfId="0" applyNumberFormat="1" applyFont="1" applyFill="1" applyBorder="1" applyAlignment="1">
      <alignment horizontal="right" wrapText="1"/>
    </xf>
    <xf numFmtId="37" fontId="13" fillId="0" borderId="20" xfId="0" applyNumberFormat="1" applyFont="1" applyFill="1" applyBorder="1" applyAlignment="1">
      <alignment horizontal="centerContinuous" vertical="center" wrapText="1"/>
    </xf>
    <xf numFmtId="3" fontId="22" fillId="9" borderId="0" xfId="0" applyNumberFormat="1" applyFont="1" applyFill="1" applyBorder="1" applyAlignment="1">
      <alignment horizontal="right"/>
    </xf>
    <xf numFmtId="3" fontId="13" fillId="9" borderId="0" xfId="0" applyNumberFormat="1" applyFont="1" applyFill="1" applyBorder="1" applyAlignment="1">
      <alignment horizontal="left"/>
    </xf>
    <xf numFmtId="37" fontId="13" fillId="0" borderId="2" xfId="0" applyNumberFormat="1" applyFont="1" applyFill="1" applyBorder="1" applyAlignment="1" applyProtection="1">
      <alignment horizontal="center"/>
    </xf>
    <xf numFmtId="37" fontId="32" fillId="9" borderId="0" xfId="0" applyNumberFormat="1" applyFont="1" applyFill="1" applyAlignment="1">
      <alignment horizontal="right" vertical="center"/>
    </xf>
    <xf numFmtId="37" fontId="13" fillId="9" borderId="0" xfId="0" applyNumberFormat="1" applyFont="1" applyFill="1" applyAlignment="1">
      <alignment horizontal="right"/>
    </xf>
    <xf numFmtId="37" fontId="13" fillId="0" borderId="0" xfId="0" applyNumberFormat="1" applyFont="1" applyFill="1" applyAlignment="1">
      <alignment horizontal="center" vertical="center"/>
    </xf>
    <xf numFmtId="3" fontId="13" fillId="9" borderId="0" xfId="0" applyNumberFormat="1" applyFont="1" applyFill="1" applyBorder="1" applyAlignment="1">
      <alignment horizontal="right" vertical="top"/>
    </xf>
    <xf numFmtId="164" fontId="13" fillId="5" borderId="0" xfId="0" applyNumberFormat="1" applyFont="1" applyFill="1" applyBorder="1" applyAlignment="1">
      <alignment horizontal="center" wrapText="1"/>
    </xf>
    <xf numFmtId="37" fontId="13" fillId="0" borderId="0" xfId="0" applyNumberFormat="1" applyFont="1" applyFill="1" applyAlignment="1">
      <alignment wrapText="1"/>
    </xf>
    <xf numFmtId="3" fontId="22" fillId="9" borderId="0" xfId="0" applyNumberFormat="1" applyFont="1" applyFill="1" applyBorder="1" applyAlignment="1">
      <alignment horizontal="right" vertical="top"/>
    </xf>
    <xf numFmtId="170" fontId="13" fillId="0" borderId="0" xfId="0" applyNumberFormat="1" applyFont="1" applyFill="1" applyBorder="1" applyAlignment="1">
      <alignment horizontal="right" vertical="center"/>
    </xf>
    <xf numFmtId="3" fontId="32" fillId="9" borderId="0" xfId="0" applyNumberFormat="1" applyFont="1" applyFill="1" applyBorder="1" applyAlignment="1">
      <alignment horizontal="right"/>
    </xf>
    <xf numFmtId="164" fontId="13" fillId="0" borderId="24" xfId="0" applyNumberFormat="1" applyFont="1" applyFill="1" applyBorder="1" applyAlignment="1">
      <alignment horizontal="center" vertical="center"/>
    </xf>
    <xf numFmtId="37" fontId="15" fillId="9" borderId="0" xfId="0" applyNumberFormat="1" applyFont="1" applyFill="1" applyAlignment="1">
      <alignment vertical="center"/>
    </xf>
    <xf numFmtId="37" fontId="13" fillId="18" borderId="0" xfId="3" applyFont="1" applyFill="1" applyBorder="1" applyAlignment="1" applyProtection="1">
      <alignment horizontal="center"/>
      <protection locked="0"/>
    </xf>
    <xf numFmtId="49" fontId="42" fillId="0" borderId="2" xfId="14" applyNumberFormat="1" applyFont="1" applyFill="1" applyBorder="1" applyAlignment="1" applyProtection="1">
      <alignment horizontal="center"/>
    </xf>
    <xf numFmtId="166" fontId="22" fillId="0" borderId="20" xfId="7" applyNumberFormat="1" applyFont="1" applyFill="1" applyBorder="1" applyAlignment="1" applyProtection="1">
      <alignment horizontal="left"/>
      <protection locked="0"/>
    </xf>
    <xf numFmtId="37" fontId="21" fillId="0" borderId="20" xfId="4" applyFont="1" applyFill="1" applyBorder="1" applyAlignment="1" applyProtection="1">
      <alignment horizontal="left"/>
    </xf>
    <xf numFmtId="1" fontId="34" fillId="0" borderId="20" xfId="2" applyNumberFormat="1" applyFont="1" applyFill="1" applyBorder="1" applyAlignment="1">
      <alignment horizontal="left"/>
    </xf>
    <xf numFmtId="49" fontId="42" fillId="0" borderId="20" xfId="14" applyNumberFormat="1" applyFont="1" applyFill="1" applyBorder="1" applyAlignment="1" applyProtection="1">
      <alignment horizontal="center"/>
    </xf>
    <xf numFmtId="37" fontId="21" fillId="0" borderId="39" xfId="4" applyNumberFormat="1" applyFont="1" applyFill="1" applyBorder="1" applyAlignment="1" applyProtection="1">
      <alignment horizontal="center"/>
    </xf>
    <xf numFmtId="37" fontId="22" fillId="0" borderId="18" xfId="4" applyFont="1" applyFill="1" applyBorder="1" applyAlignment="1" applyProtection="1">
      <alignment horizontal="left"/>
    </xf>
    <xf numFmtId="37" fontId="43" fillId="0" borderId="9" xfId="4" applyNumberFormat="1" applyFont="1" applyFill="1" applyBorder="1" applyAlignment="1" applyProtection="1">
      <alignment horizontal="left"/>
    </xf>
    <xf numFmtId="37" fontId="21" fillId="0" borderId="0" xfId="4" applyNumberFormat="1" applyFont="1" applyFill="1" applyBorder="1" applyAlignment="1" applyProtection="1">
      <alignment horizontal="center"/>
    </xf>
    <xf numFmtId="37" fontId="21" fillId="0" borderId="0" xfId="4" applyFont="1" applyFill="1" applyBorder="1" applyAlignment="1"/>
    <xf numFmtId="37" fontId="21" fillId="0" borderId="0" xfId="4" applyFont="1" applyFill="1" applyBorder="1" applyAlignment="1">
      <alignment horizontal="left"/>
    </xf>
    <xf numFmtId="0" fontId="42" fillId="0" borderId="0" xfId="14" applyNumberFormat="1" applyFont="1" applyFill="1" applyBorder="1" applyAlignment="1" applyProtection="1">
      <alignment horizontal="center"/>
    </xf>
    <xf numFmtId="49" fontId="42" fillId="0" borderId="0" xfId="14" applyNumberFormat="1" applyFont="1" applyFill="1" applyBorder="1" applyAlignment="1" applyProtection="1">
      <alignment horizontal="center"/>
    </xf>
    <xf numFmtId="37" fontId="40" fillId="0" borderId="0" xfId="4" applyNumberFormat="1" applyFont="1" applyFill="1" applyBorder="1" applyAlignment="1" applyProtection="1">
      <alignment horizontal="center" wrapText="1"/>
    </xf>
    <xf numFmtId="3" fontId="22" fillId="0" borderId="18" xfId="4" applyNumberFormat="1" applyFont="1" applyFill="1" applyBorder="1" applyAlignment="1" applyProtection="1">
      <alignment horizontal="centerContinuous" wrapText="1"/>
      <protection locked="0"/>
    </xf>
    <xf numFmtId="37" fontId="40" fillId="0" borderId="20" xfId="4" applyNumberFormat="1" applyFont="1" applyFill="1" applyBorder="1" applyAlignment="1" applyProtection="1">
      <alignment horizontal="center" wrapText="1"/>
    </xf>
    <xf numFmtId="0" fontId="13" fillId="0" borderId="0" xfId="14" applyNumberFormat="1" applyFont="1" applyFill="1" applyBorder="1" applyAlignment="1" applyProtection="1">
      <alignment horizontal="left" wrapText="1"/>
    </xf>
    <xf numFmtId="49" fontId="13" fillId="0" borderId="0" xfId="14" applyNumberFormat="1" applyFont="1" applyFill="1" applyBorder="1" applyAlignment="1" applyProtection="1">
      <alignment horizontal="center" wrapText="1"/>
    </xf>
    <xf numFmtId="37" fontId="13" fillId="0" borderId="0" xfId="4" applyNumberFormat="1" applyFont="1" applyFill="1" applyBorder="1" applyAlignment="1" applyProtection="1">
      <alignment horizontal="center" wrapText="1"/>
    </xf>
    <xf numFmtId="37" fontId="40" fillId="0" borderId="2" xfId="4" applyNumberFormat="1" applyFont="1" applyFill="1" applyBorder="1" applyAlignment="1" applyProtection="1">
      <alignment horizontal="centerContinuous" wrapText="1"/>
    </xf>
    <xf numFmtId="0" fontId="13" fillId="19" borderId="2" xfId="14" applyNumberFormat="1" applyFont="1" applyFill="1" applyBorder="1" applyAlignment="1" applyProtection="1">
      <alignment horizontal="left" wrapText="1"/>
    </xf>
    <xf numFmtId="3" fontId="67" fillId="9" borderId="88" xfId="3" applyNumberFormat="1" applyFont="1" applyFill="1" applyBorder="1" applyAlignment="1" applyProtection="1">
      <alignment horizontal="right"/>
    </xf>
    <xf numFmtId="3" fontId="66" fillId="15" borderId="17" xfId="3" applyNumberFormat="1" applyFont="1" applyFill="1" applyBorder="1" applyAlignment="1" applyProtection="1">
      <alignment horizontal="right"/>
    </xf>
    <xf numFmtId="3" fontId="66" fillId="15" borderId="25" xfId="3" applyNumberFormat="1" applyFont="1" applyFill="1" applyBorder="1" applyAlignment="1" applyProtection="1">
      <alignment horizontal="right"/>
    </xf>
    <xf numFmtId="3" fontId="67" fillId="9" borderId="17" xfId="3" applyNumberFormat="1" applyFont="1" applyFill="1" applyBorder="1" applyAlignment="1" applyProtection="1">
      <alignment horizontal="right"/>
    </xf>
    <xf numFmtId="1" fontId="13" fillId="7" borderId="2" xfId="4" applyNumberFormat="1" applyFont="1" applyFill="1" applyBorder="1" applyAlignment="1" applyProtection="1">
      <alignment horizontal="center" wrapText="1"/>
    </xf>
    <xf numFmtId="37" fontId="13" fillId="0" borderId="95" xfId="0" applyNumberFormat="1" applyFont="1" applyFill="1" applyBorder="1" applyAlignment="1">
      <alignment vertical="center"/>
    </xf>
    <xf numFmtId="37" fontId="13" fillId="0" borderId="38" xfId="0" applyNumberFormat="1" applyFont="1" applyFill="1" applyBorder="1" applyAlignment="1"/>
    <xf numFmtId="37" fontId="13" fillId="0" borderId="21" xfId="0" applyNumberFormat="1" applyFont="1" applyFill="1" applyBorder="1" applyAlignment="1">
      <alignment vertical="top"/>
    </xf>
    <xf numFmtId="37" fontId="13" fillId="0" borderId="38" xfId="0" applyNumberFormat="1" applyFont="1" applyFill="1" applyBorder="1" applyAlignment="1">
      <alignment vertical="top"/>
    </xf>
    <xf numFmtId="37" fontId="13" fillId="0" borderId="93" xfId="0" applyNumberFormat="1" applyFont="1" applyFill="1" applyBorder="1" applyAlignment="1">
      <alignment vertical="center"/>
    </xf>
    <xf numFmtId="37" fontId="13" fillId="0" borderId="93" xfId="0" applyNumberFormat="1" applyFont="1" applyFill="1" applyBorder="1" applyAlignment="1"/>
    <xf numFmtId="37" fontId="13" fillId="0" borderId="0" xfId="0" applyNumberFormat="1" applyFont="1" applyFill="1" applyBorder="1" applyAlignment="1">
      <alignment vertical="top"/>
    </xf>
    <xf numFmtId="9" fontId="13" fillId="0" borderId="0" xfId="6" applyFont="1" applyFill="1" applyAlignment="1"/>
    <xf numFmtId="37" fontId="13" fillId="0" borderId="69" xfId="0" applyNumberFormat="1" applyFont="1" applyFill="1" applyBorder="1" applyAlignment="1"/>
    <xf numFmtId="37" fontId="77" fillId="0" borderId="0" xfId="0" applyNumberFormat="1" applyFont="1" applyFill="1" applyAlignment="1"/>
    <xf numFmtId="9" fontId="67" fillId="0" borderId="6" xfId="6" applyFont="1" applyFill="1" applyBorder="1" applyAlignment="1"/>
    <xf numFmtId="9" fontId="67" fillId="0" borderId="2" xfId="6" applyFont="1" applyFill="1" applyBorder="1" applyAlignment="1"/>
    <xf numFmtId="9" fontId="67" fillId="0" borderId="96" xfId="6" applyFont="1" applyFill="1" applyBorder="1" applyAlignment="1"/>
    <xf numFmtId="9" fontId="67" fillId="11" borderId="96" xfId="6" applyFont="1" applyFill="1" applyBorder="1" applyAlignment="1"/>
    <xf numFmtId="37" fontId="75" fillId="0" borderId="2" xfId="0" applyNumberFormat="1" applyFont="1" applyFill="1" applyBorder="1" applyAlignment="1">
      <alignment horizontal="right"/>
    </xf>
    <xf numFmtId="37" fontId="75" fillId="0" borderId="0" xfId="0" applyNumberFormat="1" applyFont="1" applyFill="1" applyBorder="1" applyAlignment="1">
      <alignment horizontal="right"/>
    </xf>
    <xf numFmtId="0" fontId="76" fillId="19" borderId="2" xfId="14" applyNumberFormat="1" applyFont="1" applyFill="1" applyBorder="1" applyAlignment="1" applyProtection="1">
      <alignment horizontal="center"/>
      <protection locked="0"/>
    </xf>
    <xf numFmtId="0" fontId="76" fillId="19" borderId="2" xfId="19" applyNumberFormat="1" applyFont="1" applyFill="1" applyBorder="1" applyAlignment="1" applyProtection="1">
      <alignment horizontal="left" wrapText="1"/>
      <protection locked="0"/>
    </xf>
    <xf numFmtId="0" fontId="76" fillId="19" borderId="2" xfId="19" applyNumberFormat="1" applyFont="1" applyFill="1" applyBorder="1" applyAlignment="1" applyProtection="1">
      <alignment horizontal="center"/>
      <protection locked="0"/>
    </xf>
    <xf numFmtId="1" fontId="76" fillId="19" borderId="2" xfId="19" applyNumberFormat="1" applyFont="1" applyFill="1" applyBorder="1" applyAlignment="1" applyProtection="1">
      <alignment horizontal="center"/>
      <protection locked="0"/>
    </xf>
    <xf numFmtId="3" fontId="22" fillId="16" borderId="6" xfId="4" applyNumberFormat="1" applyFont="1" applyFill="1" applyBorder="1" applyAlignment="1" applyProtection="1">
      <alignment horizontal="center" wrapText="1"/>
      <protection locked="0"/>
    </xf>
    <xf numFmtId="3" fontId="22" fillId="0" borderId="2" xfId="4" applyNumberFormat="1" applyFont="1" applyFill="1" applyBorder="1" applyAlignment="1" applyProtection="1">
      <alignment horizontal="center" wrapText="1"/>
      <protection locked="0"/>
    </xf>
    <xf numFmtId="3" fontId="22" fillId="16" borderId="8" xfId="4" applyNumberFormat="1" applyFont="1" applyFill="1" applyBorder="1" applyAlignment="1" applyProtection="1">
      <alignment horizontal="center" wrapText="1"/>
      <protection locked="0"/>
    </xf>
    <xf numFmtId="3" fontId="22" fillId="16" borderId="99" xfId="4" applyNumberFormat="1" applyFont="1" applyFill="1" applyBorder="1" applyAlignment="1" applyProtection="1">
      <alignment horizontal="center" wrapText="1"/>
      <protection locked="0"/>
    </xf>
    <xf numFmtId="3" fontId="67" fillId="15" borderId="10" xfId="4" applyNumberFormat="1" applyFont="1" applyFill="1" applyBorder="1" applyAlignment="1" applyProtection="1">
      <alignment horizontal="center" wrapText="1"/>
    </xf>
    <xf numFmtId="3" fontId="22" fillId="0" borderId="22" xfId="4" applyNumberFormat="1" applyFont="1" applyFill="1" applyBorder="1" applyAlignment="1" applyProtection="1">
      <alignment horizontal="center" wrapText="1"/>
      <protection locked="0"/>
    </xf>
    <xf numFmtId="3" fontId="67" fillId="9" borderId="10" xfId="4" applyNumberFormat="1" applyFont="1" applyFill="1" applyBorder="1" applyAlignment="1" applyProtection="1">
      <alignment horizontal="center" wrapText="1"/>
    </xf>
    <xf numFmtId="3" fontId="67" fillId="9" borderId="100" xfId="4" applyNumberFormat="1" applyFont="1" applyFill="1" applyBorder="1" applyAlignment="1" applyProtection="1">
      <alignment horizontal="center" wrapText="1"/>
    </xf>
    <xf numFmtId="3" fontId="22" fillId="16" borderId="101" xfId="4" applyNumberFormat="1" applyFont="1" applyFill="1" applyBorder="1" applyAlignment="1" applyProtection="1">
      <alignment horizontal="center" wrapText="1"/>
      <protection locked="0"/>
    </xf>
    <xf numFmtId="3" fontId="22" fillId="16" borderId="10" xfId="4" applyNumberFormat="1" applyFont="1" applyFill="1" applyBorder="1" applyAlignment="1" applyProtection="1">
      <alignment horizontal="center" wrapText="1"/>
      <protection locked="0"/>
    </xf>
    <xf numFmtId="3" fontId="67" fillId="15" borderId="6" xfId="4" applyNumberFormat="1" applyFont="1" applyFill="1" applyBorder="1" applyAlignment="1" applyProtection="1">
      <alignment horizontal="center" wrapText="1"/>
    </xf>
    <xf numFmtId="3" fontId="67" fillId="15" borderId="89" xfId="4" applyNumberFormat="1" applyFont="1" applyFill="1" applyBorder="1" applyAlignment="1" applyProtection="1">
      <alignment horizontal="center" wrapText="1"/>
    </xf>
    <xf numFmtId="3" fontId="67" fillId="9" borderId="6" xfId="4" applyNumberFormat="1" applyFont="1" applyFill="1" applyBorder="1" applyAlignment="1" applyProtection="1">
      <alignment horizontal="center" wrapText="1"/>
    </xf>
    <xf numFmtId="167" fontId="13" fillId="7" borderId="10" xfId="4" applyNumberFormat="1" applyFont="1" applyFill="1" applyBorder="1" applyAlignment="1">
      <alignment horizontal="center" wrapText="1"/>
    </xf>
    <xf numFmtId="3" fontId="67" fillId="15" borderId="18" xfId="4" applyNumberFormat="1" applyFont="1" applyFill="1" applyBorder="1" applyAlignment="1" applyProtection="1">
      <alignment horizontal="center" wrapText="1"/>
    </xf>
    <xf numFmtId="37" fontId="13" fillId="7" borderId="10" xfId="4" applyNumberFormat="1" applyFont="1" applyFill="1" applyBorder="1" applyAlignment="1">
      <alignment horizontal="center" wrapText="1"/>
    </xf>
    <xf numFmtId="37" fontId="13" fillId="0" borderId="17" xfId="0" applyNumberFormat="1" applyFont="1" applyFill="1" applyBorder="1" applyAlignment="1"/>
    <xf numFmtId="37" fontId="13" fillId="0" borderId="7" xfId="0" applyNumberFormat="1" applyFont="1" applyFill="1" applyBorder="1" applyAlignment="1">
      <alignment horizontal="right"/>
    </xf>
    <xf numFmtId="37" fontId="13" fillId="0" borderId="6" xfId="0" applyNumberFormat="1" applyFont="1" applyFill="1" applyBorder="1" applyAlignment="1"/>
    <xf numFmtId="37" fontId="13" fillId="0" borderId="17" xfId="0" applyNumberFormat="1" applyFont="1" applyFill="1" applyBorder="1" applyAlignment="1">
      <alignment vertical="center"/>
    </xf>
    <xf numFmtId="3" fontId="22" fillId="0" borderId="6" xfId="4" applyNumberFormat="1" applyFont="1" applyFill="1" applyBorder="1" applyAlignment="1" applyProtection="1">
      <alignment horizontal="center" wrapText="1"/>
      <protection locked="0"/>
    </xf>
    <xf numFmtId="3" fontId="22" fillId="14" borderId="11" xfId="4" applyNumberFormat="1" applyFont="1" applyFill="1" applyBorder="1" applyAlignment="1" applyProtection="1">
      <alignment horizontal="center" wrapText="1"/>
      <protection locked="0"/>
    </xf>
    <xf numFmtId="3" fontId="22" fillId="0" borderId="11" xfId="4" applyNumberFormat="1" applyFont="1" applyFill="1" applyBorder="1" applyAlignment="1" applyProtection="1">
      <alignment horizontal="center" wrapText="1"/>
      <protection locked="0"/>
    </xf>
    <xf numFmtId="0" fontId="76" fillId="19" borderId="84" xfId="14" applyNumberFormat="1" applyFont="1" applyFill="1" applyBorder="1" applyAlignment="1" applyProtection="1">
      <alignment horizontal="left"/>
      <protection locked="0"/>
    </xf>
    <xf numFmtId="37" fontId="13" fillId="0" borderId="2" xfId="4" applyFont="1" applyFill="1" applyBorder="1" applyAlignment="1" applyProtection="1">
      <alignment horizontal="left"/>
    </xf>
    <xf numFmtId="37" fontId="67" fillId="0" borderId="87" xfId="4" applyNumberFormat="1" applyFont="1" applyFill="1" applyBorder="1" applyAlignment="1" applyProtection="1">
      <alignment horizontal="centerContinuous" wrapText="1"/>
      <protection locked="0"/>
    </xf>
    <xf numFmtId="3" fontId="67" fillId="9" borderId="24" xfId="3" applyNumberFormat="1" applyFont="1" applyFill="1" applyBorder="1" applyAlignment="1" applyProtection="1">
      <alignment horizontal="center" wrapText="1"/>
      <protection locked="0"/>
    </xf>
    <xf numFmtId="169" fontId="66" fillId="0" borderId="0" xfId="6" applyNumberFormat="1" applyFont="1" applyFill="1"/>
    <xf numFmtId="3" fontId="66" fillId="15" borderId="49" xfId="3" applyNumberFormat="1" applyFont="1" applyFill="1" applyBorder="1" applyAlignment="1" applyProtection="1">
      <alignment horizontal="right"/>
    </xf>
    <xf numFmtId="3" fontId="67" fillId="9" borderId="81" xfId="3" applyNumberFormat="1" applyFont="1" applyFill="1" applyBorder="1" applyAlignment="1" applyProtection="1">
      <alignment horizontal="right"/>
    </xf>
    <xf numFmtId="3" fontId="67" fillId="9" borderId="88" xfId="3" applyNumberFormat="1" applyFont="1" applyFill="1" applyBorder="1" applyAlignment="1" applyProtection="1">
      <alignment horizontal="right"/>
    </xf>
    <xf numFmtId="3" fontId="66" fillId="15" borderId="17" xfId="3" applyNumberFormat="1" applyFont="1" applyFill="1" applyBorder="1" applyAlignment="1" applyProtection="1">
      <alignment horizontal="right"/>
    </xf>
    <xf numFmtId="3" fontId="67" fillId="9" borderId="26" xfId="3" applyNumberFormat="1" applyFont="1" applyFill="1" applyBorder="1" applyAlignment="1" applyProtection="1">
      <alignment horizontal="right"/>
    </xf>
    <xf numFmtId="3" fontId="66" fillId="15" borderId="25" xfId="3" applyNumberFormat="1" applyFont="1" applyFill="1" applyBorder="1" applyAlignment="1" applyProtection="1">
      <alignment horizontal="right"/>
    </xf>
    <xf numFmtId="3" fontId="67" fillId="9" borderId="17" xfId="3" applyNumberFormat="1" applyFont="1" applyFill="1" applyBorder="1" applyAlignment="1" applyProtection="1">
      <alignment horizontal="right"/>
    </xf>
    <xf numFmtId="37" fontId="13" fillId="0" borderId="69" xfId="0" applyNumberFormat="1" applyFont="1" applyFill="1" applyBorder="1" applyAlignment="1">
      <alignment horizontal="right" vertical="top"/>
    </xf>
    <xf numFmtId="37" fontId="13" fillId="0" borderId="66" xfId="0" applyNumberFormat="1" applyFont="1" applyFill="1" applyBorder="1" applyAlignment="1">
      <alignment horizontal="right" vertical="top"/>
    </xf>
    <xf numFmtId="37" fontId="22" fillId="0" borderId="68" xfId="0" applyNumberFormat="1" applyFont="1" applyFill="1" applyBorder="1" applyAlignment="1">
      <alignment horizontal="left" vertical="top"/>
    </xf>
    <xf numFmtId="37" fontId="44" fillId="0" borderId="72" xfId="0" applyNumberFormat="1" applyFont="1" applyFill="1" applyBorder="1" applyAlignment="1">
      <alignment horizontal="right" vertical="top"/>
    </xf>
    <xf numFmtId="3" fontId="22" fillId="11" borderId="71" xfId="0" applyNumberFormat="1" applyFont="1" applyFill="1" applyBorder="1" applyAlignment="1"/>
    <xf numFmtId="37" fontId="22" fillId="43" borderId="34" xfId="0" applyNumberFormat="1" applyFont="1" applyFill="1" applyBorder="1" applyAlignment="1"/>
    <xf numFmtId="3" fontId="13" fillId="43" borderId="38" xfId="0" applyNumberFormat="1" applyFont="1" applyFill="1" applyBorder="1" applyAlignment="1"/>
    <xf numFmtId="3" fontId="13" fillId="43" borderId="65" xfId="0" applyNumberFormat="1" applyFont="1" applyFill="1" applyBorder="1" applyAlignment="1"/>
    <xf numFmtId="3" fontId="22" fillId="43" borderId="71" xfId="0" applyNumberFormat="1" applyFont="1" applyFill="1" applyBorder="1" applyAlignment="1"/>
    <xf numFmtId="37" fontId="13" fillId="43" borderId="7" xfId="0" applyNumberFormat="1" applyFont="1" applyFill="1" applyBorder="1" applyAlignment="1"/>
    <xf numFmtId="37" fontId="13" fillId="43" borderId="28" xfId="0" applyNumberFormat="1" applyFont="1" applyFill="1" applyBorder="1" applyAlignment="1"/>
    <xf numFmtId="37" fontId="22" fillId="43" borderId="91" xfId="0" applyNumberFormat="1" applyFont="1" applyFill="1" applyBorder="1" applyAlignment="1">
      <alignment horizontal="right"/>
    </xf>
    <xf numFmtId="37" fontId="22" fillId="0" borderId="111" xfId="0" applyNumberFormat="1" applyFont="1" applyFill="1" applyBorder="1" applyAlignment="1"/>
    <xf numFmtId="37" fontId="22" fillId="0" borderId="93" xfId="0" applyNumberFormat="1" applyFont="1" applyFill="1" applyBorder="1" applyAlignment="1"/>
    <xf numFmtId="37" fontId="22" fillId="43" borderId="113" xfId="0" applyNumberFormat="1" applyFont="1" applyFill="1" applyBorder="1" applyAlignment="1"/>
    <xf numFmtId="37" fontId="22" fillId="0" borderId="21" xfId="0" applyNumberFormat="1" applyFont="1" applyFill="1" applyBorder="1" applyAlignment="1"/>
    <xf numFmtId="37" fontId="22" fillId="0" borderId="114" xfId="0" applyNumberFormat="1" applyFont="1" applyFill="1" applyBorder="1" applyAlignment="1"/>
    <xf numFmtId="37" fontId="22" fillId="0" borderId="113" xfId="0" applyNumberFormat="1" applyFont="1" applyFill="1" applyBorder="1" applyAlignment="1"/>
    <xf numFmtId="37" fontId="22" fillId="0" borderId="28" xfId="0" applyNumberFormat="1" applyFont="1" applyFill="1" applyBorder="1" applyAlignment="1">
      <alignment horizontal="right"/>
    </xf>
    <xf numFmtId="3" fontId="22" fillId="0" borderId="65" xfId="0" applyNumberFormat="1" applyFont="1" applyFill="1" applyBorder="1" applyAlignment="1"/>
    <xf numFmtId="3" fontId="22" fillId="43" borderId="65" xfId="0" applyNumberFormat="1" applyFont="1" applyFill="1" applyBorder="1" applyAlignment="1"/>
    <xf numFmtId="37" fontId="13" fillId="0" borderId="115" xfId="0" applyNumberFormat="1" applyFont="1" applyFill="1" applyBorder="1" applyAlignment="1"/>
    <xf numFmtId="3" fontId="13" fillId="0" borderId="112" xfId="0" applyNumberFormat="1" applyFont="1" applyFill="1" applyBorder="1" applyAlignment="1"/>
    <xf numFmtId="3" fontId="13" fillId="43" borderId="112" xfId="0" applyNumberFormat="1" applyFont="1" applyFill="1" applyBorder="1" applyAlignment="1"/>
    <xf numFmtId="37" fontId="103" fillId="0" borderId="7" xfId="0" applyNumberFormat="1" applyFont="1" applyFill="1" applyBorder="1" applyAlignment="1"/>
    <xf numFmtId="37" fontId="103" fillId="0" borderId="12" xfId="0" applyNumberFormat="1" applyFont="1" applyFill="1" applyBorder="1" applyAlignment="1"/>
    <xf numFmtId="37" fontId="103" fillId="0" borderId="33" xfId="0" applyNumberFormat="1" applyFont="1" applyFill="1" applyBorder="1" applyAlignment="1"/>
    <xf numFmtId="37" fontId="103" fillId="0" borderId="13" xfId="0" applyNumberFormat="1" applyFont="1" applyFill="1" applyBorder="1" applyAlignment="1"/>
    <xf numFmtId="37" fontId="103" fillId="0" borderId="38" xfId="0" applyNumberFormat="1" applyFont="1" applyFill="1" applyBorder="1" applyAlignment="1"/>
    <xf numFmtId="37" fontId="103" fillId="0" borderId="21" xfId="0" applyNumberFormat="1" applyFont="1" applyFill="1" applyBorder="1" applyAlignment="1"/>
    <xf numFmtId="37" fontId="103" fillId="0" borderId="28" xfId="0" applyNumberFormat="1" applyFont="1" applyFill="1" applyBorder="1" applyAlignment="1"/>
    <xf numFmtId="37" fontId="103" fillId="0" borderId="30" xfId="0" applyNumberFormat="1" applyFont="1" applyFill="1" applyBorder="1" applyAlignment="1"/>
    <xf numFmtId="37" fontId="103" fillId="0" borderId="111" xfId="0" applyNumberFormat="1" applyFont="1" applyFill="1" applyBorder="1" applyAlignment="1"/>
    <xf numFmtId="37" fontId="103" fillId="0" borderId="0" xfId="0" applyNumberFormat="1" applyFont="1" applyFill="1" applyAlignment="1"/>
    <xf numFmtId="37" fontId="103" fillId="0" borderId="65" xfId="0" applyNumberFormat="1" applyFont="1" applyFill="1" applyBorder="1" applyAlignment="1"/>
    <xf numFmtId="37" fontId="103" fillId="0" borderId="7" xfId="0" applyNumberFormat="1" applyFont="1" applyFill="1" applyBorder="1" applyAlignment="1">
      <alignment vertical="center"/>
    </xf>
    <xf numFmtId="37" fontId="103" fillId="0" borderId="7" xfId="0" applyNumberFormat="1" applyFont="1" applyFill="1" applyBorder="1" applyAlignment="1">
      <alignment vertical="top"/>
    </xf>
    <xf numFmtId="37" fontId="103" fillId="0" borderId="21" xfId="0" applyNumberFormat="1" applyFont="1" applyFill="1" applyBorder="1" applyAlignment="1">
      <alignment vertical="top"/>
    </xf>
    <xf numFmtId="37" fontId="103" fillId="0" borderId="38" xfId="0" applyNumberFormat="1" applyFont="1" applyFill="1" applyBorder="1" applyAlignment="1">
      <alignment vertical="top"/>
    </xf>
    <xf numFmtId="37" fontId="103" fillId="0" borderId="94" xfId="0" applyNumberFormat="1" applyFont="1" applyFill="1" applyBorder="1" applyAlignment="1"/>
    <xf numFmtId="37" fontId="103" fillId="0" borderId="7" xfId="0" applyNumberFormat="1" applyFont="1" applyFill="1" applyBorder="1" applyAlignment="1">
      <alignment wrapText="1"/>
    </xf>
    <xf numFmtId="37" fontId="103" fillId="0" borderId="12" xfId="0" applyNumberFormat="1" applyFont="1" applyFill="1" applyBorder="1" applyAlignment="1">
      <alignment wrapText="1"/>
    </xf>
    <xf numFmtId="37" fontId="103" fillId="0" borderId="7" xfId="0" applyNumberFormat="1" applyFont="1" applyFill="1" applyBorder="1" applyAlignment="1">
      <alignment horizontal="right"/>
    </xf>
    <xf numFmtId="37" fontId="103" fillId="0" borderId="21" xfId="0" applyNumberFormat="1" applyFont="1" applyFill="1" applyBorder="1" applyAlignment="1">
      <alignment horizontal="right"/>
    </xf>
    <xf numFmtId="37" fontId="103" fillId="0" borderId="38" xfId="0" applyNumberFormat="1" applyFont="1" applyFill="1" applyBorder="1" applyAlignment="1">
      <alignment horizontal="right"/>
    </xf>
    <xf numFmtId="37" fontId="103" fillId="0" borderId="7" xfId="0" applyNumberFormat="1" applyFont="1" applyFill="1" applyBorder="1" applyAlignment="1">
      <alignment vertical="distributed"/>
    </xf>
    <xf numFmtId="37" fontId="103" fillId="0" borderId="34" xfId="0" applyNumberFormat="1" applyFont="1" applyFill="1" applyBorder="1" applyAlignment="1">
      <alignment vertical="center"/>
    </xf>
    <xf numFmtId="37" fontId="103" fillId="0" borderId="30" xfId="0" applyNumberFormat="1" applyFont="1" applyFill="1" applyBorder="1" applyAlignment="1">
      <alignment vertical="distributed"/>
    </xf>
    <xf numFmtId="37" fontId="103" fillId="0" borderId="62" xfId="0" applyNumberFormat="1" applyFont="1" applyFill="1" applyBorder="1" applyAlignment="1"/>
    <xf numFmtId="37" fontId="103" fillId="0" borderId="0" xfId="0" applyNumberFormat="1" applyFont="1" applyFill="1" applyBorder="1" applyAlignment="1"/>
    <xf numFmtId="37" fontId="103" fillId="0" borderId="37" xfId="0" applyNumberFormat="1" applyFont="1" applyFill="1" applyBorder="1" applyAlignment="1"/>
    <xf numFmtId="37" fontId="103" fillId="0" borderId="37" xfId="0" applyNumberFormat="1" applyFont="1" applyFill="1" applyBorder="1" applyAlignment="1">
      <alignment vertical="center"/>
    </xf>
    <xf numFmtId="37" fontId="103" fillId="0" borderId="90" xfId="0" applyNumberFormat="1" applyFont="1" applyFill="1" applyBorder="1" applyAlignment="1"/>
    <xf numFmtId="37" fontId="103" fillId="0" borderId="80" xfId="0" applyNumberFormat="1" applyFont="1" applyFill="1" applyBorder="1" applyAlignment="1"/>
    <xf numFmtId="37" fontId="103" fillId="0" borderId="20" xfId="0" applyNumberFormat="1" applyFont="1" applyFill="1" applyBorder="1" applyAlignment="1">
      <alignment vertical="center"/>
    </xf>
    <xf numFmtId="37" fontId="103" fillId="0" borderId="2" xfId="0" applyNumberFormat="1" applyFont="1" applyFill="1" applyBorder="1" applyAlignment="1"/>
    <xf numFmtId="37" fontId="104" fillId="0" borderId="90" xfId="0" applyNumberFormat="1" applyFont="1" applyFill="1" applyBorder="1" applyAlignment="1">
      <alignment vertical="center"/>
    </xf>
    <xf numFmtId="37" fontId="104" fillId="0" borderId="97" xfId="0" applyNumberFormat="1" applyFont="1" applyFill="1" applyBorder="1" applyAlignment="1">
      <alignment vertical="center"/>
    </xf>
    <xf numFmtId="37" fontId="103" fillId="0" borderId="95" xfId="0" applyNumberFormat="1" applyFont="1" applyFill="1" applyBorder="1" applyAlignment="1">
      <alignment vertical="center"/>
    </xf>
    <xf numFmtId="37" fontId="103" fillId="0" borderId="96" xfId="0" applyNumberFormat="1" applyFont="1" applyFill="1" applyBorder="1" applyAlignment="1"/>
    <xf numFmtId="37" fontId="103" fillId="0" borderId="98" xfId="0" applyNumberFormat="1" applyFont="1" applyFill="1" applyBorder="1" applyAlignment="1"/>
    <xf numFmtId="3" fontId="52" fillId="8" borderId="0" xfId="0" quotePrefix="1" applyNumberFormat="1" applyFont="1" applyFill="1" applyBorder="1" applyAlignment="1">
      <alignment horizontal="right"/>
    </xf>
    <xf numFmtId="3" fontId="75" fillId="8" borderId="0" xfId="0" applyNumberFormat="1" applyFont="1" applyFill="1" applyBorder="1" applyAlignment="1">
      <alignment horizontal="right"/>
    </xf>
    <xf numFmtId="3" fontId="13" fillId="0" borderId="7" xfId="0" applyNumberFormat="1" applyFont="1" applyFill="1" applyBorder="1" applyAlignment="1"/>
    <xf numFmtId="3" fontId="13" fillId="0" borderId="21" xfId="0" applyNumberFormat="1" applyFont="1" applyFill="1" applyBorder="1" applyAlignment="1"/>
    <xf numFmtId="3" fontId="13" fillId="0" borderId="28" xfId="0" applyNumberFormat="1" applyFont="1" applyFill="1" applyBorder="1" applyAlignment="1"/>
    <xf numFmtId="3" fontId="13" fillId="0" borderId="79" xfId="0" applyNumberFormat="1" applyFont="1" applyFill="1" applyBorder="1" applyAlignment="1"/>
    <xf numFmtId="3" fontId="13" fillId="0" borderId="68" xfId="0" applyNumberFormat="1" applyFont="1" applyFill="1" applyBorder="1" applyAlignment="1"/>
    <xf numFmtId="3" fontId="13" fillId="0" borderId="69" xfId="0" applyNumberFormat="1" applyFont="1" applyFill="1" applyBorder="1" applyAlignment="1"/>
    <xf numFmtId="3" fontId="22" fillId="0" borderId="79" xfId="0" applyNumberFormat="1" applyFont="1" applyFill="1" applyBorder="1" applyAlignment="1"/>
    <xf numFmtId="3" fontId="22" fillId="0" borderId="7" xfId="0" applyNumberFormat="1" applyFont="1" applyFill="1" applyBorder="1" applyAlignment="1"/>
    <xf numFmtId="3" fontId="22" fillId="0" borderId="61" xfId="0" applyNumberFormat="1" applyFont="1" applyFill="1" applyBorder="1" applyAlignment="1"/>
    <xf numFmtId="3" fontId="22" fillId="0" borderId="12" xfId="0" applyNumberFormat="1" applyFont="1" applyFill="1" applyBorder="1" applyAlignment="1"/>
    <xf numFmtId="3" fontId="22" fillId="0" borderId="82" xfId="0" applyNumberFormat="1" applyFont="1" applyFill="1" applyBorder="1" applyAlignment="1"/>
    <xf numFmtId="3" fontId="13" fillId="0" borderId="7" xfId="0" applyNumberFormat="1" applyFont="1" applyFill="1" applyBorder="1" applyAlignment="1">
      <alignment wrapText="1"/>
    </xf>
    <xf numFmtId="3" fontId="13" fillId="0" borderId="21" xfId="0" applyNumberFormat="1" applyFont="1" applyFill="1" applyBorder="1" applyAlignment="1">
      <alignment wrapText="1"/>
    </xf>
    <xf numFmtId="3" fontId="13" fillId="0" borderId="68" xfId="0" applyNumberFormat="1" applyFont="1" applyFill="1" applyBorder="1" applyAlignment="1">
      <alignment wrapText="1"/>
    </xf>
    <xf numFmtId="3" fontId="22" fillId="0" borderId="59" xfId="0" applyNumberFormat="1" applyFont="1" applyFill="1" applyBorder="1" applyAlignment="1"/>
    <xf numFmtId="3" fontId="13" fillId="8" borderId="21" xfId="0" applyNumberFormat="1" applyFont="1" applyFill="1" applyBorder="1" applyAlignment="1">
      <alignment wrapText="1"/>
    </xf>
    <xf numFmtId="3" fontId="22" fillId="0" borderId="78" xfId="0" applyNumberFormat="1" applyFont="1" applyFill="1" applyBorder="1" applyAlignment="1"/>
    <xf numFmtId="3" fontId="22" fillId="0" borderId="83" xfId="0" applyNumberFormat="1" applyFont="1" applyFill="1" applyBorder="1" applyAlignment="1"/>
    <xf numFmtId="3" fontId="52" fillId="8" borderId="0" xfId="0" applyNumberFormat="1" applyFont="1" applyFill="1" applyBorder="1" applyAlignment="1">
      <alignment horizontal="right"/>
    </xf>
    <xf numFmtId="3" fontId="13" fillId="8" borderId="0" xfId="0" applyNumberFormat="1" applyFont="1" applyFill="1" applyBorder="1" applyAlignment="1">
      <alignment horizontal="right"/>
    </xf>
    <xf numFmtId="37" fontId="13" fillId="9" borderId="0" xfId="0" applyNumberFormat="1" applyFont="1" applyFill="1" applyAlignment="1">
      <alignment horizontal="center" vertical="center"/>
    </xf>
    <xf numFmtId="37" fontId="13" fillId="44" borderId="0" xfId="3" applyFont="1" applyFill="1" applyBorder="1" applyAlignment="1" applyProtection="1">
      <alignment horizontal="center"/>
      <protection locked="0"/>
    </xf>
    <xf numFmtId="37" fontId="13" fillId="44" borderId="0" xfId="3" applyFont="1" applyFill="1" applyBorder="1" applyAlignment="1" applyProtection="1">
      <alignment horizontal="left"/>
      <protection locked="0"/>
    </xf>
    <xf numFmtId="37" fontId="105" fillId="44" borderId="0" xfId="3" applyFont="1" applyFill="1" applyBorder="1" applyAlignment="1" applyProtection="1">
      <alignment horizontal="right"/>
      <protection locked="0"/>
    </xf>
    <xf numFmtId="49" fontId="13" fillId="44" borderId="0" xfId="14" applyNumberFormat="1" applyFont="1" applyFill="1" applyBorder="1" applyAlignment="1" applyProtection="1">
      <alignment horizontal="center"/>
      <protection locked="0"/>
    </xf>
    <xf numFmtId="1" fontId="13" fillId="44" borderId="0" xfId="3" applyNumberFormat="1" applyFont="1" applyFill="1" applyBorder="1" applyAlignment="1" applyProtection="1">
      <alignment horizontal="center"/>
      <protection locked="0"/>
    </xf>
    <xf numFmtId="3" fontId="13" fillId="14" borderId="11" xfId="3" applyNumberFormat="1" applyFont="1" applyFill="1" applyBorder="1" applyAlignment="1" applyProtection="1">
      <alignment horizontal="right"/>
      <protection locked="0"/>
    </xf>
    <xf numFmtId="3" fontId="22" fillId="0" borderId="11" xfId="15" applyNumberFormat="1" applyFont="1" applyFill="1" applyBorder="1" applyAlignment="1" applyProtection="1">
      <alignment horizontal="right"/>
      <protection locked="0"/>
    </xf>
    <xf numFmtId="3" fontId="13" fillId="14" borderId="24" xfId="3" applyNumberFormat="1" applyFont="1" applyFill="1" applyBorder="1" applyAlignment="1" applyProtection="1">
      <alignment horizontal="right"/>
      <protection locked="0"/>
    </xf>
    <xf numFmtId="3" fontId="106" fillId="0" borderId="24" xfId="0" applyNumberFormat="1" applyFont="1" applyFill="1" applyBorder="1" applyAlignment="1">
      <alignment vertical="top"/>
    </xf>
    <xf numFmtId="3" fontId="80" fillId="0" borderId="11" xfId="0" applyNumberFormat="1" applyFont="1" applyFill="1" applyBorder="1" applyAlignment="1">
      <alignment vertical="top"/>
    </xf>
    <xf numFmtId="3" fontId="13" fillId="8" borderId="11" xfId="3" applyNumberFormat="1" applyFont="1" applyFill="1" applyBorder="1" applyAlignment="1" applyProtection="1">
      <alignment horizontal="right"/>
      <protection locked="0"/>
    </xf>
    <xf numFmtId="3" fontId="22" fillId="0" borderId="24" xfId="15" applyNumberFormat="1" applyFont="1" applyFill="1" applyBorder="1" applyAlignment="1" applyProtection="1">
      <alignment horizontal="right"/>
      <protection locked="0"/>
    </xf>
    <xf numFmtId="3" fontId="106" fillId="0" borderId="11" xfId="0" applyNumberFormat="1" applyFont="1" applyFill="1" applyBorder="1" applyAlignment="1">
      <alignment vertical="top"/>
    </xf>
    <xf numFmtId="3" fontId="80" fillId="0" borderId="24" xfId="0" applyNumberFormat="1" applyFont="1" applyFill="1" applyBorder="1" applyAlignment="1">
      <alignment vertical="top"/>
    </xf>
    <xf numFmtId="3" fontId="80" fillId="0" borderId="116" xfId="0" applyNumberFormat="1" applyFont="1" applyFill="1" applyBorder="1" applyAlignment="1">
      <alignment vertical="top"/>
    </xf>
    <xf numFmtId="37" fontId="44" fillId="44" borderId="0" xfId="3" applyFont="1" applyFill="1" applyBorder="1" applyAlignment="1" applyProtection="1">
      <alignment horizontal="right"/>
      <protection locked="0"/>
    </xf>
    <xf numFmtId="3" fontId="13" fillId="14" borderId="17" xfId="3" applyNumberFormat="1" applyFont="1" applyFill="1" applyBorder="1" applyAlignment="1" applyProtection="1">
      <alignment horizontal="right"/>
      <protection locked="0"/>
    </xf>
    <xf numFmtId="3" fontId="22" fillId="0" borderId="17" xfId="15" applyNumberFormat="1" applyFont="1" applyFill="1" applyBorder="1" applyAlignment="1" applyProtection="1">
      <alignment horizontal="right"/>
      <protection locked="0"/>
    </xf>
    <xf numFmtId="3" fontId="13" fillId="14" borderId="23" xfId="3" applyNumberFormat="1" applyFont="1" applyFill="1" applyBorder="1" applyAlignment="1" applyProtection="1">
      <alignment horizontal="right"/>
      <protection locked="0"/>
    </xf>
    <xf numFmtId="3" fontId="22" fillId="0" borderId="23" xfId="15" applyNumberFormat="1" applyFont="1" applyFill="1" applyBorder="1" applyAlignment="1" applyProtection="1">
      <alignment horizontal="right"/>
      <protection locked="0"/>
    </xf>
    <xf numFmtId="3" fontId="13" fillId="0" borderId="17" xfId="15" applyNumberFormat="1" applyFont="1" applyFill="1" applyBorder="1" applyAlignment="1" applyProtection="1">
      <alignment horizontal="right"/>
      <protection locked="0"/>
    </xf>
    <xf numFmtId="3" fontId="13" fillId="0" borderId="23" xfId="15" applyNumberFormat="1" applyFont="1" applyFill="1" applyBorder="1" applyAlignment="1" applyProtection="1">
      <alignment horizontal="right"/>
      <protection locked="0"/>
    </xf>
    <xf numFmtId="3" fontId="13" fillId="0" borderId="26" xfId="15" applyNumberFormat="1" applyFont="1" applyFill="1" applyBorder="1" applyAlignment="1" applyProtection="1">
      <alignment horizontal="right"/>
      <protection locked="0"/>
    </xf>
    <xf numFmtId="37" fontId="13" fillId="44" borderId="0" xfId="3" applyFont="1" applyFill="1" applyBorder="1" applyAlignment="1" applyProtection="1">
      <alignment horizontal="right"/>
      <protection locked="0"/>
    </xf>
    <xf numFmtId="3" fontId="13" fillId="8" borderId="17" xfId="3" applyNumberFormat="1" applyFont="1" applyFill="1" applyBorder="1" applyAlignment="1" applyProtection="1">
      <alignment horizontal="right"/>
      <protection locked="0"/>
    </xf>
    <xf numFmtId="37" fontId="13" fillId="44" borderId="0" xfId="3" applyFont="1" applyFill="1" applyBorder="1" applyAlignment="1" applyProtection="1">
      <protection locked="0"/>
    </xf>
    <xf numFmtId="37" fontId="105" fillId="44" borderId="0" xfId="3" applyFont="1" applyFill="1" applyBorder="1" applyAlignment="1" applyProtection="1">
      <protection locked="0"/>
    </xf>
    <xf numFmtId="49" fontId="13" fillId="44" borderId="0" xfId="13556" applyNumberFormat="1" applyFont="1" applyFill="1" applyBorder="1" applyAlignment="1" applyProtection="1">
      <alignment horizontal="left"/>
      <protection locked="0"/>
    </xf>
    <xf numFmtId="49" fontId="107" fillId="44" borderId="0" xfId="13556" applyNumberFormat="1" applyFont="1" applyFill="1" applyBorder="1" applyAlignment="1" applyProtection="1">
      <alignment horizontal="left"/>
      <protection locked="0"/>
    </xf>
    <xf numFmtId="49" fontId="105" fillId="44" borderId="0" xfId="13556" applyNumberFormat="1" applyFont="1" applyFill="1" applyBorder="1" applyAlignment="1" applyProtection="1">
      <alignment horizontal="left"/>
      <protection locked="0"/>
    </xf>
    <xf numFmtId="49" fontId="13" fillId="44" borderId="0" xfId="13557" applyNumberFormat="1" applyFont="1" applyFill="1" applyBorder="1" applyAlignment="1" applyProtection="1">
      <alignment horizontal="center"/>
      <protection locked="0"/>
    </xf>
    <xf numFmtId="49" fontId="107" fillId="45" borderId="0" xfId="13558" applyNumberFormat="1" applyFont="1" applyFill="1" applyBorder="1" applyAlignment="1" applyProtection="1">
      <alignment horizontal="left"/>
      <protection locked="0"/>
    </xf>
    <xf numFmtId="1" fontId="22" fillId="44" borderId="0" xfId="13556" applyNumberFormat="1" applyFont="1" applyFill="1" applyBorder="1" applyAlignment="1" applyProtection="1">
      <alignment horizontal="center"/>
      <protection locked="0"/>
    </xf>
    <xf numFmtId="3" fontId="13" fillId="8" borderId="23" xfId="3" applyNumberFormat="1" applyFont="1" applyFill="1" applyBorder="1" applyAlignment="1" applyProtection="1">
      <alignment horizontal="right"/>
      <protection locked="0"/>
    </xf>
    <xf numFmtId="49" fontId="105" fillId="45" borderId="0" xfId="13558" applyNumberFormat="1" applyFont="1" applyFill="1" applyBorder="1" applyAlignment="1" applyProtection="1">
      <alignment horizontal="left"/>
      <protection locked="0"/>
    </xf>
    <xf numFmtId="3" fontId="13" fillId="44" borderId="0" xfId="13559" applyFont="1" applyFill="1" applyBorder="1" applyAlignment="1" applyProtection="1">
      <protection locked="0"/>
    </xf>
    <xf numFmtId="3" fontId="105" fillId="44" borderId="0" xfId="13559" applyFont="1" applyFill="1" applyBorder="1" applyAlignment="1" applyProtection="1">
      <protection locked="0"/>
    </xf>
    <xf numFmtId="1" fontId="13" fillId="44" borderId="0" xfId="13556" applyNumberFormat="1" applyFont="1" applyFill="1" applyBorder="1" applyAlignment="1" applyProtection="1">
      <alignment horizontal="center"/>
      <protection locked="0"/>
    </xf>
    <xf numFmtId="1" fontId="13" fillId="44" borderId="0" xfId="13560" applyNumberFormat="1" applyFont="1" applyFill="1" applyBorder="1" applyAlignment="1" applyProtection="1">
      <alignment horizontal="center"/>
      <protection locked="0"/>
    </xf>
    <xf numFmtId="37" fontId="105" fillId="44" borderId="0" xfId="3" applyFont="1" applyFill="1" applyBorder="1" applyAlignment="1" applyProtection="1">
      <alignment horizontal="left"/>
      <protection locked="0"/>
    </xf>
    <xf numFmtId="37" fontId="22" fillId="44" borderId="0" xfId="3" applyFont="1" applyFill="1" applyBorder="1" applyAlignment="1" applyProtection="1">
      <protection locked="0"/>
    </xf>
    <xf numFmtId="49" fontId="13" fillId="44" borderId="0" xfId="14" applyNumberFormat="1" applyFont="1" applyFill="1" applyBorder="1" applyAlignment="1" applyProtection="1">
      <alignment horizontal="center" wrapText="1"/>
      <protection locked="0"/>
    </xf>
    <xf numFmtId="1" fontId="13" fillId="44" borderId="0" xfId="3" applyNumberFormat="1" applyFont="1" applyFill="1" applyBorder="1" applyAlignment="1" applyProtection="1">
      <alignment horizontal="center" wrapText="1"/>
      <protection locked="0"/>
    </xf>
    <xf numFmtId="167" fontId="22" fillId="44" borderId="0" xfId="3" applyNumberFormat="1" applyFont="1" applyFill="1" applyBorder="1" applyAlignment="1" applyProtection="1">
      <alignment horizontal="left"/>
      <protection locked="0"/>
    </xf>
    <xf numFmtId="167" fontId="105" fillId="44" borderId="0" xfId="3" applyNumberFormat="1" applyFont="1" applyFill="1" applyBorder="1" applyAlignment="1" applyProtection="1">
      <alignment horizontal="left"/>
      <protection locked="0"/>
    </xf>
    <xf numFmtId="3" fontId="13" fillId="14" borderId="23" xfId="15" applyNumberFormat="1" applyFont="1" applyFill="1" applyBorder="1" applyAlignment="1" applyProtection="1">
      <alignment horizontal="right"/>
      <protection locked="0"/>
    </xf>
    <xf numFmtId="37" fontId="44" fillId="44" borderId="0" xfId="3" applyFont="1" applyFill="1" applyBorder="1" applyAlignment="1" applyProtection="1">
      <alignment horizontal="left"/>
      <protection locked="0"/>
    </xf>
    <xf numFmtId="37" fontId="108" fillId="44" borderId="0" xfId="3" applyFont="1" applyFill="1" applyBorder="1" applyAlignment="1" applyProtection="1">
      <alignment horizontal="right"/>
      <protection locked="0"/>
    </xf>
    <xf numFmtId="37" fontId="13" fillId="44" borderId="0" xfId="13561" applyFont="1" applyFill="1" applyBorder="1" applyAlignment="1" applyProtection="1">
      <alignment horizontal="right"/>
      <protection locked="0"/>
    </xf>
    <xf numFmtId="37" fontId="105" fillId="44" borderId="0" xfId="13561" applyFont="1" applyFill="1" applyBorder="1" applyAlignment="1" applyProtection="1">
      <alignment horizontal="right"/>
      <protection locked="0"/>
    </xf>
    <xf numFmtId="37" fontId="13" fillId="44" borderId="0" xfId="13561" applyFont="1" applyFill="1" applyBorder="1" applyAlignment="1" applyProtection="1">
      <alignment horizontal="left" vertical="center" wrapText="1"/>
      <protection locked="0"/>
    </xf>
    <xf numFmtId="37" fontId="13" fillId="44" borderId="0" xfId="13561" applyFont="1" applyFill="1" applyBorder="1" applyAlignment="1" applyProtection="1">
      <alignment horizontal="left"/>
      <protection locked="0"/>
    </xf>
    <xf numFmtId="1" fontId="13" fillId="44" borderId="0" xfId="13561" applyNumberFormat="1" applyFont="1" applyFill="1" applyBorder="1" applyAlignment="1" applyProtection="1">
      <alignment horizontal="center" wrapText="1"/>
      <protection locked="0"/>
    </xf>
    <xf numFmtId="37" fontId="44" fillId="44" borderId="0" xfId="13561" applyFont="1" applyFill="1" applyBorder="1" applyAlignment="1" applyProtection="1">
      <alignment horizontal="left"/>
      <protection locked="0"/>
    </xf>
    <xf numFmtId="37" fontId="105" fillId="44" borderId="0" xfId="13561" applyFont="1" applyFill="1" applyBorder="1" applyAlignment="1" applyProtection="1">
      <alignment horizontal="left"/>
      <protection locked="0"/>
    </xf>
    <xf numFmtId="37" fontId="13" fillId="46" borderId="0" xfId="3" applyFont="1" applyFill="1" applyBorder="1" applyAlignment="1" applyProtection="1">
      <alignment horizontal="center"/>
      <protection locked="0"/>
    </xf>
    <xf numFmtId="167" fontId="13" fillId="46" borderId="0" xfId="3" applyNumberFormat="1" applyFont="1" applyFill="1" applyBorder="1" applyAlignment="1" applyProtection="1">
      <alignment horizontal="left"/>
      <protection locked="0"/>
    </xf>
    <xf numFmtId="167" fontId="13" fillId="46" borderId="0" xfId="3" applyNumberFormat="1" applyFont="1" applyFill="1" applyBorder="1" applyAlignment="1" applyProtection="1">
      <protection locked="0"/>
    </xf>
    <xf numFmtId="167" fontId="105" fillId="46" borderId="0" xfId="3" applyNumberFormat="1" applyFont="1" applyFill="1" applyBorder="1" applyAlignment="1" applyProtection="1">
      <protection locked="0"/>
    </xf>
    <xf numFmtId="49" fontId="13" fillId="46" borderId="0" xfId="14" applyNumberFormat="1" applyFont="1" applyFill="1" applyBorder="1" applyAlignment="1" applyProtection="1">
      <alignment horizontal="center"/>
      <protection locked="0"/>
    </xf>
    <xf numFmtId="1" fontId="13" fillId="46" borderId="0" xfId="3" applyNumberFormat="1" applyFont="1" applyFill="1" applyBorder="1" applyAlignment="1" applyProtection="1">
      <alignment horizontal="center"/>
      <protection locked="0"/>
    </xf>
    <xf numFmtId="167" fontId="13" fillId="46" borderId="0" xfId="3" applyNumberFormat="1" applyFont="1" applyFill="1" applyBorder="1" applyAlignment="1" applyProtection="1">
      <alignment horizontal="center"/>
      <protection locked="0"/>
    </xf>
    <xf numFmtId="167" fontId="44" fillId="46" borderId="0" xfId="3" applyNumberFormat="1" applyFont="1" applyFill="1" applyBorder="1" applyAlignment="1" applyProtection="1">
      <alignment horizontal="right"/>
      <protection locked="0"/>
    </xf>
    <xf numFmtId="167" fontId="105" fillId="46" borderId="0" xfId="3" applyNumberFormat="1" applyFont="1" applyFill="1" applyBorder="1" applyAlignment="1" applyProtection="1">
      <alignment horizontal="right"/>
      <protection locked="0"/>
    </xf>
    <xf numFmtId="167" fontId="13" fillId="46" borderId="0" xfId="3" applyNumberFormat="1" applyFont="1" applyFill="1" applyBorder="1" applyAlignment="1" applyProtection="1">
      <alignment horizontal="right"/>
      <protection locked="0"/>
    </xf>
    <xf numFmtId="49" fontId="13" fillId="46" borderId="0" xfId="13556" applyNumberFormat="1" applyFont="1" applyFill="1" applyBorder="1" applyAlignment="1" applyProtection="1">
      <alignment horizontal="left"/>
      <protection locked="0"/>
    </xf>
    <xf numFmtId="49" fontId="107" fillId="46" borderId="0" xfId="13556" applyNumberFormat="1" applyFont="1" applyFill="1" applyBorder="1" applyAlignment="1" applyProtection="1">
      <alignment horizontal="left"/>
      <protection locked="0"/>
    </xf>
    <xf numFmtId="1" fontId="13" fillId="46" borderId="0" xfId="13556" applyNumberFormat="1" applyFont="1" applyFill="1" applyBorder="1" applyAlignment="1" applyProtection="1">
      <alignment horizontal="center"/>
      <protection locked="0"/>
    </xf>
    <xf numFmtId="49" fontId="105" fillId="46" borderId="0" xfId="13556" applyNumberFormat="1" applyFont="1" applyFill="1" applyBorder="1" applyAlignment="1" applyProtection="1">
      <alignment horizontal="left"/>
      <protection locked="0"/>
    </xf>
    <xf numFmtId="3" fontId="77" fillId="0" borderId="23" xfId="15" applyNumberFormat="1" applyFont="1" applyFill="1" applyBorder="1" applyAlignment="1" applyProtection="1">
      <alignment horizontal="right"/>
      <protection locked="0"/>
    </xf>
    <xf numFmtId="1" fontId="22" fillId="46" borderId="0" xfId="13556" applyNumberFormat="1" applyFont="1" applyFill="1" applyBorder="1" applyAlignment="1" applyProtection="1">
      <alignment horizontal="center"/>
      <protection locked="0"/>
    </xf>
    <xf numFmtId="165" fontId="13" fillId="46" borderId="0" xfId="13556" applyFont="1" applyFill="1" applyBorder="1" applyAlignment="1" applyProtection="1">
      <protection locked="0"/>
    </xf>
    <xf numFmtId="165" fontId="105" fillId="46" borderId="0" xfId="13556" applyFont="1" applyFill="1" applyBorder="1" applyAlignment="1" applyProtection="1">
      <protection locked="0"/>
    </xf>
    <xf numFmtId="167" fontId="105" fillId="46" borderId="0" xfId="3" applyNumberFormat="1" applyFont="1" applyFill="1" applyBorder="1" applyAlignment="1" applyProtection="1">
      <alignment horizontal="left"/>
      <protection locked="0"/>
    </xf>
    <xf numFmtId="3" fontId="22" fillId="14" borderId="17" xfId="3" applyNumberFormat="1" applyFont="1" applyFill="1" applyBorder="1" applyAlignment="1" applyProtection="1">
      <alignment horizontal="right"/>
      <protection locked="0"/>
    </xf>
    <xf numFmtId="167" fontId="22" fillId="46" borderId="0" xfId="3" applyNumberFormat="1" applyFont="1" applyFill="1" applyBorder="1" applyAlignment="1" applyProtection="1">
      <protection locked="0"/>
    </xf>
    <xf numFmtId="167" fontId="112" fillId="46" borderId="0" xfId="3" applyNumberFormat="1" applyFont="1" applyFill="1" applyBorder="1" applyAlignment="1" applyProtection="1">
      <alignment horizontal="right"/>
      <protection locked="0"/>
    </xf>
    <xf numFmtId="37" fontId="44" fillId="46" borderId="0" xfId="3" applyFont="1" applyFill="1" applyBorder="1" applyAlignment="1" applyProtection="1">
      <alignment horizontal="right"/>
      <protection locked="0"/>
    </xf>
    <xf numFmtId="37" fontId="105" fillId="46" borderId="0" xfId="3" applyFont="1" applyFill="1" applyBorder="1" applyAlignment="1" applyProtection="1">
      <alignment horizontal="right"/>
      <protection locked="0"/>
    </xf>
    <xf numFmtId="167" fontId="44" fillId="46" borderId="0" xfId="3" applyNumberFormat="1" applyFont="1" applyFill="1" applyBorder="1" applyAlignment="1" applyProtection="1">
      <alignment horizontal="left"/>
      <protection locked="0"/>
    </xf>
    <xf numFmtId="167" fontId="108" fillId="46" borderId="0" xfId="3" applyNumberFormat="1" applyFont="1" applyFill="1" applyBorder="1" applyAlignment="1" applyProtection="1">
      <alignment horizontal="right"/>
      <protection locked="0"/>
    </xf>
    <xf numFmtId="37" fontId="13" fillId="46" borderId="0" xfId="13561" applyFont="1" applyFill="1" applyBorder="1" applyAlignment="1" applyProtection="1">
      <alignment horizontal="left" vertical="center"/>
      <protection locked="0"/>
    </xf>
    <xf numFmtId="37" fontId="13" fillId="46" borderId="0" xfId="13561" applyFont="1" applyFill="1" applyBorder="1" applyAlignment="1" applyProtection="1">
      <alignment horizontal="right"/>
      <protection locked="0"/>
    </xf>
    <xf numFmtId="37" fontId="105" fillId="46" borderId="0" xfId="13561" applyFont="1" applyFill="1" applyBorder="1" applyAlignment="1" applyProtection="1">
      <alignment horizontal="right"/>
      <protection locked="0"/>
    </xf>
    <xf numFmtId="37" fontId="22" fillId="46" borderId="0" xfId="13561" applyFont="1" applyFill="1" applyBorder="1" applyAlignment="1" applyProtection="1">
      <alignment horizontal="right"/>
      <protection locked="0"/>
    </xf>
    <xf numFmtId="37" fontId="50" fillId="0" borderId="17" xfId="2" applyNumberFormat="1" applyFont="1" applyFill="1" applyBorder="1"/>
    <xf numFmtId="49" fontId="13" fillId="46" borderId="0" xfId="13562" applyNumberFormat="1" applyFont="1" applyFill="1" applyBorder="1" applyAlignment="1" applyProtection="1">
      <protection locked="0"/>
    </xf>
    <xf numFmtId="1" fontId="13" fillId="46" borderId="0" xfId="13562" applyNumberFormat="1" applyFont="1" applyFill="1" applyBorder="1" applyAlignment="1" applyProtection="1">
      <alignment horizontal="center"/>
      <protection locked="0"/>
    </xf>
    <xf numFmtId="37" fontId="13" fillId="46" borderId="0" xfId="13562" applyFont="1" applyFill="1" applyBorder="1" applyAlignment="1" applyProtection="1">
      <alignment horizontal="left"/>
      <protection locked="0"/>
    </xf>
    <xf numFmtId="37" fontId="44" fillId="46" borderId="0" xfId="13561" applyFont="1" applyFill="1" applyBorder="1" applyAlignment="1" applyProtection="1">
      <alignment horizontal="left"/>
      <protection locked="0"/>
    </xf>
    <xf numFmtId="37" fontId="105" fillId="46" borderId="0" xfId="13561" applyFont="1" applyFill="1" applyBorder="1" applyAlignment="1" applyProtection="1">
      <alignment horizontal="left"/>
      <protection locked="0"/>
    </xf>
    <xf numFmtId="37" fontId="114" fillId="47" borderId="0" xfId="3" applyFont="1" applyFill="1" applyBorder="1" applyAlignment="1" applyProtection="1">
      <alignment horizontal="center"/>
      <protection locked="0"/>
    </xf>
    <xf numFmtId="37" fontId="114" fillId="47" borderId="0" xfId="3" applyFont="1" applyFill="1" applyBorder="1" applyAlignment="1" applyProtection="1">
      <alignment horizontal="left"/>
      <protection locked="0"/>
    </xf>
    <xf numFmtId="49" fontId="114" fillId="47" borderId="0" xfId="13556" applyNumberFormat="1" applyFont="1" applyFill="1" applyBorder="1" applyAlignment="1" applyProtection="1">
      <alignment horizontal="left"/>
      <protection locked="0"/>
    </xf>
    <xf numFmtId="49" fontId="115" fillId="47" borderId="0" xfId="13556" applyNumberFormat="1" applyFont="1" applyFill="1" applyBorder="1" applyAlignment="1" applyProtection="1">
      <alignment horizontal="left"/>
      <protection locked="0"/>
    </xf>
    <xf numFmtId="49" fontId="114" fillId="47" borderId="0" xfId="13556" applyNumberFormat="1" applyFont="1" applyFill="1" applyBorder="1" applyAlignment="1" applyProtection="1">
      <alignment horizontal="center"/>
      <protection locked="0"/>
    </xf>
    <xf numFmtId="1" fontId="114" fillId="47" borderId="0" xfId="13556" applyNumberFormat="1" applyFont="1" applyFill="1" applyBorder="1" applyAlignment="1" applyProtection="1">
      <alignment horizontal="center"/>
      <protection locked="0"/>
    </xf>
    <xf numFmtId="3" fontId="114" fillId="8" borderId="17" xfId="3" applyNumberFormat="1" applyFont="1" applyFill="1" applyBorder="1" applyAlignment="1" applyProtection="1">
      <alignment horizontal="right"/>
      <protection locked="0"/>
    </xf>
    <xf numFmtId="3" fontId="115" fillId="0" borderId="17" xfId="3" applyNumberFormat="1" applyFont="1" applyFill="1" applyBorder="1" applyAlignment="1" applyProtection="1">
      <alignment horizontal="right"/>
      <protection locked="0"/>
    </xf>
    <xf numFmtId="3" fontId="114" fillId="14" borderId="23" xfId="3" applyNumberFormat="1" applyFont="1" applyFill="1" applyBorder="1" applyAlignment="1" applyProtection="1">
      <alignment horizontal="right"/>
      <protection locked="0"/>
    </xf>
    <xf numFmtId="3" fontId="115" fillId="0" borderId="23" xfId="15" applyNumberFormat="1" applyFont="1" applyFill="1" applyBorder="1" applyAlignment="1" applyProtection="1">
      <alignment horizontal="right"/>
      <protection locked="0"/>
    </xf>
    <xf numFmtId="3" fontId="114" fillId="14" borderId="17" xfId="3" applyNumberFormat="1" applyFont="1" applyFill="1" applyBorder="1" applyAlignment="1" applyProtection="1">
      <alignment horizontal="right"/>
      <protection locked="0"/>
    </xf>
    <xf numFmtId="3" fontId="114" fillId="0" borderId="17" xfId="15" applyNumberFormat="1" applyFont="1" applyFill="1" applyBorder="1" applyAlignment="1" applyProtection="1">
      <alignment horizontal="right"/>
      <protection locked="0"/>
    </xf>
    <xf numFmtId="3" fontId="115" fillId="0" borderId="23" xfId="3" applyNumberFormat="1" applyFont="1" applyFill="1" applyBorder="1" applyAlignment="1" applyProtection="1">
      <alignment horizontal="right"/>
      <protection locked="0"/>
    </xf>
    <xf numFmtId="3" fontId="114" fillId="0" borderId="23" xfId="15" applyNumberFormat="1" applyFont="1" applyFill="1" applyBorder="1" applyAlignment="1" applyProtection="1">
      <alignment horizontal="right"/>
      <protection locked="0"/>
    </xf>
    <xf numFmtId="3" fontId="114" fillId="0" borderId="26" xfId="15" applyNumberFormat="1" applyFont="1" applyFill="1" applyBorder="1" applyAlignment="1" applyProtection="1">
      <alignment horizontal="right"/>
      <protection locked="0"/>
    </xf>
    <xf numFmtId="37" fontId="114" fillId="47" borderId="0" xfId="3" applyFont="1" applyFill="1" applyBorder="1" applyAlignment="1" applyProtection="1">
      <alignment horizontal="right"/>
      <protection locked="0"/>
    </xf>
    <xf numFmtId="37" fontId="115" fillId="47" borderId="0" xfId="3" applyFont="1" applyFill="1" applyBorder="1" applyAlignment="1" applyProtection="1">
      <alignment horizontal="right"/>
      <protection locked="0"/>
    </xf>
    <xf numFmtId="49" fontId="114" fillId="47" borderId="0" xfId="14" applyNumberFormat="1" applyFont="1" applyFill="1" applyBorder="1" applyAlignment="1" applyProtection="1">
      <alignment horizontal="center"/>
      <protection locked="0"/>
    </xf>
    <xf numFmtId="3" fontId="115" fillId="0" borderId="17" xfId="15" applyNumberFormat="1" applyFont="1" applyFill="1" applyBorder="1" applyAlignment="1" applyProtection="1">
      <alignment horizontal="right"/>
      <protection locked="0"/>
    </xf>
    <xf numFmtId="3" fontId="114" fillId="0" borderId="17" xfId="3" applyNumberFormat="1" applyFont="1" applyFill="1" applyBorder="1" applyAlignment="1" applyProtection="1">
      <alignment horizontal="right"/>
      <protection locked="0"/>
    </xf>
    <xf numFmtId="3" fontId="114" fillId="0" borderId="23" xfId="3" applyNumberFormat="1" applyFont="1" applyFill="1" applyBorder="1" applyAlignment="1" applyProtection="1">
      <alignment horizontal="right"/>
      <protection locked="0"/>
    </xf>
    <xf numFmtId="37" fontId="116" fillId="47" borderId="0" xfId="3" applyFont="1" applyFill="1" applyBorder="1" applyAlignment="1" applyProtection="1">
      <alignment horizontal="right"/>
      <protection locked="0"/>
    </xf>
    <xf numFmtId="37" fontId="114" fillId="47" borderId="0" xfId="3" applyFont="1" applyFill="1" applyBorder="1" applyAlignment="1" applyProtection="1">
      <protection locked="0"/>
    </xf>
    <xf numFmtId="37" fontId="115" fillId="47" borderId="0" xfId="3" applyFont="1" applyFill="1" applyBorder="1" applyAlignment="1" applyProtection="1">
      <protection locked="0"/>
    </xf>
    <xf numFmtId="1" fontId="114" fillId="47" borderId="0" xfId="3" applyNumberFormat="1" applyFont="1" applyFill="1" applyBorder="1" applyAlignment="1" applyProtection="1">
      <alignment horizontal="center"/>
      <protection locked="0"/>
    </xf>
    <xf numFmtId="3" fontId="114" fillId="8" borderId="23" xfId="3" applyNumberFormat="1" applyFont="1" applyFill="1" applyBorder="1" applyAlignment="1" applyProtection="1">
      <alignment horizontal="right"/>
      <protection locked="0"/>
    </xf>
    <xf numFmtId="9" fontId="115" fillId="0" borderId="23" xfId="4439" applyFont="1" applyFill="1" applyBorder="1" applyAlignment="1" applyProtection="1">
      <alignment horizontal="right"/>
      <protection locked="0"/>
    </xf>
    <xf numFmtId="37" fontId="114" fillId="8" borderId="0" xfId="3" applyFont="1" applyFill="1" applyBorder="1" applyAlignment="1" applyProtection="1">
      <alignment horizontal="center"/>
      <protection locked="0"/>
    </xf>
    <xf numFmtId="37" fontId="114" fillId="8" borderId="0" xfId="3" applyFont="1" applyFill="1" applyBorder="1" applyAlignment="1" applyProtection="1">
      <alignment horizontal="left"/>
      <protection locked="0"/>
    </xf>
    <xf numFmtId="37" fontId="115" fillId="8" borderId="0" xfId="3" applyFont="1" applyFill="1" applyBorder="1" applyAlignment="1" applyProtection="1">
      <alignment horizontal="right"/>
      <protection locked="0"/>
    </xf>
    <xf numFmtId="49" fontId="117" fillId="8" borderId="0" xfId="14" applyNumberFormat="1" applyFont="1" applyFill="1" applyBorder="1" applyAlignment="1" applyProtection="1">
      <alignment horizontal="center"/>
      <protection locked="0"/>
    </xf>
    <xf numFmtId="1" fontId="114" fillId="8" borderId="0" xfId="3" applyNumberFormat="1" applyFont="1" applyFill="1" applyBorder="1" applyAlignment="1" applyProtection="1">
      <alignment horizontal="center"/>
      <protection locked="0"/>
    </xf>
    <xf numFmtId="37" fontId="114" fillId="8" borderId="0" xfId="3" applyFont="1" applyFill="1" applyBorder="1" applyAlignment="1" applyProtection="1">
      <alignment horizontal="right"/>
      <protection locked="0"/>
    </xf>
    <xf numFmtId="42" fontId="115" fillId="0" borderId="23" xfId="88" applyNumberFormat="1" applyFont="1" applyFill="1" applyBorder="1"/>
    <xf numFmtId="1" fontId="114" fillId="47" borderId="0" xfId="3" quotePrefix="1" applyNumberFormat="1" applyFont="1" applyFill="1" applyBorder="1" applyAlignment="1" applyProtection="1">
      <alignment horizontal="center"/>
      <protection locked="0"/>
    </xf>
    <xf numFmtId="37" fontId="116" fillId="47" borderId="0" xfId="3" applyFont="1" applyFill="1" applyBorder="1" applyAlignment="1" applyProtection="1">
      <alignment horizontal="left"/>
      <protection locked="0"/>
    </xf>
    <xf numFmtId="37" fontId="115" fillId="47" borderId="0" xfId="3" applyFont="1" applyFill="1" applyBorder="1" applyAlignment="1" applyProtection="1">
      <alignment horizontal="left"/>
      <protection locked="0"/>
    </xf>
    <xf numFmtId="37" fontId="118" fillId="47" borderId="0" xfId="13561" applyFont="1" applyFill="1" applyBorder="1" applyAlignment="1" applyProtection="1">
      <alignment horizontal="right"/>
      <protection locked="0"/>
    </xf>
    <xf numFmtId="37" fontId="115" fillId="47" borderId="0" xfId="13561" applyFont="1" applyFill="1" applyBorder="1" applyAlignment="1" applyProtection="1">
      <alignment horizontal="right"/>
      <protection locked="0"/>
    </xf>
    <xf numFmtId="37" fontId="114" fillId="47" borderId="0" xfId="13561" applyFont="1" applyFill="1" applyBorder="1" applyAlignment="1" applyProtection="1">
      <alignment horizontal="left" vertical="center" wrapText="1"/>
      <protection locked="0"/>
    </xf>
    <xf numFmtId="37" fontId="114" fillId="47" borderId="0" xfId="13561" applyFont="1" applyFill="1" applyBorder="1" applyAlignment="1" applyProtection="1">
      <alignment horizontal="right"/>
      <protection locked="0"/>
    </xf>
    <xf numFmtId="49" fontId="114" fillId="47" borderId="0" xfId="14" applyNumberFormat="1" applyFont="1" applyFill="1" applyBorder="1" applyAlignment="1" applyProtection="1">
      <alignment horizontal="center" wrapText="1"/>
      <protection locked="0"/>
    </xf>
    <xf numFmtId="1" fontId="114" fillId="47" borderId="0" xfId="3" applyNumberFormat="1" applyFont="1" applyFill="1" applyBorder="1" applyAlignment="1" applyProtection="1">
      <alignment horizontal="center" wrapText="1"/>
      <protection locked="0"/>
    </xf>
    <xf numFmtId="166" fontId="114" fillId="14" borderId="17" xfId="14" applyNumberFormat="1" applyFont="1" applyFill="1" applyBorder="1"/>
    <xf numFmtId="6" fontId="119" fillId="0" borderId="23" xfId="18" applyNumberFormat="1" applyFont="1" applyFill="1" applyBorder="1"/>
    <xf numFmtId="49" fontId="13" fillId="44" borderId="0" xfId="13563" applyNumberFormat="1" applyFont="1" applyFill="1" applyBorder="1" applyAlignment="1" applyProtection="1">
      <alignment horizontal="left"/>
      <protection locked="0"/>
    </xf>
    <xf numFmtId="49" fontId="105" fillId="44" borderId="0" xfId="13563" applyNumberFormat="1" applyFont="1" applyFill="1" applyBorder="1" applyAlignment="1" applyProtection="1">
      <alignment horizontal="left"/>
      <protection locked="0"/>
    </xf>
    <xf numFmtId="1" fontId="13" fillId="44" borderId="0" xfId="13563" applyNumberFormat="1" applyFont="1" applyFill="1" applyBorder="1" applyAlignment="1" applyProtection="1">
      <alignment horizontal="center"/>
      <protection locked="0"/>
    </xf>
    <xf numFmtId="1" fontId="13" fillId="44" borderId="0" xfId="13564" applyNumberFormat="1" applyFont="1" applyFill="1" applyBorder="1" applyAlignment="1" applyProtection="1">
      <alignment horizontal="center"/>
      <protection locked="0"/>
    </xf>
    <xf numFmtId="3" fontId="13" fillId="14" borderId="17" xfId="0" applyNumberFormat="1" applyFont="1" applyFill="1" applyBorder="1" applyAlignment="1"/>
    <xf numFmtId="49" fontId="13" fillId="44" borderId="0" xfId="13558" applyNumberFormat="1" applyFont="1" applyFill="1" applyBorder="1" applyAlignment="1" applyProtection="1">
      <alignment horizontal="left"/>
      <protection locked="0"/>
    </xf>
    <xf numFmtId="49" fontId="105" fillId="44" borderId="0" xfId="13558" applyNumberFormat="1" applyFont="1" applyFill="1" applyBorder="1" applyAlignment="1" applyProtection="1">
      <alignment horizontal="left"/>
      <protection locked="0"/>
    </xf>
    <xf numFmtId="1" fontId="13" fillId="44" borderId="0" xfId="13559" applyNumberFormat="1" applyFont="1" applyFill="1" applyBorder="1" applyAlignment="1" applyProtection="1">
      <alignment horizontal="center"/>
      <protection locked="0"/>
    </xf>
    <xf numFmtId="49" fontId="13" fillId="45" borderId="0" xfId="13563" applyNumberFormat="1" applyFont="1" applyFill="1" applyBorder="1" applyAlignment="1" applyProtection="1">
      <alignment horizontal="left"/>
      <protection locked="0"/>
    </xf>
    <xf numFmtId="49" fontId="13" fillId="45" borderId="0" xfId="13558" applyNumberFormat="1" applyFont="1" applyFill="1" applyBorder="1" applyAlignment="1" applyProtection="1">
      <alignment horizontal="left"/>
      <protection locked="0"/>
    </xf>
    <xf numFmtId="3" fontId="13" fillId="0" borderId="17" xfId="0" applyNumberFormat="1" applyFont="1" applyFill="1" applyBorder="1" applyAlignment="1"/>
    <xf numFmtId="37" fontId="13" fillId="47" borderId="0" xfId="13562" applyFont="1" applyFill="1" applyBorder="1" applyAlignment="1" applyProtection="1">
      <alignment horizontal="center"/>
      <protection locked="0"/>
    </xf>
    <xf numFmtId="37" fontId="13" fillId="47" borderId="0" xfId="13562" applyFont="1" applyFill="1" applyBorder="1" applyAlignment="1" applyProtection="1">
      <alignment horizontal="left"/>
      <protection locked="0"/>
    </xf>
    <xf numFmtId="37" fontId="13" fillId="47" borderId="0" xfId="13562" applyFont="1" applyFill="1" applyBorder="1" applyAlignment="1" applyProtection="1">
      <protection locked="0"/>
    </xf>
    <xf numFmtId="37" fontId="105" fillId="47" borderId="0" xfId="13562" applyFont="1" applyFill="1" applyBorder="1" applyAlignment="1" applyProtection="1">
      <protection locked="0"/>
    </xf>
    <xf numFmtId="49" fontId="13" fillId="47" borderId="0" xfId="13562" applyNumberFormat="1" applyFont="1" applyFill="1" applyBorder="1" applyAlignment="1" applyProtection="1">
      <alignment horizontal="center"/>
      <protection locked="0"/>
    </xf>
    <xf numFmtId="1" fontId="13" fillId="47" borderId="0" xfId="13562" applyNumberFormat="1" applyFont="1" applyFill="1" applyBorder="1" applyAlignment="1" applyProtection="1">
      <alignment horizontal="center"/>
      <protection locked="0"/>
    </xf>
    <xf numFmtId="37" fontId="13" fillId="47" borderId="0" xfId="13562" applyFont="1" applyFill="1" applyBorder="1" applyAlignment="1" applyProtection="1">
      <alignment horizontal="right"/>
      <protection locked="0"/>
    </xf>
    <xf numFmtId="37" fontId="105" fillId="47" borderId="0" xfId="13562" applyFont="1" applyFill="1" applyBorder="1" applyAlignment="1" applyProtection="1">
      <alignment horizontal="right"/>
      <protection locked="0"/>
    </xf>
    <xf numFmtId="3" fontId="13" fillId="0" borderId="23" xfId="3" applyNumberFormat="1" applyFont="1" applyFill="1" applyBorder="1" applyAlignment="1" applyProtection="1">
      <alignment horizontal="right"/>
      <protection locked="0"/>
    </xf>
    <xf numFmtId="37" fontId="44" fillId="47" borderId="0" xfId="13562" applyFont="1" applyFill="1" applyBorder="1" applyAlignment="1" applyProtection="1">
      <alignment horizontal="right"/>
      <protection locked="0"/>
    </xf>
    <xf numFmtId="49" fontId="105" fillId="47" borderId="0" xfId="13558" applyNumberFormat="1" applyFont="1" applyFill="1" applyBorder="1" applyAlignment="1" applyProtection="1">
      <alignment horizontal="left"/>
      <protection locked="0"/>
    </xf>
    <xf numFmtId="3" fontId="22" fillId="0" borderId="23" xfId="3" applyNumberFormat="1" applyFont="1" applyFill="1" applyBorder="1" applyAlignment="1" applyProtection="1">
      <alignment horizontal="right"/>
      <protection locked="0"/>
    </xf>
    <xf numFmtId="49" fontId="13" fillId="47" borderId="0" xfId="13558" applyNumberFormat="1" applyFont="1" applyFill="1" applyBorder="1" applyAlignment="1" applyProtection="1">
      <alignment horizontal="left"/>
      <protection locked="0"/>
    </xf>
    <xf numFmtId="49" fontId="13" fillId="47" borderId="0" xfId="13558" applyNumberFormat="1" applyFont="1" applyFill="1" applyBorder="1" applyAlignment="1" applyProtection="1">
      <alignment horizontal="center"/>
      <protection locked="0"/>
    </xf>
    <xf numFmtId="1" fontId="13" fillId="47" borderId="0" xfId="13556" applyNumberFormat="1" applyFont="1" applyFill="1" applyBorder="1" applyAlignment="1" applyProtection="1">
      <alignment horizontal="center"/>
      <protection locked="0"/>
    </xf>
    <xf numFmtId="3" fontId="13" fillId="0" borderId="17" xfId="3" applyNumberFormat="1" applyFont="1" applyFill="1" applyBorder="1" applyAlignment="1" applyProtection="1">
      <alignment horizontal="right"/>
      <protection locked="0"/>
    </xf>
    <xf numFmtId="37" fontId="22" fillId="47" borderId="0" xfId="13562" applyFont="1" applyFill="1" applyBorder="1" applyAlignment="1" applyProtection="1">
      <protection locked="0"/>
    </xf>
    <xf numFmtId="3" fontId="13" fillId="20" borderId="17" xfId="15" applyNumberFormat="1" applyFont="1" applyFill="1" applyBorder="1" applyAlignment="1" applyProtection="1">
      <alignment horizontal="right"/>
      <protection locked="0"/>
    </xf>
    <xf numFmtId="37" fontId="13" fillId="47" borderId="0" xfId="3" applyFont="1" applyFill="1" applyBorder="1" applyAlignment="1" applyProtection="1">
      <alignment horizontal="left"/>
      <protection locked="0"/>
    </xf>
    <xf numFmtId="37" fontId="44" fillId="47" borderId="0" xfId="3" applyFont="1" applyFill="1" applyBorder="1" applyAlignment="1" applyProtection="1">
      <alignment horizontal="left"/>
      <protection locked="0"/>
    </xf>
    <xf numFmtId="37" fontId="105" fillId="47" borderId="0" xfId="3" applyFont="1" applyFill="1" applyBorder="1" applyAlignment="1" applyProtection="1">
      <alignment horizontal="left"/>
      <protection locked="0"/>
    </xf>
    <xf numFmtId="49" fontId="13" fillId="47" borderId="0" xfId="13562" applyNumberFormat="1" applyFont="1" applyFill="1" applyBorder="1" applyAlignment="1" applyProtection="1">
      <alignment horizontal="center" wrapText="1"/>
      <protection locked="0"/>
    </xf>
    <xf numFmtId="1" fontId="13" fillId="47" borderId="0" xfId="13562" applyNumberFormat="1" applyFont="1" applyFill="1" applyBorder="1" applyAlignment="1" applyProtection="1">
      <alignment horizontal="center" wrapText="1"/>
      <protection locked="0"/>
    </xf>
    <xf numFmtId="37" fontId="22" fillId="47" borderId="0" xfId="13562" applyFont="1" applyFill="1" applyBorder="1" applyAlignment="1" applyProtection="1">
      <alignment horizontal="right"/>
      <protection locked="0"/>
    </xf>
    <xf numFmtId="37" fontId="13" fillId="47" borderId="0" xfId="13561" applyFont="1" applyFill="1" applyBorder="1" applyAlignment="1" applyProtection="1">
      <alignment horizontal="left" vertical="center" wrapText="1"/>
      <protection locked="0"/>
    </xf>
    <xf numFmtId="37" fontId="13" fillId="47" borderId="0" xfId="13561" applyFont="1" applyFill="1" applyBorder="1" applyAlignment="1" applyProtection="1">
      <alignment horizontal="right"/>
      <protection locked="0"/>
    </xf>
    <xf numFmtId="37" fontId="105" fillId="47" borderId="0" xfId="13561" applyFont="1" applyFill="1" applyBorder="1" applyAlignment="1" applyProtection="1">
      <alignment horizontal="right"/>
      <protection locked="0"/>
    </xf>
    <xf numFmtId="49" fontId="13" fillId="47" borderId="0" xfId="14" applyNumberFormat="1" applyFont="1" applyFill="1" applyBorder="1" applyAlignment="1" applyProtection="1">
      <alignment horizontal="center"/>
      <protection locked="0"/>
    </xf>
    <xf numFmtId="1" fontId="13" fillId="47" borderId="0" xfId="3" applyNumberFormat="1" applyFont="1" applyFill="1" applyBorder="1" applyAlignment="1" applyProtection="1">
      <alignment horizontal="center"/>
      <protection locked="0"/>
    </xf>
    <xf numFmtId="37" fontId="13" fillId="47" borderId="0" xfId="13562" applyFont="1" applyFill="1" applyBorder="1" applyAlignment="1" applyProtection="1">
      <alignment horizontal="left" vertical="center" wrapText="1"/>
      <protection locked="0"/>
    </xf>
    <xf numFmtId="37" fontId="44" fillId="47" borderId="0" xfId="13562" applyFont="1" applyFill="1" applyBorder="1" applyAlignment="1" applyProtection="1">
      <alignment horizontal="left" vertical="top"/>
      <protection locked="0"/>
    </xf>
    <xf numFmtId="37" fontId="105" fillId="47" borderId="0" xfId="13562" applyFont="1" applyFill="1" applyBorder="1" applyAlignment="1" applyProtection="1">
      <alignment horizontal="left" vertical="top"/>
      <protection locked="0"/>
    </xf>
    <xf numFmtId="37" fontId="13" fillId="6" borderId="0" xfId="3" applyFont="1" applyFill="1" applyBorder="1" applyAlignment="1" applyProtection="1">
      <alignment horizontal="center"/>
      <protection locked="0"/>
    </xf>
    <xf numFmtId="37" fontId="13" fillId="6" borderId="0" xfId="3" applyFont="1" applyFill="1" applyBorder="1" applyAlignment="1" applyProtection="1">
      <alignment horizontal="left"/>
      <protection locked="0"/>
    </xf>
    <xf numFmtId="37" fontId="13" fillId="6" borderId="0" xfId="3" applyFont="1" applyFill="1" applyBorder="1" applyAlignment="1" applyProtection="1">
      <protection locked="0"/>
    </xf>
    <xf numFmtId="37" fontId="105" fillId="6" borderId="0" xfId="3" applyFont="1" applyFill="1" applyBorder="1" applyAlignment="1" applyProtection="1">
      <protection locked="0"/>
    </xf>
    <xf numFmtId="49" fontId="13" fillId="6" borderId="0" xfId="14" applyNumberFormat="1" applyFont="1" applyFill="1" applyBorder="1" applyAlignment="1" applyProtection="1">
      <alignment horizontal="center"/>
      <protection locked="0"/>
    </xf>
    <xf numFmtId="1" fontId="13" fillId="6" borderId="0" xfId="3" applyNumberFormat="1" applyFont="1" applyFill="1" applyBorder="1" applyAlignment="1" applyProtection="1">
      <alignment horizontal="center"/>
      <protection locked="0"/>
    </xf>
    <xf numFmtId="37" fontId="13" fillId="6" borderId="0" xfId="3" applyFont="1" applyFill="1" applyBorder="1" applyAlignment="1" applyProtection="1">
      <alignment horizontal="right"/>
      <protection locked="0"/>
    </xf>
    <xf numFmtId="37" fontId="105" fillId="6" borderId="0" xfId="3" applyFont="1" applyFill="1" applyBorder="1" applyAlignment="1" applyProtection="1">
      <alignment horizontal="right"/>
      <protection locked="0"/>
    </xf>
    <xf numFmtId="37" fontId="44" fillId="6" borderId="0" xfId="3" applyFont="1" applyFill="1" applyBorder="1" applyAlignment="1" applyProtection="1">
      <alignment horizontal="right"/>
      <protection locked="0"/>
    </xf>
    <xf numFmtId="49" fontId="13" fillId="6" borderId="0" xfId="13558" applyNumberFormat="1" applyFont="1" applyFill="1" applyBorder="1" applyAlignment="1" applyProtection="1">
      <alignment horizontal="left"/>
      <protection locked="0"/>
    </xf>
    <xf numFmtId="49" fontId="107" fillId="6" borderId="0" xfId="13558" applyNumberFormat="1" applyFont="1" applyFill="1" applyBorder="1" applyAlignment="1" applyProtection="1">
      <alignment horizontal="left"/>
      <protection locked="0"/>
    </xf>
    <xf numFmtId="1" fontId="22" fillId="6" borderId="0" xfId="13556" applyNumberFormat="1" applyFont="1" applyFill="1" applyBorder="1" applyAlignment="1" applyProtection="1">
      <alignment horizontal="center"/>
      <protection locked="0"/>
    </xf>
    <xf numFmtId="49" fontId="105" fillId="6" borderId="0" xfId="13558" applyNumberFormat="1" applyFont="1" applyFill="1" applyBorder="1" applyAlignment="1" applyProtection="1">
      <alignment horizontal="left"/>
      <protection locked="0"/>
    </xf>
    <xf numFmtId="37" fontId="22" fillId="6" borderId="0" xfId="3" applyFont="1" applyFill="1" applyBorder="1" applyAlignment="1" applyProtection="1">
      <alignment horizontal="center"/>
      <protection locked="0"/>
    </xf>
    <xf numFmtId="37" fontId="22" fillId="6" borderId="0" xfId="3" applyFont="1" applyFill="1" applyBorder="1" applyAlignment="1" applyProtection="1">
      <alignment horizontal="left"/>
      <protection locked="0"/>
    </xf>
    <xf numFmtId="37" fontId="22" fillId="6" borderId="0" xfId="3" applyFont="1" applyFill="1" applyBorder="1" applyAlignment="1" applyProtection="1">
      <protection locked="0"/>
    </xf>
    <xf numFmtId="49" fontId="22" fillId="6" borderId="0" xfId="14" applyNumberFormat="1" applyFont="1" applyFill="1" applyBorder="1" applyAlignment="1" applyProtection="1">
      <alignment horizontal="center"/>
      <protection locked="0"/>
    </xf>
    <xf numFmtId="1" fontId="22" fillId="6" borderId="0" xfId="3" applyNumberFormat="1" applyFont="1" applyFill="1" applyBorder="1" applyAlignment="1" applyProtection="1">
      <alignment horizontal="center"/>
      <protection locked="0"/>
    </xf>
    <xf numFmtId="49" fontId="13" fillId="6" borderId="0" xfId="14" applyNumberFormat="1" applyFont="1" applyFill="1" applyBorder="1" applyAlignment="1" applyProtection="1">
      <alignment horizontal="center" wrapText="1"/>
      <protection locked="0"/>
    </xf>
    <xf numFmtId="1" fontId="13" fillId="6" borderId="0" xfId="3" applyNumberFormat="1" applyFont="1" applyFill="1" applyBorder="1" applyAlignment="1" applyProtection="1">
      <alignment horizontal="center" wrapText="1"/>
      <protection locked="0"/>
    </xf>
    <xf numFmtId="37" fontId="44" fillId="6" borderId="0" xfId="3" applyFont="1" applyFill="1" applyBorder="1" applyAlignment="1" applyProtection="1">
      <alignment horizontal="left"/>
      <protection locked="0"/>
    </xf>
    <xf numFmtId="37" fontId="105" fillId="6" borderId="0" xfId="3" applyFont="1" applyFill="1" applyBorder="1" applyAlignment="1" applyProtection="1">
      <alignment horizontal="left"/>
      <protection locked="0"/>
    </xf>
    <xf numFmtId="37" fontId="108" fillId="6" borderId="0" xfId="3" applyFont="1" applyFill="1" applyBorder="1" applyAlignment="1" applyProtection="1">
      <alignment horizontal="right"/>
      <protection locked="0"/>
    </xf>
    <xf numFmtId="37" fontId="13" fillId="6" borderId="0" xfId="13561" applyFont="1" applyFill="1" applyBorder="1" applyAlignment="1" applyProtection="1">
      <alignment horizontal="right"/>
      <protection locked="0"/>
    </xf>
    <xf numFmtId="37" fontId="105" fillId="6" borderId="0" xfId="13561" applyFont="1" applyFill="1" applyBorder="1" applyAlignment="1" applyProtection="1">
      <alignment horizontal="right"/>
      <protection locked="0"/>
    </xf>
    <xf numFmtId="37" fontId="22" fillId="6" borderId="0" xfId="13561" applyFont="1" applyFill="1" applyBorder="1" applyAlignment="1" applyProtection="1">
      <alignment horizontal="right"/>
      <protection locked="0"/>
    </xf>
    <xf numFmtId="37" fontId="13" fillId="48" borderId="0" xfId="3" applyFont="1" applyFill="1" applyBorder="1" applyAlignment="1" applyProtection="1">
      <alignment horizontal="center"/>
      <protection locked="0"/>
    </xf>
    <xf numFmtId="37" fontId="13" fillId="48" borderId="0" xfId="3" applyFont="1" applyFill="1" applyBorder="1" applyAlignment="1" applyProtection="1">
      <alignment horizontal="left"/>
      <protection locked="0"/>
    </xf>
    <xf numFmtId="37" fontId="13" fillId="48" borderId="0" xfId="13561" applyFont="1" applyFill="1" applyBorder="1" applyAlignment="1" applyProtection="1">
      <alignment horizontal="right"/>
      <protection locked="0"/>
    </xf>
    <xf numFmtId="37" fontId="108" fillId="48" borderId="0" xfId="3" applyFont="1" applyFill="1" applyBorder="1" applyAlignment="1" applyProtection="1">
      <alignment horizontal="right"/>
      <protection locked="0"/>
    </xf>
    <xf numFmtId="37" fontId="105" fillId="48" borderId="0" xfId="3" applyFont="1" applyFill="1" applyBorder="1" applyAlignment="1" applyProtection="1">
      <alignment horizontal="right"/>
      <protection locked="0"/>
    </xf>
    <xf numFmtId="49" fontId="13" fillId="48" borderId="0" xfId="14" applyNumberFormat="1" applyFont="1" applyFill="1" applyBorder="1" applyAlignment="1" applyProtection="1">
      <alignment horizontal="center" wrapText="1"/>
      <protection locked="0"/>
    </xf>
    <xf numFmtId="1" fontId="13" fillId="48" borderId="0" xfId="3" applyNumberFormat="1" applyFont="1" applyFill="1" applyBorder="1" applyAlignment="1" applyProtection="1">
      <alignment horizontal="center" wrapText="1"/>
      <protection locked="0"/>
    </xf>
    <xf numFmtId="37" fontId="105" fillId="48" borderId="0" xfId="13561" applyFont="1" applyFill="1" applyBorder="1" applyAlignment="1" applyProtection="1">
      <alignment horizontal="right"/>
      <protection locked="0"/>
    </xf>
    <xf numFmtId="37" fontId="13" fillId="8" borderId="0" xfId="3" applyFont="1" applyFill="1" applyBorder="1" applyAlignment="1" applyProtection="1">
      <alignment horizontal="center"/>
      <protection locked="0"/>
    </xf>
    <xf numFmtId="37" fontId="13" fillId="8" borderId="0" xfId="3" applyFont="1" applyFill="1" applyBorder="1" applyAlignment="1" applyProtection="1">
      <alignment horizontal="left"/>
      <protection locked="0"/>
    </xf>
    <xf numFmtId="37" fontId="108" fillId="8" borderId="0" xfId="3" applyFont="1" applyFill="1" applyBorder="1" applyAlignment="1" applyProtection="1">
      <alignment horizontal="right"/>
      <protection locked="0"/>
    </xf>
    <xf numFmtId="37" fontId="105" fillId="8" borderId="0" xfId="3" applyFont="1" applyFill="1" applyBorder="1" applyAlignment="1" applyProtection="1">
      <alignment horizontal="right"/>
      <protection locked="0"/>
    </xf>
    <xf numFmtId="49" fontId="13" fillId="8" borderId="0" xfId="14" applyNumberFormat="1" applyFont="1" applyFill="1" applyBorder="1" applyAlignment="1" applyProtection="1">
      <alignment horizontal="center" wrapText="1"/>
      <protection locked="0"/>
    </xf>
    <xf numFmtId="1" fontId="13" fillId="8" borderId="0" xfId="3" applyNumberFormat="1" applyFont="1" applyFill="1" applyBorder="1" applyAlignment="1" applyProtection="1">
      <alignment horizontal="center" wrapText="1"/>
      <protection locked="0"/>
    </xf>
    <xf numFmtId="37" fontId="13" fillId="8" borderId="0" xfId="13561" applyFont="1" applyFill="1" applyBorder="1" applyAlignment="1" applyProtection="1">
      <alignment horizontal="right"/>
      <protection locked="0"/>
    </xf>
    <xf numFmtId="37" fontId="105" fillId="8" borderId="0" xfId="13561" applyFont="1" applyFill="1" applyBorder="1" applyAlignment="1" applyProtection="1">
      <alignment horizontal="right"/>
      <protection locked="0"/>
    </xf>
    <xf numFmtId="37" fontId="13" fillId="6" borderId="0" xfId="13561" applyFont="1" applyFill="1" applyBorder="1" applyAlignment="1" applyProtection="1">
      <alignment horizontal="left" vertical="center" wrapText="1"/>
      <protection locked="0"/>
    </xf>
    <xf numFmtId="37" fontId="44" fillId="6" borderId="0" xfId="13561" applyFont="1" applyFill="1" applyBorder="1" applyAlignment="1" applyProtection="1">
      <alignment horizontal="left"/>
      <protection locked="0"/>
    </xf>
    <xf numFmtId="37" fontId="105" fillId="6" borderId="0" xfId="13561" applyFont="1" applyFill="1" applyBorder="1" applyAlignment="1" applyProtection="1">
      <alignment horizontal="left"/>
      <protection locked="0"/>
    </xf>
    <xf numFmtId="37" fontId="13" fillId="6" borderId="0" xfId="13561" applyFont="1" applyFill="1" applyBorder="1" applyAlignment="1" applyProtection="1">
      <alignment horizontal="center" vertical="center" wrapText="1"/>
      <protection locked="0"/>
    </xf>
    <xf numFmtId="37" fontId="13" fillId="8" borderId="0" xfId="13561" applyFont="1" applyFill="1" applyBorder="1" applyAlignment="1" applyProtection="1">
      <alignment horizontal="left" vertical="center" wrapText="1"/>
      <protection locked="0"/>
    </xf>
    <xf numFmtId="167" fontId="13" fillId="49" borderId="0" xfId="3" applyNumberFormat="1" applyFont="1" applyFill="1" applyBorder="1" applyAlignment="1" applyProtection="1">
      <alignment horizontal="center"/>
      <protection locked="0"/>
    </xf>
    <xf numFmtId="167" fontId="13" fillId="49" borderId="0" xfId="3" applyNumberFormat="1" applyFont="1" applyFill="1" applyBorder="1" applyAlignment="1" applyProtection="1">
      <alignment horizontal="left"/>
      <protection locked="0"/>
    </xf>
    <xf numFmtId="49" fontId="13" fillId="49" borderId="0" xfId="13558" applyNumberFormat="1" applyFont="1" applyFill="1" applyBorder="1" applyAlignment="1" applyProtection="1">
      <alignment horizontal="left"/>
      <protection locked="0"/>
    </xf>
    <xf numFmtId="49" fontId="105" fillId="49" borderId="0" xfId="13558" applyNumberFormat="1" applyFont="1" applyFill="1" applyBorder="1" applyAlignment="1" applyProtection="1">
      <alignment horizontal="left"/>
      <protection locked="0"/>
    </xf>
    <xf numFmtId="49" fontId="13" fillId="49" borderId="0" xfId="13558" applyNumberFormat="1" applyFont="1" applyFill="1" applyBorder="1" applyAlignment="1" applyProtection="1">
      <alignment horizontal="center"/>
      <protection locked="0"/>
    </xf>
    <xf numFmtId="1" fontId="13" fillId="49" borderId="0" xfId="13556" applyNumberFormat="1" applyFont="1" applyFill="1" applyBorder="1" applyAlignment="1" applyProtection="1">
      <alignment horizontal="center"/>
      <protection locked="0"/>
    </xf>
    <xf numFmtId="3" fontId="120" fillId="0" borderId="23" xfId="15" applyNumberFormat="1" applyFont="1" applyFill="1" applyBorder="1" applyAlignment="1" applyProtection="1">
      <alignment horizontal="right"/>
      <protection locked="0"/>
    </xf>
    <xf numFmtId="167" fontId="13" fillId="49" borderId="0" xfId="3" applyNumberFormat="1" applyFont="1" applyFill="1" applyBorder="1" applyAlignment="1" applyProtection="1">
      <protection locked="0"/>
    </xf>
    <xf numFmtId="167" fontId="105" fillId="49" borderId="0" xfId="3" applyNumberFormat="1" applyFont="1" applyFill="1" applyBorder="1" applyAlignment="1" applyProtection="1">
      <protection locked="0"/>
    </xf>
    <xf numFmtId="49" fontId="13" fillId="49" borderId="0" xfId="14" applyNumberFormat="1" applyFont="1" applyFill="1" applyBorder="1" applyAlignment="1" applyProtection="1">
      <alignment horizontal="center"/>
      <protection locked="0"/>
    </xf>
    <xf numFmtId="1" fontId="13" fillId="49" borderId="0" xfId="3" applyNumberFormat="1" applyFont="1" applyFill="1" applyBorder="1" applyAlignment="1" applyProtection="1">
      <alignment horizontal="center"/>
      <protection locked="0"/>
    </xf>
    <xf numFmtId="167" fontId="44" fillId="49" borderId="0" xfId="3" applyNumberFormat="1" applyFont="1" applyFill="1" applyBorder="1" applyAlignment="1" applyProtection="1">
      <alignment horizontal="right"/>
      <protection locked="0"/>
    </xf>
    <xf numFmtId="167" fontId="105" fillId="49" borderId="0" xfId="3" applyNumberFormat="1" applyFont="1" applyFill="1" applyBorder="1" applyAlignment="1" applyProtection="1">
      <alignment horizontal="right"/>
      <protection locked="0"/>
    </xf>
    <xf numFmtId="167" fontId="13" fillId="49" borderId="0" xfId="3" applyNumberFormat="1" applyFont="1" applyFill="1" applyBorder="1" applyAlignment="1" applyProtection="1">
      <alignment horizontal="right"/>
      <protection locked="0"/>
    </xf>
    <xf numFmtId="49" fontId="107" fillId="49" borderId="0" xfId="13558" applyNumberFormat="1" applyFont="1" applyFill="1" applyBorder="1" applyAlignment="1" applyProtection="1">
      <alignment horizontal="left"/>
      <protection locked="0"/>
    </xf>
    <xf numFmtId="49" fontId="22" fillId="49" borderId="0" xfId="13563" applyNumberFormat="1" applyFont="1" applyFill="1" applyBorder="1" applyAlignment="1" applyProtection="1">
      <alignment horizontal="left"/>
      <protection locked="0"/>
    </xf>
    <xf numFmtId="1" fontId="13" fillId="49" borderId="0" xfId="13563" applyNumberFormat="1" applyFont="1" applyFill="1" applyBorder="1" applyAlignment="1" applyProtection="1">
      <alignment horizontal="center"/>
      <protection locked="0"/>
    </xf>
    <xf numFmtId="1" fontId="13" fillId="49" borderId="0" xfId="13565" applyNumberFormat="1" applyFont="1" applyFill="1" applyBorder="1" applyAlignment="1" applyProtection="1">
      <alignment horizontal="center"/>
      <protection locked="0"/>
    </xf>
    <xf numFmtId="49" fontId="77" fillId="49" borderId="0" xfId="13558" applyNumberFormat="1" applyFont="1" applyFill="1" applyBorder="1" applyAlignment="1" applyProtection="1">
      <alignment horizontal="left"/>
      <protection locked="0"/>
    </xf>
    <xf numFmtId="49" fontId="22" fillId="49" borderId="0" xfId="13558" applyNumberFormat="1" applyFont="1" applyFill="1" applyBorder="1" applyAlignment="1" applyProtection="1">
      <alignment horizontal="left"/>
      <protection locked="0"/>
    </xf>
    <xf numFmtId="3" fontId="13" fillId="49" borderId="0" xfId="13559" applyFont="1" applyFill="1" applyBorder="1" applyAlignment="1" applyProtection="1">
      <protection locked="0"/>
    </xf>
    <xf numFmtId="167" fontId="22" fillId="49" borderId="0" xfId="3" applyNumberFormat="1" applyFont="1" applyFill="1" applyBorder="1" applyAlignment="1" applyProtection="1">
      <protection locked="0"/>
    </xf>
    <xf numFmtId="37" fontId="44" fillId="49" borderId="0" xfId="3" applyFont="1" applyFill="1" applyBorder="1" applyAlignment="1" applyProtection="1">
      <alignment horizontal="right"/>
      <protection locked="0"/>
    </xf>
    <xf numFmtId="37" fontId="105" fillId="49" borderId="0" xfId="3" applyFont="1" applyFill="1" applyBorder="1" applyAlignment="1" applyProtection="1">
      <alignment horizontal="right"/>
      <protection locked="0"/>
    </xf>
    <xf numFmtId="167" fontId="44" fillId="49" borderId="0" xfId="3" applyNumberFormat="1" applyFont="1" applyFill="1" applyBorder="1" applyAlignment="1" applyProtection="1">
      <alignment horizontal="left"/>
      <protection locked="0"/>
    </xf>
    <xf numFmtId="167" fontId="105" fillId="49" borderId="0" xfId="3" applyNumberFormat="1" applyFont="1" applyFill="1" applyBorder="1" applyAlignment="1" applyProtection="1">
      <alignment horizontal="left"/>
      <protection locked="0"/>
    </xf>
    <xf numFmtId="167" fontId="108" fillId="49" borderId="0" xfId="3" applyNumberFormat="1" applyFont="1" applyFill="1" applyBorder="1" applyAlignment="1" applyProtection="1">
      <alignment horizontal="right"/>
      <protection locked="0"/>
    </xf>
    <xf numFmtId="37" fontId="13" fillId="49" borderId="0" xfId="13561" applyFont="1" applyFill="1" applyBorder="1" applyAlignment="1" applyProtection="1">
      <alignment horizontal="left" vertical="center" wrapText="1"/>
      <protection locked="0"/>
    </xf>
    <xf numFmtId="37" fontId="13" fillId="49" borderId="0" xfId="13561" applyFont="1" applyFill="1" applyBorder="1" applyAlignment="1" applyProtection="1">
      <alignment horizontal="right"/>
      <protection locked="0"/>
    </xf>
    <xf numFmtId="37" fontId="105" fillId="49" borderId="0" xfId="13561" applyFont="1" applyFill="1" applyBorder="1" applyAlignment="1" applyProtection="1">
      <alignment horizontal="right"/>
      <protection locked="0"/>
    </xf>
    <xf numFmtId="49" fontId="13" fillId="49" borderId="0" xfId="14" applyNumberFormat="1" applyFont="1" applyFill="1" applyBorder="1" applyAlignment="1" applyProtection="1">
      <alignment horizontal="center" wrapText="1"/>
      <protection locked="0"/>
    </xf>
    <xf numFmtId="1" fontId="13" fillId="49" borderId="0" xfId="3" applyNumberFormat="1" applyFont="1" applyFill="1" applyBorder="1" applyAlignment="1" applyProtection="1">
      <alignment horizontal="center" wrapText="1"/>
      <protection locked="0"/>
    </xf>
    <xf numFmtId="3" fontId="13" fillId="8" borderId="17" xfId="15" applyNumberFormat="1" applyFont="1" applyFill="1" applyBorder="1" applyAlignment="1" applyProtection="1">
      <alignment horizontal="right"/>
      <protection locked="0"/>
    </xf>
    <xf numFmtId="37" fontId="44" fillId="49" borderId="0" xfId="13561" applyFont="1" applyFill="1" applyBorder="1" applyAlignment="1" applyProtection="1">
      <alignment horizontal="left"/>
      <protection locked="0"/>
    </xf>
    <xf numFmtId="37" fontId="105" fillId="49" borderId="0" xfId="13561" applyFont="1" applyFill="1" applyBorder="1" applyAlignment="1" applyProtection="1">
      <alignment horizontal="left"/>
      <protection locked="0"/>
    </xf>
    <xf numFmtId="37" fontId="13" fillId="50" borderId="0" xfId="3" applyFont="1" applyFill="1" applyBorder="1" applyAlignment="1" applyProtection="1">
      <alignment horizontal="center"/>
      <protection locked="0"/>
    </xf>
    <xf numFmtId="37" fontId="13" fillId="50" borderId="0" xfId="3" applyFont="1" applyFill="1" applyBorder="1" applyAlignment="1" applyProtection="1">
      <alignment horizontal="left"/>
      <protection locked="0"/>
    </xf>
    <xf numFmtId="37" fontId="13" fillId="50" borderId="0" xfId="3" applyFont="1" applyFill="1" applyBorder="1" applyAlignment="1" applyProtection="1">
      <protection locked="0"/>
    </xf>
    <xf numFmtId="37" fontId="105" fillId="50" borderId="0" xfId="3" applyFont="1" applyFill="1" applyBorder="1" applyAlignment="1" applyProtection="1">
      <protection locked="0"/>
    </xf>
    <xf numFmtId="49" fontId="13" fillId="50" borderId="0" xfId="14" applyNumberFormat="1" applyFont="1" applyFill="1" applyBorder="1" applyAlignment="1" applyProtection="1">
      <alignment horizontal="center"/>
      <protection locked="0"/>
    </xf>
    <xf numFmtId="1" fontId="13" fillId="50" borderId="0" xfId="3" applyNumberFormat="1" applyFont="1" applyFill="1" applyBorder="1" applyAlignment="1" applyProtection="1">
      <alignment horizontal="center"/>
      <protection locked="0"/>
    </xf>
    <xf numFmtId="49" fontId="13" fillId="50" borderId="0" xfId="13558" applyNumberFormat="1" applyFont="1" applyFill="1" applyBorder="1" applyAlignment="1" applyProtection="1">
      <alignment horizontal="left"/>
      <protection locked="0"/>
    </xf>
    <xf numFmtId="49" fontId="105" fillId="50" borderId="0" xfId="13558" applyNumberFormat="1" applyFont="1" applyFill="1" applyBorder="1" applyAlignment="1" applyProtection="1">
      <alignment horizontal="left"/>
      <protection locked="0"/>
    </xf>
    <xf numFmtId="49" fontId="13" fillId="50" borderId="0" xfId="13558" applyNumberFormat="1" applyFont="1" applyFill="1" applyBorder="1" applyAlignment="1" applyProtection="1">
      <alignment horizontal="center"/>
      <protection locked="0"/>
    </xf>
    <xf numFmtId="1" fontId="13" fillId="50" borderId="0" xfId="13556" applyNumberFormat="1" applyFont="1" applyFill="1" applyBorder="1" applyAlignment="1" applyProtection="1">
      <alignment horizontal="center"/>
      <protection locked="0"/>
    </xf>
    <xf numFmtId="37" fontId="13" fillId="50" borderId="0" xfId="3" applyFont="1" applyFill="1" applyBorder="1" applyAlignment="1" applyProtection="1">
      <alignment horizontal="right"/>
      <protection locked="0"/>
    </xf>
    <xf numFmtId="37" fontId="105" fillId="50" borderId="0" xfId="3" applyFont="1" applyFill="1" applyBorder="1" applyAlignment="1" applyProtection="1">
      <alignment horizontal="right"/>
      <protection locked="0"/>
    </xf>
    <xf numFmtId="37" fontId="44" fillId="50" borderId="0" xfId="3" applyFont="1" applyFill="1" applyBorder="1" applyAlignment="1" applyProtection="1">
      <alignment horizontal="right"/>
      <protection locked="0"/>
    </xf>
    <xf numFmtId="165" fontId="13" fillId="50" borderId="0" xfId="13566" applyFont="1" applyFill="1" applyBorder="1" applyAlignment="1" applyProtection="1">
      <protection locked="0"/>
    </xf>
    <xf numFmtId="49" fontId="105" fillId="50" borderId="0" xfId="13567" applyNumberFormat="1" applyFont="1" applyFill="1" applyBorder="1" applyAlignment="1" applyProtection="1">
      <alignment horizontal="left"/>
      <protection locked="0"/>
    </xf>
    <xf numFmtId="165" fontId="13" fillId="50" borderId="0" xfId="13558" applyFont="1" applyFill="1" applyBorder="1" applyProtection="1">
      <protection locked="0"/>
    </xf>
    <xf numFmtId="165" fontId="121" fillId="50" borderId="0" xfId="13558" applyFont="1" applyFill="1" applyBorder="1" applyProtection="1">
      <protection locked="0"/>
    </xf>
    <xf numFmtId="1" fontId="13" fillId="50" borderId="0" xfId="13563" applyNumberFormat="1" applyFont="1" applyFill="1" applyBorder="1" applyAlignment="1" applyProtection="1">
      <alignment horizontal="center"/>
      <protection locked="0"/>
    </xf>
    <xf numFmtId="1" fontId="22" fillId="50" borderId="0" xfId="13565" applyNumberFormat="1" applyFont="1" applyFill="1" applyBorder="1" applyAlignment="1" applyProtection="1">
      <alignment horizontal="center"/>
      <protection locked="0"/>
    </xf>
    <xf numFmtId="37" fontId="22" fillId="50" borderId="0" xfId="3" applyFont="1" applyFill="1" applyBorder="1" applyAlignment="1" applyProtection="1">
      <protection locked="0"/>
    </xf>
    <xf numFmtId="37" fontId="22" fillId="50" borderId="0" xfId="3" applyFont="1" applyFill="1" applyBorder="1" applyAlignment="1" applyProtection="1">
      <alignment horizontal="left"/>
      <protection locked="0"/>
    </xf>
    <xf numFmtId="37" fontId="44" fillId="50" borderId="0" xfId="3" applyFont="1" applyFill="1" applyBorder="1" applyAlignment="1" applyProtection="1">
      <alignment horizontal="left"/>
      <protection locked="0"/>
    </xf>
    <xf numFmtId="37" fontId="47" fillId="50" borderId="0" xfId="13561" applyFont="1" applyFill="1" applyBorder="1" applyAlignment="1" applyProtection="1">
      <alignment horizontal="right"/>
      <protection locked="0"/>
    </xf>
    <xf numFmtId="37" fontId="13" fillId="50" borderId="0" xfId="13561" applyFont="1" applyFill="1" applyBorder="1" applyAlignment="1" applyProtection="1">
      <alignment horizontal="left" vertical="center" wrapText="1"/>
      <protection locked="0"/>
    </xf>
    <xf numFmtId="37" fontId="13" fillId="50" borderId="0" xfId="13561" applyFont="1" applyFill="1" applyBorder="1" applyAlignment="1" applyProtection="1">
      <alignment horizontal="right"/>
      <protection locked="0"/>
    </xf>
    <xf numFmtId="49" fontId="13" fillId="50" borderId="0" xfId="14" applyNumberFormat="1" applyFont="1" applyFill="1" applyBorder="1" applyAlignment="1" applyProtection="1">
      <alignment horizontal="center" wrapText="1"/>
      <protection locked="0"/>
    </xf>
    <xf numFmtId="1" fontId="13" fillId="50" borderId="0" xfId="3" applyNumberFormat="1" applyFont="1" applyFill="1" applyBorder="1" applyAlignment="1" applyProtection="1">
      <alignment horizontal="center" wrapText="1"/>
      <protection locked="0"/>
    </xf>
    <xf numFmtId="37" fontId="44" fillId="50" borderId="0" xfId="13561" applyFont="1" applyFill="1" applyBorder="1" applyAlignment="1" applyProtection="1">
      <alignment horizontal="left"/>
      <protection locked="0"/>
    </xf>
    <xf numFmtId="37" fontId="108" fillId="50" borderId="0" xfId="3" applyFont="1" applyFill="1" applyBorder="1" applyAlignment="1" applyProtection="1">
      <alignment horizontal="right"/>
      <protection locked="0"/>
    </xf>
    <xf numFmtId="0" fontId="13" fillId="6" borderId="0" xfId="3" applyNumberFormat="1" applyFont="1" applyFill="1" applyBorder="1" applyAlignment="1" applyProtection="1">
      <alignment horizontal="right"/>
      <protection locked="0"/>
    </xf>
    <xf numFmtId="3" fontId="40" fillId="0" borderId="17" xfId="0" applyNumberFormat="1" applyFont="1" applyFill="1" applyBorder="1" applyAlignment="1">
      <alignment horizontal="right"/>
    </xf>
    <xf numFmtId="167" fontId="44" fillId="6" borderId="0" xfId="3" applyNumberFormat="1" applyFont="1" applyFill="1" applyBorder="1" applyAlignment="1" applyProtection="1">
      <alignment horizontal="right"/>
      <protection locked="0"/>
    </xf>
    <xf numFmtId="167" fontId="105" fillId="6" borderId="0" xfId="3" applyNumberFormat="1" applyFont="1" applyFill="1" applyBorder="1" applyAlignment="1" applyProtection="1">
      <alignment horizontal="right"/>
      <protection locked="0"/>
    </xf>
    <xf numFmtId="37" fontId="40" fillId="0" borderId="17" xfId="2" applyNumberFormat="1" applyFont="1" applyFill="1" applyBorder="1" applyProtection="1">
      <protection locked="0"/>
    </xf>
    <xf numFmtId="37" fontId="40" fillId="0" borderId="23" xfId="2" applyNumberFormat="1" applyFont="1" applyFill="1" applyBorder="1"/>
    <xf numFmtId="3" fontId="50" fillId="0" borderId="17" xfId="0" applyNumberFormat="1" applyFont="1" applyFill="1" applyBorder="1" applyAlignment="1">
      <alignment horizontal="right"/>
    </xf>
    <xf numFmtId="49" fontId="13" fillId="6" borderId="0" xfId="3" applyNumberFormat="1" applyFont="1" applyFill="1" applyBorder="1" applyAlignment="1" applyProtection="1">
      <alignment horizontal="right"/>
      <protection locked="0"/>
    </xf>
    <xf numFmtId="1" fontId="13" fillId="6" borderId="0" xfId="13556" applyNumberFormat="1" applyFont="1" applyFill="1" applyBorder="1" applyAlignment="1" applyProtection="1">
      <alignment horizontal="center"/>
      <protection locked="0"/>
    </xf>
    <xf numFmtId="165" fontId="13" fillId="6" borderId="0" xfId="13558" applyFont="1" applyFill="1" applyBorder="1" applyAlignment="1" applyProtection="1">
      <protection locked="0"/>
    </xf>
    <xf numFmtId="165" fontId="105" fillId="6" borderId="0" xfId="13558" applyFont="1" applyFill="1" applyBorder="1" applyAlignment="1" applyProtection="1">
      <protection locked="0"/>
    </xf>
    <xf numFmtId="165" fontId="13" fillId="6" borderId="0" xfId="13558" applyFont="1" applyFill="1" applyBorder="1" applyAlignment="1" applyProtection="1">
      <alignment horizontal="right"/>
      <protection locked="0"/>
    </xf>
    <xf numFmtId="165" fontId="105" fillId="6" borderId="0" xfId="13558" applyFont="1" applyFill="1" applyBorder="1" applyAlignment="1" applyProtection="1">
      <alignment horizontal="right"/>
      <protection locked="0"/>
    </xf>
    <xf numFmtId="165" fontId="13" fillId="6" borderId="0" xfId="13558" applyFont="1" applyFill="1" applyBorder="1" applyProtection="1">
      <protection locked="0"/>
    </xf>
    <xf numFmtId="165" fontId="105" fillId="6" borderId="0" xfId="13558" applyFont="1" applyFill="1" applyBorder="1" applyProtection="1">
      <protection locked="0"/>
    </xf>
    <xf numFmtId="49" fontId="13" fillId="6" borderId="0" xfId="3" applyNumberFormat="1" applyFont="1" applyFill="1" applyBorder="1" applyAlignment="1" applyProtection="1">
      <protection locked="0"/>
    </xf>
    <xf numFmtId="37" fontId="13" fillId="6" borderId="0" xfId="3" applyNumberFormat="1" applyFont="1" applyFill="1" applyBorder="1" applyAlignment="1" applyProtection="1">
      <alignment horizontal="center"/>
      <protection locked="0"/>
    </xf>
    <xf numFmtId="37" fontId="13" fillId="6" borderId="49" xfId="3" applyFont="1" applyFill="1" applyBorder="1" applyAlignment="1" applyProtection="1">
      <alignment horizontal="center"/>
      <protection locked="0"/>
    </xf>
    <xf numFmtId="0" fontId="0" fillId="0" borderId="0" xfId="0" applyFill="1" applyAlignment="1"/>
    <xf numFmtId="37" fontId="13" fillId="6" borderId="0" xfId="3" applyNumberFormat="1" applyFont="1" applyFill="1" applyBorder="1" applyAlignment="1" applyProtection="1">
      <alignment horizontal="center" wrapText="1"/>
      <protection locked="0"/>
    </xf>
    <xf numFmtId="37" fontId="13" fillId="46" borderId="0" xfId="3" applyFont="1" applyFill="1" applyBorder="1" applyAlignment="1" applyProtection="1">
      <alignment horizontal="left"/>
      <protection locked="0"/>
    </xf>
    <xf numFmtId="37" fontId="13" fillId="46" borderId="0" xfId="3" applyFont="1" applyFill="1" applyBorder="1" applyAlignment="1" applyProtection="1">
      <protection locked="0"/>
    </xf>
    <xf numFmtId="37" fontId="105" fillId="46" borderId="0" xfId="3" applyFont="1" applyFill="1" applyBorder="1" applyAlignment="1" applyProtection="1">
      <protection locked="0"/>
    </xf>
    <xf numFmtId="3" fontId="13" fillId="51" borderId="17" xfId="3" applyNumberFormat="1" applyFont="1" applyFill="1" applyBorder="1" applyAlignment="1" applyProtection="1">
      <alignment horizontal="right"/>
      <protection locked="0"/>
    </xf>
    <xf numFmtId="37" fontId="13" fillId="46" borderId="0" xfId="3" applyFont="1" applyFill="1" applyBorder="1" applyAlignment="1" applyProtection="1">
      <alignment horizontal="right"/>
      <protection locked="0"/>
    </xf>
    <xf numFmtId="0" fontId="13" fillId="46" borderId="0" xfId="14" applyNumberFormat="1" applyFont="1" applyFill="1" applyBorder="1" applyAlignment="1" applyProtection="1">
      <alignment horizontal="center"/>
      <protection locked="0"/>
    </xf>
    <xf numFmtId="37" fontId="105" fillId="46" borderId="0" xfId="3" applyFont="1" applyFill="1" applyBorder="1" applyAlignment="1" applyProtection="1">
      <alignment horizontal="left"/>
      <protection locked="0"/>
    </xf>
    <xf numFmtId="49" fontId="13" fillId="46" borderId="0" xfId="13558" applyNumberFormat="1" applyFont="1" applyFill="1" applyBorder="1" applyAlignment="1" applyProtection="1">
      <alignment horizontal="left"/>
      <protection locked="0"/>
    </xf>
    <xf numFmtId="49" fontId="105" fillId="46" borderId="0" xfId="13558" applyNumberFormat="1" applyFont="1" applyFill="1" applyBorder="1" applyAlignment="1" applyProtection="1">
      <alignment horizontal="left"/>
      <protection locked="0"/>
    </xf>
    <xf numFmtId="165" fontId="13" fillId="46" borderId="0" xfId="13558" applyFont="1" applyFill="1" applyBorder="1" applyAlignment="1" applyProtection="1">
      <alignment horizontal="left"/>
      <protection locked="0"/>
    </xf>
    <xf numFmtId="165" fontId="105" fillId="46" borderId="0" xfId="13558" applyFont="1" applyFill="1" applyBorder="1" applyAlignment="1" applyProtection="1">
      <alignment horizontal="left"/>
      <protection locked="0"/>
    </xf>
    <xf numFmtId="49" fontId="13" fillId="46" borderId="0" xfId="13558" applyNumberFormat="1" applyFont="1" applyFill="1" applyBorder="1" applyAlignment="1" applyProtection="1">
      <alignment horizontal="center"/>
      <protection locked="0"/>
    </xf>
    <xf numFmtId="49" fontId="13" fillId="46" borderId="0" xfId="13559" applyNumberFormat="1" applyFont="1" applyFill="1" applyBorder="1" applyAlignment="1" applyProtection="1">
      <alignment horizontal="center"/>
      <protection locked="0"/>
    </xf>
    <xf numFmtId="49" fontId="107" fillId="46" borderId="0" xfId="13558" applyNumberFormat="1" applyFont="1" applyFill="1" applyBorder="1" applyAlignment="1" applyProtection="1">
      <alignment horizontal="left"/>
      <protection locked="0"/>
    </xf>
    <xf numFmtId="1" fontId="13" fillId="46" borderId="0" xfId="13559" applyNumberFormat="1" applyFont="1" applyFill="1" applyBorder="1" applyAlignment="1" applyProtection="1">
      <alignment horizontal="center"/>
      <protection locked="0"/>
    </xf>
    <xf numFmtId="3" fontId="13" fillId="46" borderId="0" xfId="13559" applyFont="1" applyFill="1" applyBorder="1" applyAlignment="1" applyProtection="1">
      <protection locked="0"/>
    </xf>
    <xf numFmtId="3" fontId="105" fillId="46" borderId="0" xfId="13559" applyFont="1" applyFill="1" applyBorder="1" applyAlignment="1" applyProtection="1">
      <protection locked="0"/>
    </xf>
    <xf numFmtId="49" fontId="13" fillId="46" borderId="0" xfId="13566" applyNumberFormat="1" applyFont="1" applyFill="1" applyBorder="1" applyAlignment="1" applyProtection="1">
      <alignment horizontal="center"/>
      <protection locked="0"/>
    </xf>
    <xf numFmtId="1" fontId="13" fillId="52" borderId="0" xfId="13568" applyNumberFormat="1" applyFont="1" applyFill="1" applyBorder="1" applyAlignment="1" applyProtection="1">
      <alignment horizontal="center"/>
      <protection locked="0"/>
    </xf>
    <xf numFmtId="3" fontId="13" fillId="46" borderId="0" xfId="13559" applyFont="1" applyFill="1" applyBorder="1" applyAlignment="1" applyProtection="1">
      <alignment horizontal="left"/>
      <protection locked="0"/>
    </xf>
    <xf numFmtId="165" fontId="13" fillId="46" borderId="0" xfId="13558" applyFont="1" applyFill="1" applyBorder="1" applyAlignment="1" applyProtection="1">
      <protection locked="0"/>
    </xf>
    <xf numFmtId="165" fontId="105" fillId="46" borderId="0" xfId="13558" applyFont="1" applyFill="1" applyBorder="1" applyAlignment="1" applyProtection="1">
      <protection locked="0"/>
    </xf>
    <xf numFmtId="37" fontId="22" fillId="46" borderId="0" xfId="3" applyFont="1" applyFill="1" applyBorder="1" applyAlignment="1" applyProtection="1">
      <alignment horizontal="left"/>
      <protection locked="0"/>
    </xf>
    <xf numFmtId="37" fontId="13" fillId="8" borderId="0" xfId="3" applyFont="1" applyFill="1" applyBorder="1" applyAlignment="1" applyProtection="1">
      <alignment horizontal="right"/>
      <protection locked="0"/>
    </xf>
    <xf numFmtId="49" fontId="13" fillId="46" borderId="0" xfId="3" applyNumberFormat="1" applyFont="1" applyFill="1" applyBorder="1" applyAlignment="1" applyProtection="1">
      <protection locked="0"/>
    </xf>
    <xf numFmtId="166" fontId="13" fillId="14" borderId="17" xfId="88" applyNumberFormat="1" applyFont="1" applyFill="1" applyBorder="1"/>
    <xf numFmtId="37" fontId="44" fillId="46" borderId="0" xfId="3" applyFont="1" applyFill="1" applyBorder="1" applyAlignment="1" applyProtection="1">
      <alignment horizontal="left"/>
      <protection locked="0"/>
    </xf>
    <xf numFmtId="37" fontId="13" fillId="46" borderId="0" xfId="13561" applyFont="1" applyFill="1" applyBorder="1" applyAlignment="1" applyProtection="1">
      <alignment horizontal="left" vertical="center" wrapText="1"/>
      <protection locked="0"/>
    </xf>
    <xf numFmtId="37" fontId="108" fillId="46" borderId="0" xfId="13561" applyFont="1" applyFill="1" applyBorder="1" applyAlignment="1" applyProtection="1">
      <alignment horizontal="right"/>
      <protection locked="0"/>
    </xf>
    <xf numFmtId="49" fontId="13" fillId="46" borderId="0" xfId="14" applyNumberFormat="1" applyFont="1" applyFill="1" applyBorder="1" applyAlignment="1" applyProtection="1">
      <alignment horizontal="center" wrapText="1"/>
      <protection locked="0"/>
    </xf>
    <xf numFmtId="1" fontId="13" fillId="46" borderId="0" xfId="3" applyNumberFormat="1" applyFont="1" applyFill="1" applyBorder="1" applyAlignment="1" applyProtection="1">
      <alignment horizontal="center" wrapText="1"/>
      <protection locked="0"/>
    </xf>
    <xf numFmtId="3" fontId="13" fillId="8" borderId="17" xfId="15" applyNumberFormat="1" applyFont="1" applyFill="1" applyBorder="1" applyAlignment="1" applyProtection="1">
      <alignment horizontal="left"/>
      <protection locked="0"/>
    </xf>
    <xf numFmtId="37" fontId="108" fillId="46" borderId="0" xfId="3" applyFont="1" applyFill="1" applyBorder="1" applyAlignment="1" applyProtection="1">
      <alignment horizontal="right"/>
      <protection locked="0"/>
    </xf>
    <xf numFmtId="49" fontId="22" fillId="6" borderId="0" xfId="13558" applyNumberFormat="1" applyFont="1" applyFill="1" applyBorder="1" applyAlignment="1" applyProtection="1">
      <alignment horizontal="left"/>
      <protection locked="0"/>
    </xf>
    <xf numFmtId="1" fontId="22" fillId="49" borderId="0" xfId="13565" applyNumberFormat="1" applyFont="1" applyFill="1" applyBorder="1" applyAlignment="1" applyProtection="1">
      <alignment horizontal="center"/>
      <protection locked="0"/>
    </xf>
    <xf numFmtId="49" fontId="105" fillId="6" borderId="0" xfId="13563" applyNumberFormat="1" applyFont="1" applyFill="1" applyBorder="1" applyAlignment="1" applyProtection="1">
      <alignment horizontal="left"/>
      <protection locked="0"/>
    </xf>
    <xf numFmtId="37" fontId="13" fillId="49" borderId="0" xfId="13561" applyFont="1" applyFill="1" applyBorder="1" applyAlignment="1" applyProtection="1">
      <alignment horizontal="center"/>
      <protection locked="0"/>
    </xf>
    <xf numFmtId="37" fontId="13" fillId="49" borderId="0" xfId="13561" applyFont="1" applyFill="1" applyBorder="1" applyAlignment="1" applyProtection="1">
      <alignment vertical="center"/>
      <protection locked="0"/>
    </xf>
    <xf numFmtId="37" fontId="105" fillId="49" borderId="0" xfId="13561" applyFont="1" applyFill="1" applyBorder="1" applyAlignment="1" applyProtection="1">
      <alignment vertical="center"/>
      <protection locked="0"/>
    </xf>
    <xf numFmtId="37" fontId="13" fillId="49" borderId="0" xfId="13561" applyFont="1" applyFill="1" applyBorder="1" applyAlignment="1" applyProtection="1">
      <alignment horizontal="left"/>
      <protection locked="0"/>
    </xf>
    <xf numFmtId="37" fontId="44" fillId="49" borderId="0" xfId="13561" applyFont="1" applyFill="1" applyBorder="1" applyAlignment="1" applyProtection="1">
      <alignment horizontal="right"/>
      <protection locked="0"/>
    </xf>
    <xf numFmtId="49" fontId="13" fillId="49" borderId="0" xfId="13561" applyNumberFormat="1" applyFont="1" applyFill="1" applyBorder="1" applyAlignment="1" applyProtection="1">
      <alignment horizontal="center"/>
      <protection locked="0"/>
    </xf>
    <xf numFmtId="1" fontId="13" fillId="49" borderId="0" xfId="13561" applyNumberFormat="1" applyFont="1" applyFill="1" applyBorder="1" applyAlignment="1" applyProtection="1">
      <alignment horizontal="center"/>
      <protection locked="0"/>
    </xf>
    <xf numFmtId="37" fontId="40" fillId="0" borderId="17" xfId="2" applyNumberFormat="1" applyFont="1" applyFill="1" applyBorder="1"/>
    <xf numFmtId="37" fontId="13" fillId="49" borderId="0" xfId="13561" applyFont="1" applyFill="1" applyBorder="1" applyAlignment="1" applyProtection="1">
      <alignment horizontal="center" vertical="center" wrapText="1"/>
      <protection locked="0"/>
    </xf>
    <xf numFmtId="49" fontId="13" fillId="49" borderId="0" xfId="13556" applyNumberFormat="1" applyFont="1" applyFill="1" applyBorder="1" applyAlignment="1" applyProtection="1">
      <alignment horizontal="left"/>
      <protection locked="0"/>
    </xf>
    <xf numFmtId="49" fontId="107" fillId="49" borderId="0" xfId="13556" applyNumberFormat="1" applyFont="1" applyFill="1" applyBorder="1" applyAlignment="1" applyProtection="1">
      <alignment horizontal="left"/>
      <protection locked="0"/>
    </xf>
    <xf numFmtId="49" fontId="13" fillId="49" borderId="0" xfId="7" applyNumberFormat="1" applyFont="1" applyFill="1" applyBorder="1" applyAlignment="1" applyProtection="1">
      <alignment horizontal="left"/>
      <protection locked="0"/>
    </xf>
    <xf numFmtId="1" fontId="13" fillId="49" borderId="0" xfId="13564" applyNumberFormat="1" applyFont="1" applyFill="1" applyBorder="1" applyAlignment="1" applyProtection="1">
      <alignment horizontal="center"/>
      <protection locked="0"/>
    </xf>
    <xf numFmtId="1" fontId="22" fillId="49" borderId="0" xfId="13556" applyNumberFormat="1" applyFont="1" applyFill="1" applyBorder="1" applyAlignment="1" applyProtection="1">
      <alignment horizontal="center"/>
      <protection locked="0"/>
    </xf>
    <xf numFmtId="37" fontId="22" fillId="49" borderId="0" xfId="13561" applyFont="1" applyFill="1" applyBorder="1" applyAlignment="1" applyProtection="1">
      <alignment vertical="center"/>
      <protection locked="0"/>
    </xf>
    <xf numFmtId="3" fontId="13" fillId="0" borderId="88" xfId="15" applyNumberFormat="1" applyFont="1" applyFill="1" applyBorder="1" applyAlignment="1" applyProtection="1">
      <alignment horizontal="right"/>
      <protection locked="0"/>
    </xf>
    <xf numFmtId="37" fontId="13" fillId="49" borderId="23" xfId="13561" applyFont="1" applyFill="1" applyBorder="1" applyAlignment="1" applyProtection="1">
      <alignment horizontal="center" vertical="center" wrapText="1"/>
      <protection locked="0"/>
    </xf>
    <xf numFmtId="37" fontId="44" fillId="49" borderId="0" xfId="13561" applyFont="1" applyFill="1" applyBorder="1" applyAlignment="1" applyProtection="1">
      <alignment horizontal="right" vertical="center"/>
      <protection locked="0"/>
    </xf>
    <xf numFmtId="37" fontId="105" fillId="49" borderId="0" xfId="13561" applyFont="1" applyFill="1" applyBorder="1" applyAlignment="1" applyProtection="1">
      <alignment horizontal="right" vertical="center"/>
      <protection locked="0"/>
    </xf>
    <xf numFmtId="37" fontId="13" fillId="49" borderId="0" xfId="13561" applyFont="1" applyFill="1" applyBorder="1" applyAlignment="1" applyProtection="1">
      <alignment horizontal="right" vertical="center"/>
      <protection locked="0"/>
    </xf>
    <xf numFmtId="37" fontId="13" fillId="49" borderId="0" xfId="13561" applyFont="1" applyFill="1" applyBorder="1" applyAlignment="1" applyProtection="1">
      <alignment horizontal="right" wrapText="1"/>
      <protection locked="0"/>
    </xf>
    <xf numFmtId="37" fontId="105" fillId="49" borderId="0" xfId="13561" applyFont="1" applyFill="1" applyBorder="1" applyAlignment="1" applyProtection="1">
      <alignment horizontal="right" wrapText="1"/>
      <protection locked="0"/>
    </xf>
    <xf numFmtId="37" fontId="44" fillId="49" borderId="0" xfId="13561" applyFont="1" applyFill="1" applyBorder="1" applyAlignment="1" applyProtection="1">
      <alignment horizontal="left" vertical="center"/>
      <protection locked="0"/>
    </xf>
    <xf numFmtId="37" fontId="105" fillId="49" borderId="0" xfId="13561" applyFont="1" applyFill="1" applyBorder="1" applyAlignment="1" applyProtection="1">
      <alignment horizontal="left" vertical="center"/>
      <protection locked="0"/>
    </xf>
    <xf numFmtId="37" fontId="108" fillId="49" borderId="0" xfId="13561" applyFont="1" applyFill="1" applyBorder="1" applyAlignment="1" applyProtection="1">
      <alignment horizontal="right"/>
      <protection locked="0"/>
    </xf>
    <xf numFmtId="3" fontId="13" fillId="0" borderId="17" xfId="15" applyNumberFormat="1" applyFont="1" applyFill="1" applyBorder="1" applyAlignment="1" applyProtection="1">
      <alignment horizontal="center"/>
      <protection locked="0"/>
    </xf>
    <xf numFmtId="37" fontId="42" fillId="49" borderId="0" xfId="13561" applyFont="1" applyFill="1" applyBorder="1" applyAlignment="1" applyProtection="1">
      <alignment horizontal="right"/>
      <protection locked="0"/>
    </xf>
    <xf numFmtId="49" fontId="105" fillId="49" borderId="0" xfId="7" applyNumberFormat="1" applyFont="1" applyFill="1" applyBorder="1" applyAlignment="1" applyProtection="1">
      <alignment horizontal="left"/>
      <protection locked="0"/>
    </xf>
    <xf numFmtId="37" fontId="13" fillId="53" borderId="0" xfId="3" applyFont="1" applyFill="1" applyBorder="1" applyAlignment="1" applyProtection="1">
      <alignment horizontal="center"/>
      <protection locked="0"/>
    </xf>
    <xf numFmtId="37" fontId="13" fillId="53" borderId="0" xfId="3" applyFont="1" applyFill="1" applyBorder="1" applyAlignment="1" applyProtection="1">
      <alignment horizontal="left"/>
      <protection locked="0"/>
    </xf>
    <xf numFmtId="37" fontId="13" fillId="53" borderId="0" xfId="3" applyFont="1" applyFill="1" applyBorder="1" applyAlignment="1" applyProtection="1">
      <protection locked="0"/>
    </xf>
    <xf numFmtId="37" fontId="105" fillId="53" borderId="0" xfId="3" applyFont="1" applyFill="1" applyBorder="1" applyAlignment="1" applyProtection="1">
      <protection locked="0"/>
    </xf>
    <xf numFmtId="49" fontId="13" fillId="53" borderId="0" xfId="14" applyNumberFormat="1" applyFont="1" applyFill="1" applyBorder="1" applyAlignment="1" applyProtection="1">
      <alignment horizontal="center"/>
      <protection locked="0"/>
    </xf>
    <xf numFmtId="1" fontId="13" fillId="53" borderId="0" xfId="3" applyNumberFormat="1" applyFont="1" applyFill="1" applyBorder="1" applyAlignment="1" applyProtection="1">
      <alignment horizontal="center"/>
      <protection locked="0"/>
    </xf>
    <xf numFmtId="37" fontId="44" fillId="53" borderId="0" xfId="3" applyFont="1" applyFill="1" applyBorder="1" applyAlignment="1" applyProtection="1">
      <alignment horizontal="right"/>
      <protection locked="0"/>
    </xf>
    <xf numFmtId="37" fontId="105" fillId="53" borderId="0" xfId="3" applyFont="1" applyFill="1" applyBorder="1" applyAlignment="1" applyProtection="1">
      <alignment horizontal="right"/>
      <protection locked="0"/>
    </xf>
    <xf numFmtId="37" fontId="13" fillId="53" borderId="0" xfId="3" applyFont="1" applyFill="1" applyBorder="1" applyAlignment="1" applyProtection="1">
      <alignment horizontal="right"/>
      <protection locked="0"/>
    </xf>
    <xf numFmtId="49" fontId="13" fillId="53" borderId="0" xfId="13556" applyNumberFormat="1" applyFont="1" applyFill="1" applyBorder="1" applyAlignment="1" applyProtection="1">
      <alignment horizontal="left"/>
      <protection locked="0"/>
    </xf>
    <xf numFmtId="49" fontId="107" fillId="53" borderId="0" xfId="13556" applyNumberFormat="1" applyFont="1" applyFill="1" applyBorder="1" applyAlignment="1" applyProtection="1">
      <alignment horizontal="left"/>
      <protection locked="0"/>
    </xf>
    <xf numFmtId="49" fontId="13" fillId="53" borderId="0" xfId="7" applyNumberFormat="1" applyFont="1" applyFill="1" applyBorder="1" applyAlignment="1" applyProtection="1">
      <alignment horizontal="center"/>
      <protection locked="0"/>
    </xf>
    <xf numFmtId="1" fontId="77" fillId="53" borderId="0" xfId="13556" applyNumberFormat="1" applyFont="1" applyFill="1" applyBorder="1" applyAlignment="1" applyProtection="1">
      <alignment horizontal="center"/>
      <protection locked="0"/>
    </xf>
    <xf numFmtId="49" fontId="105" fillId="53" borderId="0" xfId="13556" applyNumberFormat="1" applyFont="1" applyFill="1" applyBorder="1" applyAlignment="1" applyProtection="1">
      <alignment horizontal="left"/>
      <protection locked="0"/>
    </xf>
    <xf numFmtId="1" fontId="13" fillId="53" borderId="0" xfId="13556" applyNumberFormat="1" applyFont="1" applyFill="1" applyBorder="1" applyAlignment="1" applyProtection="1">
      <alignment horizontal="center"/>
      <protection locked="0"/>
    </xf>
    <xf numFmtId="1" fontId="13" fillId="53" borderId="0" xfId="13565" applyNumberFormat="1" applyFont="1" applyFill="1" applyBorder="1" applyAlignment="1" applyProtection="1">
      <alignment horizontal="center"/>
      <protection locked="0"/>
    </xf>
    <xf numFmtId="1" fontId="13" fillId="54" borderId="0" xfId="13569" applyNumberFormat="1" applyFont="1" applyFill="1" applyBorder="1" applyAlignment="1" applyProtection="1">
      <alignment horizontal="center"/>
      <protection locked="0"/>
    </xf>
    <xf numFmtId="37" fontId="40" fillId="0" borderId="23" xfId="2" applyNumberFormat="1" applyFont="1" applyFill="1" applyBorder="1" applyProtection="1">
      <protection locked="0"/>
    </xf>
    <xf numFmtId="37" fontId="22" fillId="53" borderId="0" xfId="3" applyFont="1" applyFill="1" applyBorder="1" applyAlignment="1" applyProtection="1">
      <protection locked="0"/>
    </xf>
    <xf numFmtId="49" fontId="13" fillId="53" borderId="0" xfId="14" applyNumberFormat="1" applyFont="1" applyFill="1" applyBorder="1" applyAlignment="1" applyProtection="1">
      <alignment horizontal="center" wrapText="1"/>
      <protection locked="0"/>
    </xf>
    <xf numFmtId="1" fontId="13" fillId="53" borderId="0" xfId="3" applyNumberFormat="1" applyFont="1" applyFill="1" applyBorder="1" applyAlignment="1" applyProtection="1">
      <alignment horizontal="center" wrapText="1"/>
      <protection locked="0"/>
    </xf>
    <xf numFmtId="0" fontId="13" fillId="53" borderId="0" xfId="14" applyNumberFormat="1" applyFont="1" applyFill="1" applyBorder="1" applyAlignment="1" applyProtection="1">
      <alignment horizontal="right"/>
      <protection locked="0"/>
    </xf>
    <xf numFmtId="0" fontId="105" fillId="53" borderId="0" xfId="14" applyNumberFormat="1" applyFont="1" applyFill="1" applyBorder="1" applyAlignment="1" applyProtection="1">
      <alignment horizontal="right"/>
      <protection locked="0"/>
    </xf>
    <xf numFmtId="49" fontId="13" fillId="53" borderId="0" xfId="14" applyNumberFormat="1" applyFont="1" applyFill="1" applyBorder="1" applyAlignment="1" applyProtection="1">
      <alignment horizontal="left"/>
      <protection locked="0"/>
    </xf>
    <xf numFmtId="37" fontId="22" fillId="53" borderId="0" xfId="3" applyFont="1" applyFill="1" applyBorder="1" applyAlignment="1" applyProtection="1">
      <alignment horizontal="left"/>
      <protection locked="0"/>
    </xf>
    <xf numFmtId="37" fontId="105" fillId="53" borderId="0" xfId="3" applyFont="1" applyFill="1" applyBorder="1" applyAlignment="1" applyProtection="1">
      <alignment horizontal="left"/>
      <protection locked="0"/>
    </xf>
    <xf numFmtId="37" fontId="44" fillId="53" borderId="0" xfId="3" applyFont="1" applyFill="1" applyBorder="1" applyAlignment="1" applyProtection="1">
      <alignment horizontal="left"/>
      <protection locked="0"/>
    </xf>
    <xf numFmtId="37" fontId="108" fillId="53" borderId="0" xfId="3" applyFont="1" applyFill="1" applyBorder="1" applyAlignment="1" applyProtection="1">
      <alignment horizontal="right"/>
      <protection locked="0"/>
    </xf>
    <xf numFmtId="37" fontId="13" fillId="53" borderId="0" xfId="13561" applyFont="1" applyFill="1" applyBorder="1" applyAlignment="1" applyProtection="1">
      <alignment horizontal="left" vertical="center" wrapText="1"/>
      <protection locked="0"/>
    </xf>
    <xf numFmtId="37" fontId="13" fillId="53" borderId="0" xfId="13561" applyFont="1" applyFill="1" applyBorder="1" applyAlignment="1" applyProtection="1">
      <alignment horizontal="right"/>
      <protection locked="0"/>
    </xf>
    <xf numFmtId="37" fontId="105" fillId="53" borderId="0" xfId="13561" applyFont="1" applyFill="1" applyBorder="1" applyAlignment="1" applyProtection="1">
      <alignment horizontal="right"/>
      <protection locked="0"/>
    </xf>
    <xf numFmtId="37" fontId="44" fillId="53" borderId="0" xfId="13561" applyFont="1" applyFill="1" applyBorder="1" applyAlignment="1" applyProtection="1">
      <alignment horizontal="left"/>
      <protection locked="0"/>
    </xf>
    <xf numFmtId="37" fontId="105" fillId="53" borderId="0" xfId="13561" applyFont="1" applyFill="1" applyBorder="1" applyAlignment="1" applyProtection="1">
      <alignment horizontal="left"/>
      <protection locked="0"/>
    </xf>
    <xf numFmtId="49" fontId="13" fillId="53" borderId="0" xfId="13561" applyNumberFormat="1" applyFont="1" applyFill="1" applyBorder="1" applyAlignment="1" applyProtection="1">
      <protection locked="0"/>
    </xf>
    <xf numFmtId="1" fontId="13" fillId="53" borderId="0" xfId="13561" applyNumberFormat="1" applyFont="1" applyFill="1" applyBorder="1" applyAlignment="1" applyProtection="1">
      <alignment horizontal="center"/>
      <protection locked="0"/>
    </xf>
    <xf numFmtId="1" fontId="77" fillId="53" borderId="0" xfId="13565" applyNumberFormat="1" applyFont="1" applyFill="1" applyBorder="1" applyAlignment="1" applyProtection="1">
      <alignment horizontal="center"/>
      <protection locked="0"/>
    </xf>
    <xf numFmtId="37" fontId="13" fillId="8" borderId="0" xfId="3" applyFont="1" applyFill="1" applyBorder="1" applyAlignment="1" applyProtection="1">
      <protection locked="0"/>
    </xf>
    <xf numFmtId="167" fontId="13" fillId="55" borderId="0" xfId="3" applyNumberFormat="1" applyFont="1" applyFill="1" applyBorder="1" applyAlignment="1" applyProtection="1">
      <alignment horizontal="center"/>
      <protection locked="0"/>
    </xf>
    <xf numFmtId="167" fontId="13" fillId="55" borderId="0" xfId="3" applyNumberFormat="1" applyFont="1" applyFill="1" applyBorder="1" applyAlignment="1" applyProtection="1">
      <alignment horizontal="left"/>
      <protection locked="0"/>
    </xf>
    <xf numFmtId="167" fontId="13" fillId="55" borderId="0" xfId="3" applyNumberFormat="1" applyFont="1" applyFill="1" applyBorder="1" applyAlignment="1" applyProtection="1">
      <protection locked="0"/>
    </xf>
    <xf numFmtId="167" fontId="105" fillId="55" borderId="0" xfId="3" applyNumberFormat="1" applyFont="1" applyFill="1" applyBorder="1" applyAlignment="1" applyProtection="1">
      <protection locked="0"/>
    </xf>
    <xf numFmtId="49" fontId="13" fillId="55" borderId="0" xfId="14" applyNumberFormat="1" applyFont="1" applyFill="1" applyBorder="1" applyAlignment="1" applyProtection="1">
      <alignment horizontal="center"/>
      <protection locked="0"/>
    </xf>
    <xf numFmtId="1" fontId="13" fillId="55" borderId="0" xfId="3" applyNumberFormat="1" applyFont="1" applyFill="1" applyBorder="1" applyAlignment="1" applyProtection="1">
      <alignment horizontal="center"/>
      <protection locked="0"/>
    </xf>
    <xf numFmtId="167" fontId="44" fillId="55" borderId="0" xfId="3" applyNumberFormat="1" applyFont="1" applyFill="1" applyBorder="1" applyAlignment="1" applyProtection="1">
      <alignment horizontal="right"/>
      <protection locked="0"/>
    </xf>
    <xf numFmtId="167" fontId="105" fillId="55" borderId="0" xfId="3" applyNumberFormat="1" applyFont="1" applyFill="1" applyBorder="1" applyAlignment="1" applyProtection="1">
      <alignment horizontal="right"/>
      <protection locked="0"/>
    </xf>
    <xf numFmtId="167" fontId="13" fillId="55" borderId="0" xfId="3" applyNumberFormat="1" applyFont="1" applyFill="1" applyBorder="1" applyAlignment="1" applyProtection="1">
      <alignment horizontal="right"/>
      <protection locked="0"/>
    </xf>
    <xf numFmtId="165" fontId="13" fillId="55" borderId="0" xfId="13558" applyFont="1" applyFill="1" applyBorder="1" applyAlignment="1" applyProtection="1">
      <protection locked="0"/>
    </xf>
    <xf numFmtId="165" fontId="105" fillId="55" borderId="0" xfId="13558" applyFont="1" applyFill="1" applyBorder="1" applyAlignment="1" applyProtection="1">
      <protection locked="0"/>
    </xf>
    <xf numFmtId="49" fontId="13" fillId="55" borderId="0" xfId="13558" applyNumberFormat="1" applyFont="1" applyFill="1" applyBorder="1" applyAlignment="1" applyProtection="1">
      <alignment horizontal="center"/>
      <protection locked="0"/>
    </xf>
    <xf numFmtId="1" fontId="13" fillId="55" borderId="0" xfId="13556" applyNumberFormat="1" applyFont="1" applyFill="1" applyBorder="1" applyAlignment="1" applyProtection="1">
      <alignment horizontal="center"/>
      <protection locked="0"/>
    </xf>
    <xf numFmtId="49" fontId="105" fillId="55" borderId="0" xfId="13558" applyNumberFormat="1" applyFont="1" applyFill="1" applyBorder="1" applyAlignment="1" applyProtection="1">
      <alignment horizontal="left"/>
      <protection locked="0"/>
    </xf>
    <xf numFmtId="49" fontId="13" fillId="55" borderId="0" xfId="13558" applyNumberFormat="1" applyFont="1" applyFill="1" applyBorder="1" applyAlignment="1" applyProtection="1">
      <alignment horizontal="left"/>
      <protection locked="0"/>
    </xf>
    <xf numFmtId="49" fontId="107" fillId="55" borderId="0" xfId="13558" applyNumberFormat="1" applyFont="1" applyFill="1" applyBorder="1" applyAlignment="1" applyProtection="1">
      <alignment horizontal="left"/>
      <protection locked="0"/>
    </xf>
    <xf numFmtId="1" fontId="22" fillId="55" borderId="0" xfId="13556" applyNumberFormat="1" applyFont="1" applyFill="1" applyBorder="1" applyAlignment="1" applyProtection="1">
      <alignment horizontal="center"/>
      <protection locked="0"/>
    </xf>
    <xf numFmtId="3" fontId="13" fillId="55" borderId="0" xfId="13559" applyFont="1" applyFill="1" applyBorder="1" applyAlignment="1" applyProtection="1">
      <protection locked="0"/>
    </xf>
    <xf numFmtId="3" fontId="105" fillId="55" borderId="0" xfId="13559" applyFont="1" applyFill="1" applyBorder="1" applyAlignment="1" applyProtection="1">
      <protection locked="0"/>
    </xf>
    <xf numFmtId="1" fontId="13" fillId="55" borderId="0" xfId="13558" applyNumberFormat="1" applyFont="1" applyFill="1" applyBorder="1" applyAlignment="1" applyProtection="1">
      <alignment horizontal="center"/>
      <protection locked="0"/>
    </xf>
    <xf numFmtId="1" fontId="77" fillId="55" borderId="0" xfId="13556" applyNumberFormat="1" applyFont="1" applyFill="1" applyBorder="1" applyAlignment="1" applyProtection="1">
      <alignment horizontal="center"/>
      <protection locked="0"/>
    </xf>
    <xf numFmtId="3" fontId="13" fillId="55" borderId="0" xfId="13559" applyFont="1" applyFill="1" applyBorder="1" applyAlignment="1" applyProtection="1">
      <alignment horizontal="center"/>
      <protection locked="0"/>
    </xf>
    <xf numFmtId="49" fontId="13" fillId="55" borderId="0" xfId="13559" applyNumberFormat="1" applyFont="1" applyFill="1" applyBorder="1" applyAlignment="1" applyProtection="1">
      <alignment horizontal="left"/>
      <protection locked="0"/>
    </xf>
    <xf numFmtId="49" fontId="13" fillId="56" borderId="0" xfId="13558" applyNumberFormat="1" applyFont="1" applyFill="1" applyBorder="1" applyAlignment="1" applyProtection="1">
      <alignment horizontal="left"/>
      <protection locked="0"/>
    </xf>
    <xf numFmtId="49" fontId="105" fillId="56" borderId="0" xfId="13558" applyNumberFormat="1" applyFont="1" applyFill="1" applyBorder="1" applyAlignment="1" applyProtection="1">
      <alignment horizontal="left"/>
      <protection locked="0"/>
    </xf>
    <xf numFmtId="1" fontId="13" fillId="55" borderId="0" xfId="13559" applyNumberFormat="1" applyFont="1" applyFill="1" applyBorder="1" applyAlignment="1" applyProtection="1">
      <alignment horizontal="center"/>
      <protection locked="0"/>
    </xf>
    <xf numFmtId="167" fontId="22" fillId="55" borderId="0" xfId="3" applyNumberFormat="1" applyFont="1" applyFill="1" applyBorder="1" applyAlignment="1" applyProtection="1">
      <protection locked="0"/>
    </xf>
    <xf numFmtId="49" fontId="13" fillId="55" borderId="0" xfId="14" applyNumberFormat="1" applyFont="1" applyFill="1" applyBorder="1" applyAlignment="1" applyProtection="1">
      <protection locked="0"/>
    </xf>
    <xf numFmtId="37" fontId="44" fillId="55" borderId="0" xfId="3" applyFont="1" applyFill="1" applyBorder="1" applyAlignment="1" applyProtection="1">
      <alignment horizontal="right"/>
      <protection locked="0"/>
    </xf>
    <xf numFmtId="37" fontId="105" fillId="55" borderId="0" xfId="3" applyFont="1" applyFill="1" applyBorder="1" applyAlignment="1" applyProtection="1">
      <alignment horizontal="right"/>
      <protection locked="0"/>
    </xf>
    <xf numFmtId="37" fontId="13" fillId="55" borderId="0" xfId="3" applyFont="1" applyFill="1" applyBorder="1" applyAlignment="1" applyProtection="1">
      <alignment horizontal="right"/>
      <protection locked="0"/>
    </xf>
    <xf numFmtId="167" fontId="44" fillId="55" borderId="0" xfId="3" applyNumberFormat="1" applyFont="1" applyFill="1" applyBorder="1" applyAlignment="1" applyProtection="1">
      <alignment horizontal="left"/>
      <protection locked="0"/>
    </xf>
    <xf numFmtId="167" fontId="105" fillId="55" borderId="0" xfId="3" applyNumberFormat="1" applyFont="1" applyFill="1" applyBorder="1" applyAlignment="1" applyProtection="1">
      <alignment horizontal="left"/>
      <protection locked="0"/>
    </xf>
    <xf numFmtId="167" fontId="22" fillId="55" borderId="0" xfId="3" applyNumberFormat="1" applyFont="1" applyFill="1" applyBorder="1" applyAlignment="1" applyProtection="1">
      <alignment horizontal="right"/>
      <protection locked="0"/>
    </xf>
    <xf numFmtId="37" fontId="13" fillId="55" borderId="0" xfId="13561" applyFont="1" applyFill="1" applyBorder="1" applyAlignment="1" applyProtection="1">
      <alignment horizontal="left" vertical="center" wrapText="1"/>
      <protection locked="0"/>
    </xf>
    <xf numFmtId="37" fontId="13" fillId="55" borderId="0" xfId="13561" applyFont="1" applyFill="1" applyBorder="1" applyAlignment="1" applyProtection="1">
      <alignment horizontal="right"/>
      <protection locked="0"/>
    </xf>
    <xf numFmtId="37" fontId="105" fillId="55" borderId="0" xfId="13561" applyFont="1" applyFill="1" applyBorder="1" applyAlignment="1" applyProtection="1">
      <alignment horizontal="right"/>
      <protection locked="0"/>
    </xf>
    <xf numFmtId="37" fontId="44" fillId="55" borderId="0" xfId="13561" applyFont="1" applyFill="1" applyBorder="1" applyAlignment="1" applyProtection="1">
      <alignment horizontal="left"/>
      <protection locked="0"/>
    </xf>
    <xf numFmtId="37" fontId="105" fillId="55" borderId="0" xfId="13561" applyFont="1" applyFill="1" applyBorder="1" applyAlignment="1" applyProtection="1">
      <alignment horizontal="left"/>
      <protection locked="0"/>
    </xf>
    <xf numFmtId="37" fontId="13" fillId="55" borderId="0" xfId="3" applyFont="1" applyFill="1" applyBorder="1" applyAlignment="1" applyProtection="1">
      <alignment horizontal="left"/>
      <protection locked="0"/>
    </xf>
    <xf numFmtId="37" fontId="44" fillId="55" borderId="0" xfId="3" applyFont="1" applyFill="1" applyBorder="1" applyAlignment="1" applyProtection="1">
      <alignment horizontal="left"/>
      <protection locked="0"/>
    </xf>
    <xf numFmtId="37" fontId="105" fillId="55" borderId="0" xfId="3" applyFont="1" applyFill="1" applyBorder="1" applyAlignment="1" applyProtection="1">
      <alignment horizontal="left"/>
      <protection locked="0"/>
    </xf>
    <xf numFmtId="49" fontId="13" fillId="55" borderId="0" xfId="14" applyNumberFormat="1" applyFont="1" applyFill="1" applyBorder="1" applyAlignment="1" applyProtection="1">
      <alignment horizontal="center" wrapText="1"/>
      <protection locked="0"/>
    </xf>
    <xf numFmtId="1" fontId="13" fillId="55" borderId="0" xfId="3" applyNumberFormat="1" applyFont="1" applyFill="1" applyBorder="1" applyAlignment="1" applyProtection="1">
      <alignment horizontal="center" wrapText="1"/>
      <protection locked="0"/>
    </xf>
    <xf numFmtId="1" fontId="13" fillId="56" borderId="0" xfId="13556" applyNumberFormat="1" applyFont="1" applyFill="1" applyBorder="1" applyAlignment="1" applyProtection="1">
      <alignment horizontal="center"/>
      <protection locked="0"/>
    </xf>
    <xf numFmtId="49" fontId="105" fillId="55" borderId="0" xfId="13559" applyNumberFormat="1" applyFont="1" applyFill="1" applyBorder="1" applyAlignment="1" applyProtection="1">
      <alignment horizontal="left"/>
      <protection locked="0"/>
    </xf>
    <xf numFmtId="49" fontId="13" fillId="53" borderId="0" xfId="13558" applyNumberFormat="1" applyFont="1" applyFill="1" applyBorder="1" applyAlignment="1" applyProtection="1">
      <alignment horizontal="center"/>
      <protection locked="0"/>
    </xf>
    <xf numFmtId="164" fontId="13" fillId="0" borderId="17" xfId="0" applyNumberFormat="1" applyFont="1" applyFill="1" applyBorder="1" applyAlignment="1"/>
    <xf numFmtId="166" fontId="122" fillId="0" borderId="23" xfId="88" applyNumberFormat="1" applyFont="1" applyFill="1" applyBorder="1"/>
    <xf numFmtId="49" fontId="13" fillId="53" borderId="0" xfId="13558" applyNumberFormat="1" applyFont="1" applyFill="1" applyBorder="1" applyAlignment="1" applyProtection="1">
      <alignment horizontal="left"/>
      <protection locked="0"/>
    </xf>
    <xf numFmtId="49" fontId="105" fillId="53" borderId="0" xfId="13558" applyNumberFormat="1" applyFont="1" applyFill="1" applyBorder="1" applyAlignment="1" applyProtection="1">
      <alignment horizontal="left"/>
      <protection locked="0"/>
    </xf>
    <xf numFmtId="3" fontId="13" fillId="53" borderId="0" xfId="13559" applyFont="1" applyFill="1" applyBorder="1" applyAlignment="1" applyProtection="1">
      <protection locked="0"/>
    </xf>
    <xf numFmtId="3" fontId="105" fillId="53" borderId="0" xfId="13559" applyFont="1" applyFill="1" applyBorder="1" applyAlignment="1" applyProtection="1">
      <protection locked="0"/>
    </xf>
    <xf numFmtId="49" fontId="105" fillId="53" borderId="0" xfId="13563" applyNumberFormat="1" applyFont="1" applyFill="1" applyBorder="1" applyAlignment="1" applyProtection="1">
      <alignment horizontal="left"/>
      <protection locked="0"/>
    </xf>
    <xf numFmtId="49" fontId="107" fillId="53" borderId="0" xfId="13558" applyNumberFormat="1" applyFont="1" applyFill="1" applyBorder="1" applyAlignment="1" applyProtection="1">
      <alignment horizontal="left"/>
      <protection locked="0"/>
    </xf>
    <xf numFmtId="1" fontId="13" fillId="53" borderId="0" xfId="13558" applyNumberFormat="1" applyFont="1" applyFill="1" applyBorder="1" applyAlignment="1" applyProtection="1">
      <alignment horizontal="center"/>
      <protection locked="0"/>
    </xf>
    <xf numFmtId="1" fontId="13" fillId="53" borderId="0" xfId="13563" applyNumberFormat="1" applyFont="1" applyFill="1" applyBorder="1" applyAlignment="1" applyProtection="1">
      <alignment horizontal="center"/>
      <protection locked="0"/>
    </xf>
    <xf numFmtId="37" fontId="13" fillId="44" borderId="0" xfId="13561" applyFont="1" applyFill="1" applyBorder="1" applyAlignment="1" applyProtection="1">
      <alignment horizontal="center" vertical="center" wrapText="1"/>
      <protection locked="0"/>
    </xf>
    <xf numFmtId="0" fontId="13" fillId="44" borderId="0" xfId="14" applyNumberFormat="1" applyFont="1" applyFill="1" applyBorder="1" applyAlignment="1" applyProtection="1">
      <alignment horizontal="center"/>
      <protection locked="0"/>
    </xf>
    <xf numFmtId="49" fontId="107" fillId="44" borderId="0" xfId="13558" applyNumberFormat="1" applyFont="1" applyFill="1" applyBorder="1" applyAlignment="1" applyProtection="1">
      <alignment horizontal="left"/>
      <protection locked="0"/>
    </xf>
    <xf numFmtId="1" fontId="22" fillId="44" borderId="0" xfId="13565" applyNumberFormat="1" applyFont="1" applyFill="1" applyBorder="1" applyAlignment="1" applyProtection="1">
      <alignment horizontal="center"/>
      <protection locked="0"/>
    </xf>
    <xf numFmtId="1" fontId="13" fillId="44" borderId="0" xfId="13565" applyNumberFormat="1" applyFont="1" applyFill="1" applyBorder="1" applyAlignment="1" applyProtection="1">
      <alignment horizontal="center"/>
      <protection locked="0"/>
    </xf>
    <xf numFmtId="37" fontId="22" fillId="44" borderId="0" xfId="3" applyFont="1" applyFill="1" applyBorder="1" applyAlignment="1" applyProtection="1">
      <alignment horizontal="right"/>
      <protection locked="0"/>
    </xf>
    <xf numFmtId="1" fontId="22" fillId="44" borderId="0" xfId="13564" applyNumberFormat="1" applyFont="1" applyFill="1" applyBorder="1" applyAlignment="1" applyProtection="1">
      <alignment horizontal="center"/>
      <protection locked="0"/>
    </xf>
    <xf numFmtId="37" fontId="13" fillId="49" borderId="0" xfId="3" applyFont="1" applyFill="1" applyBorder="1" applyAlignment="1" applyProtection="1">
      <alignment horizontal="center"/>
      <protection locked="0"/>
    </xf>
    <xf numFmtId="37" fontId="13" fillId="49" borderId="0" xfId="3" applyFont="1" applyFill="1" applyBorder="1" applyAlignment="1" applyProtection="1">
      <alignment horizontal="left"/>
      <protection locked="0"/>
    </xf>
    <xf numFmtId="37" fontId="13" fillId="49" borderId="0" xfId="3" applyFont="1" applyFill="1" applyBorder="1" applyAlignment="1" applyProtection="1">
      <protection locked="0"/>
    </xf>
    <xf numFmtId="37" fontId="105" fillId="49" borderId="0" xfId="3" applyFont="1" applyFill="1" applyBorder="1" applyAlignment="1" applyProtection="1">
      <protection locked="0"/>
    </xf>
    <xf numFmtId="41" fontId="22" fillId="0" borderId="17" xfId="15" applyNumberFormat="1" applyFont="1" applyFill="1" applyBorder="1" applyAlignment="1" applyProtection="1">
      <alignment horizontal="right"/>
      <protection locked="0"/>
    </xf>
    <xf numFmtId="37" fontId="13" fillId="49" borderId="0" xfId="3" applyFont="1" applyFill="1" applyBorder="1" applyAlignment="1" applyProtection="1">
      <alignment horizontal="right"/>
      <protection locked="0"/>
    </xf>
    <xf numFmtId="49" fontId="121" fillId="49" borderId="0" xfId="13558" applyNumberFormat="1" applyFont="1" applyFill="1" applyBorder="1" applyAlignment="1" applyProtection="1">
      <alignment horizontal="left"/>
      <protection locked="0"/>
    </xf>
    <xf numFmtId="1" fontId="13" fillId="49" borderId="0" xfId="13559" applyNumberFormat="1" applyFont="1" applyFill="1" applyBorder="1" applyAlignment="1" applyProtection="1">
      <alignment horizontal="center"/>
      <protection locked="0"/>
    </xf>
    <xf numFmtId="1" fontId="13" fillId="57" borderId="0" xfId="13569" applyNumberFormat="1" applyFont="1" applyFill="1" applyBorder="1" applyAlignment="1" applyProtection="1">
      <alignment horizontal="center"/>
      <protection locked="0"/>
    </xf>
    <xf numFmtId="165" fontId="13" fillId="49" borderId="0" xfId="13558" applyFont="1" applyFill="1" applyBorder="1" applyProtection="1">
      <protection locked="0"/>
    </xf>
    <xf numFmtId="165" fontId="105" fillId="49" borderId="0" xfId="13558" applyFont="1" applyFill="1" applyBorder="1" applyProtection="1">
      <protection locked="0"/>
    </xf>
    <xf numFmtId="1" fontId="13" fillId="49" borderId="0" xfId="13558" applyNumberFormat="1" applyFont="1" applyFill="1" applyBorder="1" applyAlignment="1" applyProtection="1">
      <alignment horizontal="center"/>
      <protection locked="0"/>
    </xf>
    <xf numFmtId="37" fontId="22" fillId="49" borderId="0" xfId="3" applyFont="1" applyFill="1" applyBorder="1" applyAlignment="1" applyProtection="1">
      <protection locked="0"/>
    </xf>
    <xf numFmtId="37" fontId="44" fillId="49" borderId="0" xfId="3" applyFont="1" applyFill="1" applyBorder="1" applyAlignment="1" applyProtection="1">
      <alignment horizontal="left"/>
      <protection locked="0"/>
    </xf>
    <xf numFmtId="37" fontId="105" fillId="49" borderId="0" xfId="3" applyFont="1" applyFill="1" applyBorder="1" applyAlignment="1" applyProtection="1">
      <alignment horizontal="left"/>
      <protection locked="0"/>
    </xf>
    <xf numFmtId="37" fontId="108" fillId="49" borderId="0" xfId="3" applyFont="1" applyFill="1" applyBorder="1" applyAlignment="1" applyProtection="1">
      <alignment horizontal="right"/>
      <protection locked="0"/>
    </xf>
    <xf numFmtId="37" fontId="108" fillId="49" borderId="0" xfId="13570" applyFont="1" applyFill="1" applyBorder="1" applyAlignment="1" applyProtection="1">
      <alignment horizontal="right"/>
      <protection locked="0"/>
    </xf>
    <xf numFmtId="37" fontId="105" fillId="49" borderId="0" xfId="13570" applyFont="1" applyFill="1" applyBorder="1" applyAlignment="1" applyProtection="1">
      <alignment horizontal="right"/>
      <protection locked="0"/>
    </xf>
    <xf numFmtId="37" fontId="13" fillId="49" borderId="0" xfId="13570" applyFont="1" applyFill="1" applyBorder="1" applyAlignment="1" applyProtection="1">
      <alignment horizontal="left"/>
      <protection locked="0"/>
    </xf>
    <xf numFmtId="37" fontId="13" fillId="49" borderId="0" xfId="3" applyFont="1" applyFill="1" applyBorder="1" applyAlignment="1" applyProtection="1">
      <alignment horizontal="center" vertical="center"/>
      <protection locked="0"/>
    </xf>
    <xf numFmtId="37" fontId="13" fillId="49" borderId="0" xfId="13570" applyFont="1" applyFill="1" applyBorder="1" applyAlignment="1" applyProtection="1">
      <alignment horizontal="left" vertical="center"/>
      <protection locked="0"/>
    </xf>
    <xf numFmtId="37" fontId="108" fillId="49" borderId="0" xfId="13570" applyFont="1" applyFill="1" applyBorder="1" applyAlignment="1" applyProtection="1">
      <alignment horizontal="right" wrapText="1"/>
      <protection locked="0"/>
    </xf>
    <xf numFmtId="37" fontId="105" fillId="49" borderId="0" xfId="13570" applyFont="1" applyFill="1" applyBorder="1" applyAlignment="1" applyProtection="1">
      <alignment horizontal="right" wrapText="1"/>
      <protection locked="0"/>
    </xf>
    <xf numFmtId="37" fontId="108" fillId="49" borderId="0" xfId="13570" applyFont="1" applyFill="1" applyBorder="1" applyAlignment="1" applyProtection="1">
      <alignment horizontal="center"/>
      <protection locked="0"/>
    </xf>
    <xf numFmtId="37" fontId="105" fillId="49" borderId="0" xfId="13570" applyFont="1" applyFill="1" applyBorder="1" applyAlignment="1" applyProtection="1">
      <alignment horizontal="center"/>
      <protection locked="0"/>
    </xf>
    <xf numFmtId="49" fontId="105" fillId="50" borderId="0" xfId="13565" applyNumberFormat="1" applyFont="1" applyFill="1" applyBorder="1" applyAlignment="1" applyProtection="1">
      <alignment horizontal="left"/>
      <protection locked="0"/>
    </xf>
    <xf numFmtId="1" fontId="13" fillId="50" borderId="0" xfId="13565" applyNumberFormat="1" applyFont="1" applyFill="1" applyBorder="1" applyAlignment="1" applyProtection="1">
      <alignment horizontal="center"/>
      <protection locked="0"/>
    </xf>
    <xf numFmtId="3" fontId="13" fillId="14" borderId="17" xfId="16" applyNumberFormat="1" applyFont="1" applyFill="1" applyBorder="1"/>
    <xf numFmtId="49" fontId="13" fillId="50" borderId="0" xfId="13556" applyNumberFormat="1" applyFont="1" applyFill="1" applyBorder="1" applyAlignment="1" applyProtection="1">
      <alignment horizontal="left"/>
      <protection locked="0"/>
    </xf>
    <xf numFmtId="49" fontId="105" fillId="50" borderId="0" xfId="13556" applyNumberFormat="1" applyFont="1" applyFill="1" applyBorder="1" applyAlignment="1" applyProtection="1">
      <alignment horizontal="left"/>
      <protection locked="0"/>
    </xf>
    <xf numFmtId="49" fontId="121" fillId="50" borderId="0" xfId="13556" applyNumberFormat="1" applyFont="1" applyFill="1" applyBorder="1" applyAlignment="1" applyProtection="1">
      <alignment horizontal="left"/>
      <protection locked="0"/>
    </xf>
    <xf numFmtId="1" fontId="13" fillId="50" borderId="0" xfId="13559" applyNumberFormat="1" applyFont="1" applyFill="1" applyBorder="1" applyAlignment="1" applyProtection="1">
      <alignment horizontal="center"/>
      <protection locked="0"/>
    </xf>
    <xf numFmtId="3" fontId="105" fillId="50" borderId="0" xfId="13559" applyFont="1" applyFill="1" applyBorder="1" applyAlignment="1" applyProtection="1">
      <protection locked="0"/>
    </xf>
    <xf numFmtId="37" fontId="105" fillId="50" borderId="0" xfId="3" applyFont="1" applyFill="1" applyBorder="1" applyAlignment="1" applyProtection="1">
      <alignment horizontal="left"/>
      <protection locked="0"/>
    </xf>
    <xf numFmtId="49" fontId="13" fillId="50" borderId="0" xfId="3" applyNumberFormat="1" applyFont="1" applyFill="1" applyBorder="1" applyAlignment="1" applyProtection="1">
      <alignment horizontal="center"/>
      <protection locked="0"/>
    </xf>
    <xf numFmtId="3" fontId="12" fillId="0" borderId="17" xfId="3" applyNumberFormat="1" applyFont="1" applyFill="1" applyBorder="1" applyAlignment="1" applyProtection="1">
      <alignment horizontal="right"/>
      <protection locked="0"/>
    </xf>
    <xf numFmtId="0" fontId="13" fillId="50" borderId="0" xfId="3" applyNumberFormat="1" applyFont="1" applyFill="1" applyBorder="1" applyAlignment="1" applyProtection="1">
      <alignment horizontal="center"/>
      <protection locked="0"/>
    </xf>
    <xf numFmtId="1" fontId="22" fillId="49" borderId="0" xfId="13564" applyNumberFormat="1" applyFont="1" applyFill="1" applyBorder="1" applyAlignment="1" applyProtection="1">
      <alignment horizontal="center"/>
      <protection locked="0"/>
    </xf>
    <xf numFmtId="49" fontId="13" fillId="50" borderId="0" xfId="13565" applyNumberFormat="1" applyFont="1" applyFill="1" applyBorder="1" applyAlignment="1" applyProtection="1">
      <alignment horizontal="left"/>
      <protection locked="0"/>
    </xf>
    <xf numFmtId="1" fontId="13" fillId="50" borderId="0" xfId="13564" applyNumberFormat="1" applyFont="1" applyFill="1" applyBorder="1" applyAlignment="1" applyProtection="1">
      <alignment horizontal="center"/>
      <protection locked="0"/>
    </xf>
    <xf numFmtId="3" fontId="107" fillId="50" borderId="0" xfId="13559" applyFont="1" applyFill="1" applyBorder="1" applyAlignment="1" applyProtection="1">
      <protection locked="0"/>
    </xf>
    <xf numFmtId="1" fontId="77" fillId="50" borderId="0" xfId="13565" applyNumberFormat="1" applyFont="1" applyFill="1" applyBorder="1" applyAlignment="1" applyProtection="1">
      <alignment horizontal="center"/>
      <protection locked="0"/>
    </xf>
    <xf numFmtId="167" fontId="13" fillId="50" borderId="0" xfId="3" applyNumberFormat="1" applyFont="1" applyFill="1" applyBorder="1" applyAlignment="1" applyProtection="1">
      <alignment horizontal="center"/>
      <protection locked="0"/>
    </xf>
    <xf numFmtId="167" fontId="13" fillId="50" borderId="0" xfId="3" applyNumberFormat="1" applyFont="1" applyFill="1" applyBorder="1" applyAlignment="1" applyProtection="1">
      <alignment horizontal="left"/>
      <protection locked="0"/>
    </xf>
    <xf numFmtId="167" fontId="44" fillId="50" borderId="0" xfId="3" applyNumberFormat="1" applyFont="1" applyFill="1" applyBorder="1" applyAlignment="1" applyProtection="1">
      <alignment horizontal="right"/>
      <protection locked="0"/>
    </xf>
    <xf numFmtId="167" fontId="105" fillId="50" borderId="0" xfId="3" applyNumberFormat="1" applyFont="1" applyFill="1" applyBorder="1" applyAlignment="1" applyProtection="1">
      <alignment horizontal="right"/>
      <protection locked="0"/>
    </xf>
    <xf numFmtId="167" fontId="13" fillId="50" borderId="0" xfId="3" applyNumberFormat="1" applyFont="1" applyFill="1" applyBorder="1" applyAlignment="1" applyProtection="1">
      <alignment horizontal="right"/>
      <protection locked="0"/>
    </xf>
    <xf numFmtId="1" fontId="13" fillId="50" borderId="0" xfId="13558" applyNumberFormat="1" applyFont="1" applyFill="1" applyBorder="1" applyAlignment="1" applyProtection="1">
      <alignment horizontal="center"/>
      <protection locked="0"/>
    </xf>
    <xf numFmtId="167" fontId="13" fillId="50" borderId="0" xfId="3" applyNumberFormat="1" applyFont="1" applyFill="1" applyBorder="1" applyAlignment="1" applyProtection="1">
      <protection locked="0"/>
    </xf>
    <xf numFmtId="167" fontId="105" fillId="50" borderId="0" xfId="3" applyNumberFormat="1" applyFont="1" applyFill="1" applyBorder="1" applyAlignment="1" applyProtection="1">
      <protection locked="0"/>
    </xf>
    <xf numFmtId="167" fontId="22" fillId="50" borderId="0" xfId="3" applyNumberFormat="1" applyFont="1" applyFill="1" applyBorder="1" applyAlignment="1" applyProtection="1">
      <protection locked="0"/>
    </xf>
    <xf numFmtId="37" fontId="13" fillId="47" borderId="0" xfId="3" applyFont="1" applyFill="1" applyBorder="1" applyAlignment="1" applyProtection="1">
      <alignment horizontal="center"/>
      <protection locked="0"/>
    </xf>
    <xf numFmtId="37" fontId="13" fillId="47" borderId="0" xfId="3" applyFont="1" applyFill="1" applyBorder="1" applyAlignment="1" applyProtection="1">
      <protection locked="0"/>
    </xf>
    <xf numFmtId="37" fontId="105" fillId="47" borderId="0" xfId="3" applyFont="1" applyFill="1" applyBorder="1" applyAlignment="1" applyProtection="1">
      <protection locked="0"/>
    </xf>
    <xf numFmtId="49" fontId="13" fillId="47" borderId="0" xfId="3" applyNumberFormat="1" applyFont="1" applyFill="1" applyBorder="1" applyAlignment="1" applyProtection="1">
      <alignment horizontal="center"/>
      <protection locked="0"/>
    </xf>
    <xf numFmtId="3" fontId="13" fillId="16" borderId="17" xfId="3" applyNumberFormat="1" applyFont="1" applyFill="1" applyBorder="1" applyAlignment="1" applyProtection="1">
      <alignment horizontal="right"/>
      <protection locked="0"/>
    </xf>
    <xf numFmtId="167" fontId="44" fillId="47" borderId="0" xfId="3" applyNumberFormat="1" applyFont="1" applyFill="1" applyBorder="1" applyAlignment="1" applyProtection="1">
      <alignment horizontal="right"/>
      <protection locked="0"/>
    </xf>
    <xf numFmtId="167" fontId="105" fillId="47" borderId="0" xfId="3" applyNumberFormat="1" applyFont="1" applyFill="1" applyBorder="1" applyAlignment="1" applyProtection="1">
      <alignment horizontal="right"/>
      <protection locked="0"/>
    </xf>
    <xf numFmtId="37" fontId="105" fillId="47" borderId="0" xfId="3" applyFont="1" applyFill="1" applyBorder="1" applyAlignment="1" applyProtection="1">
      <alignment horizontal="right"/>
      <protection locked="0"/>
    </xf>
    <xf numFmtId="37" fontId="22" fillId="47" borderId="0" xfId="3" applyFont="1" applyFill="1" applyBorder="1" applyAlignment="1" applyProtection="1">
      <alignment horizontal="right"/>
      <protection locked="0"/>
    </xf>
    <xf numFmtId="3" fontId="22" fillId="0" borderId="17" xfId="15" applyNumberFormat="1" applyFont="1" applyFill="1" applyBorder="1" applyAlignment="1" applyProtection="1">
      <alignment horizontal="center"/>
      <protection locked="0"/>
    </xf>
    <xf numFmtId="167" fontId="22" fillId="47" borderId="0" xfId="3" applyNumberFormat="1" applyFont="1" applyFill="1" applyBorder="1" applyAlignment="1" applyProtection="1">
      <alignment horizontal="right"/>
      <protection locked="0"/>
    </xf>
    <xf numFmtId="49" fontId="107" fillId="47" borderId="0" xfId="13558" applyNumberFormat="1" applyFont="1" applyFill="1" applyBorder="1" applyAlignment="1" applyProtection="1">
      <alignment horizontal="left"/>
      <protection locked="0"/>
    </xf>
    <xf numFmtId="1" fontId="22" fillId="47" borderId="0" xfId="13556" applyNumberFormat="1" applyFont="1" applyFill="1" applyBorder="1" applyAlignment="1" applyProtection="1">
      <alignment horizontal="center"/>
      <protection locked="0"/>
    </xf>
    <xf numFmtId="1" fontId="13" fillId="47" borderId="0" xfId="13563" applyNumberFormat="1" applyFont="1" applyFill="1" applyBorder="1" applyAlignment="1" applyProtection="1">
      <alignment horizontal="center"/>
      <protection locked="0"/>
    </xf>
    <xf numFmtId="3" fontId="13" fillId="47" borderId="0" xfId="13559" applyFont="1" applyFill="1" applyBorder="1" applyAlignment="1" applyProtection="1">
      <protection locked="0"/>
    </xf>
    <xf numFmtId="3" fontId="105" fillId="47" borderId="0" xfId="13559" applyFont="1" applyFill="1" applyBorder="1" applyAlignment="1" applyProtection="1">
      <protection locked="0"/>
    </xf>
    <xf numFmtId="49" fontId="13" fillId="47" borderId="0" xfId="13559" applyNumberFormat="1" applyFont="1" applyFill="1" applyBorder="1" applyAlignment="1" applyProtection="1">
      <alignment horizontal="center"/>
      <protection locked="0"/>
    </xf>
    <xf numFmtId="1" fontId="13" fillId="59" borderId="0" xfId="13568" applyNumberFormat="1" applyFont="1" applyFill="1" applyBorder="1" applyAlignment="1" applyProtection="1">
      <alignment horizontal="center"/>
      <protection locked="0"/>
    </xf>
    <xf numFmtId="3" fontId="13" fillId="4" borderId="0" xfId="13559" applyFont="1" applyFill="1" applyBorder="1" applyAlignment="1" applyProtection="1">
      <protection locked="0"/>
    </xf>
    <xf numFmtId="3" fontId="105" fillId="4" borderId="0" xfId="13559" applyFont="1" applyFill="1" applyBorder="1" applyAlignment="1" applyProtection="1">
      <protection locked="0"/>
    </xf>
    <xf numFmtId="3" fontId="13" fillId="60" borderId="0" xfId="13559" applyFont="1" applyFill="1" applyBorder="1" applyAlignment="1" applyProtection="1">
      <protection locked="0"/>
    </xf>
    <xf numFmtId="3" fontId="105" fillId="60" borderId="0" xfId="13559" applyFont="1" applyFill="1" applyBorder="1" applyAlignment="1" applyProtection="1">
      <protection locked="0"/>
    </xf>
    <xf numFmtId="49" fontId="105" fillId="47" borderId="0" xfId="13563" applyNumberFormat="1" applyFont="1" applyFill="1" applyBorder="1" applyAlignment="1" applyProtection="1">
      <alignment horizontal="left"/>
      <protection locked="0"/>
    </xf>
    <xf numFmtId="1" fontId="13" fillId="47" borderId="0" xfId="13565" applyNumberFormat="1" applyFont="1" applyFill="1" applyBorder="1" applyAlignment="1" applyProtection="1">
      <alignment horizontal="center"/>
      <protection locked="0"/>
    </xf>
    <xf numFmtId="49" fontId="13" fillId="61" borderId="0" xfId="13558" applyNumberFormat="1" applyFont="1" applyFill="1" applyBorder="1" applyAlignment="1" applyProtection="1">
      <alignment horizontal="left"/>
      <protection locked="0"/>
    </xf>
    <xf numFmtId="3" fontId="13" fillId="62" borderId="0" xfId="13559" applyFont="1" applyFill="1" applyBorder="1" applyAlignment="1" applyProtection="1">
      <protection locked="0"/>
    </xf>
    <xf numFmtId="3" fontId="105" fillId="62" borderId="0" xfId="13559" applyFont="1" applyFill="1" applyBorder="1" applyAlignment="1" applyProtection="1">
      <protection locked="0"/>
    </xf>
    <xf numFmtId="37" fontId="13" fillId="61" borderId="0" xfId="3" applyFont="1" applyFill="1" applyBorder="1" applyAlignment="1" applyProtection="1">
      <protection locked="0"/>
    </xf>
    <xf numFmtId="49" fontId="13" fillId="61" borderId="0" xfId="13559" applyNumberFormat="1" applyFont="1" applyFill="1" applyBorder="1" applyAlignment="1" applyProtection="1">
      <alignment horizontal="left"/>
      <protection locked="0"/>
    </xf>
    <xf numFmtId="49" fontId="107" fillId="47" borderId="0" xfId="13559" applyNumberFormat="1" applyFont="1" applyFill="1" applyBorder="1" applyAlignment="1" applyProtection="1">
      <alignment horizontal="left"/>
      <protection locked="0"/>
    </xf>
    <xf numFmtId="1" fontId="13" fillId="47" borderId="0" xfId="13559" applyNumberFormat="1" applyFont="1" applyFill="1" applyBorder="1" applyAlignment="1" applyProtection="1">
      <alignment horizontal="center"/>
      <protection locked="0"/>
    </xf>
    <xf numFmtId="0" fontId="0" fillId="0" borderId="0" xfId="0" applyAlignment="1"/>
    <xf numFmtId="3" fontId="13" fillId="60" borderId="0" xfId="13559" applyFont="1" applyFill="1" applyBorder="1" applyAlignment="1" applyProtection="1">
      <alignment horizontal="right"/>
      <protection locked="0"/>
    </xf>
    <xf numFmtId="37" fontId="105" fillId="47" borderId="0" xfId="3" quotePrefix="1" applyFont="1" applyFill="1" applyBorder="1" applyAlignment="1" applyProtection="1">
      <alignment horizontal="right"/>
      <protection locked="0"/>
    </xf>
    <xf numFmtId="49" fontId="13" fillId="47" borderId="0" xfId="3" applyNumberFormat="1" applyFont="1" applyFill="1" applyBorder="1" applyAlignment="1" applyProtection="1">
      <protection locked="0"/>
    </xf>
    <xf numFmtId="3" fontId="13" fillId="4" borderId="0" xfId="13559" applyFont="1" applyFill="1" applyBorder="1" applyAlignment="1" applyProtection="1">
      <alignment horizontal="right"/>
      <protection locked="0"/>
    </xf>
    <xf numFmtId="3" fontId="13" fillId="62" borderId="0" xfId="13559" applyFont="1" applyFill="1" applyBorder="1" applyAlignment="1" applyProtection="1">
      <alignment horizontal="right"/>
      <protection locked="0"/>
    </xf>
    <xf numFmtId="37" fontId="13" fillId="63" borderId="0" xfId="3" quotePrefix="1" applyFont="1" applyFill="1" applyBorder="1" applyAlignment="1" applyProtection="1">
      <protection locked="0"/>
    </xf>
    <xf numFmtId="37" fontId="105" fillId="47" borderId="0" xfId="3" quotePrefix="1" applyFont="1" applyFill="1" applyBorder="1" applyAlignment="1" applyProtection="1">
      <protection locked="0"/>
    </xf>
    <xf numFmtId="37" fontId="13" fillId="8" borderId="0" xfId="3" quotePrefix="1" applyFont="1" applyFill="1" applyBorder="1" applyAlignment="1" applyProtection="1">
      <protection locked="0"/>
    </xf>
    <xf numFmtId="37" fontId="13" fillId="63" borderId="0" xfId="3" quotePrefix="1" applyFont="1" applyFill="1" applyBorder="1" applyAlignment="1" applyProtection="1">
      <alignment horizontal="left"/>
      <protection locked="0"/>
    </xf>
    <xf numFmtId="37" fontId="105" fillId="47" borderId="0" xfId="3" quotePrefix="1" applyFont="1" applyFill="1" applyBorder="1" applyAlignment="1" applyProtection="1">
      <alignment horizontal="left"/>
      <protection locked="0"/>
    </xf>
    <xf numFmtId="49" fontId="13" fillId="47" borderId="0" xfId="14" applyNumberFormat="1" applyFont="1" applyFill="1" applyBorder="1" applyAlignment="1" applyProtection="1">
      <alignment horizontal="center" wrapText="1"/>
      <protection locked="0"/>
    </xf>
    <xf numFmtId="1" fontId="13" fillId="47" borderId="0" xfId="3" applyNumberFormat="1" applyFont="1" applyFill="1" applyBorder="1" applyAlignment="1" applyProtection="1">
      <alignment horizontal="center" wrapText="1"/>
      <protection locked="0"/>
    </xf>
    <xf numFmtId="1" fontId="13" fillId="47" borderId="0" xfId="13564" applyNumberFormat="1" applyFont="1" applyFill="1" applyBorder="1" applyAlignment="1" applyProtection="1">
      <alignment horizontal="center"/>
      <protection locked="0"/>
    </xf>
    <xf numFmtId="37" fontId="22" fillId="47" borderId="0" xfId="3" applyFont="1" applyFill="1" applyBorder="1" applyAlignment="1" applyProtection="1">
      <protection locked="0"/>
    </xf>
    <xf numFmtId="37" fontId="22" fillId="58" borderId="0" xfId="3" applyFont="1" applyFill="1" applyBorder="1" applyAlignment="1" applyProtection="1">
      <alignment horizontal="right"/>
      <protection locked="0"/>
    </xf>
    <xf numFmtId="37" fontId="22" fillId="58" borderId="0" xfId="3" quotePrefix="1" applyFont="1" applyFill="1" applyBorder="1" applyAlignment="1" applyProtection="1">
      <alignment horizontal="right"/>
      <protection locked="0"/>
    </xf>
    <xf numFmtId="37" fontId="47" fillId="58" borderId="0" xfId="3" applyFont="1" applyFill="1" applyBorder="1" applyAlignment="1" applyProtection="1">
      <alignment horizontal="right"/>
      <protection locked="0"/>
    </xf>
    <xf numFmtId="37" fontId="44" fillId="47" borderId="0" xfId="3" applyFont="1" applyFill="1" applyBorder="1" applyAlignment="1" applyProtection="1">
      <alignment horizontal="right"/>
      <protection locked="0"/>
    </xf>
    <xf numFmtId="37" fontId="108" fillId="58" borderId="0" xfId="3" applyFont="1" applyFill="1" applyBorder="1" applyAlignment="1" applyProtection="1">
      <alignment horizontal="right"/>
      <protection locked="0"/>
    </xf>
    <xf numFmtId="37" fontId="22" fillId="58" borderId="0" xfId="13561" applyFont="1" applyFill="1" applyBorder="1" applyAlignment="1" applyProtection="1">
      <alignment horizontal="right"/>
      <protection locked="0"/>
    </xf>
    <xf numFmtId="37" fontId="13" fillId="55" borderId="0" xfId="3" applyFont="1" applyFill="1" applyBorder="1" applyAlignment="1" applyProtection="1">
      <alignment horizontal="center"/>
      <protection locked="0"/>
    </xf>
    <xf numFmtId="37" fontId="13" fillId="55" borderId="0" xfId="3" applyFont="1" applyFill="1" applyBorder="1" applyAlignment="1" applyProtection="1">
      <protection locked="0"/>
    </xf>
    <xf numFmtId="37" fontId="105" fillId="55" borderId="0" xfId="3" applyFont="1" applyFill="1" applyBorder="1" applyAlignment="1" applyProtection="1">
      <protection locked="0"/>
    </xf>
    <xf numFmtId="49" fontId="13" fillId="55" borderId="0" xfId="3" applyNumberFormat="1" applyFont="1" applyFill="1" applyBorder="1" applyAlignment="1" applyProtection="1">
      <alignment horizontal="center"/>
      <protection locked="0"/>
    </xf>
    <xf numFmtId="0" fontId="44" fillId="55" borderId="0" xfId="3" applyNumberFormat="1" applyFont="1" applyFill="1" applyBorder="1" applyAlignment="1" applyProtection="1">
      <alignment horizontal="right"/>
      <protection locked="0"/>
    </xf>
    <xf numFmtId="0" fontId="105" fillId="55" borderId="0" xfId="3" applyNumberFormat="1" applyFont="1" applyFill="1" applyBorder="1" applyAlignment="1" applyProtection="1">
      <alignment horizontal="right"/>
      <protection locked="0"/>
    </xf>
    <xf numFmtId="0" fontId="13" fillId="20" borderId="0" xfId="3" applyNumberFormat="1" applyFont="1" applyFill="1" applyBorder="1" applyAlignment="1" applyProtection="1">
      <alignment horizontal="right"/>
      <protection locked="0"/>
    </xf>
    <xf numFmtId="0" fontId="105" fillId="20" borderId="0" xfId="3" applyNumberFormat="1" applyFont="1" applyFill="1" applyBorder="1" applyAlignment="1" applyProtection="1">
      <alignment horizontal="right"/>
      <protection locked="0"/>
    </xf>
    <xf numFmtId="37" fontId="13" fillId="20" borderId="0" xfId="3" applyFont="1" applyFill="1" applyBorder="1" applyAlignment="1" applyProtection="1">
      <alignment horizontal="right"/>
      <protection locked="0"/>
    </xf>
    <xf numFmtId="37" fontId="105" fillId="20" borderId="0" xfId="3" applyFont="1" applyFill="1" applyBorder="1" applyAlignment="1" applyProtection="1">
      <alignment horizontal="right"/>
      <protection locked="0"/>
    </xf>
    <xf numFmtId="0" fontId="13" fillId="55" borderId="0" xfId="3" applyNumberFormat="1" applyFont="1" applyFill="1" applyBorder="1" applyAlignment="1" applyProtection="1">
      <alignment horizontal="right"/>
      <protection locked="0"/>
    </xf>
    <xf numFmtId="0" fontId="13" fillId="55" borderId="0" xfId="3" applyNumberFormat="1" applyFont="1" applyFill="1" applyBorder="1" applyAlignment="1" applyProtection="1">
      <alignment horizontal="center"/>
      <protection locked="0"/>
    </xf>
    <xf numFmtId="49" fontId="121" fillId="56" borderId="0" xfId="13558" applyNumberFormat="1" applyFont="1" applyFill="1" applyBorder="1" applyAlignment="1" applyProtection="1">
      <alignment horizontal="left"/>
      <protection locked="0"/>
    </xf>
    <xf numFmtId="1" fontId="13" fillId="55" borderId="0" xfId="13563" applyNumberFormat="1" applyFont="1" applyFill="1" applyBorder="1" applyAlignment="1" applyProtection="1">
      <alignment horizontal="center"/>
      <protection locked="0"/>
    </xf>
    <xf numFmtId="3" fontId="123" fillId="0" borderId="23" xfId="15" applyNumberFormat="1" applyFont="1" applyFill="1" applyBorder="1" applyAlignment="1" applyProtection="1">
      <alignment horizontal="right"/>
      <protection locked="0"/>
    </xf>
    <xf numFmtId="3" fontId="123" fillId="0" borderId="17" xfId="15" applyNumberFormat="1" applyFont="1" applyFill="1" applyBorder="1" applyAlignment="1" applyProtection="1">
      <alignment horizontal="right"/>
      <protection locked="0"/>
    </xf>
    <xf numFmtId="49" fontId="105" fillId="55" borderId="0" xfId="13567" applyNumberFormat="1" applyFont="1" applyFill="1" applyBorder="1" applyAlignment="1" applyProtection="1">
      <alignment horizontal="left"/>
      <protection locked="0"/>
    </xf>
    <xf numFmtId="3" fontId="13" fillId="20" borderId="17" xfId="3" applyNumberFormat="1" applyFont="1" applyFill="1" applyBorder="1" applyAlignment="1" applyProtection="1">
      <alignment horizontal="right"/>
      <protection locked="0"/>
    </xf>
    <xf numFmtId="37" fontId="22" fillId="55" borderId="0" xfId="3" applyFont="1" applyFill="1" applyBorder="1" applyAlignment="1" applyProtection="1">
      <alignment horizontal="left"/>
      <protection locked="0"/>
    </xf>
    <xf numFmtId="3" fontId="13" fillId="20" borderId="23" xfId="3" applyNumberFormat="1" applyFont="1" applyFill="1" applyBorder="1" applyAlignment="1" applyProtection="1">
      <alignment horizontal="right"/>
      <protection locked="0"/>
    </xf>
    <xf numFmtId="37" fontId="108" fillId="55" borderId="0" xfId="3" applyFont="1" applyFill="1" applyBorder="1" applyAlignment="1" applyProtection="1">
      <alignment horizontal="right"/>
      <protection locked="0"/>
    </xf>
    <xf numFmtId="37" fontId="108" fillId="55" borderId="0" xfId="13561" applyFont="1" applyFill="1" applyBorder="1" applyAlignment="1" applyProtection="1">
      <alignment horizontal="right"/>
      <protection locked="0"/>
    </xf>
    <xf numFmtId="1" fontId="77" fillId="55" borderId="0" xfId="13565" applyNumberFormat="1" applyFont="1" applyFill="1" applyBorder="1" applyAlignment="1" applyProtection="1">
      <alignment horizontal="center"/>
      <protection locked="0"/>
    </xf>
    <xf numFmtId="1" fontId="13" fillId="55" borderId="0" xfId="13565" applyNumberFormat="1" applyFont="1" applyFill="1" applyBorder="1" applyAlignment="1" applyProtection="1">
      <alignment horizontal="center"/>
      <protection locked="0"/>
    </xf>
    <xf numFmtId="1" fontId="22" fillId="55" borderId="0" xfId="3" applyNumberFormat="1" applyFont="1" applyFill="1" applyBorder="1" applyAlignment="1" applyProtection="1">
      <alignment horizontal="center"/>
      <protection locked="0"/>
    </xf>
    <xf numFmtId="49" fontId="107" fillId="50" borderId="0" xfId="13558" applyNumberFormat="1" applyFont="1" applyFill="1" applyBorder="1" applyAlignment="1" applyProtection="1">
      <alignment horizontal="left"/>
      <protection locked="0"/>
    </xf>
    <xf numFmtId="49" fontId="107" fillId="50" borderId="0" xfId="13567" applyNumberFormat="1" applyFont="1" applyFill="1" applyBorder="1" applyAlignment="1" applyProtection="1">
      <alignment horizontal="left"/>
      <protection locked="0"/>
    </xf>
    <xf numFmtId="49" fontId="13" fillId="53" borderId="23" xfId="13558" applyNumberFormat="1" applyFont="1" applyFill="1" applyBorder="1" applyAlignment="1" applyProtection="1">
      <alignment horizontal="center"/>
      <protection locked="0"/>
    </xf>
    <xf numFmtId="49" fontId="124" fillId="53" borderId="0" xfId="13558" applyNumberFormat="1" applyFont="1" applyFill="1" applyBorder="1" applyAlignment="1" applyProtection="1">
      <alignment horizontal="left"/>
      <protection locked="0"/>
    </xf>
    <xf numFmtId="3" fontId="22" fillId="0" borderId="0" xfId="15" applyNumberFormat="1" applyFont="1" applyFill="1" applyBorder="1" applyAlignment="1" applyProtection="1">
      <alignment horizontal="right"/>
      <protection locked="0"/>
    </xf>
    <xf numFmtId="1" fontId="77" fillId="8" borderId="0" xfId="13558" applyNumberFormat="1" applyFont="1" applyFill="1" applyBorder="1" applyAlignment="1" applyProtection="1">
      <alignment horizontal="center"/>
      <protection locked="0"/>
    </xf>
    <xf numFmtId="49" fontId="13" fillId="51" borderId="0" xfId="13556" applyNumberFormat="1" applyFont="1" applyFill="1" applyBorder="1" applyAlignment="1" applyProtection="1">
      <alignment horizontal="left"/>
      <protection locked="0"/>
    </xf>
    <xf numFmtId="49" fontId="13" fillId="53" borderId="0" xfId="126" applyNumberFormat="1" applyFont="1" applyFill="1" applyBorder="1" applyAlignment="1" applyProtection="1">
      <alignment horizontal="center"/>
      <protection locked="0"/>
    </xf>
    <xf numFmtId="37" fontId="44" fillId="51" borderId="0" xfId="3" applyFont="1" applyFill="1" applyBorder="1" applyAlignment="1" applyProtection="1">
      <alignment horizontal="right"/>
      <protection locked="0"/>
    </xf>
    <xf numFmtId="49" fontId="13" fillId="64" borderId="0" xfId="13556" applyNumberFormat="1" applyFont="1" applyFill="1" applyBorder="1" applyAlignment="1" applyProtection="1">
      <alignment horizontal="left"/>
      <protection locked="0"/>
    </xf>
    <xf numFmtId="0" fontId="13" fillId="53" borderId="0" xfId="126" applyNumberFormat="1" applyFont="1" applyFill="1" applyBorder="1" applyAlignment="1" applyProtection="1">
      <alignment horizontal="center"/>
      <protection locked="0"/>
    </xf>
    <xf numFmtId="3" fontId="66" fillId="14" borderId="17" xfId="3" applyNumberFormat="1" applyFont="1" applyFill="1" applyBorder="1" applyAlignment="1" applyProtection="1">
      <alignment horizontal="right"/>
      <protection locked="0"/>
    </xf>
    <xf numFmtId="49" fontId="13" fillId="18" borderId="0" xfId="7" applyNumberFormat="1" applyFont="1" applyFill="1" applyBorder="1" applyAlignment="1" applyProtection="1">
      <alignment horizontal="left"/>
      <protection locked="0"/>
    </xf>
    <xf numFmtId="49" fontId="13" fillId="65" borderId="0" xfId="7" applyNumberFormat="1" applyFont="1" applyFill="1" applyBorder="1" applyAlignment="1" applyProtection="1">
      <alignment horizontal="left"/>
      <protection locked="0"/>
    </xf>
    <xf numFmtId="49" fontId="13" fillId="8" borderId="0" xfId="13563" applyNumberFormat="1" applyFont="1" applyFill="1" applyBorder="1" applyAlignment="1" applyProtection="1">
      <alignment horizontal="left"/>
      <protection locked="0"/>
    </xf>
    <xf numFmtId="3" fontId="66" fillId="14" borderId="17" xfId="0" applyNumberFormat="1" applyFont="1" applyFill="1" applyBorder="1" applyAlignment="1"/>
    <xf numFmtId="3" fontId="13" fillId="66" borderId="0" xfId="13559" applyFont="1" applyFill="1" applyBorder="1" applyAlignment="1" applyProtection="1">
      <protection locked="0"/>
    </xf>
    <xf numFmtId="3" fontId="13" fillId="67" borderId="0" xfId="13559" applyFont="1" applyFill="1" applyBorder="1" applyAlignment="1" applyProtection="1">
      <protection locked="0"/>
    </xf>
    <xf numFmtId="49" fontId="13" fillId="46" borderId="0" xfId="13571" applyNumberFormat="1" applyFont="1" applyFill="1" applyBorder="1" applyAlignment="1" applyProtection="1">
      <alignment horizontal="left"/>
      <protection locked="0"/>
    </xf>
    <xf numFmtId="165" fontId="13" fillId="46" borderId="0" xfId="13558" applyFont="1" applyFill="1" applyBorder="1" applyProtection="1">
      <protection locked="0"/>
    </xf>
    <xf numFmtId="165" fontId="105" fillId="46" borderId="0" xfId="13558" applyFont="1" applyFill="1" applyBorder="1" applyProtection="1">
      <protection locked="0"/>
    </xf>
    <xf numFmtId="1" fontId="13" fillId="46" borderId="0" xfId="13563" applyNumberFormat="1" applyFont="1" applyFill="1" applyBorder="1" applyAlignment="1" applyProtection="1">
      <alignment horizontal="center"/>
      <protection locked="0"/>
    </xf>
    <xf numFmtId="49" fontId="13" fillId="9" borderId="0" xfId="13558" applyNumberFormat="1" applyFont="1" applyFill="1" applyBorder="1" applyAlignment="1" applyProtection="1">
      <alignment horizontal="left"/>
      <protection locked="0"/>
    </xf>
    <xf numFmtId="49" fontId="105" fillId="9" borderId="0" xfId="13558" applyNumberFormat="1" applyFont="1" applyFill="1" applyBorder="1" applyAlignment="1" applyProtection="1">
      <alignment horizontal="left"/>
      <protection locked="0"/>
    </xf>
    <xf numFmtId="49" fontId="13" fillId="68" borderId="0" xfId="13558" applyNumberFormat="1" applyFont="1" applyFill="1" applyBorder="1" applyAlignment="1" applyProtection="1">
      <alignment horizontal="left"/>
      <protection locked="0"/>
    </xf>
    <xf numFmtId="49" fontId="105" fillId="68" borderId="0" xfId="13558" applyNumberFormat="1" applyFont="1" applyFill="1" applyBorder="1" applyAlignment="1" applyProtection="1">
      <alignment horizontal="left"/>
      <protection locked="0"/>
    </xf>
    <xf numFmtId="49" fontId="13" fillId="10" borderId="0" xfId="13558" applyNumberFormat="1" applyFont="1" applyFill="1" applyBorder="1" applyAlignment="1" applyProtection="1">
      <alignment horizontal="left"/>
      <protection locked="0"/>
    </xf>
    <xf numFmtId="49" fontId="105" fillId="10" borderId="0" xfId="13558" applyNumberFormat="1" applyFont="1" applyFill="1" applyBorder="1" applyAlignment="1" applyProtection="1">
      <alignment horizontal="left"/>
      <protection locked="0"/>
    </xf>
    <xf numFmtId="49" fontId="13" fillId="10" borderId="0" xfId="7" applyNumberFormat="1" applyFont="1" applyFill="1" applyBorder="1" applyAlignment="1" applyProtection="1">
      <alignment horizontal="left"/>
      <protection locked="0"/>
    </xf>
    <xf numFmtId="49" fontId="105" fillId="10" borderId="0" xfId="7" applyNumberFormat="1" applyFont="1" applyFill="1" applyBorder="1" applyAlignment="1" applyProtection="1">
      <alignment horizontal="left"/>
      <protection locked="0"/>
    </xf>
    <xf numFmtId="49" fontId="13" fillId="10" borderId="0" xfId="13571" applyNumberFormat="1" applyFont="1" applyFill="1" applyBorder="1" applyAlignment="1" applyProtection="1">
      <alignment horizontal="left"/>
      <protection locked="0"/>
    </xf>
    <xf numFmtId="49" fontId="105" fillId="10" borderId="0" xfId="13571" applyNumberFormat="1" applyFont="1" applyFill="1" applyBorder="1" applyAlignment="1" applyProtection="1">
      <alignment horizontal="left"/>
      <protection locked="0"/>
    </xf>
    <xf numFmtId="49" fontId="13" fillId="46" borderId="0" xfId="13571" applyNumberFormat="1" applyFont="1" applyFill="1" applyBorder="1" applyAlignment="1" applyProtection="1">
      <alignment horizontal="center"/>
      <protection locked="0"/>
    </xf>
    <xf numFmtId="49" fontId="13" fillId="11" borderId="0" xfId="13571" applyNumberFormat="1" applyFont="1" applyFill="1" applyBorder="1" applyAlignment="1" applyProtection="1">
      <alignment horizontal="left"/>
      <protection locked="0"/>
    </xf>
    <xf numFmtId="49" fontId="105" fillId="11" borderId="0" xfId="13571" applyNumberFormat="1" applyFont="1" applyFill="1" applyBorder="1" applyAlignment="1" applyProtection="1">
      <alignment horizontal="left"/>
      <protection locked="0"/>
    </xf>
    <xf numFmtId="49" fontId="105" fillId="46" borderId="0" xfId="13571" applyNumberFormat="1" applyFont="1" applyFill="1" applyBorder="1" applyAlignment="1" applyProtection="1">
      <alignment horizontal="left"/>
      <protection locked="0"/>
    </xf>
    <xf numFmtId="49" fontId="13" fillId="69" borderId="0" xfId="13571" applyNumberFormat="1" applyFont="1" applyFill="1" applyBorder="1" applyAlignment="1" applyProtection="1">
      <alignment horizontal="left"/>
      <protection locked="0"/>
    </xf>
    <xf numFmtId="49" fontId="105" fillId="69" borderId="0" xfId="13571" applyNumberFormat="1" applyFont="1" applyFill="1" applyBorder="1" applyAlignment="1" applyProtection="1">
      <alignment horizontal="left"/>
      <protection locked="0"/>
    </xf>
    <xf numFmtId="49" fontId="13" fillId="69" borderId="0" xfId="13558" applyNumberFormat="1" applyFont="1" applyFill="1" applyBorder="1" applyAlignment="1" applyProtection="1">
      <alignment horizontal="left"/>
      <protection locked="0"/>
    </xf>
    <xf numFmtId="1" fontId="13" fillId="46" borderId="0" xfId="13571" applyNumberFormat="1" applyFont="1" applyFill="1" applyBorder="1" applyAlignment="1" applyProtection="1">
      <alignment horizontal="center"/>
      <protection locked="0"/>
    </xf>
    <xf numFmtId="49" fontId="22" fillId="9" borderId="0" xfId="13558" applyNumberFormat="1" applyFont="1" applyFill="1" applyBorder="1" applyAlignment="1" applyProtection="1">
      <alignment horizontal="right"/>
      <protection locked="0"/>
    </xf>
    <xf numFmtId="49" fontId="105" fillId="9" borderId="0" xfId="13558" applyNumberFormat="1" applyFont="1" applyFill="1" applyBorder="1" applyAlignment="1" applyProtection="1">
      <alignment horizontal="right"/>
      <protection locked="0"/>
    </xf>
    <xf numFmtId="49" fontId="22" fillId="68" borderId="0" xfId="13558" applyNumberFormat="1" applyFont="1" applyFill="1" applyBorder="1" applyAlignment="1" applyProtection="1">
      <alignment horizontal="right"/>
      <protection locked="0"/>
    </xf>
    <xf numFmtId="49" fontId="105" fillId="68" borderId="0" xfId="13558" applyNumberFormat="1" applyFont="1" applyFill="1" applyBorder="1" applyAlignment="1" applyProtection="1">
      <alignment horizontal="right"/>
      <protection locked="0"/>
    </xf>
    <xf numFmtId="49" fontId="22" fillId="10" borderId="0" xfId="13571" applyNumberFormat="1" applyFont="1" applyFill="1" applyBorder="1" applyAlignment="1" applyProtection="1">
      <alignment horizontal="right"/>
      <protection locked="0"/>
    </xf>
    <xf numFmtId="49" fontId="105" fillId="10" borderId="0" xfId="13571" applyNumberFormat="1" applyFont="1" applyFill="1" applyBorder="1" applyAlignment="1" applyProtection="1">
      <alignment horizontal="right"/>
      <protection locked="0"/>
    </xf>
    <xf numFmtId="49" fontId="22" fillId="11" borderId="0" xfId="13571" applyNumberFormat="1" applyFont="1" applyFill="1" applyBorder="1" applyAlignment="1" applyProtection="1">
      <alignment horizontal="right"/>
      <protection locked="0"/>
    </xf>
    <xf numFmtId="49" fontId="105" fillId="11" borderId="0" xfId="13571" applyNumberFormat="1" applyFont="1" applyFill="1" applyBorder="1" applyAlignment="1" applyProtection="1">
      <alignment horizontal="right"/>
      <protection locked="0"/>
    </xf>
    <xf numFmtId="49" fontId="22" fillId="69" borderId="0" xfId="13571" applyNumberFormat="1" applyFont="1" applyFill="1" applyBorder="1" applyAlignment="1" applyProtection="1">
      <alignment horizontal="right"/>
      <protection locked="0"/>
    </xf>
    <xf numFmtId="49" fontId="105" fillId="69" borderId="0" xfId="13571" applyNumberFormat="1" applyFont="1" applyFill="1" applyBorder="1" applyAlignment="1" applyProtection="1">
      <alignment horizontal="right"/>
      <protection locked="0"/>
    </xf>
    <xf numFmtId="49" fontId="22" fillId="46" borderId="0" xfId="13571" applyNumberFormat="1" applyFont="1" applyFill="1" applyBorder="1" applyAlignment="1" applyProtection="1">
      <alignment horizontal="left"/>
      <protection locked="0"/>
    </xf>
    <xf numFmtId="49" fontId="44" fillId="46" borderId="0" xfId="13571" applyNumberFormat="1" applyFont="1" applyFill="1" applyBorder="1" applyAlignment="1" applyProtection="1">
      <alignment horizontal="right"/>
      <protection locked="0"/>
    </xf>
    <xf numFmtId="49" fontId="105" fillId="46" borderId="0" xfId="13571" applyNumberFormat="1" applyFont="1" applyFill="1" applyBorder="1" applyAlignment="1" applyProtection="1">
      <alignment horizontal="right"/>
      <protection locked="0"/>
    </xf>
    <xf numFmtId="49" fontId="13" fillId="46" borderId="0" xfId="13571" applyNumberFormat="1" applyFont="1" applyFill="1" applyBorder="1" applyAlignment="1" applyProtection="1">
      <alignment horizontal="right"/>
      <protection locked="0"/>
    </xf>
    <xf numFmtId="0" fontId="13" fillId="46" borderId="0" xfId="7" applyNumberFormat="1" applyFont="1" applyFill="1" applyBorder="1" applyAlignment="1" applyProtection="1">
      <alignment horizontal="center"/>
      <protection locked="0"/>
    </xf>
    <xf numFmtId="1" fontId="13" fillId="46" borderId="0" xfId="7" applyNumberFormat="1" applyFont="1" applyFill="1" applyBorder="1" applyAlignment="1" applyProtection="1">
      <alignment horizontal="center"/>
      <protection locked="0"/>
    </xf>
    <xf numFmtId="49" fontId="105" fillId="69" borderId="0" xfId="13558" applyNumberFormat="1" applyFont="1" applyFill="1" applyBorder="1" applyAlignment="1" applyProtection="1">
      <alignment horizontal="left"/>
      <protection locked="0"/>
    </xf>
    <xf numFmtId="37" fontId="67" fillId="0" borderId="23" xfId="2" applyNumberFormat="1" applyFont="1" applyFill="1" applyBorder="1" applyProtection="1">
      <protection locked="0"/>
    </xf>
    <xf numFmtId="3" fontId="66" fillId="0" borderId="17" xfId="15" applyNumberFormat="1" applyFont="1" applyFill="1" applyBorder="1" applyAlignment="1" applyProtection="1">
      <alignment horizontal="right"/>
      <protection locked="0"/>
    </xf>
    <xf numFmtId="3" fontId="66" fillId="0" borderId="23" xfId="15" applyNumberFormat="1" applyFont="1" applyFill="1" applyBorder="1" applyAlignment="1" applyProtection="1">
      <alignment horizontal="right"/>
      <protection locked="0"/>
    </xf>
    <xf numFmtId="3" fontId="67" fillId="0" borderId="23" xfId="15" applyNumberFormat="1" applyFont="1" applyFill="1" applyBorder="1" applyAlignment="1" applyProtection="1">
      <alignment horizontal="right"/>
      <protection locked="0"/>
    </xf>
    <xf numFmtId="0" fontId="77" fillId="50" borderId="0" xfId="13558" applyNumberFormat="1" applyFont="1" applyFill="1" applyBorder="1" applyAlignment="1" applyProtection="1">
      <alignment horizontal="center"/>
      <protection locked="0"/>
    </xf>
    <xf numFmtId="1" fontId="13" fillId="47" borderId="0" xfId="13559" quotePrefix="1" applyNumberFormat="1" applyFont="1" applyFill="1" applyBorder="1" applyAlignment="1" applyProtection="1">
      <alignment horizontal="center"/>
      <protection locked="0"/>
    </xf>
    <xf numFmtId="1" fontId="22" fillId="47" borderId="0" xfId="13565" applyNumberFormat="1" applyFont="1" applyFill="1" applyBorder="1" applyAlignment="1" applyProtection="1">
      <alignment horizontal="center"/>
      <protection locked="0"/>
    </xf>
    <xf numFmtId="1" fontId="22" fillId="47" borderId="0" xfId="13564" applyNumberFormat="1" applyFont="1" applyFill="1" applyBorder="1" applyAlignment="1" applyProtection="1">
      <alignment horizontal="center"/>
      <protection locked="0"/>
    </xf>
    <xf numFmtId="1" fontId="22" fillId="59" borderId="0" xfId="13569" applyNumberFormat="1" applyFont="1" applyFill="1" applyBorder="1" applyAlignment="1" applyProtection="1">
      <alignment horizontal="center"/>
      <protection locked="0"/>
    </xf>
    <xf numFmtId="3" fontId="22" fillId="11" borderId="65" xfId="0" applyNumberFormat="1" applyFont="1" applyFill="1" applyBorder="1" applyAlignment="1"/>
    <xf numFmtId="3" fontId="13" fillId="11" borderId="65" xfId="0" applyNumberFormat="1" applyFont="1" applyFill="1" applyBorder="1" applyAlignment="1"/>
    <xf numFmtId="37" fontId="22" fillId="43" borderId="66" xfId="0" applyNumberFormat="1" applyFont="1" applyFill="1" applyBorder="1" applyAlignment="1"/>
    <xf numFmtId="37" fontId="13" fillId="43" borderId="117" xfId="0" applyNumberFormat="1" applyFont="1" applyFill="1" applyBorder="1" applyAlignment="1"/>
    <xf numFmtId="37" fontId="22" fillId="43" borderId="29" xfId="0" applyNumberFormat="1" applyFont="1" applyFill="1" applyBorder="1" applyAlignment="1"/>
    <xf numFmtId="3" fontId="22" fillId="8" borderId="23" xfId="15" applyNumberFormat="1" applyFont="1" applyFill="1" applyBorder="1" applyAlignment="1" applyProtection="1">
      <alignment horizontal="right"/>
      <protection locked="0"/>
    </xf>
    <xf numFmtId="3" fontId="13" fillId="8" borderId="23" xfId="15" applyNumberFormat="1" applyFont="1" applyFill="1" applyBorder="1" applyAlignment="1" applyProtection="1">
      <alignment horizontal="right"/>
      <protection locked="0"/>
    </xf>
    <xf numFmtId="10" fontId="13" fillId="14" borderId="23" xfId="6" applyNumberFormat="1" applyFont="1" applyFill="1" applyBorder="1" applyAlignment="1" applyProtection="1">
      <alignment horizontal="right"/>
      <protection locked="0"/>
    </xf>
    <xf numFmtId="9" fontId="13" fillId="14" borderId="23" xfId="6" applyFont="1" applyFill="1" applyBorder="1" applyAlignment="1" applyProtection="1">
      <alignment horizontal="right"/>
      <protection locked="0"/>
    </xf>
    <xf numFmtId="3" fontId="13" fillId="8" borderId="26" xfId="15" applyNumberFormat="1" applyFont="1" applyFill="1" applyBorder="1" applyAlignment="1" applyProtection="1">
      <alignment horizontal="right"/>
      <protection locked="0"/>
    </xf>
    <xf numFmtId="37" fontId="13" fillId="0" borderId="17" xfId="0" applyNumberFormat="1" applyFont="1" applyFill="1" applyBorder="1" applyAlignment="1">
      <alignment vertical="center" wrapText="1"/>
    </xf>
    <xf numFmtId="37" fontId="13" fillId="0" borderId="6" xfId="0" applyNumberFormat="1" applyFont="1" applyFill="1" applyBorder="1" applyAlignment="1">
      <alignment vertical="center" wrapText="1"/>
    </xf>
    <xf numFmtId="167" fontId="108" fillId="8" borderId="0" xfId="3" applyNumberFormat="1" applyFont="1" applyFill="1" applyBorder="1" applyAlignment="1" applyProtection="1">
      <alignment horizontal="right"/>
      <protection locked="0"/>
    </xf>
    <xf numFmtId="3" fontId="22" fillId="8" borderId="17" xfId="15" applyNumberFormat="1" applyFont="1" applyFill="1" applyBorder="1" applyAlignment="1" applyProtection="1">
      <alignment horizontal="right"/>
      <protection locked="0"/>
    </xf>
    <xf numFmtId="3" fontId="125" fillId="8" borderId="23" xfId="15" applyNumberFormat="1" applyFont="1" applyFill="1" applyBorder="1" applyAlignment="1" applyProtection="1">
      <alignment horizontal="right"/>
      <protection locked="0"/>
    </xf>
    <xf numFmtId="3" fontId="125" fillId="0" borderId="23" xfId="15" applyNumberFormat="1" applyFont="1" applyFill="1" applyBorder="1" applyAlignment="1" applyProtection="1">
      <alignment horizontal="right"/>
      <protection locked="0"/>
    </xf>
    <xf numFmtId="37" fontId="103" fillId="0" borderId="0" xfId="0" applyNumberFormat="1" applyFont="1" applyFill="1" applyBorder="1" applyAlignment="1">
      <alignment vertical="top"/>
    </xf>
    <xf numFmtId="37" fontId="103" fillId="0" borderId="20" xfId="0" applyNumberFormat="1" applyFont="1" applyFill="1" applyBorder="1" applyAlignment="1">
      <alignment vertical="top"/>
    </xf>
    <xf numFmtId="9" fontId="67" fillId="11" borderId="6" xfId="6" applyFont="1" applyFill="1" applyBorder="1" applyAlignment="1"/>
    <xf numFmtId="37" fontId="19" fillId="0" borderId="0" xfId="0" applyNumberFormat="1" applyFont="1" applyFill="1" applyAlignment="1">
      <alignment vertical="top" wrapText="1"/>
    </xf>
    <xf numFmtId="37" fontId="16" fillId="0" borderId="0" xfId="0" applyNumberFormat="1" applyFont="1" applyFill="1" applyAlignment="1">
      <alignment vertical="top" wrapText="1"/>
    </xf>
    <xf numFmtId="37" fontId="18" fillId="0" borderId="0" xfId="0" applyNumberFormat="1" applyFont="1" applyFill="1" applyBorder="1" applyAlignment="1" applyProtection="1">
      <alignment horizontal="center" vertical="top"/>
    </xf>
    <xf numFmtId="37" fontId="22" fillId="0" borderId="39" xfId="0" applyNumberFormat="1" applyFont="1" applyFill="1" applyBorder="1" applyAlignment="1">
      <alignment vertical="center" wrapText="1"/>
    </xf>
    <xf numFmtId="37" fontId="20" fillId="0" borderId="14" xfId="0" applyNumberFormat="1" applyFont="1" applyBorder="1" applyAlignment="1">
      <alignment vertical="center" wrapText="1"/>
    </xf>
    <xf numFmtId="37" fontId="0" fillId="0" borderId="22" xfId="0" applyNumberFormat="1" applyBorder="1" applyAlignment="1">
      <alignment vertical="center" wrapText="1"/>
    </xf>
    <xf numFmtId="37" fontId="0" fillId="0" borderId="14" xfId="0" applyNumberFormat="1" applyBorder="1" applyAlignment="1">
      <alignment vertical="center" wrapText="1"/>
    </xf>
    <xf numFmtId="37" fontId="31" fillId="0" borderId="39" xfId="0" applyNumberFormat="1" applyFont="1" applyFill="1" applyBorder="1" applyAlignment="1">
      <alignment vertical="center" wrapText="1"/>
    </xf>
    <xf numFmtId="37" fontId="25" fillId="0" borderId="14" xfId="0" applyNumberFormat="1" applyFont="1" applyFill="1" applyBorder="1" applyAlignment="1">
      <alignment vertical="center"/>
    </xf>
    <xf numFmtId="37" fontId="25" fillId="0" borderId="22" xfId="0" applyNumberFormat="1" applyFont="1" applyFill="1" applyBorder="1" applyAlignment="1">
      <alignment vertical="center"/>
    </xf>
    <xf numFmtId="37" fontId="25" fillId="0" borderId="14" xfId="0" applyNumberFormat="1" applyFont="1" applyBorder="1" applyAlignment="1">
      <alignment vertical="center" wrapText="1"/>
    </xf>
    <xf numFmtId="37" fontId="26" fillId="0" borderId="0" xfId="0" applyNumberFormat="1" applyFont="1" applyFill="1" applyBorder="1" applyAlignment="1">
      <alignment horizontal="center" vertical="center"/>
    </xf>
    <xf numFmtId="37" fontId="31" fillId="0" borderId="18" xfId="0" applyNumberFormat="1" applyFont="1" applyFill="1" applyBorder="1" applyAlignment="1" applyProtection="1">
      <alignment horizontal="center" wrapText="1"/>
    </xf>
    <xf numFmtId="37" fontId="31" fillId="0" borderId="19" xfId="0" applyNumberFormat="1" applyFont="1" applyFill="1" applyBorder="1" applyAlignment="1" applyProtection="1">
      <alignment horizontal="center" wrapText="1"/>
    </xf>
    <xf numFmtId="37" fontId="31" fillId="0" borderId="11" xfId="0" applyNumberFormat="1" applyFont="1" applyFill="1" applyBorder="1" applyAlignment="1">
      <alignment horizontal="center" wrapText="1"/>
    </xf>
    <xf numFmtId="37" fontId="31" fillId="0" borderId="6" xfId="0" applyNumberFormat="1" applyFont="1" applyFill="1" applyBorder="1" applyAlignment="1">
      <alignment horizontal="center" wrapText="1"/>
    </xf>
    <xf numFmtId="37" fontId="36" fillId="0" borderId="11" xfId="0" applyNumberFormat="1" applyFont="1" applyFill="1" applyBorder="1" applyAlignment="1">
      <alignment horizontal="center" wrapText="1"/>
    </xf>
    <xf numFmtId="37" fontId="36" fillId="0" borderId="6" xfId="0" applyNumberFormat="1" applyFont="1" applyFill="1" applyBorder="1" applyAlignment="1">
      <alignment horizontal="center" wrapText="1"/>
    </xf>
    <xf numFmtId="37" fontId="31" fillId="0" borderId="17" xfId="0" applyNumberFormat="1" applyFont="1" applyFill="1" applyBorder="1" applyAlignment="1" applyProtection="1">
      <alignment horizontal="center" wrapText="1"/>
    </xf>
    <xf numFmtId="37" fontId="31" fillId="0" borderId="6" xfId="0" applyNumberFormat="1" applyFont="1" applyFill="1" applyBorder="1" applyAlignment="1" applyProtection="1">
      <alignment horizontal="center"/>
    </xf>
    <xf numFmtId="167" fontId="36" fillId="0" borderId="11" xfId="0" applyNumberFormat="1" applyFont="1" applyFill="1" applyBorder="1" applyAlignment="1">
      <alignment horizontal="center" wrapText="1"/>
    </xf>
    <xf numFmtId="167" fontId="36" fillId="0" borderId="6" xfId="0" applyNumberFormat="1" applyFont="1" applyFill="1" applyBorder="1" applyAlignment="1">
      <alignment horizontal="center" wrapText="1"/>
    </xf>
    <xf numFmtId="37" fontId="36" fillId="0" borderId="23" xfId="0" applyNumberFormat="1" applyFont="1" applyFill="1" applyBorder="1" applyAlignment="1">
      <alignment horizontal="center" wrapText="1"/>
    </xf>
    <xf numFmtId="37" fontId="36" fillId="0" borderId="10" xfId="0" applyNumberFormat="1" applyFont="1" applyFill="1" applyBorder="1" applyAlignment="1">
      <alignment horizontal="center" wrapText="1"/>
    </xf>
    <xf numFmtId="167" fontId="31" fillId="0" borderId="39" xfId="0" applyNumberFormat="1" applyFont="1" applyFill="1" applyBorder="1" applyAlignment="1" applyProtection="1">
      <alignment horizontal="center" wrapText="1"/>
    </xf>
    <xf numFmtId="37" fontId="72" fillId="0" borderId="22" xfId="0" applyNumberFormat="1" applyFont="1" applyBorder="1" applyAlignment="1"/>
    <xf numFmtId="37" fontId="18" fillId="0" borderId="0" xfId="0" applyNumberFormat="1" applyFont="1" applyFill="1" applyBorder="1" applyAlignment="1">
      <alignment horizontal="center" vertical="center"/>
    </xf>
    <xf numFmtId="37" fontId="19" fillId="0" borderId="0" xfId="0" applyNumberFormat="1" applyFont="1" applyFill="1" applyBorder="1" applyAlignment="1">
      <alignment vertical="center" wrapText="1"/>
    </xf>
    <xf numFmtId="37" fontId="20" fillId="0" borderId="0" xfId="0" applyNumberFormat="1" applyFont="1" applyBorder="1" applyAlignment="1">
      <alignment vertical="center" wrapText="1"/>
    </xf>
    <xf numFmtId="167" fontId="15" fillId="0" borderId="39" xfId="0" applyNumberFormat="1" applyFont="1" applyFill="1" applyBorder="1" applyAlignment="1" applyProtection="1">
      <alignment horizontal="center" wrapText="1"/>
    </xf>
    <xf numFmtId="37" fontId="20" fillId="0" borderId="22" xfId="0" applyNumberFormat="1" applyFont="1" applyBorder="1" applyAlignment="1">
      <alignment horizontal="center" wrapText="1"/>
    </xf>
    <xf numFmtId="37" fontId="19" fillId="0" borderId="20" xfId="0" applyNumberFormat="1" applyFont="1" applyFill="1" applyBorder="1" applyAlignment="1">
      <alignment vertical="center" wrapText="1"/>
    </xf>
    <xf numFmtId="37" fontId="20" fillId="0" borderId="20" xfId="0" applyNumberFormat="1" applyFont="1" applyBorder="1" applyAlignment="1">
      <alignment vertical="center" wrapText="1"/>
    </xf>
    <xf numFmtId="37" fontId="15" fillId="0" borderId="11" xfId="0" applyNumberFormat="1" applyFont="1" applyFill="1" applyBorder="1" applyAlignment="1">
      <alignment horizontal="center" wrapText="1"/>
    </xf>
    <xf numFmtId="37" fontId="20" fillId="0" borderId="6" xfId="0" applyNumberFormat="1" applyFont="1" applyBorder="1" applyAlignment="1">
      <alignment horizontal="center" wrapText="1"/>
    </xf>
    <xf numFmtId="37" fontId="25" fillId="0" borderId="6" xfId="0" applyNumberFormat="1" applyFont="1" applyFill="1" applyBorder="1" applyAlignment="1">
      <alignment horizontal="center" wrapText="1"/>
    </xf>
    <xf numFmtId="37" fontId="0" fillId="0" borderId="22" xfId="0" applyNumberFormat="1" applyBorder="1" applyAlignment="1"/>
    <xf numFmtId="37" fontId="15" fillId="0" borderId="6" xfId="0" applyNumberFormat="1" applyFont="1" applyFill="1" applyBorder="1" applyAlignment="1">
      <alignment horizontal="center" wrapText="1"/>
    </xf>
    <xf numFmtId="37" fontId="20" fillId="0" borderId="6" xfId="0" applyNumberFormat="1" applyFont="1" applyFill="1" applyBorder="1" applyAlignment="1">
      <alignment horizontal="center" wrapText="1"/>
    </xf>
    <xf numFmtId="167" fontId="57" fillId="0" borderId="11" xfId="0" applyNumberFormat="1" applyFont="1" applyFill="1" applyBorder="1" applyAlignment="1">
      <alignment horizontal="center" wrapText="1"/>
    </xf>
    <xf numFmtId="167" fontId="57" fillId="0" borderId="6" xfId="0" applyNumberFormat="1" applyFont="1" applyFill="1" applyBorder="1" applyAlignment="1">
      <alignment horizontal="center" wrapText="1"/>
    </xf>
    <xf numFmtId="37" fontId="57" fillId="0" borderId="23" xfId="0" applyNumberFormat="1" applyFont="1" applyFill="1" applyBorder="1" applyAlignment="1">
      <alignment horizontal="center" wrapText="1"/>
    </xf>
    <xf numFmtId="37" fontId="57" fillId="0" borderId="10" xfId="0" applyNumberFormat="1" applyFont="1" applyFill="1" applyBorder="1" applyAlignment="1">
      <alignment horizontal="center" wrapText="1"/>
    </xf>
    <xf numFmtId="37" fontId="57" fillId="0" borderId="11" xfId="0" applyNumberFormat="1" applyFont="1" applyFill="1" applyBorder="1" applyAlignment="1">
      <alignment horizontal="center" wrapText="1"/>
    </xf>
    <xf numFmtId="37" fontId="57" fillId="0" borderId="6" xfId="0" applyNumberFormat="1" applyFont="1" applyFill="1" applyBorder="1" applyAlignment="1">
      <alignment horizontal="center" wrapText="1"/>
    </xf>
    <xf numFmtId="37" fontId="15" fillId="0" borderId="17" xfId="0" applyNumberFormat="1" applyFont="1" applyFill="1" applyBorder="1" applyAlignment="1" applyProtection="1">
      <alignment horizontal="center" wrapText="1"/>
    </xf>
    <xf numFmtId="37" fontId="15" fillId="0" borderId="6" xfId="0" applyNumberFormat="1" applyFont="1" applyFill="1" applyBorder="1" applyAlignment="1" applyProtection="1">
      <alignment horizontal="center"/>
    </xf>
    <xf numFmtId="37" fontId="15" fillId="0" borderId="18" xfId="0" applyNumberFormat="1" applyFont="1" applyFill="1" applyBorder="1" applyAlignment="1" applyProtection="1">
      <alignment horizontal="center" wrapText="1"/>
    </xf>
    <xf numFmtId="37" fontId="15" fillId="0" borderId="19" xfId="0" applyNumberFormat="1" applyFont="1" applyFill="1" applyBorder="1" applyAlignment="1" applyProtection="1">
      <alignment horizontal="center" wrapText="1"/>
    </xf>
    <xf numFmtId="37" fontId="31" fillId="0" borderId="20" xfId="0" applyNumberFormat="1" applyFont="1" applyFill="1" applyBorder="1" applyAlignment="1" applyProtection="1">
      <alignment horizontal="center" vertical="center" wrapText="1"/>
    </xf>
    <xf numFmtId="37" fontId="25" fillId="0" borderId="20" xfId="0" applyNumberFormat="1" applyFont="1" applyFill="1" applyBorder="1" applyAlignment="1">
      <alignment horizontal="center" vertical="center" wrapText="1"/>
    </xf>
    <xf numFmtId="37" fontId="16" fillId="0" borderId="0" xfId="0" applyNumberFormat="1" applyFont="1" applyFill="1" applyBorder="1" applyAlignment="1">
      <alignment vertical="center" wrapText="1"/>
    </xf>
    <xf numFmtId="37" fontId="20" fillId="0" borderId="0" xfId="0" applyNumberFormat="1" applyFont="1" applyFill="1" applyBorder="1" applyAlignment="1">
      <alignment vertical="center" wrapText="1"/>
    </xf>
    <xf numFmtId="37" fontId="20" fillId="0" borderId="0" xfId="0" applyNumberFormat="1" applyFont="1" applyFill="1" applyAlignment="1">
      <alignment vertical="center" wrapText="1"/>
    </xf>
    <xf numFmtId="37" fontId="16" fillId="0" borderId="20" xfId="0" applyNumberFormat="1" applyFont="1" applyFill="1" applyBorder="1" applyAlignment="1">
      <alignment vertical="center" wrapText="1"/>
    </xf>
    <xf numFmtId="37" fontId="0" fillId="0" borderId="0" xfId="0" applyNumberFormat="1" applyAlignment="1">
      <alignment vertical="center" wrapText="1"/>
    </xf>
    <xf numFmtId="37" fontId="31" fillId="0" borderId="18" xfId="0" applyNumberFormat="1" applyFont="1" applyFill="1" applyBorder="1" applyAlignment="1">
      <alignment horizontal="center" vertical="center" wrapText="1"/>
    </xf>
    <xf numFmtId="37" fontId="31" fillId="0" borderId="9" xfId="0" applyNumberFormat="1" applyFont="1" applyFill="1" applyBorder="1" applyAlignment="1">
      <alignment horizontal="center" vertical="center" wrapText="1"/>
    </xf>
    <xf numFmtId="37" fontId="31" fillId="0" borderId="9" xfId="0" applyNumberFormat="1" applyFont="1" applyFill="1" applyBorder="1" applyAlignment="1" applyProtection="1">
      <alignment horizontal="center" vertical="center"/>
    </xf>
    <xf numFmtId="37" fontId="31" fillId="0" borderId="19" xfId="0" applyNumberFormat="1" applyFont="1" applyFill="1" applyBorder="1" applyAlignment="1" applyProtection="1">
      <alignment horizontal="center" vertical="center"/>
    </xf>
    <xf numFmtId="37" fontId="31" fillId="0" borderId="18" xfId="0" applyNumberFormat="1" applyFont="1" applyFill="1" applyBorder="1" applyAlignment="1">
      <alignment horizontal="center" vertical="center"/>
    </xf>
    <xf numFmtId="37" fontId="31" fillId="0" borderId="9" xfId="0" applyNumberFormat="1" applyFont="1" applyFill="1" applyBorder="1" applyAlignment="1">
      <alignment horizontal="center" vertical="center"/>
    </xf>
    <xf numFmtId="37" fontId="13" fillId="0" borderId="0" xfId="0" applyNumberFormat="1" applyFont="1" applyFill="1" applyBorder="1" applyAlignment="1">
      <alignment vertical="center" wrapText="1"/>
    </xf>
    <xf numFmtId="37" fontId="13" fillId="0" borderId="0" xfId="0" applyNumberFormat="1" applyFont="1" applyFill="1" applyAlignment="1">
      <alignment vertical="center" wrapText="1"/>
    </xf>
    <xf numFmtId="37" fontId="15" fillId="0" borderId="20" xfId="0" applyNumberFormat="1" applyFont="1" applyFill="1" applyBorder="1" applyAlignment="1" applyProtection="1">
      <alignment horizontal="center" vertical="center" wrapText="1"/>
    </xf>
    <xf numFmtId="37" fontId="13" fillId="0" borderId="20" xfId="0" applyNumberFormat="1" applyFont="1" applyFill="1" applyBorder="1" applyAlignment="1">
      <alignment horizontal="center" vertical="center" wrapText="1"/>
    </xf>
    <xf numFmtId="37" fontId="15" fillId="0" borderId="18" xfId="0" applyNumberFormat="1" applyFont="1" applyFill="1" applyBorder="1" applyAlignment="1">
      <alignment horizontal="center" vertical="center" wrapText="1"/>
    </xf>
    <xf numFmtId="37" fontId="15" fillId="0" borderId="9" xfId="0" applyNumberFormat="1" applyFont="1" applyFill="1" applyBorder="1" applyAlignment="1">
      <alignment horizontal="center" vertical="center" wrapText="1"/>
    </xf>
    <xf numFmtId="37" fontId="16" fillId="0" borderId="20" xfId="0" applyNumberFormat="1" applyFont="1" applyFill="1" applyBorder="1" applyAlignment="1">
      <alignment vertical="top" wrapText="1"/>
    </xf>
    <xf numFmtId="37" fontId="14" fillId="0" borderId="0" xfId="0" applyNumberFormat="1" applyFont="1" applyAlignment="1">
      <alignment vertical="center" wrapText="1"/>
    </xf>
    <xf numFmtId="37" fontId="15" fillId="0" borderId="9" xfId="0" applyNumberFormat="1" applyFont="1" applyFill="1" applyBorder="1" applyAlignment="1" applyProtection="1">
      <alignment horizontal="center" vertical="center"/>
    </xf>
    <xf numFmtId="37" fontId="15" fillId="0" borderId="19" xfId="0" applyNumberFormat="1" applyFont="1" applyFill="1" applyBorder="1" applyAlignment="1" applyProtection="1">
      <alignment horizontal="center" vertical="center"/>
    </xf>
    <xf numFmtId="37" fontId="15" fillId="0" borderId="18" xfId="0" applyNumberFormat="1" applyFont="1" applyFill="1" applyBorder="1" applyAlignment="1">
      <alignment horizontal="center" vertical="center"/>
    </xf>
    <xf numFmtId="37" fontId="15" fillId="0" borderId="9" xfId="0" applyNumberFormat="1" applyFont="1" applyFill="1" applyBorder="1" applyAlignment="1">
      <alignment horizontal="center" vertical="center"/>
    </xf>
    <xf numFmtId="37" fontId="22" fillId="0" borderId="11" xfId="0" applyNumberFormat="1" applyFont="1" applyFill="1" applyBorder="1" applyAlignment="1">
      <alignment vertical="center" wrapText="1"/>
    </xf>
    <xf numFmtId="37" fontId="13" fillId="0" borderId="17" xfId="0" applyNumberFormat="1" applyFont="1" applyFill="1" applyBorder="1" applyAlignment="1">
      <alignment vertical="center" wrapText="1"/>
    </xf>
    <xf numFmtId="37" fontId="13" fillId="0" borderId="6" xfId="0" applyNumberFormat="1" applyFont="1" applyFill="1" applyBorder="1" applyAlignment="1">
      <alignment vertical="center" wrapText="1"/>
    </xf>
    <xf numFmtId="37" fontId="0" fillId="0" borderId="17" xfId="0" applyNumberFormat="1" applyBorder="1" applyAlignment="1">
      <alignment vertical="center" wrapText="1"/>
    </xf>
    <xf numFmtId="37" fontId="0" fillId="0" borderId="6" xfId="0" applyNumberFormat="1" applyBorder="1" applyAlignment="1">
      <alignment vertical="center" wrapText="1"/>
    </xf>
    <xf numFmtId="3" fontId="22" fillId="14" borderId="24" xfId="4" applyNumberFormat="1" applyFont="1" applyFill="1" applyBorder="1" applyAlignment="1" applyProtection="1">
      <alignment horizontal="center" wrapText="1"/>
      <protection locked="0"/>
    </xf>
    <xf numFmtId="3" fontId="22" fillId="14" borderId="23" xfId="4" applyNumberFormat="1" applyFont="1" applyFill="1" applyBorder="1" applyAlignment="1" applyProtection="1">
      <alignment horizontal="center" wrapText="1"/>
      <protection locked="0"/>
    </xf>
    <xf numFmtId="37" fontId="22" fillId="0" borderId="31" xfId="4" applyNumberFormat="1" applyFont="1" applyFill="1" applyBorder="1" applyAlignment="1">
      <alignment vertical="top" wrapText="1"/>
    </xf>
    <xf numFmtId="37" fontId="13" fillId="0" borderId="9" xfId="0" applyNumberFormat="1" applyFont="1" applyBorder="1" applyAlignment="1">
      <alignment vertical="top" wrapText="1"/>
    </xf>
    <xf numFmtId="3" fontId="22" fillId="0" borderId="18" xfId="4" applyNumberFormat="1" applyFont="1" applyFill="1" applyBorder="1" applyAlignment="1" applyProtection="1">
      <alignment horizontal="center" wrapText="1"/>
      <protection locked="0"/>
    </xf>
    <xf numFmtId="3" fontId="22" fillId="0" borderId="9" xfId="4" applyNumberFormat="1" applyFont="1" applyFill="1" applyBorder="1" applyAlignment="1" applyProtection="1">
      <alignment horizontal="center" wrapText="1"/>
      <protection locked="0"/>
    </xf>
    <xf numFmtId="3" fontId="22" fillId="0" borderId="86" xfId="4" applyNumberFormat="1" applyFont="1" applyFill="1" applyBorder="1" applyAlignment="1" applyProtection="1">
      <alignment horizontal="center" wrapText="1"/>
      <protection locked="0"/>
    </xf>
    <xf numFmtId="3" fontId="67" fillId="15" borderId="11" xfId="4" applyNumberFormat="1" applyFont="1" applyFill="1" applyBorder="1" applyAlignment="1" applyProtection="1">
      <alignment horizontal="center" wrapText="1"/>
      <protection locked="0"/>
    </xf>
    <xf numFmtId="3" fontId="67" fillId="15" borderId="17" xfId="4" applyNumberFormat="1" applyFont="1" applyFill="1" applyBorder="1" applyAlignment="1" applyProtection="1">
      <alignment horizontal="center" wrapText="1"/>
      <protection locked="0"/>
    </xf>
    <xf numFmtId="3" fontId="22" fillId="0" borderId="11" xfId="4" applyNumberFormat="1" applyFont="1" applyFill="1" applyBorder="1" applyAlignment="1" applyProtection="1">
      <alignment horizontal="center" wrapText="1"/>
      <protection locked="0"/>
    </xf>
    <xf numFmtId="3" fontId="22" fillId="0" borderId="17" xfId="4" applyNumberFormat="1" applyFont="1" applyFill="1" applyBorder="1" applyAlignment="1" applyProtection="1">
      <alignment horizontal="center" wrapText="1"/>
      <protection locked="0"/>
    </xf>
    <xf numFmtId="3" fontId="67" fillId="9" borderId="24" xfId="3" applyNumberFormat="1" applyFont="1" applyFill="1" applyBorder="1" applyAlignment="1" applyProtection="1">
      <alignment horizontal="center" wrapText="1"/>
      <protection locked="0"/>
    </xf>
    <xf numFmtId="3" fontId="67" fillId="9" borderId="23" xfId="3" applyNumberFormat="1" applyFont="1" applyFill="1" applyBorder="1" applyAlignment="1" applyProtection="1">
      <alignment horizontal="center" wrapText="1"/>
      <protection locked="0"/>
    </xf>
    <xf numFmtId="3" fontId="67" fillId="0" borderId="8" xfId="4" applyNumberFormat="1" applyFont="1" applyFill="1" applyBorder="1" applyAlignment="1" applyProtection="1">
      <alignment horizontal="center" wrapText="1"/>
      <protection locked="0"/>
    </xf>
    <xf numFmtId="3" fontId="67" fillId="0" borderId="85" xfId="4" applyNumberFormat="1" applyFont="1" applyFill="1" applyBorder="1" applyAlignment="1" applyProtection="1">
      <alignment horizontal="center" wrapText="1"/>
      <protection locked="0"/>
    </xf>
    <xf numFmtId="49" fontId="22" fillId="20" borderId="23" xfId="10" applyNumberFormat="1" applyFont="1" applyFill="1" applyBorder="1" applyAlignment="1" applyProtection="1">
      <alignment horizontal="left" vertical="top"/>
      <protection locked="0"/>
    </xf>
    <xf numFmtId="49" fontId="22" fillId="20" borderId="0" xfId="10" applyNumberFormat="1" applyFont="1" applyFill="1" applyBorder="1" applyAlignment="1" applyProtection="1">
      <alignment horizontal="left" vertical="top"/>
      <protection locked="0"/>
    </xf>
    <xf numFmtId="3" fontId="22" fillId="0" borderId="6" xfId="4" applyNumberFormat="1" applyFont="1" applyFill="1" applyBorder="1" applyAlignment="1" applyProtection="1">
      <alignment horizontal="center" wrapText="1"/>
      <protection locked="0"/>
    </xf>
    <xf numFmtId="3" fontId="22" fillId="0" borderId="10" xfId="4" applyNumberFormat="1" applyFont="1" applyFill="1" applyBorder="1" applyAlignment="1" applyProtection="1">
      <alignment horizontal="center" wrapText="1"/>
      <protection locked="0"/>
    </xf>
    <xf numFmtId="3" fontId="22" fillId="0" borderId="8" xfId="4" applyNumberFormat="1" applyFont="1" applyFill="1" applyBorder="1" applyAlignment="1" applyProtection="1">
      <alignment horizontal="center" wrapText="1"/>
      <protection locked="0"/>
    </xf>
    <xf numFmtId="3" fontId="22" fillId="14" borderId="11" xfId="4" applyNumberFormat="1" applyFont="1" applyFill="1" applyBorder="1" applyAlignment="1" applyProtection="1">
      <alignment horizontal="center" wrapText="1"/>
      <protection locked="0"/>
    </xf>
    <xf numFmtId="3" fontId="22" fillId="14" borderId="17" xfId="4" applyNumberFormat="1" applyFont="1" applyFill="1" applyBorder="1" applyAlignment="1" applyProtection="1">
      <alignment horizontal="center" wrapText="1"/>
      <protection locked="0"/>
    </xf>
  </cellXfs>
  <cellStyles count="13572">
    <cellStyle name="20% - Accent1 2" xfId="4398"/>
    <cellStyle name="20% - Accent2 2" xfId="4399"/>
    <cellStyle name="20% - Accent3 2" xfId="4400"/>
    <cellStyle name="20% - Accent4 2" xfId="4401"/>
    <cellStyle name="20% - Accent5 2" xfId="4402"/>
    <cellStyle name="20% - Accent6 2" xfId="4403"/>
    <cellStyle name="40% - Accent1 2" xfId="4404"/>
    <cellStyle name="40% - Accent2 2" xfId="4405"/>
    <cellStyle name="40% - Accent3 2" xfId="4406"/>
    <cellStyle name="40% - Accent4 2" xfId="4407"/>
    <cellStyle name="40% - Accent5 2" xfId="4408"/>
    <cellStyle name="40% - Accent6 2" xfId="4409"/>
    <cellStyle name="60% - Accent1 2" xfId="4410"/>
    <cellStyle name="60% - Accent2 2" xfId="4411"/>
    <cellStyle name="60% - Accent3 2" xfId="4412"/>
    <cellStyle name="60% - Accent4 2" xfId="4413"/>
    <cellStyle name="60% - Accent5 2" xfId="4414"/>
    <cellStyle name="60% - Accent6 2" xfId="4415"/>
    <cellStyle name="Accent1 2" xfId="4416"/>
    <cellStyle name="Accent2 2" xfId="4417"/>
    <cellStyle name="Accent3 2" xfId="4418"/>
    <cellStyle name="Accent4 2" xfId="4419"/>
    <cellStyle name="Accent5 2" xfId="4420"/>
    <cellStyle name="Accent6 2" xfId="4421"/>
    <cellStyle name="Bad 2" xfId="4422"/>
    <cellStyle name="Calculation 2" xfId="4423"/>
    <cellStyle name="Calculation 3" xfId="4447"/>
    <cellStyle name="Check Cell 2" xfId="4424"/>
    <cellStyle name="Comma" xfId="1" builtinId="3"/>
    <cellStyle name="Comma 2" xfId="7"/>
    <cellStyle name="Comma 2 2" xfId="126"/>
    <cellStyle name="Comma 2 3" xfId="103"/>
    <cellStyle name="Comma 2 4" xfId="4425"/>
    <cellStyle name="Comma 3" xfId="8"/>
    <cellStyle name="Comma 3 2" xfId="14"/>
    <cellStyle name="Comma 3 3" xfId="88"/>
    <cellStyle name="Comma 4" xfId="77"/>
    <cellStyle name="Comma 5" xfId="89"/>
    <cellStyle name="Comma 5 10" xfId="421"/>
    <cellStyle name="Comma 5 10 2" xfId="829"/>
    <cellStyle name="Comma 5 10 2 2" xfId="1889"/>
    <cellStyle name="Comma 5 10 2 2 2" xfId="9995"/>
    <cellStyle name="Comma 5 10 2 2 3" xfId="4977"/>
    <cellStyle name="Comma 5 10 2 3" xfId="6036"/>
    <cellStyle name="Comma 5 10 2 3 2" xfId="11052"/>
    <cellStyle name="Comma 5 10 2 4" xfId="9111"/>
    <cellStyle name="Comma 5 10 2 5" xfId="12506"/>
    <cellStyle name="Comma 5 10 2 6" xfId="7588"/>
    <cellStyle name="Comma 5 10 2 7" xfId="4042"/>
    <cellStyle name="Comma 5 10 3" xfId="1179"/>
    <cellStyle name="Comma 5 10 3 2" xfId="2238"/>
    <cellStyle name="Comma 5 10 3 2 2" xfId="10389"/>
    <cellStyle name="Comma 5 10 3 2 3" xfId="5372"/>
    <cellStyle name="Comma 5 10 3 3" xfId="6385"/>
    <cellStyle name="Comma 5 10 3 3 2" xfId="11400"/>
    <cellStyle name="Comma 5 10 3 4" xfId="9479"/>
    <cellStyle name="Comma 5 10 3 5" xfId="12854"/>
    <cellStyle name="Comma 5 10 3 6" xfId="7983"/>
    <cellStyle name="Comma 5 10 3 7" xfId="4461"/>
    <cellStyle name="Comma 5 10 4" xfId="2730"/>
    <cellStyle name="Comma 5 10 4 2" xfId="6770"/>
    <cellStyle name="Comma 5 10 4 2 2" xfId="11785"/>
    <cellStyle name="Comma 5 10 4 3" xfId="13239"/>
    <cellStyle name="Comma 5 10 4 4" xfId="9680"/>
    <cellStyle name="Comma 5 10 4 5" xfId="4662"/>
    <cellStyle name="Comma 5 10 5" xfId="1579"/>
    <cellStyle name="Comma 5 10 5 2" xfId="10740"/>
    <cellStyle name="Comma 5 10 5 3" xfId="5724"/>
    <cellStyle name="Comma 5 10 6" xfId="8796"/>
    <cellStyle name="Comma 5 10 7" xfId="12196"/>
    <cellStyle name="Comma 5 10 8" xfId="7273"/>
    <cellStyle name="Comma 5 10 9" xfId="3727"/>
    <cellStyle name="Comma 5 11" xfId="743"/>
    <cellStyle name="Comma 5 11 2" xfId="1888"/>
    <cellStyle name="Comma 5 11 2 2" xfId="9994"/>
    <cellStyle name="Comma 5 11 2 3" xfId="4976"/>
    <cellStyle name="Comma 5 11 3" xfId="6035"/>
    <cellStyle name="Comma 5 11 3 2" xfId="11051"/>
    <cellStyle name="Comma 5 11 4" xfId="9110"/>
    <cellStyle name="Comma 5 11 5" xfId="12505"/>
    <cellStyle name="Comma 5 11 6" xfId="7587"/>
    <cellStyle name="Comma 5 11 7" xfId="4041"/>
    <cellStyle name="Comma 5 12" xfId="1147"/>
    <cellStyle name="Comma 5 12 2" xfId="2237"/>
    <cellStyle name="Comma 5 12 2 2" xfId="10357"/>
    <cellStyle name="Comma 5 12 2 3" xfId="5340"/>
    <cellStyle name="Comma 5 12 3" xfId="6384"/>
    <cellStyle name="Comma 5 12 3 2" xfId="11399"/>
    <cellStyle name="Comma 5 12 4" xfId="8615"/>
    <cellStyle name="Comma 5 12 5" xfId="12853"/>
    <cellStyle name="Comma 5 12 6" xfId="7951"/>
    <cellStyle name="Comma 5 12 7" xfId="3537"/>
    <cellStyle name="Comma 5 13" xfId="2659"/>
    <cellStyle name="Comma 5 13 2" xfId="6738"/>
    <cellStyle name="Comma 5 13 2 2" xfId="11753"/>
    <cellStyle name="Comma 5 13 3" xfId="13207"/>
    <cellStyle name="Comma 5 13 4" xfId="9501"/>
    <cellStyle name="Comma 5 13 5" xfId="4483"/>
    <cellStyle name="Comma 5 14" xfId="1547"/>
    <cellStyle name="Comma 5 14 2" xfId="12164"/>
    <cellStyle name="Comma 5 14 3" xfId="10708"/>
    <cellStyle name="Comma 5 14 4" xfId="5692"/>
    <cellStyle name="Comma 5 15" xfId="1507"/>
    <cellStyle name="Comma 5 15 2" xfId="8303"/>
    <cellStyle name="Comma 5 16" xfId="12124"/>
    <cellStyle name="Comma 5 17" xfId="7095"/>
    <cellStyle name="Comma 5 18" xfId="3223"/>
    <cellStyle name="Comma 5 2" xfId="90"/>
    <cellStyle name="Comma 5 2 10" xfId="744"/>
    <cellStyle name="Comma 5 2 10 2" xfId="1890"/>
    <cellStyle name="Comma 5 2 10 2 2" xfId="9996"/>
    <cellStyle name="Comma 5 2 10 2 3" xfId="4978"/>
    <cellStyle name="Comma 5 2 10 3" xfId="6037"/>
    <cellStyle name="Comma 5 2 10 3 2" xfId="11053"/>
    <cellStyle name="Comma 5 2 10 4" xfId="9112"/>
    <cellStyle name="Comma 5 2 10 5" xfId="12507"/>
    <cellStyle name="Comma 5 2 10 6" xfId="7589"/>
    <cellStyle name="Comma 5 2 10 7" xfId="4043"/>
    <cellStyle name="Comma 5 2 11" xfId="1148"/>
    <cellStyle name="Comma 5 2 11 2" xfId="2239"/>
    <cellStyle name="Comma 5 2 11 2 2" xfId="10358"/>
    <cellStyle name="Comma 5 2 11 2 3" xfId="5341"/>
    <cellStyle name="Comma 5 2 11 3" xfId="6386"/>
    <cellStyle name="Comma 5 2 11 3 2" xfId="11401"/>
    <cellStyle name="Comma 5 2 11 4" xfId="8616"/>
    <cellStyle name="Comma 5 2 11 5" xfId="12855"/>
    <cellStyle name="Comma 5 2 11 6" xfId="7952"/>
    <cellStyle name="Comma 5 2 11 7" xfId="3538"/>
    <cellStyle name="Comma 5 2 12" xfId="2660"/>
    <cellStyle name="Comma 5 2 12 2" xfId="6739"/>
    <cellStyle name="Comma 5 2 12 2 2" xfId="11754"/>
    <cellStyle name="Comma 5 2 12 3" xfId="13208"/>
    <cellStyle name="Comma 5 2 12 4" xfId="9502"/>
    <cellStyle name="Comma 5 2 12 5" xfId="4484"/>
    <cellStyle name="Comma 5 2 13" xfId="1548"/>
    <cellStyle name="Comma 5 2 13 2" xfId="12165"/>
    <cellStyle name="Comma 5 2 13 3" xfId="10709"/>
    <cellStyle name="Comma 5 2 13 4" xfId="5693"/>
    <cellStyle name="Comma 5 2 14" xfId="1508"/>
    <cellStyle name="Comma 5 2 14 2" xfId="8304"/>
    <cellStyle name="Comma 5 2 15" xfId="12125"/>
    <cellStyle name="Comma 5 2 16" xfId="7096"/>
    <cellStyle name="Comma 5 2 17" xfId="3224"/>
    <cellStyle name="Comma 5 2 2" xfId="137"/>
    <cellStyle name="Comma 5 2 2 10" xfId="1560"/>
    <cellStyle name="Comma 5 2 2 10 2" xfId="12177"/>
    <cellStyle name="Comma 5 2 2 10 3" xfId="10721"/>
    <cellStyle name="Comma 5 2 2 10 4" xfId="5705"/>
    <cellStyle name="Comma 5 2 2 11" xfId="1530"/>
    <cellStyle name="Comma 5 2 2 11 2" xfId="8329"/>
    <cellStyle name="Comma 5 2 2 12" xfId="12147"/>
    <cellStyle name="Comma 5 2 2 13" xfId="7109"/>
    <cellStyle name="Comma 5 2 2 14" xfId="3251"/>
    <cellStyle name="Comma 5 2 2 2" xfId="178"/>
    <cellStyle name="Comma 5 2 2 2 10" xfId="12279"/>
    <cellStyle name="Comma 5 2 2 2 11" xfId="7139"/>
    <cellStyle name="Comma 5 2 2 2 12" xfId="3308"/>
    <cellStyle name="Comma 5 2 2 2 2" xfId="353"/>
    <cellStyle name="Comma 5 2 2 2 2 10" xfId="3512"/>
    <cellStyle name="Comma 5 2 2 2 2 2" xfId="708"/>
    <cellStyle name="Comma 5 2 2 2 2 2 2" xfId="1893"/>
    <cellStyle name="Comma 5 2 2 2 2 2 2 2" xfId="9967"/>
    <cellStyle name="Comma 5 2 2 2 2 2 2 3" xfId="4949"/>
    <cellStyle name="Comma 5 2 2 2 2 2 3" xfId="6040"/>
    <cellStyle name="Comma 5 2 2 2 2 2 3 2" xfId="11056"/>
    <cellStyle name="Comma 5 2 2 2 2 2 4" xfId="9083"/>
    <cellStyle name="Comma 5 2 2 2 2 2 5" xfId="12510"/>
    <cellStyle name="Comma 5 2 2 2 2 2 6" xfId="7560"/>
    <cellStyle name="Comma 5 2 2 2 2 2 7" xfId="4014"/>
    <cellStyle name="Comma 5 2 2 2 2 3" xfId="1117"/>
    <cellStyle name="Comma 5 2 2 2 2 3 2" xfId="2242"/>
    <cellStyle name="Comma 5 2 2 2 2 3 2 2" xfId="9999"/>
    <cellStyle name="Comma 5 2 2 2 2 3 2 3" xfId="4981"/>
    <cellStyle name="Comma 5 2 2 2 2 3 3" xfId="6389"/>
    <cellStyle name="Comma 5 2 2 2 2 3 3 2" xfId="11404"/>
    <cellStyle name="Comma 5 2 2 2 2 3 4" xfId="9115"/>
    <cellStyle name="Comma 5 2 2 2 2 3 5" xfId="12858"/>
    <cellStyle name="Comma 5 2 2 2 2 3 6" xfId="7592"/>
    <cellStyle name="Comma 5 2 2 2 2 3 7" xfId="4046"/>
    <cellStyle name="Comma 5 2 2 2 2 4" xfId="1475"/>
    <cellStyle name="Comma 5 2 2 2 2 4 2" xfId="3034"/>
    <cellStyle name="Comma 5 2 2 2 2 4 2 2" xfId="10676"/>
    <cellStyle name="Comma 5 2 2 2 2 4 2 3" xfId="5659"/>
    <cellStyle name="Comma 5 2 2 2 2 4 3" xfId="7057"/>
    <cellStyle name="Comma 5 2 2 2 2 4 3 2" xfId="12072"/>
    <cellStyle name="Comma 5 2 2 2 2 4 4" xfId="8764"/>
    <cellStyle name="Comma 5 2 2 2 2 4 5" xfId="13526"/>
    <cellStyle name="Comma 5 2 2 2 2 4 6" xfId="8270"/>
    <cellStyle name="Comma 5 2 2 2 2 4 7" xfId="3694"/>
    <cellStyle name="Comma 5 2 2 2 2 5" xfId="1866"/>
    <cellStyle name="Comma 5 2 2 2 2 5 2" xfId="9650"/>
    <cellStyle name="Comma 5 2 2 2 2 5 3" xfId="4632"/>
    <cellStyle name="Comma 5 2 2 2 2 6" xfId="6013"/>
    <cellStyle name="Comma 5 2 2 2 2 6 2" xfId="11029"/>
    <cellStyle name="Comma 5 2 2 2 2 7" xfId="8590"/>
    <cellStyle name="Comma 5 2 2 2 2 8" xfId="12483"/>
    <cellStyle name="Comma 5 2 2 2 2 9" xfId="7243"/>
    <cellStyle name="Comma 5 2 2 2 3" xfId="604"/>
    <cellStyle name="Comma 5 2 2 2 3 2" xfId="1013"/>
    <cellStyle name="Comma 5 2 2 2 3 2 2" xfId="1894"/>
    <cellStyle name="Comma 5 2 2 2 3 2 2 2" xfId="10000"/>
    <cellStyle name="Comma 5 2 2 2 3 2 2 3" xfId="4982"/>
    <cellStyle name="Comma 5 2 2 2 3 2 3" xfId="6041"/>
    <cellStyle name="Comma 5 2 2 2 3 2 3 2" xfId="11057"/>
    <cellStyle name="Comma 5 2 2 2 3 2 4" xfId="9116"/>
    <cellStyle name="Comma 5 2 2 2 3 2 5" xfId="12511"/>
    <cellStyle name="Comma 5 2 2 2 3 2 6" xfId="7593"/>
    <cellStyle name="Comma 5 2 2 2 3 2 7" xfId="4047"/>
    <cellStyle name="Comma 5 2 2 2 3 3" xfId="1369"/>
    <cellStyle name="Comma 5 2 2 2 3 3 2" xfId="2243"/>
    <cellStyle name="Comma 5 2 2 2 3 3 2 2" xfId="10572"/>
    <cellStyle name="Comma 5 2 2 2 3 3 2 3" xfId="5555"/>
    <cellStyle name="Comma 5 2 2 2 3 3 3" xfId="6390"/>
    <cellStyle name="Comma 5 2 2 2 3 3 3 2" xfId="11405"/>
    <cellStyle name="Comma 5 2 2 2 3 3 4" xfId="8979"/>
    <cellStyle name="Comma 5 2 2 2 3 3 5" xfId="12859"/>
    <cellStyle name="Comma 5 2 2 2 3 3 6" xfId="8166"/>
    <cellStyle name="Comma 5 2 2 2 3 3 7" xfId="3910"/>
    <cellStyle name="Comma 5 2 2 2 3 4" xfId="2927"/>
    <cellStyle name="Comma 5 2 2 2 3 4 2" xfId="6953"/>
    <cellStyle name="Comma 5 2 2 2 3 4 2 2" xfId="11968"/>
    <cellStyle name="Comma 5 2 2 2 3 4 3" xfId="13422"/>
    <cellStyle name="Comma 5 2 2 2 3 4 4" xfId="9863"/>
    <cellStyle name="Comma 5 2 2 2 3 4 5" xfId="4845"/>
    <cellStyle name="Comma 5 2 2 2 3 5" xfId="1762"/>
    <cellStyle name="Comma 5 2 2 2 3 5 2" xfId="10925"/>
    <cellStyle name="Comma 5 2 2 2 3 5 3" xfId="5909"/>
    <cellStyle name="Comma 5 2 2 2 3 6" xfId="8486"/>
    <cellStyle name="Comma 5 2 2 2 3 7" xfId="12379"/>
    <cellStyle name="Comma 5 2 2 2 3 8" xfId="7456"/>
    <cellStyle name="Comma 5 2 2 2 3 9" xfId="3408"/>
    <cellStyle name="Comma 5 2 2 2 4" xfId="504"/>
    <cellStyle name="Comma 5 2 2 2 4 2" xfId="913"/>
    <cellStyle name="Comma 5 2 2 2 4 2 2" xfId="9763"/>
    <cellStyle name="Comma 5 2 2 2 4 2 3" xfId="4745"/>
    <cellStyle name="Comma 5 2 2 2 4 3" xfId="1892"/>
    <cellStyle name="Comma 5 2 2 2 4 3 2" xfId="11055"/>
    <cellStyle name="Comma 5 2 2 2 4 3 3" xfId="6039"/>
    <cellStyle name="Comma 5 2 2 2 4 4" xfId="8879"/>
    <cellStyle name="Comma 5 2 2 2 4 5" xfId="12509"/>
    <cellStyle name="Comma 5 2 2 2 4 6" xfId="7356"/>
    <cellStyle name="Comma 5 2 2 2 4 7" xfId="3810"/>
    <cellStyle name="Comma 5 2 2 2 5" xfId="780"/>
    <cellStyle name="Comma 5 2 2 2 5 2" xfId="2241"/>
    <cellStyle name="Comma 5 2 2 2 5 2 2" xfId="9998"/>
    <cellStyle name="Comma 5 2 2 2 5 2 3" xfId="4980"/>
    <cellStyle name="Comma 5 2 2 2 5 3" xfId="6388"/>
    <cellStyle name="Comma 5 2 2 2 5 3 2" xfId="11403"/>
    <cellStyle name="Comma 5 2 2 2 5 4" xfId="9114"/>
    <cellStyle name="Comma 5 2 2 2 5 5" xfId="12857"/>
    <cellStyle name="Comma 5 2 2 2 5 6" xfId="7591"/>
    <cellStyle name="Comma 5 2 2 2 5 7" xfId="4045"/>
    <cellStyle name="Comma 5 2 2 2 6" xfId="1268"/>
    <cellStyle name="Comma 5 2 2 2 6 2" xfId="2825"/>
    <cellStyle name="Comma 5 2 2 2 6 2 2" xfId="10472"/>
    <cellStyle name="Comma 5 2 2 2 6 2 3" xfId="5455"/>
    <cellStyle name="Comma 5 2 2 2 6 3" xfId="6853"/>
    <cellStyle name="Comma 5 2 2 2 6 3 2" xfId="11868"/>
    <cellStyle name="Comma 5 2 2 2 6 4" xfId="8660"/>
    <cellStyle name="Comma 5 2 2 2 6 5" xfId="13322"/>
    <cellStyle name="Comma 5 2 2 2 6 6" xfId="8066"/>
    <cellStyle name="Comma 5 2 2 2 6 7" xfId="3587"/>
    <cellStyle name="Comma 5 2 2 2 7" xfId="1662"/>
    <cellStyle name="Comma 5 2 2 2 7 2" xfId="9546"/>
    <cellStyle name="Comma 5 2 2 2 7 3" xfId="4528"/>
    <cellStyle name="Comma 5 2 2 2 8" xfId="5809"/>
    <cellStyle name="Comma 5 2 2 2 8 2" xfId="10825"/>
    <cellStyle name="Comma 5 2 2 2 9" xfId="8386"/>
    <cellStyle name="Comma 5 2 2 3" xfId="204"/>
    <cellStyle name="Comma 5 2 2 3 10" xfId="7182"/>
    <cellStyle name="Comma 5 2 2 3 11" xfId="3351"/>
    <cellStyle name="Comma 5 2 2 3 2" xfId="397"/>
    <cellStyle name="Comma 5 2 2 3 2 2" xfId="647"/>
    <cellStyle name="Comma 5 2 2 3 2 2 2" xfId="1896"/>
    <cellStyle name="Comma 5 2 2 3 2 2 2 2" xfId="10002"/>
    <cellStyle name="Comma 5 2 2 3 2 2 2 3" xfId="4984"/>
    <cellStyle name="Comma 5 2 2 3 2 2 3" xfId="6043"/>
    <cellStyle name="Comma 5 2 2 3 2 2 3 2" xfId="11059"/>
    <cellStyle name="Comma 5 2 2 3 2 2 4" xfId="9118"/>
    <cellStyle name="Comma 5 2 2 3 2 2 5" xfId="12513"/>
    <cellStyle name="Comma 5 2 2 3 2 2 6" xfId="7595"/>
    <cellStyle name="Comma 5 2 2 3 2 2 7" xfId="4049"/>
    <cellStyle name="Comma 5 2 2 3 2 3" xfId="1056"/>
    <cellStyle name="Comma 5 2 2 3 2 3 2" xfId="2245"/>
    <cellStyle name="Comma 5 2 2 3 2 3 2 2" xfId="10615"/>
    <cellStyle name="Comma 5 2 2 3 2 3 2 3" xfId="5598"/>
    <cellStyle name="Comma 5 2 2 3 2 3 3" xfId="6392"/>
    <cellStyle name="Comma 5 2 2 3 2 3 3 2" xfId="11407"/>
    <cellStyle name="Comma 5 2 2 3 2 3 4" xfId="9022"/>
    <cellStyle name="Comma 5 2 2 3 2 3 5" xfId="12861"/>
    <cellStyle name="Comma 5 2 2 3 2 3 6" xfId="8209"/>
    <cellStyle name="Comma 5 2 2 3 2 3 7" xfId="3953"/>
    <cellStyle name="Comma 5 2 2 3 2 4" xfId="1414"/>
    <cellStyle name="Comma 5 2 2 3 2 4 2" xfId="2972"/>
    <cellStyle name="Comma 5 2 2 3 2 4 2 2" xfId="12011"/>
    <cellStyle name="Comma 5 2 2 3 2 4 2 3" xfId="6996"/>
    <cellStyle name="Comma 5 2 2 3 2 4 3" xfId="13465"/>
    <cellStyle name="Comma 5 2 2 3 2 4 4" xfId="9906"/>
    <cellStyle name="Comma 5 2 2 3 2 4 5" xfId="4888"/>
    <cellStyle name="Comma 5 2 2 3 2 5" xfId="1805"/>
    <cellStyle name="Comma 5 2 2 3 2 5 2" xfId="10968"/>
    <cellStyle name="Comma 5 2 2 3 2 5 3" xfId="5952"/>
    <cellStyle name="Comma 5 2 2 3 2 6" xfId="8529"/>
    <cellStyle name="Comma 5 2 2 3 2 7" xfId="12422"/>
    <cellStyle name="Comma 5 2 2 3 2 8" xfId="7499"/>
    <cellStyle name="Comma 5 2 2 3 2 9" xfId="3451"/>
    <cellStyle name="Comma 5 2 2 3 3" xfId="547"/>
    <cellStyle name="Comma 5 2 2 3 3 2" xfId="956"/>
    <cellStyle name="Comma 5 2 2 3 3 2 2" xfId="9806"/>
    <cellStyle name="Comma 5 2 2 3 3 2 3" xfId="4788"/>
    <cellStyle name="Comma 5 2 2 3 3 3" xfId="1895"/>
    <cellStyle name="Comma 5 2 2 3 3 3 2" xfId="11058"/>
    <cellStyle name="Comma 5 2 2 3 3 3 3" xfId="6042"/>
    <cellStyle name="Comma 5 2 2 3 3 4" xfId="8922"/>
    <cellStyle name="Comma 5 2 2 3 3 5" xfId="12512"/>
    <cellStyle name="Comma 5 2 2 3 3 6" xfId="7399"/>
    <cellStyle name="Comma 5 2 2 3 3 7" xfId="3853"/>
    <cellStyle name="Comma 5 2 2 3 4" xfId="810"/>
    <cellStyle name="Comma 5 2 2 3 4 2" xfId="2244"/>
    <cellStyle name="Comma 5 2 2 3 4 2 2" xfId="10001"/>
    <cellStyle name="Comma 5 2 2 3 4 2 3" xfId="4983"/>
    <cellStyle name="Comma 5 2 2 3 4 3" xfId="6391"/>
    <cellStyle name="Comma 5 2 2 3 4 3 2" xfId="11406"/>
    <cellStyle name="Comma 5 2 2 3 4 4" xfId="9117"/>
    <cellStyle name="Comma 5 2 2 3 4 5" xfId="12860"/>
    <cellStyle name="Comma 5 2 2 3 4 6" xfId="7594"/>
    <cellStyle name="Comma 5 2 2 3 4 7" xfId="4048"/>
    <cellStyle name="Comma 5 2 2 3 5" xfId="1312"/>
    <cellStyle name="Comma 5 2 2 3 5 2" xfId="2870"/>
    <cellStyle name="Comma 5 2 2 3 5 2 2" xfId="10515"/>
    <cellStyle name="Comma 5 2 2 3 5 2 3" xfId="5498"/>
    <cellStyle name="Comma 5 2 2 3 5 3" xfId="6896"/>
    <cellStyle name="Comma 5 2 2 3 5 3 2" xfId="11911"/>
    <cellStyle name="Comma 5 2 2 3 5 4" xfId="8703"/>
    <cellStyle name="Comma 5 2 2 3 5 5" xfId="13365"/>
    <cellStyle name="Comma 5 2 2 3 5 6" xfId="8109"/>
    <cellStyle name="Comma 5 2 2 3 5 7" xfId="3633"/>
    <cellStyle name="Comma 5 2 2 3 6" xfId="1705"/>
    <cellStyle name="Comma 5 2 2 3 6 2" xfId="9589"/>
    <cellStyle name="Comma 5 2 2 3 6 3" xfId="4571"/>
    <cellStyle name="Comma 5 2 2 3 7" xfId="5852"/>
    <cellStyle name="Comma 5 2 2 3 7 2" xfId="10868"/>
    <cellStyle name="Comma 5 2 2 3 8" xfId="8429"/>
    <cellStyle name="Comma 5 2 2 3 9" xfId="12322"/>
    <cellStyle name="Comma 5 2 2 4" xfId="240"/>
    <cellStyle name="Comma 5 2 2 4 10" xfId="7214"/>
    <cellStyle name="Comma 5 2 2 4 11" xfId="3278"/>
    <cellStyle name="Comma 5 2 2 4 2" xfId="322"/>
    <cellStyle name="Comma 5 2 2 4 2 2" xfId="679"/>
    <cellStyle name="Comma 5 2 2 4 2 2 2" xfId="1898"/>
    <cellStyle name="Comma 5 2 2 4 2 2 2 2" xfId="10004"/>
    <cellStyle name="Comma 5 2 2 4 2 2 2 3" xfId="4986"/>
    <cellStyle name="Comma 5 2 2 4 2 2 3" xfId="6045"/>
    <cellStyle name="Comma 5 2 2 4 2 2 3 2" xfId="11061"/>
    <cellStyle name="Comma 5 2 2 4 2 2 4" xfId="9120"/>
    <cellStyle name="Comma 5 2 2 4 2 2 5" xfId="12515"/>
    <cellStyle name="Comma 5 2 2 4 2 2 6" xfId="7597"/>
    <cellStyle name="Comma 5 2 2 4 2 2 7" xfId="4051"/>
    <cellStyle name="Comma 5 2 2 4 2 3" xfId="1088"/>
    <cellStyle name="Comma 5 2 2 4 2 3 2" xfId="2247"/>
    <cellStyle name="Comma 5 2 2 4 2 3 2 2" xfId="10647"/>
    <cellStyle name="Comma 5 2 2 4 2 3 2 3" xfId="5630"/>
    <cellStyle name="Comma 5 2 2 4 2 3 3" xfId="6394"/>
    <cellStyle name="Comma 5 2 2 4 2 3 3 2" xfId="11409"/>
    <cellStyle name="Comma 5 2 2 4 2 3 4" xfId="9054"/>
    <cellStyle name="Comma 5 2 2 4 2 3 5" xfId="12863"/>
    <cellStyle name="Comma 5 2 2 4 2 3 6" xfId="8241"/>
    <cellStyle name="Comma 5 2 2 4 2 3 7" xfId="3985"/>
    <cellStyle name="Comma 5 2 2 4 2 4" xfId="1446"/>
    <cellStyle name="Comma 5 2 2 4 2 4 2" xfId="3005"/>
    <cellStyle name="Comma 5 2 2 4 2 4 2 2" xfId="12043"/>
    <cellStyle name="Comma 5 2 2 4 2 4 2 3" xfId="7028"/>
    <cellStyle name="Comma 5 2 2 4 2 4 3" xfId="13497"/>
    <cellStyle name="Comma 5 2 2 4 2 4 4" xfId="9938"/>
    <cellStyle name="Comma 5 2 2 4 2 4 5" xfId="4920"/>
    <cellStyle name="Comma 5 2 2 4 2 5" xfId="1837"/>
    <cellStyle name="Comma 5 2 2 4 2 5 2" xfId="11000"/>
    <cellStyle name="Comma 5 2 2 4 2 5 3" xfId="5984"/>
    <cellStyle name="Comma 5 2 2 4 2 6" xfId="8561"/>
    <cellStyle name="Comma 5 2 2 4 2 7" xfId="12454"/>
    <cellStyle name="Comma 5 2 2 4 2 8" xfId="7531"/>
    <cellStyle name="Comma 5 2 2 4 2 9" xfId="3483"/>
    <cellStyle name="Comma 5 2 2 4 3" xfId="474"/>
    <cellStyle name="Comma 5 2 2 4 3 2" xfId="1897"/>
    <cellStyle name="Comma 5 2 2 4 3 2 2" xfId="9733"/>
    <cellStyle name="Comma 5 2 2 4 3 2 3" xfId="4715"/>
    <cellStyle name="Comma 5 2 2 4 3 3" xfId="6044"/>
    <cellStyle name="Comma 5 2 2 4 3 3 2" xfId="11060"/>
    <cellStyle name="Comma 5 2 2 4 3 4" xfId="8849"/>
    <cellStyle name="Comma 5 2 2 4 3 5" xfId="12514"/>
    <cellStyle name="Comma 5 2 2 4 3 6" xfId="7326"/>
    <cellStyle name="Comma 5 2 2 4 3 7" xfId="3780"/>
    <cellStyle name="Comma 5 2 2 4 4" xfId="883"/>
    <cellStyle name="Comma 5 2 2 4 4 2" xfId="2246"/>
    <cellStyle name="Comma 5 2 2 4 4 2 2" xfId="10003"/>
    <cellStyle name="Comma 5 2 2 4 4 2 3" xfId="4985"/>
    <cellStyle name="Comma 5 2 2 4 4 3" xfId="6393"/>
    <cellStyle name="Comma 5 2 2 4 4 3 2" xfId="11408"/>
    <cellStyle name="Comma 5 2 2 4 4 4" xfId="9119"/>
    <cellStyle name="Comma 5 2 2 4 4 5" xfId="12862"/>
    <cellStyle name="Comma 5 2 2 4 4 6" xfId="7596"/>
    <cellStyle name="Comma 5 2 2 4 4 7" xfId="4050"/>
    <cellStyle name="Comma 5 2 2 4 5" xfId="1235"/>
    <cellStyle name="Comma 5 2 2 4 5 2" xfId="2791"/>
    <cellStyle name="Comma 5 2 2 4 5 2 2" xfId="10442"/>
    <cellStyle name="Comma 5 2 2 4 5 2 3" xfId="5425"/>
    <cellStyle name="Comma 5 2 2 4 5 3" xfId="6823"/>
    <cellStyle name="Comma 5 2 2 4 5 3 2" xfId="11838"/>
    <cellStyle name="Comma 5 2 2 4 5 4" xfId="8735"/>
    <cellStyle name="Comma 5 2 2 4 5 5" xfId="13292"/>
    <cellStyle name="Comma 5 2 2 4 5 6" xfId="8036"/>
    <cellStyle name="Comma 5 2 2 4 5 7" xfId="3665"/>
    <cellStyle name="Comma 5 2 2 4 6" xfId="1632"/>
    <cellStyle name="Comma 5 2 2 4 6 2" xfId="9621"/>
    <cellStyle name="Comma 5 2 2 4 6 3" xfId="4603"/>
    <cellStyle name="Comma 5 2 2 4 7" xfId="5779"/>
    <cellStyle name="Comma 5 2 2 4 7 2" xfId="10795"/>
    <cellStyle name="Comma 5 2 2 4 8" xfId="8356"/>
    <cellStyle name="Comma 5 2 2 4 9" xfId="12249"/>
    <cellStyle name="Comma 5 2 2 5" xfId="293"/>
    <cellStyle name="Comma 5 2 2 5 2" xfId="574"/>
    <cellStyle name="Comma 5 2 2 5 2 2" xfId="1899"/>
    <cellStyle name="Comma 5 2 2 5 2 2 2" xfId="10005"/>
    <cellStyle name="Comma 5 2 2 5 2 2 3" xfId="4987"/>
    <cellStyle name="Comma 5 2 2 5 2 3" xfId="6046"/>
    <cellStyle name="Comma 5 2 2 5 2 3 2" xfId="11062"/>
    <cellStyle name="Comma 5 2 2 5 2 4" xfId="9121"/>
    <cellStyle name="Comma 5 2 2 5 2 5" xfId="12516"/>
    <cellStyle name="Comma 5 2 2 5 2 6" xfId="7598"/>
    <cellStyle name="Comma 5 2 2 5 2 7" xfId="4052"/>
    <cellStyle name="Comma 5 2 2 5 3" xfId="983"/>
    <cellStyle name="Comma 5 2 2 5 3 2" xfId="2248"/>
    <cellStyle name="Comma 5 2 2 5 3 2 2" xfId="10542"/>
    <cellStyle name="Comma 5 2 2 5 3 2 3" xfId="5525"/>
    <cellStyle name="Comma 5 2 2 5 3 3" xfId="6395"/>
    <cellStyle name="Comma 5 2 2 5 3 3 2" xfId="11410"/>
    <cellStyle name="Comma 5 2 2 5 3 4" xfId="8949"/>
    <cellStyle name="Comma 5 2 2 5 3 5" xfId="12864"/>
    <cellStyle name="Comma 5 2 2 5 3 6" xfId="8136"/>
    <cellStyle name="Comma 5 2 2 5 3 7" xfId="3880"/>
    <cellStyle name="Comma 5 2 2 5 4" xfId="1339"/>
    <cellStyle name="Comma 5 2 2 5 4 2" xfId="2897"/>
    <cellStyle name="Comma 5 2 2 5 4 2 2" xfId="11938"/>
    <cellStyle name="Comma 5 2 2 5 4 2 3" xfId="6923"/>
    <cellStyle name="Comma 5 2 2 5 4 3" xfId="13392"/>
    <cellStyle name="Comma 5 2 2 5 4 4" xfId="9833"/>
    <cellStyle name="Comma 5 2 2 5 4 5" xfId="4815"/>
    <cellStyle name="Comma 5 2 2 5 5" xfId="1732"/>
    <cellStyle name="Comma 5 2 2 5 5 2" xfId="10895"/>
    <cellStyle name="Comma 5 2 2 5 5 3" xfId="5879"/>
    <cellStyle name="Comma 5 2 2 5 6" xfId="8456"/>
    <cellStyle name="Comma 5 2 2 5 7" xfId="12349"/>
    <cellStyle name="Comma 5 2 2 5 8" xfId="7426"/>
    <cellStyle name="Comma 5 2 2 5 9" xfId="3378"/>
    <cellStyle name="Comma 5 2 2 6" xfId="447"/>
    <cellStyle name="Comma 5 2 2 6 2" xfId="856"/>
    <cellStyle name="Comma 5 2 2 6 2 2" xfId="1900"/>
    <cellStyle name="Comma 5 2 2 6 2 2 2" xfId="10006"/>
    <cellStyle name="Comma 5 2 2 6 2 2 3" xfId="4988"/>
    <cellStyle name="Comma 5 2 2 6 2 3" xfId="6047"/>
    <cellStyle name="Comma 5 2 2 6 2 3 2" xfId="11063"/>
    <cellStyle name="Comma 5 2 2 6 2 4" xfId="9122"/>
    <cellStyle name="Comma 5 2 2 6 2 5" xfId="12517"/>
    <cellStyle name="Comma 5 2 2 6 2 6" xfId="7599"/>
    <cellStyle name="Comma 5 2 2 6 2 7" xfId="4053"/>
    <cellStyle name="Comma 5 2 2 6 3" xfId="1206"/>
    <cellStyle name="Comma 5 2 2 6 3 2" xfId="2249"/>
    <cellStyle name="Comma 5 2 2 6 3 2 2" xfId="10415"/>
    <cellStyle name="Comma 5 2 2 6 3 2 3" xfId="5398"/>
    <cellStyle name="Comma 5 2 2 6 3 3" xfId="6396"/>
    <cellStyle name="Comma 5 2 2 6 3 3 2" xfId="11411"/>
    <cellStyle name="Comma 5 2 2 6 3 4" xfId="9470"/>
    <cellStyle name="Comma 5 2 2 6 3 5" xfId="12865"/>
    <cellStyle name="Comma 5 2 2 6 3 6" xfId="8009"/>
    <cellStyle name="Comma 5 2 2 6 3 7" xfId="4452"/>
    <cellStyle name="Comma 5 2 2 6 4" xfId="2760"/>
    <cellStyle name="Comma 5 2 2 6 4 2" xfId="6796"/>
    <cellStyle name="Comma 5 2 2 6 4 2 2" xfId="11811"/>
    <cellStyle name="Comma 5 2 2 6 4 3" xfId="13265"/>
    <cellStyle name="Comma 5 2 2 6 4 4" xfId="9706"/>
    <cellStyle name="Comma 5 2 2 6 4 5" xfId="4688"/>
    <cellStyle name="Comma 5 2 2 6 5" xfId="1605"/>
    <cellStyle name="Comma 5 2 2 6 5 2" xfId="10766"/>
    <cellStyle name="Comma 5 2 2 6 5 3" xfId="5750"/>
    <cellStyle name="Comma 5 2 2 6 6" xfId="8822"/>
    <cellStyle name="Comma 5 2 2 6 7" xfId="12222"/>
    <cellStyle name="Comma 5 2 2 6 8" xfId="7299"/>
    <cellStyle name="Comma 5 2 2 6 9" xfId="3753"/>
    <cellStyle name="Comma 5 2 2 7" xfId="756"/>
    <cellStyle name="Comma 5 2 2 7 2" xfId="1891"/>
    <cellStyle name="Comma 5 2 2 7 2 2" xfId="9997"/>
    <cellStyle name="Comma 5 2 2 7 2 3" xfId="4979"/>
    <cellStyle name="Comma 5 2 2 7 3" xfId="6038"/>
    <cellStyle name="Comma 5 2 2 7 3 2" xfId="11054"/>
    <cellStyle name="Comma 5 2 2 7 4" xfId="9113"/>
    <cellStyle name="Comma 5 2 2 7 5" xfId="12508"/>
    <cellStyle name="Comma 5 2 2 7 6" xfId="7590"/>
    <cellStyle name="Comma 5 2 2 7 7" xfId="4044"/>
    <cellStyle name="Comma 5 2 2 8" xfId="1160"/>
    <cellStyle name="Comma 5 2 2 8 2" xfId="2240"/>
    <cellStyle name="Comma 5 2 2 8 2 2" xfId="10370"/>
    <cellStyle name="Comma 5 2 2 8 2 3" xfId="5353"/>
    <cellStyle name="Comma 5 2 2 8 3" xfId="6387"/>
    <cellStyle name="Comma 5 2 2 8 3 2" xfId="11402"/>
    <cellStyle name="Comma 5 2 2 8 4" xfId="8629"/>
    <cellStyle name="Comma 5 2 2 8 5" xfId="12856"/>
    <cellStyle name="Comma 5 2 2 8 6" xfId="7964"/>
    <cellStyle name="Comma 5 2 2 8 7" xfId="3553"/>
    <cellStyle name="Comma 5 2 2 9" xfId="2709"/>
    <cellStyle name="Comma 5 2 2 9 2" xfId="6751"/>
    <cellStyle name="Comma 5 2 2 9 2 2" xfId="11766"/>
    <cellStyle name="Comma 5 2 2 9 3" xfId="13220"/>
    <cellStyle name="Comma 5 2 2 9 4" xfId="9515"/>
    <cellStyle name="Comma 5 2 2 9 5" xfId="4497"/>
    <cellStyle name="Comma 5 2 3" xfId="152"/>
    <cellStyle name="Comma 5 2 3 10" xfId="1568"/>
    <cellStyle name="Comma 5 2 3 10 2" xfId="12185"/>
    <cellStyle name="Comma 5 2 3 10 3" xfId="10729"/>
    <cellStyle name="Comma 5 2 3 10 4" xfId="5713"/>
    <cellStyle name="Comma 5 2 3 11" xfId="1538"/>
    <cellStyle name="Comma 5 2 3 11 2" xfId="8337"/>
    <cellStyle name="Comma 5 2 3 12" xfId="12155"/>
    <cellStyle name="Comma 5 2 3 13" xfId="7115"/>
    <cellStyle name="Comma 5 2 3 14" xfId="3259"/>
    <cellStyle name="Comma 5 2 3 2" xfId="212"/>
    <cellStyle name="Comma 5 2 3 2 10" xfId="12287"/>
    <cellStyle name="Comma 5 2 3 2 11" xfId="7147"/>
    <cellStyle name="Comma 5 2 3 2 12" xfId="3316"/>
    <cellStyle name="Comma 5 2 3 2 2" xfId="361"/>
    <cellStyle name="Comma 5 2 3 2 2 10" xfId="3520"/>
    <cellStyle name="Comma 5 2 3 2 2 2" xfId="716"/>
    <cellStyle name="Comma 5 2 3 2 2 2 2" xfId="1903"/>
    <cellStyle name="Comma 5 2 3 2 2 2 2 2" xfId="9975"/>
    <cellStyle name="Comma 5 2 3 2 2 2 2 3" xfId="4957"/>
    <cellStyle name="Comma 5 2 3 2 2 2 3" xfId="6050"/>
    <cellStyle name="Comma 5 2 3 2 2 2 3 2" xfId="11066"/>
    <cellStyle name="Comma 5 2 3 2 2 2 4" xfId="9091"/>
    <cellStyle name="Comma 5 2 3 2 2 2 5" xfId="12520"/>
    <cellStyle name="Comma 5 2 3 2 2 2 6" xfId="7568"/>
    <cellStyle name="Comma 5 2 3 2 2 2 7" xfId="4022"/>
    <cellStyle name="Comma 5 2 3 2 2 3" xfId="1125"/>
    <cellStyle name="Comma 5 2 3 2 2 3 2" xfId="2252"/>
    <cellStyle name="Comma 5 2 3 2 2 3 2 2" xfId="10009"/>
    <cellStyle name="Comma 5 2 3 2 2 3 2 3" xfId="4991"/>
    <cellStyle name="Comma 5 2 3 2 2 3 3" xfId="6399"/>
    <cellStyle name="Comma 5 2 3 2 2 3 3 2" xfId="11414"/>
    <cellStyle name="Comma 5 2 3 2 2 3 4" xfId="9125"/>
    <cellStyle name="Comma 5 2 3 2 2 3 5" xfId="12868"/>
    <cellStyle name="Comma 5 2 3 2 2 3 6" xfId="7602"/>
    <cellStyle name="Comma 5 2 3 2 2 3 7" xfId="4056"/>
    <cellStyle name="Comma 5 2 3 2 2 4" xfId="1483"/>
    <cellStyle name="Comma 5 2 3 2 2 4 2" xfId="3042"/>
    <cellStyle name="Comma 5 2 3 2 2 4 2 2" xfId="10684"/>
    <cellStyle name="Comma 5 2 3 2 2 4 2 3" xfId="5667"/>
    <cellStyle name="Comma 5 2 3 2 2 4 3" xfId="7065"/>
    <cellStyle name="Comma 5 2 3 2 2 4 3 2" xfId="12080"/>
    <cellStyle name="Comma 5 2 3 2 2 4 4" xfId="8772"/>
    <cellStyle name="Comma 5 2 3 2 2 4 5" xfId="13534"/>
    <cellStyle name="Comma 5 2 3 2 2 4 6" xfId="8278"/>
    <cellStyle name="Comma 5 2 3 2 2 4 7" xfId="3702"/>
    <cellStyle name="Comma 5 2 3 2 2 5" xfId="1874"/>
    <cellStyle name="Comma 5 2 3 2 2 5 2" xfId="9658"/>
    <cellStyle name="Comma 5 2 3 2 2 5 3" xfId="4640"/>
    <cellStyle name="Comma 5 2 3 2 2 6" xfId="6021"/>
    <cellStyle name="Comma 5 2 3 2 2 6 2" xfId="11037"/>
    <cellStyle name="Comma 5 2 3 2 2 7" xfId="8598"/>
    <cellStyle name="Comma 5 2 3 2 2 8" xfId="12491"/>
    <cellStyle name="Comma 5 2 3 2 2 9" xfId="7251"/>
    <cellStyle name="Comma 5 2 3 2 3" xfId="612"/>
    <cellStyle name="Comma 5 2 3 2 3 2" xfId="1021"/>
    <cellStyle name="Comma 5 2 3 2 3 2 2" xfId="1904"/>
    <cellStyle name="Comma 5 2 3 2 3 2 2 2" xfId="10010"/>
    <cellStyle name="Comma 5 2 3 2 3 2 2 3" xfId="4992"/>
    <cellStyle name="Comma 5 2 3 2 3 2 3" xfId="6051"/>
    <cellStyle name="Comma 5 2 3 2 3 2 3 2" xfId="11067"/>
    <cellStyle name="Comma 5 2 3 2 3 2 4" xfId="9126"/>
    <cellStyle name="Comma 5 2 3 2 3 2 5" xfId="12521"/>
    <cellStyle name="Comma 5 2 3 2 3 2 6" xfId="7603"/>
    <cellStyle name="Comma 5 2 3 2 3 2 7" xfId="4057"/>
    <cellStyle name="Comma 5 2 3 2 3 3" xfId="1377"/>
    <cellStyle name="Comma 5 2 3 2 3 3 2" xfId="2253"/>
    <cellStyle name="Comma 5 2 3 2 3 3 2 2" xfId="10580"/>
    <cellStyle name="Comma 5 2 3 2 3 3 2 3" xfId="5563"/>
    <cellStyle name="Comma 5 2 3 2 3 3 3" xfId="6400"/>
    <cellStyle name="Comma 5 2 3 2 3 3 3 2" xfId="11415"/>
    <cellStyle name="Comma 5 2 3 2 3 3 4" xfId="8987"/>
    <cellStyle name="Comma 5 2 3 2 3 3 5" xfId="12869"/>
    <cellStyle name="Comma 5 2 3 2 3 3 6" xfId="8174"/>
    <cellStyle name="Comma 5 2 3 2 3 3 7" xfId="3918"/>
    <cellStyle name="Comma 5 2 3 2 3 4" xfId="2935"/>
    <cellStyle name="Comma 5 2 3 2 3 4 2" xfId="6961"/>
    <cellStyle name="Comma 5 2 3 2 3 4 2 2" xfId="11976"/>
    <cellStyle name="Comma 5 2 3 2 3 4 3" xfId="13430"/>
    <cellStyle name="Comma 5 2 3 2 3 4 4" xfId="9871"/>
    <cellStyle name="Comma 5 2 3 2 3 4 5" xfId="4853"/>
    <cellStyle name="Comma 5 2 3 2 3 5" xfId="1770"/>
    <cellStyle name="Comma 5 2 3 2 3 5 2" xfId="10933"/>
    <cellStyle name="Comma 5 2 3 2 3 5 3" xfId="5917"/>
    <cellStyle name="Comma 5 2 3 2 3 6" xfId="8494"/>
    <cellStyle name="Comma 5 2 3 2 3 7" xfId="12387"/>
    <cellStyle name="Comma 5 2 3 2 3 8" xfId="7464"/>
    <cellStyle name="Comma 5 2 3 2 3 9" xfId="3416"/>
    <cellStyle name="Comma 5 2 3 2 4" xfId="512"/>
    <cellStyle name="Comma 5 2 3 2 4 2" xfId="921"/>
    <cellStyle name="Comma 5 2 3 2 4 2 2" xfId="9771"/>
    <cellStyle name="Comma 5 2 3 2 4 2 3" xfId="4753"/>
    <cellStyle name="Comma 5 2 3 2 4 3" xfId="1902"/>
    <cellStyle name="Comma 5 2 3 2 4 3 2" xfId="11065"/>
    <cellStyle name="Comma 5 2 3 2 4 3 3" xfId="6049"/>
    <cellStyle name="Comma 5 2 3 2 4 4" xfId="8887"/>
    <cellStyle name="Comma 5 2 3 2 4 5" xfId="12519"/>
    <cellStyle name="Comma 5 2 3 2 4 6" xfId="7364"/>
    <cellStyle name="Comma 5 2 3 2 4 7" xfId="3818"/>
    <cellStyle name="Comma 5 2 3 2 5" xfId="818"/>
    <cellStyle name="Comma 5 2 3 2 5 2" xfId="2251"/>
    <cellStyle name="Comma 5 2 3 2 5 2 2" xfId="10008"/>
    <cellStyle name="Comma 5 2 3 2 5 2 3" xfId="4990"/>
    <cellStyle name="Comma 5 2 3 2 5 3" xfId="6398"/>
    <cellStyle name="Comma 5 2 3 2 5 3 2" xfId="11413"/>
    <cellStyle name="Comma 5 2 3 2 5 4" xfId="9124"/>
    <cellStyle name="Comma 5 2 3 2 5 5" xfId="12867"/>
    <cellStyle name="Comma 5 2 3 2 5 6" xfId="7601"/>
    <cellStyle name="Comma 5 2 3 2 5 7" xfId="4055"/>
    <cellStyle name="Comma 5 2 3 2 6" xfId="1276"/>
    <cellStyle name="Comma 5 2 3 2 6 2" xfId="2833"/>
    <cellStyle name="Comma 5 2 3 2 6 2 2" xfId="10480"/>
    <cellStyle name="Comma 5 2 3 2 6 2 3" xfId="5463"/>
    <cellStyle name="Comma 5 2 3 2 6 3" xfId="6861"/>
    <cellStyle name="Comma 5 2 3 2 6 3 2" xfId="11876"/>
    <cellStyle name="Comma 5 2 3 2 6 4" xfId="8668"/>
    <cellStyle name="Comma 5 2 3 2 6 5" xfId="13330"/>
    <cellStyle name="Comma 5 2 3 2 6 6" xfId="8074"/>
    <cellStyle name="Comma 5 2 3 2 6 7" xfId="3595"/>
    <cellStyle name="Comma 5 2 3 2 7" xfId="1670"/>
    <cellStyle name="Comma 5 2 3 2 7 2" xfId="9554"/>
    <cellStyle name="Comma 5 2 3 2 7 3" xfId="4536"/>
    <cellStyle name="Comma 5 2 3 2 8" xfId="5817"/>
    <cellStyle name="Comma 5 2 3 2 8 2" xfId="10833"/>
    <cellStyle name="Comma 5 2 3 2 9" xfId="8394"/>
    <cellStyle name="Comma 5 2 3 3" xfId="248"/>
    <cellStyle name="Comma 5 2 3 3 10" xfId="7190"/>
    <cellStyle name="Comma 5 2 3 3 11" xfId="3359"/>
    <cellStyle name="Comma 5 2 3 3 2" xfId="405"/>
    <cellStyle name="Comma 5 2 3 3 2 2" xfId="655"/>
    <cellStyle name="Comma 5 2 3 3 2 2 2" xfId="1906"/>
    <cellStyle name="Comma 5 2 3 3 2 2 2 2" xfId="10012"/>
    <cellStyle name="Comma 5 2 3 3 2 2 2 3" xfId="4994"/>
    <cellStyle name="Comma 5 2 3 3 2 2 3" xfId="6053"/>
    <cellStyle name="Comma 5 2 3 3 2 2 3 2" xfId="11069"/>
    <cellStyle name="Comma 5 2 3 3 2 2 4" xfId="9128"/>
    <cellStyle name="Comma 5 2 3 3 2 2 5" xfId="12523"/>
    <cellStyle name="Comma 5 2 3 3 2 2 6" xfId="7605"/>
    <cellStyle name="Comma 5 2 3 3 2 2 7" xfId="4059"/>
    <cellStyle name="Comma 5 2 3 3 2 3" xfId="1064"/>
    <cellStyle name="Comma 5 2 3 3 2 3 2" xfId="2255"/>
    <cellStyle name="Comma 5 2 3 3 2 3 2 2" xfId="10623"/>
    <cellStyle name="Comma 5 2 3 3 2 3 2 3" xfId="5606"/>
    <cellStyle name="Comma 5 2 3 3 2 3 3" xfId="6402"/>
    <cellStyle name="Comma 5 2 3 3 2 3 3 2" xfId="11417"/>
    <cellStyle name="Comma 5 2 3 3 2 3 4" xfId="9030"/>
    <cellStyle name="Comma 5 2 3 3 2 3 5" xfId="12871"/>
    <cellStyle name="Comma 5 2 3 3 2 3 6" xfId="8217"/>
    <cellStyle name="Comma 5 2 3 3 2 3 7" xfId="3961"/>
    <cellStyle name="Comma 5 2 3 3 2 4" xfId="1422"/>
    <cellStyle name="Comma 5 2 3 3 2 4 2" xfId="2980"/>
    <cellStyle name="Comma 5 2 3 3 2 4 2 2" xfId="12019"/>
    <cellStyle name="Comma 5 2 3 3 2 4 2 3" xfId="7004"/>
    <cellStyle name="Comma 5 2 3 3 2 4 3" xfId="13473"/>
    <cellStyle name="Comma 5 2 3 3 2 4 4" xfId="9914"/>
    <cellStyle name="Comma 5 2 3 3 2 4 5" xfId="4896"/>
    <cellStyle name="Comma 5 2 3 3 2 5" xfId="1813"/>
    <cellStyle name="Comma 5 2 3 3 2 5 2" xfId="10976"/>
    <cellStyle name="Comma 5 2 3 3 2 5 3" xfId="5960"/>
    <cellStyle name="Comma 5 2 3 3 2 6" xfId="8537"/>
    <cellStyle name="Comma 5 2 3 3 2 7" xfId="12430"/>
    <cellStyle name="Comma 5 2 3 3 2 8" xfId="7507"/>
    <cellStyle name="Comma 5 2 3 3 2 9" xfId="3459"/>
    <cellStyle name="Comma 5 2 3 3 3" xfId="555"/>
    <cellStyle name="Comma 5 2 3 3 3 2" xfId="1905"/>
    <cellStyle name="Comma 5 2 3 3 3 2 2" xfId="9814"/>
    <cellStyle name="Comma 5 2 3 3 3 2 3" xfId="4796"/>
    <cellStyle name="Comma 5 2 3 3 3 3" xfId="6052"/>
    <cellStyle name="Comma 5 2 3 3 3 3 2" xfId="11068"/>
    <cellStyle name="Comma 5 2 3 3 3 4" xfId="8930"/>
    <cellStyle name="Comma 5 2 3 3 3 5" xfId="12522"/>
    <cellStyle name="Comma 5 2 3 3 3 6" xfId="7407"/>
    <cellStyle name="Comma 5 2 3 3 3 7" xfId="3861"/>
    <cellStyle name="Comma 5 2 3 3 4" xfId="964"/>
    <cellStyle name="Comma 5 2 3 3 4 2" xfId="2254"/>
    <cellStyle name="Comma 5 2 3 3 4 2 2" xfId="10011"/>
    <cellStyle name="Comma 5 2 3 3 4 2 3" xfId="4993"/>
    <cellStyle name="Comma 5 2 3 3 4 3" xfId="6401"/>
    <cellStyle name="Comma 5 2 3 3 4 3 2" xfId="11416"/>
    <cellStyle name="Comma 5 2 3 3 4 4" xfId="9127"/>
    <cellStyle name="Comma 5 2 3 3 4 5" xfId="12870"/>
    <cellStyle name="Comma 5 2 3 3 4 6" xfId="7604"/>
    <cellStyle name="Comma 5 2 3 3 4 7" xfId="4058"/>
    <cellStyle name="Comma 5 2 3 3 5" xfId="1320"/>
    <cellStyle name="Comma 5 2 3 3 5 2" xfId="2878"/>
    <cellStyle name="Comma 5 2 3 3 5 2 2" xfId="10523"/>
    <cellStyle name="Comma 5 2 3 3 5 2 3" xfId="5506"/>
    <cellStyle name="Comma 5 2 3 3 5 3" xfId="6904"/>
    <cellStyle name="Comma 5 2 3 3 5 3 2" xfId="11919"/>
    <cellStyle name="Comma 5 2 3 3 5 4" xfId="8711"/>
    <cellStyle name="Comma 5 2 3 3 5 5" xfId="13373"/>
    <cellStyle name="Comma 5 2 3 3 5 6" xfId="8117"/>
    <cellStyle name="Comma 5 2 3 3 5 7" xfId="3641"/>
    <cellStyle name="Comma 5 2 3 3 6" xfId="1713"/>
    <cellStyle name="Comma 5 2 3 3 6 2" xfId="9597"/>
    <cellStyle name="Comma 5 2 3 3 6 3" xfId="4579"/>
    <cellStyle name="Comma 5 2 3 3 7" xfId="5860"/>
    <cellStyle name="Comma 5 2 3 3 7 2" xfId="10876"/>
    <cellStyle name="Comma 5 2 3 3 8" xfId="8437"/>
    <cellStyle name="Comma 5 2 3 3 9" xfId="12330"/>
    <cellStyle name="Comma 5 2 3 4" xfId="328"/>
    <cellStyle name="Comma 5 2 3 4 10" xfId="7220"/>
    <cellStyle name="Comma 5 2 3 4 11" xfId="3284"/>
    <cellStyle name="Comma 5 2 3 4 2" xfId="685"/>
    <cellStyle name="Comma 5 2 3 4 2 2" xfId="1094"/>
    <cellStyle name="Comma 5 2 3 4 2 2 2" xfId="1908"/>
    <cellStyle name="Comma 5 2 3 4 2 2 2 2" xfId="10014"/>
    <cellStyle name="Comma 5 2 3 4 2 2 2 3" xfId="4996"/>
    <cellStyle name="Comma 5 2 3 4 2 2 3" xfId="6055"/>
    <cellStyle name="Comma 5 2 3 4 2 2 3 2" xfId="11071"/>
    <cellStyle name="Comma 5 2 3 4 2 2 4" xfId="9130"/>
    <cellStyle name="Comma 5 2 3 4 2 2 5" xfId="12525"/>
    <cellStyle name="Comma 5 2 3 4 2 2 6" xfId="7607"/>
    <cellStyle name="Comma 5 2 3 4 2 2 7" xfId="4061"/>
    <cellStyle name="Comma 5 2 3 4 2 3" xfId="1452"/>
    <cellStyle name="Comma 5 2 3 4 2 3 2" xfId="2257"/>
    <cellStyle name="Comma 5 2 3 4 2 3 2 2" xfId="10653"/>
    <cellStyle name="Comma 5 2 3 4 2 3 2 3" xfId="5636"/>
    <cellStyle name="Comma 5 2 3 4 2 3 3" xfId="6404"/>
    <cellStyle name="Comma 5 2 3 4 2 3 3 2" xfId="11419"/>
    <cellStyle name="Comma 5 2 3 4 2 3 4" xfId="9060"/>
    <cellStyle name="Comma 5 2 3 4 2 3 5" xfId="12873"/>
    <cellStyle name="Comma 5 2 3 4 2 3 6" xfId="8247"/>
    <cellStyle name="Comma 5 2 3 4 2 3 7" xfId="3991"/>
    <cellStyle name="Comma 5 2 3 4 2 4" xfId="3011"/>
    <cellStyle name="Comma 5 2 3 4 2 4 2" xfId="7034"/>
    <cellStyle name="Comma 5 2 3 4 2 4 2 2" xfId="12049"/>
    <cellStyle name="Comma 5 2 3 4 2 4 3" xfId="13503"/>
    <cellStyle name="Comma 5 2 3 4 2 4 4" xfId="9944"/>
    <cellStyle name="Comma 5 2 3 4 2 4 5" xfId="4926"/>
    <cellStyle name="Comma 5 2 3 4 2 5" xfId="1843"/>
    <cellStyle name="Comma 5 2 3 4 2 5 2" xfId="11006"/>
    <cellStyle name="Comma 5 2 3 4 2 5 3" xfId="5990"/>
    <cellStyle name="Comma 5 2 3 4 2 6" xfId="8567"/>
    <cellStyle name="Comma 5 2 3 4 2 7" xfId="12460"/>
    <cellStyle name="Comma 5 2 3 4 2 8" xfId="7537"/>
    <cellStyle name="Comma 5 2 3 4 2 9" xfId="3489"/>
    <cellStyle name="Comma 5 2 3 4 3" xfId="480"/>
    <cellStyle name="Comma 5 2 3 4 3 2" xfId="1907"/>
    <cellStyle name="Comma 5 2 3 4 3 2 2" xfId="9739"/>
    <cellStyle name="Comma 5 2 3 4 3 2 3" xfId="4721"/>
    <cellStyle name="Comma 5 2 3 4 3 3" xfId="6054"/>
    <cellStyle name="Comma 5 2 3 4 3 3 2" xfId="11070"/>
    <cellStyle name="Comma 5 2 3 4 3 4" xfId="8855"/>
    <cellStyle name="Comma 5 2 3 4 3 5" xfId="12524"/>
    <cellStyle name="Comma 5 2 3 4 3 6" xfId="7332"/>
    <cellStyle name="Comma 5 2 3 4 3 7" xfId="3786"/>
    <cellStyle name="Comma 5 2 3 4 4" xfId="889"/>
    <cellStyle name="Comma 5 2 3 4 4 2" xfId="2256"/>
    <cellStyle name="Comma 5 2 3 4 4 2 2" xfId="10013"/>
    <cellStyle name="Comma 5 2 3 4 4 2 3" xfId="4995"/>
    <cellStyle name="Comma 5 2 3 4 4 3" xfId="6403"/>
    <cellStyle name="Comma 5 2 3 4 4 3 2" xfId="11418"/>
    <cellStyle name="Comma 5 2 3 4 4 4" xfId="9129"/>
    <cellStyle name="Comma 5 2 3 4 4 5" xfId="12872"/>
    <cellStyle name="Comma 5 2 3 4 4 6" xfId="7606"/>
    <cellStyle name="Comma 5 2 3 4 4 7" xfId="4060"/>
    <cellStyle name="Comma 5 2 3 4 5" xfId="1241"/>
    <cellStyle name="Comma 5 2 3 4 5 2" xfId="2797"/>
    <cellStyle name="Comma 5 2 3 4 5 2 2" xfId="10448"/>
    <cellStyle name="Comma 5 2 3 4 5 2 3" xfId="5431"/>
    <cellStyle name="Comma 5 2 3 4 5 3" xfId="6829"/>
    <cellStyle name="Comma 5 2 3 4 5 3 2" xfId="11844"/>
    <cellStyle name="Comma 5 2 3 4 5 4" xfId="8741"/>
    <cellStyle name="Comma 5 2 3 4 5 5" xfId="13298"/>
    <cellStyle name="Comma 5 2 3 4 5 6" xfId="8042"/>
    <cellStyle name="Comma 5 2 3 4 5 7" xfId="3671"/>
    <cellStyle name="Comma 5 2 3 4 6" xfId="1638"/>
    <cellStyle name="Comma 5 2 3 4 6 2" xfId="9627"/>
    <cellStyle name="Comma 5 2 3 4 6 3" xfId="4609"/>
    <cellStyle name="Comma 5 2 3 4 7" xfId="5785"/>
    <cellStyle name="Comma 5 2 3 4 7 2" xfId="10801"/>
    <cellStyle name="Comma 5 2 3 4 8" xfId="8362"/>
    <cellStyle name="Comma 5 2 3 4 9" xfId="12255"/>
    <cellStyle name="Comma 5 2 3 5" xfId="301"/>
    <cellStyle name="Comma 5 2 3 5 2" xfId="580"/>
    <cellStyle name="Comma 5 2 3 5 2 2" xfId="1909"/>
    <cellStyle name="Comma 5 2 3 5 2 2 2" xfId="10015"/>
    <cellStyle name="Comma 5 2 3 5 2 2 3" xfId="4997"/>
    <cellStyle name="Comma 5 2 3 5 2 3" xfId="6056"/>
    <cellStyle name="Comma 5 2 3 5 2 3 2" xfId="11072"/>
    <cellStyle name="Comma 5 2 3 5 2 4" xfId="9131"/>
    <cellStyle name="Comma 5 2 3 5 2 5" xfId="12526"/>
    <cellStyle name="Comma 5 2 3 5 2 6" xfId="7608"/>
    <cellStyle name="Comma 5 2 3 5 2 7" xfId="4062"/>
    <cellStyle name="Comma 5 2 3 5 3" xfId="989"/>
    <cellStyle name="Comma 5 2 3 5 3 2" xfId="2258"/>
    <cellStyle name="Comma 5 2 3 5 3 2 2" xfId="10548"/>
    <cellStyle name="Comma 5 2 3 5 3 2 3" xfId="5531"/>
    <cellStyle name="Comma 5 2 3 5 3 3" xfId="6405"/>
    <cellStyle name="Comma 5 2 3 5 3 3 2" xfId="11420"/>
    <cellStyle name="Comma 5 2 3 5 3 4" xfId="8955"/>
    <cellStyle name="Comma 5 2 3 5 3 5" xfId="12874"/>
    <cellStyle name="Comma 5 2 3 5 3 6" xfId="8142"/>
    <cellStyle name="Comma 5 2 3 5 3 7" xfId="3886"/>
    <cellStyle name="Comma 5 2 3 5 4" xfId="1345"/>
    <cellStyle name="Comma 5 2 3 5 4 2" xfId="2903"/>
    <cellStyle name="Comma 5 2 3 5 4 2 2" xfId="11944"/>
    <cellStyle name="Comma 5 2 3 5 4 2 3" xfId="6929"/>
    <cellStyle name="Comma 5 2 3 5 4 3" xfId="13398"/>
    <cellStyle name="Comma 5 2 3 5 4 4" xfId="9839"/>
    <cellStyle name="Comma 5 2 3 5 4 5" xfId="4821"/>
    <cellStyle name="Comma 5 2 3 5 5" xfId="1738"/>
    <cellStyle name="Comma 5 2 3 5 5 2" xfId="10901"/>
    <cellStyle name="Comma 5 2 3 5 5 3" xfId="5885"/>
    <cellStyle name="Comma 5 2 3 5 6" xfId="8462"/>
    <cellStyle name="Comma 5 2 3 5 7" xfId="12355"/>
    <cellStyle name="Comma 5 2 3 5 8" xfId="7432"/>
    <cellStyle name="Comma 5 2 3 5 9" xfId="3384"/>
    <cellStyle name="Comma 5 2 3 6" xfId="455"/>
    <cellStyle name="Comma 5 2 3 6 2" xfId="864"/>
    <cellStyle name="Comma 5 2 3 6 2 2" xfId="1910"/>
    <cellStyle name="Comma 5 2 3 6 2 2 2" xfId="10016"/>
    <cellStyle name="Comma 5 2 3 6 2 2 3" xfId="4998"/>
    <cellStyle name="Comma 5 2 3 6 2 3" xfId="6057"/>
    <cellStyle name="Comma 5 2 3 6 2 3 2" xfId="11073"/>
    <cellStyle name="Comma 5 2 3 6 2 4" xfId="9132"/>
    <cellStyle name="Comma 5 2 3 6 2 5" xfId="12527"/>
    <cellStyle name="Comma 5 2 3 6 2 6" xfId="7609"/>
    <cellStyle name="Comma 5 2 3 6 2 7" xfId="4063"/>
    <cellStyle name="Comma 5 2 3 6 3" xfId="1214"/>
    <cellStyle name="Comma 5 2 3 6 3 2" xfId="2259"/>
    <cellStyle name="Comma 5 2 3 6 3 2 2" xfId="10423"/>
    <cellStyle name="Comma 5 2 3 6 3 2 3" xfId="5406"/>
    <cellStyle name="Comma 5 2 3 6 3 3" xfId="6406"/>
    <cellStyle name="Comma 5 2 3 6 3 3 2" xfId="11421"/>
    <cellStyle name="Comma 5 2 3 6 3 4" xfId="9468"/>
    <cellStyle name="Comma 5 2 3 6 3 5" xfId="12875"/>
    <cellStyle name="Comma 5 2 3 6 3 6" xfId="8017"/>
    <cellStyle name="Comma 5 2 3 6 3 7" xfId="4450"/>
    <cellStyle name="Comma 5 2 3 6 4" xfId="2768"/>
    <cellStyle name="Comma 5 2 3 6 4 2" xfId="6804"/>
    <cellStyle name="Comma 5 2 3 6 4 2 2" xfId="11819"/>
    <cellStyle name="Comma 5 2 3 6 4 3" xfId="13273"/>
    <cellStyle name="Comma 5 2 3 6 4 4" xfId="9714"/>
    <cellStyle name="Comma 5 2 3 6 4 5" xfId="4696"/>
    <cellStyle name="Comma 5 2 3 6 5" xfId="1613"/>
    <cellStyle name="Comma 5 2 3 6 5 2" xfId="10774"/>
    <cellStyle name="Comma 5 2 3 6 5 3" xfId="5758"/>
    <cellStyle name="Comma 5 2 3 6 6" xfId="8830"/>
    <cellStyle name="Comma 5 2 3 6 7" xfId="12230"/>
    <cellStyle name="Comma 5 2 3 6 8" xfId="7307"/>
    <cellStyle name="Comma 5 2 3 6 9" xfId="3761"/>
    <cellStyle name="Comma 5 2 3 7" xfId="788"/>
    <cellStyle name="Comma 5 2 3 7 2" xfId="1901"/>
    <cellStyle name="Comma 5 2 3 7 2 2" xfId="10007"/>
    <cellStyle name="Comma 5 2 3 7 2 3" xfId="4989"/>
    <cellStyle name="Comma 5 2 3 7 3" xfId="6048"/>
    <cellStyle name="Comma 5 2 3 7 3 2" xfId="11064"/>
    <cellStyle name="Comma 5 2 3 7 4" xfId="9123"/>
    <cellStyle name="Comma 5 2 3 7 5" xfId="12518"/>
    <cellStyle name="Comma 5 2 3 7 6" xfId="7600"/>
    <cellStyle name="Comma 5 2 3 7 7" xfId="4054"/>
    <cellStyle name="Comma 5 2 3 8" xfId="1168"/>
    <cellStyle name="Comma 5 2 3 8 2" xfId="2250"/>
    <cellStyle name="Comma 5 2 3 8 2 2" xfId="10378"/>
    <cellStyle name="Comma 5 2 3 8 2 3" xfId="5361"/>
    <cellStyle name="Comma 5 2 3 8 3" xfId="6397"/>
    <cellStyle name="Comma 5 2 3 8 3 2" xfId="11412"/>
    <cellStyle name="Comma 5 2 3 8 4" xfId="8635"/>
    <cellStyle name="Comma 5 2 3 8 5" xfId="12866"/>
    <cellStyle name="Comma 5 2 3 8 6" xfId="7972"/>
    <cellStyle name="Comma 5 2 3 8 7" xfId="3559"/>
    <cellStyle name="Comma 5 2 3 9" xfId="2719"/>
    <cellStyle name="Comma 5 2 3 9 2" xfId="6759"/>
    <cellStyle name="Comma 5 2 3 9 2 2" xfId="11774"/>
    <cellStyle name="Comma 5 2 3 9 3" xfId="13228"/>
    <cellStyle name="Comma 5 2 3 9 4" xfId="9522"/>
    <cellStyle name="Comma 5 2 3 9 5" xfId="4504"/>
    <cellStyle name="Comma 5 2 4" xfId="160"/>
    <cellStyle name="Comma 5 2 4 10" xfId="8315"/>
    <cellStyle name="Comma 5 2 4 11" xfId="12135"/>
    <cellStyle name="Comma 5 2 4 12" xfId="7127"/>
    <cellStyle name="Comma 5 2 4 13" xfId="3236"/>
    <cellStyle name="Comma 5 2 4 2" xfId="384"/>
    <cellStyle name="Comma 5 2 4 2 10" xfId="7170"/>
    <cellStyle name="Comma 5 2 4 2 11" xfId="3339"/>
    <cellStyle name="Comma 5 2 4 2 2" xfId="635"/>
    <cellStyle name="Comma 5 2 4 2 2 2" xfId="1044"/>
    <cellStyle name="Comma 5 2 4 2 2 2 2" xfId="1913"/>
    <cellStyle name="Comma 5 2 4 2 2 2 2 2" xfId="10019"/>
    <cellStyle name="Comma 5 2 4 2 2 2 2 3" xfId="5001"/>
    <cellStyle name="Comma 5 2 4 2 2 2 3" xfId="6060"/>
    <cellStyle name="Comma 5 2 4 2 2 2 3 2" xfId="11076"/>
    <cellStyle name="Comma 5 2 4 2 2 2 4" xfId="9135"/>
    <cellStyle name="Comma 5 2 4 2 2 2 5" xfId="12530"/>
    <cellStyle name="Comma 5 2 4 2 2 2 6" xfId="7612"/>
    <cellStyle name="Comma 5 2 4 2 2 2 7" xfId="4066"/>
    <cellStyle name="Comma 5 2 4 2 2 3" xfId="1401"/>
    <cellStyle name="Comma 5 2 4 2 2 3 2" xfId="2262"/>
    <cellStyle name="Comma 5 2 4 2 2 3 2 2" xfId="10603"/>
    <cellStyle name="Comma 5 2 4 2 2 3 2 3" xfId="5586"/>
    <cellStyle name="Comma 5 2 4 2 2 3 3" xfId="6409"/>
    <cellStyle name="Comma 5 2 4 2 2 3 3 2" xfId="11424"/>
    <cellStyle name="Comma 5 2 4 2 2 3 4" xfId="9010"/>
    <cellStyle name="Comma 5 2 4 2 2 3 5" xfId="12878"/>
    <cellStyle name="Comma 5 2 4 2 2 3 6" xfId="8197"/>
    <cellStyle name="Comma 5 2 4 2 2 3 7" xfId="3941"/>
    <cellStyle name="Comma 5 2 4 2 2 4" xfId="2959"/>
    <cellStyle name="Comma 5 2 4 2 2 4 2" xfId="6984"/>
    <cellStyle name="Comma 5 2 4 2 2 4 2 2" xfId="11999"/>
    <cellStyle name="Comma 5 2 4 2 2 4 3" xfId="13453"/>
    <cellStyle name="Comma 5 2 4 2 2 4 4" xfId="9894"/>
    <cellStyle name="Comma 5 2 4 2 2 4 5" xfId="4876"/>
    <cellStyle name="Comma 5 2 4 2 2 5" xfId="1793"/>
    <cellStyle name="Comma 5 2 4 2 2 5 2" xfId="10956"/>
    <cellStyle name="Comma 5 2 4 2 2 5 3" xfId="5940"/>
    <cellStyle name="Comma 5 2 4 2 2 6" xfId="8517"/>
    <cellStyle name="Comma 5 2 4 2 2 7" xfId="12410"/>
    <cellStyle name="Comma 5 2 4 2 2 8" xfId="7487"/>
    <cellStyle name="Comma 5 2 4 2 2 9" xfId="3439"/>
    <cellStyle name="Comma 5 2 4 2 3" xfId="535"/>
    <cellStyle name="Comma 5 2 4 2 3 2" xfId="1912"/>
    <cellStyle name="Comma 5 2 4 2 3 2 2" xfId="9794"/>
    <cellStyle name="Comma 5 2 4 2 3 2 3" xfId="4776"/>
    <cellStyle name="Comma 5 2 4 2 3 3" xfId="6059"/>
    <cellStyle name="Comma 5 2 4 2 3 3 2" xfId="11075"/>
    <cellStyle name="Comma 5 2 4 2 3 4" xfId="8910"/>
    <cellStyle name="Comma 5 2 4 2 3 5" xfId="12529"/>
    <cellStyle name="Comma 5 2 4 2 3 6" xfId="7387"/>
    <cellStyle name="Comma 5 2 4 2 3 7" xfId="3841"/>
    <cellStyle name="Comma 5 2 4 2 4" xfId="944"/>
    <cellStyle name="Comma 5 2 4 2 4 2" xfId="2261"/>
    <cellStyle name="Comma 5 2 4 2 4 2 2" xfId="10018"/>
    <cellStyle name="Comma 5 2 4 2 4 2 3" xfId="5000"/>
    <cellStyle name="Comma 5 2 4 2 4 3" xfId="6408"/>
    <cellStyle name="Comma 5 2 4 2 4 3 2" xfId="11423"/>
    <cellStyle name="Comma 5 2 4 2 4 4" xfId="9134"/>
    <cellStyle name="Comma 5 2 4 2 4 5" xfId="12877"/>
    <cellStyle name="Comma 5 2 4 2 4 6" xfId="7611"/>
    <cellStyle name="Comma 5 2 4 2 4 7" xfId="4065"/>
    <cellStyle name="Comma 5 2 4 2 5" xfId="1300"/>
    <cellStyle name="Comma 5 2 4 2 5 2" xfId="2857"/>
    <cellStyle name="Comma 5 2 4 2 5 2 2" xfId="10503"/>
    <cellStyle name="Comma 5 2 4 2 5 2 3" xfId="5486"/>
    <cellStyle name="Comma 5 2 4 2 5 3" xfId="6884"/>
    <cellStyle name="Comma 5 2 4 2 5 3 2" xfId="11899"/>
    <cellStyle name="Comma 5 2 4 2 5 4" xfId="8691"/>
    <cellStyle name="Comma 5 2 4 2 5 5" xfId="13353"/>
    <cellStyle name="Comma 5 2 4 2 5 6" xfId="8097"/>
    <cellStyle name="Comma 5 2 4 2 5 7" xfId="3620"/>
    <cellStyle name="Comma 5 2 4 2 6" xfId="1693"/>
    <cellStyle name="Comma 5 2 4 2 6 2" xfId="9577"/>
    <cellStyle name="Comma 5 2 4 2 6 3" xfId="4559"/>
    <cellStyle name="Comma 5 2 4 2 7" xfId="5840"/>
    <cellStyle name="Comma 5 2 4 2 7 2" xfId="10856"/>
    <cellStyle name="Comma 5 2 4 2 8" xfId="8417"/>
    <cellStyle name="Comma 5 2 4 2 9" xfId="12310"/>
    <cellStyle name="Comma 5 2 4 3" xfId="340"/>
    <cellStyle name="Comma 5 2 4 3 10" xfId="7232"/>
    <cellStyle name="Comma 5 2 4 3 11" xfId="3296"/>
    <cellStyle name="Comma 5 2 4 3 2" xfId="697"/>
    <cellStyle name="Comma 5 2 4 3 2 2" xfId="1106"/>
    <cellStyle name="Comma 5 2 4 3 2 2 2" xfId="1915"/>
    <cellStyle name="Comma 5 2 4 3 2 2 2 2" xfId="10021"/>
    <cellStyle name="Comma 5 2 4 3 2 2 2 3" xfId="5003"/>
    <cellStyle name="Comma 5 2 4 3 2 2 3" xfId="6062"/>
    <cellStyle name="Comma 5 2 4 3 2 2 3 2" xfId="11078"/>
    <cellStyle name="Comma 5 2 4 3 2 2 4" xfId="9137"/>
    <cellStyle name="Comma 5 2 4 3 2 2 5" xfId="12532"/>
    <cellStyle name="Comma 5 2 4 3 2 2 6" xfId="7614"/>
    <cellStyle name="Comma 5 2 4 3 2 2 7" xfId="4068"/>
    <cellStyle name="Comma 5 2 4 3 2 3" xfId="1464"/>
    <cellStyle name="Comma 5 2 4 3 2 3 2" xfId="2264"/>
    <cellStyle name="Comma 5 2 4 3 2 3 2 2" xfId="10665"/>
    <cellStyle name="Comma 5 2 4 3 2 3 2 3" xfId="5648"/>
    <cellStyle name="Comma 5 2 4 3 2 3 3" xfId="6411"/>
    <cellStyle name="Comma 5 2 4 3 2 3 3 2" xfId="11426"/>
    <cellStyle name="Comma 5 2 4 3 2 3 4" xfId="9072"/>
    <cellStyle name="Comma 5 2 4 3 2 3 5" xfId="12880"/>
    <cellStyle name="Comma 5 2 4 3 2 3 6" xfId="8259"/>
    <cellStyle name="Comma 5 2 4 3 2 3 7" xfId="4003"/>
    <cellStyle name="Comma 5 2 4 3 2 4" xfId="3023"/>
    <cellStyle name="Comma 5 2 4 3 2 4 2" xfId="7046"/>
    <cellStyle name="Comma 5 2 4 3 2 4 2 2" xfId="12061"/>
    <cellStyle name="Comma 5 2 4 3 2 4 3" xfId="13515"/>
    <cellStyle name="Comma 5 2 4 3 2 4 4" xfId="9956"/>
    <cellStyle name="Comma 5 2 4 3 2 4 5" xfId="4938"/>
    <cellStyle name="Comma 5 2 4 3 2 5" xfId="1855"/>
    <cellStyle name="Comma 5 2 4 3 2 5 2" xfId="11018"/>
    <cellStyle name="Comma 5 2 4 3 2 5 3" xfId="6002"/>
    <cellStyle name="Comma 5 2 4 3 2 6" xfId="8579"/>
    <cellStyle name="Comma 5 2 4 3 2 7" xfId="12472"/>
    <cellStyle name="Comma 5 2 4 3 2 8" xfId="7549"/>
    <cellStyle name="Comma 5 2 4 3 2 9" xfId="3501"/>
    <cellStyle name="Comma 5 2 4 3 3" xfId="492"/>
    <cellStyle name="Comma 5 2 4 3 3 2" xfId="1914"/>
    <cellStyle name="Comma 5 2 4 3 3 2 2" xfId="9751"/>
    <cellStyle name="Comma 5 2 4 3 3 2 3" xfId="4733"/>
    <cellStyle name="Comma 5 2 4 3 3 3" xfId="6061"/>
    <cellStyle name="Comma 5 2 4 3 3 3 2" xfId="11077"/>
    <cellStyle name="Comma 5 2 4 3 3 4" xfId="8867"/>
    <cellStyle name="Comma 5 2 4 3 3 5" xfId="12531"/>
    <cellStyle name="Comma 5 2 4 3 3 6" xfId="7344"/>
    <cellStyle name="Comma 5 2 4 3 3 7" xfId="3798"/>
    <cellStyle name="Comma 5 2 4 3 4" xfId="901"/>
    <cellStyle name="Comma 5 2 4 3 4 2" xfId="2263"/>
    <cellStyle name="Comma 5 2 4 3 4 2 2" xfId="10020"/>
    <cellStyle name="Comma 5 2 4 3 4 2 3" xfId="5002"/>
    <cellStyle name="Comma 5 2 4 3 4 3" xfId="6410"/>
    <cellStyle name="Comma 5 2 4 3 4 3 2" xfId="11425"/>
    <cellStyle name="Comma 5 2 4 3 4 4" xfId="9136"/>
    <cellStyle name="Comma 5 2 4 3 4 5" xfId="12879"/>
    <cellStyle name="Comma 5 2 4 3 4 6" xfId="7613"/>
    <cellStyle name="Comma 5 2 4 3 4 7" xfId="4067"/>
    <cellStyle name="Comma 5 2 4 3 5" xfId="1256"/>
    <cellStyle name="Comma 5 2 4 3 5 2" xfId="2812"/>
    <cellStyle name="Comma 5 2 4 3 5 2 2" xfId="10460"/>
    <cellStyle name="Comma 5 2 4 3 5 2 3" xfId="5443"/>
    <cellStyle name="Comma 5 2 4 3 5 3" xfId="6841"/>
    <cellStyle name="Comma 5 2 4 3 5 3 2" xfId="11856"/>
    <cellStyle name="Comma 5 2 4 3 5 4" xfId="8753"/>
    <cellStyle name="Comma 5 2 4 3 5 5" xfId="13310"/>
    <cellStyle name="Comma 5 2 4 3 5 6" xfId="8054"/>
    <cellStyle name="Comma 5 2 4 3 5 7" xfId="3683"/>
    <cellStyle name="Comma 5 2 4 3 6" xfId="1650"/>
    <cellStyle name="Comma 5 2 4 3 6 2" xfId="9639"/>
    <cellStyle name="Comma 5 2 4 3 6 3" xfId="4621"/>
    <cellStyle name="Comma 5 2 4 3 7" xfId="5797"/>
    <cellStyle name="Comma 5 2 4 3 7 2" xfId="10813"/>
    <cellStyle name="Comma 5 2 4 3 8" xfId="8374"/>
    <cellStyle name="Comma 5 2 4 3 9" xfId="12267"/>
    <cellStyle name="Comma 5 2 4 4" xfId="277"/>
    <cellStyle name="Comma 5 2 4 4 2" xfId="592"/>
    <cellStyle name="Comma 5 2 4 4 2 2" xfId="1916"/>
    <cellStyle name="Comma 5 2 4 4 2 2 2" xfId="10022"/>
    <cellStyle name="Comma 5 2 4 4 2 2 3" xfId="5004"/>
    <cellStyle name="Comma 5 2 4 4 2 3" xfId="6063"/>
    <cellStyle name="Comma 5 2 4 4 2 3 2" xfId="11079"/>
    <cellStyle name="Comma 5 2 4 4 2 4" xfId="9138"/>
    <cellStyle name="Comma 5 2 4 4 2 5" xfId="12533"/>
    <cellStyle name="Comma 5 2 4 4 2 6" xfId="7615"/>
    <cellStyle name="Comma 5 2 4 4 2 7" xfId="4069"/>
    <cellStyle name="Comma 5 2 4 4 3" xfId="1001"/>
    <cellStyle name="Comma 5 2 4 4 3 2" xfId="2265"/>
    <cellStyle name="Comma 5 2 4 4 3 2 2" xfId="10560"/>
    <cellStyle name="Comma 5 2 4 4 3 2 3" xfId="5543"/>
    <cellStyle name="Comma 5 2 4 4 3 3" xfId="6412"/>
    <cellStyle name="Comma 5 2 4 4 3 3 2" xfId="11427"/>
    <cellStyle name="Comma 5 2 4 4 3 4" xfId="8967"/>
    <cellStyle name="Comma 5 2 4 4 3 5" xfId="12881"/>
    <cellStyle name="Comma 5 2 4 4 3 6" xfId="8154"/>
    <cellStyle name="Comma 5 2 4 4 3 7" xfId="3898"/>
    <cellStyle name="Comma 5 2 4 4 4" xfId="1357"/>
    <cellStyle name="Comma 5 2 4 4 4 2" xfId="2915"/>
    <cellStyle name="Comma 5 2 4 4 4 2 2" xfId="11956"/>
    <cellStyle name="Comma 5 2 4 4 4 2 3" xfId="6941"/>
    <cellStyle name="Comma 5 2 4 4 4 3" xfId="13410"/>
    <cellStyle name="Comma 5 2 4 4 4 4" xfId="9851"/>
    <cellStyle name="Comma 5 2 4 4 4 5" xfId="4833"/>
    <cellStyle name="Comma 5 2 4 4 5" xfId="1750"/>
    <cellStyle name="Comma 5 2 4 4 5 2" xfId="10913"/>
    <cellStyle name="Comma 5 2 4 4 5 3" xfId="5897"/>
    <cellStyle name="Comma 5 2 4 4 6" xfId="8474"/>
    <cellStyle name="Comma 5 2 4 4 7" xfId="12367"/>
    <cellStyle name="Comma 5 2 4 4 8" xfId="7444"/>
    <cellStyle name="Comma 5 2 4 4 9" xfId="3396"/>
    <cellStyle name="Comma 5 2 4 5" xfId="433"/>
    <cellStyle name="Comma 5 2 4 5 2" xfId="841"/>
    <cellStyle name="Comma 5 2 4 5 2 2" xfId="9692"/>
    <cellStyle name="Comma 5 2 4 5 2 3" xfId="4674"/>
    <cellStyle name="Comma 5 2 4 5 3" xfId="1911"/>
    <cellStyle name="Comma 5 2 4 5 3 2" xfId="11074"/>
    <cellStyle name="Comma 5 2 4 5 3 3" xfId="6058"/>
    <cellStyle name="Comma 5 2 4 5 4" xfId="8808"/>
    <cellStyle name="Comma 5 2 4 5 5" xfId="12528"/>
    <cellStyle name="Comma 5 2 4 5 6" xfId="7285"/>
    <cellStyle name="Comma 5 2 4 5 7" xfId="3739"/>
    <cellStyle name="Comma 5 2 4 6" xfId="768"/>
    <cellStyle name="Comma 5 2 4 6 2" xfId="2260"/>
    <cellStyle name="Comma 5 2 4 6 2 2" xfId="10017"/>
    <cellStyle name="Comma 5 2 4 6 2 3" xfId="4999"/>
    <cellStyle name="Comma 5 2 4 6 3" xfId="6407"/>
    <cellStyle name="Comma 5 2 4 6 3 2" xfId="11422"/>
    <cellStyle name="Comma 5 2 4 6 4" xfId="9133"/>
    <cellStyle name="Comma 5 2 4 6 5" xfId="12876"/>
    <cellStyle name="Comma 5 2 4 6 6" xfId="7610"/>
    <cellStyle name="Comma 5 2 4 6 7" xfId="4064"/>
    <cellStyle name="Comma 5 2 4 7" xfId="1192"/>
    <cellStyle name="Comma 5 2 4 7 2" xfId="2744"/>
    <cellStyle name="Comma 5 2 4 7 2 2" xfId="10401"/>
    <cellStyle name="Comma 5 2 4 7 2 3" xfId="5384"/>
    <cellStyle name="Comma 5 2 4 7 3" xfId="6782"/>
    <cellStyle name="Comma 5 2 4 7 3 2" xfId="11797"/>
    <cellStyle name="Comma 5 2 4 7 4" xfId="8647"/>
    <cellStyle name="Comma 5 2 4 7 5" xfId="13251"/>
    <cellStyle name="Comma 5 2 4 7 6" xfId="7995"/>
    <cellStyle name="Comma 5 2 4 7 7" xfId="3574"/>
    <cellStyle name="Comma 5 2 4 8" xfId="1591"/>
    <cellStyle name="Comma 5 2 4 8 2" xfId="12208"/>
    <cellStyle name="Comma 5 2 4 8 3" xfId="9534"/>
    <cellStyle name="Comma 5 2 4 8 4" xfId="4516"/>
    <cellStyle name="Comma 5 2 4 9" xfId="1518"/>
    <cellStyle name="Comma 5 2 4 9 2" xfId="10752"/>
    <cellStyle name="Comma 5 2 4 9 3" xfId="5736"/>
    <cellStyle name="Comma 5 2 5" xfId="192"/>
    <cellStyle name="Comma 5 2 5 10" xfId="7153"/>
    <cellStyle name="Comma 5 2 5 11" xfId="3322"/>
    <cellStyle name="Comma 5 2 5 2" xfId="367"/>
    <cellStyle name="Comma 5 2 5 2 2" xfId="618"/>
    <cellStyle name="Comma 5 2 5 2 2 2" xfId="1918"/>
    <cellStyle name="Comma 5 2 5 2 2 2 2" xfId="10024"/>
    <cellStyle name="Comma 5 2 5 2 2 2 3" xfId="5006"/>
    <cellStyle name="Comma 5 2 5 2 2 3" xfId="6065"/>
    <cellStyle name="Comma 5 2 5 2 2 3 2" xfId="11081"/>
    <cellStyle name="Comma 5 2 5 2 2 4" xfId="9140"/>
    <cellStyle name="Comma 5 2 5 2 2 5" xfId="12535"/>
    <cellStyle name="Comma 5 2 5 2 2 6" xfId="7617"/>
    <cellStyle name="Comma 5 2 5 2 2 7" xfId="4071"/>
    <cellStyle name="Comma 5 2 5 2 3" xfId="1027"/>
    <cellStyle name="Comma 5 2 5 2 3 2" xfId="2267"/>
    <cellStyle name="Comma 5 2 5 2 3 2 2" xfId="10586"/>
    <cellStyle name="Comma 5 2 5 2 3 2 3" xfId="5569"/>
    <cellStyle name="Comma 5 2 5 2 3 3" xfId="6414"/>
    <cellStyle name="Comma 5 2 5 2 3 3 2" xfId="11429"/>
    <cellStyle name="Comma 5 2 5 2 3 4" xfId="8993"/>
    <cellStyle name="Comma 5 2 5 2 3 5" xfId="12883"/>
    <cellStyle name="Comma 5 2 5 2 3 6" xfId="8180"/>
    <cellStyle name="Comma 5 2 5 2 3 7" xfId="3924"/>
    <cellStyle name="Comma 5 2 5 2 4" xfId="1384"/>
    <cellStyle name="Comma 5 2 5 2 4 2" xfId="2942"/>
    <cellStyle name="Comma 5 2 5 2 4 2 2" xfId="11982"/>
    <cellStyle name="Comma 5 2 5 2 4 2 3" xfId="6967"/>
    <cellStyle name="Comma 5 2 5 2 4 3" xfId="13436"/>
    <cellStyle name="Comma 5 2 5 2 4 4" xfId="9877"/>
    <cellStyle name="Comma 5 2 5 2 4 5" xfId="4859"/>
    <cellStyle name="Comma 5 2 5 2 5" xfId="1776"/>
    <cellStyle name="Comma 5 2 5 2 5 2" xfId="10939"/>
    <cellStyle name="Comma 5 2 5 2 5 3" xfId="5923"/>
    <cellStyle name="Comma 5 2 5 2 6" xfId="8500"/>
    <cellStyle name="Comma 5 2 5 2 7" xfId="12393"/>
    <cellStyle name="Comma 5 2 5 2 8" xfId="7470"/>
    <cellStyle name="Comma 5 2 5 2 9" xfId="3422"/>
    <cellStyle name="Comma 5 2 5 3" xfId="518"/>
    <cellStyle name="Comma 5 2 5 3 2" xfId="927"/>
    <cellStyle name="Comma 5 2 5 3 2 2" xfId="9777"/>
    <cellStyle name="Comma 5 2 5 3 2 3" xfId="4759"/>
    <cellStyle name="Comma 5 2 5 3 3" xfId="1917"/>
    <cellStyle name="Comma 5 2 5 3 3 2" xfId="11080"/>
    <cellStyle name="Comma 5 2 5 3 3 3" xfId="6064"/>
    <cellStyle name="Comma 5 2 5 3 4" xfId="8893"/>
    <cellStyle name="Comma 5 2 5 3 5" xfId="12534"/>
    <cellStyle name="Comma 5 2 5 3 6" xfId="7370"/>
    <cellStyle name="Comma 5 2 5 3 7" xfId="3824"/>
    <cellStyle name="Comma 5 2 5 4" xfId="798"/>
    <cellStyle name="Comma 5 2 5 4 2" xfId="2266"/>
    <cellStyle name="Comma 5 2 5 4 2 2" xfId="10023"/>
    <cellStyle name="Comma 5 2 5 4 2 3" xfId="5005"/>
    <cellStyle name="Comma 5 2 5 4 3" xfId="6413"/>
    <cellStyle name="Comma 5 2 5 4 3 2" xfId="11428"/>
    <cellStyle name="Comma 5 2 5 4 4" xfId="9139"/>
    <cellStyle name="Comma 5 2 5 4 5" xfId="12882"/>
    <cellStyle name="Comma 5 2 5 4 6" xfId="7616"/>
    <cellStyle name="Comma 5 2 5 4 7" xfId="4070"/>
    <cellStyle name="Comma 5 2 5 5" xfId="1283"/>
    <cellStyle name="Comma 5 2 5 5 2" xfId="2840"/>
    <cellStyle name="Comma 5 2 5 5 2 2" xfId="10486"/>
    <cellStyle name="Comma 5 2 5 5 2 3" xfId="5469"/>
    <cellStyle name="Comma 5 2 5 5 3" xfId="6867"/>
    <cellStyle name="Comma 5 2 5 5 3 2" xfId="11882"/>
    <cellStyle name="Comma 5 2 5 5 4" xfId="8674"/>
    <cellStyle name="Comma 5 2 5 5 5" xfId="13336"/>
    <cellStyle name="Comma 5 2 5 5 6" xfId="8080"/>
    <cellStyle name="Comma 5 2 5 5 7" xfId="3603"/>
    <cellStyle name="Comma 5 2 5 6" xfId="1676"/>
    <cellStyle name="Comma 5 2 5 6 2" xfId="9560"/>
    <cellStyle name="Comma 5 2 5 6 3" xfId="4542"/>
    <cellStyle name="Comma 5 2 5 7" xfId="5823"/>
    <cellStyle name="Comma 5 2 5 7 2" xfId="10839"/>
    <cellStyle name="Comma 5 2 5 8" xfId="8400"/>
    <cellStyle name="Comma 5 2 5 9" xfId="12293"/>
    <cellStyle name="Comma 5 2 6" xfId="228"/>
    <cellStyle name="Comma 5 2 6 10" xfId="7201"/>
    <cellStyle name="Comma 5 2 6 11" xfId="3265"/>
    <cellStyle name="Comma 5 2 6 2" xfId="309"/>
    <cellStyle name="Comma 5 2 6 2 2" xfId="666"/>
    <cellStyle name="Comma 5 2 6 2 2 2" xfId="1920"/>
    <cellStyle name="Comma 5 2 6 2 2 2 2" xfId="10026"/>
    <cellStyle name="Comma 5 2 6 2 2 2 3" xfId="5008"/>
    <cellStyle name="Comma 5 2 6 2 2 3" xfId="6067"/>
    <cellStyle name="Comma 5 2 6 2 2 3 2" xfId="11083"/>
    <cellStyle name="Comma 5 2 6 2 2 4" xfId="9142"/>
    <cellStyle name="Comma 5 2 6 2 2 5" xfId="12537"/>
    <cellStyle name="Comma 5 2 6 2 2 6" xfId="7619"/>
    <cellStyle name="Comma 5 2 6 2 2 7" xfId="4073"/>
    <cellStyle name="Comma 5 2 6 2 3" xfId="1075"/>
    <cellStyle name="Comma 5 2 6 2 3 2" xfId="2269"/>
    <cellStyle name="Comma 5 2 6 2 3 2 2" xfId="10634"/>
    <cellStyle name="Comma 5 2 6 2 3 2 3" xfId="5617"/>
    <cellStyle name="Comma 5 2 6 2 3 3" xfId="6416"/>
    <cellStyle name="Comma 5 2 6 2 3 3 2" xfId="11431"/>
    <cellStyle name="Comma 5 2 6 2 3 4" xfId="9041"/>
    <cellStyle name="Comma 5 2 6 2 3 5" xfId="12885"/>
    <cellStyle name="Comma 5 2 6 2 3 6" xfId="8228"/>
    <cellStyle name="Comma 5 2 6 2 3 7" xfId="3972"/>
    <cellStyle name="Comma 5 2 6 2 4" xfId="1433"/>
    <cellStyle name="Comma 5 2 6 2 4 2" xfId="2992"/>
    <cellStyle name="Comma 5 2 6 2 4 2 2" xfId="12030"/>
    <cellStyle name="Comma 5 2 6 2 4 2 3" xfId="7015"/>
    <cellStyle name="Comma 5 2 6 2 4 3" xfId="13484"/>
    <cellStyle name="Comma 5 2 6 2 4 4" xfId="9925"/>
    <cellStyle name="Comma 5 2 6 2 4 5" xfId="4907"/>
    <cellStyle name="Comma 5 2 6 2 5" xfId="1824"/>
    <cellStyle name="Comma 5 2 6 2 5 2" xfId="10987"/>
    <cellStyle name="Comma 5 2 6 2 5 3" xfId="5971"/>
    <cellStyle name="Comma 5 2 6 2 6" xfId="8548"/>
    <cellStyle name="Comma 5 2 6 2 7" xfId="12441"/>
    <cellStyle name="Comma 5 2 6 2 8" xfId="7518"/>
    <cellStyle name="Comma 5 2 6 2 9" xfId="3470"/>
    <cellStyle name="Comma 5 2 6 3" xfId="461"/>
    <cellStyle name="Comma 5 2 6 3 2" xfId="1919"/>
    <cellStyle name="Comma 5 2 6 3 2 2" xfId="9720"/>
    <cellStyle name="Comma 5 2 6 3 2 3" xfId="4702"/>
    <cellStyle name="Comma 5 2 6 3 3" xfId="6066"/>
    <cellStyle name="Comma 5 2 6 3 3 2" xfId="11082"/>
    <cellStyle name="Comma 5 2 6 3 4" xfId="8836"/>
    <cellStyle name="Comma 5 2 6 3 5" xfId="12536"/>
    <cellStyle name="Comma 5 2 6 3 6" xfId="7313"/>
    <cellStyle name="Comma 5 2 6 3 7" xfId="3767"/>
    <cellStyle name="Comma 5 2 6 4" xfId="870"/>
    <cellStyle name="Comma 5 2 6 4 2" xfId="2268"/>
    <cellStyle name="Comma 5 2 6 4 2 2" xfId="10025"/>
    <cellStyle name="Comma 5 2 6 4 2 3" xfId="5007"/>
    <cellStyle name="Comma 5 2 6 4 3" xfId="6415"/>
    <cellStyle name="Comma 5 2 6 4 3 2" xfId="11430"/>
    <cellStyle name="Comma 5 2 6 4 4" xfId="9141"/>
    <cellStyle name="Comma 5 2 6 4 5" xfId="12884"/>
    <cellStyle name="Comma 5 2 6 4 6" xfId="7618"/>
    <cellStyle name="Comma 5 2 6 4 7" xfId="4072"/>
    <cellStyle name="Comma 5 2 6 5" xfId="1222"/>
    <cellStyle name="Comma 5 2 6 5 2" xfId="2778"/>
    <cellStyle name="Comma 5 2 6 5 2 2" xfId="10429"/>
    <cellStyle name="Comma 5 2 6 5 2 3" xfId="5412"/>
    <cellStyle name="Comma 5 2 6 5 3" xfId="6810"/>
    <cellStyle name="Comma 5 2 6 5 3 2" xfId="11825"/>
    <cellStyle name="Comma 5 2 6 5 4" xfId="8722"/>
    <cellStyle name="Comma 5 2 6 5 5" xfId="13279"/>
    <cellStyle name="Comma 5 2 6 5 6" xfId="8023"/>
    <cellStyle name="Comma 5 2 6 5 7" xfId="3652"/>
    <cellStyle name="Comma 5 2 6 6" xfId="1619"/>
    <cellStyle name="Comma 5 2 6 6 2" xfId="9608"/>
    <cellStyle name="Comma 5 2 6 6 3" xfId="4590"/>
    <cellStyle name="Comma 5 2 6 7" xfId="5766"/>
    <cellStyle name="Comma 5 2 6 7 2" xfId="10782"/>
    <cellStyle name="Comma 5 2 6 8" xfId="8343"/>
    <cellStyle name="Comma 5 2 6 9" xfId="12236"/>
    <cellStyle name="Comma 5 2 7" xfId="255"/>
    <cellStyle name="Comma 5 2 7 10" xfId="3526"/>
    <cellStyle name="Comma 5 2 7 2" xfId="722"/>
    <cellStyle name="Comma 5 2 7 2 2" xfId="1921"/>
    <cellStyle name="Comma 5 2 7 2 2 2" xfId="9981"/>
    <cellStyle name="Comma 5 2 7 2 2 3" xfId="4963"/>
    <cellStyle name="Comma 5 2 7 2 3" xfId="6068"/>
    <cellStyle name="Comma 5 2 7 2 3 2" xfId="11084"/>
    <cellStyle name="Comma 5 2 7 2 4" xfId="9097"/>
    <cellStyle name="Comma 5 2 7 2 5" xfId="12538"/>
    <cellStyle name="Comma 5 2 7 2 6" xfId="7574"/>
    <cellStyle name="Comma 5 2 7 2 7" xfId="4028"/>
    <cellStyle name="Comma 5 2 7 3" xfId="1131"/>
    <cellStyle name="Comma 5 2 7 3 2" xfId="2270"/>
    <cellStyle name="Comma 5 2 7 3 2 2" xfId="10027"/>
    <cellStyle name="Comma 5 2 7 3 2 3" xfId="5009"/>
    <cellStyle name="Comma 5 2 7 3 3" xfId="6417"/>
    <cellStyle name="Comma 5 2 7 3 3 2" xfId="11432"/>
    <cellStyle name="Comma 5 2 7 3 4" xfId="9143"/>
    <cellStyle name="Comma 5 2 7 3 5" xfId="12886"/>
    <cellStyle name="Comma 5 2 7 3 6" xfId="7620"/>
    <cellStyle name="Comma 5 2 7 3 7" xfId="4074"/>
    <cellStyle name="Comma 5 2 7 4" xfId="1489"/>
    <cellStyle name="Comma 5 2 7 4 2" xfId="3048"/>
    <cellStyle name="Comma 5 2 7 4 2 2" xfId="10690"/>
    <cellStyle name="Comma 5 2 7 4 2 3" xfId="5673"/>
    <cellStyle name="Comma 5 2 7 4 3" xfId="7071"/>
    <cellStyle name="Comma 5 2 7 4 3 2" xfId="12086"/>
    <cellStyle name="Comma 5 2 7 4 4" xfId="8778"/>
    <cellStyle name="Comma 5 2 7 4 5" xfId="13540"/>
    <cellStyle name="Comma 5 2 7 4 6" xfId="8284"/>
    <cellStyle name="Comma 5 2 7 4 7" xfId="3708"/>
    <cellStyle name="Comma 5 2 7 5" xfId="1880"/>
    <cellStyle name="Comma 5 2 7 5 2" xfId="9664"/>
    <cellStyle name="Comma 5 2 7 5 3" xfId="4646"/>
    <cellStyle name="Comma 5 2 7 6" xfId="6027"/>
    <cellStyle name="Comma 5 2 7 6 2" xfId="11043"/>
    <cellStyle name="Comma 5 2 7 7" xfId="8604"/>
    <cellStyle name="Comma 5 2 7 8" xfId="12497"/>
    <cellStyle name="Comma 5 2 7 9" xfId="7257"/>
    <cellStyle name="Comma 5 2 8" xfId="561"/>
    <cellStyle name="Comma 5 2 8 2" xfId="970"/>
    <cellStyle name="Comma 5 2 8 2 2" xfId="1922"/>
    <cellStyle name="Comma 5 2 8 2 2 2" xfId="10028"/>
    <cellStyle name="Comma 5 2 8 2 2 3" xfId="5010"/>
    <cellStyle name="Comma 5 2 8 2 3" xfId="6069"/>
    <cellStyle name="Comma 5 2 8 2 3 2" xfId="11085"/>
    <cellStyle name="Comma 5 2 8 2 4" xfId="9144"/>
    <cellStyle name="Comma 5 2 8 2 5" xfId="12539"/>
    <cellStyle name="Comma 5 2 8 2 6" xfId="7621"/>
    <cellStyle name="Comma 5 2 8 2 7" xfId="4075"/>
    <cellStyle name="Comma 5 2 8 3" xfId="1326"/>
    <cellStyle name="Comma 5 2 8 3 2" xfId="2271"/>
    <cellStyle name="Comma 5 2 8 3 2 2" xfId="10529"/>
    <cellStyle name="Comma 5 2 8 3 2 3" xfId="5512"/>
    <cellStyle name="Comma 5 2 8 3 3" xfId="6418"/>
    <cellStyle name="Comma 5 2 8 3 3 2" xfId="11433"/>
    <cellStyle name="Comma 5 2 8 3 4" xfId="8936"/>
    <cellStyle name="Comma 5 2 8 3 5" xfId="12887"/>
    <cellStyle name="Comma 5 2 8 3 6" xfId="8123"/>
    <cellStyle name="Comma 5 2 8 3 7" xfId="3867"/>
    <cellStyle name="Comma 5 2 8 4" xfId="2884"/>
    <cellStyle name="Comma 5 2 8 4 2" xfId="6910"/>
    <cellStyle name="Comma 5 2 8 4 2 2" xfId="11925"/>
    <cellStyle name="Comma 5 2 8 4 3" xfId="13379"/>
    <cellStyle name="Comma 5 2 8 4 4" xfId="9820"/>
    <cellStyle name="Comma 5 2 8 4 5" xfId="4802"/>
    <cellStyle name="Comma 5 2 8 5" xfId="1719"/>
    <cellStyle name="Comma 5 2 8 5 2" xfId="10882"/>
    <cellStyle name="Comma 5 2 8 5 3" xfId="5866"/>
    <cellStyle name="Comma 5 2 8 6" xfId="8443"/>
    <cellStyle name="Comma 5 2 8 7" xfId="12336"/>
    <cellStyle name="Comma 5 2 8 8" xfId="7413"/>
    <cellStyle name="Comma 5 2 8 9" xfId="3365"/>
    <cellStyle name="Comma 5 2 9" xfId="422"/>
    <cellStyle name="Comma 5 2 9 2" xfId="830"/>
    <cellStyle name="Comma 5 2 9 2 2" xfId="1923"/>
    <cellStyle name="Comma 5 2 9 2 2 2" xfId="10029"/>
    <cellStyle name="Comma 5 2 9 2 2 3" xfId="5011"/>
    <cellStyle name="Comma 5 2 9 2 3" xfId="6070"/>
    <cellStyle name="Comma 5 2 9 2 3 2" xfId="11086"/>
    <cellStyle name="Comma 5 2 9 2 4" xfId="9145"/>
    <cellStyle name="Comma 5 2 9 2 5" xfId="12540"/>
    <cellStyle name="Comma 5 2 9 2 6" xfId="7622"/>
    <cellStyle name="Comma 5 2 9 2 7" xfId="4076"/>
    <cellStyle name="Comma 5 2 9 3" xfId="1180"/>
    <cellStyle name="Comma 5 2 9 3 2" xfId="2272"/>
    <cellStyle name="Comma 5 2 9 3 2 2" xfId="10390"/>
    <cellStyle name="Comma 5 2 9 3 2 3" xfId="5373"/>
    <cellStyle name="Comma 5 2 9 3 3" xfId="6419"/>
    <cellStyle name="Comma 5 2 9 3 3 2" xfId="11434"/>
    <cellStyle name="Comma 5 2 9 3 4" xfId="9476"/>
    <cellStyle name="Comma 5 2 9 3 5" xfId="12888"/>
    <cellStyle name="Comma 5 2 9 3 6" xfId="7984"/>
    <cellStyle name="Comma 5 2 9 3 7" xfId="4458"/>
    <cellStyle name="Comma 5 2 9 4" xfId="2731"/>
    <cellStyle name="Comma 5 2 9 4 2" xfId="6771"/>
    <cellStyle name="Comma 5 2 9 4 2 2" xfId="11786"/>
    <cellStyle name="Comma 5 2 9 4 3" xfId="13240"/>
    <cellStyle name="Comma 5 2 9 4 4" xfId="9681"/>
    <cellStyle name="Comma 5 2 9 4 5" xfId="4663"/>
    <cellStyle name="Comma 5 2 9 5" xfId="1580"/>
    <cellStyle name="Comma 5 2 9 5 2" xfId="10741"/>
    <cellStyle name="Comma 5 2 9 5 3" xfId="5725"/>
    <cellStyle name="Comma 5 2 9 6" xfId="8797"/>
    <cellStyle name="Comma 5 2 9 7" xfId="12197"/>
    <cellStyle name="Comma 5 2 9 8" xfId="7274"/>
    <cellStyle name="Comma 5 2 9 9" xfId="3728"/>
    <cellStyle name="Comma 5 3" xfId="136"/>
    <cellStyle name="Comma 5 3 10" xfId="1559"/>
    <cellStyle name="Comma 5 3 10 2" xfId="12176"/>
    <cellStyle name="Comma 5 3 10 3" xfId="10720"/>
    <cellStyle name="Comma 5 3 10 4" xfId="5704"/>
    <cellStyle name="Comma 5 3 11" xfId="1529"/>
    <cellStyle name="Comma 5 3 11 2" xfId="8328"/>
    <cellStyle name="Comma 5 3 12" xfId="12146"/>
    <cellStyle name="Comma 5 3 13" xfId="7108"/>
    <cellStyle name="Comma 5 3 14" xfId="3250"/>
    <cellStyle name="Comma 5 3 2" xfId="177"/>
    <cellStyle name="Comma 5 3 2 10" xfId="12278"/>
    <cellStyle name="Comma 5 3 2 11" xfId="7138"/>
    <cellStyle name="Comma 5 3 2 12" xfId="3307"/>
    <cellStyle name="Comma 5 3 2 2" xfId="352"/>
    <cellStyle name="Comma 5 3 2 2 10" xfId="3511"/>
    <cellStyle name="Comma 5 3 2 2 2" xfId="707"/>
    <cellStyle name="Comma 5 3 2 2 2 2" xfId="1926"/>
    <cellStyle name="Comma 5 3 2 2 2 2 2" xfId="9966"/>
    <cellStyle name="Comma 5 3 2 2 2 2 3" xfId="4948"/>
    <cellStyle name="Comma 5 3 2 2 2 3" xfId="6073"/>
    <cellStyle name="Comma 5 3 2 2 2 3 2" xfId="11089"/>
    <cellStyle name="Comma 5 3 2 2 2 4" xfId="9082"/>
    <cellStyle name="Comma 5 3 2 2 2 5" xfId="12543"/>
    <cellStyle name="Comma 5 3 2 2 2 6" xfId="7559"/>
    <cellStyle name="Comma 5 3 2 2 2 7" xfId="4013"/>
    <cellStyle name="Comma 5 3 2 2 3" xfId="1116"/>
    <cellStyle name="Comma 5 3 2 2 3 2" xfId="2275"/>
    <cellStyle name="Comma 5 3 2 2 3 2 2" xfId="10032"/>
    <cellStyle name="Comma 5 3 2 2 3 2 3" xfId="5014"/>
    <cellStyle name="Comma 5 3 2 2 3 3" xfId="6422"/>
    <cellStyle name="Comma 5 3 2 2 3 3 2" xfId="11437"/>
    <cellStyle name="Comma 5 3 2 2 3 4" xfId="9148"/>
    <cellStyle name="Comma 5 3 2 2 3 5" xfId="12891"/>
    <cellStyle name="Comma 5 3 2 2 3 6" xfId="7625"/>
    <cellStyle name="Comma 5 3 2 2 3 7" xfId="4079"/>
    <cellStyle name="Comma 5 3 2 2 4" xfId="1474"/>
    <cellStyle name="Comma 5 3 2 2 4 2" xfId="3033"/>
    <cellStyle name="Comma 5 3 2 2 4 2 2" xfId="10675"/>
    <cellStyle name="Comma 5 3 2 2 4 2 3" xfId="5658"/>
    <cellStyle name="Comma 5 3 2 2 4 3" xfId="7056"/>
    <cellStyle name="Comma 5 3 2 2 4 3 2" xfId="12071"/>
    <cellStyle name="Comma 5 3 2 2 4 4" xfId="8763"/>
    <cellStyle name="Comma 5 3 2 2 4 5" xfId="13525"/>
    <cellStyle name="Comma 5 3 2 2 4 6" xfId="8269"/>
    <cellStyle name="Comma 5 3 2 2 4 7" xfId="3693"/>
    <cellStyle name="Comma 5 3 2 2 5" xfId="1865"/>
    <cellStyle name="Comma 5 3 2 2 5 2" xfId="9649"/>
    <cellStyle name="Comma 5 3 2 2 5 3" xfId="4631"/>
    <cellStyle name="Comma 5 3 2 2 6" xfId="6012"/>
    <cellStyle name="Comma 5 3 2 2 6 2" xfId="11028"/>
    <cellStyle name="Comma 5 3 2 2 7" xfId="8589"/>
    <cellStyle name="Comma 5 3 2 2 8" xfId="12482"/>
    <cellStyle name="Comma 5 3 2 2 9" xfId="7242"/>
    <cellStyle name="Comma 5 3 2 3" xfId="603"/>
    <cellStyle name="Comma 5 3 2 3 2" xfId="1012"/>
    <cellStyle name="Comma 5 3 2 3 2 2" xfId="1927"/>
    <cellStyle name="Comma 5 3 2 3 2 2 2" xfId="10033"/>
    <cellStyle name="Comma 5 3 2 3 2 2 3" xfId="5015"/>
    <cellStyle name="Comma 5 3 2 3 2 3" xfId="6074"/>
    <cellStyle name="Comma 5 3 2 3 2 3 2" xfId="11090"/>
    <cellStyle name="Comma 5 3 2 3 2 4" xfId="9149"/>
    <cellStyle name="Comma 5 3 2 3 2 5" xfId="12544"/>
    <cellStyle name="Comma 5 3 2 3 2 6" xfId="7626"/>
    <cellStyle name="Comma 5 3 2 3 2 7" xfId="4080"/>
    <cellStyle name="Comma 5 3 2 3 3" xfId="1368"/>
    <cellStyle name="Comma 5 3 2 3 3 2" xfId="2276"/>
    <cellStyle name="Comma 5 3 2 3 3 2 2" xfId="10571"/>
    <cellStyle name="Comma 5 3 2 3 3 2 3" xfId="5554"/>
    <cellStyle name="Comma 5 3 2 3 3 3" xfId="6423"/>
    <cellStyle name="Comma 5 3 2 3 3 3 2" xfId="11438"/>
    <cellStyle name="Comma 5 3 2 3 3 4" xfId="8978"/>
    <cellStyle name="Comma 5 3 2 3 3 5" xfId="12892"/>
    <cellStyle name="Comma 5 3 2 3 3 6" xfId="8165"/>
    <cellStyle name="Comma 5 3 2 3 3 7" xfId="3909"/>
    <cellStyle name="Comma 5 3 2 3 4" xfId="2926"/>
    <cellStyle name="Comma 5 3 2 3 4 2" xfId="6952"/>
    <cellStyle name="Comma 5 3 2 3 4 2 2" xfId="11967"/>
    <cellStyle name="Comma 5 3 2 3 4 3" xfId="13421"/>
    <cellStyle name="Comma 5 3 2 3 4 4" xfId="9862"/>
    <cellStyle name="Comma 5 3 2 3 4 5" xfId="4844"/>
    <cellStyle name="Comma 5 3 2 3 5" xfId="1761"/>
    <cellStyle name="Comma 5 3 2 3 5 2" xfId="10924"/>
    <cellStyle name="Comma 5 3 2 3 5 3" xfId="5908"/>
    <cellStyle name="Comma 5 3 2 3 6" xfId="8485"/>
    <cellStyle name="Comma 5 3 2 3 7" xfId="12378"/>
    <cellStyle name="Comma 5 3 2 3 8" xfId="7455"/>
    <cellStyle name="Comma 5 3 2 3 9" xfId="3407"/>
    <cellStyle name="Comma 5 3 2 4" xfId="503"/>
    <cellStyle name="Comma 5 3 2 4 2" xfId="912"/>
    <cellStyle name="Comma 5 3 2 4 2 2" xfId="9762"/>
    <cellStyle name="Comma 5 3 2 4 2 3" xfId="4744"/>
    <cellStyle name="Comma 5 3 2 4 3" xfId="1925"/>
    <cellStyle name="Comma 5 3 2 4 3 2" xfId="11088"/>
    <cellStyle name="Comma 5 3 2 4 3 3" xfId="6072"/>
    <cellStyle name="Comma 5 3 2 4 4" xfId="8878"/>
    <cellStyle name="Comma 5 3 2 4 5" xfId="12542"/>
    <cellStyle name="Comma 5 3 2 4 6" xfId="7355"/>
    <cellStyle name="Comma 5 3 2 4 7" xfId="3809"/>
    <cellStyle name="Comma 5 3 2 5" xfId="779"/>
    <cellStyle name="Comma 5 3 2 5 2" xfId="2274"/>
    <cellStyle name="Comma 5 3 2 5 2 2" xfId="10031"/>
    <cellStyle name="Comma 5 3 2 5 2 3" xfId="5013"/>
    <cellStyle name="Comma 5 3 2 5 3" xfId="6421"/>
    <cellStyle name="Comma 5 3 2 5 3 2" xfId="11436"/>
    <cellStyle name="Comma 5 3 2 5 4" xfId="9147"/>
    <cellStyle name="Comma 5 3 2 5 5" xfId="12890"/>
    <cellStyle name="Comma 5 3 2 5 6" xfId="7624"/>
    <cellStyle name="Comma 5 3 2 5 7" xfId="4078"/>
    <cellStyle name="Comma 5 3 2 6" xfId="1267"/>
    <cellStyle name="Comma 5 3 2 6 2" xfId="2824"/>
    <cellStyle name="Comma 5 3 2 6 2 2" xfId="10471"/>
    <cellStyle name="Comma 5 3 2 6 2 3" xfId="5454"/>
    <cellStyle name="Comma 5 3 2 6 3" xfId="6852"/>
    <cellStyle name="Comma 5 3 2 6 3 2" xfId="11867"/>
    <cellStyle name="Comma 5 3 2 6 4" xfId="8659"/>
    <cellStyle name="Comma 5 3 2 6 5" xfId="13321"/>
    <cellStyle name="Comma 5 3 2 6 6" xfId="8065"/>
    <cellStyle name="Comma 5 3 2 6 7" xfId="3586"/>
    <cellStyle name="Comma 5 3 2 7" xfId="1661"/>
    <cellStyle name="Comma 5 3 2 7 2" xfId="9545"/>
    <cellStyle name="Comma 5 3 2 7 3" xfId="4527"/>
    <cellStyle name="Comma 5 3 2 8" xfId="5808"/>
    <cellStyle name="Comma 5 3 2 8 2" xfId="10824"/>
    <cellStyle name="Comma 5 3 2 9" xfId="8385"/>
    <cellStyle name="Comma 5 3 3" xfId="203"/>
    <cellStyle name="Comma 5 3 3 10" xfId="7181"/>
    <cellStyle name="Comma 5 3 3 11" xfId="3350"/>
    <cellStyle name="Comma 5 3 3 2" xfId="396"/>
    <cellStyle name="Comma 5 3 3 2 2" xfId="646"/>
    <cellStyle name="Comma 5 3 3 2 2 2" xfId="1929"/>
    <cellStyle name="Comma 5 3 3 2 2 2 2" xfId="10035"/>
    <cellStyle name="Comma 5 3 3 2 2 2 3" xfId="5017"/>
    <cellStyle name="Comma 5 3 3 2 2 3" xfId="6076"/>
    <cellStyle name="Comma 5 3 3 2 2 3 2" xfId="11092"/>
    <cellStyle name="Comma 5 3 3 2 2 4" xfId="9151"/>
    <cellStyle name="Comma 5 3 3 2 2 5" xfId="12546"/>
    <cellStyle name="Comma 5 3 3 2 2 6" xfId="7628"/>
    <cellStyle name="Comma 5 3 3 2 2 7" xfId="4082"/>
    <cellStyle name="Comma 5 3 3 2 3" xfId="1055"/>
    <cellStyle name="Comma 5 3 3 2 3 2" xfId="2278"/>
    <cellStyle name="Comma 5 3 3 2 3 2 2" xfId="10614"/>
    <cellStyle name="Comma 5 3 3 2 3 2 3" xfId="5597"/>
    <cellStyle name="Comma 5 3 3 2 3 3" xfId="6425"/>
    <cellStyle name="Comma 5 3 3 2 3 3 2" xfId="11440"/>
    <cellStyle name="Comma 5 3 3 2 3 4" xfId="9021"/>
    <cellStyle name="Comma 5 3 3 2 3 5" xfId="12894"/>
    <cellStyle name="Comma 5 3 3 2 3 6" xfId="8208"/>
    <cellStyle name="Comma 5 3 3 2 3 7" xfId="3952"/>
    <cellStyle name="Comma 5 3 3 2 4" xfId="1413"/>
    <cellStyle name="Comma 5 3 3 2 4 2" xfId="2971"/>
    <cellStyle name="Comma 5 3 3 2 4 2 2" xfId="12010"/>
    <cellStyle name="Comma 5 3 3 2 4 2 3" xfId="6995"/>
    <cellStyle name="Comma 5 3 3 2 4 3" xfId="13464"/>
    <cellStyle name="Comma 5 3 3 2 4 4" xfId="9905"/>
    <cellStyle name="Comma 5 3 3 2 4 5" xfId="4887"/>
    <cellStyle name="Comma 5 3 3 2 5" xfId="1804"/>
    <cellStyle name="Comma 5 3 3 2 5 2" xfId="10967"/>
    <cellStyle name="Comma 5 3 3 2 5 3" xfId="5951"/>
    <cellStyle name="Comma 5 3 3 2 6" xfId="8528"/>
    <cellStyle name="Comma 5 3 3 2 7" xfId="12421"/>
    <cellStyle name="Comma 5 3 3 2 8" xfId="7498"/>
    <cellStyle name="Comma 5 3 3 2 9" xfId="3450"/>
    <cellStyle name="Comma 5 3 3 3" xfId="546"/>
    <cellStyle name="Comma 5 3 3 3 2" xfId="955"/>
    <cellStyle name="Comma 5 3 3 3 2 2" xfId="9805"/>
    <cellStyle name="Comma 5 3 3 3 2 3" xfId="4787"/>
    <cellStyle name="Comma 5 3 3 3 3" xfId="1928"/>
    <cellStyle name="Comma 5 3 3 3 3 2" xfId="11091"/>
    <cellStyle name="Comma 5 3 3 3 3 3" xfId="6075"/>
    <cellStyle name="Comma 5 3 3 3 4" xfId="8921"/>
    <cellStyle name="Comma 5 3 3 3 5" xfId="12545"/>
    <cellStyle name="Comma 5 3 3 3 6" xfId="7398"/>
    <cellStyle name="Comma 5 3 3 3 7" xfId="3852"/>
    <cellStyle name="Comma 5 3 3 4" xfId="809"/>
    <cellStyle name="Comma 5 3 3 4 2" xfId="2277"/>
    <cellStyle name="Comma 5 3 3 4 2 2" xfId="10034"/>
    <cellStyle name="Comma 5 3 3 4 2 3" xfId="5016"/>
    <cellStyle name="Comma 5 3 3 4 3" xfId="6424"/>
    <cellStyle name="Comma 5 3 3 4 3 2" xfId="11439"/>
    <cellStyle name="Comma 5 3 3 4 4" xfId="9150"/>
    <cellStyle name="Comma 5 3 3 4 5" xfId="12893"/>
    <cellStyle name="Comma 5 3 3 4 6" xfId="7627"/>
    <cellStyle name="Comma 5 3 3 4 7" xfId="4081"/>
    <cellStyle name="Comma 5 3 3 5" xfId="1311"/>
    <cellStyle name="Comma 5 3 3 5 2" xfId="2869"/>
    <cellStyle name="Comma 5 3 3 5 2 2" xfId="10514"/>
    <cellStyle name="Comma 5 3 3 5 2 3" xfId="5497"/>
    <cellStyle name="Comma 5 3 3 5 3" xfId="6895"/>
    <cellStyle name="Comma 5 3 3 5 3 2" xfId="11910"/>
    <cellStyle name="Comma 5 3 3 5 4" xfId="8702"/>
    <cellStyle name="Comma 5 3 3 5 5" xfId="13364"/>
    <cellStyle name="Comma 5 3 3 5 6" xfId="8108"/>
    <cellStyle name="Comma 5 3 3 5 7" xfId="3632"/>
    <cellStyle name="Comma 5 3 3 6" xfId="1704"/>
    <cellStyle name="Comma 5 3 3 6 2" xfId="9588"/>
    <cellStyle name="Comma 5 3 3 6 3" xfId="4570"/>
    <cellStyle name="Comma 5 3 3 7" xfId="5851"/>
    <cellStyle name="Comma 5 3 3 7 2" xfId="10867"/>
    <cellStyle name="Comma 5 3 3 8" xfId="8428"/>
    <cellStyle name="Comma 5 3 3 9" xfId="12321"/>
    <cellStyle name="Comma 5 3 4" xfId="239"/>
    <cellStyle name="Comma 5 3 4 10" xfId="7213"/>
    <cellStyle name="Comma 5 3 4 11" xfId="3277"/>
    <cellStyle name="Comma 5 3 4 2" xfId="321"/>
    <cellStyle name="Comma 5 3 4 2 2" xfId="678"/>
    <cellStyle name="Comma 5 3 4 2 2 2" xfId="1931"/>
    <cellStyle name="Comma 5 3 4 2 2 2 2" xfId="10037"/>
    <cellStyle name="Comma 5 3 4 2 2 2 3" xfId="5019"/>
    <cellStyle name="Comma 5 3 4 2 2 3" xfId="6078"/>
    <cellStyle name="Comma 5 3 4 2 2 3 2" xfId="11094"/>
    <cellStyle name="Comma 5 3 4 2 2 4" xfId="9153"/>
    <cellStyle name="Comma 5 3 4 2 2 5" xfId="12548"/>
    <cellStyle name="Comma 5 3 4 2 2 6" xfId="7630"/>
    <cellStyle name="Comma 5 3 4 2 2 7" xfId="4084"/>
    <cellStyle name="Comma 5 3 4 2 3" xfId="1087"/>
    <cellStyle name="Comma 5 3 4 2 3 2" xfId="2280"/>
    <cellStyle name="Comma 5 3 4 2 3 2 2" xfId="10646"/>
    <cellStyle name="Comma 5 3 4 2 3 2 3" xfId="5629"/>
    <cellStyle name="Comma 5 3 4 2 3 3" xfId="6427"/>
    <cellStyle name="Comma 5 3 4 2 3 3 2" xfId="11442"/>
    <cellStyle name="Comma 5 3 4 2 3 4" xfId="9053"/>
    <cellStyle name="Comma 5 3 4 2 3 5" xfId="12896"/>
    <cellStyle name="Comma 5 3 4 2 3 6" xfId="8240"/>
    <cellStyle name="Comma 5 3 4 2 3 7" xfId="3984"/>
    <cellStyle name="Comma 5 3 4 2 4" xfId="1445"/>
    <cellStyle name="Comma 5 3 4 2 4 2" xfId="3004"/>
    <cellStyle name="Comma 5 3 4 2 4 2 2" xfId="12042"/>
    <cellStyle name="Comma 5 3 4 2 4 2 3" xfId="7027"/>
    <cellStyle name="Comma 5 3 4 2 4 3" xfId="13496"/>
    <cellStyle name="Comma 5 3 4 2 4 4" xfId="9937"/>
    <cellStyle name="Comma 5 3 4 2 4 5" xfId="4919"/>
    <cellStyle name="Comma 5 3 4 2 5" xfId="1836"/>
    <cellStyle name="Comma 5 3 4 2 5 2" xfId="10999"/>
    <cellStyle name="Comma 5 3 4 2 5 3" xfId="5983"/>
    <cellStyle name="Comma 5 3 4 2 6" xfId="8560"/>
    <cellStyle name="Comma 5 3 4 2 7" xfId="12453"/>
    <cellStyle name="Comma 5 3 4 2 8" xfId="7530"/>
    <cellStyle name="Comma 5 3 4 2 9" xfId="3482"/>
    <cellStyle name="Comma 5 3 4 3" xfId="473"/>
    <cellStyle name="Comma 5 3 4 3 2" xfId="1930"/>
    <cellStyle name="Comma 5 3 4 3 2 2" xfId="9732"/>
    <cellStyle name="Comma 5 3 4 3 2 3" xfId="4714"/>
    <cellStyle name="Comma 5 3 4 3 3" xfId="6077"/>
    <cellStyle name="Comma 5 3 4 3 3 2" xfId="11093"/>
    <cellStyle name="Comma 5 3 4 3 4" xfId="8848"/>
    <cellStyle name="Comma 5 3 4 3 5" xfId="12547"/>
    <cellStyle name="Comma 5 3 4 3 6" xfId="7325"/>
    <cellStyle name="Comma 5 3 4 3 7" xfId="3779"/>
    <cellStyle name="Comma 5 3 4 4" xfId="882"/>
    <cellStyle name="Comma 5 3 4 4 2" xfId="2279"/>
    <cellStyle name="Comma 5 3 4 4 2 2" xfId="10036"/>
    <cellStyle name="Comma 5 3 4 4 2 3" xfId="5018"/>
    <cellStyle name="Comma 5 3 4 4 3" xfId="6426"/>
    <cellStyle name="Comma 5 3 4 4 3 2" xfId="11441"/>
    <cellStyle name="Comma 5 3 4 4 4" xfId="9152"/>
    <cellStyle name="Comma 5 3 4 4 5" xfId="12895"/>
    <cellStyle name="Comma 5 3 4 4 6" xfId="7629"/>
    <cellStyle name="Comma 5 3 4 4 7" xfId="4083"/>
    <cellStyle name="Comma 5 3 4 5" xfId="1234"/>
    <cellStyle name="Comma 5 3 4 5 2" xfId="2790"/>
    <cellStyle name="Comma 5 3 4 5 2 2" xfId="10441"/>
    <cellStyle name="Comma 5 3 4 5 2 3" xfId="5424"/>
    <cellStyle name="Comma 5 3 4 5 3" xfId="6822"/>
    <cellStyle name="Comma 5 3 4 5 3 2" xfId="11837"/>
    <cellStyle name="Comma 5 3 4 5 4" xfId="8734"/>
    <cellStyle name="Comma 5 3 4 5 5" xfId="13291"/>
    <cellStyle name="Comma 5 3 4 5 6" xfId="8035"/>
    <cellStyle name="Comma 5 3 4 5 7" xfId="3664"/>
    <cellStyle name="Comma 5 3 4 6" xfId="1631"/>
    <cellStyle name="Comma 5 3 4 6 2" xfId="9620"/>
    <cellStyle name="Comma 5 3 4 6 3" xfId="4602"/>
    <cellStyle name="Comma 5 3 4 7" xfId="5778"/>
    <cellStyle name="Comma 5 3 4 7 2" xfId="10794"/>
    <cellStyle name="Comma 5 3 4 8" xfId="8355"/>
    <cellStyle name="Comma 5 3 4 9" xfId="12248"/>
    <cellStyle name="Comma 5 3 5" xfId="292"/>
    <cellStyle name="Comma 5 3 5 2" xfId="573"/>
    <cellStyle name="Comma 5 3 5 2 2" xfId="1932"/>
    <cellStyle name="Comma 5 3 5 2 2 2" xfId="10038"/>
    <cellStyle name="Comma 5 3 5 2 2 3" xfId="5020"/>
    <cellStyle name="Comma 5 3 5 2 3" xfId="6079"/>
    <cellStyle name="Comma 5 3 5 2 3 2" xfId="11095"/>
    <cellStyle name="Comma 5 3 5 2 4" xfId="9154"/>
    <cellStyle name="Comma 5 3 5 2 5" xfId="12549"/>
    <cellStyle name="Comma 5 3 5 2 6" xfId="7631"/>
    <cellStyle name="Comma 5 3 5 2 7" xfId="4085"/>
    <cellStyle name="Comma 5 3 5 3" xfId="982"/>
    <cellStyle name="Comma 5 3 5 3 2" xfId="2281"/>
    <cellStyle name="Comma 5 3 5 3 2 2" xfId="10541"/>
    <cellStyle name="Comma 5 3 5 3 2 3" xfId="5524"/>
    <cellStyle name="Comma 5 3 5 3 3" xfId="6428"/>
    <cellStyle name="Comma 5 3 5 3 3 2" xfId="11443"/>
    <cellStyle name="Comma 5 3 5 3 4" xfId="8948"/>
    <cellStyle name="Comma 5 3 5 3 5" xfId="12897"/>
    <cellStyle name="Comma 5 3 5 3 6" xfId="8135"/>
    <cellStyle name="Comma 5 3 5 3 7" xfId="3879"/>
    <cellStyle name="Comma 5 3 5 4" xfId="1338"/>
    <cellStyle name="Comma 5 3 5 4 2" xfId="2896"/>
    <cellStyle name="Comma 5 3 5 4 2 2" xfId="11937"/>
    <cellStyle name="Comma 5 3 5 4 2 3" xfId="6922"/>
    <cellStyle name="Comma 5 3 5 4 3" xfId="13391"/>
    <cellStyle name="Comma 5 3 5 4 4" xfId="9832"/>
    <cellStyle name="Comma 5 3 5 4 5" xfId="4814"/>
    <cellStyle name="Comma 5 3 5 5" xfId="1731"/>
    <cellStyle name="Comma 5 3 5 5 2" xfId="10894"/>
    <cellStyle name="Comma 5 3 5 5 3" xfId="5878"/>
    <cellStyle name="Comma 5 3 5 6" xfId="8455"/>
    <cellStyle name="Comma 5 3 5 7" xfId="12348"/>
    <cellStyle name="Comma 5 3 5 8" xfId="7425"/>
    <cellStyle name="Comma 5 3 5 9" xfId="3377"/>
    <cellStyle name="Comma 5 3 6" xfId="446"/>
    <cellStyle name="Comma 5 3 6 2" xfId="855"/>
    <cellStyle name="Comma 5 3 6 2 2" xfId="1933"/>
    <cellStyle name="Comma 5 3 6 2 2 2" xfId="10039"/>
    <cellStyle name="Comma 5 3 6 2 2 3" xfId="5021"/>
    <cellStyle name="Comma 5 3 6 2 3" xfId="6080"/>
    <cellStyle name="Comma 5 3 6 2 3 2" xfId="11096"/>
    <cellStyle name="Comma 5 3 6 2 4" xfId="9155"/>
    <cellStyle name="Comma 5 3 6 2 5" xfId="12550"/>
    <cellStyle name="Comma 5 3 6 2 6" xfId="7632"/>
    <cellStyle name="Comma 5 3 6 2 7" xfId="4086"/>
    <cellStyle name="Comma 5 3 6 3" xfId="1205"/>
    <cellStyle name="Comma 5 3 6 3 2" xfId="2282"/>
    <cellStyle name="Comma 5 3 6 3 2 2" xfId="10414"/>
    <cellStyle name="Comma 5 3 6 3 2 3" xfId="5397"/>
    <cellStyle name="Comma 5 3 6 3 3" xfId="6429"/>
    <cellStyle name="Comma 5 3 6 3 3 2" xfId="11444"/>
    <cellStyle name="Comma 5 3 6 3 4" xfId="9485"/>
    <cellStyle name="Comma 5 3 6 3 5" xfId="12898"/>
    <cellStyle name="Comma 5 3 6 3 6" xfId="8008"/>
    <cellStyle name="Comma 5 3 6 3 7" xfId="4467"/>
    <cellStyle name="Comma 5 3 6 4" xfId="2759"/>
    <cellStyle name="Comma 5 3 6 4 2" xfId="6795"/>
    <cellStyle name="Comma 5 3 6 4 2 2" xfId="11810"/>
    <cellStyle name="Comma 5 3 6 4 3" xfId="13264"/>
    <cellStyle name="Comma 5 3 6 4 4" xfId="9705"/>
    <cellStyle name="Comma 5 3 6 4 5" xfId="4687"/>
    <cellStyle name="Comma 5 3 6 5" xfId="1604"/>
    <cellStyle name="Comma 5 3 6 5 2" xfId="10765"/>
    <cellStyle name="Comma 5 3 6 5 3" xfId="5749"/>
    <cellStyle name="Comma 5 3 6 6" xfId="8821"/>
    <cellStyle name="Comma 5 3 6 7" xfId="12221"/>
    <cellStyle name="Comma 5 3 6 8" xfId="7298"/>
    <cellStyle name="Comma 5 3 6 9" xfId="3752"/>
    <cellStyle name="Comma 5 3 7" xfId="755"/>
    <cellStyle name="Comma 5 3 7 2" xfId="1924"/>
    <cellStyle name="Comma 5 3 7 2 2" xfId="10030"/>
    <cellStyle name="Comma 5 3 7 2 3" xfId="5012"/>
    <cellStyle name="Comma 5 3 7 3" xfId="6071"/>
    <cellStyle name="Comma 5 3 7 3 2" xfId="11087"/>
    <cellStyle name="Comma 5 3 7 4" xfId="9146"/>
    <cellStyle name="Comma 5 3 7 5" xfId="12541"/>
    <cellStyle name="Comma 5 3 7 6" xfId="7623"/>
    <cellStyle name="Comma 5 3 7 7" xfId="4077"/>
    <cellStyle name="Comma 5 3 8" xfId="1159"/>
    <cellStyle name="Comma 5 3 8 2" xfId="2273"/>
    <cellStyle name="Comma 5 3 8 2 2" xfId="10369"/>
    <cellStyle name="Comma 5 3 8 2 3" xfId="5352"/>
    <cellStyle name="Comma 5 3 8 3" xfId="6420"/>
    <cellStyle name="Comma 5 3 8 3 2" xfId="11435"/>
    <cellStyle name="Comma 5 3 8 4" xfId="8628"/>
    <cellStyle name="Comma 5 3 8 5" xfId="12889"/>
    <cellStyle name="Comma 5 3 8 6" xfId="7963"/>
    <cellStyle name="Comma 5 3 8 7" xfId="3552"/>
    <cellStyle name="Comma 5 3 9" xfId="2708"/>
    <cellStyle name="Comma 5 3 9 2" xfId="6750"/>
    <cellStyle name="Comma 5 3 9 2 2" xfId="11765"/>
    <cellStyle name="Comma 5 3 9 3" xfId="13219"/>
    <cellStyle name="Comma 5 3 9 4" xfId="9514"/>
    <cellStyle name="Comma 5 3 9 5" xfId="4496"/>
    <cellStyle name="Comma 5 4" xfId="151"/>
    <cellStyle name="Comma 5 4 10" xfId="1567"/>
    <cellStyle name="Comma 5 4 10 2" xfId="12184"/>
    <cellStyle name="Comma 5 4 10 3" xfId="10728"/>
    <cellStyle name="Comma 5 4 10 4" xfId="5712"/>
    <cellStyle name="Comma 5 4 11" xfId="1537"/>
    <cellStyle name="Comma 5 4 11 2" xfId="8336"/>
    <cellStyle name="Comma 5 4 12" xfId="12154"/>
    <cellStyle name="Comma 5 4 13" xfId="7114"/>
    <cellStyle name="Comma 5 4 14" xfId="3258"/>
    <cellStyle name="Comma 5 4 2" xfId="211"/>
    <cellStyle name="Comma 5 4 2 10" xfId="12286"/>
    <cellStyle name="Comma 5 4 2 11" xfId="7146"/>
    <cellStyle name="Comma 5 4 2 12" xfId="3315"/>
    <cellStyle name="Comma 5 4 2 2" xfId="360"/>
    <cellStyle name="Comma 5 4 2 2 10" xfId="3519"/>
    <cellStyle name="Comma 5 4 2 2 2" xfId="715"/>
    <cellStyle name="Comma 5 4 2 2 2 2" xfId="1936"/>
    <cellStyle name="Comma 5 4 2 2 2 2 2" xfId="9974"/>
    <cellStyle name="Comma 5 4 2 2 2 2 3" xfId="4956"/>
    <cellStyle name="Comma 5 4 2 2 2 3" xfId="6083"/>
    <cellStyle name="Comma 5 4 2 2 2 3 2" xfId="11099"/>
    <cellStyle name="Comma 5 4 2 2 2 4" xfId="9090"/>
    <cellStyle name="Comma 5 4 2 2 2 5" xfId="12553"/>
    <cellStyle name="Comma 5 4 2 2 2 6" xfId="7567"/>
    <cellStyle name="Comma 5 4 2 2 2 7" xfId="4021"/>
    <cellStyle name="Comma 5 4 2 2 3" xfId="1124"/>
    <cellStyle name="Comma 5 4 2 2 3 2" xfId="2285"/>
    <cellStyle name="Comma 5 4 2 2 3 2 2" xfId="10042"/>
    <cellStyle name="Comma 5 4 2 2 3 2 3" xfId="5024"/>
    <cellStyle name="Comma 5 4 2 2 3 3" xfId="6432"/>
    <cellStyle name="Comma 5 4 2 2 3 3 2" xfId="11447"/>
    <cellStyle name="Comma 5 4 2 2 3 4" xfId="9158"/>
    <cellStyle name="Comma 5 4 2 2 3 5" xfId="12901"/>
    <cellStyle name="Comma 5 4 2 2 3 6" xfId="7635"/>
    <cellStyle name="Comma 5 4 2 2 3 7" xfId="4089"/>
    <cellStyle name="Comma 5 4 2 2 4" xfId="1482"/>
    <cellStyle name="Comma 5 4 2 2 4 2" xfId="3041"/>
    <cellStyle name="Comma 5 4 2 2 4 2 2" xfId="10683"/>
    <cellStyle name="Comma 5 4 2 2 4 2 3" xfId="5666"/>
    <cellStyle name="Comma 5 4 2 2 4 3" xfId="7064"/>
    <cellStyle name="Comma 5 4 2 2 4 3 2" xfId="12079"/>
    <cellStyle name="Comma 5 4 2 2 4 4" xfId="8771"/>
    <cellStyle name="Comma 5 4 2 2 4 5" xfId="13533"/>
    <cellStyle name="Comma 5 4 2 2 4 6" xfId="8277"/>
    <cellStyle name="Comma 5 4 2 2 4 7" xfId="3701"/>
    <cellStyle name="Comma 5 4 2 2 5" xfId="1873"/>
    <cellStyle name="Comma 5 4 2 2 5 2" xfId="9657"/>
    <cellStyle name="Comma 5 4 2 2 5 3" xfId="4639"/>
    <cellStyle name="Comma 5 4 2 2 6" xfId="6020"/>
    <cellStyle name="Comma 5 4 2 2 6 2" xfId="11036"/>
    <cellStyle name="Comma 5 4 2 2 7" xfId="8597"/>
    <cellStyle name="Comma 5 4 2 2 8" xfId="12490"/>
    <cellStyle name="Comma 5 4 2 2 9" xfId="7250"/>
    <cellStyle name="Comma 5 4 2 3" xfId="611"/>
    <cellStyle name="Comma 5 4 2 3 2" xfId="1020"/>
    <cellStyle name="Comma 5 4 2 3 2 2" xfId="1937"/>
    <cellStyle name="Comma 5 4 2 3 2 2 2" xfId="10043"/>
    <cellStyle name="Comma 5 4 2 3 2 2 3" xfId="5025"/>
    <cellStyle name="Comma 5 4 2 3 2 3" xfId="6084"/>
    <cellStyle name="Comma 5 4 2 3 2 3 2" xfId="11100"/>
    <cellStyle name="Comma 5 4 2 3 2 4" xfId="9159"/>
    <cellStyle name="Comma 5 4 2 3 2 5" xfId="12554"/>
    <cellStyle name="Comma 5 4 2 3 2 6" xfId="7636"/>
    <cellStyle name="Comma 5 4 2 3 2 7" xfId="4090"/>
    <cellStyle name="Comma 5 4 2 3 3" xfId="1376"/>
    <cellStyle name="Comma 5 4 2 3 3 2" xfId="2286"/>
    <cellStyle name="Comma 5 4 2 3 3 2 2" xfId="10579"/>
    <cellStyle name="Comma 5 4 2 3 3 2 3" xfId="5562"/>
    <cellStyle name="Comma 5 4 2 3 3 3" xfId="6433"/>
    <cellStyle name="Comma 5 4 2 3 3 3 2" xfId="11448"/>
    <cellStyle name="Comma 5 4 2 3 3 4" xfId="8986"/>
    <cellStyle name="Comma 5 4 2 3 3 5" xfId="12902"/>
    <cellStyle name="Comma 5 4 2 3 3 6" xfId="8173"/>
    <cellStyle name="Comma 5 4 2 3 3 7" xfId="3917"/>
    <cellStyle name="Comma 5 4 2 3 4" xfId="2934"/>
    <cellStyle name="Comma 5 4 2 3 4 2" xfId="6960"/>
    <cellStyle name="Comma 5 4 2 3 4 2 2" xfId="11975"/>
    <cellStyle name="Comma 5 4 2 3 4 3" xfId="13429"/>
    <cellStyle name="Comma 5 4 2 3 4 4" xfId="9870"/>
    <cellStyle name="Comma 5 4 2 3 4 5" xfId="4852"/>
    <cellStyle name="Comma 5 4 2 3 5" xfId="1769"/>
    <cellStyle name="Comma 5 4 2 3 5 2" xfId="10932"/>
    <cellStyle name="Comma 5 4 2 3 5 3" xfId="5916"/>
    <cellStyle name="Comma 5 4 2 3 6" xfId="8493"/>
    <cellStyle name="Comma 5 4 2 3 7" xfId="12386"/>
    <cellStyle name="Comma 5 4 2 3 8" xfId="7463"/>
    <cellStyle name="Comma 5 4 2 3 9" xfId="3415"/>
    <cellStyle name="Comma 5 4 2 4" xfId="511"/>
    <cellStyle name="Comma 5 4 2 4 2" xfId="920"/>
    <cellStyle name="Comma 5 4 2 4 2 2" xfId="9770"/>
    <cellStyle name="Comma 5 4 2 4 2 3" xfId="4752"/>
    <cellStyle name="Comma 5 4 2 4 3" xfId="1935"/>
    <cellStyle name="Comma 5 4 2 4 3 2" xfId="11098"/>
    <cellStyle name="Comma 5 4 2 4 3 3" xfId="6082"/>
    <cellStyle name="Comma 5 4 2 4 4" xfId="8886"/>
    <cellStyle name="Comma 5 4 2 4 5" xfId="12552"/>
    <cellStyle name="Comma 5 4 2 4 6" xfId="7363"/>
    <cellStyle name="Comma 5 4 2 4 7" xfId="3817"/>
    <cellStyle name="Comma 5 4 2 5" xfId="817"/>
    <cellStyle name="Comma 5 4 2 5 2" xfId="2284"/>
    <cellStyle name="Comma 5 4 2 5 2 2" xfId="10041"/>
    <cellStyle name="Comma 5 4 2 5 2 3" xfId="5023"/>
    <cellStyle name="Comma 5 4 2 5 3" xfId="6431"/>
    <cellStyle name="Comma 5 4 2 5 3 2" xfId="11446"/>
    <cellStyle name="Comma 5 4 2 5 4" xfId="9157"/>
    <cellStyle name="Comma 5 4 2 5 5" xfId="12900"/>
    <cellStyle name="Comma 5 4 2 5 6" xfId="7634"/>
    <cellStyle name="Comma 5 4 2 5 7" xfId="4088"/>
    <cellStyle name="Comma 5 4 2 6" xfId="1275"/>
    <cellStyle name="Comma 5 4 2 6 2" xfId="2832"/>
    <cellStyle name="Comma 5 4 2 6 2 2" xfId="10479"/>
    <cellStyle name="Comma 5 4 2 6 2 3" xfId="5462"/>
    <cellStyle name="Comma 5 4 2 6 3" xfId="6860"/>
    <cellStyle name="Comma 5 4 2 6 3 2" xfId="11875"/>
    <cellStyle name="Comma 5 4 2 6 4" xfId="8667"/>
    <cellStyle name="Comma 5 4 2 6 5" xfId="13329"/>
    <cellStyle name="Comma 5 4 2 6 6" xfId="8073"/>
    <cellStyle name="Comma 5 4 2 6 7" xfId="3594"/>
    <cellStyle name="Comma 5 4 2 7" xfId="1669"/>
    <cellStyle name="Comma 5 4 2 7 2" xfId="9553"/>
    <cellStyle name="Comma 5 4 2 7 3" xfId="4535"/>
    <cellStyle name="Comma 5 4 2 8" xfId="5816"/>
    <cellStyle name="Comma 5 4 2 8 2" xfId="10832"/>
    <cellStyle name="Comma 5 4 2 9" xfId="8393"/>
    <cellStyle name="Comma 5 4 3" xfId="247"/>
    <cellStyle name="Comma 5 4 3 10" xfId="7189"/>
    <cellStyle name="Comma 5 4 3 11" xfId="3358"/>
    <cellStyle name="Comma 5 4 3 2" xfId="404"/>
    <cellStyle name="Comma 5 4 3 2 2" xfId="654"/>
    <cellStyle name="Comma 5 4 3 2 2 2" xfId="1939"/>
    <cellStyle name="Comma 5 4 3 2 2 2 2" xfId="10045"/>
    <cellStyle name="Comma 5 4 3 2 2 2 3" xfId="5027"/>
    <cellStyle name="Comma 5 4 3 2 2 3" xfId="6086"/>
    <cellStyle name="Comma 5 4 3 2 2 3 2" xfId="11102"/>
    <cellStyle name="Comma 5 4 3 2 2 4" xfId="9161"/>
    <cellStyle name="Comma 5 4 3 2 2 5" xfId="12556"/>
    <cellStyle name="Comma 5 4 3 2 2 6" xfId="7638"/>
    <cellStyle name="Comma 5 4 3 2 2 7" xfId="4092"/>
    <cellStyle name="Comma 5 4 3 2 3" xfId="1063"/>
    <cellStyle name="Comma 5 4 3 2 3 2" xfId="2288"/>
    <cellStyle name="Comma 5 4 3 2 3 2 2" xfId="10622"/>
    <cellStyle name="Comma 5 4 3 2 3 2 3" xfId="5605"/>
    <cellStyle name="Comma 5 4 3 2 3 3" xfId="6435"/>
    <cellStyle name="Comma 5 4 3 2 3 3 2" xfId="11450"/>
    <cellStyle name="Comma 5 4 3 2 3 4" xfId="9029"/>
    <cellStyle name="Comma 5 4 3 2 3 5" xfId="12904"/>
    <cellStyle name="Comma 5 4 3 2 3 6" xfId="8216"/>
    <cellStyle name="Comma 5 4 3 2 3 7" xfId="3960"/>
    <cellStyle name="Comma 5 4 3 2 4" xfId="1421"/>
    <cellStyle name="Comma 5 4 3 2 4 2" xfId="2979"/>
    <cellStyle name="Comma 5 4 3 2 4 2 2" xfId="12018"/>
    <cellStyle name="Comma 5 4 3 2 4 2 3" xfId="7003"/>
    <cellStyle name="Comma 5 4 3 2 4 3" xfId="13472"/>
    <cellStyle name="Comma 5 4 3 2 4 4" xfId="9913"/>
    <cellStyle name="Comma 5 4 3 2 4 5" xfId="4895"/>
    <cellStyle name="Comma 5 4 3 2 5" xfId="1812"/>
    <cellStyle name="Comma 5 4 3 2 5 2" xfId="10975"/>
    <cellStyle name="Comma 5 4 3 2 5 3" xfId="5959"/>
    <cellStyle name="Comma 5 4 3 2 6" xfId="8536"/>
    <cellStyle name="Comma 5 4 3 2 7" xfId="12429"/>
    <cellStyle name="Comma 5 4 3 2 8" xfId="7506"/>
    <cellStyle name="Comma 5 4 3 2 9" xfId="3458"/>
    <cellStyle name="Comma 5 4 3 3" xfId="554"/>
    <cellStyle name="Comma 5 4 3 3 2" xfId="1938"/>
    <cellStyle name="Comma 5 4 3 3 2 2" xfId="9813"/>
    <cellStyle name="Comma 5 4 3 3 2 3" xfId="4795"/>
    <cellStyle name="Comma 5 4 3 3 3" xfId="6085"/>
    <cellStyle name="Comma 5 4 3 3 3 2" xfId="11101"/>
    <cellStyle name="Comma 5 4 3 3 4" xfId="8929"/>
    <cellStyle name="Comma 5 4 3 3 5" xfId="12555"/>
    <cellStyle name="Comma 5 4 3 3 6" xfId="7406"/>
    <cellStyle name="Comma 5 4 3 3 7" xfId="3860"/>
    <cellStyle name="Comma 5 4 3 4" xfId="963"/>
    <cellStyle name="Comma 5 4 3 4 2" xfId="2287"/>
    <cellStyle name="Comma 5 4 3 4 2 2" xfId="10044"/>
    <cellStyle name="Comma 5 4 3 4 2 3" xfId="5026"/>
    <cellStyle name="Comma 5 4 3 4 3" xfId="6434"/>
    <cellStyle name="Comma 5 4 3 4 3 2" xfId="11449"/>
    <cellStyle name="Comma 5 4 3 4 4" xfId="9160"/>
    <cellStyle name="Comma 5 4 3 4 5" xfId="12903"/>
    <cellStyle name="Comma 5 4 3 4 6" xfId="7637"/>
    <cellStyle name="Comma 5 4 3 4 7" xfId="4091"/>
    <cellStyle name="Comma 5 4 3 5" xfId="1319"/>
    <cellStyle name="Comma 5 4 3 5 2" xfId="2877"/>
    <cellStyle name="Comma 5 4 3 5 2 2" xfId="10522"/>
    <cellStyle name="Comma 5 4 3 5 2 3" xfId="5505"/>
    <cellStyle name="Comma 5 4 3 5 3" xfId="6903"/>
    <cellStyle name="Comma 5 4 3 5 3 2" xfId="11918"/>
    <cellStyle name="Comma 5 4 3 5 4" xfId="8710"/>
    <cellStyle name="Comma 5 4 3 5 5" xfId="13372"/>
    <cellStyle name="Comma 5 4 3 5 6" xfId="8116"/>
    <cellStyle name="Comma 5 4 3 5 7" xfId="3640"/>
    <cellStyle name="Comma 5 4 3 6" xfId="1712"/>
    <cellStyle name="Comma 5 4 3 6 2" xfId="9596"/>
    <cellStyle name="Comma 5 4 3 6 3" xfId="4578"/>
    <cellStyle name="Comma 5 4 3 7" xfId="5859"/>
    <cellStyle name="Comma 5 4 3 7 2" xfId="10875"/>
    <cellStyle name="Comma 5 4 3 8" xfId="8436"/>
    <cellStyle name="Comma 5 4 3 9" xfId="12329"/>
    <cellStyle name="Comma 5 4 4" xfId="327"/>
    <cellStyle name="Comma 5 4 4 10" xfId="7219"/>
    <cellStyle name="Comma 5 4 4 11" xfId="3283"/>
    <cellStyle name="Comma 5 4 4 2" xfId="684"/>
    <cellStyle name="Comma 5 4 4 2 2" xfId="1093"/>
    <cellStyle name="Comma 5 4 4 2 2 2" xfId="1941"/>
    <cellStyle name="Comma 5 4 4 2 2 2 2" xfId="10047"/>
    <cellStyle name="Comma 5 4 4 2 2 2 3" xfId="5029"/>
    <cellStyle name="Comma 5 4 4 2 2 3" xfId="6088"/>
    <cellStyle name="Comma 5 4 4 2 2 3 2" xfId="11104"/>
    <cellStyle name="Comma 5 4 4 2 2 4" xfId="9163"/>
    <cellStyle name="Comma 5 4 4 2 2 5" xfId="12558"/>
    <cellStyle name="Comma 5 4 4 2 2 6" xfId="7640"/>
    <cellStyle name="Comma 5 4 4 2 2 7" xfId="4094"/>
    <cellStyle name="Comma 5 4 4 2 3" xfId="1451"/>
    <cellStyle name="Comma 5 4 4 2 3 2" xfId="2290"/>
    <cellStyle name="Comma 5 4 4 2 3 2 2" xfId="10652"/>
    <cellStyle name="Comma 5 4 4 2 3 2 3" xfId="5635"/>
    <cellStyle name="Comma 5 4 4 2 3 3" xfId="6437"/>
    <cellStyle name="Comma 5 4 4 2 3 3 2" xfId="11452"/>
    <cellStyle name="Comma 5 4 4 2 3 4" xfId="9059"/>
    <cellStyle name="Comma 5 4 4 2 3 5" xfId="12906"/>
    <cellStyle name="Comma 5 4 4 2 3 6" xfId="8246"/>
    <cellStyle name="Comma 5 4 4 2 3 7" xfId="3990"/>
    <cellStyle name="Comma 5 4 4 2 4" xfId="3010"/>
    <cellStyle name="Comma 5 4 4 2 4 2" xfId="7033"/>
    <cellStyle name="Comma 5 4 4 2 4 2 2" xfId="12048"/>
    <cellStyle name="Comma 5 4 4 2 4 3" xfId="13502"/>
    <cellStyle name="Comma 5 4 4 2 4 4" xfId="9943"/>
    <cellStyle name="Comma 5 4 4 2 4 5" xfId="4925"/>
    <cellStyle name="Comma 5 4 4 2 5" xfId="1842"/>
    <cellStyle name="Comma 5 4 4 2 5 2" xfId="11005"/>
    <cellStyle name="Comma 5 4 4 2 5 3" xfId="5989"/>
    <cellStyle name="Comma 5 4 4 2 6" xfId="8566"/>
    <cellStyle name="Comma 5 4 4 2 7" xfId="12459"/>
    <cellStyle name="Comma 5 4 4 2 8" xfId="7536"/>
    <cellStyle name="Comma 5 4 4 2 9" xfId="3488"/>
    <cellStyle name="Comma 5 4 4 3" xfId="479"/>
    <cellStyle name="Comma 5 4 4 3 2" xfId="1940"/>
    <cellStyle name="Comma 5 4 4 3 2 2" xfId="9738"/>
    <cellStyle name="Comma 5 4 4 3 2 3" xfId="4720"/>
    <cellStyle name="Comma 5 4 4 3 3" xfId="6087"/>
    <cellStyle name="Comma 5 4 4 3 3 2" xfId="11103"/>
    <cellStyle name="Comma 5 4 4 3 4" xfId="8854"/>
    <cellStyle name="Comma 5 4 4 3 5" xfId="12557"/>
    <cellStyle name="Comma 5 4 4 3 6" xfId="7331"/>
    <cellStyle name="Comma 5 4 4 3 7" xfId="3785"/>
    <cellStyle name="Comma 5 4 4 4" xfId="888"/>
    <cellStyle name="Comma 5 4 4 4 2" xfId="2289"/>
    <cellStyle name="Comma 5 4 4 4 2 2" xfId="10046"/>
    <cellStyle name="Comma 5 4 4 4 2 3" xfId="5028"/>
    <cellStyle name="Comma 5 4 4 4 3" xfId="6436"/>
    <cellStyle name="Comma 5 4 4 4 3 2" xfId="11451"/>
    <cellStyle name="Comma 5 4 4 4 4" xfId="9162"/>
    <cellStyle name="Comma 5 4 4 4 5" xfId="12905"/>
    <cellStyle name="Comma 5 4 4 4 6" xfId="7639"/>
    <cellStyle name="Comma 5 4 4 4 7" xfId="4093"/>
    <cellStyle name="Comma 5 4 4 5" xfId="1240"/>
    <cellStyle name="Comma 5 4 4 5 2" xfId="2796"/>
    <cellStyle name="Comma 5 4 4 5 2 2" xfId="10447"/>
    <cellStyle name="Comma 5 4 4 5 2 3" xfId="5430"/>
    <cellStyle name="Comma 5 4 4 5 3" xfId="6828"/>
    <cellStyle name="Comma 5 4 4 5 3 2" xfId="11843"/>
    <cellStyle name="Comma 5 4 4 5 4" xfId="8740"/>
    <cellStyle name="Comma 5 4 4 5 5" xfId="13297"/>
    <cellStyle name="Comma 5 4 4 5 6" xfId="8041"/>
    <cellStyle name="Comma 5 4 4 5 7" xfId="3670"/>
    <cellStyle name="Comma 5 4 4 6" xfId="1637"/>
    <cellStyle name="Comma 5 4 4 6 2" xfId="9626"/>
    <cellStyle name="Comma 5 4 4 6 3" xfId="4608"/>
    <cellStyle name="Comma 5 4 4 7" xfId="5784"/>
    <cellStyle name="Comma 5 4 4 7 2" xfId="10800"/>
    <cellStyle name="Comma 5 4 4 8" xfId="8361"/>
    <cellStyle name="Comma 5 4 4 9" xfId="12254"/>
    <cellStyle name="Comma 5 4 5" xfId="300"/>
    <cellStyle name="Comma 5 4 5 2" xfId="579"/>
    <cellStyle name="Comma 5 4 5 2 2" xfId="1942"/>
    <cellStyle name="Comma 5 4 5 2 2 2" xfId="10048"/>
    <cellStyle name="Comma 5 4 5 2 2 3" xfId="5030"/>
    <cellStyle name="Comma 5 4 5 2 3" xfId="6089"/>
    <cellStyle name="Comma 5 4 5 2 3 2" xfId="11105"/>
    <cellStyle name="Comma 5 4 5 2 4" xfId="9164"/>
    <cellStyle name="Comma 5 4 5 2 5" xfId="12559"/>
    <cellStyle name="Comma 5 4 5 2 6" xfId="7641"/>
    <cellStyle name="Comma 5 4 5 2 7" xfId="4095"/>
    <cellStyle name="Comma 5 4 5 3" xfId="988"/>
    <cellStyle name="Comma 5 4 5 3 2" xfId="2291"/>
    <cellStyle name="Comma 5 4 5 3 2 2" xfId="10547"/>
    <cellStyle name="Comma 5 4 5 3 2 3" xfId="5530"/>
    <cellStyle name="Comma 5 4 5 3 3" xfId="6438"/>
    <cellStyle name="Comma 5 4 5 3 3 2" xfId="11453"/>
    <cellStyle name="Comma 5 4 5 3 4" xfId="8954"/>
    <cellStyle name="Comma 5 4 5 3 5" xfId="12907"/>
    <cellStyle name="Comma 5 4 5 3 6" xfId="8141"/>
    <cellStyle name="Comma 5 4 5 3 7" xfId="3885"/>
    <cellStyle name="Comma 5 4 5 4" xfId="1344"/>
    <cellStyle name="Comma 5 4 5 4 2" xfId="2902"/>
    <cellStyle name="Comma 5 4 5 4 2 2" xfId="11943"/>
    <cellStyle name="Comma 5 4 5 4 2 3" xfId="6928"/>
    <cellStyle name="Comma 5 4 5 4 3" xfId="13397"/>
    <cellStyle name="Comma 5 4 5 4 4" xfId="9838"/>
    <cellStyle name="Comma 5 4 5 4 5" xfId="4820"/>
    <cellStyle name="Comma 5 4 5 5" xfId="1737"/>
    <cellStyle name="Comma 5 4 5 5 2" xfId="10900"/>
    <cellStyle name="Comma 5 4 5 5 3" xfId="5884"/>
    <cellStyle name="Comma 5 4 5 6" xfId="8461"/>
    <cellStyle name="Comma 5 4 5 7" xfId="12354"/>
    <cellStyle name="Comma 5 4 5 8" xfId="7431"/>
    <cellStyle name="Comma 5 4 5 9" xfId="3383"/>
    <cellStyle name="Comma 5 4 6" xfId="454"/>
    <cellStyle name="Comma 5 4 6 2" xfId="863"/>
    <cellStyle name="Comma 5 4 6 2 2" xfId="1943"/>
    <cellStyle name="Comma 5 4 6 2 2 2" xfId="10049"/>
    <cellStyle name="Comma 5 4 6 2 2 3" xfId="5031"/>
    <cellStyle name="Comma 5 4 6 2 3" xfId="6090"/>
    <cellStyle name="Comma 5 4 6 2 3 2" xfId="11106"/>
    <cellStyle name="Comma 5 4 6 2 4" xfId="9165"/>
    <cellStyle name="Comma 5 4 6 2 5" xfId="12560"/>
    <cellStyle name="Comma 5 4 6 2 6" xfId="7642"/>
    <cellStyle name="Comma 5 4 6 2 7" xfId="4096"/>
    <cellStyle name="Comma 5 4 6 3" xfId="1213"/>
    <cellStyle name="Comma 5 4 6 3 2" xfId="2292"/>
    <cellStyle name="Comma 5 4 6 3 2 2" xfId="10422"/>
    <cellStyle name="Comma 5 4 6 3 2 3" xfId="5405"/>
    <cellStyle name="Comma 5 4 6 3 3" xfId="6439"/>
    <cellStyle name="Comma 5 4 6 3 3 2" xfId="11454"/>
    <cellStyle name="Comma 5 4 6 3 4" xfId="9469"/>
    <cellStyle name="Comma 5 4 6 3 5" xfId="12908"/>
    <cellStyle name="Comma 5 4 6 3 6" xfId="8016"/>
    <cellStyle name="Comma 5 4 6 3 7" xfId="4451"/>
    <cellStyle name="Comma 5 4 6 4" xfId="2767"/>
    <cellStyle name="Comma 5 4 6 4 2" xfId="6803"/>
    <cellStyle name="Comma 5 4 6 4 2 2" xfId="11818"/>
    <cellStyle name="Comma 5 4 6 4 3" xfId="13272"/>
    <cellStyle name="Comma 5 4 6 4 4" xfId="9713"/>
    <cellStyle name="Comma 5 4 6 4 5" xfId="4695"/>
    <cellStyle name="Comma 5 4 6 5" xfId="1612"/>
    <cellStyle name="Comma 5 4 6 5 2" xfId="10773"/>
    <cellStyle name="Comma 5 4 6 5 3" xfId="5757"/>
    <cellStyle name="Comma 5 4 6 6" xfId="8829"/>
    <cellStyle name="Comma 5 4 6 7" xfId="12229"/>
    <cellStyle name="Comma 5 4 6 8" xfId="7306"/>
    <cellStyle name="Comma 5 4 6 9" xfId="3760"/>
    <cellStyle name="Comma 5 4 7" xfId="787"/>
    <cellStyle name="Comma 5 4 7 2" xfId="1934"/>
    <cellStyle name="Comma 5 4 7 2 2" xfId="10040"/>
    <cellStyle name="Comma 5 4 7 2 3" xfId="5022"/>
    <cellStyle name="Comma 5 4 7 3" xfId="6081"/>
    <cellStyle name="Comma 5 4 7 3 2" xfId="11097"/>
    <cellStyle name="Comma 5 4 7 4" xfId="9156"/>
    <cellStyle name="Comma 5 4 7 5" xfId="12551"/>
    <cellStyle name="Comma 5 4 7 6" xfId="7633"/>
    <cellStyle name="Comma 5 4 7 7" xfId="4087"/>
    <cellStyle name="Comma 5 4 8" xfId="1167"/>
    <cellStyle name="Comma 5 4 8 2" xfId="2283"/>
    <cellStyle name="Comma 5 4 8 2 2" xfId="10377"/>
    <cellStyle name="Comma 5 4 8 2 3" xfId="5360"/>
    <cellStyle name="Comma 5 4 8 3" xfId="6430"/>
    <cellStyle name="Comma 5 4 8 3 2" xfId="11445"/>
    <cellStyle name="Comma 5 4 8 4" xfId="8634"/>
    <cellStyle name="Comma 5 4 8 5" xfId="12899"/>
    <cellStyle name="Comma 5 4 8 6" xfId="7971"/>
    <cellStyle name="Comma 5 4 8 7" xfId="3558"/>
    <cellStyle name="Comma 5 4 9" xfId="2718"/>
    <cellStyle name="Comma 5 4 9 2" xfId="6758"/>
    <cellStyle name="Comma 5 4 9 2 2" xfId="11773"/>
    <cellStyle name="Comma 5 4 9 3" xfId="13227"/>
    <cellStyle name="Comma 5 4 9 4" xfId="9521"/>
    <cellStyle name="Comma 5 4 9 5" xfId="4503"/>
    <cellStyle name="Comma 5 5" xfId="159"/>
    <cellStyle name="Comma 5 5 10" xfId="8314"/>
    <cellStyle name="Comma 5 5 11" xfId="12134"/>
    <cellStyle name="Comma 5 5 12" xfId="7126"/>
    <cellStyle name="Comma 5 5 13" xfId="3235"/>
    <cellStyle name="Comma 5 5 2" xfId="383"/>
    <cellStyle name="Comma 5 5 2 10" xfId="7169"/>
    <cellStyle name="Comma 5 5 2 11" xfId="3338"/>
    <cellStyle name="Comma 5 5 2 2" xfId="634"/>
    <cellStyle name="Comma 5 5 2 2 2" xfId="1043"/>
    <cellStyle name="Comma 5 5 2 2 2 2" xfId="1946"/>
    <cellStyle name="Comma 5 5 2 2 2 2 2" xfId="10052"/>
    <cellStyle name="Comma 5 5 2 2 2 2 3" xfId="5034"/>
    <cellStyle name="Comma 5 5 2 2 2 3" xfId="6093"/>
    <cellStyle name="Comma 5 5 2 2 2 3 2" xfId="11109"/>
    <cellStyle name="Comma 5 5 2 2 2 4" xfId="9168"/>
    <cellStyle name="Comma 5 5 2 2 2 5" xfId="12563"/>
    <cellStyle name="Comma 5 5 2 2 2 6" xfId="7645"/>
    <cellStyle name="Comma 5 5 2 2 2 7" xfId="4099"/>
    <cellStyle name="Comma 5 5 2 2 3" xfId="1400"/>
    <cellStyle name="Comma 5 5 2 2 3 2" xfId="2295"/>
    <cellStyle name="Comma 5 5 2 2 3 2 2" xfId="10602"/>
    <cellStyle name="Comma 5 5 2 2 3 2 3" xfId="5585"/>
    <cellStyle name="Comma 5 5 2 2 3 3" xfId="6442"/>
    <cellStyle name="Comma 5 5 2 2 3 3 2" xfId="11457"/>
    <cellStyle name="Comma 5 5 2 2 3 4" xfId="9009"/>
    <cellStyle name="Comma 5 5 2 2 3 5" xfId="12911"/>
    <cellStyle name="Comma 5 5 2 2 3 6" xfId="8196"/>
    <cellStyle name="Comma 5 5 2 2 3 7" xfId="3940"/>
    <cellStyle name="Comma 5 5 2 2 4" xfId="2958"/>
    <cellStyle name="Comma 5 5 2 2 4 2" xfId="6983"/>
    <cellStyle name="Comma 5 5 2 2 4 2 2" xfId="11998"/>
    <cellStyle name="Comma 5 5 2 2 4 3" xfId="13452"/>
    <cellStyle name="Comma 5 5 2 2 4 4" xfId="9893"/>
    <cellStyle name="Comma 5 5 2 2 4 5" xfId="4875"/>
    <cellStyle name="Comma 5 5 2 2 5" xfId="1792"/>
    <cellStyle name="Comma 5 5 2 2 5 2" xfId="10955"/>
    <cellStyle name="Comma 5 5 2 2 5 3" xfId="5939"/>
    <cellStyle name="Comma 5 5 2 2 6" xfId="8516"/>
    <cellStyle name="Comma 5 5 2 2 7" xfId="12409"/>
    <cellStyle name="Comma 5 5 2 2 8" xfId="7486"/>
    <cellStyle name="Comma 5 5 2 2 9" xfId="3438"/>
    <cellStyle name="Comma 5 5 2 3" xfId="534"/>
    <cellStyle name="Comma 5 5 2 3 2" xfId="1945"/>
    <cellStyle name="Comma 5 5 2 3 2 2" xfId="9793"/>
    <cellStyle name="Comma 5 5 2 3 2 3" xfId="4775"/>
    <cellStyle name="Comma 5 5 2 3 3" xfId="6092"/>
    <cellStyle name="Comma 5 5 2 3 3 2" xfId="11108"/>
    <cellStyle name="Comma 5 5 2 3 4" xfId="8909"/>
    <cellStyle name="Comma 5 5 2 3 5" xfId="12562"/>
    <cellStyle name="Comma 5 5 2 3 6" xfId="7386"/>
    <cellStyle name="Comma 5 5 2 3 7" xfId="3840"/>
    <cellStyle name="Comma 5 5 2 4" xfId="943"/>
    <cellStyle name="Comma 5 5 2 4 2" xfId="2294"/>
    <cellStyle name="Comma 5 5 2 4 2 2" xfId="10051"/>
    <cellStyle name="Comma 5 5 2 4 2 3" xfId="5033"/>
    <cellStyle name="Comma 5 5 2 4 3" xfId="6441"/>
    <cellStyle name="Comma 5 5 2 4 3 2" xfId="11456"/>
    <cellStyle name="Comma 5 5 2 4 4" xfId="9167"/>
    <cellStyle name="Comma 5 5 2 4 5" xfId="12910"/>
    <cellStyle name="Comma 5 5 2 4 6" xfId="7644"/>
    <cellStyle name="Comma 5 5 2 4 7" xfId="4098"/>
    <cellStyle name="Comma 5 5 2 5" xfId="1299"/>
    <cellStyle name="Comma 5 5 2 5 2" xfId="2856"/>
    <cellStyle name="Comma 5 5 2 5 2 2" xfId="10502"/>
    <cellStyle name="Comma 5 5 2 5 2 3" xfId="5485"/>
    <cellStyle name="Comma 5 5 2 5 3" xfId="6883"/>
    <cellStyle name="Comma 5 5 2 5 3 2" xfId="11898"/>
    <cellStyle name="Comma 5 5 2 5 4" xfId="8690"/>
    <cellStyle name="Comma 5 5 2 5 5" xfId="13352"/>
    <cellStyle name="Comma 5 5 2 5 6" xfId="8096"/>
    <cellStyle name="Comma 5 5 2 5 7" xfId="3619"/>
    <cellStyle name="Comma 5 5 2 6" xfId="1692"/>
    <cellStyle name="Comma 5 5 2 6 2" xfId="9576"/>
    <cellStyle name="Comma 5 5 2 6 3" xfId="4558"/>
    <cellStyle name="Comma 5 5 2 7" xfId="5839"/>
    <cellStyle name="Comma 5 5 2 7 2" xfId="10855"/>
    <cellStyle name="Comma 5 5 2 8" xfId="8416"/>
    <cellStyle name="Comma 5 5 2 9" xfId="12309"/>
    <cellStyle name="Comma 5 5 3" xfId="339"/>
    <cellStyle name="Comma 5 5 3 10" xfId="7231"/>
    <cellStyle name="Comma 5 5 3 11" xfId="3295"/>
    <cellStyle name="Comma 5 5 3 2" xfId="696"/>
    <cellStyle name="Comma 5 5 3 2 2" xfId="1105"/>
    <cellStyle name="Comma 5 5 3 2 2 2" xfId="1948"/>
    <cellStyle name="Comma 5 5 3 2 2 2 2" xfId="10054"/>
    <cellStyle name="Comma 5 5 3 2 2 2 3" xfId="5036"/>
    <cellStyle name="Comma 5 5 3 2 2 3" xfId="6095"/>
    <cellStyle name="Comma 5 5 3 2 2 3 2" xfId="11111"/>
    <cellStyle name="Comma 5 5 3 2 2 4" xfId="9170"/>
    <cellStyle name="Comma 5 5 3 2 2 5" xfId="12565"/>
    <cellStyle name="Comma 5 5 3 2 2 6" xfId="7647"/>
    <cellStyle name="Comma 5 5 3 2 2 7" xfId="4101"/>
    <cellStyle name="Comma 5 5 3 2 3" xfId="1463"/>
    <cellStyle name="Comma 5 5 3 2 3 2" xfId="2297"/>
    <cellStyle name="Comma 5 5 3 2 3 2 2" xfId="10664"/>
    <cellStyle name="Comma 5 5 3 2 3 2 3" xfId="5647"/>
    <cellStyle name="Comma 5 5 3 2 3 3" xfId="6444"/>
    <cellStyle name="Comma 5 5 3 2 3 3 2" xfId="11459"/>
    <cellStyle name="Comma 5 5 3 2 3 4" xfId="9071"/>
    <cellStyle name="Comma 5 5 3 2 3 5" xfId="12913"/>
    <cellStyle name="Comma 5 5 3 2 3 6" xfId="8258"/>
    <cellStyle name="Comma 5 5 3 2 3 7" xfId="4002"/>
    <cellStyle name="Comma 5 5 3 2 4" xfId="3022"/>
    <cellStyle name="Comma 5 5 3 2 4 2" xfId="7045"/>
    <cellStyle name="Comma 5 5 3 2 4 2 2" xfId="12060"/>
    <cellStyle name="Comma 5 5 3 2 4 3" xfId="13514"/>
    <cellStyle name="Comma 5 5 3 2 4 4" xfId="9955"/>
    <cellStyle name="Comma 5 5 3 2 4 5" xfId="4937"/>
    <cellStyle name="Comma 5 5 3 2 5" xfId="1854"/>
    <cellStyle name="Comma 5 5 3 2 5 2" xfId="11017"/>
    <cellStyle name="Comma 5 5 3 2 5 3" xfId="6001"/>
    <cellStyle name="Comma 5 5 3 2 6" xfId="8578"/>
    <cellStyle name="Comma 5 5 3 2 7" xfId="12471"/>
    <cellStyle name="Comma 5 5 3 2 8" xfId="7548"/>
    <cellStyle name="Comma 5 5 3 2 9" xfId="3500"/>
    <cellStyle name="Comma 5 5 3 3" xfId="491"/>
    <cellStyle name="Comma 5 5 3 3 2" xfId="1947"/>
    <cellStyle name="Comma 5 5 3 3 2 2" xfId="9750"/>
    <cellStyle name="Comma 5 5 3 3 2 3" xfId="4732"/>
    <cellStyle name="Comma 5 5 3 3 3" xfId="6094"/>
    <cellStyle name="Comma 5 5 3 3 3 2" xfId="11110"/>
    <cellStyle name="Comma 5 5 3 3 4" xfId="8866"/>
    <cellStyle name="Comma 5 5 3 3 5" xfId="12564"/>
    <cellStyle name="Comma 5 5 3 3 6" xfId="7343"/>
    <cellStyle name="Comma 5 5 3 3 7" xfId="3797"/>
    <cellStyle name="Comma 5 5 3 4" xfId="900"/>
    <cellStyle name="Comma 5 5 3 4 2" xfId="2296"/>
    <cellStyle name="Comma 5 5 3 4 2 2" xfId="10053"/>
    <cellStyle name="Comma 5 5 3 4 2 3" xfId="5035"/>
    <cellStyle name="Comma 5 5 3 4 3" xfId="6443"/>
    <cellStyle name="Comma 5 5 3 4 3 2" xfId="11458"/>
    <cellStyle name="Comma 5 5 3 4 4" xfId="9169"/>
    <cellStyle name="Comma 5 5 3 4 5" xfId="12912"/>
    <cellStyle name="Comma 5 5 3 4 6" xfId="7646"/>
    <cellStyle name="Comma 5 5 3 4 7" xfId="4100"/>
    <cellStyle name="Comma 5 5 3 5" xfId="1255"/>
    <cellStyle name="Comma 5 5 3 5 2" xfId="2811"/>
    <cellStyle name="Comma 5 5 3 5 2 2" xfId="10459"/>
    <cellStyle name="Comma 5 5 3 5 2 3" xfId="5442"/>
    <cellStyle name="Comma 5 5 3 5 3" xfId="6840"/>
    <cellStyle name="Comma 5 5 3 5 3 2" xfId="11855"/>
    <cellStyle name="Comma 5 5 3 5 4" xfId="8752"/>
    <cellStyle name="Comma 5 5 3 5 5" xfId="13309"/>
    <cellStyle name="Comma 5 5 3 5 6" xfId="8053"/>
    <cellStyle name="Comma 5 5 3 5 7" xfId="3682"/>
    <cellStyle name="Comma 5 5 3 6" xfId="1649"/>
    <cellStyle name="Comma 5 5 3 6 2" xfId="9638"/>
    <cellStyle name="Comma 5 5 3 6 3" xfId="4620"/>
    <cellStyle name="Comma 5 5 3 7" xfId="5796"/>
    <cellStyle name="Comma 5 5 3 7 2" xfId="10812"/>
    <cellStyle name="Comma 5 5 3 8" xfId="8373"/>
    <cellStyle name="Comma 5 5 3 9" xfId="12266"/>
    <cellStyle name="Comma 5 5 4" xfId="276"/>
    <cellStyle name="Comma 5 5 4 2" xfId="591"/>
    <cellStyle name="Comma 5 5 4 2 2" xfId="1949"/>
    <cellStyle name="Comma 5 5 4 2 2 2" xfId="10055"/>
    <cellStyle name="Comma 5 5 4 2 2 3" xfId="5037"/>
    <cellStyle name="Comma 5 5 4 2 3" xfId="6096"/>
    <cellStyle name="Comma 5 5 4 2 3 2" xfId="11112"/>
    <cellStyle name="Comma 5 5 4 2 4" xfId="9171"/>
    <cellStyle name="Comma 5 5 4 2 5" xfId="12566"/>
    <cellStyle name="Comma 5 5 4 2 6" xfId="7648"/>
    <cellStyle name="Comma 5 5 4 2 7" xfId="4102"/>
    <cellStyle name="Comma 5 5 4 3" xfId="1000"/>
    <cellStyle name="Comma 5 5 4 3 2" xfId="2298"/>
    <cellStyle name="Comma 5 5 4 3 2 2" xfId="10559"/>
    <cellStyle name="Comma 5 5 4 3 2 3" xfId="5542"/>
    <cellStyle name="Comma 5 5 4 3 3" xfId="6445"/>
    <cellStyle name="Comma 5 5 4 3 3 2" xfId="11460"/>
    <cellStyle name="Comma 5 5 4 3 4" xfId="8966"/>
    <cellStyle name="Comma 5 5 4 3 5" xfId="12914"/>
    <cellStyle name="Comma 5 5 4 3 6" xfId="8153"/>
    <cellStyle name="Comma 5 5 4 3 7" xfId="3897"/>
    <cellStyle name="Comma 5 5 4 4" xfId="1356"/>
    <cellStyle name="Comma 5 5 4 4 2" xfId="2914"/>
    <cellStyle name="Comma 5 5 4 4 2 2" xfId="11955"/>
    <cellStyle name="Comma 5 5 4 4 2 3" xfId="6940"/>
    <cellStyle name="Comma 5 5 4 4 3" xfId="13409"/>
    <cellStyle name="Comma 5 5 4 4 4" xfId="9850"/>
    <cellStyle name="Comma 5 5 4 4 5" xfId="4832"/>
    <cellStyle name="Comma 5 5 4 5" xfId="1749"/>
    <cellStyle name="Comma 5 5 4 5 2" xfId="10912"/>
    <cellStyle name="Comma 5 5 4 5 3" xfId="5896"/>
    <cellStyle name="Comma 5 5 4 6" xfId="8473"/>
    <cellStyle name="Comma 5 5 4 7" xfId="12366"/>
    <cellStyle name="Comma 5 5 4 8" xfId="7443"/>
    <cellStyle name="Comma 5 5 4 9" xfId="3395"/>
    <cellStyle name="Comma 5 5 5" xfId="432"/>
    <cellStyle name="Comma 5 5 5 2" xfId="840"/>
    <cellStyle name="Comma 5 5 5 2 2" xfId="9691"/>
    <cellStyle name="Comma 5 5 5 2 3" xfId="4673"/>
    <cellStyle name="Comma 5 5 5 3" xfId="1944"/>
    <cellStyle name="Comma 5 5 5 3 2" xfId="11107"/>
    <cellStyle name="Comma 5 5 5 3 3" xfId="6091"/>
    <cellStyle name="Comma 5 5 5 4" xfId="8807"/>
    <cellStyle name="Comma 5 5 5 5" xfId="12561"/>
    <cellStyle name="Comma 5 5 5 6" xfId="7284"/>
    <cellStyle name="Comma 5 5 5 7" xfId="3738"/>
    <cellStyle name="Comma 5 5 6" xfId="767"/>
    <cellStyle name="Comma 5 5 6 2" xfId="2293"/>
    <cellStyle name="Comma 5 5 6 2 2" xfId="10050"/>
    <cellStyle name="Comma 5 5 6 2 3" xfId="5032"/>
    <cellStyle name="Comma 5 5 6 3" xfId="6440"/>
    <cellStyle name="Comma 5 5 6 3 2" xfId="11455"/>
    <cellStyle name="Comma 5 5 6 4" xfId="9166"/>
    <cellStyle name="Comma 5 5 6 5" xfId="12909"/>
    <cellStyle name="Comma 5 5 6 6" xfId="7643"/>
    <cellStyle name="Comma 5 5 6 7" xfId="4097"/>
    <cellStyle name="Comma 5 5 7" xfId="1191"/>
    <cellStyle name="Comma 5 5 7 2" xfId="2743"/>
    <cellStyle name="Comma 5 5 7 2 2" xfId="10400"/>
    <cellStyle name="Comma 5 5 7 2 3" xfId="5383"/>
    <cellStyle name="Comma 5 5 7 3" xfId="6781"/>
    <cellStyle name="Comma 5 5 7 3 2" xfId="11796"/>
    <cellStyle name="Comma 5 5 7 4" xfId="8646"/>
    <cellStyle name="Comma 5 5 7 5" xfId="13250"/>
    <cellStyle name="Comma 5 5 7 6" xfId="7994"/>
    <cellStyle name="Comma 5 5 7 7" xfId="3573"/>
    <cellStyle name="Comma 5 5 8" xfId="1590"/>
    <cellStyle name="Comma 5 5 8 2" xfId="12207"/>
    <cellStyle name="Comma 5 5 8 3" xfId="9533"/>
    <cellStyle name="Comma 5 5 8 4" xfId="4515"/>
    <cellStyle name="Comma 5 5 9" xfId="1517"/>
    <cellStyle name="Comma 5 5 9 2" xfId="10751"/>
    <cellStyle name="Comma 5 5 9 3" xfId="5735"/>
    <cellStyle name="Comma 5 6" xfId="191"/>
    <cellStyle name="Comma 5 6 10" xfId="7152"/>
    <cellStyle name="Comma 5 6 11" xfId="3321"/>
    <cellStyle name="Comma 5 6 2" xfId="366"/>
    <cellStyle name="Comma 5 6 2 2" xfId="617"/>
    <cellStyle name="Comma 5 6 2 2 2" xfId="1951"/>
    <cellStyle name="Comma 5 6 2 2 2 2" xfId="10057"/>
    <cellStyle name="Comma 5 6 2 2 2 3" xfId="5039"/>
    <cellStyle name="Comma 5 6 2 2 3" xfId="6098"/>
    <cellStyle name="Comma 5 6 2 2 3 2" xfId="11114"/>
    <cellStyle name="Comma 5 6 2 2 4" xfId="9173"/>
    <cellStyle name="Comma 5 6 2 2 5" xfId="12568"/>
    <cellStyle name="Comma 5 6 2 2 6" xfId="7650"/>
    <cellStyle name="Comma 5 6 2 2 7" xfId="4104"/>
    <cellStyle name="Comma 5 6 2 3" xfId="1026"/>
    <cellStyle name="Comma 5 6 2 3 2" xfId="2300"/>
    <cellStyle name="Comma 5 6 2 3 2 2" xfId="10585"/>
    <cellStyle name="Comma 5 6 2 3 2 3" xfId="5568"/>
    <cellStyle name="Comma 5 6 2 3 3" xfId="6447"/>
    <cellStyle name="Comma 5 6 2 3 3 2" xfId="11462"/>
    <cellStyle name="Comma 5 6 2 3 4" xfId="8992"/>
    <cellStyle name="Comma 5 6 2 3 5" xfId="12916"/>
    <cellStyle name="Comma 5 6 2 3 6" xfId="8179"/>
    <cellStyle name="Comma 5 6 2 3 7" xfId="3923"/>
    <cellStyle name="Comma 5 6 2 4" xfId="1383"/>
    <cellStyle name="Comma 5 6 2 4 2" xfId="2941"/>
    <cellStyle name="Comma 5 6 2 4 2 2" xfId="11981"/>
    <cellStyle name="Comma 5 6 2 4 2 3" xfId="6966"/>
    <cellStyle name="Comma 5 6 2 4 3" xfId="13435"/>
    <cellStyle name="Comma 5 6 2 4 4" xfId="9876"/>
    <cellStyle name="Comma 5 6 2 4 5" xfId="4858"/>
    <cellStyle name="Comma 5 6 2 5" xfId="1775"/>
    <cellStyle name="Comma 5 6 2 5 2" xfId="10938"/>
    <cellStyle name="Comma 5 6 2 5 3" xfId="5922"/>
    <cellStyle name="Comma 5 6 2 6" xfId="8499"/>
    <cellStyle name="Comma 5 6 2 7" xfId="12392"/>
    <cellStyle name="Comma 5 6 2 8" xfId="7469"/>
    <cellStyle name="Comma 5 6 2 9" xfId="3421"/>
    <cellStyle name="Comma 5 6 3" xfId="517"/>
    <cellStyle name="Comma 5 6 3 2" xfId="926"/>
    <cellStyle name="Comma 5 6 3 2 2" xfId="9776"/>
    <cellStyle name="Comma 5 6 3 2 3" xfId="4758"/>
    <cellStyle name="Comma 5 6 3 3" xfId="1950"/>
    <cellStyle name="Comma 5 6 3 3 2" xfId="11113"/>
    <cellStyle name="Comma 5 6 3 3 3" xfId="6097"/>
    <cellStyle name="Comma 5 6 3 4" xfId="8892"/>
    <cellStyle name="Comma 5 6 3 5" xfId="12567"/>
    <cellStyle name="Comma 5 6 3 6" xfId="7369"/>
    <cellStyle name="Comma 5 6 3 7" xfId="3823"/>
    <cellStyle name="Comma 5 6 4" xfId="797"/>
    <cellStyle name="Comma 5 6 4 2" xfId="2299"/>
    <cellStyle name="Comma 5 6 4 2 2" xfId="10056"/>
    <cellStyle name="Comma 5 6 4 2 3" xfId="5038"/>
    <cellStyle name="Comma 5 6 4 3" xfId="6446"/>
    <cellStyle name="Comma 5 6 4 3 2" xfId="11461"/>
    <cellStyle name="Comma 5 6 4 4" xfId="9172"/>
    <cellStyle name="Comma 5 6 4 5" xfId="12915"/>
    <cellStyle name="Comma 5 6 4 6" xfId="7649"/>
    <cellStyle name="Comma 5 6 4 7" xfId="4103"/>
    <cellStyle name="Comma 5 6 5" xfId="1282"/>
    <cellStyle name="Comma 5 6 5 2" xfId="2839"/>
    <cellStyle name="Comma 5 6 5 2 2" xfId="10485"/>
    <cellStyle name="Comma 5 6 5 2 3" xfId="5468"/>
    <cellStyle name="Comma 5 6 5 3" xfId="6866"/>
    <cellStyle name="Comma 5 6 5 3 2" xfId="11881"/>
    <cellStyle name="Comma 5 6 5 4" xfId="8673"/>
    <cellStyle name="Comma 5 6 5 5" xfId="13335"/>
    <cellStyle name="Comma 5 6 5 6" xfId="8079"/>
    <cellStyle name="Comma 5 6 5 7" xfId="3602"/>
    <cellStyle name="Comma 5 6 6" xfId="1675"/>
    <cellStyle name="Comma 5 6 6 2" xfId="9559"/>
    <cellStyle name="Comma 5 6 6 3" xfId="4541"/>
    <cellStyle name="Comma 5 6 7" xfId="5822"/>
    <cellStyle name="Comma 5 6 7 2" xfId="10838"/>
    <cellStyle name="Comma 5 6 8" xfId="8399"/>
    <cellStyle name="Comma 5 6 9" xfId="12292"/>
    <cellStyle name="Comma 5 7" xfId="227"/>
    <cellStyle name="Comma 5 7 10" xfId="7200"/>
    <cellStyle name="Comma 5 7 11" xfId="3264"/>
    <cellStyle name="Comma 5 7 2" xfId="308"/>
    <cellStyle name="Comma 5 7 2 2" xfId="665"/>
    <cellStyle name="Comma 5 7 2 2 2" xfId="1953"/>
    <cellStyle name="Comma 5 7 2 2 2 2" xfId="10059"/>
    <cellStyle name="Comma 5 7 2 2 2 3" xfId="5041"/>
    <cellStyle name="Comma 5 7 2 2 3" xfId="6100"/>
    <cellStyle name="Comma 5 7 2 2 3 2" xfId="11116"/>
    <cellStyle name="Comma 5 7 2 2 4" xfId="9175"/>
    <cellStyle name="Comma 5 7 2 2 5" xfId="12570"/>
    <cellStyle name="Comma 5 7 2 2 6" xfId="7652"/>
    <cellStyle name="Comma 5 7 2 2 7" xfId="4106"/>
    <cellStyle name="Comma 5 7 2 3" xfId="1074"/>
    <cellStyle name="Comma 5 7 2 3 2" xfId="2302"/>
    <cellStyle name="Comma 5 7 2 3 2 2" xfId="10633"/>
    <cellStyle name="Comma 5 7 2 3 2 3" xfId="5616"/>
    <cellStyle name="Comma 5 7 2 3 3" xfId="6449"/>
    <cellStyle name="Comma 5 7 2 3 3 2" xfId="11464"/>
    <cellStyle name="Comma 5 7 2 3 4" xfId="9040"/>
    <cellStyle name="Comma 5 7 2 3 5" xfId="12918"/>
    <cellStyle name="Comma 5 7 2 3 6" xfId="8227"/>
    <cellStyle name="Comma 5 7 2 3 7" xfId="3971"/>
    <cellStyle name="Comma 5 7 2 4" xfId="1432"/>
    <cellStyle name="Comma 5 7 2 4 2" xfId="2991"/>
    <cellStyle name="Comma 5 7 2 4 2 2" xfId="12029"/>
    <cellStyle name="Comma 5 7 2 4 2 3" xfId="7014"/>
    <cellStyle name="Comma 5 7 2 4 3" xfId="13483"/>
    <cellStyle name="Comma 5 7 2 4 4" xfId="9924"/>
    <cellStyle name="Comma 5 7 2 4 5" xfId="4906"/>
    <cellStyle name="Comma 5 7 2 5" xfId="1823"/>
    <cellStyle name="Comma 5 7 2 5 2" xfId="10986"/>
    <cellStyle name="Comma 5 7 2 5 3" xfId="5970"/>
    <cellStyle name="Comma 5 7 2 6" xfId="8547"/>
    <cellStyle name="Comma 5 7 2 7" xfId="12440"/>
    <cellStyle name="Comma 5 7 2 8" xfId="7517"/>
    <cellStyle name="Comma 5 7 2 9" xfId="3469"/>
    <cellStyle name="Comma 5 7 3" xfId="460"/>
    <cellStyle name="Comma 5 7 3 2" xfId="1952"/>
    <cellStyle name="Comma 5 7 3 2 2" xfId="9719"/>
    <cellStyle name="Comma 5 7 3 2 3" xfId="4701"/>
    <cellStyle name="Comma 5 7 3 3" xfId="6099"/>
    <cellStyle name="Comma 5 7 3 3 2" xfId="11115"/>
    <cellStyle name="Comma 5 7 3 4" xfId="8835"/>
    <cellStyle name="Comma 5 7 3 5" xfId="12569"/>
    <cellStyle name="Comma 5 7 3 6" xfId="7312"/>
    <cellStyle name="Comma 5 7 3 7" xfId="3766"/>
    <cellStyle name="Comma 5 7 4" xfId="869"/>
    <cellStyle name="Comma 5 7 4 2" xfId="2301"/>
    <cellStyle name="Comma 5 7 4 2 2" xfId="10058"/>
    <cellStyle name="Comma 5 7 4 2 3" xfId="5040"/>
    <cellStyle name="Comma 5 7 4 3" xfId="6448"/>
    <cellStyle name="Comma 5 7 4 3 2" xfId="11463"/>
    <cellStyle name="Comma 5 7 4 4" xfId="9174"/>
    <cellStyle name="Comma 5 7 4 5" xfId="12917"/>
    <cellStyle name="Comma 5 7 4 6" xfId="7651"/>
    <cellStyle name="Comma 5 7 4 7" xfId="4105"/>
    <cellStyle name="Comma 5 7 5" xfId="1221"/>
    <cellStyle name="Comma 5 7 5 2" xfId="2777"/>
    <cellStyle name="Comma 5 7 5 2 2" xfId="10428"/>
    <cellStyle name="Comma 5 7 5 2 3" xfId="5411"/>
    <cellStyle name="Comma 5 7 5 3" xfId="6809"/>
    <cellStyle name="Comma 5 7 5 3 2" xfId="11824"/>
    <cellStyle name="Comma 5 7 5 4" xfId="8721"/>
    <cellStyle name="Comma 5 7 5 5" xfId="13278"/>
    <cellStyle name="Comma 5 7 5 6" xfId="8022"/>
    <cellStyle name="Comma 5 7 5 7" xfId="3651"/>
    <cellStyle name="Comma 5 7 6" xfId="1618"/>
    <cellStyle name="Comma 5 7 6 2" xfId="9607"/>
    <cellStyle name="Comma 5 7 6 3" xfId="4589"/>
    <cellStyle name="Comma 5 7 7" xfId="5765"/>
    <cellStyle name="Comma 5 7 7 2" xfId="10781"/>
    <cellStyle name="Comma 5 7 8" xfId="8342"/>
    <cellStyle name="Comma 5 7 9" xfId="12235"/>
    <cellStyle name="Comma 5 8" xfId="254"/>
    <cellStyle name="Comma 5 8 10" xfId="3525"/>
    <cellStyle name="Comma 5 8 2" xfId="721"/>
    <cellStyle name="Comma 5 8 2 2" xfId="1954"/>
    <cellStyle name="Comma 5 8 2 2 2" xfId="9980"/>
    <cellStyle name="Comma 5 8 2 2 3" xfId="4962"/>
    <cellStyle name="Comma 5 8 2 3" xfId="6101"/>
    <cellStyle name="Comma 5 8 2 3 2" xfId="11117"/>
    <cellStyle name="Comma 5 8 2 4" xfId="9096"/>
    <cellStyle name="Comma 5 8 2 5" xfId="12571"/>
    <cellStyle name="Comma 5 8 2 6" xfId="7573"/>
    <cellStyle name="Comma 5 8 2 7" xfId="4027"/>
    <cellStyle name="Comma 5 8 3" xfId="1130"/>
    <cellStyle name="Comma 5 8 3 2" xfId="2303"/>
    <cellStyle name="Comma 5 8 3 2 2" xfId="10060"/>
    <cellStyle name="Comma 5 8 3 2 3" xfId="5042"/>
    <cellStyle name="Comma 5 8 3 3" xfId="6450"/>
    <cellStyle name="Comma 5 8 3 3 2" xfId="11465"/>
    <cellStyle name="Comma 5 8 3 4" xfId="9176"/>
    <cellStyle name="Comma 5 8 3 5" xfId="12919"/>
    <cellStyle name="Comma 5 8 3 6" xfId="7653"/>
    <cellStyle name="Comma 5 8 3 7" xfId="4107"/>
    <cellStyle name="Comma 5 8 4" xfId="1488"/>
    <cellStyle name="Comma 5 8 4 2" xfId="3047"/>
    <cellStyle name="Comma 5 8 4 2 2" xfId="10689"/>
    <cellStyle name="Comma 5 8 4 2 3" xfId="5672"/>
    <cellStyle name="Comma 5 8 4 3" xfId="7070"/>
    <cellStyle name="Comma 5 8 4 3 2" xfId="12085"/>
    <cellStyle name="Comma 5 8 4 4" xfId="8777"/>
    <cellStyle name="Comma 5 8 4 5" xfId="13539"/>
    <cellStyle name="Comma 5 8 4 6" xfId="8283"/>
    <cellStyle name="Comma 5 8 4 7" xfId="3707"/>
    <cellStyle name="Comma 5 8 5" xfId="1879"/>
    <cellStyle name="Comma 5 8 5 2" xfId="9663"/>
    <cellStyle name="Comma 5 8 5 3" xfId="4645"/>
    <cellStyle name="Comma 5 8 6" xfId="6026"/>
    <cellStyle name="Comma 5 8 6 2" xfId="11042"/>
    <cellStyle name="Comma 5 8 7" xfId="8603"/>
    <cellStyle name="Comma 5 8 8" xfId="12496"/>
    <cellStyle name="Comma 5 8 9" xfId="7256"/>
    <cellStyle name="Comma 5 9" xfId="560"/>
    <cellStyle name="Comma 5 9 2" xfId="969"/>
    <cellStyle name="Comma 5 9 2 2" xfId="1955"/>
    <cellStyle name="Comma 5 9 2 2 2" xfId="10061"/>
    <cellStyle name="Comma 5 9 2 2 3" xfId="5043"/>
    <cellStyle name="Comma 5 9 2 3" xfId="6102"/>
    <cellStyle name="Comma 5 9 2 3 2" xfId="11118"/>
    <cellStyle name="Comma 5 9 2 4" xfId="9177"/>
    <cellStyle name="Comma 5 9 2 5" xfId="12572"/>
    <cellStyle name="Comma 5 9 2 6" xfId="7654"/>
    <cellStyle name="Comma 5 9 2 7" xfId="4108"/>
    <cellStyle name="Comma 5 9 3" xfId="1325"/>
    <cellStyle name="Comma 5 9 3 2" xfId="2304"/>
    <cellStyle name="Comma 5 9 3 2 2" xfId="10528"/>
    <cellStyle name="Comma 5 9 3 2 3" xfId="5511"/>
    <cellStyle name="Comma 5 9 3 3" xfId="6451"/>
    <cellStyle name="Comma 5 9 3 3 2" xfId="11466"/>
    <cellStyle name="Comma 5 9 3 4" xfId="8935"/>
    <cellStyle name="Comma 5 9 3 5" xfId="12920"/>
    <cellStyle name="Comma 5 9 3 6" xfId="8122"/>
    <cellStyle name="Comma 5 9 3 7" xfId="3866"/>
    <cellStyle name="Comma 5 9 4" xfId="2883"/>
    <cellStyle name="Comma 5 9 4 2" xfId="6909"/>
    <cellStyle name="Comma 5 9 4 2 2" xfId="11924"/>
    <cellStyle name="Comma 5 9 4 3" xfId="13378"/>
    <cellStyle name="Comma 5 9 4 4" xfId="9819"/>
    <cellStyle name="Comma 5 9 4 5" xfId="4801"/>
    <cellStyle name="Comma 5 9 5" xfId="1718"/>
    <cellStyle name="Comma 5 9 5 2" xfId="10881"/>
    <cellStyle name="Comma 5 9 5 3" xfId="5865"/>
    <cellStyle name="Comma 5 9 6" xfId="8442"/>
    <cellStyle name="Comma 5 9 7" xfId="12335"/>
    <cellStyle name="Comma 5 9 8" xfId="7412"/>
    <cellStyle name="Comma 5 9 9" xfId="3364"/>
    <cellStyle name="Comma 6" xfId="105"/>
    <cellStyle name="Comma 6 10" xfId="1552"/>
    <cellStyle name="Comma 6 10 2" xfId="12169"/>
    <cellStyle name="Comma 6 10 3" xfId="10713"/>
    <cellStyle name="Comma 6 10 4" xfId="5697"/>
    <cellStyle name="Comma 6 11" xfId="1522"/>
    <cellStyle name="Comma 6 11 2" xfId="8296"/>
    <cellStyle name="Comma 6 12" xfId="12139"/>
    <cellStyle name="Comma 6 13" xfId="7112"/>
    <cellStyle name="Comma 6 14" xfId="3214"/>
    <cellStyle name="Comma 6 2" xfId="170"/>
    <cellStyle name="Comma 6 2 10" xfId="8319"/>
    <cellStyle name="Comma 6 2 11" xfId="12212"/>
    <cellStyle name="Comma 6 2 12" xfId="7131"/>
    <cellStyle name="Comma 6 2 13" xfId="3240"/>
    <cellStyle name="Comma 6 2 2" xfId="344"/>
    <cellStyle name="Comma 6 2 2 10" xfId="7235"/>
    <cellStyle name="Comma 6 2 2 11" xfId="3300"/>
    <cellStyle name="Comma 6 2 2 2" xfId="700"/>
    <cellStyle name="Comma 6 2 2 2 2" xfId="1109"/>
    <cellStyle name="Comma 6 2 2 2 2 2" xfId="1959"/>
    <cellStyle name="Comma 6 2 2 2 2 2 2" xfId="10065"/>
    <cellStyle name="Comma 6 2 2 2 2 2 3" xfId="5047"/>
    <cellStyle name="Comma 6 2 2 2 2 3" xfId="6106"/>
    <cellStyle name="Comma 6 2 2 2 2 3 2" xfId="11122"/>
    <cellStyle name="Comma 6 2 2 2 2 4" xfId="9181"/>
    <cellStyle name="Comma 6 2 2 2 2 5" xfId="12576"/>
    <cellStyle name="Comma 6 2 2 2 2 6" xfId="7658"/>
    <cellStyle name="Comma 6 2 2 2 2 7" xfId="4112"/>
    <cellStyle name="Comma 6 2 2 2 3" xfId="1467"/>
    <cellStyle name="Comma 6 2 2 2 3 2" xfId="2308"/>
    <cellStyle name="Comma 6 2 2 2 3 2 2" xfId="10668"/>
    <cellStyle name="Comma 6 2 2 2 3 2 3" xfId="5651"/>
    <cellStyle name="Comma 6 2 2 2 3 3" xfId="6455"/>
    <cellStyle name="Comma 6 2 2 2 3 3 2" xfId="11470"/>
    <cellStyle name="Comma 6 2 2 2 3 4" xfId="9075"/>
    <cellStyle name="Comma 6 2 2 2 3 5" xfId="12924"/>
    <cellStyle name="Comma 6 2 2 2 3 6" xfId="8262"/>
    <cellStyle name="Comma 6 2 2 2 3 7" xfId="4006"/>
    <cellStyle name="Comma 6 2 2 2 4" xfId="3026"/>
    <cellStyle name="Comma 6 2 2 2 4 2" xfId="7049"/>
    <cellStyle name="Comma 6 2 2 2 4 2 2" xfId="12064"/>
    <cellStyle name="Comma 6 2 2 2 4 3" xfId="13518"/>
    <cellStyle name="Comma 6 2 2 2 4 4" xfId="9959"/>
    <cellStyle name="Comma 6 2 2 2 4 5" xfId="4941"/>
    <cellStyle name="Comma 6 2 2 2 5" xfId="1858"/>
    <cellStyle name="Comma 6 2 2 2 5 2" xfId="11021"/>
    <cellStyle name="Comma 6 2 2 2 5 3" xfId="6005"/>
    <cellStyle name="Comma 6 2 2 2 6" xfId="8582"/>
    <cellStyle name="Comma 6 2 2 2 7" xfId="12475"/>
    <cellStyle name="Comma 6 2 2 2 8" xfId="7552"/>
    <cellStyle name="Comma 6 2 2 2 9" xfId="3504"/>
    <cellStyle name="Comma 6 2 2 3" xfId="496"/>
    <cellStyle name="Comma 6 2 2 3 2" xfId="1958"/>
    <cellStyle name="Comma 6 2 2 3 2 2" xfId="9755"/>
    <cellStyle name="Comma 6 2 2 3 2 3" xfId="4737"/>
    <cellStyle name="Comma 6 2 2 3 3" xfId="6105"/>
    <cellStyle name="Comma 6 2 2 3 3 2" xfId="11121"/>
    <cellStyle name="Comma 6 2 2 3 4" xfId="8871"/>
    <cellStyle name="Comma 6 2 2 3 5" xfId="12575"/>
    <cellStyle name="Comma 6 2 2 3 6" xfId="7348"/>
    <cellStyle name="Comma 6 2 2 3 7" xfId="3802"/>
    <cellStyle name="Comma 6 2 2 4" xfId="905"/>
    <cellStyle name="Comma 6 2 2 4 2" xfId="2307"/>
    <cellStyle name="Comma 6 2 2 4 2 2" xfId="10064"/>
    <cellStyle name="Comma 6 2 2 4 2 3" xfId="5046"/>
    <cellStyle name="Comma 6 2 2 4 3" xfId="6454"/>
    <cellStyle name="Comma 6 2 2 4 3 2" xfId="11469"/>
    <cellStyle name="Comma 6 2 2 4 4" xfId="9180"/>
    <cellStyle name="Comma 6 2 2 4 5" xfId="12923"/>
    <cellStyle name="Comma 6 2 2 4 6" xfId="7657"/>
    <cellStyle name="Comma 6 2 2 4 7" xfId="4111"/>
    <cellStyle name="Comma 6 2 2 5" xfId="1260"/>
    <cellStyle name="Comma 6 2 2 5 2" xfId="2816"/>
    <cellStyle name="Comma 6 2 2 5 2 2" xfId="10464"/>
    <cellStyle name="Comma 6 2 2 5 2 3" xfId="5447"/>
    <cellStyle name="Comma 6 2 2 5 3" xfId="6845"/>
    <cellStyle name="Comma 6 2 2 5 3 2" xfId="11860"/>
    <cellStyle name="Comma 6 2 2 5 4" xfId="8756"/>
    <cellStyle name="Comma 6 2 2 5 5" xfId="13314"/>
    <cellStyle name="Comma 6 2 2 5 6" xfId="8058"/>
    <cellStyle name="Comma 6 2 2 5 7" xfId="3686"/>
    <cellStyle name="Comma 6 2 2 6" xfId="1654"/>
    <cellStyle name="Comma 6 2 2 6 2" xfId="9642"/>
    <cellStyle name="Comma 6 2 2 6 3" xfId="4624"/>
    <cellStyle name="Comma 6 2 2 7" xfId="5801"/>
    <cellStyle name="Comma 6 2 2 7 2" xfId="10817"/>
    <cellStyle name="Comma 6 2 2 8" xfId="8378"/>
    <cellStyle name="Comma 6 2 2 9" xfId="12271"/>
    <cellStyle name="Comma 6 2 3" xfId="281"/>
    <cellStyle name="Comma 6 2 3 10" xfId="3462"/>
    <cellStyle name="Comma 6 2 3 2" xfId="658"/>
    <cellStyle name="Comma 6 2 3 2 2" xfId="1960"/>
    <cellStyle name="Comma 6 2 3 2 2 2" xfId="9917"/>
    <cellStyle name="Comma 6 2 3 2 2 3" xfId="4899"/>
    <cellStyle name="Comma 6 2 3 2 3" xfId="6107"/>
    <cellStyle name="Comma 6 2 3 2 3 2" xfId="11123"/>
    <cellStyle name="Comma 6 2 3 2 4" xfId="9033"/>
    <cellStyle name="Comma 6 2 3 2 5" xfId="12577"/>
    <cellStyle name="Comma 6 2 3 2 6" xfId="7510"/>
    <cellStyle name="Comma 6 2 3 2 7" xfId="3964"/>
    <cellStyle name="Comma 6 2 3 3" xfId="1067"/>
    <cellStyle name="Comma 6 2 3 3 2" xfId="2309"/>
    <cellStyle name="Comma 6 2 3 3 2 2" xfId="10066"/>
    <cellStyle name="Comma 6 2 3 3 2 3" xfId="5048"/>
    <cellStyle name="Comma 6 2 3 3 3" xfId="6456"/>
    <cellStyle name="Comma 6 2 3 3 3 2" xfId="11471"/>
    <cellStyle name="Comma 6 2 3 3 4" xfId="9182"/>
    <cellStyle name="Comma 6 2 3 3 5" xfId="12925"/>
    <cellStyle name="Comma 6 2 3 3 6" xfId="7659"/>
    <cellStyle name="Comma 6 2 3 3 7" xfId="4113"/>
    <cellStyle name="Comma 6 2 3 4" xfId="1425"/>
    <cellStyle name="Comma 6 2 3 4 2" xfId="2983"/>
    <cellStyle name="Comma 6 2 3 4 2 2" xfId="10626"/>
    <cellStyle name="Comma 6 2 3 4 2 3" xfId="5609"/>
    <cellStyle name="Comma 6 2 3 4 3" xfId="7007"/>
    <cellStyle name="Comma 6 2 3 4 3 2" xfId="12022"/>
    <cellStyle name="Comma 6 2 3 4 4" xfId="8714"/>
    <cellStyle name="Comma 6 2 3 4 5" xfId="13476"/>
    <cellStyle name="Comma 6 2 3 4 6" xfId="8220"/>
    <cellStyle name="Comma 6 2 3 4 7" xfId="3644"/>
    <cellStyle name="Comma 6 2 3 5" xfId="1816"/>
    <cellStyle name="Comma 6 2 3 5 2" xfId="9600"/>
    <cellStyle name="Comma 6 2 3 5 3" xfId="4582"/>
    <cellStyle name="Comma 6 2 3 6" xfId="5963"/>
    <cellStyle name="Comma 6 2 3 6 2" xfId="10979"/>
    <cellStyle name="Comma 6 2 3 7" xfId="8540"/>
    <cellStyle name="Comma 6 2 3 8" xfId="12433"/>
    <cellStyle name="Comma 6 2 3 9" xfId="7193"/>
    <cellStyle name="Comma 6 2 4" xfId="596"/>
    <cellStyle name="Comma 6 2 4 2" xfId="1005"/>
    <cellStyle name="Comma 6 2 4 2 2" xfId="1961"/>
    <cellStyle name="Comma 6 2 4 2 2 2" xfId="10067"/>
    <cellStyle name="Comma 6 2 4 2 2 3" xfId="5049"/>
    <cellStyle name="Comma 6 2 4 2 3" xfId="6108"/>
    <cellStyle name="Comma 6 2 4 2 3 2" xfId="11124"/>
    <cellStyle name="Comma 6 2 4 2 4" xfId="9183"/>
    <cellStyle name="Comma 6 2 4 2 5" xfId="12578"/>
    <cellStyle name="Comma 6 2 4 2 6" xfId="7660"/>
    <cellStyle name="Comma 6 2 4 2 7" xfId="4114"/>
    <cellStyle name="Comma 6 2 4 3" xfId="1361"/>
    <cellStyle name="Comma 6 2 4 3 2" xfId="2310"/>
    <cellStyle name="Comma 6 2 4 3 2 2" xfId="10564"/>
    <cellStyle name="Comma 6 2 4 3 2 3" xfId="5547"/>
    <cellStyle name="Comma 6 2 4 3 3" xfId="6457"/>
    <cellStyle name="Comma 6 2 4 3 3 2" xfId="11472"/>
    <cellStyle name="Comma 6 2 4 3 4" xfId="8971"/>
    <cellStyle name="Comma 6 2 4 3 5" xfId="12926"/>
    <cellStyle name="Comma 6 2 4 3 6" xfId="8158"/>
    <cellStyle name="Comma 6 2 4 3 7" xfId="3902"/>
    <cellStyle name="Comma 6 2 4 4" xfId="2919"/>
    <cellStyle name="Comma 6 2 4 4 2" xfId="6945"/>
    <cellStyle name="Comma 6 2 4 4 2 2" xfId="11960"/>
    <cellStyle name="Comma 6 2 4 4 3" xfId="13414"/>
    <cellStyle name="Comma 6 2 4 4 4" xfId="9855"/>
    <cellStyle name="Comma 6 2 4 4 5" xfId="4837"/>
    <cellStyle name="Comma 6 2 4 5" xfId="1754"/>
    <cellStyle name="Comma 6 2 4 5 2" xfId="10917"/>
    <cellStyle name="Comma 6 2 4 5 3" xfId="5901"/>
    <cellStyle name="Comma 6 2 4 6" xfId="8478"/>
    <cellStyle name="Comma 6 2 4 7" xfId="12371"/>
    <cellStyle name="Comma 6 2 4 8" xfId="7448"/>
    <cellStyle name="Comma 6 2 4 9" xfId="3400"/>
    <cellStyle name="Comma 6 2 5" xfId="437"/>
    <cellStyle name="Comma 6 2 5 2" xfId="845"/>
    <cellStyle name="Comma 6 2 5 2 2" xfId="9696"/>
    <cellStyle name="Comma 6 2 5 2 3" xfId="4678"/>
    <cellStyle name="Comma 6 2 5 3" xfId="1957"/>
    <cellStyle name="Comma 6 2 5 3 2" xfId="11120"/>
    <cellStyle name="Comma 6 2 5 3 3" xfId="6104"/>
    <cellStyle name="Comma 6 2 5 4" xfId="8812"/>
    <cellStyle name="Comma 6 2 5 5" xfId="12574"/>
    <cellStyle name="Comma 6 2 5 6" xfId="7289"/>
    <cellStyle name="Comma 6 2 5 7" xfId="3743"/>
    <cellStyle name="Comma 6 2 6" xfId="772"/>
    <cellStyle name="Comma 6 2 6 2" xfId="2306"/>
    <cellStyle name="Comma 6 2 6 2 2" xfId="10063"/>
    <cellStyle name="Comma 6 2 6 2 3" xfId="5045"/>
    <cellStyle name="Comma 6 2 6 3" xfId="6453"/>
    <cellStyle name="Comma 6 2 6 3 2" xfId="11468"/>
    <cellStyle name="Comma 6 2 6 4" xfId="9179"/>
    <cellStyle name="Comma 6 2 6 5" xfId="12922"/>
    <cellStyle name="Comma 6 2 6 6" xfId="7656"/>
    <cellStyle name="Comma 6 2 6 7" xfId="4110"/>
    <cellStyle name="Comma 6 2 7" xfId="1196"/>
    <cellStyle name="Comma 6 2 7 2" xfId="2748"/>
    <cellStyle name="Comma 6 2 7 2 2" xfId="10405"/>
    <cellStyle name="Comma 6 2 7 2 3" xfId="5388"/>
    <cellStyle name="Comma 6 2 7 3" xfId="6786"/>
    <cellStyle name="Comma 6 2 7 3 2" xfId="11801"/>
    <cellStyle name="Comma 6 2 7 4" xfId="8651"/>
    <cellStyle name="Comma 6 2 7 5" xfId="13255"/>
    <cellStyle name="Comma 6 2 7 6" xfId="7999"/>
    <cellStyle name="Comma 6 2 7 7" xfId="3578"/>
    <cellStyle name="Comma 6 2 8" xfId="1595"/>
    <cellStyle name="Comma 6 2 8 2" xfId="9538"/>
    <cellStyle name="Comma 6 2 8 3" xfId="4520"/>
    <cellStyle name="Comma 6 2 9" xfId="5740"/>
    <cellStyle name="Comma 6 2 9 2" xfId="10756"/>
    <cellStyle name="Comma 6 3" xfId="196"/>
    <cellStyle name="Comma 6 3 10" xfId="7174"/>
    <cellStyle name="Comma 6 3 11" xfId="3343"/>
    <cellStyle name="Comma 6 3 2" xfId="388"/>
    <cellStyle name="Comma 6 3 2 2" xfId="639"/>
    <cellStyle name="Comma 6 3 2 2 2" xfId="1963"/>
    <cellStyle name="Comma 6 3 2 2 2 2" xfId="10069"/>
    <cellStyle name="Comma 6 3 2 2 2 3" xfId="5051"/>
    <cellStyle name="Comma 6 3 2 2 3" xfId="6110"/>
    <cellStyle name="Comma 6 3 2 2 3 2" xfId="11126"/>
    <cellStyle name="Comma 6 3 2 2 4" xfId="9185"/>
    <cellStyle name="Comma 6 3 2 2 5" xfId="12580"/>
    <cellStyle name="Comma 6 3 2 2 6" xfId="7662"/>
    <cellStyle name="Comma 6 3 2 2 7" xfId="4116"/>
    <cellStyle name="Comma 6 3 2 3" xfId="1048"/>
    <cellStyle name="Comma 6 3 2 3 2" xfId="2312"/>
    <cellStyle name="Comma 6 3 2 3 2 2" xfId="10607"/>
    <cellStyle name="Comma 6 3 2 3 2 3" xfId="5590"/>
    <cellStyle name="Comma 6 3 2 3 3" xfId="6459"/>
    <cellStyle name="Comma 6 3 2 3 3 2" xfId="11474"/>
    <cellStyle name="Comma 6 3 2 3 4" xfId="9014"/>
    <cellStyle name="Comma 6 3 2 3 5" xfId="12928"/>
    <cellStyle name="Comma 6 3 2 3 6" xfId="8201"/>
    <cellStyle name="Comma 6 3 2 3 7" xfId="3945"/>
    <cellStyle name="Comma 6 3 2 4" xfId="1405"/>
    <cellStyle name="Comma 6 3 2 4 2" xfId="2963"/>
    <cellStyle name="Comma 6 3 2 4 2 2" xfId="12003"/>
    <cellStyle name="Comma 6 3 2 4 2 3" xfId="6988"/>
    <cellStyle name="Comma 6 3 2 4 3" xfId="13457"/>
    <cellStyle name="Comma 6 3 2 4 4" xfId="9898"/>
    <cellStyle name="Comma 6 3 2 4 5" xfId="4880"/>
    <cellStyle name="Comma 6 3 2 5" xfId="1797"/>
    <cellStyle name="Comma 6 3 2 5 2" xfId="10960"/>
    <cellStyle name="Comma 6 3 2 5 3" xfId="5944"/>
    <cellStyle name="Comma 6 3 2 6" xfId="8521"/>
    <cellStyle name="Comma 6 3 2 7" xfId="12414"/>
    <cellStyle name="Comma 6 3 2 8" xfId="7491"/>
    <cellStyle name="Comma 6 3 2 9" xfId="3443"/>
    <cellStyle name="Comma 6 3 3" xfId="539"/>
    <cellStyle name="Comma 6 3 3 2" xfId="948"/>
    <cellStyle name="Comma 6 3 3 2 2" xfId="9798"/>
    <cellStyle name="Comma 6 3 3 2 3" xfId="4780"/>
    <cellStyle name="Comma 6 3 3 3" xfId="1962"/>
    <cellStyle name="Comma 6 3 3 3 2" xfId="11125"/>
    <cellStyle name="Comma 6 3 3 3 3" xfId="6109"/>
    <cellStyle name="Comma 6 3 3 4" xfId="8914"/>
    <cellStyle name="Comma 6 3 3 5" xfId="12579"/>
    <cellStyle name="Comma 6 3 3 6" xfId="7391"/>
    <cellStyle name="Comma 6 3 3 7" xfId="3845"/>
    <cellStyle name="Comma 6 3 4" xfId="802"/>
    <cellStyle name="Comma 6 3 4 2" xfId="2311"/>
    <cellStyle name="Comma 6 3 4 2 2" xfId="10068"/>
    <cellStyle name="Comma 6 3 4 2 3" xfId="5050"/>
    <cellStyle name="Comma 6 3 4 3" xfId="6458"/>
    <cellStyle name="Comma 6 3 4 3 2" xfId="11473"/>
    <cellStyle name="Comma 6 3 4 4" xfId="9184"/>
    <cellStyle name="Comma 6 3 4 5" xfId="12927"/>
    <cellStyle name="Comma 6 3 4 6" xfId="7661"/>
    <cellStyle name="Comma 6 3 4 7" xfId="4115"/>
    <cellStyle name="Comma 6 3 5" xfId="1304"/>
    <cellStyle name="Comma 6 3 5 2" xfId="2861"/>
    <cellStyle name="Comma 6 3 5 2 2" xfId="10507"/>
    <cellStyle name="Comma 6 3 5 2 3" xfId="5490"/>
    <cellStyle name="Comma 6 3 5 3" xfId="6888"/>
    <cellStyle name="Comma 6 3 5 3 2" xfId="11903"/>
    <cellStyle name="Comma 6 3 5 4" xfId="8695"/>
    <cellStyle name="Comma 6 3 5 5" xfId="13357"/>
    <cellStyle name="Comma 6 3 5 6" xfId="8101"/>
    <cellStyle name="Comma 6 3 5 7" xfId="3624"/>
    <cellStyle name="Comma 6 3 6" xfId="1697"/>
    <cellStyle name="Comma 6 3 6 2" xfId="9581"/>
    <cellStyle name="Comma 6 3 6 3" xfId="4563"/>
    <cellStyle name="Comma 6 3 7" xfId="5844"/>
    <cellStyle name="Comma 6 3 7 2" xfId="10860"/>
    <cellStyle name="Comma 6 3 8" xfId="8421"/>
    <cellStyle name="Comma 6 3 9" xfId="12314"/>
    <cellStyle name="Comma 6 4" xfId="232"/>
    <cellStyle name="Comma 6 4 10" xfId="7217"/>
    <cellStyle name="Comma 6 4 11" xfId="3281"/>
    <cellStyle name="Comma 6 4 2" xfId="325"/>
    <cellStyle name="Comma 6 4 2 2" xfId="682"/>
    <cellStyle name="Comma 6 4 2 2 2" xfId="1965"/>
    <cellStyle name="Comma 6 4 2 2 2 2" xfId="10071"/>
    <cellStyle name="Comma 6 4 2 2 2 3" xfId="5053"/>
    <cellStyle name="Comma 6 4 2 2 3" xfId="6112"/>
    <cellStyle name="Comma 6 4 2 2 3 2" xfId="11128"/>
    <cellStyle name="Comma 6 4 2 2 4" xfId="9187"/>
    <cellStyle name="Comma 6 4 2 2 5" xfId="12582"/>
    <cellStyle name="Comma 6 4 2 2 6" xfId="7664"/>
    <cellStyle name="Comma 6 4 2 2 7" xfId="4118"/>
    <cellStyle name="Comma 6 4 2 3" xfId="1091"/>
    <cellStyle name="Comma 6 4 2 3 2" xfId="2314"/>
    <cellStyle name="Comma 6 4 2 3 2 2" xfId="10650"/>
    <cellStyle name="Comma 6 4 2 3 2 3" xfId="5633"/>
    <cellStyle name="Comma 6 4 2 3 3" xfId="6461"/>
    <cellStyle name="Comma 6 4 2 3 3 2" xfId="11476"/>
    <cellStyle name="Comma 6 4 2 3 4" xfId="9057"/>
    <cellStyle name="Comma 6 4 2 3 5" xfId="12930"/>
    <cellStyle name="Comma 6 4 2 3 6" xfId="8244"/>
    <cellStyle name="Comma 6 4 2 3 7" xfId="3988"/>
    <cellStyle name="Comma 6 4 2 4" xfId="1449"/>
    <cellStyle name="Comma 6 4 2 4 2" xfId="3008"/>
    <cellStyle name="Comma 6 4 2 4 2 2" xfId="12046"/>
    <cellStyle name="Comma 6 4 2 4 2 3" xfId="7031"/>
    <cellStyle name="Comma 6 4 2 4 3" xfId="13500"/>
    <cellStyle name="Comma 6 4 2 4 4" xfId="9941"/>
    <cellStyle name="Comma 6 4 2 4 5" xfId="4923"/>
    <cellStyle name="Comma 6 4 2 5" xfId="1840"/>
    <cellStyle name="Comma 6 4 2 5 2" xfId="11003"/>
    <cellStyle name="Comma 6 4 2 5 3" xfId="5987"/>
    <cellStyle name="Comma 6 4 2 6" xfId="8564"/>
    <cellStyle name="Comma 6 4 2 7" xfId="12457"/>
    <cellStyle name="Comma 6 4 2 8" xfId="7534"/>
    <cellStyle name="Comma 6 4 2 9" xfId="3486"/>
    <cellStyle name="Comma 6 4 3" xfId="477"/>
    <cellStyle name="Comma 6 4 3 2" xfId="1964"/>
    <cellStyle name="Comma 6 4 3 2 2" xfId="9736"/>
    <cellStyle name="Comma 6 4 3 2 3" xfId="4718"/>
    <cellStyle name="Comma 6 4 3 3" xfId="6111"/>
    <cellStyle name="Comma 6 4 3 3 2" xfId="11127"/>
    <cellStyle name="Comma 6 4 3 4" xfId="8852"/>
    <cellStyle name="Comma 6 4 3 5" xfId="12581"/>
    <cellStyle name="Comma 6 4 3 6" xfId="7329"/>
    <cellStyle name="Comma 6 4 3 7" xfId="3783"/>
    <cellStyle name="Comma 6 4 4" xfId="886"/>
    <cellStyle name="Comma 6 4 4 2" xfId="2313"/>
    <cellStyle name="Comma 6 4 4 2 2" xfId="10070"/>
    <cellStyle name="Comma 6 4 4 2 3" xfId="5052"/>
    <cellStyle name="Comma 6 4 4 3" xfId="6460"/>
    <cellStyle name="Comma 6 4 4 3 2" xfId="11475"/>
    <cellStyle name="Comma 6 4 4 4" xfId="9186"/>
    <cellStyle name="Comma 6 4 4 5" xfId="12929"/>
    <cellStyle name="Comma 6 4 4 6" xfId="7663"/>
    <cellStyle name="Comma 6 4 4 7" xfId="4117"/>
    <cellStyle name="Comma 6 4 5" xfId="1238"/>
    <cellStyle name="Comma 6 4 5 2" xfId="2794"/>
    <cellStyle name="Comma 6 4 5 2 2" xfId="10445"/>
    <cellStyle name="Comma 6 4 5 2 3" xfId="5428"/>
    <cellStyle name="Comma 6 4 5 3" xfId="6826"/>
    <cellStyle name="Comma 6 4 5 3 2" xfId="11841"/>
    <cellStyle name="Comma 6 4 5 4" xfId="8738"/>
    <cellStyle name="Comma 6 4 5 5" xfId="13295"/>
    <cellStyle name="Comma 6 4 5 6" xfId="8039"/>
    <cellStyle name="Comma 6 4 5 7" xfId="3668"/>
    <cellStyle name="Comma 6 4 6" xfId="1635"/>
    <cellStyle name="Comma 6 4 6 2" xfId="9624"/>
    <cellStyle name="Comma 6 4 6 3" xfId="4606"/>
    <cellStyle name="Comma 6 4 7" xfId="5782"/>
    <cellStyle name="Comma 6 4 7 2" xfId="10798"/>
    <cellStyle name="Comma 6 4 8" xfId="8359"/>
    <cellStyle name="Comma 6 4 9" xfId="12252"/>
    <cellStyle name="Comma 6 5" xfId="259"/>
    <cellStyle name="Comma 6 5 2" xfId="577"/>
    <cellStyle name="Comma 6 5 2 2" xfId="1966"/>
    <cellStyle name="Comma 6 5 2 2 2" xfId="10072"/>
    <cellStyle name="Comma 6 5 2 2 3" xfId="5054"/>
    <cellStyle name="Comma 6 5 2 3" xfId="6113"/>
    <cellStyle name="Comma 6 5 2 3 2" xfId="11129"/>
    <cellStyle name="Comma 6 5 2 4" xfId="9188"/>
    <cellStyle name="Comma 6 5 2 5" xfId="12583"/>
    <cellStyle name="Comma 6 5 2 6" xfId="7665"/>
    <cellStyle name="Comma 6 5 2 7" xfId="4119"/>
    <cellStyle name="Comma 6 5 3" xfId="986"/>
    <cellStyle name="Comma 6 5 3 2" xfId="2315"/>
    <cellStyle name="Comma 6 5 3 2 2" xfId="10545"/>
    <cellStyle name="Comma 6 5 3 2 3" xfId="5528"/>
    <cellStyle name="Comma 6 5 3 3" xfId="6462"/>
    <cellStyle name="Comma 6 5 3 3 2" xfId="11477"/>
    <cellStyle name="Comma 6 5 3 4" xfId="8952"/>
    <cellStyle name="Comma 6 5 3 5" xfId="12931"/>
    <cellStyle name="Comma 6 5 3 6" xfId="8139"/>
    <cellStyle name="Comma 6 5 3 7" xfId="3883"/>
    <cellStyle name="Comma 6 5 4" xfId="1342"/>
    <cellStyle name="Comma 6 5 4 2" xfId="2900"/>
    <cellStyle name="Comma 6 5 4 2 2" xfId="11941"/>
    <cellStyle name="Comma 6 5 4 2 3" xfId="6926"/>
    <cellStyle name="Comma 6 5 4 3" xfId="13395"/>
    <cellStyle name="Comma 6 5 4 4" xfId="9836"/>
    <cellStyle name="Comma 6 5 4 5" xfId="4818"/>
    <cellStyle name="Comma 6 5 5" xfId="1735"/>
    <cellStyle name="Comma 6 5 5 2" xfId="10898"/>
    <cellStyle name="Comma 6 5 5 3" xfId="5882"/>
    <cellStyle name="Comma 6 5 6" xfId="8459"/>
    <cellStyle name="Comma 6 5 7" xfId="12352"/>
    <cellStyle name="Comma 6 5 8" xfId="7429"/>
    <cellStyle name="Comma 6 5 9" xfId="3381"/>
    <cellStyle name="Comma 6 6" xfId="414"/>
    <cellStyle name="Comma 6 6 2" xfId="822"/>
    <cellStyle name="Comma 6 6 2 2" xfId="1967"/>
    <cellStyle name="Comma 6 6 2 2 2" xfId="10073"/>
    <cellStyle name="Comma 6 6 2 2 3" xfId="5055"/>
    <cellStyle name="Comma 6 6 2 3" xfId="6114"/>
    <cellStyle name="Comma 6 6 2 3 2" xfId="11130"/>
    <cellStyle name="Comma 6 6 2 4" xfId="9189"/>
    <cellStyle name="Comma 6 6 2 5" xfId="12584"/>
    <cellStyle name="Comma 6 6 2 6" xfId="7666"/>
    <cellStyle name="Comma 6 6 2 7" xfId="4120"/>
    <cellStyle name="Comma 6 6 3" xfId="1172"/>
    <cellStyle name="Comma 6 6 3 2" xfId="2316"/>
    <cellStyle name="Comma 6 6 3 2 2" xfId="10382"/>
    <cellStyle name="Comma 6 6 3 2 3" xfId="5365"/>
    <cellStyle name="Comma 6 6 3 3" xfId="6463"/>
    <cellStyle name="Comma 6 6 3 3 2" xfId="11478"/>
    <cellStyle name="Comma 6 6 3 4" xfId="9487"/>
    <cellStyle name="Comma 6 6 3 5" xfId="12932"/>
    <cellStyle name="Comma 6 6 3 6" xfId="7976"/>
    <cellStyle name="Comma 6 6 3 7" xfId="4469"/>
    <cellStyle name="Comma 6 6 4" xfId="2723"/>
    <cellStyle name="Comma 6 6 4 2" xfId="6763"/>
    <cellStyle name="Comma 6 6 4 2 2" xfId="11778"/>
    <cellStyle name="Comma 6 6 4 3" xfId="13232"/>
    <cellStyle name="Comma 6 6 4 4" xfId="9673"/>
    <cellStyle name="Comma 6 6 4 5" xfId="4655"/>
    <cellStyle name="Comma 6 6 5" xfId="1572"/>
    <cellStyle name="Comma 6 6 5 2" xfId="10733"/>
    <cellStyle name="Comma 6 6 5 3" xfId="5717"/>
    <cellStyle name="Comma 6 6 6" xfId="8789"/>
    <cellStyle name="Comma 6 6 7" xfId="12189"/>
    <cellStyle name="Comma 6 6 8" xfId="7266"/>
    <cellStyle name="Comma 6 6 9" xfId="3720"/>
    <cellStyle name="Comma 6 7" xfId="748"/>
    <cellStyle name="Comma 6 7 2" xfId="1956"/>
    <cellStyle name="Comma 6 7 2 2" xfId="10062"/>
    <cellStyle name="Comma 6 7 2 3" xfId="5044"/>
    <cellStyle name="Comma 6 7 3" xfId="6103"/>
    <cellStyle name="Comma 6 7 3 2" xfId="11119"/>
    <cellStyle name="Comma 6 7 4" xfId="9178"/>
    <cellStyle name="Comma 6 7 5" xfId="12573"/>
    <cellStyle name="Comma 6 7 6" xfId="7655"/>
    <cellStyle name="Comma 6 7 7" xfId="4109"/>
    <cellStyle name="Comma 6 8" xfId="1152"/>
    <cellStyle name="Comma 6 8 2" xfId="2305"/>
    <cellStyle name="Comma 6 8 2 2" xfId="10362"/>
    <cellStyle name="Comma 6 8 2 3" xfId="5345"/>
    <cellStyle name="Comma 6 8 3" xfId="6452"/>
    <cellStyle name="Comma 6 8 3 2" xfId="11467"/>
    <cellStyle name="Comma 6 8 4" xfId="8632"/>
    <cellStyle name="Comma 6 8 5" xfId="12921"/>
    <cellStyle name="Comma 6 8 6" xfId="7956"/>
    <cellStyle name="Comma 6 8 7" xfId="3556"/>
    <cellStyle name="Comma 6 9" xfId="2677"/>
    <cellStyle name="Comma 6 9 2" xfId="6743"/>
    <cellStyle name="Comma 6 9 2 2" xfId="11758"/>
    <cellStyle name="Comma 6 9 3" xfId="13212"/>
    <cellStyle name="Comma 6 9 4" xfId="9518"/>
    <cellStyle name="Comma 6 9 5" xfId="4500"/>
    <cellStyle name="Comma 7" xfId="110"/>
    <cellStyle name="Explanatory Text 2" xfId="4426"/>
    <cellStyle name="Good 2" xfId="4427"/>
    <cellStyle name="Heading 1 2" xfId="4428"/>
    <cellStyle name="Heading 2 2" xfId="4429"/>
    <cellStyle name="Heading 3 2" xfId="4430"/>
    <cellStyle name="Heading 4 2" xfId="4431"/>
    <cellStyle name="Input 2" xfId="4432"/>
    <cellStyle name="Input 3" xfId="4446"/>
    <cellStyle name="Linked Cell 2" xfId="4433"/>
    <cellStyle name="Neutral 2" xfId="4434"/>
    <cellStyle name="Normal" xfId="0" builtinId="0"/>
    <cellStyle name="Normal 10" xfId="71"/>
    <cellStyle name="Normal 10 10" xfId="1500"/>
    <cellStyle name="Normal 10 10 2" xfId="12117"/>
    <cellStyle name="Normal 10 11" xfId="3219"/>
    <cellStyle name="Normal 10 2" xfId="142"/>
    <cellStyle name="Normal 10 2 10" xfId="1563"/>
    <cellStyle name="Normal 10 2 10 2" xfId="12180"/>
    <cellStyle name="Normal 10 2 10 3" xfId="10724"/>
    <cellStyle name="Normal 10 2 10 4" xfId="5708"/>
    <cellStyle name="Normal 10 2 11" xfId="1504"/>
    <cellStyle name="Normal 10 2 11 2" xfId="8307"/>
    <cellStyle name="Normal 10 2 12" xfId="12121"/>
    <cellStyle name="Normal 10 2 13" xfId="7105"/>
    <cellStyle name="Normal 10 2 14" xfId="3228"/>
    <cellStyle name="Normal 10 2 2" xfId="181"/>
    <cellStyle name="Normal 10 2 2 10" xfId="8332"/>
    <cellStyle name="Normal 10 2 2 11" xfId="12150"/>
    <cellStyle name="Normal 10 2 2 12" xfId="7142"/>
    <cellStyle name="Normal 10 2 2 13" xfId="3254"/>
    <cellStyle name="Normal 10 2 2 2" xfId="400"/>
    <cellStyle name="Normal 10 2 2 2 10" xfId="7185"/>
    <cellStyle name="Normal 10 2 2 2 11" xfId="3354"/>
    <cellStyle name="Normal 10 2 2 2 2" xfId="650"/>
    <cellStyle name="Normal 10 2 2 2 2 2" xfId="1059"/>
    <cellStyle name="Normal 10 2 2 2 2 2 2" xfId="1972"/>
    <cellStyle name="Normal 10 2 2 2 2 2 2 2" xfId="10078"/>
    <cellStyle name="Normal 10 2 2 2 2 2 2 3" xfId="5060"/>
    <cellStyle name="Normal 10 2 2 2 2 2 3" xfId="6119"/>
    <cellStyle name="Normal 10 2 2 2 2 2 3 2" xfId="11135"/>
    <cellStyle name="Normal 10 2 2 2 2 2 4" xfId="9194"/>
    <cellStyle name="Normal 10 2 2 2 2 2 5" xfId="12589"/>
    <cellStyle name="Normal 10 2 2 2 2 2 6" xfId="7671"/>
    <cellStyle name="Normal 10 2 2 2 2 2 7" xfId="4125"/>
    <cellStyle name="Normal 10 2 2 2 2 3" xfId="1417"/>
    <cellStyle name="Normal 10 2 2 2 2 3 2" xfId="2321"/>
    <cellStyle name="Normal 10 2 2 2 2 3 2 2" xfId="10618"/>
    <cellStyle name="Normal 10 2 2 2 2 3 2 3" xfId="5601"/>
    <cellStyle name="Normal 10 2 2 2 2 3 3" xfId="6468"/>
    <cellStyle name="Normal 10 2 2 2 2 3 3 2" xfId="11483"/>
    <cellStyle name="Normal 10 2 2 2 2 3 4" xfId="9025"/>
    <cellStyle name="Normal 10 2 2 2 2 3 5" xfId="12937"/>
    <cellStyle name="Normal 10 2 2 2 2 3 6" xfId="8212"/>
    <cellStyle name="Normal 10 2 2 2 2 3 7" xfId="3956"/>
    <cellStyle name="Normal 10 2 2 2 2 4" xfId="2975"/>
    <cellStyle name="Normal 10 2 2 2 2 4 2" xfId="6999"/>
    <cellStyle name="Normal 10 2 2 2 2 4 2 2" xfId="12014"/>
    <cellStyle name="Normal 10 2 2 2 2 4 3" xfId="13468"/>
    <cellStyle name="Normal 10 2 2 2 2 4 4" xfId="9909"/>
    <cellStyle name="Normal 10 2 2 2 2 4 5" xfId="4891"/>
    <cellStyle name="Normal 10 2 2 2 2 5" xfId="1808"/>
    <cellStyle name="Normal 10 2 2 2 2 5 2" xfId="10971"/>
    <cellStyle name="Normal 10 2 2 2 2 5 3" xfId="5955"/>
    <cellStyle name="Normal 10 2 2 2 2 6" xfId="8532"/>
    <cellStyle name="Normal 10 2 2 2 2 7" xfId="12425"/>
    <cellStyle name="Normal 10 2 2 2 2 8" xfId="7502"/>
    <cellStyle name="Normal 10 2 2 2 2 9" xfId="3454"/>
    <cellStyle name="Normal 10 2 2 2 2_Degree data" xfId="2646"/>
    <cellStyle name="Normal 10 2 2 2 3" xfId="550"/>
    <cellStyle name="Normal 10 2 2 2 3 2" xfId="1971"/>
    <cellStyle name="Normal 10 2 2 2 3 2 2" xfId="9809"/>
    <cellStyle name="Normal 10 2 2 2 3 2 3" xfId="4791"/>
    <cellStyle name="Normal 10 2 2 2 3 3" xfId="6118"/>
    <cellStyle name="Normal 10 2 2 2 3 3 2" xfId="11134"/>
    <cellStyle name="Normal 10 2 2 2 3 4" xfId="8925"/>
    <cellStyle name="Normal 10 2 2 2 3 5" xfId="12588"/>
    <cellStyle name="Normal 10 2 2 2 3 6" xfId="7402"/>
    <cellStyle name="Normal 10 2 2 2 3 7" xfId="3856"/>
    <cellStyle name="Normal 10 2 2 2 4" xfId="959"/>
    <cellStyle name="Normal 10 2 2 2 4 2" xfId="2320"/>
    <cellStyle name="Normal 10 2 2 2 4 2 2" xfId="10077"/>
    <cellStyle name="Normal 10 2 2 2 4 2 3" xfId="5059"/>
    <cellStyle name="Normal 10 2 2 2 4 3" xfId="6467"/>
    <cellStyle name="Normal 10 2 2 2 4 3 2" xfId="11482"/>
    <cellStyle name="Normal 10 2 2 2 4 4" xfId="9193"/>
    <cellStyle name="Normal 10 2 2 2 4 5" xfId="12936"/>
    <cellStyle name="Normal 10 2 2 2 4 6" xfId="7670"/>
    <cellStyle name="Normal 10 2 2 2 4 7" xfId="4124"/>
    <cellStyle name="Normal 10 2 2 2 5" xfId="1315"/>
    <cellStyle name="Normal 10 2 2 2 5 2" xfId="2873"/>
    <cellStyle name="Normal 10 2 2 2 5 2 2" xfId="10518"/>
    <cellStyle name="Normal 10 2 2 2 5 2 3" xfId="5501"/>
    <cellStyle name="Normal 10 2 2 2 5 3" xfId="6899"/>
    <cellStyle name="Normal 10 2 2 2 5 3 2" xfId="11914"/>
    <cellStyle name="Normal 10 2 2 2 5 4" xfId="8706"/>
    <cellStyle name="Normal 10 2 2 2 5 5" xfId="13368"/>
    <cellStyle name="Normal 10 2 2 2 5 6" xfId="8112"/>
    <cellStyle name="Normal 10 2 2 2 5 7" xfId="3636"/>
    <cellStyle name="Normal 10 2 2 2 6" xfId="1708"/>
    <cellStyle name="Normal 10 2 2 2 6 2" xfId="9592"/>
    <cellStyle name="Normal 10 2 2 2 6 3" xfId="4574"/>
    <cellStyle name="Normal 10 2 2 2 7" xfId="5855"/>
    <cellStyle name="Normal 10 2 2 2 7 2" xfId="10871"/>
    <cellStyle name="Normal 10 2 2 2 8" xfId="8432"/>
    <cellStyle name="Normal 10 2 2 2 9" xfId="12325"/>
    <cellStyle name="Normal 10 2 2 2_Degree data" xfId="2643"/>
    <cellStyle name="Normal 10 2 2 3" xfId="356"/>
    <cellStyle name="Normal 10 2 2 3 10" xfId="7246"/>
    <cellStyle name="Normal 10 2 2 3 11" xfId="3311"/>
    <cellStyle name="Normal 10 2 2 3 2" xfId="711"/>
    <cellStyle name="Normal 10 2 2 3 2 2" xfId="1120"/>
    <cellStyle name="Normal 10 2 2 3 2 2 2" xfId="1974"/>
    <cellStyle name="Normal 10 2 2 3 2 2 2 2" xfId="10080"/>
    <cellStyle name="Normal 10 2 2 3 2 2 2 3" xfId="5062"/>
    <cellStyle name="Normal 10 2 2 3 2 2 3" xfId="6121"/>
    <cellStyle name="Normal 10 2 2 3 2 2 3 2" xfId="11137"/>
    <cellStyle name="Normal 10 2 2 3 2 2 4" xfId="9196"/>
    <cellStyle name="Normal 10 2 2 3 2 2 5" xfId="12591"/>
    <cellStyle name="Normal 10 2 2 3 2 2 6" xfId="7673"/>
    <cellStyle name="Normal 10 2 2 3 2 2 7" xfId="4127"/>
    <cellStyle name="Normal 10 2 2 3 2 3" xfId="1478"/>
    <cellStyle name="Normal 10 2 2 3 2 3 2" xfId="2323"/>
    <cellStyle name="Normal 10 2 2 3 2 3 2 2" xfId="10679"/>
    <cellStyle name="Normal 10 2 2 3 2 3 2 3" xfId="5662"/>
    <cellStyle name="Normal 10 2 2 3 2 3 3" xfId="6470"/>
    <cellStyle name="Normal 10 2 2 3 2 3 3 2" xfId="11485"/>
    <cellStyle name="Normal 10 2 2 3 2 3 4" xfId="9086"/>
    <cellStyle name="Normal 10 2 2 3 2 3 5" xfId="12939"/>
    <cellStyle name="Normal 10 2 2 3 2 3 6" xfId="8273"/>
    <cellStyle name="Normal 10 2 2 3 2 3 7" xfId="4017"/>
    <cellStyle name="Normal 10 2 2 3 2 4" xfId="3037"/>
    <cellStyle name="Normal 10 2 2 3 2 4 2" xfId="7060"/>
    <cellStyle name="Normal 10 2 2 3 2 4 2 2" xfId="12075"/>
    <cellStyle name="Normal 10 2 2 3 2 4 3" xfId="13529"/>
    <cellStyle name="Normal 10 2 2 3 2 4 4" xfId="9970"/>
    <cellStyle name="Normal 10 2 2 3 2 4 5" xfId="4952"/>
    <cellStyle name="Normal 10 2 2 3 2 5" xfId="1869"/>
    <cellStyle name="Normal 10 2 2 3 2 5 2" xfId="11032"/>
    <cellStyle name="Normal 10 2 2 3 2 5 3" xfId="6016"/>
    <cellStyle name="Normal 10 2 2 3 2 6" xfId="8593"/>
    <cellStyle name="Normal 10 2 2 3 2 7" xfId="12486"/>
    <cellStyle name="Normal 10 2 2 3 2 8" xfId="7563"/>
    <cellStyle name="Normal 10 2 2 3 2 9" xfId="3515"/>
    <cellStyle name="Normal 10 2 2 3 2_Degree data" xfId="2757"/>
    <cellStyle name="Normal 10 2 2 3 3" xfId="507"/>
    <cellStyle name="Normal 10 2 2 3 3 2" xfId="1973"/>
    <cellStyle name="Normal 10 2 2 3 3 2 2" xfId="9766"/>
    <cellStyle name="Normal 10 2 2 3 3 2 3" xfId="4748"/>
    <cellStyle name="Normal 10 2 2 3 3 3" xfId="6120"/>
    <cellStyle name="Normal 10 2 2 3 3 3 2" xfId="11136"/>
    <cellStyle name="Normal 10 2 2 3 3 4" xfId="8882"/>
    <cellStyle name="Normal 10 2 2 3 3 5" xfId="12590"/>
    <cellStyle name="Normal 10 2 2 3 3 6" xfId="7359"/>
    <cellStyle name="Normal 10 2 2 3 3 7" xfId="3813"/>
    <cellStyle name="Normal 10 2 2 3 4" xfId="916"/>
    <cellStyle name="Normal 10 2 2 3 4 2" xfId="2322"/>
    <cellStyle name="Normal 10 2 2 3 4 2 2" xfId="10079"/>
    <cellStyle name="Normal 10 2 2 3 4 2 3" xfId="5061"/>
    <cellStyle name="Normal 10 2 2 3 4 3" xfId="6469"/>
    <cellStyle name="Normal 10 2 2 3 4 3 2" xfId="11484"/>
    <cellStyle name="Normal 10 2 2 3 4 4" xfId="9195"/>
    <cellStyle name="Normal 10 2 2 3 4 5" xfId="12938"/>
    <cellStyle name="Normal 10 2 2 3 4 6" xfId="7672"/>
    <cellStyle name="Normal 10 2 2 3 4 7" xfId="4126"/>
    <cellStyle name="Normal 10 2 2 3 5" xfId="1271"/>
    <cellStyle name="Normal 10 2 2 3 5 2" xfId="2828"/>
    <cellStyle name="Normal 10 2 2 3 5 2 2" xfId="10475"/>
    <cellStyle name="Normal 10 2 2 3 5 2 3" xfId="5458"/>
    <cellStyle name="Normal 10 2 2 3 5 3" xfId="6856"/>
    <cellStyle name="Normal 10 2 2 3 5 3 2" xfId="11871"/>
    <cellStyle name="Normal 10 2 2 3 5 4" xfId="8767"/>
    <cellStyle name="Normal 10 2 2 3 5 5" xfId="13325"/>
    <cellStyle name="Normal 10 2 2 3 5 6" xfId="8069"/>
    <cellStyle name="Normal 10 2 2 3 5 7" xfId="3697"/>
    <cellStyle name="Normal 10 2 2 3 6" xfId="1665"/>
    <cellStyle name="Normal 10 2 2 3 6 2" xfId="9653"/>
    <cellStyle name="Normal 10 2 2 3 6 3" xfId="4635"/>
    <cellStyle name="Normal 10 2 2 3 7" xfId="5812"/>
    <cellStyle name="Normal 10 2 2 3 7 2" xfId="10828"/>
    <cellStyle name="Normal 10 2 2 3 8" xfId="8389"/>
    <cellStyle name="Normal 10 2 2 3 9" xfId="12282"/>
    <cellStyle name="Normal 10 2 2 3_Degree data" xfId="2631"/>
    <cellStyle name="Normal 10 2 2 4" xfId="296"/>
    <cellStyle name="Normal 10 2 2 4 2" xfId="607"/>
    <cellStyle name="Normal 10 2 2 4 2 2" xfId="1975"/>
    <cellStyle name="Normal 10 2 2 4 2 2 2" xfId="10081"/>
    <cellStyle name="Normal 10 2 2 4 2 2 3" xfId="5063"/>
    <cellStyle name="Normal 10 2 2 4 2 3" xfId="6122"/>
    <cellStyle name="Normal 10 2 2 4 2 3 2" xfId="11138"/>
    <cellStyle name="Normal 10 2 2 4 2 4" xfId="9197"/>
    <cellStyle name="Normal 10 2 2 4 2 5" xfId="12592"/>
    <cellStyle name="Normal 10 2 2 4 2 6" xfId="7674"/>
    <cellStyle name="Normal 10 2 2 4 2 7" xfId="4128"/>
    <cellStyle name="Normal 10 2 2 4 3" xfId="1016"/>
    <cellStyle name="Normal 10 2 2 4 3 2" xfId="2324"/>
    <cellStyle name="Normal 10 2 2 4 3 2 2" xfId="10575"/>
    <cellStyle name="Normal 10 2 2 4 3 2 3" xfId="5558"/>
    <cellStyle name="Normal 10 2 2 4 3 3" xfId="6471"/>
    <cellStyle name="Normal 10 2 2 4 3 3 2" xfId="11486"/>
    <cellStyle name="Normal 10 2 2 4 3 4" xfId="8982"/>
    <cellStyle name="Normal 10 2 2 4 3 5" xfId="12940"/>
    <cellStyle name="Normal 10 2 2 4 3 6" xfId="8169"/>
    <cellStyle name="Normal 10 2 2 4 3 7" xfId="3913"/>
    <cellStyle name="Normal 10 2 2 4 4" xfId="1372"/>
    <cellStyle name="Normal 10 2 2 4 4 2" xfId="2930"/>
    <cellStyle name="Normal 10 2 2 4 4 2 2" xfId="11971"/>
    <cellStyle name="Normal 10 2 2 4 4 2 3" xfId="6956"/>
    <cellStyle name="Normal 10 2 2 4 4 3" xfId="13425"/>
    <cellStyle name="Normal 10 2 2 4 4 4" xfId="9866"/>
    <cellStyle name="Normal 10 2 2 4 4 5" xfId="4848"/>
    <cellStyle name="Normal 10 2 2 4 5" xfId="1765"/>
    <cellStyle name="Normal 10 2 2 4 5 2" xfId="10928"/>
    <cellStyle name="Normal 10 2 2 4 5 3" xfId="5912"/>
    <cellStyle name="Normal 10 2 2 4 6" xfId="8489"/>
    <cellStyle name="Normal 10 2 2 4 7" xfId="12382"/>
    <cellStyle name="Normal 10 2 2 4 8" xfId="7459"/>
    <cellStyle name="Normal 10 2 2 4 9" xfId="3411"/>
    <cellStyle name="Normal 10 2 2 4_Degree data" xfId="2772"/>
    <cellStyle name="Normal 10 2 2 5" xfId="450"/>
    <cellStyle name="Normal 10 2 2 5 2" xfId="859"/>
    <cellStyle name="Normal 10 2 2 5 2 2" xfId="9709"/>
    <cellStyle name="Normal 10 2 2 5 2 3" xfId="4691"/>
    <cellStyle name="Normal 10 2 2 5 3" xfId="1970"/>
    <cellStyle name="Normal 10 2 2 5 3 2" xfId="11133"/>
    <cellStyle name="Normal 10 2 2 5 3 3" xfId="6117"/>
    <cellStyle name="Normal 10 2 2 5 4" xfId="8825"/>
    <cellStyle name="Normal 10 2 2 5 5" xfId="12587"/>
    <cellStyle name="Normal 10 2 2 5 6" xfId="7302"/>
    <cellStyle name="Normal 10 2 2 5 7" xfId="3756"/>
    <cellStyle name="Normal 10 2 2 6" xfId="783"/>
    <cellStyle name="Normal 10 2 2 6 2" xfId="2319"/>
    <cellStyle name="Normal 10 2 2 6 2 2" xfId="10076"/>
    <cellStyle name="Normal 10 2 2 6 2 3" xfId="5058"/>
    <cellStyle name="Normal 10 2 2 6 3" xfId="6466"/>
    <cellStyle name="Normal 10 2 2 6 3 2" xfId="11481"/>
    <cellStyle name="Normal 10 2 2 6 4" xfId="9192"/>
    <cellStyle name="Normal 10 2 2 6 5" xfId="12935"/>
    <cellStyle name="Normal 10 2 2 6 6" xfId="7669"/>
    <cellStyle name="Normal 10 2 2 6 7" xfId="4123"/>
    <cellStyle name="Normal 10 2 2 7" xfId="1209"/>
    <cellStyle name="Normal 10 2 2 7 2" xfId="2763"/>
    <cellStyle name="Normal 10 2 2 7 2 2" xfId="10418"/>
    <cellStyle name="Normal 10 2 2 7 2 3" xfId="5401"/>
    <cellStyle name="Normal 10 2 2 7 3" xfId="6799"/>
    <cellStyle name="Normal 10 2 2 7 3 2" xfId="11814"/>
    <cellStyle name="Normal 10 2 2 7 4" xfId="8663"/>
    <cellStyle name="Normal 10 2 2 7 5" xfId="13268"/>
    <cellStyle name="Normal 10 2 2 7 6" xfId="8012"/>
    <cellStyle name="Normal 10 2 2 7 7" xfId="3590"/>
    <cellStyle name="Normal 10 2 2 8" xfId="1608"/>
    <cellStyle name="Normal 10 2 2 8 2" xfId="12225"/>
    <cellStyle name="Normal 10 2 2 8 3" xfId="9549"/>
    <cellStyle name="Normal 10 2 2 8 4" xfId="4531"/>
    <cellStyle name="Normal 10 2 2 9" xfId="1533"/>
    <cellStyle name="Normal 10 2 2 9 2" xfId="10769"/>
    <cellStyle name="Normal 10 2 2 9 3" xfId="5753"/>
    <cellStyle name="Normal 10 2 2_Degree data" xfId="2589"/>
    <cellStyle name="Normal 10 2 3" xfId="207"/>
    <cellStyle name="Normal 10 2 3 10" xfId="7160"/>
    <cellStyle name="Normal 10 2 3 11" xfId="3329"/>
    <cellStyle name="Normal 10 2 3 2" xfId="374"/>
    <cellStyle name="Normal 10 2 3 2 2" xfId="625"/>
    <cellStyle name="Normal 10 2 3 2 2 2" xfId="1977"/>
    <cellStyle name="Normal 10 2 3 2 2 2 2" xfId="10083"/>
    <cellStyle name="Normal 10 2 3 2 2 2 3" xfId="5065"/>
    <cellStyle name="Normal 10 2 3 2 2 3" xfId="6124"/>
    <cellStyle name="Normal 10 2 3 2 2 3 2" xfId="11140"/>
    <cellStyle name="Normal 10 2 3 2 2 4" xfId="9199"/>
    <cellStyle name="Normal 10 2 3 2 2 5" xfId="12594"/>
    <cellStyle name="Normal 10 2 3 2 2 6" xfId="7676"/>
    <cellStyle name="Normal 10 2 3 2 2 7" xfId="4130"/>
    <cellStyle name="Normal 10 2 3 2 3" xfId="1034"/>
    <cellStyle name="Normal 10 2 3 2 3 2" xfId="2326"/>
    <cellStyle name="Normal 10 2 3 2 3 2 2" xfId="10593"/>
    <cellStyle name="Normal 10 2 3 2 3 2 3" xfId="5576"/>
    <cellStyle name="Normal 10 2 3 2 3 3" xfId="6473"/>
    <cellStyle name="Normal 10 2 3 2 3 3 2" xfId="11488"/>
    <cellStyle name="Normal 10 2 3 2 3 4" xfId="9000"/>
    <cellStyle name="Normal 10 2 3 2 3 5" xfId="12942"/>
    <cellStyle name="Normal 10 2 3 2 3 6" xfId="8187"/>
    <cellStyle name="Normal 10 2 3 2 3 7" xfId="3931"/>
    <cellStyle name="Normal 10 2 3 2 4" xfId="1391"/>
    <cellStyle name="Normal 10 2 3 2 4 2" xfId="2949"/>
    <cellStyle name="Normal 10 2 3 2 4 2 2" xfId="11989"/>
    <cellStyle name="Normal 10 2 3 2 4 2 3" xfId="6974"/>
    <cellStyle name="Normal 10 2 3 2 4 3" xfId="13443"/>
    <cellStyle name="Normal 10 2 3 2 4 4" xfId="9884"/>
    <cellStyle name="Normal 10 2 3 2 4 5" xfId="4866"/>
    <cellStyle name="Normal 10 2 3 2 5" xfId="1783"/>
    <cellStyle name="Normal 10 2 3 2 5 2" xfId="10946"/>
    <cellStyle name="Normal 10 2 3 2 5 3" xfId="5930"/>
    <cellStyle name="Normal 10 2 3 2 6" xfId="8507"/>
    <cellStyle name="Normal 10 2 3 2 7" xfId="12400"/>
    <cellStyle name="Normal 10 2 3 2 8" xfId="7477"/>
    <cellStyle name="Normal 10 2 3 2 9" xfId="3429"/>
    <cellStyle name="Normal 10 2 3 2_Degree data" xfId="2628"/>
    <cellStyle name="Normal 10 2 3 3" xfId="525"/>
    <cellStyle name="Normal 10 2 3 3 2" xfId="934"/>
    <cellStyle name="Normal 10 2 3 3 2 2" xfId="9784"/>
    <cellStyle name="Normal 10 2 3 3 2 3" xfId="4766"/>
    <cellStyle name="Normal 10 2 3 3 3" xfId="1976"/>
    <cellStyle name="Normal 10 2 3 3 3 2" xfId="11139"/>
    <cellStyle name="Normal 10 2 3 3 3 3" xfId="6123"/>
    <cellStyle name="Normal 10 2 3 3 4" xfId="8900"/>
    <cellStyle name="Normal 10 2 3 3 5" xfId="12593"/>
    <cellStyle name="Normal 10 2 3 3 6" xfId="7377"/>
    <cellStyle name="Normal 10 2 3 3 7" xfId="3831"/>
    <cellStyle name="Normal 10 2 3 4" xfId="813"/>
    <cellStyle name="Normal 10 2 3 4 2" xfId="2325"/>
    <cellStyle name="Normal 10 2 3 4 2 2" xfId="10082"/>
    <cellStyle name="Normal 10 2 3 4 2 3" xfId="5064"/>
    <cellStyle name="Normal 10 2 3 4 3" xfId="6472"/>
    <cellStyle name="Normal 10 2 3 4 3 2" xfId="11487"/>
    <cellStyle name="Normal 10 2 3 4 4" xfId="9198"/>
    <cellStyle name="Normal 10 2 3 4 5" xfId="12941"/>
    <cellStyle name="Normal 10 2 3 4 6" xfId="7675"/>
    <cellStyle name="Normal 10 2 3 4 7" xfId="4129"/>
    <cellStyle name="Normal 10 2 3 5" xfId="1290"/>
    <cellStyle name="Normal 10 2 3 5 2" xfId="2847"/>
    <cellStyle name="Normal 10 2 3 5 2 2" xfId="10493"/>
    <cellStyle name="Normal 10 2 3 5 2 3" xfId="5476"/>
    <cellStyle name="Normal 10 2 3 5 3" xfId="6874"/>
    <cellStyle name="Normal 10 2 3 5 3 2" xfId="11889"/>
    <cellStyle name="Normal 10 2 3 5 4" xfId="8681"/>
    <cellStyle name="Normal 10 2 3 5 5" xfId="13343"/>
    <cellStyle name="Normal 10 2 3 5 6" xfId="8087"/>
    <cellStyle name="Normal 10 2 3 5 7" xfId="3610"/>
    <cellStyle name="Normal 10 2 3 6" xfId="1683"/>
    <cellStyle name="Normal 10 2 3 6 2" xfId="9567"/>
    <cellStyle name="Normal 10 2 3 6 3" xfId="4549"/>
    <cellStyle name="Normal 10 2 3 7" xfId="5830"/>
    <cellStyle name="Normal 10 2 3 7 2" xfId="10846"/>
    <cellStyle name="Normal 10 2 3 8" xfId="8407"/>
    <cellStyle name="Normal 10 2 3 9" xfId="12300"/>
    <cellStyle name="Normal 10 2 3_Degree data" xfId="2700"/>
    <cellStyle name="Normal 10 2 4" xfId="243"/>
    <cellStyle name="Normal 10 2 4 10" xfId="7210"/>
    <cellStyle name="Normal 10 2 4 11" xfId="3274"/>
    <cellStyle name="Normal 10 2 4 2" xfId="318"/>
    <cellStyle name="Normal 10 2 4 2 2" xfId="675"/>
    <cellStyle name="Normal 10 2 4 2 2 2" xfId="1979"/>
    <cellStyle name="Normal 10 2 4 2 2 2 2" xfId="10085"/>
    <cellStyle name="Normal 10 2 4 2 2 2 3" xfId="5067"/>
    <cellStyle name="Normal 10 2 4 2 2 3" xfId="6126"/>
    <cellStyle name="Normal 10 2 4 2 2 3 2" xfId="11142"/>
    <cellStyle name="Normal 10 2 4 2 2 4" xfId="9201"/>
    <cellStyle name="Normal 10 2 4 2 2 5" xfId="12596"/>
    <cellStyle name="Normal 10 2 4 2 2 6" xfId="7678"/>
    <cellStyle name="Normal 10 2 4 2 2 7" xfId="4132"/>
    <cellStyle name="Normal 10 2 4 2 3" xfId="1084"/>
    <cellStyle name="Normal 10 2 4 2 3 2" xfId="2328"/>
    <cellStyle name="Normal 10 2 4 2 3 2 2" xfId="10643"/>
    <cellStyle name="Normal 10 2 4 2 3 2 3" xfId="5626"/>
    <cellStyle name="Normal 10 2 4 2 3 3" xfId="6475"/>
    <cellStyle name="Normal 10 2 4 2 3 3 2" xfId="11490"/>
    <cellStyle name="Normal 10 2 4 2 3 4" xfId="9050"/>
    <cellStyle name="Normal 10 2 4 2 3 5" xfId="12944"/>
    <cellStyle name="Normal 10 2 4 2 3 6" xfId="8237"/>
    <cellStyle name="Normal 10 2 4 2 3 7" xfId="3981"/>
    <cellStyle name="Normal 10 2 4 2 4" xfId="1442"/>
    <cellStyle name="Normal 10 2 4 2 4 2" xfId="3001"/>
    <cellStyle name="Normal 10 2 4 2 4 2 2" xfId="12039"/>
    <cellStyle name="Normal 10 2 4 2 4 2 3" xfId="7024"/>
    <cellStyle name="Normal 10 2 4 2 4 3" xfId="13493"/>
    <cellStyle name="Normal 10 2 4 2 4 4" xfId="9934"/>
    <cellStyle name="Normal 10 2 4 2 4 5" xfId="4916"/>
    <cellStyle name="Normal 10 2 4 2 5" xfId="1833"/>
    <cellStyle name="Normal 10 2 4 2 5 2" xfId="10996"/>
    <cellStyle name="Normal 10 2 4 2 5 3" xfId="5980"/>
    <cellStyle name="Normal 10 2 4 2 6" xfId="8557"/>
    <cellStyle name="Normal 10 2 4 2 7" xfId="12450"/>
    <cellStyle name="Normal 10 2 4 2 8" xfId="7527"/>
    <cellStyle name="Normal 10 2 4 2 9" xfId="3479"/>
    <cellStyle name="Normal 10 2 4 2_Degree data" xfId="2633"/>
    <cellStyle name="Normal 10 2 4 3" xfId="470"/>
    <cellStyle name="Normal 10 2 4 3 2" xfId="1978"/>
    <cellStyle name="Normal 10 2 4 3 2 2" xfId="9729"/>
    <cellStyle name="Normal 10 2 4 3 2 3" xfId="4711"/>
    <cellStyle name="Normal 10 2 4 3 3" xfId="6125"/>
    <cellStyle name="Normal 10 2 4 3 3 2" xfId="11141"/>
    <cellStyle name="Normal 10 2 4 3 4" xfId="8845"/>
    <cellStyle name="Normal 10 2 4 3 5" xfId="12595"/>
    <cellStyle name="Normal 10 2 4 3 6" xfId="7322"/>
    <cellStyle name="Normal 10 2 4 3 7" xfId="3776"/>
    <cellStyle name="Normal 10 2 4 4" xfId="879"/>
    <cellStyle name="Normal 10 2 4 4 2" xfId="2327"/>
    <cellStyle name="Normal 10 2 4 4 2 2" xfId="10084"/>
    <cellStyle name="Normal 10 2 4 4 2 3" xfId="5066"/>
    <cellStyle name="Normal 10 2 4 4 3" xfId="6474"/>
    <cellStyle name="Normal 10 2 4 4 3 2" xfId="11489"/>
    <cellStyle name="Normal 10 2 4 4 4" xfId="9200"/>
    <cellStyle name="Normal 10 2 4 4 5" xfId="12943"/>
    <cellStyle name="Normal 10 2 4 4 6" xfId="7677"/>
    <cellStyle name="Normal 10 2 4 4 7" xfId="4131"/>
    <cellStyle name="Normal 10 2 4 5" xfId="1231"/>
    <cellStyle name="Normal 10 2 4 5 2" xfId="2787"/>
    <cellStyle name="Normal 10 2 4 5 2 2" xfId="10438"/>
    <cellStyle name="Normal 10 2 4 5 2 3" xfId="5421"/>
    <cellStyle name="Normal 10 2 4 5 3" xfId="6819"/>
    <cellStyle name="Normal 10 2 4 5 3 2" xfId="11834"/>
    <cellStyle name="Normal 10 2 4 5 4" xfId="8731"/>
    <cellStyle name="Normal 10 2 4 5 5" xfId="13288"/>
    <cellStyle name="Normal 10 2 4 5 6" xfId="8032"/>
    <cellStyle name="Normal 10 2 4 5 7" xfId="3661"/>
    <cellStyle name="Normal 10 2 4 6" xfId="1628"/>
    <cellStyle name="Normal 10 2 4 6 2" xfId="9617"/>
    <cellStyle name="Normal 10 2 4 6 3" xfId="4599"/>
    <cellStyle name="Normal 10 2 4 7" xfId="5775"/>
    <cellStyle name="Normal 10 2 4 7 2" xfId="10791"/>
    <cellStyle name="Normal 10 2 4 8" xfId="8352"/>
    <cellStyle name="Normal 10 2 4 9" xfId="12245"/>
    <cellStyle name="Normal 10 2 4_Degree data" xfId="2588"/>
    <cellStyle name="Normal 10 2 5" xfId="268"/>
    <cellStyle name="Normal 10 2 5 2" xfId="570"/>
    <cellStyle name="Normal 10 2 5 2 2" xfId="1980"/>
    <cellStyle name="Normal 10 2 5 2 2 2" xfId="10086"/>
    <cellStyle name="Normal 10 2 5 2 2 3" xfId="5068"/>
    <cellStyle name="Normal 10 2 5 2 3" xfId="6127"/>
    <cellStyle name="Normal 10 2 5 2 3 2" xfId="11143"/>
    <cellStyle name="Normal 10 2 5 2 4" xfId="9202"/>
    <cellStyle name="Normal 10 2 5 2 5" xfId="12597"/>
    <cellStyle name="Normal 10 2 5 2 6" xfId="7679"/>
    <cellStyle name="Normal 10 2 5 2 7" xfId="4133"/>
    <cellStyle name="Normal 10 2 5 3" xfId="979"/>
    <cellStyle name="Normal 10 2 5 3 2" xfId="2329"/>
    <cellStyle name="Normal 10 2 5 3 2 2" xfId="10538"/>
    <cellStyle name="Normal 10 2 5 3 2 3" xfId="5521"/>
    <cellStyle name="Normal 10 2 5 3 3" xfId="6476"/>
    <cellStyle name="Normal 10 2 5 3 3 2" xfId="11491"/>
    <cellStyle name="Normal 10 2 5 3 4" xfId="8945"/>
    <cellStyle name="Normal 10 2 5 3 5" xfId="12945"/>
    <cellStyle name="Normal 10 2 5 3 6" xfId="8132"/>
    <cellStyle name="Normal 10 2 5 3 7" xfId="3876"/>
    <cellStyle name="Normal 10 2 5 4" xfId="1335"/>
    <cellStyle name="Normal 10 2 5 4 2" xfId="2893"/>
    <cellStyle name="Normal 10 2 5 4 2 2" xfId="11934"/>
    <cellStyle name="Normal 10 2 5 4 2 3" xfId="6919"/>
    <cellStyle name="Normal 10 2 5 4 3" xfId="13388"/>
    <cellStyle name="Normal 10 2 5 4 4" xfId="9829"/>
    <cellStyle name="Normal 10 2 5 4 5" xfId="4811"/>
    <cellStyle name="Normal 10 2 5 5" xfId="1728"/>
    <cellStyle name="Normal 10 2 5 5 2" xfId="10891"/>
    <cellStyle name="Normal 10 2 5 5 3" xfId="5875"/>
    <cellStyle name="Normal 10 2 5 6" xfId="8452"/>
    <cellStyle name="Normal 10 2 5 7" xfId="12345"/>
    <cellStyle name="Normal 10 2 5 8" xfId="7422"/>
    <cellStyle name="Normal 10 2 5 9" xfId="3374"/>
    <cellStyle name="Normal 10 2 5_Degree data" xfId="2637"/>
    <cellStyle name="Normal 10 2 6" xfId="425"/>
    <cellStyle name="Normal 10 2 6 2" xfId="833"/>
    <cellStyle name="Normal 10 2 6 2 2" xfId="1981"/>
    <cellStyle name="Normal 10 2 6 2 2 2" xfId="10087"/>
    <cellStyle name="Normal 10 2 6 2 2 3" xfId="5069"/>
    <cellStyle name="Normal 10 2 6 2 3" xfId="6128"/>
    <cellStyle name="Normal 10 2 6 2 3 2" xfId="11144"/>
    <cellStyle name="Normal 10 2 6 2 4" xfId="9203"/>
    <cellStyle name="Normal 10 2 6 2 5" xfId="12598"/>
    <cellStyle name="Normal 10 2 6 2 6" xfId="7680"/>
    <cellStyle name="Normal 10 2 6 2 7" xfId="4134"/>
    <cellStyle name="Normal 10 2 6 3" xfId="1183"/>
    <cellStyle name="Normal 10 2 6 3 2" xfId="2330"/>
    <cellStyle name="Normal 10 2 6 3 2 2" xfId="10393"/>
    <cellStyle name="Normal 10 2 6 3 2 3" xfId="5376"/>
    <cellStyle name="Normal 10 2 6 3 3" xfId="6477"/>
    <cellStyle name="Normal 10 2 6 3 3 2" xfId="11492"/>
    <cellStyle name="Normal 10 2 6 3 4" xfId="9481"/>
    <cellStyle name="Normal 10 2 6 3 5" xfId="12946"/>
    <cellStyle name="Normal 10 2 6 3 6" xfId="7987"/>
    <cellStyle name="Normal 10 2 6 3 7" xfId="4463"/>
    <cellStyle name="Normal 10 2 6 4" xfId="2734"/>
    <cellStyle name="Normal 10 2 6 4 2" xfId="6774"/>
    <cellStyle name="Normal 10 2 6 4 2 2" xfId="11789"/>
    <cellStyle name="Normal 10 2 6 4 3" xfId="13243"/>
    <cellStyle name="Normal 10 2 6 4 4" xfId="9684"/>
    <cellStyle name="Normal 10 2 6 4 5" xfId="4666"/>
    <cellStyle name="Normal 10 2 6 5" xfId="1583"/>
    <cellStyle name="Normal 10 2 6 5 2" xfId="10744"/>
    <cellStyle name="Normal 10 2 6 5 3" xfId="5728"/>
    <cellStyle name="Normal 10 2 6 6" xfId="8800"/>
    <cellStyle name="Normal 10 2 6 7" xfId="12200"/>
    <cellStyle name="Normal 10 2 6 8" xfId="7277"/>
    <cellStyle name="Normal 10 2 6 9" xfId="3731"/>
    <cellStyle name="Normal 10 2 6_Degree data" xfId="2632"/>
    <cellStyle name="Normal 10 2 7" xfId="759"/>
    <cellStyle name="Normal 10 2 7 2" xfId="1969"/>
    <cellStyle name="Normal 10 2 7 2 2" xfId="10075"/>
    <cellStyle name="Normal 10 2 7 2 3" xfId="5057"/>
    <cellStyle name="Normal 10 2 7 3" xfId="6116"/>
    <cellStyle name="Normal 10 2 7 3 2" xfId="11132"/>
    <cellStyle name="Normal 10 2 7 4" xfId="9191"/>
    <cellStyle name="Normal 10 2 7 5" xfId="12586"/>
    <cellStyle name="Normal 10 2 7 6" xfId="7668"/>
    <cellStyle name="Normal 10 2 7 7" xfId="4122"/>
    <cellStyle name="Normal 10 2 8" xfId="1163"/>
    <cellStyle name="Normal 10 2 8 2" xfId="2318"/>
    <cellStyle name="Normal 10 2 8 2 2" xfId="10373"/>
    <cellStyle name="Normal 10 2 8 2 3" xfId="5356"/>
    <cellStyle name="Normal 10 2 8 3" xfId="6465"/>
    <cellStyle name="Normal 10 2 8 3 2" xfId="11480"/>
    <cellStyle name="Normal 10 2 8 4" xfId="8625"/>
    <cellStyle name="Normal 10 2 8 5" xfId="12934"/>
    <cellStyle name="Normal 10 2 8 6" xfId="7967"/>
    <cellStyle name="Normal 10 2 8 7" xfId="3549"/>
    <cellStyle name="Normal 10 2 9" xfId="2714"/>
    <cellStyle name="Normal 10 2 9 2" xfId="6754"/>
    <cellStyle name="Normal 10 2 9 2 2" xfId="11769"/>
    <cellStyle name="Normal 10 2 9 3" xfId="13223"/>
    <cellStyle name="Normal 10 2 9 4" xfId="9511"/>
    <cellStyle name="Normal 10 2 9 5" xfId="4493"/>
    <cellStyle name="Normal 10 2_Degree data" xfId="2685"/>
    <cellStyle name="Normal 10 3" xfId="124"/>
    <cellStyle name="Normal 10 3 2" xfId="286"/>
    <cellStyle name="Normal 10 3 2 10" xfId="3245"/>
    <cellStyle name="Normal 10 3 2 2" xfId="348"/>
    <cellStyle name="Normal 10 3 2 3" xfId="659"/>
    <cellStyle name="Normal 10 3 2 3 10" xfId="3463"/>
    <cellStyle name="Normal 10 3 2 3 2" xfId="1068"/>
    <cellStyle name="Normal 10 3 2 3 2 2" xfId="1983"/>
    <cellStyle name="Normal 10 3 2 3 2 2 2" xfId="9918"/>
    <cellStyle name="Normal 10 3 2 3 2 2 3" xfId="4900"/>
    <cellStyle name="Normal 10 3 2 3 2 3" xfId="6130"/>
    <cellStyle name="Normal 10 3 2 3 2 3 2" xfId="11146"/>
    <cellStyle name="Normal 10 3 2 3 2 4" xfId="9034"/>
    <cellStyle name="Normal 10 3 2 3 2 5" xfId="12600"/>
    <cellStyle name="Normal 10 3 2 3 2 6" xfId="7511"/>
    <cellStyle name="Normal 10 3 2 3 2 7" xfId="3965"/>
    <cellStyle name="Normal 10 3 2 3 3" xfId="1426"/>
    <cellStyle name="Normal 10 3 2 3 3 2" xfId="2332"/>
    <cellStyle name="Normal 10 3 2 3 3 2 2" xfId="10089"/>
    <cellStyle name="Normal 10 3 2 3 3 2 3" xfId="5071"/>
    <cellStyle name="Normal 10 3 2 3 3 3" xfId="6479"/>
    <cellStyle name="Normal 10 3 2 3 3 3 2" xfId="11494"/>
    <cellStyle name="Normal 10 3 2 3 3 4" xfId="9205"/>
    <cellStyle name="Normal 10 3 2 3 3 5" xfId="12948"/>
    <cellStyle name="Normal 10 3 2 3 3 6" xfId="7682"/>
    <cellStyle name="Normal 10 3 2 3 3 7" xfId="4136"/>
    <cellStyle name="Normal 10 3 2 3 4" xfId="2985"/>
    <cellStyle name="Normal 10 3 2 3 4 2" xfId="5610"/>
    <cellStyle name="Normal 10 3 2 3 4 2 2" xfId="10627"/>
    <cellStyle name="Normal 10 3 2 3 4 3" xfId="7008"/>
    <cellStyle name="Normal 10 3 2 3 4 3 2" xfId="12023"/>
    <cellStyle name="Normal 10 3 2 3 4 4" xfId="8715"/>
    <cellStyle name="Normal 10 3 2 3 4 5" xfId="13477"/>
    <cellStyle name="Normal 10 3 2 3 4 6" xfId="8221"/>
    <cellStyle name="Normal 10 3 2 3 4 7" xfId="3645"/>
    <cellStyle name="Normal 10 3 2 3 5" xfId="1817"/>
    <cellStyle name="Normal 10 3 2 3 5 2" xfId="9601"/>
    <cellStyle name="Normal 10 3 2 3 5 3" xfId="4583"/>
    <cellStyle name="Normal 10 3 2 3 6" xfId="5964"/>
    <cellStyle name="Normal 10 3 2 3 6 2" xfId="10980"/>
    <cellStyle name="Normal 10 3 2 3 7" xfId="8541"/>
    <cellStyle name="Normal 10 3 2 3 8" xfId="12434"/>
    <cellStyle name="Normal 10 3 2 3 9" xfId="7194"/>
    <cellStyle name="Normal 10 3 2 3_Degree data" xfId="2636"/>
    <cellStyle name="Normal 10 3 2 4" xfId="441"/>
    <cellStyle name="Normal 10 3 2 4 2" xfId="1982"/>
    <cellStyle name="Normal 10 3 2 4 2 2" xfId="9700"/>
    <cellStyle name="Normal 10 3 2 4 2 3" xfId="4682"/>
    <cellStyle name="Normal 10 3 2 4 3" xfId="6129"/>
    <cellStyle name="Normal 10 3 2 4 3 2" xfId="11145"/>
    <cellStyle name="Normal 10 3 2 4 4" xfId="8816"/>
    <cellStyle name="Normal 10 3 2 4 5" xfId="12599"/>
    <cellStyle name="Normal 10 3 2 4 6" xfId="7293"/>
    <cellStyle name="Normal 10 3 2 4 7" xfId="3747"/>
    <cellStyle name="Normal 10 3 2 5" xfId="850"/>
    <cellStyle name="Normal 10 3 2 5 2" xfId="2331"/>
    <cellStyle name="Normal 10 3 2 5 2 2" xfId="10088"/>
    <cellStyle name="Normal 10 3 2 5 2 3" xfId="5070"/>
    <cellStyle name="Normal 10 3 2 5 3" xfId="6478"/>
    <cellStyle name="Normal 10 3 2 5 3 2" xfId="11493"/>
    <cellStyle name="Normal 10 3 2 5 4" xfId="9204"/>
    <cellStyle name="Normal 10 3 2 5 5" xfId="12947"/>
    <cellStyle name="Normal 10 3 2 5 6" xfId="7681"/>
    <cellStyle name="Normal 10 3 2 5 7" xfId="4135"/>
    <cellStyle name="Normal 10 3 2 6" xfId="1200"/>
    <cellStyle name="Normal 10 3 2 6 2" xfId="2753"/>
    <cellStyle name="Normal 10 3 2 6 2 2" xfId="11805"/>
    <cellStyle name="Normal 10 3 2 6 2 3" xfId="6790"/>
    <cellStyle name="Normal 10 3 2 6 3" xfId="10409"/>
    <cellStyle name="Normal 10 3 2 6 4" xfId="13259"/>
    <cellStyle name="Normal 10 3 2 6 5" xfId="8003"/>
    <cellStyle name="Normal 10 3 2 6 6" xfId="5392"/>
    <cellStyle name="Normal 10 3 2 7" xfId="1599"/>
    <cellStyle name="Normal 10 3 2 7 2" xfId="10760"/>
    <cellStyle name="Normal 10 3 2 7 3" xfId="5744"/>
    <cellStyle name="Normal 10 3 2 8" xfId="8323"/>
    <cellStyle name="Normal 10 3 2 9" xfId="12216"/>
    <cellStyle name="Normal 10 3 2_Degree data" xfId="2587"/>
    <cellStyle name="Normal 10 3 3" xfId="314"/>
    <cellStyle name="Normal 10 3 3 10" xfId="7206"/>
    <cellStyle name="Normal 10 3 3 11" xfId="3270"/>
    <cellStyle name="Normal 10 3 3 2" xfId="671"/>
    <cellStyle name="Normal 10 3 3 2 2" xfId="1080"/>
    <cellStyle name="Normal 10 3 3 2 2 2" xfId="1985"/>
    <cellStyle name="Normal 10 3 3 2 2 2 2" xfId="10091"/>
    <cellStyle name="Normal 10 3 3 2 2 2 3" xfId="5073"/>
    <cellStyle name="Normal 10 3 3 2 2 3" xfId="6132"/>
    <cellStyle name="Normal 10 3 3 2 2 3 2" xfId="11148"/>
    <cellStyle name="Normal 10 3 3 2 2 4" xfId="9207"/>
    <cellStyle name="Normal 10 3 3 2 2 5" xfId="12602"/>
    <cellStyle name="Normal 10 3 3 2 2 6" xfId="7684"/>
    <cellStyle name="Normal 10 3 3 2 2 7" xfId="4138"/>
    <cellStyle name="Normal 10 3 3 2 3" xfId="1438"/>
    <cellStyle name="Normal 10 3 3 2 3 2" xfId="2334"/>
    <cellStyle name="Normal 10 3 3 2 3 2 2" xfId="10639"/>
    <cellStyle name="Normal 10 3 3 2 3 2 3" xfId="5622"/>
    <cellStyle name="Normal 10 3 3 2 3 3" xfId="6481"/>
    <cellStyle name="Normal 10 3 3 2 3 3 2" xfId="11496"/>
    <cellStyle name="Normal 10 3 3 2 3 4" xfId="9046"/>
    <cellStyle name="Normal 10 3 3 2 3 5" xfId="12950"/>
    <cellStyle name="Normal 10 3 3 2 3 6" xfId="8233"/>
    <cellStyle name="Normal 10 3 3 2 3 7" xfId="3977"/>
    <cellStyle name="Normal 10 3 3 2 4" xfId="2997"/>
    <cellStyle name="Normal 10 3 3 2 4 2" xfId="7020"/>
    <cellStyle name="Normal 10 3 3 2 4 2 2" xfId="12035"/>
    <cellStyle name="Normal 10 3 3 2 4 3" xfId="13489"/>
    <cellStyle name="Normal 10 3 3 2 4 4" xfId="9930"/>
    <cellStyle name="Normal 10 3 3 2 4 5" xfId="4912"/>
    <cellStyle name="Normal 10 3 3 2 5" xfId="1829"/>
    <cellStyle name="Normal 10 3 3 2 5 2" xfId="10992"/>
    <cellStyle name="Normal 10 3 3 2 5 3" xfId="5976"/>
    <cellStyle name="Normal 10 3 3 2 6" xfId="8553"/>
    <cellStyle name="Normal 10 3 3 2 7" xfId="12446"/>
    <cellStyle name="Normal 10 3 3 2 8" xfId="7523"/>
    <cellStyle name="Normal 10 3 3 2 9" xfId="3475"/>
    <cellStyle name="Normal 10 3 3 2_Degree data" xfId="2673"/>
    <cellStyle name="Normal 10 3 3 3" xfId="466"/>
    <cellStyle name="Normal 10 3 3 3 2" xfId="1984"/>
    <cellStyle name="Normal 10 3 3 3 2 2" xfId="9725"/>
    <cellStyle name="Normal 10 3 3 3 2 3" xfId="4707"/>
    <cellStyle name="Normal 10 3 3 3 3" xfId="6131"/>
    <cellStyle name="Normal 10 3 3 3 3 2" xfId="11147"/>
    <cellStyle name="Normal 10 3 3 3 4" xfId="8841"/>
    <cellStyle name="Normal 10 3 3 3 5" xfId="12601"/>
    <cellStyle name="Normal 10 3 3 3 6" xfId="7318"/>
    <cellStyle name="Normal 10 3 3 3 7" xfId="3772"/>
    <cellStyle name="Normal 10 3 3 4" xfId="875"/>
    <cellStyle name="Normal 10 3 3 4 2" xfId="2333"/>
    <cellStyle name="Normal 10 3 3 4 2 2" xfId="10090"/>
    <cellStyle name="Normal 10 3 3 4 2 3" xfId="5072"/>
    <cellStyle name="Normal 10 3 3 4 3" xfId="6480"/>
    <cellStyle name="Normal 10 3 3 4 3 2" xfId="11495"/>
    <cellStyle name="Normal 10 3 3 4 4" xfId="9206"/>
    <cellStyle name="Normal 10 3 3 4 5" xfId="12949"/>
    <cellStyle name="Normal 10 3 3 4 6" xfId="7683"/>
    <cellStyle name="Normal 10 3 3 4 7" xfId="4137"/>
    <cellStyle name="Normal 10 3 3 5" xfId="1227"/>
    <cellStyle name="Normal 10 3 3 5 2" xfId="2783"/>
    <cellStyle name="Normal 10 3 3 5 2 2" xfId="10434"/>
    <cellStyle name="Normal 10 3 3 5 2 3" xfId="5417"/>
    <cellStyle name="Normal 10 3 3 5 3" xfId="6815"/>
    <cellStyle name="Normal 10 3 3 5 3 2" xfId="11830"/>
    <cellStyle name="Normal 10 3 3 5 4" xfId="8727"/>
    <cellStyle name="Normal 10 3 3 5 5" xfId="13284"/>
    <cellStyle name="Normal 10 3 3 5 6" xfId="8028"/>
    <cellStyle name="Normal 10 3 3 5 7" xfId="3657"/>
    <cellStyle name="Normal 10 3 3 6" xfId="1624"/>
    <cellStyle name="Normal 10 3 3 6 2" xfId="9613"/>
    <cellStyle name="Normal 10 3 3 6 3" xfId="4595"/>
    <cellStyle name="Normal 10 3 3 7" xfId="5771"/>
    <cellStyle name="Normal 10 3 3 7 2" xfId="10787"/>
    <cellStyle name="Normal 10 3 3 8" xfId="8348"/>
    <cellStyle name="Normal 10 3 3 9" xfId="12241"/>
    <cellStyle name="Normal 10 3 3_Degree data" xfId="2586"/>
    <cellStyle name="Normal 10 3 4" xfId="566"/>
    <cellStyle name="Normal 10 3 4 2" xfId="975"/>
    <cellStyle name="Normal 10 3 4 2 2" xfId="1986"/>
    <cellStyle name="Normal 10 3 4 2 2 2" xfId="10092"/>
    <cellStyle name="Normal 10 3 4 2 2 3" xfId="5074"/>
    <cellStyle name="Normal 10 3 4 2 3" xfId="6133"/>
    <cellStyle name="Normal 10 3 4 2 3 2" xfId="11149"/>
    <cellStyle name="Normal 10 3 4 2 4" xfId="9208"/>
    <cellStyle name="Normal 10 3 4 2 5" xfId="12603"/>
    <cellStyle name="Normal 10 3 4 2 6" xfId="7685"/>
    <cellStyle name="Normal 10 3 4 2 7" xfId="4139"/>
    <cellStyle name="Normal 10 3 4 3" xfId="1331"/>
    <cellStyle name="Normal 10 3 4 3 2" xfId="2335"/>
    <cellStyle name="Normal 10 3 4 3 2 2" xfId="10534"/>
    <cellStyle name="Normal 10 3 4 3 2 3" xfId="5517"/>
    <cellStyle name="Normal 10 3 4 3 3" xfId="6482"/>
    <cellStyle name="Normal 10 3 4 3 3 2" xfId="11497"/>
    <cellStyle name="Normal 10 3 4 3 4" xfId="8941"/>
    <cellStyle name="Normal 10 3 4 3 5" xfId="12951"/>
    <cellStyle name="Normal 10 3 4 3 6" xfId="8128"/>
    <cellStyle name="Normal 10 3 4 3 7" xfId="3872"/>
    <cellStyle name="Normal 10 3 4 4" xfId="2889"/>
    <cellStyle name="Normal 10 3 4 4 2" xfId="6915"/>
    <cellStyle name="Normal 10 3 4 4 2 2" xfId="11930"/>
    <cellStyle name="Normal 10 3 4 4 3" xfId="13384"/>
    <cellStyle name="Normal 10 3 4 4 4" xfId="9825"/>
    <cellStyle name="Normal 10 3 4 4 5" xfId="4807"/>
    <cellStyle name="Normal 10 3 4 5" xfId="1724"/>
    <cellStyle name="Normal 10 3 4 5 2" xfId="10887"/>
    <cellStyle name="Normal 10 3 4 5 3" xfId="5871"/>
    <cellStyle name="Normal 10 3 4 6" xfId="8448"/>
    <cellStyle name="Normal 10 3 4 7" xfId="12341"/>
    <cellStyle name="Normal 10 3 4 8" xfId="7418"/>
    <cellStyle name="Normal 10 3 4 9" xfId="3370"/>
    <cellStyle name="Normal 10 3 4_Degree data" xfId="2695"/>
    <cellStyle name="Normal 10 3 5" xfId="3545"/>
    <cellStyle name="Normal 10 3 5 2" xfId="8621"/>
    <cellStyle name="Normal 10 3 6" xfId="4489"/>
    <cellStyle name="Normal 10 3 6 2" xfId="9507"/>
    <cellStyle name="Normal 10 3 7" xfId="7101"/>
    <cellStyle name="Normal 10 4" xfId="166"/>
    <cellStyle name="Normal 10 4 10" xfId="8311"/>
    <cellStyle name="Normal 10 4 11" xfId="12131"/>
    <cellStyle name="Normal 10 4 12" xfId="7123"/>
    <cellStyle name="Normal 10 4 13" xfId="3232"/>
    <cellStyle name="Normal 10 4 2" xfId="380"/>
    <cellStyle name="Normal 10 4 2 10" xfId="7166"/>
    <cellStyle name="Normal 10 4 2 11" xfId="3335"/>
    <cellStyle name="Normal 10 4 2 2" xfId="631"/>
    <cellStyle name="Normal 10 4 2 2 2" xfId="1040"/>
    <cellStyle name="Normal 10 4 2 2 2 2" xfId="1989"/>
    <cellStyle name="Normal 10 4 2 2 2 2 2" xfId="10095"/>
    <cellStyle name="Normal 10 4 2 2 2 2 3" xfId="5077"/>
    <cellStyle name="Normal 10 4 2 2 2 3" xfId="6136"/>
    <cellStyle name="Normal 10 4 2 2 2 3 2" xfId="11152"/>
    <cellStyle name="Normal 10 4 2 2 2 4" xfId="9211"/>
    <cellStyle name="Normal 10 4 2 2 2 5" xfId="12606"/>
    <cellStyle name="Normal 10 4 2 2 2 6" xfId="7688"/>
    <cellStyle name="Normal 10 4 2 2 2 7" xfId="4142"/>
    <cellStyle name="Normal 10 4 2 2 3" xfId="1397"/>
    <cellStyle name="Normal 10 4 2 2 3 2" xfId="2338"/>
    <cellStyle name="Normal 10 4 2 2 3 2 2" xfId="10599"/>
    <cellStyle name="Normal 10 4 2 2 3 2 3" xfId="5582"/>
    <cellStyle name="Normal 10 4 2 2 3 3" xfId="6485"/>
    <cellStyle name="Normal 10 4 2 2 3 3 2" xfId="11500"/>
    <cellStyle name="Normal 10 4 2 2 3 4" xfId="9006"/>
    <cellStyle name="Normal 10 4 2 2 3 5" xfId="12954"/>
    <cellStyle name="Normal 10 4 2 2 3 6" xfId="8193"/>
    <cellStyle name="Normal 10 4 2 2 3 7" xfId="3937"/>
    <cellStyle name="Normal 10 4 2 2 4" xfId="2955"/>
    <cellStyle name="Normal 10 4 2 2 4 2" xfId="6980"/>
    <cellStyle name="Normal 10 4 2 2 4 2 2" xfId="11995"/>
    <cellStyle name="Normal 10 4 2 2 4 3" xfId="13449"/>
    <cellStyle name="Normal 10 4 2 2 4 4" xfId="9890"/>
    <cellStyle name="Normal 10 4 2 2 4 5" xfId="4872"/>
    <cellStyle name="Normal 10 4 2 2 5" xfId="1789"/>
    <cellStyle name="Normal 10 4 2 2 5 2" xfId="10952"/>
    <cellStyle name="Normal 10 4 2 2 5 3" xfId="5936"/>
    <cellStyle name="Normal 10 4 2 2 6" xfId="8513"/>
    <cellStyle name="Normal 10 4 2 2 7" xfId="12406"/>
    <cellStyle name="Normal 10 4 2 2 8" xfId="7483"/>
    <cellStyle name="Normal 10 4 2 2 9" xfId="3435"/>
    <cellStyle name="Normal 10 4 2 2_Degree data" xfId="2670"/>
    <cellStyle name="Normal 10 4 2 3" xfId="531"/>
    <cellStyle name="Normal 10 4 2 3 2" xfId="1988"/>
    <cellStyle name="Normal 10 4 2 3 2 2" xfId="9790"/>
    <cellStyle name="Normal 10 4 2 3 2 3" xfId="4772"/>
    <cellStyle name="Normal 10 4 2 3 3" xfId="6135"/>
    <cellStyle name="Normal 10 4 2 3 3 2" xfId="11151"/>
    <cellStyle name="Normal 10 4 2 3 4" xfId="8906"/>
    <cellStyle name="Normal 10 4 2 3 5" xfId="12605"/>
    <cellStyle name="Normal 10 4 2 3 6" xfId="7383"/>
    <cellStyle name="Normal 10 4 2 3 7" xfId="3837"/>
    <cellStyle name="Normal 10 4 2 4" xfId="940"/>
    <cellStyle name="Normal 10 4 2 4 2" xfId="2337"/>
    <cellStyle name="Normal 10 4 2 4 2 2" xfId="10094"/>
    <cellStyle name="Normal 10 4 2 4 2 3" xfId="5076"/>
    <cellStyle name="Normal 10 4 2 4 3" xfId="6484"/>
    <cellStyle name="Normal 10 4 2 4 3 2" xfId="11499"/>
    <cellStyle name="Normal 10 4 2 4 4" xfId="9210"/>
    <cellStyle name="Normal 10 4 2 4 5" xfId="12953"/>
    <cellStyle name="Normal 10 4 2 4 6" xfId="7687"/>
    <cellStyle name="Normal 10 4 2 4 7" xfId="4141"/>
    <cellStyle name="Normal 10 4 2 5" xfId="1296"/>
    <cellStyle name="Normal 10 4 2 5 2" xfId="2853"/>
    <cellStyle name="Normal 10 4 2 5 2 2" xfId="10499"/>
    <cellStyle name="Normal 10 4 2 5 2 3" xfId="5482"/>
    <cellStyle name="Normal 10 4 2 5 3" xfId="6880"/>
    <cellStyle name="Normal 10 4 2 5 3 2" xfId="11895"/>
    <cellStyle name="Normal 10 4 2 5 4" xfId="8687"/>
    <cellStyle name="Normal 10 4 2 5 5" xfId="13349"/>
    <cellStyle name="Normal 10 4 2 5 6" xfId="8093"/>
    <cellStyle name="Normal 10 4 2 5 7" xfId="3616"/>
    <cellStyle name="Normal 10 4 2 6" xfId="1689"/>
    <cellStyle name="Normal 10 4 2 6 2" xfId="9573"/>
    <cellStyle name="Normal 10 4 2 6 3" xfId="4555"/>
    <cellStyle name="Normal 10 4 2 7" xfId="5836"/>
    <cellStyle name="Normal 10 4 2 7 2" xfId="10852"/>
    <cellStyle name="Normal 10 4 2 8" xfId="8413"/>
    <cellStyle name="Normal 10 4 2 9" xfId="12306"/>
    <cellStyle name="Normal 10 4 2_Degree data" xfId="2671"/>
    <cellStyle name="Normal 10 4 3" xfId="336"/>
    <cellStyle name="Normal 10 4 3 10" xfId="7228"/>
    <cellStyle name="Normal 10 4 3 11" xfId="3292"/>
    <cellStyle name="Normal 10 4 3 2" xfId="693"/>
    <cellStyle name="Normal 10 4 3 2 2" xfId="1102"/>
    <cellStyle name="Normal 10 4 3 2 2 2" xfId="1991"/>
    <cellStyle name="Normal 10 4 3 2 2 2 2" xfId="10097"/>
    <cellStyle name="Normal 10 4 3 2 2 2 3" xfId="5079"/>
    <cellStyle name="Normal 10 4 3 2 2 3" xfId="6138"/>
    <cellStyle name="Normal 10 4 3 2 2 3 2" xfId="11154"/>
    <cellStyle name="Normal 10 4 3 2 2 4" xfId="9213"/>
    <cellStyle name="Normal 10 4 3 2 2 5" xfId="12608"/>
    <cellStyle name="Normal 10 4 3 2 2 6" xfId="7690"/>
    <cellStyle name="Normal 10 4 3 2 2 7" xfId="4144"/>
    <cellStyle name="Normal 10 4 3 2 3" xfId="1460"/>
    <cellStyle name="Normal 10 4 3 2 3 2" xfId="2340"/>
    <cellStyle name="Normal 10 4 3 2 3 2 2" xfId="10661"/>
    <cellStyle name="Normal 10 4 3 2 3 2 3" xfId="5644"/>
    <cellStyle name="Normal 10 4 3 2 3 3" xfId="6487"/>
    <cellStyle name="Normal 10 4 3 2 3 3 2" xfId="11502"/>
    <cellStyle name="Normal 10 4 3 2 3 4" xfId="9068"/>
    <cellStyle name="Normal 10 4 3 2 3 5" xfId="12956"/>
    <cellStyle name="Normal 10 4 3 2 3 6" xfId="8255"/>
    <cellStyle name="Normal 10 4 3 2 3 7" xfId="3999"/>
    <cellStyle name="Normal 10 4 3 2 4" xfId="3019"/>
    <cellStyle name="Normal 10 4 3 2 4 2" xfId="7042"/>
    <cellStyle name="Normal 10 4 3 2 4 2 2" xfId="12057"/>
    <cellStyle name="Normal 10 4 3 2 4 3" xfId="13511"/>
    <cellStyle name="Normal 10 4 3 2 4 4" xfId="9952"/>
    <cellStyle name="Normal 10 4 3 2 4 5" xfId="4934"/>
    <cellStyle name="Normal 10 4 3 2 5" xfId="1851"/>
    <cellStyle name="Normal 10 4 3 2 5 2" xfId="11014"/>
    <cellStyle name="Normal 10 4 3 2 5 3" xfId="5998"/>
    <cellStyle name="Normal 10 4 3 2 6" xfId="8575"/>
    <cellStyle name="Normal 10 4 3 2 7" xfId="12468"/>
    <cellStyle name="Normal 10 4 3 2 8" xfId="7545"/>
    <cellStyle name="Normal 10 4 3 2 9" xfId="3497"/>
    <cellStyle name="Normal 10 4 3 2_Degree data" xfId="2703"/>
    <cellStyle name="Normal 10 4 3 3" xfId="488"/>
    <cellStyle name="Normal 10 4 3 3 2" xfId="1990"/>
    <cellStyle name="Normal 10 4 3 3 2 2" xfId="9747"/>
    <cellStyle name="Normal 10 4 3 3 2 3" xfId="4729"/>
    <cellStyle name="Normal 10 4 3 3 3" xfId="6137"/>
    <cellStyle name="Normal 10 4 3 3 3 2" xfId="11153"/>
    <cellStyle name="Normal 10 4 3 3 4" xfId="8863"/>
    <cellStyle name="Normal 10 4 3 3 5" xfId="12607"/>
    <cellStyle name="Normal 10 4 3 3 6" xfId="7340"/>
    <cellStyle name="Normal 10 4 3 3 7" xfId="3794"/>
    <cellStyle name="Normal 10 4 3 4" xfId="897"/>
    <cellStyle name="Normal 10 4 3 4 2" xfId="2339"/>
    <cellStyle name="Normal 10 4 3 4 2 2" xfId="10096"/>
    <cellStyle name="Normal 10 4 3 4 2 3" xfId="5078"/>
    <cellStyle name="Normal 10 4 3 4 3" xfId="6486"/>
    <cellStyle name="Normal 10 4 3 4 3 2" xfId="11501"/>
    <cellStyle name="Normal 10 4 3 4 4" xfId="9212"/>
    <cellStyle name="Normal 10 4 3 4 5" xfId="12955"/>
    <cellStyle name="Normal 10 4 3 4 6" xfId="7689"/>
    <cellStyle name="Normal 10 4 3 4 7" xfId="4143"/>
    <cellStyle name="Normal 10 4 3 5" xfId="1252"/>
    <cellStyle name="Normal 10 4 3 5 2" xfId="2808"/>
    <cellStyle name="Normal 10 4 3 5 2 2" xfId="10456"/>
    <cellStyle name="Normal 10 4 3 5 2 3" xfId="5439"/>
    <cellStyle name="Normal 10 4 3 5 3" xfId="6837"/>
    <cellStyle name="Normal 10 4 3 5 3 2" xfId="11852"/>
    <cellStyle name="Normal 10 4 3 5 4" xfId="8749"/>
    <cellStyle name="Normal 10 4 3 5 5" xfId="13306"/>
    <cellStyle name="Normal 10 4 3 5 6" xfId="8050"/>
    <cellStyle name="Normal 10 4 3 5 7" xfId="3679"/>
    <cellStyle name="Normal 10 4 3 6" xfId="1646"/>
    <cellStyle name="Normal 10 4 3 6 2" xfId="9635"/>
    <cellStyle name="Normal 10 4 3 6 3" xfId="4617"/>
    <cellStyle name="Normal 10 4 3 7" xfId="5793"/>
    <cellStyle name="Normal 10 4 3 7 2" xfId="10809"/>
    <cellStyle name="Normal 10 4 3 8" xfId="8370"/>
    <cellStyle name="Normal 10 4 3 9" xfId="12263"/>
    <cellStyle name="Normal 10 4 3_Degree data" xfId="2694"/>
    <cellStyle name="Normal 10 4 4" xfId="273"/>
    <cellStyle name="Normal 10 4 4 2" xfId="588"/>
    <cellStyle name="Normal 10 4 4 2 2" xfId="1992"/>
    <cellStyle name="Normal 10 4 4 2 2 2" xfId="10098"/>
    <cellStyle name="Normal 10 4 4 2 2 3" xfId="5080"/>
    <cellStyle name="Normal 10 4 4 2 3" xfId="6139"/>
    <cellStyle name="Normal 10 4 4 2 3 2" xfId="11155"/>
    <cellStyle name="Normal 10 4 4 2 4" xfId="9214"/>
    <cellStyle name="Normal 10 4 4 2 5" xfId="12609"/>
    <cellStyle name="Normal 10 4 4 2 6" xfId="7691"/>
    <cellStyle name="Normal 10 4 4 2 7" xfId="4145"/>
    <cellStyle name="Normal 10 4 4 3" xfId="997"/>
    <cellStyle name="Normal 10 4 4 3 2" xfId="2341"/>
    <cellStyle name="Normal 10 4 4 3 2 2" xfId="10556"/>
    <cellStyle name="Normal 10 4 4 3 2 3" xfId="5539"/>
    <cellStyle name="Normal 10 4 4 3 3" xfId="6488"/>
    <cellStyle name="Normal 10 4 4 3 3 2" xfId="11503"/>
    <cellStyle name="Normal 10 4 4 3 4" xfId="8963"/>
    <cellStyle name="Normal 10 4 4 3 5" xfId="12957"/>
    <cellStyle name="Normal 10 4 4 3 6" xfId="8150"/>
    <cellStyle name="Normal 10 4 4 3 7" xfId="3894"/>
    <cellStyle name="Normal 10 4 4 4" xfId="1353"/>
    <cellStyle name="Normal 10 4 4 4 2" xfId="2911"/>
    <cellStyle name="Normal 10 4 4 4 2 2" xfId="11952"/>
    <cellStyle name="Normal 10 4 4 4 2 3" xfId="6937"/>
    <cellStyle name="Normal 10 4 4 4 3" xfId="13406"/>
    <cellStyle name="Normal 10 4 4 4 4" xfId="9847"/>
    <cellStyle name="Normal 10 4 4 4 5" xfId="4829"/>
    <cellStyle name="Normal 10 4 4 5" xfId="1746"/>
    <cellStyle name="Normal 10 4 4 5 2" xfId="10909"/>
    <cellStyle name="Normal 10 4 4 5 3" xfId="5893"/>
    <cellStyle name="Normal 10 4 4 6" xfId="8470"/>
    <cellStyle name="Normal 10 4 4 7" xfId="12363"/>
    <cellStyle name="Normal 10 4 4 8" xfId="7440"/>
    <cellStyle name="Normal 10 4 4 9" xfId="3392"/>
    <cellStyle name="Normal 10 4 4_Degree data" xfId="2648"/>
    <cellStyle name="Normal 10 4 5" xfId="429"/>
    <cellStyle name="Normal 10 4 5 2" xfId="837"/>
    <cellStyle name="Normal 10 4 5 2 2" xfId="9688"/>
    <cellStyle name="Normal 10 4 5 2 3" xfId="4670"/>
    <cellStyle name="Normal 10 4 5 3" xfId="1987"/>
    <cellStyle name="Normal 10 4 5 3 2" xfId="11150"/>
    <cellStyle name="Normal 10 4 5 3 3" xfId="6134"/>
    <cellStyle name="Normal 10 4 5 4" xfId="8804"/>
    <cellStyle name="Normal 10 4 5 5" xfId="12604"/>
    <cellStyle name="Normal 10 4 5 6" xfId="7281"/>
    <cellStyle name="Normal 10 4 5 7" xfId="3735"/>
    <cellStyle name="Normal 10 4 6" xfId="764"/>
    <cellStyle name="Normal 10 4 6 2" xfId="2336"/>
    <cellStyle name="Normal 10 4 6 2 2" xfId="10093"/>
    <cellStyle name="Normal 10 4 6 2 3" xfId="5075"/>
    <cellStyle name="Normal 10 4 6 3" xfId="6483"/>
    <cellStyle name="Normal 10 4 6 3 2" xfId="11498"/>
    <cellStyle name="Normal 10 4 6 4" xfId="9209"/>
    <cellStyle name="Normal 10 4 6 5" xfId="12952"/>
    <cellStyle name="Normal 10 4 6 6" xfId="7686"/>
    <cellStyle name="Normal 10 4 6 7" xfId="4140"/>
    <cellStyle name="Normal 10 4 7" xfId="1188"/>
    <cellStyle name="Normal 10 4 7 2" xfId="2740"/>
    <cellStyle name="Normal 10 4 7 2 2" xfId="10397"/>
    <cellStyle name="Normal 10 4 7 2 3" xfId="5380"/>
    <cellStyle name="Normal 10 4 7 3" xfId="6778"/>
    <cellStyle name="Normal 10 4 7 3 2" xfId="11793"/>
    <cellStyle name="Normal 10 4 7 4" xfId="8643"/>
    <cellStyle name="Normal 10 4 7 5" xfId="13247"/>
    <cellStyle name="Normal 10 4 7 6" xfId="7991"/>
    <cellStyle name="Normal 10 4 7 7" xfId="3570"/>
    <cellStyle name="Normal 10 4 8" xfId="1587"/>
    <cellStyle name="Normal 10 4 8 2" xfId="12204"/>
    <cellStyle name="Normal 10 4 8 3" xfId="9530"/>
    <cellStyle name="Normal 10 4 8 4" xfId="4512"/>
    <cellStyle name="Normal 10 4 9" xfId="1514"/>
    <cellStyle name="Normal 10 4 9 2" xfId="10748"/>
    <cellStyle name="Normal 10 4 9 3" xfId="5732"/>
    <cellStyle name="Normal 10 4_Degree data" xfId="2672"/>
    <cellStyle name="Normal 10 5" xfId="188"/>
    <cellStyle name="Normal 10 5 10" xfId="7157"/>
    <cellStyle name="Normal 10 5 11" xfId="3326"/>
    <cellStyle name="Normal 10 5 2" xfId="371"/>
    <cellStyle name="Normal 10 5 2 2" xfId="622"/>
    <cellStyle name="Normal 10 5 2 2 2" xfId="1994"/>
    <cellStyle name="Normal 10 5 2 2 2 2" xfId="10100"/>
    <cellStyle name="Normal 10 5 2 2 2 3" xfId="5082"/>
    <cellStyle name="Normal 10 5 2 2 3" xfId="6141"/>
    <cellStyle name="Normal 10 5 2 2 3 2" xfId="11157"/>
    <cellStyle name="Normal 10 5 2 2 4" xfId="9216"/>
    <cellStyle name="Normal 10 5 2 2 5" xfId="12611"/>
    <cellStyle name="Normal 10 5 2 2 6" xfId="7693"/>
    <cellStyle name="Normal 10 5 2 2 7" xfId="4147"/>
    <cellStyle name="Normal 10 5 2 3" xfId="1031"/>
    <cellStyle name="Normal 10 5 2 3 2" xfId="2343"/>
    <cellStyle name="Normal 10 5 2 3 2 2" xfId="10590"/>
    <cellStyle name="Normal 10 5 2 3 2 3" xfId="5573"/>
    <cellStyle name="Normal 10 5 2 3 3" xfId="6490"/>
    <cellStyle name="Normal 10 5 2 3 3 2" xfId="11505"/>
    <cellStyle name="Normal 10 5 2 3 4" xfId="8997"/>
    <cellStyle name="Normal 10 5 2 3 5" xfId="12959"/>
    <cellStyle name="Normal 10 5 2 3 6" xfId="8184"/>
    <cellStyle name="Normal 10 5 2 3 7" xfId="3928"/>
    <cellStyle name="Normal 10 5 2 4" xfId="1388"/>
    <cellStyle name="Normal 10 5 2 4 2" xfId="2946"/>
    <cellStyle name="Normal 10 5 2 4 2 2" xfId="11986"/>
    <cellStyle name="Normal 10 5 2 4 2 3" xfId="6971"/>
    <cellStyle name="Normal 10 5 2 4 3" xfId="13440"/>
    <cellStyle name="Normal 10 5 2 4 4" xfId="9881"/>
    <cellStyle name="Normal 10 5 2 4 5" xfId="4863"/>
    <cellStyle name="Normal 10 5 2 5" xfId="1780"/>
    <cellStyle name="Normal 10 5 2 5 2" xfId="10943"/>
    <cellStyle name="Normal 10 5 2 5 3" xfId="5927"/>
    <cellStyle name="Normal 10 5 2 6" xfId="8504"/>
    <cellStyle name="Normal 10 5 2 7" xfId="12397"/>
    <cellStyle name="Normal 10 5 2 8" xfId="7474"/>
    <cellStyle name="Normal 10 5 2 9" xfId="3426"/>
    <cellStyle name="Normal 10 5 2_Degree data" xfId="2668"/>
    <cellStyle name="Normal 10 5 3" xfId="522"/>
    <cellStyle name="Normal 10 5 3 2" xfId="931"/>
    <cellStyle name="Normal 10 5 3 2 2" xfId="9781"/>
    <cellStyle name="Normal 10 5 3 2 3" xfId="4763"/>
    <cellStyle name="Normal 10 5 3 3" xfId="1993"/>
    <cellStyle name="Normal 10 5 3 3 2" xfId="11156"/>
    <cellStyle name="Normal 10 5 3 3 3" xfId="6140"/>
    <cellStyle name="Normal 10 5 3 4" xfId="8897"/>
    <cellStyle name="Normal 10 5 3 5" xfId="12610"/>
    <cellStyle name="Normal 10 5 3 6" xfId="7374"/>
    <cellStyle name="Normal 10 5 3 7" xfId="3828"/>
    <cellStyle name="Normal 10 5 4" xfId="794"/>
    <cellStyle name="Normal 10 5 4 2" xfId="2342"/>
    <cellStyle name="Normal 10 5 4 2 2" xfId="10099"/>
    <cellStyle name="Normal 10 5 4 2 3" xfId="5081"/>
    <cellStyle name="Normal 10 5 4 3" xfId="6489"/>
    <cellStyle name="Normal 10 5 4 3 2" xfId="11504"/>
    <cellStyle name="Normal 10 5 4 4" xfId="9215"/>
    <cellStyle name="Normal 10 5 4 5" xfId="12958"/>
    <cellStyle name="Normal 10 5 4 6" xfId="7692"/>
    <cellStyle name="Normal 10 5 4 7" xfId="4146"/>
    <cellStyle name="Normal 10 5 5" xfId="1287"/>
    <cellStyle name="Normal 10 5 5 2" xfId="2844"/>
    <cellStyle name="Normal 10 5 5 2 2" xfId="10490"/>
    <cellStyle name="Normal 10 5 5 2 3" xfId="5473"/>
    <cellStyle name="Normal 10 5 5 3" xfId="6871"/>
    <cellStyle name="Normal 10 5 5 3 2" xfId="11886"/>
    <cellStyle name="Normal 10 5 5 4" xfId="8678"/>
    <cellStyle name="Normal 10 5 5 5" xfId="13340"/>
    <cellStyle name="Normal 10 5 5 6" xfId="8084"/>
    <cellStyle name="Normal 10 5 5 7" xfId="3607"/>
    <cellStyle name="Normal 10 5 6" xfId="1680"/>
    <cellStyle name="Normal 10 5 6 2" xfId="9564"/>
    <cellStyle name="Normal 10 5 6 3" xfId="4546"/>
    <cellStyle name="Normal 10 5 7" xfId="5827"/>
    <cellStyle name="Normal 10 5 7 2" xfId="10843"/>
    <cellStyle name="Normal 10 5 8" xfId="8404"/>
    <cellStyle name="Normal 10 5 9" xfId="12297"/>
    <cellStyle name="Normal 10 5_Degree data" xfId="2669"/>
    <cellStyle name="Normal 10 6" xfId="224"/>
    <cellStyle name="Normal 10 6 2" xfId="1968"/>
    <cellStyle name="Normal 10 6 2 2" xfId="10074"/>
    <cellStyle name="Normal 10 6 2 3" xfId="5056"/>
    <cellStyle name="Normal 10 6 3" xfId="6115"/>
    <cellStyle name="Normal 10 6 3 2" xfId="11131"/>
    <cellStyle name="Normal 10 6 4" xfId="9190"/>
    <cellStyle name="Normal 10 6 5" xfId="12585"/>
    <cellStyle name="Normal 10 6 6" xfId="7667"/>
    <cellStyle name="Normal 10 6 7" xfId="4121"/>
    <cellStyle name="Normal 10 7" xfId="740"/>
    <cellStyle name="Normal 10 7 2" xfId="2317"/>
    <cellStyle name="Normal 10 7 2 2" xfId="10354"/>
    <cellStyle name="Normal 10 7 2 3" xfId="5337"/>
    <cellStyle name="Normal 10 7 3" xfId="6464"/>
    <cellStyle name="Normal 10 7 3 2" xfId="11479"/>
    <cellStyle name="Normal 10 7 4" xfId="9480"/>
    <cellStyle name="Normal 10 7 5" xfId="12933"/>
    <cellStyle name="Normal 10 7 6" xfId="7948"/>
    <cellStyle name="Normal 10 7 7" xfId="4462"/>
    <cellStyle name="Normal 10 8" xfId="1144"/>
    <cellStyle name="Normal 10 8 2" xfId="2641"/>
    <cellStyle name="Normal 10 8 2 2" xfId="11750"/>
    <cellStyle name="Normal 10 8 2 3" xfId="6735"/>
    <cellStyle name="Normal 10 8 3" xfId="13204"/>
    <cellStyle name="Normal 10 8 4" xfId="10700"/>
    <cellStyle name="Normal 10 8 5" xfId="5683"/>
    <cellStyle name="Normal 10 9" xfId="1544"/>
    <cellStyle name="Normal 10 9 2" xfId="12161"/>
    <cellStyle name="Normal 10 9 3" xfId="10704"/>
    <cellStyle name="Normal 10 9 4" xfId="5688"/>
    <cellStyle name="Normal 10_Degree data" xfId="2590"/>
    <cellStyle name="Normal 100" xfId="733"/>
    <cellStyle name="Normal 100 2" xfId="12113"/>
    <cellStyle name="Normal 101" xfId="1140"/>
    <cellStyle name="Normal 101 2" xfId="7092"/>
    <cellStyle name="Normal 102" xfId="7944"/>
    <cellStyle name="Normal 103" xfId="13549"/>
    <cellStyle name="Normal 104" xfId="3211"/>
    <cellStyle name="Normal 105" xfId="3212"/>
    <cellStyle name="Normal 106" xfId="13551"/>
    <cellStyle name="Normal 107" xfId="13555"/>
    <cellStyle name="Normal 108" xfId="13550"/>
    <cellStyle name="Normal 11" xfId="125"/>
    <cellStyle name="Normal 12" xfId="80"/>
    <cellStyle name="Normal 12 2" xfId="133"/>
    <cellStyle name="Normal 12 3" xfId="116"/>
    <cellStyle name="Normal 13" xfId="24"/>
    <cellStyle name="Normal 13 2" xfId="81"/>
    <cellStyle name="Normal 13 3" xfId="127"/>
    <cellStyle name="Normal 13 3 2" xfId="269"/>
    <cellStyle name="Normal 13 3 3" xfId="306"/>
    <cellStyle name="Normal 14" xfId="79"/>
    <cellStyle name="Normal 14 2" xfId="132"/>
    <cellStyle name="Normal 14 3" xfId="114"/>
    <cellStyle name="Normal 15" xfId="115"/>
    <cellStyle name="Normal 15 2" xfId="1497"/>
    <cellStyle name="Normal 15 2 2" xfId="2344"/>
    <cellStyle name="Normal 15 2 2 2" xfId="5681"/>
    <cellStyle name="Normal 15 2 2 2 2" xfId="10698"/>
    <cellStyle name="Normal 15 2 2 3" xfId="6491"/>
    <cellStyle name="Normal 15 2 2 3 2" xfId="11506"/>
    <cellStyle name="Normal 15 2 2 4" xfId="9477"/>
    <cellStyle name="Normal 15 2 2 5" xfId="12960"/>
    <cellStyle name="Normal 15 2 2 6" xfId="8292"/>
    <cellStyle name="Normal 15 2 2 7" xfId="4459"/>
    <cellStyle name="Normal 15 2 3" xfId="3059"/>
    <cellStyle name="Normal 15 2 3 2" xfId="7079"/>
    <cellStyle name="Normal 15 2 3 2 2" xfId="12094"/>
    <cellStyle name="Normal 15 2 3 3" xfId="13548"/>
    <cellStyle name="Normal 15 2 3 4" xfId="10101"/>
    <cellStyle name="Normal 15 2 3 5" xfId="5083"/>
    <cellStyle name="Normal 15 2 4" xfId="1995"/>
    <cellStyle name="Normal 15 2 4 2" xfId="11158"/>
    <cellStyle name="Normal 15 2 4 3" xfId="6142"/>
    <cellStyle name="Normal 15 2 5" xfId="9217"/>
    <cellStyle name="Normal 15 2 6" xfId="12612"/>
    <cellStyle name="Normal 15 2 7" xfId="7694"/>
    <cellStyle name="Normal 15 2 8" xfId="4148"/>
    <cellStyle name="Normal 15 2_Degree data" xfId="2967"/>
    <cellStyle name="Normal 16" xfId="25"/>
    <cellStyle name="Normal 17" xfId="26"/>
    <cellStyle name="Normal 18" xfId="27"/>
    <cellStyle name="Normal 19" xfId="50"/>
    <cellStyle name="Normal 19 2" xfId="141"/>
    <cellStyle name="Normal 19 3" xfId="109"/>
    <cellStyle name="Normal 2" xfId="10"/>
    <cellStyle name="Normal 2 2" xfId="66"/>
    <cellStyle name="Normal 2 2 2" xfId="69"/>
    <cellStyle name="Normal 2 2 3" xfId="737"/>
    <cellStyle name="Normal 2 3" xfId="93"/>
    <cellStyle name="Normal 2 3 2" xfId="94"/>
    <cellStyle name="Normal 2 4" xfId="102"/>
    <cellStyle name="Normal 2 4 2" xfId="726"/>
    <cellStyle name="Normal 2 5" xfId="68"/>
    <cellStyle name="Normal 2 5 10" xfId="416"/>
    <cellStyle name="Normal 2 5 10 2" xfId="824"/>
    <cellStyle name="Normal 2 5 10 2 2" xfId="1997"/>
    <cellStyle name="Normal 2 5 10 2 2 2" xfId="10103"/>
    <cellStyle name="Normal 2 5 10 2 2 3" xfId="5085"/>
    <cellStyle name="Normal 2 5 10 2 3" xfId="6144"/>
    <cellStyle name="Normal 2 5 10 2 3 2" xfId="11160"/>
    <cellStyle name="Normal 2 5 10 2 4" xfId="9219"/>
    <cellStyle name="Normal 2 5 10 2 5" xfId="12614"/>
    <cellStyle name="Normal 2 5 10 2 6" xfId="7696"/>
    <cellStyle name="Normal 2 5 10 2 7" xfId="4150"/>
    <cellStyle name="Normal 2 5 10 3" xfId="1174"/>
    <cellStyle name="Normal 2 5 10 3 2" xfId="2346"/>
    <cellStyle name="Normal 2 5 10 3 2 2" xfId="10384"/>
    <cellStyle name="Normal 2 5 10 3 2 3" xfId="5367"/>
    <cellStyle name="Normal 2 5 10 3 3" xfId="6493"/>
    <cellStyle name="Normal 2 5 10 3 3 2" xfId="11508"/>
    <cellStyle name="Normal 2 5 10 3 4" xfId="9471"/>
    <cellStyle name="Normal 2 5 10 3 5" xfId="12962"/>
    <cellStyle name="Normal 2 5 10 3 6" xfId="7978"/>
    <cellStyle name="Normal 2 5 10 3 7" xfId="4453"/>
    <cellStyle name="Normal 2 5 10 4" xfId="2725"/>
    <cellStyle name="Normal 2 5 10 4 2" xfId="6765"/>
    <cellStyle name="Normal 2 5 10 4 2 2" xfId="11780"/>
    <cellStyle name="Normal 2 5 10 4 3" xfId="13234"/>
    <cellStyle name="Normal 2 5 10 4 4" xfId="9675"/>
    <cellStyle name="Normal 2 5 10 4 5" xfId="4657"/>
    <cellStyle name="Normal 2 5 10 5" xfId="1574"/>
    <cellStyle name="Normal 2 5 10 5 2" xfId="10735"/>
    <cellStyle name="Normal 2 5 10 5 3" xfId="5719"/>
    <cellStyle name="Normal 2 5 10 6" xfId="8791"/>
    <cellStyle name="Normal 2 5 10 7" xfId="12191"/>
    <cellStyle name="Normal 2 5 10 8" xfId="7268"/>
    <cellStyle name="Normal 2 5 10 9" xfId="3722"/>
    <cellStyle name="Normal 2 5 10_Degree data" xfId="2836"/>
    <cellStyle name="Normal 2 5 11" xfId="734"/>
    <cellStyle name="Normal 2 5 11 2" xfId="1996"/>
    <cellStyle name="Normal 2 5 11 2 2" xfId="10102"/>
    <cellStyle name="Normal 2 5 11 2 3" xfId="5084"/>
    <cellStyle name="Normal 2 5 11 3" xfId="6143"/>
    <cellStyle name="Normal 2 5 11 3 2" xfId="11159"/>
    <cellStyle name="Normal 2 5 11 4" xfId="9218"/>
    <cellStyle name="Normal 2 5 11 5" xfId="12613"/>
    <cellStyle name="Normal 2 5 11 6" xfId="7695"/>
    <cellStyle name="Normal 2 5 11 7" xfId="4149"/>
    <cellStyle name="Normal 2 5 12" xfId="1142"/>
    <cellStyle name="Normal 2 5 12 2" xfId="2345"/>
    <cellStyle name="Normal 2 5 12 2 2" xfId="10352"/>
    <cellStyle name="Normal 2 5 12 2 3" xfId="5335"/>
    <cellStyle name="Normal 2 5 12 3" xfId="6492"/>
    <cellStyle name="Normal 2 5 12 3 2" xfId="11507"/>
    <cellStyle name="Normal 2 5 12 4" xfId="8618"/>
    <cellStyle name="Normal 2 5 12 5" xfId="12961"/>
    <cellStyle name="Normal 2 5 12 6" xfId="7946"/>
    <cellStyle name="Normal 2 5 12 7" xfId="3540"/>
    <cellStyle name="Normal 2 5 13" xfId="2638"/>
    <cellStyle name="Normal 2 5 13 2" xfId="6733"/>
    <cellStyle name="Normal 2 5 13 2 2" xfId="11748"/>
    <cellStyle name="Normal 2 5 13 3" xfId="13202"/>
    <cellStyle name="Normal 2 5 13 4" xfId="9504"/>
    <cellStyle name="Normal 2 5 13 5" xfId="4486"/>
    <cellStyle name="Normal 2 5 14" xfId="1542"/>
    <cellStyle name="Normal 2 5 14 2" xfId="12159"/>
    <cellStyle name="Normal 2 5 14 3" xfId="10702"/>
    <cellStyle name="Normal 2 5 14 4" xfId="5686"/>
    <cellStyle name="Normal 2 5 15" xfId="1502"/>
    <cellStyle name="Normal 2 5 15 2" xfId="8298"/>
    <cellStyle name="Normal 2 5 16" xfId="12119"/>
    <cellStyle name="Normal 2 5 17" xfId="7098"/>
    <cellStyle name="Normal 2 5 18" xfId="3216"/>
    <cellStyle name="Normal 2 5 2" xfId="95"/>
    <cellStyle name="Normal 2 5 2 10" xfId="2667"/>
    <cellStyle name="Normal 2 5 2 10 2" xfId="6741"/>
    <cellStyle name="Normal 2 5 2 10 2 2" xfId="11756"/>
    <cellStyle name="Normal 2 5 2 10 3" xfId="13210"/>
    <cellStyle name="Normal 2 5 2 10 4" xfId="9517"/>
    <cellStyle name="Normal 2 5 2 10 5" xfId="4499"/>
    <cellStyle name="Normal 2 5 2 11" xfId="1550"/>
    <cellStyle name="Normal 2 5 2 11 2" xfId="12167"/>
    <cellStyle name="Normal 2 5 2 11 3" xfId="10711"/>
    <cellStyle name="Normal 2 5 2 11 4" xfId="5695"/>
    <cellStyle name="Normal 2 5 2 12" xfId="1510"/>
    <cellStyle name="Normal 2 5 2 12 2" xfId="8306"/>
    <cellStyle name="Normal 2 5 2 13" xfId="12127"/>
    <cellStyle name="Normal 2 5 2 14" xfId="7111"/>
    <cellStyle name="Normal 2 5 2 15" xfId="3227"/>
    <cellStyle name="Normal 2 5 2 2" xfId="139"/>
    <cellStyle name="Normal 2 5 2 2 10" xfId="1532"/>
    <cellStyle name="Normal 2 5 2 2 10 2" xfId="8331"/>
    <cellStyle name="Normal 2 5 2 2 11" xfId="12149"/>
    <cellStyle name="Normal 2 5 2 2 12" xfId="7141"/>
    <cellStyle name="Normal 2 5 2 2 13" xfId="3253"/>
    <cellStyle name="Normal 2 5 2 2 2" xfId="180"/>
    <cellStyle name="Normal 2 5 2 2 2 10" xfId="7184"/>
    <cellStyle name="Normal 2 5 2 2 2 11" xfId="3353"/>
    <cellStyle name="Normal 2 5 2 2 2 2" xfId="399"/>
    <cellStyle name="Normal 2 5 2 2 2 2 2" xfId="649"/>
    <cellStyle name="Normal 2 5 2 2 2 2 2 2" xfId="2001"/>
    <cellStyle name="Normal 2 5 2 2 2 2 2 2 2" xfId="10107"/>
    <cellStyle name="Normal 2 5 2 2 2 2 2 2 3" xfId="5089"/>
    <cellStyle name="Normal 2 5 2 2 2 2 2 3" xfId="6148"/>
    <cellStyle name="Normal 2 5 2 2 2 2 2 3 2" xfId="11164"/>
    <cellStyle name="Normal 2 5 2 2 2 2 2 4" xfId="9223"/>
    <cellStyle name="Normal 2 5 2 2 2 2 2 5" xfId="12618"/>
    <cellStyle name="Normal 2 5 2 2 2 2 2 6" xfId="7700"/>
    <cellStyle name="Normal 2 5 2 2 2 2 2 7" xfId="4154"/>
    <cellStyle name="Normal 2 5 2 2 2 2 3" xfId="1058"/>
    <cellStyle name="Normal 2 5 2 2 2 2 3 2" xfId="2350"/>
    <cellStyle name="Normal 2 5 2 2 2 2 3 2 2" xfId="10617"/>
    <cellStyle name="Normal 2 5 2 2 2 2 3 2 3" xfId="5600"/>
    <cellStyle name="Normal 2 5 2 2 2 2 3 3" xfId="6497"/>
    <cellStyle name="Normal 2 5 2 2 2 2 3 3 2" xfId="11512"/>
    <cellStyle name="Normal 2 5 2 2 2 2 3 4" xfId="9024"/>
    <cellStyle name="Normal 2 5 2 2 2 2 3 5" xfId="12966"/>
    <cellStyle name="Normal 2 5 2 2 2 2 3 6" xfId="8211"/>
    <cellStyle name="Normal 2 5 2 2 2 2 3 7" xfId="3955"/>
    <cellStyle name="Normal 2 5 2 2 2 2 4" xfId="1416"/>
    <cellStyle name="Normal 2 5 2 2 2 2 4 2" xfId="2974"/>
    <cellStyle name="Normal 2 5 2 2 2 2 4 2 2" xfId="12013"/>
    <cellStyle name="Normal 2 5 2 2 2 2 4 2 3" xfId="6998"/>
    <cellStyle name="Normal 2 5 2 2 2 2 4 3" xfId="13467"/>
    <cellStyle name="Normal 2 5 2 2 2 2 4 4" xfId="9908"/>
    <cellStyle name="Normal 2 5 2 2 2 2 4 5" xfId="4890"/>
    <cellStyle name="Normal 2 5 2 2 2 2 5" xfId="1807"/>
    <cellStyle name="Normal 2 5 2 2 2 2 5 2" xfId="10970"/>
    <cellStyle name="Normal 2 5 2 2 2 2 5 3" xfId="5954"/>
    <cellStyle name="Normal 2 5 2 2 2 2 6" xfId="8531"/>
    <cellStyle name="Normal 2 5 2 2 2 2 7" xfId="12424"/>
    <cellStyle name="Normal 2 5 2 2 2 2 8" xfId="7501"/>
    <cellStyle name="Normal 2 5 2 2 2 2 9" xfId="3453"/>
    <cellStyle name="Normal 2 5 2 2 2 2_Degree data" xfId="2735"/>
    <cellStyle name="Normal 2 5 2 2 2 3" xfId="549"/>
    <cellStyle name="Normal 2 5 2 2 2 3 2" xfId="958"/>
    <cellStyle name="Normal 2 5 2 2 2 3 2 2" xfId="9808"/>
    <cellStyle name="Normal 2 5 2 2 2 3 2 3" xfId="4790"/>
    <cellStyle name="Normal 2 5 2 2 2 3 3" xfId="2000"/>
    <cellStyle name="Normal 2 5 2 2 2 3 3 2" xfId="11163"/>
    <cellStyle name="Normal 2 5 2 2 2 3 3 3" xfId="6147"/>
    <cellStyle name="Normal 2 5 2 2 2 3 4" xfId="8924"/>
    <cellStyle name="Normal 2 5 2 2 2 3 5" xfId="12617"/>
    <cellStyle name="Normal 2 5 2 2 2 3 6" xfId="7401"/>
    <cellStyle name="Normal 2 5 2 2 2 3 7" xfId="3855"/>
    <cellStyle name="Normal 2 5 2 2 2 4" xfId="782"/>
    <cellStyle name="Normal 2 5 2 2 2 4 2" xfId="2349"/>
    <cellStyle name="Normal 2 5 2 2 2 4 2 2" xfId="10106"/>
    <cellStyle name="Normal 2 5 2 2 2 4 2 3" xfId="5088"/>
    <cellStyle name="Normal 2 5 2 2 2 4 3" xfId="6496"/>
    <cellStyle name="Normal 2 5 2 2 2 4 3 2" xfId="11511"/>
    <cellStyle name="Normal 2 5 2 2 2 4 4" xfId="9222"/>
    <cellStyle name="Normal 2 5 2 2 2 4 5" xfId="12965"/>
    <cellStyle name="Normal 2 5 2 2 2 4 6" xfId="7699"/>
    <cellStyle name="Normal 2 5 2 2 2 4 7" xfId="4153"/>
    <cellStyle name="Normal 2 5 2 2 2 5" xfId="1314"/>
    <cellStyle name="Normal 2 5 2 2 2 5 2" xfId="2872"/>
    <cellStyle name="Normal 2 5 2 2 2 5 2 2" xfId="10517"/>
    <cellStyle name="Normal 2 5 2 2 2 5 2 3" xfId="5500"/>
    <cellStyle name="Normal 2 5 2 2 2 5 3" xfId="6898"/>
    <cellStyle name="Normal 2 5 2 2 2 5 3 2" xfId="11913"/>
    <cellStyle name="Normal 2 5 2 2 2 5 4" xfId="8705"/>
    <cellStyle name="Normal 2 5 2 2 2 5 5" xfId="13367"/>
    <cellStyle name="Normal 2 5 2 2 2 5 6" xfId="8111"/>
    <cellStyle name="Normal 2 5 2 2 2 5 7" xfId="3635"/>
    <cellStyle name="Normal 2 5 2 2 2 6" xfId="1707"/>
    <cellStyle name="Normal 2 5 2 2 2 6 2" xfId="9591"/>
    <cellStyle name="Normal 2 5 2 2 2 6 3" xfId="4573"/>
    <cellStyle name="Normal 2 5 2 2 2 7" xfId="5854"/>
    <cellStyle name="Normal 2 5 2 2 2 7 2" xfId="10870"/>
    <cellStyle name="Normal 2 5 2 2 2 8" xfId="8431"/>
    <cellStyle name="Normal 2 5 2 2 2 9" xfId="12324"/>
    <cellStyle name="Normal 2 5 2 2 2_Degree data" xfId="2802"/>
    <cellStyle name="Normal 2 5 2 2 3" xfId="206"/>
    <cellStyle name="Normal 2 5 2 2 3 10" xfId="7245"/>
    <cellStyle name="Normal 2 5 2 2 3 11" xfId="3310"/>
    <cellStyle name="Normal 2 5 2 2 3 2" xfId="355"/>
    <cellStyle name="Normal 2 5 2 2 3 2 2" xfId="710"/>
    <cellStyle name="Normal 2 5 2 2 3 2 2 2" xfId="2003"/>
    <cellStyle name="Normal 2 5 2 2 3 2 2 2 2" xfId="10109"/>
    <cellStyle name="Normal 2 5 2 2 3 2 2 2 3" xfId="5091"/>
    <cellStyle name="Normal 2 5 2 2 3 2 2 3" xfId="6150"/>
    <cellStyle name="Normal 2 5 2 2 3 2 2 3 2" xfId="11166"/>
    <cellStyle name="Normal 2 5 2 2 3 2 2 4" xfId="9225"/>
    <cellStyle name="Normal 2 5 2 2 3 2 2 5" xfId="12620"/>
    <cellStyle name="Normal 2 5 2 2 3 2 2 6" xfId="7702"/>
    <cellStyle name="Normal 2 5 2 2 3 2 2 7" xfId="4156"/>
    <cellStyle name="Normal 2 5 2 2 3 2 3" xfId="1119"/>
    <cellStyle name="Normal 2 5 2 2 3 2 3 2" xfId="2352"/>
    <cellStyle name="Normal 2 5 2 2 3 2 3 2 2" xfId="10678"/>
    <cellStyle name="Normal 2 5 2 2 3 2 3 2 3" xfId="5661"/>
    <cellStyle name="Normal 2 5 2 2 3 2 3 3" xfId="6499"/>
    <cellStyle name="Normal 2 5 2 2 3 2 3 3 2" xfId="11514"/>
    <cellStyle name="Normal 2 5 2 2 3 2 3 4" xfId="9085"/>
    <cellStyle name="Normal 2 5 2 2 3 2 3 5" xfId="12968"/>
    <cellStyle name="Normal 2 5 2 2 3 2 3 6" xfId="8272"/>
    <cellStyle name="Normal 2 5 2 2 3 2 3 7" xfId="4016"/>
    <cellStyle name="Normal 2 5 2 2 3 2 4" xfId="1477"/>
    <cellStyle name="Normal 2 5 2 2 3 2 4 2" xfId="3036"/>
    <cellStyle name="Normal 2 5 2 2 3 2 4 2 2" xfId="12074"/>
    <cellStyle name="Normal 2 5 2 2 3 2 4 2 3" xfId="7059"/>
    <cellStyle name="Normal 2 5 2 2 3 2 4 3" xfId="13528"/>
    <cellStyle name="Normal 2 5 2 2 3 2 4 4" xfId="9969"/>
    <cellStyle name="Normal 2 5 2 2 3 2 4 5" xfId="4951"/>
    <cellStyle name="Normal 2 5 2 2 3 2 5" xfId="1868"/>
    <cellStyle name="Normal 2 5 2 2 3 2 5 2" xfId="11031"/>
    <cellStyle name="Normal 2 5 2 2 3 2 5 3" xfId="6015"/>
    <cellStyle name="Normal 2 5 2 2 3 2 6" xfId="8592"/>
    <cellStyle name="Normal 2 5 2 2 3 2 7" xfId="12485"/>
    <cellStyle name="Normal 2 5 2 2 3 2 8" xfId="7562"/>
    <cellStyle name="Normal 2 5 2 2 3 2 9" xfId="3514"/>
    <cellStyle name="Normal 2 5 2 2 3 2_Degree data" xfId="2773"/>
    <cellStyle name="Normal 2 5 2 2 3 3" xfId="506"/>
    <cellStyle name="Normal 2 5 2 2 3 3 2" xfId="915"/>
    <cellStyle name="Normal 2 5 2 2 3 3 2 2" xfId="9765"/>
    <cellStyle name="Normal 2 5 2 2 3 3 2 3" xfId="4747"/>
    <cellStyle name="Normal 2 5 2 2 3 3 3" xfId="2002"/>
    <cellStyle name="Normal 2 5 2 2 3 3 3 2" xfId="11165"/>
    <cellStyle name="Normal 2 5 2 2 3 3 3 3" xfId="6149"/>
    <cellStyle name="Normal 2 5 2 2 3 3 4" xfId="8881"/>
    <cellStyle name="Normal 2 5 2 2 3 3 5" xfId="12619"/>
    <cellStyle name="Normal 2 5 2 2 3 3 6" xfId="7358"/>
    <cellStyle name="Normal 2 5 2 2 3 3 7" xfId="3812"/>
    <cellStyle name="Normal 2 5 2 2 3 4" xfId="812"/>
    <cellStyle name="Normal 2 5 2 2 3 4 2" xfId="2351"/>
    <cellStyle name="Normal 2 5 2 2 3 4 2 2" xfId="10108"/>
    <cellStyle name="Normal 2 5 2 2 3 4 2 3" xfId="5090"/>
    <cellStyle name="Normal 2 5 2 2 3 4 3" xfId="6498"/>
    <cellStyle name="Normal 2 5 2 2 3 4 3 2" xfId="11513"/>
    <cellStyle name="Normal 2 5 2 2 3 4 4" xfId="9224"/>
    <cellStyle name="Normal 2 5 2 2 3 4 5" xfId="12967"/>
    <cellStyle name="Normal 2 5 2 2 3 4 6" xfId="7701"/>
    <cellStyle name="Normal 2 5 2 2 3 4 7" xfId="4155"/>
    <cellStyle name="Normal 2 5 2 2 3 5" xfId="1270"/>
    <cellStyle name="Normal 2 5 2 2 3 5 2" xfId="2827"/>
    <cellStyle name="Normal 2 5 2 2 3 5 2 2" xfId="10474"/>
    <cellStyle name="Normal 2 5 2 2 3 5 2 3" xfId="5457"/>
    <cellStyle name="Normal 2 5 2 2 3 5 3" xfId="6855"/>
    <cellStyle name="Normal 2 5 2 2 3 5 3 2" xfId="11870"/>
    <cellStyle name="Normal 2 5 2 2 3 5 4" xfId="8766"/>
    <cellStyle name="Normal 2 5 2 2 3 5 5" xfId="13324"/>
    <cellStyle name="Normal 2 5 2 2 3 5 6" xfId="8068"/>
    <cellStyle name="Normal 2 5 2 2 3 5 7" xfId="3696"/>
    <cellStyle name="Normal 2 5 2 2 3 6" xfId="1664"/>
    <cellStyle name="Normal 2 5 2 2 3 6 2" xfId="9652"/>
    <cellStyle name="Normal 2 5 2 2 3 6 3" xfId="4634"/>
    <cellStyle name="Normal 2 5 2 2 3 7" xfId="5811"/>
    <cellStyle name="Normal 2 5 2 2 3 7 2" xfId="10827"/>
    <cellStyle name="Normal 2 5 2 2 3 8" xfId="8388"/>
    <cellStyle name="Normal 2 5 2 2 3 9" xfId="12281"/>
    <cellStyle name="Normal 2 5 2 2 3_Degree data" xfId="2771"/>
    <cellStyle name="Normal 2 5 2 2 4" xfId="242"/>
    <cellStyle name="Normal 2 5 2 2 4 2" xfId="606"/>
    <cellStyle name="Normal 2 5 2 2 4 2 2" xfId="2004"/>
    <cellStyle name="Normal 2 5 2 2 4 2 2 2" xfId="10110"/>
    <cellStyle name="Normal 2 5 2 2 4 2 2 3" xfId="5092"/>
    <cellStyle name="Normal 2 5 2 2 4 2 3" xfId="6151"/>
    <cellStyle name="Normal 2 5 2 2 4 2 3 2" xfId="11167"/>
    <cellStyle name="Normal 2 5 2 2 4 2 4" xfId="9226"/>
    <cellStyle name="Normal 2 5 2 2 4 2 5" xfId="12621"/>
    <cellStyle name="Normal 2 5 2 2 4 2 6" xfId="7703"/>
    <cellStyle name="Normal 2 5 2 2 4 2 7" xfId="4157"/>
    <cellStyle name="Normal 2 5 2 2 4 3" xfId="1015"/>
    <cellStyle name="Normal 2 5 2 2 4 3 2" xfId="2353"/>
    <cellStyle name="Normal 2 5 2 2 4 3 2 2" xfId="10574"/>
    <cellStyle name="Normal 2 5 2 2 4 3 2 3" xfId="5557"/>
    <cellStyle name="Normal 2 5 2 2 4 3 3" xfId="6500"/>
    <cellStyle name="Normal 2 5 2 2 4 3 3 2" xfId="11515"/>
    <cellStyle name="Normal 2 5 2 2 4 3 4" xfId="8981"/>
    <cellStyle name="Normal 2 5 2 2 4 3 5" xfId="12969"/>
    <cellStyle name="Normal 2 5 2 2 4 3 6" xfId="8168"/>
    <cellStyle name="Normal 2 5 2 2 4 3 7" xfId="3912"/>
    <cellStyle name="Normal 2 5 2 2 4 4" xfId="1371"/>
    <cellStyle name="Normal 2 5 2 2 4 4 2" xfId="2929"/>
    <cellStyle name="Normal 2 5 2 2 4 4 2 2" xfId="11970"/>
    <cellStyle name="Normal 2 5 2 2 4 4 2 3" xfId="6955"/>
    <cellStyle name="Normal 2 5 2 2 4 4 3" xfId="13424"/>
    <cellStyle name="Normal 2 5 2 2 4 4 4" xfId="9865"/>
    <cellStyle name="Normal 2 5 2 2 4 4 5" xfId="4847"/>
    <cellStyle name="Normal 2 5 2 2 4 5" xfId="1764"/>
    <cellStyle name="Normal 2 5 2 2 4 5 2" xfId="10927"/>
    <cellStyle name="Normal 2 5 2 2 4 5 3" xfId="5911"/>
    <cellStyle name="Normal 2 5 2 2 4 6" xfId="8488"/>
    <cellStyle name="Normal 2 5 2 2 4 7" xfId="12381"/>
    <cellStyle name="Normal 2 5 2 2 4 8" xfId="7458"/>
    <cellStyle name="Normal 2 5 2 2 4 9" xfId="3410"/>
    <cellStyle name="Normal 2 5 2 2 4_Degree data" xfId="2652"/>
    <cellStyle name="Normal 2 5 2 2 5" xfId="295"/>
    <cellStyle name="Normal 2 5 2 2 5 2" xfId="858"/>
    <cellStyle name="Normal 2 5 2 2 5 2 2" xfId="2005"/>
    <cellStyle name="Normal 2 5 2 2 5 2 2 2" xfId="10111"/>
    <cellStyle name="Normal 2 5 2 2 5 2 2 3" xfId="5093"/>
    <cellStyle name="Normal 2 5 2 2 5 2 3" xfId="6152"/>
    <cellStyle name="Normal 2 5 2 2 5 2 3 2" xfId="11168"/>
    <cellStyle name="Normal 2 5 2 2 5 2 4" xfId="9227"/>
    <cellStyle name="Normal 2 5 2 2 5 2 5" xfId="12622"/>
    <cellStyle name="Normal 2 5 2 2 5 2 6" xfId="7704"/>
    <cellStyle name="Normal 2 5 2 2 5 2 7" xfId="4158"/>
    <cellStyle name="Normal 2 5 2 2 5 3" xfId="1208"/>
    <cellStyle name="Normal 2 5 2 2 5 3 2" xfId="2354"/>
    <cellStyle name="Normal 2 5 2 2 5 3 2 2" xfId="10417"/>
    <cellStyle name="Normal 2 5 2 2 5 3 2 3" xfId="5400"/>
    <cellStyle name="Normal 2 5 2 2 5 3 3" xfId="6501"/>
    <cellStyle name="Normal 2 5 2 2 5 3 3 2" xfId="11516"/>
    <cellStyle name="Normal 2 5 2 2 5 3 4" xfId="9482"/>
    <cellStyle name="Normal 2 5 2 2 5 3 5" xfId="12970"/>
    <cellStyle name="Normal 2 5 2 2 5 3 6" xfId="8011"/>
    <cellStyle name="Normal 2 5 2 2 5 3 7" xfId="4464"/>
    <cellStyle name="Normal 2 5 2 2 5 4" xfId="2762"/>
    <cellStyle name="Normal 2 5 2 2 5 4 2" xfId="6798"/>
    <cellStyle name="Normal 2 5 2 2 5 4 2 2" xfId="11813"/>
    <cellStyle name="Normal 2 5 2 2 5 4 3" xfId="13267"/>
    <cellStyle name="Normal 2 5 2 2 5 4 4" xfId="9708"/>
    <cellStyle name="Normal 2 5 2 2 5 4 5" xfId="4690"/>
    <cellStyle name="Normal 2 5 2 2 5 5" xfId="1607"/>
    <cellStyle name="Normal 2 5 2 2 5 5 2" xfId="10768"/>
    <cellStyle name="Normal 2 5 2 2 5 5 3" xfId="5752"/>
    <cellStyle name="Normal 2 5 2 2 5 6" xfId="8824"/>
    <cellStyle name="Normal 2 5 2 2 5 7" xfId="12224"/>
    <cellStyle name="Normal 2 5 2 2 5 8" xfId="7301"/>
    <cellStyle name="Normal 2 5 2 2 5 9" xfId="3755"/>
    <cellStyle name="Normal 2 5 2 2 5_Degree data" xfId="2663"/>
    <cellStyle name="Normal 2 5 2 2 6" xfId="449"/>
    <cellStyle name="Normal 2 5 2 2 6 2" xfId="1999"/>
    <cellStyle name="Normal 2 5 2 2 6 2 2" xfId="10105"/>
    <cellStyle name="Normal 2 5 2 2 6 2 3" xfId="5087"/>
    <cellStyle name="Normal 2 5 2 2 6 3" xfId="6146"/>
    <cellStyle name="Normal 2 5 2 2 6 3 2" xfId="11162"/>
    <cellStyle name="Normal 2 5 2 2 6 4" xfId="9221"/>
    <cellStyle name="Normal 2 5 2 2 6 5" xfId="12616"/>
    <cellStyle name="Normal 2 5 2 2 6 6" xfId="7698"/>
    <cellStyle name="Normal 2 5 2 2 6 7" xfId="4152"/>
    <cellStyle name="Normal 2 5 2 2 7" xfId="758"/>
    <cellStyle name="Normal 2 5 2 2 7 2" xfId="2348"/>
    <cellStyle name="Normal 2 5 2 2 7 2 2" xfId="10372"/>
    <cellStyle name="Normal 2 5 2 2 7 2 3" xfId="5355"/>
    <cellStyle name="Normal 2 5 2 2 7 3" xfId="6495"/>
    <cellStyle name="Normal 2 5 2 2 7 3 2" xfId="11510"/>
    <cellStyle name="Normal 2 5 2 2 7 4" xfId="8662"/>
    <cellStyle name="Normal 2 5 2 2 7 5" xfId="12964"/>
    <cellStyle name="Normal 2 5 2 2 7 6" xfId="7966"/>
    <cellStyle name="Normal 2 5 2 2 7 7" xfId="3589"/>
    <cellStyle name="Normal 2 5 2 2 8" xfId="1162"/>
    <cellStyle name="Normal 2 5 2 2 8 2" xfId="2711"/>
    <cellStyle name="Normal 2 5 2 2 8 2 2" xfId="11768"/>
    <cellStyle name="Normal 2 5 2 2 8 2 3" xfId="6753"/>
    <cellStyle name="Normal 2 5 2 2 8 3" xfId="13222"/>
    <cellStyle name="Normal 2 5 2 2 8 4" xfId="9548"/>
    <cellStyle name="Normal 2 5 2 2 8 5" xfId="4530"/>
    <cellStyle name="Normal 2 5 2 2 9" xfId="1562"/>
    <cellStyle name="Normal 2 5 2 2 9 2" xfId="12179"/>
    <cellStyle name="Normal 2 5 2 2 9 3" xfId="10723"/>
    <cellStyle name="Normal 2 5 2 2 9 4" xfId="5707"/>
    <cellStyle name="Normal 2 5 2 2_Degree data" xfId="2804"/>
    <cellStyle name="Normal 2 5 2 3" xfId="168"/>
    <cellStyle name="Normal 2 5 2 3 10" xfId="8317"/>
    <cellStyle name="Normal 2 5 2 3 11" xfId="12137"/>
    <cellStyle name="Normal 2 5 2 3 12" xfId="7129"/>
    <cellStyle name="Normal 2 5 2 3 13" xfId="3238"/>
    <cellStyle name="Normal 2 5 2 3 2" xfId="386"/>
    <cellStyle name="Normal 2 5 2 3 2 10" xfId="7172"/>
    <cellStyle name="Normal 2 5 2 3 2 11" xfId="3341"/>
    <cellStyle name="Normal 2 5 2 3 2 2" xfId="637"/>
    <cellStyle name="Normal 2 5 2 3 2 2 2" xfId="1046"/>
    <cellStyle name="Normal 2 5 2 3 2 2 2 2" xfId="2008"/>
    <cellStyle name="Normal 2 5 2 3 2 2 2 2 2" xfId="10114"/>
    <cellStyle name="Normal 2 5 2 3 2 2 2 2 3" xfId="5096"/>
    <cellStyle name="Normal 2 5 2 3 2 2 2 3" xfId="6155"/>
    <cellStyle name="Normal 2 5 2 3 2 2 2 3 2" xfId="11171"/>
    <cellStyle name="Normal 2 5 2 3 2 2 2 4" xfId="9230"/>
    <cellStyle name="Normal 2 5 2 3 2 2 2 5" xfId="12625"/>
    <cellStyle name="Normal 2 5 2 3 2 2 2 6" xfId="7707"/>
    <cellStyle name="Normal 2 5 2 3 2 2 2 7" xfId="4161"/>
    <cellStyle name="Normal 2 5 2 3 2 2 3" xfId="1403"/>
    <cellStyle name="Normal 2 5 2 3 2 2 3 2" xfId="2357"/>
    <cellStyle name="Normal 2 5 2 3 2 2 3 2 2" xfId="10605"/>
    <cellStyle name="Normal 2 5 2 3 2 2 3 2 3" xfId="5588"/>
    <cellStyle name="Normal 2 5 2 3 2 2 3 3" xfId="6504"/>
    <cellStyle name="Normal 2 5 2 3 2 2 3 3 2" xfId="11519"/>
    <cellStyle name="Normal 2 5 2 3 2 2 3 4" xfId="9012"/>
    <cellStyle name="Normal 2 5 2 3 2 2 3 5" xfId="12973"/>
    <cellStyle name="Normal 2 5 2 3 2 2 3 6" xfId="8199"/>
    <cellStyle name="Normal 2 5 2 3 2 2 3 7" xfId="3943"/>
    <cellStyle name="Normal 2 5 2 3 2 2 4" xfId="2961"/>
    <cellStyle name="Normal 2 5 2 3 2 2 4 2" xfId="6986"/>
    <cellStyle name="Normal 2 5 2 3 2 2 4 2 2" xfId="12001"/>
    <cellStyle name="Normal 2 5 2 3 2 2 4 3" xfId="13455"/>
    <cellStyle name="Normal 2 5 2 3 2 2 4 4" xfId="9896"/>
    <cellStyle name="Normal 2 5 2 3 2 2 4 5" xfId="4878"/>
    <cellStyle name="Normal 2 5 2 3 2 2 5" xfId="1795"/>
    <cellStyle name="Normal 2 5 2 3 2 2 5 2" xfId="10958"/>
    <cellStyle name="Normal 2 5 2 3 2 2 5 3" xfId="5942"/>
    <cellStyle name="Normal 2 5 2 3 2 2 6" xfId="8519"/>
    <cellStyle name="Normal 2 5 2 3 2 2 7" xfId="12412"/>
    <cellStyle name="Normal 2 5 2 3 2 2 8" xfId="7489"/>
    <cellStyle name="Normal 2 5 2 3 2 2 9" xfId="3441"/>
    <cellStyle name="Normal 2 5 2 3 2 2_Degree data" xfId="2655"/>
    <cellStyle name="Normal 2 5 2 3 2 3" xfId="537"/>
    <cellStyle name="Normal 2 5 2 3 2 3 2" xfId="2007"/>
    <cellStyle name="Normal 2 5 2 3 2 3 2 2" xfId="9796"/>
    <cellStyle name="Normal 2 5 2 3 2 3 2 3" xfId="4778"/>
    <cellStyle name="Normal 2 5 2 3 2 3 3" xfId="6154"/>
    <cellStyle name="Normal 2 5 2 3 2 3 3 2" xfId="11170"/>
    <cellStyle name="Normal 2 5 2 3 2 3 4" xfId="8912"/>
    <cellStyle name="Normal 2 5 2 3 2 3 5" xfId="12624"/>
    <cellStyle name="Normal 2 5 2 3 2 3 6" xfId="7389"/>
    <cellStyle name="Normal 2 5 2 3 2 3 7" xfId="3843"/>
    <cellStyle name="Normal 2 5 2 3 2 4" xfId="946"/>
    <cellStyle name="Normal 2 5 2 3 2 4 2" xfId="2356"/>
    <cellStyle name="Normal 2 5 2 3 2 4 2 2" xfId="10113"/>
    <cellStyle name="Normal 2 5 2 3 2 4 2 3" xfId="5095"/>
    <cellStyle name="Normal 2 5 2 3 2 4 3" xfId="6503"/>
    <cellStyle name="Normal 2 5 2 3 2 4 3 2" xfId="11518"/>
    <cellStyle name="Normal 2 5 2 3 2 4 4" xfId="9229"/>
    <cellStyle name="Normal 2 5 2 3 2 4 5" xfId="12972"/>
    <cellStyle name="Normal 2 5 2 3 2 4 6" xfId="7706"/>
    <cellStyle name="Normal 2 5 2 3 2 4 7" xfId="4160"/>
    <cellStyle name="Normal 2 5 2 3 2 5" xfId="1302"/>
    <cellStyle name="Normal 2 5 2 3 2 5 2" xfId="2859"/>
    <cellStyle name="Normal 2 5 2 3 2 5 2 2" xfId="10505"/>
    <cellStyle name="Normal 2 5 2 3 2 5 2 3" xfId="5488"/>
    <cellStyle name="Normal 2 5 2 3 2 5 3" xfId="6886"/>
    <cellStyle name="Normal 2 5 2 3 2 5 3 2" xfId="11901"/>
    <cellStyle name="Normal 2 5 2 3 2 5 4" xfId="8693"/>
    <cellStyle name="Normal 2 5 2 3 2 5 5" xfId="13355"/>
    <cellStyle name="Normal 2 5 2 3 2 5 6" xfId="8099"/>
    <cellStyle name="Normal 2 5 2 3 2 5 7" xfId="3622"/>
    <cellStyle name="Normal 2 5 2 3 2 6" xfId="1695"/>
    <cellStyle name="Normal 2 5 2 3 2 6 2" xfId="9579"/>
    <cellStyle name="Normal 2 5 2 3 2 6 3" xfId="4561"/>
    <cellStyle name="Normal 2 5 2 3 2 7" xfId="5842"/>
    <cellStyle name="Normal 2 5 2 3 2 7 2" xfId="10858"/>
    <cellStyle name="Normal 2 5 2 3 2 8" xfId="8419"/>
    <cellStyle name="Normal 2 5 2 3 2 9" xfId="12312"/>
    <cellStyle name="Normal 2 5 2 3 2_Degree data" xfId="2664"/>
    <cellStyle name="Normal 2 5 2 3 3" xfId="342"/>
    <cellStyle name="Normal 2 5 2 3 3 10" xfId="7234"/>
    <cellStyle name="Normal 2 5 2 3 3 11" xfId="3298"/>
    <cellStyle name="Normal 2 5 2 3 3 2" xfId="699"/>
    <cellStyle name="Normal 2 5 2 3 3 2 2" xfId="1108"/>
    <cellStyle name="Normal 2 5 2 3 3 2 2 2" xfId="2010"/>
    <cellStyle name="Normal 2 5 2 3 3 2 2 2 2" xfId="10116"/>
    <cellStyle name="Normal 2 5 2 3 3 2 2 2 3" xfId="5098"/>
    <cellStyle name="Normal 2 5 2 3 3 2 2 3" xfId="6157"/>
    <cellStyle name="Normal 2 5 2 3 3 2 2 3 2" xfId="11173"/>
    <cellStyle name="Normal 2 5 2 3 3 2 2 4" xfId="9232"/>
    <cellStyle name="Normal 2 5 2 3 3 2 2 5" xfId="12627"/>
    <cellStyle name="Normal 2 5 2 3 3 2 2 6" xfId="7709"/>
    <cellStyle name="Normal 2 5 2 3 3 2 2 7" xfId="4163"/>
    <cellStyle name="Normal 2 5 2 3 3 2 3" xfId="1466"/>
    <cellStyle name="Normal 2 5 2 3 3 2 3 2" xfId="2359"/>
    <cellStyle name="Normal 2 5 2 3 3 2 3 2 2" xfId="10667"/>
    <cellStyle name="Normal 2 5 2 3 3 2 3 2 3" xfId="5650"/>
    <cellStyle name="Normal 2 5 2 3 3 2 3 3" xfId="6506"/>
    <cellStyle name="Normal 2 5 2 3 3 2 3 3 2" xfId="11521"/>
    <cellStyle name="Normal 2 5 2 3 3 2 3 4" xfId="9074"/>
    <cellStyle name="Normal 2 5 2 3 3 2 3 5" xfId="12975"/>
    <cellStyle name="Normal 2 5 2 3 3 2 3 6" xfId="8261"/>
    <cellStyle name="Normal 2 5 2 3 3 2 3 7" xfId="4005"/>
    <cellStyle name="Normal 2 5 2 3 3 2 4" xfId="3025"/>
    <cellStyle name="Normal 2 5 2 3 3 2 4 2" xfId="7048"/>
    <cellStyle name="Normal 2 5 2 3 3 2 4 2 2" xfId="12063"/>
    <cellStyle name="Normal 2 5 2 3 3 2 4 3" xfId="13517"/>
    <cellStyle name="Normal 2 5 2 3 3 2 4 4" xfId="9958"/>
    <cellStyle name="Normal 2 5 2 3 3 2 4 5" xfId="4940"/>
    <cellStyle name="Normal 2 5 2 3 3 2 5" xfId="1857"/>
    <cellStyle name="Normal 2 5 2 3 3 2 5 2" xfId="11020"/>
    <cellStyle name="Normal 2 5 2 3 3 2 5 3" xfId="6004"/>
    <cellStyle name="Normal 2 5 2 3 3 2 6" xfId="8581"/>
    <cellStyle name="Normal 2 5 2 3 3 2 7" xfId="12474"/>
    <cellStyle name="Normal 2 5 2 3 3 2 8" xfId="7551"/>
    <cellStyle name="Normal 2 5 2 3 3 2 9" xfId="3503"/>
    <cellStyle name="Normal 2 5 2 3 3 2_Degree data" xfId="2662"/>
    <cellStyle name="Normal 2 5 2 3 3 3" xfId="494"/>
    <cellStyle name="Normal 2 5 2 3 3 3 2" xfId="2009"/>
    <cellStyle name="Normal 2 5 2 3 3 3 2 2" xfId="9753"/>
    <cellStyle name="Normal 2 5 2 3 3 3 2 3" xfId="4735"/>
    <cellStyle name="Normal 2 5 2 3 3 3 3" xfId="6156"/>
    <cellStyle name="Normal 2 5 2 3 3 3 3 2" xfId="11172"/>
    <cellStyle name="Normal 2 5 2 3 3 3 4" xfId="8869"/>
    <cellStyle name="Normal 2 5 2 3 3 3 5" xfId="12626"/>
    <cellStyle name="Normal 2 5 2 3 3 3 6" xfId="7346"/>
    <cellStyle name="Normal 2 5 2 3 3 3 7" xfId="3800"/>
    <cellStyle name="Normal 2 5 2 3 3 4" xfId="903"/>
    <cellStyle name="Normal 2 5 2 3 3 4 2" xfId="2358"/>
    <cellStyle name="Normal 2 5 2 3 3 4 2 2" xfId="10115"/>
    <cellStyle name="Normal 2 5 2 3 3 4 2 3" xfId="5097"/>
    <cellStyle name="Normal 2 5 2 3 3 4 3" xfId="6505"/>
    <cellStyle name="Normal 2 5 2 3 3 4 3 2" xfId="11520"/>
    <cellStyle name="Normal 2 5 2 3 3 4 4" xfId="9231"/>
    <cellStyle name="Normal 2 5 2 3 3 4 5" xfId="12974"/>
    <cellStyle name="Normal 2 5 2 3 3 4 6" xfId="7708"/>
    <cellStyle name="Normal 2 5 2 3 3 4 7" xfId="4162"/>
    <cellStyle name="Normal 2 5 2 3 3 5" xfId="1258"/>
    <cellStyle name="Normal 2 5 2 3 3 5 2" xfId="2814"/>
    <cellStyle name="Normal 2 5 2 3 3 5 2 2" xfId="10462"/>
    <cellStyle name="Normal 2 5 2 3 3 5 2 3" xfId="5445"/>
    <cellStyle name="Normal 2 5 2 3 3 5 3" xfId="6843"/>
    <cellStyle name="Normal 2 5 2 3 3 5 3 2" xfId="11858"/>
    <cellStyle name="Normal 2 5 2 3 3 5 4" xfId="8755"/>
    <cellStyle name="Normal 2 5 2 3 3 5 5" xfId="13312"/>
    <cellStyle name="Normal 2 5 2 3 3 5 6" xfId="8056"/>
    <cellStyle name="Normal 2 5 2 3 3 5 7" xfId="3685"/>
    <cellStyle name="Normal 2 5 2 3 3 6" xfId="1652"/>
    <cellStyle name="Normal 2 5 2 3 3 6 2" xfId="9641"/>
    <cellStyle name="Normal 2 5 2 3 3 6 3" xfId="4623"/>
    <cellStyle name="Normal 2 5 2 3 3 7" xfId="5799"/>
    <cellStyle name="Normal 2 5 2 3 3 7 2" xfId="10815"/>
    <cellStyle name="Normal 2 5 2 3 3 8" xfId="8376"/>
    <cellStyle name="Normal 2 5 2 3 3 9" xfId="12269"/>
    <cellStyle name="Normal 2 5 2 3 3_Degree data" xfId="2654"/>
    <cellStyle name="Normal 2 5 2 3 4" xfId="279"/>
    <cellStyle name="Normal 2 5 2 3 4 2" xfId="594"/>
    <cellStyle name="Normal 2 5 2 3 4 2 2" xfId="2011"/>
    <cellStyle name="Normal 2 5 2 3 4 2 2 2" xfId="10117"/>
    <cellStyle name="Normal 2 5 2 3 4 2 2 3" xfId="5099"/>
    <cellStyle name="Normal 2 5 2 3 4 2 3" xfId="6158"/>
    <cellStyle name="Normal 2 5 2 3 4 2 3 2" xfId="11174"/>
    <cellStyle name="Normal 2 5 2 3 4 2 4" xfId="9233"/>
    <cellStyle name="Normal 2 5 2 3 4 2 5" xfId="12628"/>
    <cellStyle name="Normal 2 5 2 3 4 2 6" xfId="7710"/>
    <cellStyle name="Normal 2 5 2 3 4 2 7" xfId="4164"/>
    <cellStyle name="Normal 2 5 2 3 4 3" xfId="1003"/>
    <cellStyle name="Normal 2 5 2 3 4 3 2" xfId="2360"/>
    <cellStyle name="Normal 2 5 2 3 4 3 2 2" xfId="10562"/>
    <cellStyle name="Normal 2 5 2 3 4 3 2 3" xfId="5545"/>
    <cellStyle name="Normal 2 5 2 3 4 3 3" xfId="6507"/>
    <cellStyle name="Normal 2 5 2 3 4 3 3 2" xfId="11522"/>
    <cellStyle name="Normal 2 5 2 3 4 3 4" xfId="8969"/>
    <cellStyle name="Normal 2 5 2 3 4 3 5" xfId="12976"/>
    <cellStyle name="Normal 2 5 2 3 4 3 6" xfId="8156"/>
    <cellStyle name="Normal 2 5 2 3 4 3 7" xfId="3900"/>
    <cellStyle name="Normal 2 5 2 3 4 4" xfId="1359"/>
    <cellStyle name="Normal 2 5 2 3 4 4 2" xfId="2917"/>
    <cellStyle name="Normal 2 5 2 3 4 4 2 2" xfId="11958"/>
    <cellStyle name="Normal 2 5 2 3 4 4 2 3" xfId="6943"/>
    <cellStyle name="Normal 2 5 2 3 4 4 3" xfId="13412"/>
    <cellStyle name="Normal 2 5 2 3 4 4 4" xfId="9853"/>
    <cellStyle name="Normal 2 5 2 3 4 4 5" xfId="4835"/>
    <cellStyle name="Normal 2 5 2 3 4 5" xfId="1752"/>
    <cellStyle name="Normal 2 5 2 3 4 5 2" xfId="10915"/>
    <cellStyle name="Normal 2 5 2 3 4 5 3" xfId="5899"/>
    <cellStyle name="Normal 2 5 2 3 4 6" xfId="8476"/>
    <cellStyle name="Normal 2 5 2 3 4 7" xfId="12369"/>
    <cellStyle name="Normal 2 5 2 3 4 8" xfId="7446"/>
    <cellStyle name="Normal 2 5 2 3 4 9" xfId="3398"/>
    <cellStyle name="Normal 2 5 2 3 4_Degree data" xfId="2691"/>
    <cellStyle name="Normal 2 5 2 3 5" xfId="435"/>
    <cellStyle name="Normal 2 5 2 3 5 2" xfId="843"/>
    <cellStyle name="Normal 2 5 2 3 5 2 2" xfId="9694"/>
    <cellStyle name="Normal 2 5 2 3 5 2 3" xfId="4676"/>
    <cellStyle name="Normal 2 5 2 3 5 3" xfId="2006"/>
    <cellStyle name="Normal 2 5 2 3 5 3 2" xfId="11169"/>
    <cellStyle name="Normal 2 5 2 3 5 3 3" xfId="6153"/>
    <cellStyle name="Normal 2 5 2 3 5 4" xfId="8810"/>
    <cellStyle name="Normal 2 5 2 3 5 5" xfId="12623"/>
    <cellStyle name="Normal 2 5 2 3 5 6" xfId="7287"/>
    <cellStyle name="Normal 2 5 2 3 5 7" xfId="3741"/>
    <cellStyle name="Normal 2 5 2 3 6" xfId="770"/>
    <cellStyle name="Normal 2 5 2 3 6 2" xfId="2355"/>
    <cellStyle name="Normal 2 5 2 3 6 2 2" xfId="10112"/>
    <cellStyle name="Normal 2 5 2 3 6 2 3" xfId="5094"/>
    <cellStyle name="Normal 2 5 2 3 6 3" xfId="6502"/>
    <cellStyle name="Normal 2 5 2 3 6 3 2" xfId="11517"/>
    <cellStyle name="Normal 2 5 2 3 6 4" xfId="9228"/>
    <cellStyle name="Normal 2 5 2 3 6 5" xfId="12971"/>
    <cellStyle name="Normal 2 5 2 3 6 6" xfId="7705"/>
    <cellStyle name="Normal 2 5 2 3 6 7" xfId="4159"/>
    <cellStyle name="Normal 2 5 2 3 7" xfId="1194"/>
    <cellStyle name="Normal 2 5 2 3 7 2" xfId="2746"/>
    <cellStyle name="Normal 2 5 2 3 7 2 2" xfId="10403"/>
    <cellStyle name="Normal 2 5 2 3 7 2 3" xfId="5386"/>
    <cellStyle name="Normal 2 5 2 3 7 3" xfId="6784"/>
    <cellStyle name="Normal 2 5 2 3 7 3 2" xfId="11799"/>
    <cellStyle name="Normal 2 5 2 3 7 4" xfId="8649"/>
    <cellStyle name="Normal 2 5 2 3 7 5" xfId="13253"/>
    <cellStyle name="Normal 2 5 2 3 7 6" xfId="7997"/>
    <cellStyle name="Normal 2 5 2 3 7 7" xfId="3576"/>
    <cellStyle name="Normal 2 5 2 3 8" xfId="1593"/>
    <cellStyle name="Normal 2 5 2 3 8 2" xfId="12210"/>
    <cellStyle name="Normal 2 5 2 3 8 3" xfId="9536"/>
    <cellStyle name="Normal 2 5 2 3 8 4" xfId="4518"/>
    <cellStyle name="Normal 2 5 2 3 9" xfId="1520"/>
    <cellStyle name="Normal 2 5 2 3 9 2" xfId="10754"/>
    <cellStyle name="Normal 2 5 2 3 9 3" xfId="5738"/>
    <cellStyle name="Normal 2 5 2 3_Degree data" xfId="2645"/>
    <cellStyle name="Normal 2 5 2 4" xfId="194"/>
    <cellStyle name="Normal 2 5 2 4 10" xfId="7162"/>
    <cellStyle name="Normal 2 5 2 4 11" xfId="3331"/>
    <cellStyle name="Normal 2 5 2 4 2" xfId="376"/>
    <cellStyle name="Normal 2 5 2 4 2 2" xfId="627"/>
    <cellStyle name="Normal 2 5 2 4 2 2 2" xfId="2013"/>
    <cellStyle name="Normal 2 5 2 4 2 2 2 2" xfId="10119"/>
    <cellStyle name="Normal 2 5 2 4 2 2 2 3" xfId="5101"/>
    <cellStyle name="Normal 2 5 2 4 2 2 3" xfId="6160"/>
    <cellStyle name="Normal 2 5 2 4 2 2 3 2" xfId="11176"/>
    <cellStyle name="Normal 2 5 2 4 2 2 4" xfId="9235"/>
    <cellStyle name="Normal 2 5 2 4 2 2 5" xfId="12630"/>
    <cellStyle name="Normal 2 5 2 4 2 2 6" xfId="7712"/>
    <cellStyle name="Normal 2 5 2 4 2 2 7" xfId="4166"/>
    <cellStyle name="Normal 2 5 2 4 2 3" xfId="1036"/>
    <cellStyle name="Normal 2 5 2 4 2 3 2" xfId="2362"/>
    <cellStyle name="Normal 2 5 2 4 2 3 2 2" xfId="10595"/>
    <cellStyle name="Normal 2 5 2 4 2 3 2 3" xfId="5578"/>
    <cellStyle name="Normal 2 5 2 4 2 3 3" xfId="6509"/>
    <cellStyle name="Normal 2 5 2 4 2 3 3 2" xfId="11524"/>
    <cellStyle name="Normal 2 5 2 4 2 3 4" xfId="9002"/>
    <cellStyle name="Normal 2 5 2 4 2 3 5" xfId="12978"/>
    <cellStyle name="Normal 2 5 2 4 2 3 6" xfId="8189"/>
    <cellStyle name="Normal 2 5 2 4 2 3 7" xfId="3933"/>
    <cellStyle name="Normal 2 5 2 4 2 4" xfId="1393"/>
    <cellStyle name="Normal 2 5 2 4 2 4 2" xfId="2951"/>
    <cellStyle name="Normal 2 5 2 4 2 4 2 2" xfId="11991"/>
    <cellStyle name="Normal 2 5 2 4 2 4 2 3" xfId="6976"/>
    <cellStyle name="Normal 2 5 2 4 2 4 3" xfId="13445"/>
    <cellStyle name="Normal 2 5 2 4 2 4 4" xfId="9886"/>
    <cellStyle name="Normal 2 5 2 4 2 4 5" xfId="4868"/>
    <cellStyle name="Normal 2 5 2 4 2 5" xfId="1785"/>
    <cellStyle name="Normal 2 5 2 4 2 5 2" xfId="10948"/>
    <cellStyle name="Normal 2 5 2 4 2 5 3" xfId="5932"/>
    <cellStyle name="Normal 2 5 2 4 2 6" xfId="8509"/>
    <cellStyle name="Normal 2 5 2 4 2 7" xfId="12402"/>
    <cellStyle name="Normal 2 5 2 4 2 8" xfId="7479"/>
    <cellStyle name="Normal 2 5 2 4 2 9" xfId="3431"/>
    <cellStyle name="Normal 2 5 2 4 2_Degree data" xfId="2689"/>
    <cellStyle name="Normal 2 5 2 4 3" xfId="527"/>
    <cellStyle name="Normal 2 5 2 4 3 2" xfId="936"/>
    <cellStyle name="Normal 2 5 2 4 3 2 2" xfId="9786"/>
    <cellStyle name="Normal 2 5 2 4 3 2 3" xfId="4768"/>
    <cellStyle name="Normal 2 5 2 4 3 3" xfId="2012"/>
    <cellStyle name="Normal 2 5 2 4 3 3 2" xfId="11175"/>
    <cellStyle name="Normal 2 5 2 4 3 3 3" xfId="6159"/>
    <cellStyle name="Normal 2 5 2 4 3 4" xfId="8902"/>
    <cellStyle name="Normal 2 5 2 4 3 5" xfId="12629"/>
    <cellStyle name="Normal 2 5 2 4 3 6" xfId="7379"/>
    <cellStyle name="Normal 2 5 2 4 3 7" xfId="3833"/>
    <cellStyle name="Normal 2 5 2 4 4" xfId="800"/>
    <cellStyle name="Normal 2 5 2 4 4 2" xfId="2361"/>
    <cellStyle name="Normal 2 5 2 4 4 2 2" xfId="10118"/>
    <cellStyle name="Normal 2 5 2 4 4 2 3" xfId="5100"/>
    <cellStyle name="Normal 2 5 2 4 4 3" xfId="6508"/>
    <cellStyle name="Normal 2 5 2 4 4 3 2" xfId="11523"/>
    <cellStyle name="Normal 2 5 2 4 4 4" xfId="9234"/>
    <cellStyle name="Normal 2 5 2 4 4 5" xfId="12977"/>
    <cellStyle name="Normal 2 5 2 4 4 6" xfId="7711"/>
    <cellStyle name="Normal 2 5 2 4 4 7" xfId="4165"/>
    <cellStyle name="Normal 2 5 2 4 5" xfId="1292"/>
    <cellStyle name="Normal 2 5 2 4 5 2" xfId="2849"/>
    <cellStyle name="Normal 2 5 2 4 5 2 2" xfId="10495"/>
    <cellStyle name="Normal 2 5 2 4 5 2 3" xfId="5478"/>
    <cellStyle name="Normal 2 5 2 4 5 3" xfId="6876"/>
    <cellStyle name="Normal 2 5 2 4 5 3 2" xfId="11891"/>
    <cellStyle name="Normal 2 5 2 4 5 4" xfId="8683"/>
    <cellStyle name="Normal 2 5 2 4 5 5" xfId="13345"/>
    <cellStyle name="Normal 2 5 2 4 5 6" xfId="8089"/>
    <cellStyle name="Normal 2 5 2 4 5 7" xfId="3612"/>
    <cellStyle name="Normal 2 5 2 4 6" xfId="1685"/>
    <cellStyle name="Normal 2 5 2 4 6 2" xfId="9569"/>
    <cellStyle name="Normal 2 5 2 4 6 3" xfId="4551"/>
    <cellStyle name="Normal 2 5 2 4 7" xfId="5832"/>
    <cellStyle name="Normal 2 5 2 4 7 2" xfId="10848"/>
    <cellStyle name="Normal 2 5 2 4 8" xfId="8409"/>
    <cellStyle name="Normal 2 5 2 4 9" xfId="12302"/>
    <cellStyle name="Normal 2 5 2 4_Degree data" xfId="2690"/>
    <cellStyle name="Normal 2 5 2 5" xfId="230"/>
    <cellStyle name="Normal 2 5 2 5 10" xfId="7216"/>
    <cellStyle name="Normal 2 5 2 5 11" xfId="3280"/>
    <cellStyle name="Normal 2 5 2 5 2" xfId="324"/>
    <cellStyle name="Normal 2 5 2 5 2 2" xfId="681"/>
    <cellStyle name="Normal 2 5 2 5 2 2 2" xfId="2015"/>
    <cellStyle name="Normal 2 5 2 5 2 2 2 2" xfId="10121"/>
    <cellStyle name="Normal 2 5 2 5 2 2 2 3" xfId="5103"/>
    <cellStyle name="Normal 2 5 2 5 2 2 3" xfId="6162"/>
    <cellStyle name="Normal 2 5 2 5 2 2 3 2" xfId="11178"/>
    <cellStyle name="Normal 2 5 2 5 2 2 4" xfId="9237"/>
    <cellStyle name="Normal 2 5 2 5 2 2 5" xfId="12632"/>
    <cellStyle name="Normal 2 5 2 5 2 2 6" xfId="7714"/>
    <cellStyle name="Normal 2 5 2 5 2 2 7" xfId="4168"/>
    <cellStyle name="Normal 2 5 2 5 2 3" xfId="1090"/>
    <cellStyle name="Normal 2 5 2 5 2 3 2" xfId="2364"/>
    <cellStyle name="Normal 2 5 2 5 2 3 2 2" xfId="10649"/>
    <cellStyle name="Normal 2 5 2 5 2 3 2 3" xfId="5632"/>
    <cellStyle name="Normal 2 5 2 5 2 3 3" xfId="6511"/>
    <cellStyle name="Normal 2 5 2 5 2 3 3 2" xfId="11526"/>
    <cellStyle name="Normal 2 5 2 5 2 3 4" xfId="9056"/>
    <cellStyle name="Normal 2 5 2 5 2 3 5" xfId="12980"/>
    <cellStyle name="Normal 2 5 2 5 2 3 6" xfId="8243"/>
    <cellStyle name="Normal 2 5 2 5 2 3 7" xfId="3987"/>
    <cellStyle name="Normal 2 5 2 5 2 4" xfId="1448"/>
    <cellStyle name="Normal 2 5 2 5 2 4 2" xfId="3007"/>
    <cellStyle name="Normal 2 5 2 5 2 4 2 2" xfId="12045"/>
    <cellStyle name="Normal 2 5 2 5 2 4 2 3" xfId="7030"/>
    <cellStyle name="Normal 2 5 2 5 2 4 3" xfId="13499"/>
    <cellStyle name="Normal 2 5 2 5 2 4 4" xfId="9940"/>
    <cellStyle name="Normal 2 5 2 5 2 4 5" xfId="4922"/>
    <cellStyle name="Normal 2 5 2 5 2 5" xfId="1839"/>
    <cellStyle name="Normal 2 5 2 5 2 5 2" xfId="11002"/>
    <cellStyle name="Normal 2 5 2 5 2 5 3" xfId="5986"/>
    <cellStyle name="Normal 2 5 2 5 2 6" xfId="8563"/>
    <cellStyle name="Normal 2 5 2 5 2 7" xfId="12456"/>
    <cellStyle name="Normal 2 5 2 5 2 8" xfId="7533"/>
    <cellStyle name="Normal 2 5 2 5 2 9" xfId="3485"/>
    <cellStyle name="Normal 2 5 2 5 2_Degree data" xfId="2626"/>
    <cellStyle name="Normal 2 5 2 5 3" xfId="476"/>
    <cellStyle name="Normal 2 5 2 5 3 2" xfId="2014"/>
    <cellStyle name="Normal 2 5 2 5 3 2 2" xfId="9735"/>
    <cellStyle name="Normal 2 5 2 5 3 2 3" xfId="4717"/>
    <cellStyle name="Normal 2 5 2 5 3 3" xfId="6161"/>
    <cellStyle name="Normal 2 5 2 5 3 3 2" xfId="11177"/>
    <cellStyle name="Normal 2 5 2 5 3 4" xfId="8851"/>
    <cellStyle name="Normal 2 5 2 5 3 5" xfId="12631"/>
    <cellStyle name="Normal 2 5 2 5 3 6" xfId="7328"/>
    <cellStyle name="Normal 2 5 2 5 3 7" xfId="3782"/>
    <cellStyle name="Normal 2 5 2 5 4" xfId="885"/>
    <cellStyle name="Normal 2 5 2 5 4 2" xfId="2363"/>
    <cellStyle name="Normal 2 5 2 5 4 2 2" xfId="10120"/>
    <cellStyle name="Normal 2 5 2 5 4 2 3" xfId="5102"/>
    <cellStyle name="Normal 2 5 2 5 4 3" xfId="6510"/>
    <cellStyle name="Normal 2 5 2 5 4 3 2" xfId="11525"/>
    <cellStyle name="Normal 2 5 2 5 4 4" xfId="9236"/>
    <cellStyle name="Normal 2 5 2 5 4 5" xfId="12979"/>
    <cellStyle name="Normal 2 5 2 5 4 6" xfId="7713"/>
    <cellStyle name="Normal 2 5 2 5 4 7" xfId="4167"/>
    <cellStyle name="Normal 2 5 2 5 5" xfId="1237"/>
    <cellStyle name="Normal 2 5 2 5 5 2" xfId="2793"/>
    <cellStyle name="Normal 2 5 2 5 5 2 2" xfId="10444"/>
    <cellStyle name="Normal 2 5 2 5 5 2 3" xfId="5427"/>
    <cellStyle name="Normal 2 5 2 5 5 3" xfId="6825"/>
    <cellStyle name="Normal 2 5 2 5 5 3 2" xfId="11840"/>
    <cellStyle name="Normal 2 5 2 5 5 4" xfId="8737"/>
    <cellStyle name="Normal 2 5 2 5 5 5" xfId="13294"/>
    <cellStyle name="Normal 2 5 2 5 5 6" xfId="8038"/>
    <cellStyle name="Normal 2 5 2 5 5 7" xfId="3667"/>
    <cellStyle name="Normal 2 5 2 5 6" xfId="1634"/>
    <cellStyle name="Normal 2 5 2 5 6 2" xfId="9623"/>
    <cellStyle name="Normal 2 5 2 5 6 3" xfId="4605"/>
    <cellStyle name="Normal 2 5 2 5 7" xfId="5781"/>
    <cellStyle name="Normal 2 5 2 5 7 2" xfId="10797"/>
    <cellStyle name="Normal 2 5 2 5 8" xfId="8358"/>
    <cellStyle name="Normal 2 5 2 5 9" xfId="12251"/>
    <cellStyle name="Normal 2 5 2 5_Degree data" xfId="2616"/>
    <cellStyle name="Normal 2 5 2 6" xfId="266"/>
    <cellStyle name="Normal 2 5 2 6 2" xfId="576"/>
    <cellStyle name="Normal 2 5 2 6 2 2" xfId="2016"/>
    <cellStyle name="Normal 2 5 2 6 2 2 2" xfId="10122"/>
    <cellStyle name="Normal 2 5 2 6 2 2 3" xfId="5104"/>
    <cellStyle name="Normal 2 5 2 6 2 3" xfId="6163"/>
    <cellStyle name="Normal 2 5 2 6 2 3 2" xfId="11179"/>
    <cellStyle name="Normal 2 5 2 6 2 4" xfId="9238"/>
    <cellStyle name="Normal 2 5 2 6 2 5" xfId="12633"/>
    <cellStyle name="Normal 2 5 2 6 2 6" xfId="7715"/>
    <cellStyle name="Normal 2 5 2 6 2 7" xfId="4169"/>
    <cellStyle name="Normal 2 5 2 6 3" xfId="985"/>
    <cellStyle name="Normal 2 5 2 6 3 2" xfId="2365"/>
    <cellStyle name="Normal 2 5 2 6 3 2 2" xfId="10544"/>
    <cellStyle name="Normal 2 5 2 6 3 2 3" xfId="5527"/>
    <cellStyle name="Normal 2 5 2 6 3 3" xfId="6512"/>
    <cellStyle name="Normal 2 5 2 6 3 3 2" xfId="11527"/>
    <cellStyle name="Normal 2 5 2 6 3 4" xfId="8951"/>
    <cellStyle name="Normal 2 5 2 6 3 5" xfId="12981"/>
    <cellStyle name="Normal 2 5 2 6 3 6" xfId="8138"/>
    <cellStyle name="Normal 2 5 2 6 3 7" xfId="3882"/>
    <cellStyle name="Normal 2 5 2 6 4" xfId="1341"/>
    <cellStyle name="Normal 2 5 2 6 4 2" xfId="2899"/>
    <cellStyle name="Normal 2 5 2 6 4 2 2" xfId="11940"/>
    <cellStyle name="Normal 2 5 2 6 4 2 3" xfId="6925"/>
    <cellStyle name="Normal 2 5 2 6 4 3" xfId="13394"/>
    <cellStyle name="Normal 2 5 2 6 4 4" xfId="9835"/>
    <cellStyle name="Normal 2 5 2 6 4 5" xfId="4817"/>
    <cellStyle name="Normal 2 5 2 6 5" xfId="1734"/>
    <cellStyle name="Normal 2 5 2 6 5 2" xfId="10897"/>
    <cellStyle name="Normal 2 5 2 6 5 3" xfId="5881"/>
    <cellStyle name="Normal 2 5 2 6 6" xfId="8458"/>
    <cellStyle name="Normal 2 5 2 6 7" xfId="12351"/>
    <cellStyle name="Normal 2 5 2 6 8" xfId="7428"/>
    <cellStyle name="Normal 2 5 2 6 9" xfId="3380"/>
    <cellStyle name="Normal 2 5 2 6_Degree data" xfId="2625"/>
    <cellStyle name="Normal 2 5 2 7" xfId="424"/>
    <cellStyle name="Normal 2 5 2 7 2" xfId="832"/>
    <cellStyle name="Normal 2 5 2 7 2 2" xfId="2017"/>
    <cellStyle name="Normal 2 5 2 7 2 2 2" xfId="10123"/>
    <cellStyle name="Normal 2 5 2 7 2 2 3" xfId="5105"/>
    <cellStyle name="Normal 2 5 2 7 2 3" xfId="6164"/>
    <cellStyle name="Normal 2 5 2 7 2 3 2" xfId="11180"/>
    <cellStyle name="Normal 2 5 2 7 2 4" xfId="9239"/>
    <cellStyle name="Normal 2 5 2 7 2 5" xfId="12634"/>
    <cellStyle name="Normal 2 5 2 7 2 6" xfId="7716"/>
    <cellStyle name="Normal 2 5 2 7 2 7" xfId="4170"/>
    <cellStyle name="Normal 2 5 2 7 3" xfId="1182"/>
    <cellStyle name="Normal 2 5 2 7 3 2" xfId="2366"/>
    <cellStyle name="Normal 2 5 2 7 3 2 2" xfId="10392"/>
    <cellStyle name="Normal 2 5 2 7 3 2 3" xfId="5375"/>
    <cellStyle name="Normal 2 5 2 7 3 3" xfId="6513"/>
    <cellStyle name="Normal 2 5 2 7 3 3 2" xfId="11528"/>
    <cellStyle name="Normal 2 5 2 7 3 4" xfId="8655"/>
    <cellStyle name="Normal 2 5 2 7 3 5" xfId="12982"/>
    <cellStyle name="Normal 2 5 2 7 3 6" xfId="7986"/>
    <cellStyle name="Normal 2 5 2 7 3 7" xfId="3582"/>
    <cellStyle name="Normal 2 5 2 7 4" xfId="2733"/>
    <cellStyle name="Normal 2 5 2 7 4 2" xfId="6773"/>
    <cellStyle name="Normal 2 5 2 7 4 2 2" xfId="11788"/>
    <cellStyle name="Normal 2 5 2 7 4 3" xfId="13242"/>
    <cellStyle name="Normal 2 5 2 7 4 4" xfId="9683"/>
    <cellStyle name="Normal 2 5 2 7 4 5" xfId="4665"/>
    <cellStyle name="Normal 2 5 2 7 5" xfId="1582"/>
    <cellStyle name="Normal 2 5 2 7 5 2" xfId="10743"/>
    <cellStyle name="Normal 2 5 2 7 5 3" xfId="5727"/>
    <cellStyle name="Normal 2 5 2 7 6" xfId="8799"/>
    <cellStyle name="Normal 2 5 2 7 7" xfId="12199"/>
    <cellStyle name="Normal 2 5 2 7 8" xfId="7276"/>
    <cellStyle name="Normal 2 5 2 7 9" xfId="3730"/>
    <cellStyle name="Normal 2 5 2 7_Degree data" xfId="2865"/>
    <cellStyle name="Normal 2 5 2 8" xfId="746"/>
    <cellStyle name="Normal 2 5 2 8 2" xfId="1998"/>
    <cellStyle name="Normal 2 5 2 8 2 2" xfId="10104"/>
    <cellStyle name="Normal 2 5 2 8 2 3" xfId="5086"/>
    <cellStyle name="Normal 2 5 2 8 3" xfId="6145"/>
    <cellStyle name="Normal 2 5 2 8 3 2" xfId="11161"/>
    <cellStyle name="Normal 2 5 2 8 4" xfId="9220"/>
    <cellStyle name="Normal 2 5 2 8 5" xfId="12615"/>
    <cellStyle name="Normal 2 5 2 8 6" xfId="7697"/>
    <cellStyle name="Normal 2 5 2 8 7" xfId="4151"/>
    <cellStyle name="Normal 2 5 2 9" xfId="1150"/>
    <cellStyle name="Normal 2 5 2 9 2" xfId="2347"/>
    <cellStyle name="Normal 2 5 2 9 2 2" xfId="10360"/>
    <cellStyle name="Normal 2 5 2 9 2 3" xfId="5343"/>
    <cellStyle name="Normal 2 5 2 9 3" xfId="6494"/>
    <cellStyle name="Normal 2 5 2 9 3 2" xfId="11509"/>
    <cellStyle name="Normal 2 5 2 9 4" xfId="8631"/>
    <cellStyle name="Normal 2 5 2 9 5" xfId="12963"/>
    <cellStyle name="Normal 2 5 2 9 6" xfId="7954"/>
    <cellStyle name="Normal 2 5 2 9 7" xfId="3555"/>
    <cellStyle name="Normal 2 5 2_Degree data" xfId="2803"/>
    <cellStyle name="Normal 2 5 3" xfId="107"/>
    <cellStyle name="Normal 2 5 3 10" xfId="1554"/>
    <cellStyle name="Normal 2 5 3 10 2" xfId="12171"/>
    <cellStyle name="Normal 2 5 3 10 3" xfId="10715"/>
    <cellStyle name="Normal 2 5 3 10 4" xfId="5699"/>
    <cellStyle name="Normal 2 5 3 11" xfId="1524"/>
    <cellStyle name="Normal 2 5 3 11 2" xfId="8321"/>
    <cellStyle name="Normal 2 5 3 12" xfId="12141"/>
    <cellStyle name="Normal 2 5 3 13" xfId="7103"/>
    <cellStyle name="Normal 2 5 3 14" xfId="3242"/>
    <cellStyle name="Normal 2 5 3 2" xfId="172"/>
    <cellStyle name="Normal 2 5 3 2 10" xfId="12273"/>
    <cellStyle name="Normal 2 5 3 2 11" xfId="7133"/>
    <cellStyle name="Normal 2 5 3 2 12" xfId="3302"/>
    <cellStyle name="Normal 2 5 3 2 2" xfId="346"/>
    <cellStyle name="Normal 2 5 3 2 2 10" xfId="3506"/>
    <cellStyle name="Normal 2 5 3 2 2 2" xfId="702"/>
    <cellStyle name="Normal 2 5 3 2 2 2 2" xfId="2020"/>
    <cellStyle name="Normal 2 5 3 2 2 2 2 2" xfId="9961"/>
    <cellStyle name="Normal 2 5 3 2 2 2 2 3" xfId="4943"/>
    <cellStyle name="Normal 2 5 3 2 2 2 3" xfId="6167"/>
    <cellStyle name="Normal 2 5 3 2 2 2 3 2" xfId="11183"/>
    <cellStyle name="Normal 2 5 3 2 2 2 4" xfId="9077"/>
    <cellStyle name="Normal 2 5 3 2 2 2 5" xfId="12637"/>
    <cellStyle name="Normal 2 5 3 2 2 2 6" xfId="7554"/>
    <cellStyle name="Normal 2 5 3 2 2 2 7" xfId="4008"/>
    <cellStyle name="Normal 2 5 3 2 2 3" xfId="1111"/>
    <cellStyle name="Normal 2 5 3 2 2 3 2" xfId="2369"/>
    <cellStyle name="Normal 2 5 3 2 2 3 2 2" xfId="10126"/>
    <cellStyle name="Normal 2 5 3 2 2 3 2 3" xfId="5108"/>
    <cellStyle name="Normal 2 5 3 2 2 3 3" xfId="6516"/>
    <cellStyle name="Normal 2 5 3 2 2 3 3 2" xfId="11531"/>
    <cellStyle name="Normal 2 5 3 2 2 3 4" xfId="9242"/>
    <cellStyle name="Normal 2 5 3 2 2 3 5" xfId="12985"/>
    <cellStyle name="Normal 2 5 3 2 2 3 6" xfId="7719"/>
    <cellStyle name="Normal 2 5 3 2 2 3 7" xfId="4173"/>
    <cellStyle name="Normal 2 5 3 2 2 4" xfId="1469"/>
    <cellStyle name="Normal 2 5 3 2 2 4 2" xfId="3028"/>
    <cellStyle name="Normal 2 5 3 2 2 4 2 2" xfId="10670"/>
    <cellStyle name="Normal 2 5 3 2 2 4 2 3" xfId="5653"/>
    <cellStyle name="Normal 2 5 3 2 2 4 3" xfId="7051"/>
    <cellStyle name="Normal 2 5 3 2 2 4 3 2" xfId="12066"/>
    <cellStyle name="Normal 2 5 3 2 2 4 4" xfId="8758"/>
    <cellStyle name="Normal 2 5 3 2 2 4 5" xfId="13520"/>
    <cellStyle name="Normal 2 5 3 2 2 4 6" xfId="8264"/>
    <cellStyle name="Normal 2 5 3 2 2 4 7" xfId="3688"/>
    <cellStyle name="Normal 2 5 3 2 2 5" xfId="1860"/>
    <cellStyle name="Normal 2 5 3 2 2 5 2" xfId="9644"/>
    <cellStyle name="Normal 2 5 3 2 2 5 3" xfId="4626"/>
    <cellStyle name="Normal 2 5 3 2 2 6" xfId="6007"/>
    <cellStyle name="Normal 2 5 3 2 2 6 2" xfId="11023"/>
    <cellStyle name="Normal 2 5 3 2 2 7" xfId="8584"/>
    <cellStyle name="Normal 2 5 3 2 2 8" xfId="12477"/>
    <cellStyle name="Normal 2 5 3 2 2 9" xfId="7237"/>
    <cellStyle name="Normal 2 5 3 2 2_Degree data" xfId="2684"/>
    <cellStyle name="Normal 2 5 3 2 3" xfId="598"/>
    <cellStyle name="Normal 2 5 3 2 3 2" xfId="1007"/>
    <cellStyle name="Normal 2 5 3 2 3 2 2" xfId="2021"/>
    <cellStyle name="Normal 2 5 3 2 3 2 2 2" xfId="10127"/>
    <cellStyle name="Normal 2 5 3 2 3 2 2 3" xfId="5109"/>
    <cellStyle name="Normal 2 5 3 2 3 2 3" xfId="6168"/>
    <cellStyle name="Normal 2 5 3 2 3 2 3 2" xfId="11184"/>
    <cellStyle name="Normal 2 5 3 2 3 2 4" xfId="9243"/>
    <cellStyle name="Normal 2 5 3 2 3 2 5" xfId="12638"/>
    <cellStyle name="Normal 2 5 3 2 3 2 6" xfId="7720"/>
    <cellStyle name="Normal 2 5 3 2 3 2 7" xfId="4174"/>
    <cellStyle name="Normal 2 5 3 2 3 3" xfId="1363"/>
    <cellStyle name="Normal 2 5 3 2 3 3 2" xfId="2370"/>
    <cellStyle name="Normal 2 5 3 2 3 3 2 2" xfId="10566"/>
    <cellStyle name="Normal 2 5 3 2 3 3 2 3" xfId="5549"/>
    <cellStyle name="Normal 2 5 3 2 3 3 3" xfId="6517"/>
    <cellStyle name="Normal 2 5 3 2 3 3 3 2" xfId="11532"/>
    <cellStyle name="Normal 2 5 3 2 3 3 4" xfId="8973"/>
    <cellStyle name="Normal 2 5 3 2 3 3 5" xfId="12986"/>
    <cellStyle name="Normal 2 5 3 2 3 3 6" xfId="8160"/>
    <cellStyle name="Normal 2 5 3 2 3 3 7" xfId="3904"/>
    <cellStyle name="Normal 2 5 3 2 3 4" xfId="2921"/>
    <cellStyle name="Normal 2 5 3 2 3 4 2" xfId="6947"/>
    <cellStyle name="Normal 2 5 3 2 3 4 2 2" xfId="11962"/>
    <cellStyle name="Normal 2 5 3 2 3 4 3" xfId="13416"/>
    <cellStyle name="Normal 2 5 3 2 3 4 4" xfId="9857"/>
    <cellStyle name="Normal 2 5 3 2 3 4 5" xfId="4839"/>
    <cellStyle name="Normal 2 5 3 2 3 5" xfId="1756"/>
    <cellStyle name="Normal 2 5 3 2 3 5 2" xfId="10919"/>
    <cellStyle name="Normal 2 5 3 2 3 5 3" xfId="5903"/>
    <cellStyle name="Normal 2 5 3 2 3 6" xfId="8480"/>
    <cellStyle name="Normal 2 5 3 2 3 7" xfId="12373"/>
    <cellStyle name="Normal 2 5 3 2 3 8" xfId="7450"/>
    <cellStyle name="Normal 2 5 3 2 3 9" xfId="3402"/>
    <cellStyle name="Normal 2 5 3 2 3_Degree data" xfId="2624"/>
    <cellStyle name="Normal 2 5 3 2 4" xfId="498"/>
    <cellStyle name="Normal 2 5 3 2 4 2" xfId="907"/>
    <cellStyle name="Normal 2 5 3 2 4 2 2" xfId="9757"/>
    <cellStyle name="Normal 2 5 3 2 4 2 3" xfId="4739"/>
    <cellStyle name="Normal 2 5 3 2 4 3" xfId="2019"/>
    <cellStyle name="Normal 2 5 3 2 4 3 2" xfId="11182"/>
    <cellStyle name="Normal 2 5 3 2 4 3 3" xfId="6166"/>
    <cellStyle name="Normal 2 5 3 2 4 4" xfId="8873"/>
    <cellStyle name="Normal 2 5 3 2 4 5" xfId="12636"/>
    <cellStyle name="Normal 2 5 3 2 4 6" xfId="7350"/>
    <cellStyle name="Normal 2 5 3 2 4 7" xfId="3804"/>
    <cellStyle name="Normal 2 5 3 2 5" xfId="774"/>
    <cellStyle name="Normal 2 5 3 2 5 2" xfId="2368"/>
    <cellStyle name="Normal 2 5 3 2 5 2 2" xfId="10125"/>
    <cellStyle name="Normal 2 5 3 2 5 2 3" xfId="5107"/>
    <cellStyle name="Normal 2 5 3 2 5 3" xfId="6515"/>
    <cellStyle name="Normal 2 5 3 2 5 3 2" xfId="11530"/>
    <cellStyle name="Normal 2 5 3 2 5 4" xfId="9241"/>
    <cellStyle name="Normal 2 5 3 2 5 5" xfId="12984"/>
    <cellStyle name="Normal 2 5 3 2 5 6" xfId="7718"/>
    <cellStyle name="Normal 2 5 3 2 5 7" xfId="4172"/>
    <cellStyle name="Normal 2 5 3 2 6" xfId="1262"/>
    <cellStyle name="Normal 2 5 3 2 6 2" xfId="2818"/>
    <cellStyle name="Normal 2 5 3 2 6 2 2" xfId="10466"/>
    <cellStyle name="Normal 2 5 3 2 6 2 3" xfId="5449"/>
    <cellStyle name="Normal 2 5 3 2 6 3" xfId="6847"/>
    <cellStyle name="Normal 2 5 3 2 6 3 2" xfId="11862"/>
    <cellStyle name="Normal 2 5 3 2 6 4" xfId="8653"/>
    <cellStyle name="Normal 2 5 3 2 6 5" xfId="13316"/>
    <cellStyle name="Normal 2 5 3 2 6 6" xfId="8060"/>
    <cellStyle name="Normal 2 5 3 2 6 7" xfId="3580"/>
    <cellStyle name="Normal 2 5 3 2 7" xfId="1656"/>
    <cellStyle name="Normal 2 5 3 2 7 2" xfId="9540"/>
    <cellStyle name="Normal 2 5 3 2 7 3" xfId="4522"/>
    <cellStyle name="Normal 2 5 3 2 8" xfId="5803"/>
    <cellStyle name="Normal 2 5 3 2 8 2" xfId="10819"/>
    <cellStyle name="Normal 2 5 3 2 9" xfId="8380"/>
    <cellStyle name="Normal 2 5 3 2_Degree data" xfId="2752"/>
    <cellStyle name="Normal 2 5 3 3" xfId="198"/>
    <cellStyle name="Normal 2 5 3 3 10" xfId="7176"/>
    <cellStyle name="Normal 2 5 3 3 11" xfId="3345"/>
    <cellStyle name="Normal 2 5 3 3 2" xfId="390"/>
    <cellStyle name="Normal 2 5 3 3 2 2" xfId="641"/>
    <cellStyle name="Normal 2 5 3 3 2 2 2" xfId="2023"/>
    <cellStyle name="Normal 2 5 3 3 2 2 2 2" xfId="10129"/>
    <cellStyle name="Normal 2 5 3 3 2 2 2 3" xfId="5111"/>
    <cellStyle name="Normal 2 5 3 3 2 2 3" xfId="6170"/>
    <cellStyle name="Normal 2 5 3 3 2 2 3 2" xfId="11186"/>
    <cellStyle name="Normal 2 5 3 3 2 2 4" xfId="9245"/>
    <cellStyle name="Normal 2 5 3 3 2 2 5" xfId="12640"/>
    <cellStyle name="Normal 2 5 3 3 2 2 6" xfId="7722"/>
    <cellStyle name="Normal 2 5 3 3 2 2 7" xfId="4176"/>
    <cellStyle name="Normal 2 5 3 3 2 3" xfId="1050"/>
    <cellStyle name="Normal 2 5 3 3 2 3 2" xfId="2372"/>
    <cellStyle name="Normal 2 5 3 3 2 3 2 2" xfId="10609"/>
    <cellStyle name="Normal 2 5 3 3 2 3 2 3" xfId="5592"/>
    <cellStyle name="Normal 2 5 3 3 2 3 3" xfId="6519"/>
    <cellStyle name="Normal 2 5 3 3 2 3 3 2" xfId="11534"/>
    <cellStyle name="Normal 2 5 3 3 2 3 4" xfId="9016"/>
    <cellStyle name="Normal 2 5 3 3 2 3 5" xfId="12988"/>
    <cellStyle name="Normal 2 5 3 3 2 3 6" xfId="8203"/>
    <cellStyle name="Normal 2 5 3 3 2 3 7" xfId="3947"/>
    <cellStyle name="Normal 2 5 3 3 2 4" xfId="1407"/>
    <cellStyle name="Normal 2 5 3 3 2 4 2" xfId="2965"/>
    <cellStyle name="Normal 2 5 3 3 2 4 2 2" xfId="12005"/>
    <cellStyle name="Normal 2 5 3 3 2 4 2 3" xfId="6990"/>
    <cellStyle name="Normal 2 5 3 3 2 4 3" xfId="13459"/>
    <cellStyle name="Normal 2 5 3 3 2 4 4" xfId="9900"/>
    <cellStyle name="Normal 2 5 3 3 2 4 5" xfId="4882"/>
    <cellStyle name="Normal 2 5 3 3 2 5" xfId="1799"/>
    <cellStyle name="Normal 2 5 3 3 2 5 2" xfId="10962"/>
    <cellStyle name="Normal 2 5 3 3 2 5 3" xfId="5946"/>
    <cellStyle name="Normal 2 5 3 3 2 6" xfId="8523"/>
    <cellStyle name="Normal 2 5 3 3 2 7" xfId="12416"/>
    <cellStyle name="Normal 2 5 3 3 2 8" xfId="7493"/>
    <cellStyle name="Normal 2 5 3 3 2 9" xfId="3445"/>
    <cellStyle name="Normal 2 5 3 3 2_Degree data" xfId="2614"/>
    <cellStyle name="Normal 2 5 3 3 3" xfId="541"/>
    <cellStyle name="Normal 2 5 3 3 3 2" xfId="950"/>
    <cellStyle name="Normal 2 5 3 3 3 2 2" xfId="9800"/>
    <cellStyle name="Normal 2 5 3 3 3 2 3" xfId="4782"/>
    <cellStyle name="Normal 2 5 3 3 3 3" xfId="2022"/>
    <cellStyle name="Normal 2 5 3 3 3 3 2" xfId="11185"/>
    <cellStyle name="Normal 2 5 3 3 3 3 3" xfId="6169"/>
    <cellStyle name="Normal 2 5 3 3 3 4" xfId="8916"/>
    <cellStyle name="Normal 2 5 3 3 3 5" xfId="12639"/>
    <cellStyle name="Normal 2 5 3 3 3 6" xfId="7393"/>
    <cellStyle name="Normal 2 5 3 3 3 7" xfId="3847"/>
    <cellStyle name="Normal 2 5 3 3 4" xfId="804"/>
    <cellStyle name="Normal 2 5 3 3 4 2" xfId="2371"/>
    <cellStyle name="Normal 2 5 3 3 4 2 2" xfId="10128"/>
    <cellStyle name="Normal 2 5 3 3 4 2 3" xfId="5110"/>
    <cellStyle name="Normal 2 5 3 3 4 3" xfId="6518"/>
    <cellStyle name="Normal 2 5 3 3 4 3 2" xfId="11533"/>
    <cellStyle name="Normal 2 5 3 3 4 4" xfId="9244"/>
    <cellStyle name="Normal 2 5 3 3 4 5" xfId="12987"/>
    <cellStyle name="Normal 2 5 3 3 4 6" xfId="7721"/>
    <cellStyle name="Normal 2 5 3 3 4 7" xfId="4175"/>
    <cellStyle name="Normal 2 5 3 3 5" xfId="1306"/>
    <cellStyle name="Normal 2 5 3 3 5 2" xfId="2863"/>
    <cellStyle name="Normal 2 5 3 3 5 2 2" xfId="10509"/>
    <cellStyle name="Normal 2 5 3 3 5 2 3" xfId="5492"/>
    <cellStyle name="Normal 2 5 3 3 5 3" xfId="6890"/>
    <cellStyle name="Normal 2 5 3 3 5 3 2" xfId="11905"/>
    <cellStyle name="Normal 2 5 3 3 5 4" xfId="8697"/>
    <cellStyle name="Normal 2 5 3 3 5 5" xfId="13359"/>
    <cellStyle name="Normal 2 5 3 3 5 6" xfId="8103"/>
    <cellStyle name="Normal 2 5 3 3 5 7" xfId="3626"/>
    <cellStyle name="Normal 2 5 3 3 6" xfId="1699"/>
    <cellStyle name="Normal 2 5 3 3 6 2" xfId="9583"/>
    <cellStyle name="Normal 2 5 3 3 6 3" xfId="4565"/>
    <cellStyle name="Normal 2 5 3 3 7" xfId="5846"/>
    <cellStyle name="Normal 2 5 3 3 7 2" xfId="10862"/>
    <cellStyle name="Normal 2 5 3 3 8" xfId="8423"/>
    <cellStyle name="Normal 2 5 3 3 9" xfId="12316"/>
    <cellStyle name="Normal 2 5 3 3_Degree data" xfId="2615"/>
    <cellStyle name="Normal 2 5 3 4" xfId="234"/>
    <cellStyle name="Normal 2 5 3 4 10" xfId="7208"/>
    <cellStyle name="Normal 2 5 3 4 11" xfId="3272"/>
    <cellStyle name="Normal 2 5 3 4 2" xfId="316"/>
    <cellStyle name="Normal 2 5 3 4 2 2" xfId="673"/>
    <cellStyle name="Normal 2 5 3 4 2 2 2" xfId="2025"/>
    <cellStyle name="Normal 2 5 3 4 2 2 2 2" xfId="10131"/>
    <cellStyle name="Normal 2 5 3 4 2 2 2 3" xfId="5113"/>
    <cellStyle name="Normal 2 5 3 4 2 2 3" xfId="6172"/>
    <cellStyle name="Normal 2 5 3 4 2 2 3 2" xfId="11188"/>
    <cellStyle name="Normal 2 5 3 4 2 2 4" xfId="9247"/>
    <cellStyle name="Normal 2 5 3 4 2 2 5" xfId="12642"/>
    <cellStyle name="Normal 2 5 3 4 2 2 6" xfId="7724"/>
    <cellStyle name="Normal 2 5 3 4 2 2 7" xfId="4178"/>
    <cellStyle name="Normal 2 5 3 4 2 3" xfId="1082"/>
    <cellStyle name="Normal 2 5 3 4 2 3 2" xfId="2374"/>
    <cellStyle name="Normal 2 5 3 4 2 3 2 2" xfId="10641"/>
    <cellStyle name="Normal 2 5 3 4 2 3 2 3" xfId="5624"/>
    <cellStyle name="Normal 2 5 3 4 2 3 3" xfId="6521"/>
    <cellStyle name="Normal 2 5 3 4 2 3 3 2" xfId="11536"/>
    <cellStyle name="Normal 2 5 3 4 2 3 4" xfId="9048"/>
    <cellStyle name="Normal 2 5 3 4 2 3 5" xfId="12990"/>
    <cellStyle name="Normal 2 5 3 4 2 3 6" xfId="8235"/>
    <cellStyle name="Normal 2 5 3 4 2 3 7" xfId="3979"/>
    <cellStyle name="Normal 2 5 3 4 2 4" xfId="1440"/>
    <cellStyle name="Normal 2 5 3 4 2 4 2" xfId="2999"/>
    <cellStyle name="Normal 2 5 3 4 2 4 2 2" xfId="12037"/>
    <cellStyle name="Normal 2 5 3 4 2 4 2 3" xfId="7022"/>
    <cellStyle name="Normal 2 5 3 4 2 4 3" xfId="13491"/>
    <cellStyle name="Normal 2 5 3 4 2 4 4" xfId="9932"/>
    <cellStyle name="Normal 2 5 3 4 2 4 5" xfId="4914"/>
    <cellStyle name="Normal 2 5 3 4 2 5" xfId="1831"/>
    <cellStyle name="Normal 2 5 3 4 2 5 2" xfId="10994"/>
    <cellStyle name="Normal 2 5 3 4 2 5 3" xfId="5978"/>
    <cellStyle name="Normal 2 5 3 4 2 6" xfId="8555"/>
    <cellStyle name="Normal 2 5 3 4 2 7" xfId="12448"/>
    <cellStyle name="Normal 2 5 3 4 2 8" xfId="7525"/>
    <cellStyle name="Normal 2 5 3 4 2 9" xfId="3477"/>
    <cellStyle name="Normal 2 5 3 4 2_Degree data" xfId="2612"/>
    <cellStyle name="Normal 2 5 3 4 3" xfId="468"/>
    <cellStyle name="Normal 2 5 3 4 3 2" xfId="2024"/>
    <cellStyle name="Normal 2 5 3 4 3 2 2" xfId="9727"/>
    <cellStyle name="Normal 2 5 3 4 3 2 3" xfId="4709"/>
    <cellStyle name="Normal 2 5 3 4 3 3" xfId="6171"/>
    <cellStyle name="Normal 2 5 3 4 3 3 2" xfId="11187"/>
    <cellStyle name="Normal 2 5 3 4 3 4" xfId="8843"/>
    <cellStyle name="Normal 2 5 3 4 3 5" xfId="12641"/>
    <cellStyle name="Normal 2 5 3 4 3 6" xfId="7320"/>
    <cellStyle name="Normal 2 5 3 4 3 7" xfId="3774"/>
    <cellStyle name="Normal 2 5 3 4 4" xfId="877"/>
    <cellStyle name="Normal 2 5 3 4 4 2" xfId="2373"/>
    <cellStyle name="Normal 2 5 3 4 4 2 2" xfId="10130"/>
    <cellStyle name="Normal 2 5 3 4 4 2 3" xfId="5112"/>
    <cellStyle name="Normal 2 5 3 4 4 3" xfId="6520"/>
    <cellStyle name="Normal 2 5 3 4 4 3 2" xfId="11535"/>
    <cellStyle name="Normal 2 5 3 4 4 4" xfId="9246"/>
    <cellStyle name="Normal 2 5 3 4 4 5" xfId="12989"/>
    <cellStyle name="Normal 2 5 3 4 4 6" xfId="7723"/>
    <cellStyle name="Normal 2 5 3 4 4 7" xfId="4177"/>
    <cellStyle name="Normal 2 5 3 4 5" xfId="1229"/>
    <cellStyle name="Normal 2 5 3 4 5 2" xfId="2785"/>
    <cellStyle name="Normal 2 5 3 4 5 2 2" xfId="10436"/>
    <cellStyle name="Normal 2 5 3 4 5 2 3" xfId="5419"/>
    <cellStyle name="Normal 2 5 3 4 5 3" xfId="6817"/>
    <cellStyle name="Normal 2 5 3 4 5 3 2" xfId="11832"/>
    <cellStyle name="Normal 2 5 3 4 5 4" xfId="8729"/>
    <cellStyle name="Normal 2 5 3 4 5 5" xfId="13286"/>
    <cellStyle name="Normal 2 5 3 4 5 6" xfId="8030"/>
    <cellStyle name="Normal 2 5 3 4 5 7" xfId="3659"/>
    <cellStyle name="Normal 2 5 3 4 6" xfId="1626"/>
    <cellStyle name="Normal 2 5 3 4 6 2" xfId="9615"/>
    <cellStyle name="Normal 2 5 3 4 6 3" xfId="4597"/>
    <cellStyle name="Normal 2 5 3 4 7" xfId="5773"/>
    <cellStyle name="Normal 2 5 3 4 7 2" xfId="10789"/>
    <cellStyle name="Normal 2 5 3 4 8" xfId="8350"/>
    <cellStyle name="Normal 2 5 3 4 9" xfId="12243"/>
    <cellStyle name="Normal 2 5 3 4_Degree data" xfId="2613"/>
    <cellStyle name="Normal 2 5 3 5" xfId="283"/>
    <cellStyle name="Normal 2 5 3 5 2" xfId="568"/>
    <cellStyle name="Normal 2 5 3 5 2 2" xfId="2026"/>
    <cellStyle name="Normal 2 5 3 5 2 2 2" xfId="10132"/>
    <cellStyle name="Normal 2 5 3 5 2 2 3" xfId="5114"/>
    <cellStyle name="Normal 2 5 3 5 2 3" xfId="6173"/>
    <cellStyle name="Normal 2 5 3 5 2 3 2" xfId="11189"/>
    <cellStyle name="Normal 2 5 3 5 2 4" xfId="9248"/>
    <cellStyle name="Normal 2 5 3 5 2 5" xfId="12643"/>
    <cellStyle name="Normal 2 5 3 5 2 6" xfId="7725"/>
    <cellStyle name="Normal 2 5 3 5 2 7" xfId="4179"/>
    <cellStyle name="Normal 2 5 3 5 3" xfId="977"/>
    <cellStyle name="Normal 2 5 3 5 3 2" xfId="2375"/>
    <cellStyle name="Normal 2 5 3 5 3 2 2" xfId="10536"/>
    <cellStyle name="Normal 2 5 3 5 3 2 3" xfId="5519"/>
    <cellStyle name="Normal 2 5 3 5 3 3" xfId="6522"/>
    <cellStyle name="Normal 2 5 3 5 3 3 2" xfId="11537"/>
    <cellStyle name="Normal 2 5 3 5 3 4" xfId="8943"/>
    <cellStyle name="Normal 2 5 3 5 3 5" xfId="12991"/>
    <cellStyle name="Normal 2 5 3 5 3 6" xfId="8130"/>
    <cellStyle name="Normal 2 5 3 5 3 7" xfId="3874"/>
    <cellStyle name="Normal 2 5 3 5 4" xfId="1333"/>
    <cellStyle name="Normal 2 5 3 5 4 2" xfId="2891"/>
    <cellStyle name="Normal 2 5 3 5 4 2 2" xfId="11932"/>
    <cellStyle name="Normal 2 5 3 5 4 2 3" xfId="6917"/>
    <cellStyle name="Normal 2 5 3 5 4 3" xfId="13386"/>
    <cellStyle name="Normal 2 5 3 5 4 4" xfId="9827"/>
    <cellStyle name="Normal 2 5 3 5 4 5" xfId="4809"/>
    <cellStyle name="Normal 2 5 3 5 5" xfId="1726"/>
    <cellStyle name="Normal 2 5 3 5 5 2" xfId="10889"/>
    <cellStyle name="Normal 2 5 3 5 5 3" xfId="5873"/>
    <cellStyle name="Normal 2 5 3 5 6" xfId="8450"/>
    <cellStyle name="Normal 2 5 3 5 7" xfId="12343"/>
    <cellStyle name="Normal 2 5 3 5 8" xfId="7420"/>
    <cellStyle name="Normal 2 5 3 5 9" xfId="3372"/>
    <cellStyle name="Normal 2 5 3 5_Degree data" xfId="2611"/>
    <cellStyle name="Normal 2 5 3 6" xfId="439"/>
    <cellStyle name="Normal 2 5 3 6 2" xfId="847"/>
    <cellStyle name="Normal 2 5 3 6 2 2" xfId="2027"/>
    <cellStyle name="Normal 2 5 3 6 2 2 2" xfId="10133"/>
    <cellStyle name="Normal 2 5 3 6 2 2 3" xfId="5115"/>
    <cellStyle name="Normal 2 5 3 6 2 3" xfId="6174"/>
    <cellStyle name="Normal 2 5 3 6 2 3 2" xfId="11190"/>
    <cellStyle name="Normal 2 5 3 6 2 4" xfId="9249"/>
    <cellStyle name="Normal 2 5 3 6 2 5" xfId="12644"/>
    <cellStyle name="Normal 2 5 3 6 2 6" xfId="7726"/>
    <cellStyle name="Normal 2 5 3 6 2 7" xfId="4180"/>
    <cellStyle name="Normal 2 5 3 6 3" xfId="1198"/>
    <cellStyle name="Normal 2 5 3 6 3 2" xfId="2376"/>
    <cellStyle name="Normal 2 5 3 6 3 2 2" xfId="10407"/>
    <cellStyle name="Normal 2 5 3 6 3 2 3" xfId="5390"/>
    <cellStyle name="Normal 2 5 3 6 3 3" xfId="6523"/>
    <cellStyle name="Normal 2 5 3 6 3 3 2" xfId="11538"/>
    <cellStyle name="Normal 2 5 3 6 3 4" xfId="9484"/>
    <cellStyle name="Normal 2 5 3 6 3 5" xfId="12992"/>
    <cellStyle name="Normal 2 5 3 6 3 6" xfId="8001"/>
    <cellStyle name="Normal 2 5 3 6 3 7" xfId="4466"/>
    <cellStyle name="Normal 2 5 3 6 4" xfId="2750"/>
    <cellStyle name="Normal 2 5 3 6 4 2" xfId="6788"/>
    <cellStyle name="Normal 2 5 3 6 4 2 2" xfId="11803"/>
    <cellStyle name="Normal 2 5 3 6 4 3" xfId="13257"/>
    <cellStyle name="Normal 2 5 3 6 4 4" xfId="9698"/>
    <cellStyle name="Normal 2 5 3 6 4 5" xfId="4680"/>
    <cellStyle name="Normal 2 5 3 6 5" xfId="1597"/>
    <cellStyle name="Normal 2 5 3 6 5 2" xfId="10758"/>
    <cellStyle name="Normal 2 5 3 6 5 3" xfId="5742"/>
    <cellStyle name="Normal 2 5 3 6 6" xfId="8814"/>
    <cellStyle name="Normal 2 5 3 6 7" xfId="12214"/>
    <cellStyle name="Normal 2 5 3 6 8" xfId="7291"/>
    <cellStyle name="Normal 2 5 3 6 9" xfId="3745"/>
    <cellStyle name="Normal 2 5 3 6_Degree data" xfId="2610"/>
    <cellStyle name="Normal 2 5 3 7" xfId="750"/>
    <cellStyle name="Normal 2 5 3 7 2" xfId="2018"/>
    <cellStyle name="Normal 2 5 3 7 2 2" xfId="10124"/>
    <cellStyle name="Normal 2 5 3 7 2 3" xfId="5106"/>
    <cellStyle name="Normal 2 5 3 7 3" xfId="6165"/>
    <cellStyle name="Normal 2 5 3 7 3 2" xfId="11181"/>
    <cellStyle name="Normal 2 5 3 7 4" xfId="9240"/>
    <cellStyle name="Normal 2 5 3 7 5" xfId="12635"/>
    <cellStyle name="Normal 2 5 3 7 6" xfId="7717"/>
    <cellStyle name="Normal 2 5 3 7 7" xfId="4171"/>
    <cellStyle name="Normal 2 5 3 8" xfId="1154"/>
    <cellStyle name="Normal 2 5 3 8 2" xfId="2367"/>
    <cellStyle name="Normal 2 5 3 8 2 2" xfId="10364"/>
    <cellStyle name="Normal 2 5 3 8 2 3" xfId="5347"/>
    <cellStyle name="Normal 2 5 3 8 3" xfId="6514"/>
    <cellStyle name="Normal 2 5 3 8 3 2" xfId="11529"/>
    <cellStyle name="Normal 2 5 3 8 4" xfId="8623"/>
    <cellStyle name="Normal 2 5 3 8 5" xfId="12983"/>
    <cellStyle name="Normal 2 5 3 8 6" xfId="7958"/>
    <cellStyle name="Normal 2 5 3 8 7" xfId="3547"/>
    <cellStyle name="Normal 2 5 3 9" xfId="2679"/>
    <cellStyle name="Normal 2 5 3 9 2" xfId="6745"/>
    <cellStyle name="Normal 2 5 3 9 2 2" xfId="11760"/>
    <cellStyle name="Normal 2 5 3 9 3" xfId="13214"/>
    <cellStyle name="Normal 2 5 3 9 4" xfId="9509"/>
    <cellStyle name="Normal 2 5 3 9 5" xfId="4491"/>
    <cellStyle name="Normal 2 5 3_Degree data" xfId="2984"/>
    <cellStyle name="Normal 2 5 4" xfId="154"/>
    <cellStyle name="Normal 2 5 4 10" xfId="1570"/>
    <cellStyle name="Normal 2 5 4 10 2" xfId="12187"/>
    <cellStyle name="Normal 2 5 4 10 3" xfId="10731"/>
    <cellStyle name="Normal 2 5 4 10 4" xfId="5715"/>
    <cellStyle name="Normal 2 5 4 11" xfId="1540"/>
    <cellStyle name="Normal 2 5 4 11 2" xfId="8339"/>
    <cellStyle name="Normal 2 5 4 12" xfId="12157"/>
    <cellStyle name="Normal 2 5 4 13" xfId="7116"/>
    <cellStyle name="Normal 2 5 4 14" xfId="3261"/>
    <cellStyle name="Normal 2 5 4 2" xfId="214"/>
    <cellStyle name="Normal 2 5 4 2 10" xfId="12289"/>
    <cellStyle name="Normal 2 5 4 2 11" xfId="7149"/>
    <cellStyle name="Normal 2 5 4 2 12" xfId="3318"/>
    <cellStyle name="Normal 2 5 4 2 2" xfId="363"/>
    <cellStyle name="Normal 2 5 4 2 2 10" xfId="3522"/>
    <cellStyle name="Normal 2 5 4 2 2 2" xfId="718"/>
    <cellStyle name="Normal 2 5 4 2 2 2 2" xfId="2030"/>
    <cellStyle name="Normal 2 5 4 2 2 2 2 2" xfId="9977"/>
    <cellStyle name="Normal 2 5 4 2 2 2 2 3" xfId="4959"/>
    <cellStyle name="Normal 2 5 4 2 2 2 3" xfId="6177"/>
    <cellStyle name="Normal 2 5 4 2 2 2 3 2" xfId="11193"/>
    <cellStyle name="Normal 2 5 4 2 2 2 4" xfId="9093"/>
    <cellStyle name="Normal 2 5 4 2 2 2 5" xfId="12647"/>
    <cellStyle name="Normal 2 5 4 2 2 2 6" xfId="7570"/>
    <cellStyle name="Normal 2 5 4 2 2 2 7" xfId="4024"/>
    <cellStyle name="Normal 2 5 4 2 2 3" xfId="1127"/>
    <cellStyle name="Normal 2 5 4 2 2 3 2" xfId="2379"/>
    <cellStyle name="Normal 2 5 4 2 2 3 2 2" xfId="10136"/>
    <cellStyle name="Normal 2 5 4 2 2 3 2 3" xfId="5118"/>
    <cellStyle name="Normal 2 5 4 2 2 3 3" xfId="6526"/>
    <cellStyle name="Normal 2 5 4 2 2 3 3 2" xfId="11541"/>
    <cellStyle name="Normal 2 5 4 2 2 3 4" xfId="9252"/>
    <cellStyle name="Normal 2 5 4 2 2 3 5" xfId="12995"/>
    <cellStyle name="Normal 2 5 4 2 2 3 6" xfId="7729"/>
    <cellStyle name="Normal 2 5 4 2 2 3 7" xfId="4183"/>
    <cellStyle name="Normal 2 5 4 2 2 4" xfId="1485"/>
    <cellStyle name="Normal 2 5 4 2 2 4 2" xfId="3044"/>
    <cellStyle name="Normal 2 5 4 2 2 4 2 2" xfId="10686"/>
    <cellStyle name="Normal 2 5 4 2 2 4 2 3" xfId="5669"/>
    <cellStyle name="Normal 2 5 4 2 2 4 3" xfId="7067"/>
    <cellStyle name="Normal 2 5 4 2 2 4 3 2" xfId="12082"/>
    <cellStyle name="Normal 2 5 4 2 2 4 4" xfId="8774"/>
    <cellStyle name="Normal 2 5 4 2 2 4 5" xfId="13536"/>
    <cellStyle name="Normal 2 5 4 2 2 4 6" xfId="8280"/>
    <cellStyle name="Normal 2 5 4 2 2 4 7" xfId="3704"/>
    <cellStyle name="Normal 2 5 4 2 2 5" xfId="1876"/>
    <cellStyle name="Normal 2 5 4 2 2 5 2" xfId="9660"/>
    <cellStyle name="Normal 2 5 4 2 2 5 3" xfId="4642"/>
    <cellStyle name="Normal 2 5 4 2 2 6" xfId="6023"/>
    <cellStyle name="Normal 2 5 4 2 2 6 2" xfId="11039"/>
    <cellStyle name="Normal 2 5 4 2 2 7" xfId="8600"/>
    <cellStyle name="Normal 2 5 4 2 2 8" xfId="12493"/>
    <cellStyle name="Normal 2 5 4 2 2 9" xfId="7253"/>
    <cellStyle name="Normal 2 5 4 2 2_Degree data" xfId="2607"/>
    <cellStyle name="Normal 2 5 4 2 3" xfId="614"/>
    <cellStyle name="Normal 2 5 4 2 3 2" xfId="1023"/>
    <cellStyle name="Normal 2 5 4 2 3 2 2" xfId="2031"/>
    <cellStyle name="Normal 2 5 4 2 3 2 2 2" xfId="10137"/>
    <cellStyle name="Normal 2 5 4 2 3 2 2 3" xfId="5119"/>
    <cellStyle name="Normal 2 5 4 2 3 2 3" xfId="6178"/>
    <cellStyle name="Normal 2 5 4 2 3 2 3 2" xfId="11194"/>
    <cellStyle name="Normal 2 5 4 2 3 2 4" xfId="9253"/>
    <cellStyle name="Normal 2 5 4 2 3 2 5" xfId="12648"/>
    <cellStyle name="Normal 2 5 4 2 3 2 6" xfId="7730"/>
    <cellStyle name="Normal 2 5 4 2 3 2 7" xfId="4184"/>
    <cellStyle name="Normal 2 5 4 2 3 3" xfId="1379"/>
    <cellStyle name="Normal 2 5 4 2 3 3 2" xfId="2380"/>
    <cellStyle name="Normal 2 5 4 2 3 3 2 2" xfId="10582"/>
    <cellStyle name="Normal 2 5 4 2 3 3 2 3" xfId="5565"/>
    <cellStyle name="Normal 2 5 4 2 3 3 3" xfId="6527"/>
    <cellStyle name="Normal 2 5 4 2 3 3 3 2" xfId="11542"/>
    <cellStyle name="Normal 2 5 4 2 3 3 4" xfId="8989"/>
    <cellStyle name="Normal 2 5 4 2 3 3 5" xfId="12996"/>
    <cellStyle name="Normal 2 5 4 2 3 3 6" xfId="8176"/>
    <cellStyle name="Normal 2 5 4 2 3 3 7" xfId="3920"/>
    <cellStyle name="Normal 2 5 4 2 3 4" xfId="2937"/>
    <cellStyle name="Normal 2 5 4 2 3 4 2" xfId="6963"/>
    <cellStyle name="Normal 2 5 4 2 3 4 2 2" xfId="11978"/>
    <cellStyle name="Normal 2 5 4 2 3 4 3" xfId="13432"/>
    <cellStyle name="Normal 2 5 4 2 3 4 4" xfId="9873"/>
    <cellStyle name="Normal 2 5 4 2 3 4 5" xfId="4855"/>
    <cellStyle name="Normal 2 5 4 2 3 5" xfId="1772"/>
    <cellStyle name="Normal 2 5 4 2 3 5 2" xfId="10935"/>
    <cellStyle name="Normal 2 5 4 2 3 5 3" xfId="5919"/>
    <cellStyle name="Normal 2 5 4 2 3 6" xfId="8496"/>
    <cellStyle name="Normal 2 5 4 2 3 7" xfId="12389"/>
    <cellStyle name="Normal 2 5 4 2 3 8" xfId="7466"/>
    <cellStyle name="Normal 2 5 4 2 3 9" xfId="3418"/>
    <cellStyle name="Normal 2 5 4 2 3_Degree data" xfId="2657"/>
    <cellStyle name="Normal 2 5 4 2 4" xfId="514"/>
    <cellStyle name="Normal 2 5 4 2 4 2" xfId="923"/>
    <cellStyle name="Normal 2 5 4 2 4 2 2" xfId="9773"/>
    <cellStyle name="Normal 2 5 4 2 4 2 3" xfId="4755"/>
    <cellStyle name="Normal 2 5 4 2 4 3" xfId="2029"/>
    <cellStyle name="Normal 2 5 4 2 4 3 2" xfId="11192"/>
    <cellStyle name="Normal 2 5 4 2 4 3 3" xfId="6176"/>
    <cellStyle name="Normal 2 5 4 2 4 4" xfId="8889"/>
    <cellStyle name="Normal 2 5 4 2 4 5" xfId="12646"/>
    <cellStyle name="Normal 2 5 4 2 4 6" xfId="7366"/>
    <cellStyle name="Normal 2 5 4 2 4 7" xfId="3820"/>
    <cellStyle name="Normal 2 5 4 2 5" xfId="790"/>
    <cellStyle name="Normal 2 5 4 2 5 2" xfId="2378"/>
    <cellStyle name="Normal 2 5 4 2 5 2 2" xfId="10135"/>
    <cellStyle name="Normal 2 5 4 2 5 2 3" xfId="5117"/>
    <cellStyle name="Normal 2 5 4 2 5 3" xfId="6525"/>
    <cellStyle name="Normal 2 5 4 2 5 3 2" xfId="11540"/>
    <cellStyle name="Normal 2 5 4 2 5 4" xfId="9251"/>
    <cellStyle name="Normal 2 5 4 2 5 5" xfId="12994"/>
    <cellStyle name="Normal 2 5 4 2 5 6" xfId="7728"/>
    <cellStyle name="Normal 2 5 4 2 5 7" xfId="4182"/>
    <cellStyle name="Normal 2 5 4 2 6" xfId="1278"/>
    <cellStyle name="Normal 2 5 4 2 6 2" xfId="2835"/>
    <cellStyle name="Normal 2 5 4 2 6 2 2" xfId="10482"/>
    <cellStyle name="Normal 2 5 4 2 6 2 3" xfId="5465"/>
    <cellStyle name="Normal 2 5 4 2 6 3" xfId="6863"/>
    <cellStyle name="Normal 2 5 4 2 6 3 2" xfId="11878"/>
    <cellStyle name="Normal 2 5 4 2 6 4" xfId="8670"/>
    <cellStyle name="Normal 2 5 4 2 6 5" xfId="13332"/>
    <cellStyle name="Normal 2 5 4 2 6 6" xfId="8076"/>
    <cellStyle name="Normal 2 5 4 2 6 7" xfId="3597"/>
    <cellStyle name="Normal 2 5 4 2 7" xfId="1672"/>
    <cellStyle name="Normal 2 5 4 2 7 2" xfId="9556"/>
    <cellStyle name="Normal 2 5 4 2 7 3" xfId="4538"/>
    <cellStyle name="Normal 2 5 4 2 8" xfId="5819"/>
    <cellStyle name="Normal 2 5 4 2 8 2" xfId="10835"/>
    <cellStyle name="Normal 2 5 4 2 9" xfId="8396"/>
    <cellStyle name="Normal 2 5 4 2_Degree data" xfId="2608"/>
    <cellStyle name="Normal 2 5 4 3" xfId="250"/>
    <cellStyle name="Normal 2 5 4 3 10" xfId="7192"/>
    <cellStyle name="Normal 2 5 4 3 11" xfId="3361"/>
    <cellStyle name="Normal 2 5 4 3 2" xfId="407"/>
    <cellStyle name="Normal 2 5 4 3 2 2" xfId="657"/>
    <cellStyle name="Normal 2 5 4 3 2 2 2" xfId="2033"/>
    <cellStyle name="Normal 2 5 4 3 2 2 2 2" xfId="10139"/>
    <cellStyle name="Normal 2 5 4 3 2 2 2 3" xfId="5121"/>
    <cellStyle name="Normal 2 5 4 3 2 2 3" xfId="6180"/>
    <cellStyle name="Normal 2 5 4 3 2 2 3 2" xfId="11196"/>
    <cellStyle name="Normal 2 5 4 3 2 2 4" xfId="9255"/>
    <cellStyle name="Normal 2 5 4 3 2 2 5" xfId="12650"/>
    <cellStyle name="Normal 2 5 4 3 2 2 6" xfId="7732"/>
    <cellStyle name="Normal 2 5 4 3 2 2 7" xfId="4186"/>
    <cellStyle name="Normal 2 5 4 3 2 3" xfId="1066"/>
    <cellStyle name="Normal 2 5 4 3 2 3 2" xfId="2382"/>
    <cellStyle name="Normal 2 5 4 3 2 3 2 2" xfId="10625"/>
    <cellStyle name="Normal 2 5 4 3 2 3 2 3" xfId="5608"/>
    <cellStyle name="Normal 2 5 4 3 2 3 3" xfId="6529"/>
    <cellStyle name="Normal 2 5 4 3 2 3 3 2" xfId="11544"/>
    <cellStyle name="Normal 2 5 4 3 2 3 4" xfId="9032"/>
    <cellStyle name="Normal 2 5 4 3 2 3 5" xfId="12998"/>
    <cellStyle name="Normal 2 5 4 3 2 3 6" xfId="8219"/>
    <cellStyle name="Normal 2 5 4 3 2 3 7" xfId="3963"/>
    <cellStyle name="Normal 2 5 4 3 2 4" xfId="1424"/>
    <cellStyle name="Normal 2 5 4 3 2 4 2" xfId="2982"/>
    <cellStyle name="Normal 2 5 4 3 2 4 2 2" xfId="12021"/>
    <cellStyle name="Normal 2 5 4 3 2 4 2 3" xfId="7006"/>
    <cellStyle name="Normal 2 5 4 3 2 4 3" xfId="13475"/>
    <cellStyle name="Normal 2 5 4 3 2 4 4" xfId="9916"/>
    <cellStyle name="Normal 2 5 4 3 2 4 5" xfId="4898"/>
    <cellStyle name="Normal 2 5 4 3 2 5" xfId="1815"/>
    <cellStyle name="Normal 2 5 4 3 2 5 2" xfId="10978"/>
    <cellStyle name="Normal 2 5 4 3 2 5 3" xfId="5962"/>
    <cellStyle name="Normal 2 5 4 3 2 6" xfId="8539"/>
    <cellStyle name="Normal 2 5 4 3 2 7" xfId="12432"/>
    <cellStyle name="Normal 2 5 4 3 2 8" xfId="7509"/>
    <cellStyle name="Normal 2 5 4 3 2 9" xfId="3461"/>
    <cellStyle name="Normal 2 5 4 3 2_Degree data" xfId="2712"/>
    <cellStyle name="Normal 2 5 4 3 3" xfId="557"/>
    <cellStyle name="Normal 2 5 4 3 3 2" xfId="966"/>
    <cellStyle name="Normal 2 5 4 3 3 2 2" xfId="9816"/>
    <cellStyle name="Normal 2 5 4 3 3 2 3" xfId="4798"/>
    <cellStyle name="Normal 2 5 4 3 3 3" xfId="2032"/>
    <cellStyle name="Normal 2 5 4 3 3 3 2" xfId="11195"/>
    <cellStyle name="Normal 2 5 4 3 3 3 3" xfId="6179"/>
    <cellStyle name="Normal 2 5 4 3 3 4" xfId="8932"/>
    <cellStyle name="Normal 2 5 4 3 3 5" xfId="12649"/>
    <cellStyle name="Normal 2 5 4 3 3 6" xfId="7409"/>
    <cellStyle name="Normal 2 5 4 3 3 7" xfId="3863"/>
    <cellStyle name="Normal 2 5 4 3 4" xfId="820"/>
    <cellStyle name="Normal 2 5 4 3 4 2" xfId="2381"/>
    <cellStyle name="Normal 2 5 4 3 4 2 2" xfId="10138"/>
    <cellStyle name="Normal 2 5 4 3 4 2 3" xfId="5120"/>
    <cellStyle name="Normal 2 5 4 3 4 3" xfId="6528"/>
    <cellStyle name="Normal 2 5 4 3 4 3 2" xfId="11543"/>
    <cellStyle name="Normal 2 5 4 3 4 4" xfId="9254"/>
    <cellStyle name="Normal 2 5 4 3 4 5" xfId="12997"/>
    <cellStyle name="Normal 2 5 4 3 4 6" xfId="7731"/>
    <cellStyle name="Normal 2 5 4 3 4 7" xfId="4185"/>
    <cellStyle name="Normal 2 5 4 3 5" xfId="1322"/>
    <cellStyle name="Normal 2 5 4 3 5 2" xfId="2880"/>
    <cellStyle name="Normal 2 5 4 3 5 2 2" xfId="10525"/>
    <cellStyle name="Normal 2 5 4 3 5 2 3" xfId="5508"/>
    <cellStyle name="Normal 2 5 4 3 5 3" xfId="6906"/>
    <cellStyle name="Normal 2 5 4 3 5 3 2" xfId="11921"/>
    <cellStyle name="Normal 2 5 4 3 5 4" xfId="8713"/>
    <cellStyle name="Normal 2 5 4 3 5 5" xfId="13375"/>
    <cellStyle name="Normal 2 5 4 3 5 6" xfId="8119"/>
    <cellStyle name="Normal 2 5 4 3 5 7" xfId="3643"/>
    <cellStyle name="Normal 2 5 4 3 6" xfId="1715"/>
    <cellStyle name="Normal 2 5 4 3 6 2" xfId="9599"/>
    <cellStyle name="Normal 2 5 4 3 6 3" xfId="4581"/>
    <cellStyle name="Normal 2 5 4 3 7" xfId="5862"/>
    <cellStyle name="Normal 2 5 4 3 7 2" xfId="10878"/>
    <cellStyle name="Normal 2 5 4 3 8" xfId="8439"/>
    <cellStyle name="Normal 2 5 4 3 9" xfId="12332"/>
    <cellStyle name="Normal 2 5 4 3_Degree data" xfId="3056"/>
    <cellStyle name="Normal 2 5 4 4" xfId="329"/>
    <cellStyle name="Normal 2 5 4 4 10" xfId="7221"/>
    <cellStyle name="Normal 2 5 4 4 11" xfId="3285"/>
    <cellStyle name="Normal 2 5 4 4 2" xfId="686"/>
    <cellStyle name="Normal 2 5 4 4 2 2" xfId="1095"/>
    <cellStyle name="Normal 2 5 4 4 2 2 2" xfId="2035"/>
    <cellStyle name="Normal 2 5 4 4 2 2 2 2" xfId="10141"/>
    <cellStyle name="Normal 2 5 4 4 2 2 2 3" xfId="5123"/>
    <cellStyle name="Normal 2 5 4 4 2 2 3" xfId="6182"/>
    <cellStyle name="Normal 2 5 4 4 2 2 3 2" xfId="11198"/>
    <cellStyle name="Normal 2 5 4 4 2 2 4" xfId="9257"/>
    <cellStyle name="Normal 2 5 4 4 2 2 5" xfId="12652"/>
    <cellStyle name="Normal 2 5 4 4 2 2 6" xfId="7734"/>
    <cellStyle name="Normal 2 5 4 4 2 2 7" xfId="4188"/>
    <cellStyle name="Normal 2 5 4 4 2 3" xfId="1453"/>
    <cellStyle name="Normal 2 5 4 4 2 3 2" xfId="2384"/>
    <cellStyle name="Normal 2 5 4 4 2 3 2 2" xfId="10654"/>
    <cellStyle name="Normal 2 5 4 4 2 3 2 3" xfId="5637"/>
    <cellStyle name="Normal 2 5 4 4 2 3 3" xfId="6531"/>
    <cellStyle name="Normal 2 5 4 4 2 3 3 2" xfId="11546"/>
    <cellStyle name="Normal 2 5 4 4 2 3 4" xfId="9061"/>
    <cellStyle name="Normal 2 5 4 4 2 3 5" xfId="13000"/>
    <cellStyle name="Normal 2 5 4 4 2 3 6" xfId="8248"/>
    <cellStyle name="Normal 2 5 4 4 2 3 7" xfId="3992"/>
    <cellStyle name="Normal 2 5 4 4 2 4" xfId="3012"/>
    <cellStyle name="Normal 2 5 4 4 2 4 2" xfId="7035"/>
    <cellStyle name="Normal 2 5 4 4 2 4 2 2" xfId="12050"/>
    <cellStyle name="Normal 2 5 4 4 2 4 3" xfId="13504"/>
    <cellStyle name="Normal 2 5 4 4 2 4 4" xfId="9945"/>
    <cellStyle name="Normal 2 5 4 4 2 4 5" xfId="4927"/>
    <cellStyle name="Normal 2 5 4 4 2 5" xfId="1844"/>
    <cellStyle name="Normal 2 5 4 4 2 5 2" xfId="11007"/>
    <cellStyle name="Normal 2 5 4 4 2 5 3" xfId="5991"/>
    <cellStyle name="Normal 2 5 4 4 2 6" xfId="8568"/>
    <cellStyle name="Normal 2 5 4 4 2 7" xfId="12461"/>
    <cellStyle name="Normal 2 5 4 4 2 8" xfId="7538"/>
    <cellStyle name="Normal 2 5 4 4 2 9" xfId="3490"/>
    <cellStyle name="Normal 2 5 4 4 2_Degree data" xfId="2606"/>
    <cellStyle name="Normal 2 5 4 4 3" xfId="481"/>
    <cellStyle name="Normal 2 5 4 4 3 2" xfId="2034"/>
    <cellStyle name="Normal 2 5 4 4 3 2 2" xfId="9740"/>
    <cellStyle name="Normal 2 5 4 4 3 2 3" xfId="4722"/>
    <cellStyle name="Normal 2 5 4 4 3 3" xfId="6181"/>
    <cellStyle name="Normal 2 5 4 4 3 3 2" xfId="11197"/>
    <cellStyle name="Normal 2 5 4 4 3 4" xfId="8856"/>
    <cellStyle name="Normal 2 5 4 4 3 5" xfId="12651"/>
    <cellStyle name="Normal 2 5 4 4 3 6" xfId="7333"/>
    <cellStyle name="Normal 2 5 4 4 3 7" xfId="3787"/>
    <cellStyle name="Normal 2 5 4 4 4" xfId="890"/>
    <cellStyle name="Normal 2 5 4 4 4 2" xfId="2383"/>
    <cellStyle name="Normal 2 5 4 4 4 2 2" xfId="10140"/>
    <cellStyle name="Normal 2 5 4 4 4 2 3" xfId="5122"/>
    <cellStyle name="Normal 2 5 4 4 4 3" xfId="6530"/>
    <cellStyle name="Normal 2 5 4 4 4 3 2" xfId="11545"/>
    <cellStyle name="Normal 2 5 4 4 4 4" xfId="9256"/>
    <cellStyle name="Normal 2 5 4 4 4 5" xfId="12999"/>
    <cellStyle name="Normal 2 5 4 4 4 6" xfId="7733"/>
    <cellStyle name="Normal 2 5 4 4 4 7" xfId="4187"/>
    <cellStyle name="Normal 2 5 4 4 5" xfId="1242"/>
    <cellStyle name="Normal 2 5 4 4 5 2" xfId="2798"/>
    <cellStyle name="Normal 2 5 4 4 5 2 2" xfId="10449"/>
    <cellStyle name="Normal 2 5 4 4 5 2 3" xfId="5432"/>
    <cellStyle name="Normal 2 5 4 4 5 3" xfId="6830"/>
    <cellStyle name="Normal 2 5 4 4 5 3 2" xfId="11845"/>
    <cellStyle name="Normal 2 5 4 4 5 4" xfId="8742"/>
    <cellStyle name="Normal 2 5 4 4 5 5" xfId="13299"/>
    <cellStyle name="Normal 2 5 4 4 5 6" xfId="8043"/>
    <cellStyle name="Normal 2 5 4 4 5 7" xfId="3672"/>
    <cellStyle name="Normal 2 5 4 4 6" xfId="1639"/>
    <cellStyle name="Normal 2 5 4 4 6 2" xfId="9628"/>
    <cellStyle name="Normal 2 5 4 4 6 3" xfId="4610"/>
    <cellStyle name="Normal 2 5 4 4 7" xfId="5786"/>
    <cellStyle name="Normal 2 5 4 4 7 2" xfId="10802"/>
    <cellStyle name="Normal 2 5 4 4 8" xfId="8363"/>
    <cellStyle name="Normal 2 5 4 4 9" xfId="12256"/>
    <cellStyle name="Normal 2 5 4 4_Degree data" xfId="2642"/>
    <cellStyle name="Normal 2 5 4 5" xfId="303"/>
    <cellStyle name="Normal 2 5 4 5 2" xfId="581"/>
    <cellStyle name="Normal 2 5 4 5 2 2" xfId="2036"/>
    <cellStyle name="Normal 2 5 4 5 2 2 2" xfId="10142"/>
    <cellStyle name="Normal 2 5 4 5 2 2 3" xfId="5124"/>
    <cellStyle name="Normal 2 5 4 5 2 3" xfId="6183"/>
    <cellStyle name="Normal 2 5 4 5 2 3 2" xfId="11199"/>
    <cellStyle name="Normal 2 5 4 5 2 4" xfId="9258"/>
    <cellStyle name="Normal 2 5 4 5 2 5" xfId="12653"/>
    <cellStyle name="Normal 2 5 4 5 2 6" xfId="7735"/>
    <cellStyle name="Normal 2 5 4 5 2 7" xfId="4189"/>
    <cellStyle name="Normal 2 5 4 5 3" xfId="990"/>
    <cellStyle name="Normal 2 5 4 5 3 2" xfId="2385"/>
    <cellStyle name="Normal 2 5 4 5 3 2 2" xfId="10549"/>
    <cellStyle name="Normal 2 5 4 5 3 2 3" xfId="5532"/>
    <cellStyle name="Normal 2 5 4 5 3 3" xfId="6532"/>
    <cellStyle name="Normal 2 5 4 5 3 3 2" xfId="11547"/>
    <cellStyle name="Normal 2 5 4 5 3 4" xfId="8956"/>
    <cellStyle name="Normal 2 5 4 5 3 5" xfId="13001"/>
    <cellStyle name="Normal 2 5 4 5 3 6" xfId="8143"/>
    <cellStyle name="Normal 2 5 4 5 3 7" xfId="3887"/>
    <cellStyle name="Normal 2 5 4 5 4" xfId="1346"/>
    <cellStyle name="Normal 2 5 4 5 4 2" xfId="2904"/>
    <cellStyle name="Normal 2 5 4 5 4 2 2" xfId="11945"/>
    <cellStyle name="Normal 2 5 4 5 4 2 3" xfId="6930"/>
    <cellStyle name="Normal 2 5 4 5 4 3" xfId="13399"/>
    <cellStyle name="Normal 2 5 4 5 4 4" xfId="9840"/>
    <cellStyle name="Normal 2 5 4 5 4 5" xfId="4822"/>
    <cellStyle name="Normal 2 5 4 5 5" xfId="1739"/>
    <cellStyle name="Normal 2 5 4 5 5 2" xfId="10902"/>
    <cellStyle name="Normal 2 5 4 5 5 3" xfId="5886"/>
    <cellStyle name="Normal 2 5 4 5 6" xfId="8463"/>
    <cellStyle name="Normal 2 5 4 5 7" xfId="12356"/>
    <cellStyle name="Normal 2 5 4 5 8" xfId="7433"/>
    <cellStyle name="Normal 2 5 4 5 9" xfId="3385"/>
    <cellStyle name="Normal 2 5 4 5_Degree data" xfId="2693"/>
    <cellStyle name="Normal 2 5 4 6" xfId="457"/>
    <cellStyle name="Normal 2 5 4 6 2" xfId="866"/>
    <cellStyle name="Normal 2 5 4 6 2 2" xfId="2037"/>
    <cellStyle name="Normal 2 5 4 6 2 2 2" xfId="10143"/>
    <cellStyle name="Normal 2 5 4 6 2 2 3" xfId="5125"/>
    <cellStyle name="Normal 2 5 4 6 2 3" xfId="6184"/>
    <cellStyle name="Normal 2 5 4 6 2 3 2" xfId="11200"/>
    <cellStyle name="Normal 2 5 4 6 2 4" xfId="9259"/>
    <cellStyle name="Normal 2 5 4 6 2 5" xfId="12654"/>
    <cellStyle name="Normal 2 5 4 6 2 6" xfId="7736"/>
    <cellStyle name="Normal 2 5 4 6 2 7" xfId="4190"/>
    <cellStyle name="Normal 2 5 4 6 3" xfId="1216"/>
    <cellStyle name="Normal 2 5 4 6 3 2" xfId="2386"/>
    <cellStyle name="Normal 2 5 4 6 3 2 2" xfId="10425"/>
    <cellStyle name="Normal 2 5 4 6 3 2 3" xfId="5408"/>
    <cellStyle name="Normal 2 5 4 6 3 3" xfId="6533"/>
    <cellStyle name="Normal 2 5 4 6 3 3 2" xfId="11548"/>
    <cellStyle name="Normal 2 5 4 6 3 4" xfId="9486"/>
    <cellStyle name="Normal 2 5 4 6 3 5" xfId="13002"/>
    <cellStyle name="Normal 2 5 4 6 3 6" xfId="8019"/>
    <cellStyle name="Normal 2 5 4 6 3 7" xfId="4468"/>
    <cellStyle name="Normal 2 5 4 6 4" xfId="2770"/>
    <cellStyle name="Normal 2 5 4 6 4 2" xfId="6806"/>
    <cellStyle name="Normal 2 5 4 6 4 2 2" xfId="11821"/>
    <cellStyle name="Normal 2 5 4 6 4 3" xfId="13275"/>
    <cellStyle name="Normal 2 5 4 6 4 4" xfId="9716"/>
    <cellStyle name="Normal 2 5 4 6 4 5" xfId="4698"/>
    <cellStyle name="Normal 2 5 4 6 5" xfId="1615"/>
    <cellStyle name="Normal 2 5 4 6 5 2" xfId="10776"/>
    <cellStyle name="Normal 2 5 4 6 5 3" xfId="5760"/>
    <cellStyle name="Normal 2 5 4 6 6" xfId="8832"/>
    <cellStyle name="Normal 2 5 4 6 7" xfId="12232"/>
    <cellStyle name="Normal 2 5 4 6 8" xfId="7309"/>
    <cellStyle name="Normal 2 5 4 6 9" xfId="3763"/>
    <cellStyle name="Normal 2 5 4 6_Degree data" xfId="2605"/>
    <cellStyle name="Normal 2 5 4 7" xfId="738"/>
    <cellStyle name="Normal 2 5 4 7 2" xfId="2028"/>
    <cellStyle name="Normal 2 5 4 7 2 2" xfId="10134"/>
    <cellStyle name="Normal 2 5 4 7 2 3" xfId="5116"/>
    <cellStyle name="Normal 2 5 4 7 3" xfId="6175"/>
    <cellStyle name="Normal 2 5 4 7 3 2" xfId="11191"/>
    <cellStyle name="Normal 2 5 4 7 4" xfId="9250"/>
    <cellStyle name="Normal 2 5 4 7 5" xfId="12645"/>
    <cellStyle name="Normal 2 5 4 7 6" xfId="7727"/>
    <cellStyle name="Normal 2 5 4 7 7" xfId="4181"/>
    <cellStyle name="Normal 2 5 4 8" xfId="1170"/>
    <cellStyle name="Normal 2 5 4 8 2" xfId="2377"/>
    <cellStyle name="Normal 2 5 4 8 2 2" xfId="10380"/>
    <cellStyle name="Normal 2 5 4 8 2 3" xfId="5363"/>
    <cellStyle name="Normal 2 5 4 8 3" xfId="6524"/>
    <cellStyle name="Normal 2 5 4 8 3 2" xfId="11539"/>
    <cellStyle name="Normal 2 5 4 8 4" xfId="8636"/>
    <cellStyle name="Normal 2 5 4 8 5" xfId="12993"/>
    <cellStyle name="Normal 2 5 4 8 6" xfId="7974"/>
    <cellStyle name="Normal 2 5 4 8 7" xfId="3560"/>
    <cellStyle name="Normal 2 5 4 9" xfId="2721"/>
    <cellStyle name="Normal 2 5 4 9 2" xfId="6761"/>
    <cellStyle name="Normal 2 5 4 9 2 2" xfId="11776"/>
    <cellStyle name="Normal 2 5 4 9 3" xfId="13230"/>
    <cellStyle name="Normal 2 5 4 9 4" xfId="9523"/>
    <cellStyle name="Normal 2 5 4 9 5" xfId="4505"/>
    <cellStyle name="Normal 2 5 4_Degree data" xfId="2609"/>
    <cellStyle name="Normal 2 5 5" xfId="163"/>
    <cellStyle name="Normal 2 5 5 10" xfId="8309"/>
    <cellStyle name="Normal 2 5 5 11" xfId="12129"/>
    <cellStyle name="Normal 2 5 5 12" xfId="7121"/>
    <cellStyle name="Normal 2 5 5 13" xfId="3230"/>
    <cellStyle name="Normal 2 5 5 2" xfId="378"/>
    <cellStyle name="Normal 2 5 5 2 10" xfId="7164"/>
    <cellStyle name="Normal 2 5 5 2 11" xfId="3333"/>
    <cellStyle name="Normal 2 5 5 2 2" xfId="629"/>
    <cellStyle name="Normal 2 5 5 2 2 2" xfId="1038"/>
    <cellStyle name="Normal 2 5 5 2 2 2 2" xfId="2040"/>
    <cellStyle name="Normal 2 5 5 2 2 2 2 2" xfId="10146"/>
    <cellStyle name="Normal 2 5 5 2 2 2 2 3" xfId="5128"/>
    <cellStyle name="Normal 2 5 5 2 2 2 3" xfId="6187"/>
    <cellStyle name="Normal 2 5 5 2 2 2 3 2" xfId="11203"/>
    <cellStyle name="Normal 2 5 5 2 2 2 4" xfId="9262"/>
    <cellStyle name="Normal 2 5 5 2 2 2 5" xfId="12657"/>
    <cellStyle name="Normal 2 5 5 2 2 2 6" xfId="7739"/>
    <cellStyle name="Normal 2 5 5 2 2 2 7" xfId="4193"/>
    <cellStyle name="Normal 2 5 5 2 2 3" xfId="1395"/>
    <cellStyle name="Normal 2 5 5 2 2 3 2" xfId="2389"/>
    <cellStyle name="Normal 2 5 5 2 2 3 2 2" xfId="10597"/>
    <cellStyle name="Normal 2 5 5 2 2 3 2 3" xfId="5580"/>
    <cellStyle name="Normal 2 5 5 2 2 3 3" xfId="6536"/>
    <cellStyle name="Normal 2 5 5 2 2 3 3 2" xfId="11551"/>
    <cellStyle name="Normal 2 5 5 2 2 3 4" xfId="9004"/>
    <cellStyle name="Normal 2 5 5 2 2 3 5" xfId="13005"/>
    <cellStyle name="Normal 2 5 5 2 2 3 6" xfId="8191"/>
    <cellStyle name="Normal 2 5 5 2 2 3 7" xfId="3935"/>
    <cellStyle name="Normal 2 5 5 2 2 4" xfId="2953"/>
    <cellStyle name="Normal 2 5 5 2 2 4 2" xfId="6978"/>
    <cellStyle name="Normal 2 5 5 2 2 4 2 2" xfId="11993"/>
    <cellStyle name="Normal 2 5 5 2 2 4 3" xfId="13447"/>
    <cellStyle name="Normal 2 5 5 2 2 4 4" xfId="9888"/>
    <cellStyle name="Normal 2 5 5 2 2 4 5" xfId="4870"/>
    <cellStyle name="Normal 2 5 5 2 2 5" xfId="1787"/>
    <cellStyle name="Normal 2 5 5 2 2 5 2" xfId="10950"/>
    <cellStyle name="Normal 2 5 5 2 2 5 3" xfId="5934"/>
    <cellStyle name="Normal 2 5 5 2 2 6" xfId="8511"/>
    <cellStyle name="Normal 2 5 5 2 2 7" xfId="12404"/>
    <cellStyle name="Normal 2 5 5 2 2 8" xfId="7481"/>
    <cellStyle name="Normal 2 5 5 2 2 9" xfId="3433"/>
    <cellStyle name="Normal 2 5 5 2 2_Degree data" xfId="2602"/>
    <cellStyle name="Normal 2 5 5 2 3" xfId="529"/>
    <cellStyle name="Normal 2 5 5 2 3 2" xfId="2039"/>
    <cellStyle name="Normal 2 5 5 2 3 2 2" xfId="9788"/>
    <cellStyle name="Normal 2 5 5 2 3 2 3" xfId="4770"/>
    <cellStyle name="Normal 2 5 5 2 3 3" xfId="6186"/>
    <cellStyle name="Normal 2 5 5 2 3 3 2" xfId="11202"/>
    <cellStyle name="Normal 2 5 5 2 3 4" xfId="8904"/>
    <cellStyle name="Normal 2 5 5 2 3 5" xfId="12656"/>
    <cellStyle name="Normal 2 5 5 2 3 6" xfId="7381"/>
    <cellStyle name="Normal 2 5 5 2 3 7" xfId="3835"/>
    <cellStyle name="Normal 2 5 5 2 4" xfId="938"/>
    <cellStyle name="Normal 2 5 5 2 4 2" xfId="2388"/>
    <cellStyle name="Normal 2 5 5 2 4 2 2" xfId="10145"/>
    <cellStyle name="Normal 2 5 5 2 4 2 3" xfId="5127"/>
    <cellStyle name="Normal 2 5 5 2 4 3" xfId="6535"/>
    <cellStyle name="Normal 2 5 5 2 4 3 2" xfId="11550"/>
    <cellStyle name="Normal 2 5 5 2 4 4" xfId="9261"/>
    <cellStyle name="Normal 2 5 5 2 4 5" xfId="13004"/>
    <cellStyle name="Normal 2 5 5 2 4 6" xfId="7738"/>
    <cellStyle name="Normal 2 5 5 2 4 7" xfId="4192"/>
    <cellStyle name="Normal 2 5 5 2 5" xfId="1294"/>
    <cellStyle name="Normal 2 5 5 2 5 2" xfId="2851"/>
    <cellStyle name="Normal 2 5 5 2 5 2 2" xfId="10497"/>
    <cellStyle name="Normal 2 5 5 2 5 2 3" xfId="5480"/>
    <cellStyle name="Normal 2 5 5 2 5 3" xfId="6878"/>
    <cellStyle name="Normal 2 5 5 2 5 3 2" xfId="11893"/>
    <cellStyle name="Normal 2 5 5 2 5 4" xfId="8685"/>
    <cellStyle name="Normal 2 5 5 2 5 5" xfId="13347"/>
    <cellStyle name="Normal 2 5 5 2 5 6" xfId="8091"/>
    <cellStyle name="Normal 2 5 5 2 5 7" xfId="3614"/>
    <cellStyle name="Normal 2 5 5 2 6" xfId="1687"/>
    <cellStyle name="Normal 2 5 5 2 6 2" xfId="9571"/>
    <cellStyle name="Normal 2 5 5 2 6 3" xfId="4553"/>
    <cellStyle name="Normal 2 5 5 2 7" xfId="5834"/>
    <cellStyle name="Normal 2 5 5 2 7 2" xfId="10850"/>
    <cellStyle name="Normal 2 5 5 2 8" xfId="8411"/>
    <cellStyle name="Normal 2 5 5 2 9" xfId="12304"/>
    <cellStyle name="Normal 2 5 5 2_Degree data" xfId="2603"/>
    <cellStyle name="Normal 2 5 5 3" xfId="334"/>
    <cellStyle name="Normal 2 5 5 3 10" xfId="7226"/>
    <cellStyle name="Normal 2 5 5 3 11" xfId="3290"/>
    <cellStyle name="Normal 2 5 5 3 2" xfId="691"/>
    <cellStyle name="Normal 2 5 5 3 2 2" xfId="1100"/>
    <cellStyle name="Normal 2 5 5 3 2 2 2" xfId="2042"/>
    <cellStyle name="Normal 2 5 5 3 2 2 2 2" xfId="10148"/>
    <cellStyle name="Normal 2 5 5 3 2 2 2 3" xfId="5130"/>
    <cellStyle name="Normal 2 5 5 3 2 2 3" xfId="6189"/>
    <cellStyle name="Normal 2 5 5 3 2 2 3 2" xfId="11205"/>
    <cellStyle name="Normal 2 5 5 3 2 2 4" xfId="9264"/>
    <cellStyle name="Normal 2 5 5 3 2 2 5" xfId="12659"/>
    <cellStyle name="Normal 2 5 5 3 2 2 6" xfId="7741"/>
    <cellStyle name="Normal 2 5 5 3 2 2 7" xfId="4195"/>
    <cellStyle name="Normal 2 5 5 3 2 3" xfId="1458"/>
    <cellStyle name="Normal 2 5 5 3 2 3 2" xfId="2391"/>
    <cellStyle name="Normal 2 5 5 3 2 3 2 2" xfId="10659"/>
    <cellStyle name="Normal 2 5 5 3 2 3 2 3" xfId="5642"/>
    <cellStyle name="Normal 2 5 5 3 2 3 3" xfId="6538"/>
    <cellStyle name="Normal 2 5 5 3 2 3 3 2" xfId="11553"/>
    <cellStyle name="Normal 2 5 5 3 2 3 4" xfId="9066"/>
    <cellStyle name="Normal 2 5 5 3 2 3 5" xfId="13007"/>
    <cellStyle name="Normal 2 5 5 3 2 3 6" xfId="8253"/>
    <cellStyle name="Normal 2 5 5 3 2 3 7" xfId="3997"/>
    <cellStyle name="Normal 2 5 5 3 2 4" xfId="3017"/>
    <cellStyle name="Normal 2 5 5 3 2 4 2" xfId="7040"/>
    <cellStyle name="Normal 2 5 5 3 2 4 2 2" xfId="12055"/>
    <cellStyle name="Normal 2 5 5 3 2 4 3" xfId="13509"/>
    <cellStyle name="Normal 2 5 5 3 2 4 4" xfId="9950"/>
    <cellStyle name="Normal 2 5 5 3 2 4 5" xfId="4932"/>
    <cellStyle name="Normal 2 5 5 3 2 5" xfId="1849"/>
    <cellStyle name="Normal 2 5 5 3 2 5 2" xfId="11012"/>
    <cellStyle name="Normal 2 5 5 3 2 5 3" xfId="5996"/>
    <cellStyle name="Normal 2 5 5 3 2 6" xfId="8573"/>
    <cellStyle name="Normal 2 5 5 3 2 7" xfId="12466"/>
    <cellStyle name="Normal 2 5 5 3 2 8" xfId="7543"/>
    <cellStyle name="Normal 2 5 5 3 2 9" xfId="3495"/>
    <cellStyle name="Normal 2 5 5 3 2_Degree data" xfId="2600"/>
    <cellStyle name="Normal 2 5 5 3 3" xfId="486"/>
    <cellStyle name="Normal 2 5 5 3 3 2" xfId="2041"/>
    <cellStyle name="Normal 2 5 5 3 3 2 2" xfId="9745"/>
    <cellStyle name="Normal 2 5 5 3 3 2 3" xfId="4727"/>
    <cellStyle name="Normal 2 5 5 3 3 3" xfId="6188"/>
    <cellStyle name="Normal 2 5 5 3 3 3 2" xfId="11204"/>
    <cellStyle name="Normal 2 5 5 3 3 4" xfId="8861"/>
    <cellStyle name="Normal 2 5 5 3 3 5" xfId="12658"/>
    <cellStyle name="Normal 2 5 5 3 3 6" xfId="7338"/>
    <cellStyle name="Normal 2 5 5 3 3 7" xfId="3792"/>
    <cellStyle name="Normal 2 5 5 3 4" xfId="895"/>
    <cellStyle name="Normal 2 5 5 3 4 2" xfId="2390"/>
    <cellStyle name="Normal 2 5 5 3 4 2 2" xfId="10147"/>
    <cellStyle name="Normal 2 5 5 3 4 2 3" xfId="5129"/>
    <cellStyle name="Normal 2 5 5 3 4 3" xfId="6537"/>
    <cellStyle name="Normal 2 5 5 3 4 3 2" xfId="11552"/>
    <cellStyle name="Normal 2 5 5 3 4 4" xfId="9263"/>
    <cellStyle name="Normal 2 5 5 3 4 5" xfId="13006"/>
    <cellStyle name="Normal 2 5 5 3 4 6" xfId="7740"/>
    <cellStyle name="Normal 2 5 5 3 4 7" xfId="4194"/>
    <cellStyle name="Normal 2 5 5 3 5" xfId="1250"/>
    <cellStyle name="Normal 2 5 5 3 5 2" xfId="2806"/>
    <cellStyle name="Normal 2 5 5 3 5 2 2" xfId="10454"/>
    <cellStyle name="Normal 2 5 5 3 5 2 3" xfId="5437"/>
    <cellStyle name="Normal 2 5 5 3 5 3" xfId="6835"/>
    <cellStyle name="Normal 2 5 5 3 5 3 2" xfId="11850"/>
    <cellStyle name="Normal 2 5 5 3 5 4" xfId="8747"/>
    <cellStyle name="Normal 2 5 5 3 5 5" xfId="13304"/>
    <cellStyle name="Normal 2 5 5 3 5 6" xfId="8048"/>
    <cellStyle name="Normal 2 5 5 3 5 7" xfId="3677"/>
    <cellStyle name="Normal 2 5 5 3 6" xfId="1644"/>
    <cellStyle name="Normal 2 5 5 3 6 2" xfId="9633"/>
    <cellStyle name="Normal 2 5 5 3 6 3" xfId="4615"/>
    <cellStyle name="Normal 2 5 5 3 7" xfId="5791"/>
    <cellStyle name="Normal 2 5 5 3 7 2" xfId="10807"/>
    <cellStyle name="Normal 2 5 5 3 8" xfId="8368"/>
    <cellStyle name="Normal 2 5 5 3 9" xfId="12261"/>
    <cellStyle name="Normal 2 5 5 3_Degree data" xfId="2601"/>
    <cellStyle name="Normal 2 5 5 4" xfId="271"/>
    <cellStyle name="Normal 2 5 5 4 2" xfId="586"/>
    <cellStyle name="Normal 2 5 5 4 2 2" xfId="2043"/>
    <cellStyle name="Normal 2 5 5 4 2 2 2" xfId="10149"/>
    <cellStyle name="Normal 2 5 5 4 2 2 3" xfId="5131"/>
    <cellStyle name="Normal 2 5 5 4 2 3" xfId="6190"/>
    <cellStyle name="Normal 2 5 5 4 2 3 2" xfId="11206"/>
    <cellStyle name="Normal 2 5 5 4 2 4" xfId="9265"/>
    <cellStyle name="Normal 2 5 5 4 2 5" xfId="12660"/>
    <cellStyle name="Normal 2 5 5 4 2 6" xfId="7742"/>
    <cellStyle name="Normal 2 5 5 4 2 7" xfId="4196"/>
    <cellStyle name="Normal 2 5 5 4 3" xfId="995"/>
    <cellStyle name="Normal 2 5 5 4 3 2" xfId="2392"/>
    <cellStyle name="Normal 2 5 5 4 3 2 2" xfId="10554"/>
    <cellStyle name="Normal 2 5 5 4 3 2 3" xfId="5537"/>
    <cellStyle name="Normal 2 5 5 4 3 3" xfId="6539"/>
    <cellStyle name="Normal 2 5 5 4 3 3 2" xfId="11554"/>
    <cellStyle name="Normal 2 5 5 4 3 4" xfId="8961"/>
    <cellStyle name="Normal 2 5 5 4 3 5" xfId="13008"/>
    <cellStyle name="Normal 2 5 5 4 3 6" xfId="8148"/>
    <cellStyle name="Normal 2 5 5 4 3 7" xfId="3892"/>
    <cellStyle name="Normal 2 5 5 4 4" xfId="1351"/>
    <cellStyle name="Normal 2 5 5 4 4 2" xfId="2909"/>
    <cellStyle name="Normal 2 5 5 4 4 2 2" xfId="11950"/>
    <cellStyle name="Normal 2 5 5 4 4 2 3" xfId="6935"/>
    <cellStyle name="Normal 2 5 5 4 4 3" xfId="13404"/>
    <cellStyle name="Normal 2 5 5 4 4 4" xfId="9845"/>
    <cellStyle name="Normal 2 5 5 4 4 5" xfId="4827"/>
    <cellStyle name="Normal 2 5 5 4 5" xfId="1744"/>
    <cellStyle name="Normal 2 5 5 4 5 2" xfId="10907"/>
    <cellStyle name="Normal 2 5 5 4 5 3" xfId="5891"/>
    <cellStyle name="Normal 2 5 5 4 6" xfId="8468"/>
    <cellStyle name="Normal 2 5 5 4 7" xfId="12361"/>
    <cellStyle name="Normal 2 5 5 4 8" xfId="7438"/>
    <cellStyle name="Normal 2 5 5 4 9" xfId="3390"/>
    <cellStyle name="Normal 2 5 5 4_Degree data" xfId="2599"/>
    <cellStyle name="Normal 2 5 5 5" xfId="427"/>
    <cellStyle name="Normal 2 5 5 5 2" xfId="835"/>
    <cellStyle name="Normal 2 5 5 5 2 2" xfId="9686"/>
    <cellStyle name="Normal 2 5 5 5 2 3" xfId="4668"/>
    <cellStyle name="Normal 2 5 5 5 3" xfId="2038"/>
    <cellStyle name="Normal 2 5 5 5 3 2" xfId="11201"/>
    <cellStyle name="Normal 2 5 5 5 3 3" xfId="6185"/>
    <cellStyle name="Normal 2 5 5 5 4" xfId="8802"/>
    <cellStyle name="Normal 2 5 5 5 5" xfId="12655"/>
    <cellStyle name="Normal 2 5 5 5 6" xfId="7279"/>
    <cellStyle name="Normal 2 5 5 5 7" xfId="3733"/>
    <cellStyle name="Normal 2 5 5 6" xfId="762"/>
    <cellStyle name="Normal 2 5 5 6 2" xfId="2387"/>
    <cellStyle name="Normal 2 5 5 6 2 2" xfId="10144"/>
    <cellStyle name="Normal 2 5 5 6 2 3" xfId="5126"/>
    <cellStyle name="Normal 2 5 5 6 3" xfId="6534"/>
    <cellStyle name="Normal 2 5 5 6 3 2" xfId="11549"/>
    <cellStyle name="Normal 2 5 5 6 4" xfId="9260"/>
    <cellStyle name="Normal 2 5 5 6 5" xfId="13003"/>
    <cellStyle name="Normal 2 5 5 6 6" xfId="7737"/>
    <cellStyle name="Normal 2 5 5 6 7" xfId="4191"/>
    <cellStyle name="Normal 2 5 5 7" xfId="1186"/>
    <cellStyle name="Normal 2 5 5 7 2" xfId="2738"/>
    <cellStyle name="Normal 2 5 5 7 2 2" xfId="10395"/>
    <cellStyle name="Normal 2 5 5 7 2 3" xfId="5378"/>
    <cellStyle name="Normal 2 5 5 7 3" xfId="6776"/>
    <cellStyle name="Normal 2 5 5 7 3 2" xfId="11791"/>
    <cellStyle name="Normal 2 5 5 7 4" xfId="8641"/>
    <cellStyle name="Normal 2 5 5 7 5" xfId="13245"/>
    <cellStyle name="Normal 2 5 5 7 6" xfId="7989"/>
    <cellStyle name="Normal 2 5 5 7 7" xfId="3568"/>
    <cellStyle name="Normal 2 5 5 8" xfId="1585"/>
    <cellStyle name="Normal 2 5 5 8 2" xfId="12202"/>
    <cellStyle name="Normal 2 5 5 8 3" xfId="9528"/>
    <cellStyle name="Normal 2 5 5 8 4" xfId="4510"/>
    <cellStyle name="Normal 2 5 5 9" xfId="1512"/>
    <cellStyle name="Normal 2 5 5 9 2" xfId="10746"/>
    <cellStyle name="Normal 2 5 5 9 3" xfId="5730"/>
    <cellStyle name="Normal 2 5 5_Degree data" xfId="2604"/>
    <cellStyle name="Normal 2 5 6" xfId="186"/>
    <cellStyle name="Normal 2 5 6 10" xfId="7155"/>
    <cellStyle name="Normal 2 5 6 11" xfId="3324"/>
    <cellStyle name="Normal 2 5 6 2" xfId="369"/>
    <cellStyle name="Normal 2 5 6 2 2" xfId="620"/>
    <cellStyle name="Normal 2 5 6 2 2 2" xfId="2045"/>
    <cellStyle name="Normal 2 5 6 2 2 2 2" xfId="10151"/>
    <cellStyle name="Normal 2 5 6 2 2 2 3" xfId="5133"/>
    <cellStyle name="Normal 2 5 6 2 2 3" xfId="6192"/>
    <cellStyle name="Normal 2 5 6 2 2 3 2" xfId="11208"/>
    <cellStyle name="Normal 2 5 6 2 2 4" xfId="9267"/>
    <cellStyle name="Normal 2 5 6 2 2 5" xfId="12662"/>
    <cellStyle name="Normal 2 5 6 2 2 6" xfId="7744"/>
    <cellStyle name="Normal 2 5 6 2 2 7" xfId="4198"/>
    <cellStyle name="Normal 2 5 6 2 3" xfId="1029"/>
    <cellStyle name="Normal 2 5 6 2 3 2" xfId="2394"/>
    <cellStyle name="Normal 2 5 6 2 3 2 2" xfId="10588"/>
    <cellStyle name="Normal 2 5 6 2 3 2 3" xfId="5571"/>
    <cellStyle name="Normal 2 5 6 2 3 3" xfId="6541"/>
    <cellStyle name="Normal 2 5 6 2 3 3 2" xfId="11556"/>
    <cellStyle name="Normal 2 5 6 2 3 4" xfId="8995"/>
    <cellStyle name="Normal 2 5 6 2 3 5" xfId="13010"/>
    <cellStyle name="Normal 2 5 6 2 3 6" xfId="8182"/>
    <cellStyle name="Normal 2 5 6 2 3 7" xfId="3926"/>
    <cellStyle name="Normal 2 5 6 2 4" xfId="1386"/>
    <cellStyle name="Normal 2 5 6 2 4 2" xfId="2944"/>
    <cellStyle name="Normal 2 5 6 2 4 2 2" xfId="11984"/>
    <cellStyle name="Normal 2 5 6 2 4 2 3" xfId="6969"/>
    <cellStyle name="Normal 2 5 6 2 4 3" xfId="13438"/>
    <cellStyle name="Normal 2 5 6 2 4 4" xfId="9879"/>
    <cellStyle name="Normal 2 5 6 2 4 5" xfId="4861"/>
    <cellStyle name="Normal 2 5 6 2 5" xfId="1778"/>
    <cellStyle name="Normal 2 5 6 2 5 2" xfId="10941"/>
    <cellStyle name="Normal 2 5 6 2 5 3" xfId="5925"/>
    <cellStyle name="Normal 2 5 6 2 6" xfId="8502"/>
    <cellStyle name="Normal 2 5 6 2 7" xfId="12395"/>
    <cellStyle name="Normal 2 5 6 2 8" xfId="7472"/>
    <cellStyle name="Normal 2 5 6 2 9" xfId="3424"/>
    <cellStyle name="Normal 2 5 6 2_Degree data" xfId="2683"/>
    <cellStyle name="Normal 2 5 6 3" xfId="520"/>
    <cellStyle name="Normal 2 5 6 3 2" xfId="929"/>
    <cellStyle name="Normal 2 5 6 3 2 2" xfId="9779"/>
    <cellStyle name="Normal 2 5 6 3 2 3" xfId="4761"/>
    <cellStyle name="Normal 2 5 6 3 3" xfId="2044"/>
    <cellStyle name="Normal 2 5 6 3 3 2" xfId="11207"/>
    <cellStyle name="Normal 2 5 6 3 3 3" xfId="6191"/>
    <cellStyle name="Normal 2 5 6 3 4" xfId="8895"/>
    <cellStyle name="Normal 2 5 6 3 5" xfId="12661"/>
    <cellStyle name="Normal 2 5 6 3 6" xfId="7372"/>
    <cellStyle name="Normal 2 5 6 3 7" xfId="3826"/>
    <cellStyle name="Normal 2 5 6 4" xfId="792"/>
    <cellStyle name="Normal 2 5 6 4 2" xfId="2393"/>
    <cellStyle name="Normal 2 5 6 4 2 2" xfId="10150"/>
    <cellStyle name="Normal 2 5 6 4 2 3" xfId="5132"/>
    <cellStyle name="Normal 2 5 6 4 3" xfId="6540"/>
    <cellStyle name="Normal 2 5 6 4 3 2" xfId="11555"/>
    <cellStyle name="Normal 2 5 6 4 4" xfId="9266"/>
    <cellStyle name="Normal 2 5 6 4 5" xfId="13009"/>
    <cellStyle name="Normal 2 5 6 4 6" xfId="7743"/>
    <cellStyle name="Normal 2 5 6 4 7" xfId="4197"/>
    <cellStyle name="Normal 2 5 6 5" xfId="1285"/>
    <cellStyle name="Normal 2 5 6 5 2" xfId="2842"/>
    <cellStyle name="Normal 2 5 6 5 2 2" xfId="10488"/>
    <cellStyle name="Normal 2 5 6 5 2 3" xfId="5471"/>
    <cellStyle name="Normal 2 5 6 5 3" xfId="6869"/>
    <cellStyle name="Normal 2 5 6 5 3 2" xfId="11884"/>
    <cellStyle name="Normal 2 5 6 5 4" xfId="8676"/>
    <cellStyle name="Normal 2 5 6 5 5" xfId="13338"/>
    <cellStyle name="Normal 2 5 6 5 6" xfId="8082"/>
    <cellStyle name="Normal 2 5 6 5 7" xfId="3605"/>
    <cellStyle name="Normal 2 5 6 6" xfId="1678"/>
    <cellStyle name="Normal 2 5 6 6 2" xfId="9562"/>
    <cellStyle name="Normal 2 5 6 6 3" xfId="4544"/>
    <cellStyle name="Normal 2 5 6 7" xfId="5825"/>
    <cellStyle name="Normal 2 5 6 7 2" xfId="10841"/>
    <cellStyle name="Normal 2 5 6 8" xfId="8402"/>
    <cellStyle name="Normal 2 5 6 9" xfId="12295"/>
    <cellStyle name="Normal 2 5 6_Degree data" xfId="2598"/>
    <cellStyle name="Normal 2 5 7" xfId="222"/>
    <cellStyle name="Normal 2 5 7 10" xfId="7203"/>
    <cellStyle name="Normal 2 5 7 11" xfId="3267"/>
    <cellStyle name="Normal 2 5 7 2" xfId="311"/>
    <cellStyle name="Normal 2 5 7 2 2" xfId="668"/>
    <cellStyle name="Normal 2 5 7 2 2 2" xfId="2047"/>
    <cellStyle name="Normal 2 5 7 2 2 2 2" xfId="10153"/>
    <cellStyle name="Normal 2 5 7 2 2 2 3" xfId="5135"/>
    <cellStyle name="Normal 2 5 7 2 2 3" xfId="6194"/>
    <cellStyle name="Normal 2 5 7 2 2 3 2" xfId="11210"/>
    <cellStyle name="Normal 2 5 7 2 2 4" xfId="9269"/>
    <cellStyle name="Normal 2 5 7 2 2 5" xfId="12664"/>
    <cellStyle name="Normal 2 5 7 2 2 6" xfId="7746"/>
    <cellStyle name="Normal 2 5 7 2 2 7" xfId="4200"/>
    <cellStyle name="Normal 2 5 7 2 3" xfId="1077"/>
    <cellStyle name="Normal 2 5 7 2 3 2" xfId="2396"/>
    <cellStyle name="Normal 2 5 7 2 3 2 2" xfId="10636"/>
    <cellStyle name="Normal 2 5 7 2 3 2 3" xfId="5619"/>
    <cellStyle name="Normal 2 5 7 2 3 3" xfId="6543"/>
    <cellStyle name="Normal 2 5 7 2 3 3 2" xfId="11558"/>
    <cellStyle name="Normal 2 5 7 2 3 4" xfId="9043"/>
    <cellStyle name="Normal 2 5 7 2 3 5" xfId="13012"/>
    <cellStyle name="Normal 2 5 7 2 3 6" xfId="8230"/>
    <cellStyle name="Normal 2 5 7 2 3 7" xfId="3974"/>
    <cellStyle name="Normal 2 5 7 2 4" xfId="1435"/>
    <cellStyle name="Normal 2 5 7 2 4 2" xfId="2994"/>
    <cellStyle name="Normal 2 5 7 2 4 2 2" xfId="12032"/>
    <cellStyle name="Normal 2 5 7 2 4 2 3" xfId="7017"/>
    <cellStyle name="Normal 2 5 7 2 4 3" xfId="13486"/>
    <cellStyle name="Normal 2 5 7 2 4 4" xfId="9927"/>
    <cellStyle name="Normal 2 5 7 2 4 5" xfId="4909"/>
    <cellStyle name="Normal 2 5 7 2 5" xfId="1826"/>
    <cellStyle name="Normal 2 5 7 2 5 2" xfId="10989"/>
    <cellStyle name="Normal 2 5 7 2 5 3" xfId="5973"/>
    <cellStyle name="Normal 2 5 7 2 6" xfId="8550"/>
    <cellStyle name="Normal 2 5 7 2 7" xfId="12443"/>
    <cellStyle name="Normal 2 5 7 2 8" xfId="7520"/>
    <cellStyle name="Normal 2 5 7 2 9" xfId="3472"/>
    <cellStyle name="Normal 2 5 7 2_Degree data" xfId="2653"/>
    <cellStyle name="Normal 2 5 7 3" xfId="463"/>
    <cellStyle name="Normal 2 5 7 3 2" xfId="2046"/>
    <cellStyle name="Normal 2 5 7 3 2 2" xfId="9722"/>
    <cellStyle name="Normal 2 5 7 3 2 3" xfId="4704"/>
    <cellStyle name="Normal 2 5 7 3 3" xfId="6193"/>
    <cellStyle name="Normal 2 5 7 3 3 2" xfId="11209"/>
    <cellStyle name="Normal 2 5 7 3 4" xfId="8838"/>
    <cellStyle name="Normal 2 5 7 3 5" xfId="12663"/>
    <cellStyle name="Normal 2 5 7 3 6" xfId="7315"/>
    <cellStyle name="Normal 2 5 7 3 7" xfId="3769"/>
    <cellStyle name="Normal 2 5 7 4" xfId="872"/>
    <cellStyle name="Normal 2 5 7 4 2" xfId="2395"/>
    <cellStyle name="Normal 2 5 7 4 2 2" xfId="10152"/>
    <cellStyle name="Normal 2 5 7 4 2 3" xfId="5134"/>
    <cellStyle name="Normal 2 5 7 4 3" xfId="6542"/>
    <cellStyle name="Normal 2 5 7 4 3 2" xfId="11557"/>
    <cellStyle name="Normal 2 5 7 4 4" xfId="9268"/>
    <cellStyle name="Normal 2 5 7 4 5" xfId="13011"/>
    <cellStyle name="Normal 2 5 7 4 6" xfId="7745"/>
    <cellStyle name="Normal 2 5 7 4 7" xfId="4199"/>
    <cellStyle name="Normal 2 5 7 5" xfId="1224"/>
    <cellStyle name="Normal 2 5 7 5 2" xfId="2780"/>
    <cellStyle name="Normal 2 5 7 5 2 2" xfId="10431"/>
    <cellStyle name="Normal 2 5 7 5 2 3" xfId="5414"/>
    <cellStyle name="Normal 2 5 7 5 3" xfId="6812"/>
    <cellStyle name="Normal 2 5 7 5 3 2" xfId="11827"/>
    <cellStyle name="Normal 2 5 7 5 4" xfId="8724"/>
    <cellStyle name="Normal 2 5 7 5 5" xfId="13281"/>
    <cellStyle name="Normal 2 5 7 5 6" xfId="8025"/>
    <cellStyle name="Normal 2 5 7 5 7" xfId="3654"/>
    <cellStyle name="Normal 2 5 7 6" xfId="1621"/>
    <cellStyle name="Normal 2 5 7 6 2" xfId="9610"/>
    <cellStyle name="Normal 2 5 7 6 3" xfId="4592"/>
    <cellStyle name="Normal 2 5 7 7" xfId="5768"/>
    <cellStyle name="Normal 2 5 7 7 2" xfId="10784"/>
    <cellStyle name="Normal 2 5 7 8" xfId="8345"/>
    <cellStyle name="Normal 2 5 7 9" xfId="12238"/>
    <cellStyle name="Normal 2 5 7_Degree data" xfId="2706"/>
    <cellStyle name="Normal 2 5 8" xfId="258"/>
    <cellStyle name="Normal 2 5 8 10" xfId="3528"/>
    <cellStyle name="Normal 2 5 8 2" xfId="724"/>
    <cellStyle name="Normal 2 5 8 2 2" xfId="2048"/>
    <cellStyle name="Normal 2 5 8 2 2 2" xfId="9983"/>
    <cellStyle name="Normal 2 5 8 2 2 3" xfId="4965"/>
    <cellStyle name="Normal 2 5 8 2 3" xfId="6195"/>
    <cellStyle name="Normal 2 5 8 2 3 2" xfId="11211"/>
    <cellStyle name="Normal 2 5 8 2 4" xfId="9099"/>
    <cellStyle name="Normal 2 5 8 2 5" xfId="12665"/>
    <cellStyle name="Normal 2 5 8 2 6" xfId="7576"/>
    <cellStyle name="Normal 2 5 8 2 7" xfId="4030"/>
    <cellStyle name="Normal 2 5 8 3" xfId="1133"/>
    <cellStyle name="Normal 2 5 8 3 2" xfId="2397"/>
    <cellStyle name="Normal 2 5 8 3 2 2" xfId="10154"/>
    <cellStyle name="Normal 2 5 8 3 2 3" xfId="5136"/>
    <cellStyle name="Normal 2 5 8 3 3" xfId="6544"/>
    <cellStyle name="Normal 2 5 8 3 3 2" xfId="11559"/>
    <cellStyle name="Normal 2 5 8 3 4" xfId="9270"/>
    <cellStyle name="Normal 2 5 8 3 5" xfId="13013"/>
    <cellStyle name="Normal 2 5 8 3 6" xfId="7747"/>
    <cellStyle name="Normal 2 5 8 3 7" xfId="4201"/>
    <cellStyle name="Normal 2 5 8 4" xfId="1491"/>
    <cellStyle name="Normal 2 5 8 4 2" xfId="3050"/>
    <cellStyle name="Normal 2 5 8 4 2 2" xfId="10692"/>
    <cellStyle name="Normal 2 5 8 4 2 3" xfId="5675"/>
    <cellStyle name="Normal 2 5 8 4 3" xfId="7073"/>
    <cellStyle name="Normal 2 5 8 4 3 2" xfId="12088"/>
    <cellStyle name="Normal 2 5 8 4 4" xfId="8780"/>
    <cellStyle name="Normal 2 5 8 4 5" xfId="13542"/>
    <cellStyle name="Normal 2 5 8 4 6" xfId="8286"/>
    <cellStyle name="Normal 2 5 8 4 7" xfId="3710"/>
    <cellStyle name="Normal 2 5 8 5" xfId="1882"/>
    <cellStyle name="Normal 2 5 8 5 2" xfId="9666"/>
    <cellStyle name="Normal 2 5 8 5 3" xfId="4648"/>
    <cellStyle name="Normal 2 5 8 6" xfId="6029"/>
    <cellStyle name="Normal 2 5 8 6 2" xfId="11045"/>
    <cellStyle name="Normal 2 5 8 7" xfId="8606"/>
    <cellStyle name="Normal 2 5 8 8" xfId="12499"/>
    <cellStyle name="Normal 2 5 8 9" xfId="7259"/>
    <cellStyle name="Normal 2 5 8_Degree data" xfId="2597"/>
    <cellStyle name="Normal 2 5 9" xfId="563"/>
    <cellStyle name="Normal 2 5 9 2" xfId="972"/>
    <cellStyle name="Normal 2 5 9 2 2" xfId="2049"/>
    <cellStyle name="Normal 2 5 9 2 2 2" xfId="10155"/>
    <cellStyle name="Normal 2 5 9 2 2 3" xfId="5137"/>
    <cellStyle name="Normal 2 5 9 2 3" xfId="6196"/>
    <cellStyle name="Normal 2 5 9 2 3 2" xfId="11212"/>
    <cellStyle name="Normal 2 5 9 2 4" xfId="9271"/>
    <cellStyle name="Normal 2 5 9 2 5" xfId="12666"/>
    <cellStyle name="Normal 2 5 9 2 6" xfId="7748"/>
    <cellStyle name="Normal 2 5 9 2 7" xfId="4202"/>
    <cellStyle name="Normal 2 5 9 3" xfId="1328"/>
    <cellStyle name="Normal 2 5 9 3 2" xfId="2398"/>
    <cellStyle name="Normal 2 5 9 3 2 2" xfId="10531"/>
    <cellStyle name="Normal 2 5 9 3 2 3" xfId="5514"/>
    <cellStyle name="Normal 2 5 9 3 3" xfId="6545"/>
    <cellStyle name="Normal 2 5 9 3 3 2" xfId="11560"/>
    <cellStyle name="Normal 2 5 9 3 4" xfId="8938"/>
    <cellStyle name="Normal 2 5 9 3 5" xfId="13014"/>
    <cellStyle name="Normal 2 5 9 3 6" xfId="8125"/>
    <cellStyle name="Normal 2 5 9 3 7" xfId="3869"/>
    <cellStyle name="Normal 2 5 9 4" xfId="2886"/>
    <cellStyle name="Normal 2 5 9 4 2" xfId="6912"/>
    <cellStyle name="Normal 2 5 9 4 2 2" xfId="11927"/>
    <cellStyle name="Normal 2 5 9 4 3" xfId="13381"/>
    <cellStyle name="Normal 2 5 9 4 4" xfId="9822"/>
    <cellStyle name="Normal 2 5 9 4 5" xfId="4804"/>
    <cellStyle name="Normal 2 5 9 5" xfId="1721"/>
    <cellStyle name="Normal 2 5 9 5 2" xfId="10884"/>
    <cellStyle name="Normal 2 5 9 5 3" xfId="5868"/>
    <cellStyle name="Normal 2 5 9 6" xfId="8445"/>
    <cellStyle name="Normal 2 5 9 7" xfId="12338"/>
    <cellStyle name="Normal 2 5 9 8" xfId="7415"/>
    <cellStyle name="Normal 2 5 9 9" xfId="3367"/>
    <cellStyle name="Normal 2 5 9_Degree data" xfId="2596"/>
    <cellStyle name="Normal 2 5_Degree data" xfId="2938"/>
    <cellStyle name="Normal 2 6" xfId="60"/>
    <cellStyle name="Normal 2 6 2" xfId="728"/>
    <cellStyle name="Normal 2 6 2 2" xfId="1136"/>
    <cellStyle name="Normal 2 6 3" xfId="3713"/>
    <cellStyle name="Normal 2 6_Degree data" xfId="2595"/>
    <cellStyle name="Normal 2 7" xfId="4435"/>
    <cellStyle name="Normal 20" xfId="51"/>
    <cellStyle name="Normal 21" xfId="52"/>
    <cellStyle name="Normal 22" xfId="53"/>
    <cellStyle name="Normal 23" xfId="54"/>
    <cellStyle name="Normal 24" xfId="120"/>
    <cellStyle name="Normal 25" xfId="55"/>
    <cellStyle name="Normal 26" xfId="56"/>
    <cellStyle name="Normal 27" xfId="28"/>
    <cellStyle name="Normal 28" xfId="29"/>
    <cellStyle name="Normal 29" xfId="30"/>
    <cellStyle name="Normal 3" xfId="11"/>
    <cellStyle name="Normal 3 2" xfId="134"/>
    <cellStyle name="Normal 3 2 2" xfId="731"/>
    <cellStyle name="Normal 3 2 2 10" xfId="3532"/>
    <cellStyle name="Normal 3 2 2 2" xfId="1138"/>
    <cellStyle name="Normal 3 2 2 2 2" xfId="2050"/>
    <cellStyle name="Normal 3 2 2 2 2 2" xfId="9987"/>
    <cellStyle name="Normal 3 2 2 2 2 3" xfId="4969"/>
    <cellStyle name="Normal 3 2 2 2 3" xfId="6197"/>
    <cellStyle name="Normal 3 2 2 2 3 2" xfId="11213"/>
    <cellStyle name="Normal 3 2 2 2 4" xfId="9103"/>
    <cellStyle name="Normal 3 2 2 2 5" xfId="12667"/>
    <cellStyle name="Normal 3 2 2 2 6" xfId="7580"/>
    <cellStyle name="Normal 3 2 2 2 7" xfId="4034"/>
    <cellStyle name="Normal 3 2 2 3" xfId="1495"/>
    <cellStyle name="Normal 3 2 2 3 2" xfId="2399"/>
    <cellStyle name="Normal 3 2 2 3 2 2" xfId="10156"/>
    <cellStyle name="Normal 3 2 2 3 2 3" xfId="5138"/>
    <cellStyle name="Normal 3 2 2 3 3" xfId="6546"/>
    <cellStyle name="Normal 3 2 2 3 3 2" xfId="11561"/>
    <cellStyle name="Normal 3 2 2 3 4" xfId="9272"/>
    <cellStyle name="Normal 3 2 2 3 5" xfId="13015"/>
    <cellStyle name="Normal 3 2 2 3 6" xfId="7749"/>
    <cellStyle name="Normal 3 2 2 3 7" xfId="4203"/>
    <cellStyle name="Normal 3 2 2 4" xfId="3057"/>
    <cellStyle name="Normal 3 2 2 4 2" xfId="5679"/>
    <cellStyle name="Normal 3 2 2 4 2 2" xfId="10696"/>
    <cellStyle name="Normal 3 2 2 4 3" xfId="7077"/>
    <cellStyle name="Normal 3 2 2 4 3 2" xfId="12092"/>
    <cellStyle name="Normal 3 2 2 4 4" xfId="8784"/>
    <cellStyle name="Normal 3 2 2 4 5" xfId="13546"/>
    <cellStyle name="Normal 3 2 2 4 6" xfId="8290"/>
    <cellStyle name="Normal 3 2 2 4 7" xfId="3715"/>
    <cellStyle name="Normal 3 2 2 5" xfId="1886"/>
    <cellStyle name="Normal 3 2 2 5 2" xfId="9670"/>
    <cellStyle name="Normal 3 2 2 5 3" xfId="4652"/>
    <cellStyle name="Normal 3 2 2 6" xfId="6033"/>
    <cellStyle name="Normal 3 2 2 6 2" xfId="11049"/>
    <cellStyle name="Normal 3 2 2 7" xfId="8610"/>
    <cellStyle name="Normal 3 2 2 8" xfId="12503"/>
    <cellStyle name="Normal 3 2 2 9" xfId="7263"/>
    <cellStyle name="Normal 3 2 2_Degree data" xfId="2623"/>
    <cellStyle name="Normal 3 3" xfId="111"/>
    <cellStyle name="Normal 3 4" xfId="83"/>
    <cellStyle name="Normal 3 5" xfId="3218"/>
    <cellStyle name="Normal 3 6" xfId="3226"/>
    <cellStyle name="Normal 3 7" xfId="13553"/>
    <cellStyle name="Normal 3 8" xfId="13554"/>
    <cellStyle name="Normal 3 9" xfId="13552"/>
    <cellStyle name="Normal 30" xfId="31"/>
    <cellStyle name="Normal 31" xfId="32"/>
    <cellStyle name="Normal 32" xfId="33"/>
    <cellStyle name="Normal 33" xfId="34"/>
    <cellStyle name="Normal 34" xfId="35"/>
    <cellStyle name="Normal 35" xfId="36"/>
    <cellStyle name="Normal 36" xfId="37"/>
    <cellStyle name="Normal 37" xfId="38"/>
    <cellStyle name="Normal 38" xfId="121"/>
    <cellStyle name="Normal 39" xfId="39"/>
    <cellStyle name="Normal 4" xfId="12"/>
    <cellStyle name="Normal 4 2" xfId="140"/>
    <cellStyle name="Normal 4 2 2" xfId="730"/>
    <cellStyle name="Normal 4 3" xfId="87"/>
    <cellStyle name="Normal 4 4" xfId="72"/>
    <cellStyle name="Normal 4 4 10" xfId="3529"/>
    <cellStyle name="Normal 4 4 2" xfId="725"/>
    <cellStyle name="Normal 4 4 2 2" xfId="1134"/>
    <cellStyle name="Normal 4 4 2 2 2" xfId="9984"/>
    <cellStyle name="Normal 4 4 2 2 3" xfId="4966"/>
    <cellStyle name="Normal 4 4 2 3" xfId="2051"/>
    <cellStyle name="Normal 4 4 2 3 2" xfId="11214"/>
    <cellStyle name="Normal 4 4 2 3 3" xfId="6198"/>
    <cellStyle name="Normal 4 4 2 4" xfId="9100"/>
    <cellStyle name="Normal 4 4 2 5" xfId="12668"/>
    <cellStyle name="Normal 4 4 2 6" xfId="7577"/>
    <cellStyle name="Normal 4 4 2 7" xfId="4031"/>
    <cellStyle name="Normal 4 4 3" xfId="1492"/>
    <cellStyle name="Normal 4 4 3 2" xfId="2400"/>
    <cellStyle name="Normal 4 4 3 2 2" xfId="10157"/>
    <cellStyle name="Normal 4 4 3 2 3" xfId="5139"/>
    <cellStyle name="Normal 4 4 3 3" xfId="6547"/>
    <cellStyle name="Normal 4 4 3 3 2" xfId="11562"/>
    <cellStyle name="Normal 4 4 3 4" xfId="9273"/>
    <cellStyle name="Normal 4 4 3 5" xfId="13016"/>
    <cellStyle name="Normal 4 4 3 6" xfId="7750"/>
    <cellStyle name="Normal 4 4 3 7" xfId="4204"/>
    <cellStyle name="Normal 4 4 4" xfId="3051"/>
    <cellStyle name="Normal 4 4 4 2" xfId="5676"/>
    <cellStyle name="Normal 4 4 4 2 2" xfId="10693"/>
    <cellStyle name="Normal 4 4 4 3" xfId="7074"/>
    <cellStyle name="Normal 4 4 4 3 2" xfId="12089"/>
    <cellStyle name="Normal 4 4 4 4" xfId="8781"/>
    <cellStyle name="Normal 4 4 4 5" xfId="13543"/>
    <cellStyle name="Normal 4 4 4 6" xfId="8287"/>
    <cellStyle name="Normal 4 4 4 7" xfId="3711"/>
    <cellStyle name="Normal 4 4 5" xfId="1883"/>
    <cellStyle name="Normal 4 4 5 2" xfId="9667"/>
    <cellStyle name="Normal 4 4 5 3" xfId="4649"/>
    <cellStyle name="Normal 4 4 6" xfId="6030"/>
    <cellStyle name="Normal 4 4 6 2" xfId="11046"/>
    <cellStyle name="Normal 4 4 7" xfId="8607"/>
    <cellStyle name="Normal 4 4 8" xfId="12500"/>
    <cellStyle name="Normal 4 4 9" xfId="7260"/>
    <cellStyle name="Normal 4 4_Degree data" xfId="2622"/>
    <cellStyle name="Normal 40" xfId="40"/>
    <cellStyle name="Normal 41" xfId="41"/>
    <cellStyle name="Normal 42" xfId="42"/>
    <cellStyle name="Normal 43" xfId="43"/>
    <cellStyle name="Normal 44" xfId="44"/>
    <cellStyle name="Normal 45" xfId="45"/>
    <cellStyle name="Normal 46" xfId="46"/>
    <cellStyle name="Normal 47" xfId="47"/>
    <cellStyle name="Normal 48" xfId="48"/>
    <cellStyle name="Normal 49" xfId="57"/>
    <cellStyle name="Normal 5" xfId="70"/>
    <cellStyle name="Normal 5 10" xfId="739"/>
    <cellStyle name="Normal 5 10 2" xfId="2401"/>
    <cellStyle name="Normal 5 10 2 2" xfId="10353"/>
    <cellStyle name="Normal 5 10 2 3" xfId="5336"/>
    <cellStyle name="Normal 5 10 3" xfId="6548"/>
    <cellStyle name="Normal 5 10 3 2" xfId="11563"/>
    <cellStyle name="Normal 5 10 4" xfId="9473"/>
    <cellStyle name="Normal 5 10 5" xfId="13017"/>
    <cellStyle name="Normal 5 10 6" xfId="7947"/>
    <cellStyle name="Normal 5 10 7" xfId="4455"/>
    <cellStyle name="Normal 5 11" xfId="1143"/>
    <cellStyle name="Normal 5 11 2" xfId="2640"/>
    <cellStyle name="Normal 5 11 2 2" xfId="11749"/>
    <cellStyle name="Normal 5 11 2 3" xfId="6734"/>
    <cellStyle name="Normal 5 11 3" xfId="13203"/>
    <cellStyle name="Normal 5 11 4" xfId="10699"/>
    <cellStyle name="Normal 5 11 5" xfId="5682"/>
    <cellStyle name="Normal 5 12" xfId="1543"/>
    <cellStyle name="Normal 5 12 2" xfId="12160"/>
    <cellStyle name="Normal 5 12 3" xfId="10703"/>
    <cellStyle name="Normal 5 12 4" xfId="5687"/>
    <cellStyle name="Normal 5 13" xfId="1499"/>
    <cellStyle name="Normal 5 13 2" xfId="8299"/>
    <cellStyle name="Normal 5 14" xfId="12116"/>
    <cellStyle name="Normal 5 15" xfId="3217"/>
    <cellStyle name="Normal 5 2" xfId="112"/>
    <cellStyle name="Normal 5 2 10" xfId="12120"/>
    <cellStyle name="Normal 5 2 11" xfId="7104"/>
    <cellStyle name="Normal 5 2 2" xfId="143"/>
    <cellStyle name="Normal 5 2 2 10" xfId="12151"/>
    <cellStyle name="Normal 5 2 2 11" xfId="3255"/>
    <cellStyle name="Normal 5 2 2 2" xfId="182"/>
    <cellStyle name="Normal 5 2 2 2 10" xfId="12109"/>
    <cellStyle name="Normal 5 2 2 2 11" xfId="7143"/>
    <cellStyle name="Normal 5 2 2 2 12" xfId="3244"/>
    <cellStyle name="Normal 5 2 2 2 2" xfId="357"/>
    <cellStyle name="Normal 5 2 2 2 2 10" xfId="7247"/>
    <cellStyle name="Normal 5 2 2 2 2 11" xfId="3312"/>
    <cellStyle name="Normal 5 2 2 2 2 2" xfId="712"/>
    <cellStyle name="Normal 5 2 2 2 2 2 2" xfId="1121"/>
    <cellStyle name="Normal 5 2 2 2 2 2 2 2" xfId="2055"/>
    <cellStyle name="Normal 5 2 2 2 2 2 2 2 2" xfId="10161"/>
    <cellStyle name="Normal 5 2 2 2 2 2 2 2 3" xfId="5143"/>
    <cellStyle name="Normal 5 2 2 2 2 2 2 3" xfId="6202"/>
    <cellStyle name="Normal 5 2 2 2 2 2 2 3 2" xfId="11218"/>
    <cellStyle name="Normal 5 2 2 2 2 2 2 4" xfId="9277"/>
    <cellStyle name="Normal 5 2 2 2 2 2 2 5" xfId="12672"/>
    <cellStyle name="Normal 5 2 2 2 2 2 2 6" xfId="7754"/>
    <cellStyle name="Normal 5 2 2 2 2 2 2 7" xfId="4208"/>
    <cellStyle name="Normal 5 2 2 2 2 2 3" xfId="1479"/>
    <cellStyle name="Normal 5 2 2 2 2 2 3 2" xfId="2404"/>
    <cellStyle name="Normal 5 2 2 2 2 2 3 2 2" xfId="10680"/>
    <cellStyle name="Normal 5 2 2 2 2 2 3 2 3" xfId="5663"/>
    <cellStyle name="Normal 5 2 2 2 2 2 3 3" xfId="6551"/>
    <cellStyle name="Normal 5 2 2 2 2 2 3 3 2" xfId="11566"/>
    <cellStyle name="Normal 5 2 2 2 2 2 3 4" xfId="9087"/>
    <cellStyle name="Normal 5 2 2 2 2 2 3 5" xfId="13020"/>
    <cellStyle name="Normal 5 2 2 2 2 2 3 6" xfId="8274"/>
    <cellStyle name="Normal 5 2 2 2 2 2 3 7" xfId="4018"/>
    <cellStyle name="Normal 5 2 2 2 2 2 4" xfId="3038"/>
    <cellStyle name="Normal 5 2 2 2 2 2 4 2" xfId="7061"/>
    <cellStyle name="Normal 5 2 2 2 2 2 4 2 2" xfId="12076"/>
    <cellStyle name="Normal 5 2 2 2 2 2 4 3" xfId="13530"/>
    <cellStyle name="Normal 5 2 2 2 2 2 4 4" xfId="9971"/>
    <cellStyle name="Normal 5 2 2 2 2 2 4 5" xfId="4953"/>
    <cellStyle name="Normal 5 2 2 2 2 2 5" xfId="1870"/>
    <cellStyle name="Normal 5 2 2 2 2 2 5 2" xfId="11033"/>
    <cellStyle name="Normal 5 2 2 2 2 2 5 3" xfId="6017"/>
    <cellStyle name="Normal 5 2 2 2 2 2 6" xfId="8594"/>
    <cellStyle name="Normal 5 2 2 2 2 2 7" xfId="12487"/>
    <cellStyle name="Normal 5 2 2 2 2 2 8" xfId="7564"/>
    <cellStyle name="Normal 5 2 2 2 2 2 9" xfId="3516"/>
    <cellStyle name="Normal 5 2 2 2 2 2_Degree data" xfId="2619"/>
    <cellStyle name="Normal 5 2 2 2 2 3" xfId="508"/>
    <cellStyle name="Normal 5 2 2 2 2 3 2" xfId="2054"/>
    <cellStyle name="Normal 5 2 2 2 2 3 2 2" xfId="9767"/>
    <cellStyle name="Normal 5 2 2 2 2 3 2 3" xfId="4749"/>
    <cellStyle name="Normal 5 2 2 2 2 3 3" xfId="6201"/>
    <cellStyle name="Normal 5 2 2 2 2 3 3 2" xfId="11217"/>
    <cellStyle name="Normal 5 2 2 2 2 3 4" xfId="8883"/>
    <cellStyle name="Normal 5 2 2 2 2 3 5" xfId="12671"/>
    <cellStyle name="Normal 5 2 2 2 2 3 6" xfId="7360"/>
    <cellStyle name="Normal 5 2 2 2 2 3 7" xfId="3814"/>
    <cellStyle name="Normal 5 2 2 2 2 4" xfId="917"/>
    <cellStyle name="Normal 5 2 2 2 2 4 2" xfId="2403"/>
    <cellStyle name="Normal 5 2 2 2 2 4 2 2" xfId="10160"/>
    <cellStyle name="Normal 5 2 2 2 2 4 2 3" xfId="5142"/>
    <cellStyle name="Normal 5 2 2 2 2 4 3" xfId="6550"/>
    <cellStyle name="Normal 5 2 2 2 2 4 3 2" xfId="11565"/>
    <cellStyle name="Normal 5 2 2 2 2 4 4" xfId="9276"/>
    <cellStyle name="Normal 5 2 2 2 2 4 5" xfId="13019"/>
    <cellStyle name="Normal 5 2 2 2 2 4 6" xfId="7753"/>
    <cellStyle name="Normal 5 2 2 2 2 4 7" xfId="4207"/>
    <cellStyle name="Normal 5 2 2 2 2 5" xfId="1272"/>
    <cellStyle name="Normal 5 2 2 2 2 5 2" xfId="2829"/>
    <cellStyle name="Normal 5 2 2 2 2 5 2 2" xfId="10476"/>
    <cellStyle name="Normal 5 2 2 2 2 5 2 3" xfId="5459"/>
    <cellStyle name="Normal 5 2 2 2 2 5 3" xfId="6857"/>
    <cellStyle name="Normal 5 2 2 2 2 5 3 2" xfId="11872"/>
    <cellStyle name="Normal 5 2 2 2 2 5 4" xfId="8768"/>
    <cellStyle name="Normal 5 2 2 2 2 5 5" xfId="13326"/>
    <cellStyle name="Normal 5 2 2 2 2 5 6" xfId="8070"/>
    <cellStyle name="Normal 5 2 2 2 2 5 7" xfId="3698"/>
    <cellStyle name="Normal 5 2 2 2 2 6" xfId="1666"/>
    <cellStyle name="Normal 5 2 2 2 2 6 2" xfId="9654"/>
    <cellStyle name="Normal 5 2 2 2 2 6 3" xfId="4636"/>
    <cellStyle name="Normal 5 2 2 2 2 7" xfId="5813"/>
    <cellStyle name="Normal 5 2 2 2 2 7 2" xfId="10829"/>
    <cellStyle name="Normal 5 2 2 2 2 8" xfId="8390"/>
    <cellStyle name="Normal 5 2 2 2 2 9" xfId="12283"/>
    <cellStyle name="Normal 5 2 2 2 2_Degree data" xfId="2620"/>
    <cellStyle name="Normal 5 2 2 2 3" xfId="285"/>
    <cellStyle name="Normal 5 2 2 2 4" xfId="608"/>
    <cellStyle name="Normal 5 2 2 2 4 2" xfId="1017"/>
    <cellStyle name="Normal 5 2 2 2 4 2 2" xfId="2056"/>
    <cellStyle name="Normal 5 2 2 2 4 2 2 2" xfId="10162"/>
    <cellStyle name="Normal 5 2 2 2 4 2 2 3" xfId="5144"/>
    <cellStyle name="Normal 5 2 2 2 4 2 3" xfId="6203"/>
    <cellStyle name="Normal 5 2 2 2 4 2 3 2" xfId="11219"/>
    <cellStyle name="Normal 5 2 2 2 4 2 4" xfId="9278"/>
    <cellStyle name="Normal 5 2 2 2 4 2 5" xfId="12673"/>
    <cellStyle name="Normal 5 2 2 2 4 2 6" xfId="7755"/>
    <cellStyle name="Normal 5 2 2 2 4 2 7" xfId="4209"/>
    <cellStyle name="Normal 5 2 2 2 4 3" xfId="1373"/>
    <cellStyle name="Normal 5 2 2 2 4 3 2" xfId="2405"/>
    <cellStyle name="Normal 5 2 2 2 4 3 2 2" xfId="10576"/>
    <cellStyle name="Normal 5 2 2 2 4 3 2 3" xfId="5559"/>
    <cellStyle name="Normal 5 2 2 2 4 3 3" xfId="6552"/>
    <cellStyle name="Normal 5 2 2 2 4 3 3 2" xfId="11567"/>
    <cellStyle name="Normal 5 2 2 2 4 3 4" xfId="8983"/>
    <cellStyle name="Normal 5 2 2 2 4 3 5" xfId="13021"/>
    <cellStyle name="Normal 5 2 2 2 4 3 6" xfId="8170"/>
    <cellStyle name="Normal 5 2 2 2 4 3 7" xfId="3914"/>
    <cellStyle name="Normal 5 2 2 2 4 4" xfId="2931"/>
    <cellStyle name="Normal 5 2 2 2 4 4 2" xfId="6957"/>
    <cellStyle name="Normal 5 2 2 2 4 4 2 2" xfId="11972"/>
    <cellStyle name="Normal 5 2 2 2 4 4 3" xfId="13426"/>
    <cellStyle name="Normal 5 2 2 2 4 4 4" xfId="9867"/>
    <cellStyle name="Normal 5 2 2 2 4 4 5" xfId="4849"/>
    <cellStyle name="Normal 5 2 2 2 4 5" xfId="1766"/>
    <cellStyle name="Normal 5 2 2 2 4 5 2" xfId="10929"/>
    <cellStyle name="Normal 5 2 2 2 4 5 3" xfId="5913"/>
    <cellStyle name="Normal 5 2 2 2 4 6" xfId="8490"/>
    <cellStyle name="Normal 5 2 2 2 4 7" xfId="12383"/>
    <cellStyle name="Normal 5 2 2 2 4 8" xfId="7460"/>
    <cellStyle name="Normal 5 2 2 2 4 9" xfId="3412"/>
    <cellStyle name="Normal 5 2 2 2 4_Degree data" xfId="2618"/>
    <cellStyle name="Normal 5 2 2 2 5" xfId="849"/>
    <cellStyle name="Normal 5 2 2 2 5 2" xfId="8664"/>
    <cellStyle name="Normal 5 2 2 2 5 3" xfId="3591"/>
    <cellStyle name="Normal 5 2 2 2 6" xfId="784"/>
    <cellStyle name="Normal 5 2 2 2 6 2" xfId="9550"/>
    <cellStyle name="Normal 5 2 2 2 6 3" xfId="4532"/>
    <cellStyle name="Normal 5 2 2 2 7" xfId="8294"/>
    <cellStyle name="Normal 5 2 2 2 8" xfId="12110"/>
    <cellStyle name="Normal 5 2 2 2 9" xfId="12108"/>
    <cellStyle name="Normal 5 2 2 3" xfId="208"/>
    <cellStyle name="Normal 5 2 2 3 10" xfId="7186"/>
    <cellStyle name="Normal 5 2 2 3 11" xfId="3355"/>
    <cellStyle name="Normal 5 2 2 3 2" xfId="401"/>
    <cellStyle name="Normal 5 2 2 3 2 2" xfId="651"/>
    <cellStyle name="Normal 5 2 2 3 2 2 2" xfId="2058"/>
    <cellStyle name="Normal 5 2 2 3 2 2 2 2" xfId="10164"/>
    <cellStyle name="Normal 5 2 2 3 2 2 2 3" xfId="5146"/>
    <cellStyle name="Normal 5 2 2 3 2 2 3" xfId="6205"/>
    <cellStyle name="Normal 5 2 2 3 2 2 3 2" xfId="11221"/>
    <cellStyle name="Normal 5 2 2 3 2 2 4" xfId="9280"/>
    <cellStyle name="Normal 5 2 2 3 2 2 5" xfId="12675"/>
    <cellStyle name="Normal 5 2 2 3 2 2 6" xfId="7757"/>
    <cellStyle name="Normal 5 2 2 3 2 2 7" xfId="4211"/>
    <cellStyle name="Normal 5 2 2 3 2 3" xfId="1060"/>
    <cellStyle name="Normal 5 2 2 3 2 3 2" xfId="2407"/>
    <cellStyle name="Normal 5 2 2 3 2 3 2 2" xfId="10619"/>
    <cellStyle name="Normal 5 2 2 3 2 3 2 3" xfId="5602"/>
    <cellStyle name="Normal 5 2 2 3 2 3 3" xfId="6554"/>
    <cellStyle name="Normal 5 2 2 3 2 3 3 2" xfId="11569"/>
    <cellStyle name="Normal 5 2 2 3 2 3 4" xfId="9026"/>
    <cellStyle name="Normal 5 2 2 3 2 3 5" xfId="13023"/>
    <cellStyle name="Normal 5 2 2 3 2 3 6" xfId="8213"/>
    <cellStyle name="Normal 5 2 2 3 2 3 7" xfId="3957"/>
    <cellStyle name="Normal 5 2 2 3 2 4" xfId="1418"/>
    <cellStyle name="Normal 5 2 2 3 2 4 2" xfId="2976"/>
    <cellStyle name="Normal 5 2 2 3 2 4 2 2" xfId="12015"/>
    <cellStyle name="Normal 5 2 2 3 2 4 2 3" xfId="7000"/>
    <cellStyle name="Normal 5 2 2 3 2 4 3" xfId="13469"/>
    <cellStyle name="Normal 5 2 2 3 2 4 4" xfId="9910"/>
    <cellStyle name="Normal 5 2 2 3 2 4 5" xfId="4892"/>
    <cellStyle name="Normal 5 2 2 3 2 5" xfId="1809"/>
    <cellStyle name="Normal 5 2 2 3 2 5 2" xfId="10972"/>
    <cellStyle name="Normal 5 2 2 3 2 5 3" xfId="5956"/>
    <cellStyle name="Normal 5 2 2 3 2 6" xfId="8533"/>
    <cellStyle name="Normal 5 2 2 3 2 7" xfId="12426"/>
    <cellStyle name="Normal 5 2 2 3 2 8" xfId="7503"/>
    <cellStyle name="Normal 5 2 2 3 2 9" xfId="3455"/>
    <cellStyle name="Normal 5 2 2 3 2_Degree data" xfId="3052"/>
    <cellStyle name="Normal 5 2 2 3 3" xfId="551"/>
    <cellStyle name="Normal 5 2 2 3 3 2" xfId="960"/>
    <cellStyle name="Normal 5 2 2 3 3 2 2" xfId="9810"/>
    <cellStyle name="Normal 5 2 2 3 3 2 3" xfId="4792"/>
    <cellStyle name="Normal 5 2 2 3 3 3" xfId="2057"/>
    <cellStyle name="Normal 5 2 2 3 3 3 2" xfId="11220"/>
    <cellStyle name="Normal 5 2 2 3 3 3 3" xfId="6204"/>
    <cellStyle name="Normal 5 2 2 3 3 4" xfId="8926"/>
    <cellStyle name="Normal 5 2 2 3 3 5" xfId="12674"/>
    <cellStyle name="Normal 5 2 2 3 3 6" xfId="7403"/>
    <cellStyle name="Normal 5 2 2 3 3 7" xfId="3857"/>
    <cellStyle name="Normal 5 2 2 3 4" xfId="814"/>
    <cellStyle name="Normal 5 2 2 3 4 2" xfId="2406"/>
    <cellStyle name="Normal 5 2 2 3 4 2 2" xfId="10163"/>
    <cellStyle name="Normal 5 2 2 3 4 2 3" xfId="5145"/>
    <cellStyle name="Normal 5 2 2 3 4 3" xfId="6553"/>
    <cellStyle name="Normal 5 2 2 3 4 3 2" xfId="11568"/>
    <cellStyle name="Normal 5 2 2 3 4 4" xfId="9279"/>
    <cellStyle name="Normal 5 2 2 3 4 5" xfId="13022"/>
    <cellStyle name="Normal 5 2 2 3 4 6" xfId="7756"/>
    <cellStyle name="Normal 5 2 2 3 4 7" xfId="4210"/>
    <cellStyle name="Normal 5 2 2 3 5" xfId="1316"/>
    <cellStyle name="Normal 5 2 2 3 5 2" xfId="2874"/>
    <cellStyle name="Normal 5 2 2 3 5 2 2" xfId="10519"/>
    <cellStyle name="Normal 5 2 2 3 5 2 3" xfId="5502"/>
    <cellStyle name="Normal 5 2 2 3 5 3" xfId="6900"/>
    <cellStyle name="Normal 5 2 2 3 5 3 2" xfId="11915"/>
    <cellStyle name="Normal 5 2 2 3 5 4" xfId="8707"/>
    <cellStyle name="Normal 5 2 2 3 5 5" xfId="13369"/>
    <cellStyle name="Normal 5 2 2 3 5 6" xfId="8113"/>
    <cellStyle name="Normal 5 2 2 3 5 7" xfId="3637"/>
    <cellStyle name="Normal 5 2 2 3 6" xfId="1709"/>
    <cellStyle name="Normal 5 2 2 3 6 2" xfId="9593"/>
    <cellStyle name="Normal 5 2 2 3 6 3" xfId="4575"/>
    <cellStyle name="Normal 5 2 2 3 7" xfId="5856"/>
    <cellStyle name="Normal 5 2 2 3 7 2" xfId="10872"/>
    <cellStyle name="Normal 5 2 2 3 8" xfId="8433"/>
    <cellStyle name="Normal 5 2 2 3 9" xfId="12326"/>
    <cellStyle name="Normal 5 2 2 3_Degree data" xfId="3054"/>
    <cellStyle name="Normal 5 2 2 4" xfId="244"/>
    <cellStyle name="Normal 5 2 2 4 2" xfId="860"/>
    <cellStyle name="Normal 5 2 2 4 2 2" xfId="2059"/>
    <cellStyle name="Normal 5 2 2 4 2 2 2" xfId="10165"/>
    <cellStyle name="Normal 5 2 2 4 2 2 3" xfId="5147"/>
    <cellStyle name="Normal 5 2 2 4 2 3" xfId="6206"/>
    <cellStyle name="Normal 5 2 2 4 2 3 2" xfId="11222"/>
    <cellStyle name="Normal 5 2 2 4 2 4" xfId="9281"/>
    <cellStyle name="Normal 5 2 2 4 2 5" xfId="12676"/>
    <cellStyle name="Normal 5 2 2 4 2 6" xfId="7758"/>
    <cellStyle name="Normal 5 2 2 4 2 7" xfId="4212"/>
    <cellStyle name="Normal 5 2 2 4 3" xfId="1210"/>
    <cellStyle name="Normal 5 2 2 4 3 2" xfId="2408"/>
    <cellStyle name="Normal 5 2 2 4 3 2 2" xfId="10419"/>
    <cellStyle name="Normal 5 2 2 4 3 2 3" xfId="5402"/>
    <cellStyle name="Normal 5 2 2 4 3 3" xfId="6555"/>
    <cellStyle name="Normal 5 2 2 4 3 3 2" xfId="11570"/>
    <cellStyle name="Normal 5 2 2 4 3 4" xfId="9475"/>
    <cellStyle name="Normal 5 2 2 4 3 5" xfId="13024"/>
    <cellStyle name="Normal 5 2 2 4 3 6" xfId="8013"/>
    <cellStyle name="Normal 5 2 2 4 3 7" xfId="4457"/>
    <cellStyle name="Normal 5 2 2 4 4" xfId="2764"/>
    <cellStyle name="Normal 5 2 2 4 4 2" xfId="6800"/>
    <cellStyle name="Normal 5 2 2 4 4 2 2" xfId="11815"/>
    <cellStyle name="Normal 5 2 2 4 4 3" xfId="13269"/>
    <cellStyle name="Normal 5 2 2 4 4 4" xfId="9710"/>
    <cellStyle name="Normal 5 2 2 4 4 5" xfId="4692"/>
    <cellStyle name="Normal 5 2 2 4 5" xfId="1609"/>
    <cellStyle name="Normal 5 2 2 4 5 2" xfId="10770"/>
    <cellStyle name="Normal 5 2 2 4 5 3" xfId="5754"/>
    <cellStyle name="Normal 5 2 2 4 6" xfId="8826"/>
    <cellStyle name="Normal 5 2 2 4 7" xfId="12226"/>
    <cellStyle name="Normal 5 2 2 4 8" xfId="7303"/>
    <cellStyle name="Normal 5 2 2 4 9" xfId="3757"/>
    <cellStyle name="Normal 5 2 2 4_Degree data" xfId="2674"/>
    <cellStyle name="Normal 5 2 2 5" xfId="297"/>
    <cellStyle name="Normal 5 2 2 5 2" xfId="2053"/>
    <cellStyle name="Normal 5 2 2 5 2 2" xfId="10159"/>
    <cellStyle name="Normal 5 2 2 5 2 3" xfId="5141"/>
    <cellStyle name="Normal 5 2 2 5 3" xfId="6200"/>
    <cellStyle name="Normal 5 2 2 5 3 2" xfId="11216"/>
    <cellStyle name="Normal 5 2 2 5 4" xfId="9275"/>
    <cellStyle name="Normal 5 2 2 5 5" xfId="12670"/>
    <cellStyle name="Normal 5 2 2 5 6" xfId="7752"/>
    <cellStyle name="Normal 5 2 2 5 7" xfId="4206"/>
    <cellStyle name="Normal 5 2 2 6" xfId="451"/>
    <cellStyle name="Normal 5 2 2 6 2" xfId="2402"/>
    <cellStyle name="Normal 5 2 2 6 2 2" xfId="10374"/>
    <cellStyle name="Normal 5 2 2 6 2 3" xfId="5357"/>
    <cellStyle name="Normal 5 2 2 6 3" xfId="6549"/>
    <cellStyle name="Normal 5 2 2 6 3 2" xfId="11564"/>
    <cellStyle name="Normal 5 2 2 6 4" xfId="9483"/>
    <cellStyle name="Normal 5 2 2 6 5" xfId="13018"/>
    <cellStyle name="Normal 5 2 2 6 6" xfId="7968"/>
    <cellStyle name="Normal 5 2 2 6 7" xfId="4465"/>
    <cellStyle name="Normal 5 2 2 7" xfId="760"/>
    <cellStyle name="Normal 5 2 2 7 2" xfId="2715"/>
    <cellStyle name="Normal 5 2 2 7 2 2" xfId="11770"/>
    <cellStyle name="Normal 5 2 2 7 2 3" xfId="6755"/>
    <cellStyle name="Normal 5 2 2 7 3" xfId="13224"/>
    <cellStyle name="Normal 5 2 2 7 4" xfId="9519"/>
    <cellStyle name="Normal 5 2 2 7 5" xfId="4501"/>
    <cellStyle name="Normal 5 2 2 8" xfId="1164"/>
    <cellStyle name="Normal 5 2 2 8 2" xfId="1564"/>
    <cellStyle name="Normal 5 2 2 8 2 2" xfId="12181"/>
    <cellStyle name="Normal 5 2 2 8 3" xfId="10725"/>
    <cellStyle name="Normal 5 2 2 8 4" xfId="5709"/>
    <cellStyle name="Normal 5 2 2 9" xfId="1534"/>
    <cellStyle name="Normal 5 2 2 9 2" xfId="8333"/>
    <cellStyle name="Normal 5 2 2_Degree data" xfId="2621"/>
    <cellStyle name="Normal 5 2 3" xfId="392"/>
    <cellStyle name="Normal 5 2 4" xfId="373"/>
    <cellStyle name="Normal 5 2 4 10" xfId="7159"/>
    <cellStyle name="Normal 5 2 4 11" xfId="3328"/>
    <cellStyle name="Normal 5 2 4 2" xfId="624"/>
    <cellStyle name="Normal 5 2 4 2 2" xfId="1033"/>
    <cellStyle name="Normal 5 2 4 2 2 2" xfId="2061"/>
    <cellStyle name="Normal 5 2 4 2 2 2 2" xfId="10167"/>
    <cellStyle name="Normal 5 2 4 2 2 2 3" xfId="5149"/>
    <cellStyle name="Normal 5 2 4 2 2 3" xfId="6208"/>
    <cellStyle name="Normal 5 2 4 2 2 3 2" xfId="11224"/>
    <cellStyle name="Normal 5 2 4 2 2 4" xfId="9283"/>
    <cellStyle name="Normal 5 2 4 2 2 5" xfId="12678"/>
    <cellStyle name="Normal 5 2 4 2 2 6" xfId="7760"/>
    <cellStyle name="Normal 5 2 4 2 2 7" xfId="4214"/>
    <cellStyle name="Normal 5 2 4 2 3" xfId="1390"/>
    <cellStyle name="Normal 5 2 4 2 3 2" xfId="2410"/>
    <cellStyle name="Normal 5 2 4 2 3 2 2" xfId="10592"/>
    <cellStyle name="Normal 5 2 4 2 3 2 3" xfId="5575"/>
    <cellStyle name="Normal 5 2 4 2 3 3" xfId="6557"/>
    <cellStyle name="Normal 5 2 4 2 3 3 2" xfId="11572"/>
    <cellStyle name="Normal 5 2 4 2 3 4" xfId="8999"/>
    <cellStyle name="Normal 5 2 4 2 3 5" xfId="13026"/>
    <cellStyle name="Normal 5 2 4 2 3 6" xfId="8186"/>
    <cellStyle name="Normal 5 2 4 2 3 7" xfId="3930"/>
    <cellStyle name="Normal 5 2 4 2 4" xfId="2948"/>
    <cellStyle name="Normal 5 2 4 2 4 2" xfId="6973"/>
    <cellStyle name="Normal 5 2 4 2 4 2 2" xfId="11988"/>
    <cellStyle name="Normal 5 2 4 2 4 3" xfId="13442"/>
    <cellStyle name="Normal 5 2 4 2 4 4" xfId="9883"/>
    <cellStyle name="Normal 5 2 4 2 4 5" xfId="4865"/>
    <cellStyle name="Normal 5 2 4 2 5" xfId="1782"/>
    <cellStyle name="Normal 5 2 4 2 5 2" xfId="10945"/>
    <cellStyle name="Normal 5 2 4 2 5 3" xfId="5929"/>
    <cellStyle name="Normal 5 2 4 2 6" xfId="8506"/>
    <cellStyle name="Normal 5 2 4 2 7" xfId="12399"/>
    <cellStyle name="Normal 5 2 4 2 8" xfId="7476"/>
    <cellStyle name="Normal 5 2 4 2 9" xfId="3428"/>
    <cellStyle name="Normal 5 2 4 2_Degree data" xfId="2665"/>
    <cellStyle name="Normal 5 2 4 3" xfId="524"/>
    <cellStyle name="Normal 5 2 4 3 2" xfId="2060"/>
    <cellStyle name="Normal 5 2 4 3 2 2" xfId="9783"/>
    <cellStyle name="Normal 5 2 4 3 2 3" xfId="4765"/>
    <cellStyle name="Normal 5 2 4 3 3" xfId="6207"/>
    <cellStyle name="Normal 5 2 4 3 3 2" xfId="11223"/>
    <cellStyle name="Normal 5 2 4 3 4" xfId="8899"/>
    <cellStyle name="Normal 5 2 4 3 5" xfId="12677"/>
    <cellStyle name="Normal 5 2 4 3 6" xfId="7376"/>
    <cellStyle name="Normal 5 2 4 3 7" xfId="3830"/>
    <cellStyle name="Normal 5 2 4 4" xfId="933"/>
    <cellStyle name="Normal 5 2 4 4 2" xfId="2409"/>
    <cellStyle name="Normal 5 2 4 4 2 2" xfId="10166"/>
    <cellStyle name="Normal 5 2 4 4 2 3" xfId="5148"/>
    <cellStyle name="Normal 5 2 4 4 3" xfId="6556"/>
    <cellStyle name="Normal 5 2 4 4 3 2" xfId="11571"/>
    <cellStyle name="Normal 5 2 4 4 4" xfId="9282"/>
    <cellStyle name="Normal 5 2 4 4 5" xfId="13025"/>
    <cellStyle name="Normal 5 2 4 4 6" xfId="7759"/>
    <cellStyle name="Normal 5 2 4 4 7" xfId="4213"/>
    <cellStyle name="Normal 5 2 4 5" xfId="1289"/>
    <cellStyle name="Normal 5 2 4 5 2" xfId="2846"/>
    <cellStyle name="Normal 5 2 4 5 2 2" xfId="10492"/>
    <cellStyle name="Normal 5 2 4 5 2 3" xfId="5475"/>
    <cellStyle name="Normal 5 2 4 5 3" xfId="6873"/>
    <cellStyle name="Normal 5 2 4 5 3 2" xfId="11888"/>
    <cellStyle name="Normal 5 2 4 5 4" xfId="8680"/>
    <cellStyle name="Normal 5 2 4 5 5" xfId="13342"/>
    <cellStyle name="Normal 5 2 4 5 6" xfId="8086"/>
    <cellStyle name="Normal 5 2 4 5 7" xfId="3609"/>
    <cellStyle name="Normal 5 2 4 6" xfId="1682"/>
    <cellStyle name="Normal 5 2 4 6 2" xfId="9566"/>
    <cellStyle name="Normal 5 2 4 6 3" xfId="4548"/>
    <cellStyle name="Normal 5 2 4 7" xfId="5829"/>
    <cellStyle name="Normal 5 2 4 7 2" xfId="10845"/>
    <cellStyle name="Normal 5 2 4 8" xfId="8406"/>
    <cellStyle name="Normal 5 2 4 9" xfId="12299"/>
    <cellStyle name="Normal 5 2 4_Degree data" xfId="2666"/>
    <cellStyle name="Normal 5 2 5" xfId="317"/>
    <cellStyle name="Normal 5 2 5 10" xfId="7209"/>
    <cellStyle name="Normal 5 2 5 11" xfId="3273"/>
    <cellStyle name="Normal 5 2 5 2" xfId="674"/>
    <cellStyle name="Normal 5 2 5 2 2" xfId="1083"/>
    <cellStyle name="Normal 5 2 5 2 2 2" xfId="2063"/>
    <cellStyle name="Normal 5 2 5 2 2 2 2" xfId="10169"/>
    <cellStyle name="Normal 5 2 5 2 2 2 3" xfId="5151"/>
    <cellStyle name="Normal 5 2 5 2 2 3" xfId="6210"/>
    <cellStyle name="Normal 5 2 5 2 2 3 2" xfId="11226"/>
    <cellStyle name="Normal 5 2 5 2 2 4" xfId="9285"/>
    <cellStyle name="Normal 5 2 5 2 2 5" xfId="12680"/>
    <cellStyle name="Normal 5 2 5 2 2 6" xfId="7762"/>
    <cellStyle name="Normal 5 2 5 2 2 7" xfId="4216"/>
    <cellStyle name="Normal 5 2 5 2 3" xfId="1441"/>
    <cellStyle name="Normal 5 2 5 2 3 2" xfId="2412"/>
    <cellStyle name="Normal 5 2 5 2 3 2 2" xfId="10642"/>
    <cellStyle name="Normal 5 2 5 2 3 2 3" xfId="5625"/>
    <cellStyle name="Normal 5 2 5 2 3 3" xfId="6559"/>
    <cellStyle name="Normal 5 2 5 2 3 3 2" xfId="11574"/>
    <cellStyle name="Normal 5 2 5 2 3 4" xfId="9049"/>
    <cellStyle name="Normal 5 2 5 2 3 5" xfId="13028"/>
    <cellStyle name="Normal 5 2 5 2 3 6" xfId="8236"/>
    <cellStyle name="Normal 5 2 5 2 3 7" xfId="3980"/>
    <cellStyle name="Normal 5 2 5 2 4" xfId="3000"/>
    <cellStyle name="Normal 5 2 5 2 4 2" xfId="7023"/>
    <cellStyle name="Normal 5 2 5 2 4 2 2" xfId="12038"/>
    <cellStyle name="Normal 5 2 5 2 4 3" xfId="13492"/>
    <cellStyle name="Normal 5 2 5 2 4 4" xfId="9933"/>
    <cellStyle name="Normal 5 2 5 2 4 5" xfId="4915"/>
    <cellStyle name="Normal 5 2 5 2 5" xfId="1832"/>
    <cellStyle name="Normal 5 2 5 2 5 2" xfId="10995"/>
    <cellStyle name="Normal 5 2 5 2 5 3" xfId="5979"/>
    <cellStyle name="Normal 5 2 5 2 6" xfId="8556"/>
    <cellStyle name="Normal 5 2 5 2 7" xfId="12449"/>
    <cellStyle name="Normal 5 2 5 2 8" xfId="7526"/>
    <cellStyle name="Normal 5 2 5 2 9" xfId="3478"/>
    <cellStyle name="Normal 5 2 5 2_Degree data" xfId="2635"/>
    <cellStyle name="Normal 5 2 5 3" xfId="469"/>
    <cellStyle name="Normal 5 2 5 3 2" xfId="2062"/>
    <cellStyle name="Normal 5 2 5 3 2 2" xfId="9728"/>
    <cellStyle name="Normal 5 2 5 3 2 3" xfId="4710"/>
    <cellStyle name="Normal 5 2 5 3 3" xfId="6209"/>
    <cellStyle name="Normal 5 2 5 3 3 2" xfId="11225"/>
    <cellStyle name="Normal 5 2 5 3 4" xfId="8844"/>
    <cellStyle name="Normal 5 2 5 3 5" xfId="12679"/>
    <cellStyle name="Normal 5 2 5 3 6" xfId="7321"/>
    <cellStyle name="Normal 5 2 5 3 7" xfId="3775"/>
    <cellStyle name="Normal 5 2 5 4" xfId="878"/>
    <cellStyle name="Normal 5 2 5 4 2" xfId="2411"/>
    <cellStyle name="Normal 5 2 5 4 2 2" xfId="10168"/>
    <cellStyle name="Normal 5 2 5 4 2 3" xfId="5150"/>
    <cellStyle name="Normal 5 2 5 4 3" xfId="6558"/>
    <cellStyle name="Normal 5 2 5 4 3 2" xfId="11573"/>
    <cellStyle name="Normal 5 2 5 4 4" xfId="9284"/>
    <cellStyle name="Normal 5 2 5 4 5" xfId="13027"/>
    <cellStyle name="Normal 5 2 5 4 6" xfId="7761"/>
    <cellStyle name="Normal 5 2 5 4 7" xfId="4215"/>
    <cellStyle name="Normal 5 2 5 5" xfId="1230"/>
    <cellStyle name="Normal 5 2 5 5 2" xfId="2786"/>
    <cellStyle name="Normal 5 2 5 5 2 2" xfId="10437"/>
    <cellStyle name="Normal 5 2 5 5 2 3" xfId="5420"/>
    <cellStyle name="Normal 5 2 5 5 3" xfId="6818"/>
    <cellStyle name="Normal 5 2 5 5 3 2" xfId="11833"/>
    <cellStyle name="Normal 5 2 5 5 4" xfId="8730"/>
    <cellStyle name="Normal 5 2 5 5 5" xfId="13287"/>
    <cellStyle name="Normal 5 2 5 5 6" xfId="8031"/>
    <cellStyle name="Normal 5 2 5 5 7" xfId="3660"/>
    <cellStyle name="Normal 5 2 5 6" xfId="1627"/>
    <cellStyle name="Normal 5 2 5 6 2" xfId="9616"/>
    <cellStyle name="Normal 5 2 5 6 3" xfId="4598"/>
    <cellStyle name="Normal 5 2 5 7" xfId="5774"/>
    <cellStyle name="Normal 5 2 5 7 2" xfId="10790"/>
    <cellStyle name="Normal 5 2 5 8" xfId="8351"/>
    <cellStyle name="Normal 5 2 5 9" xfId="12244"/>
    <cellStyle name="Normal 5 2 5_Degree data" xfId="2639"/>
    <cellStyle name="Normal 5 2 6" xfId="732"/>
    <cellStyle name="Normal 5 2 6 10" xfId="3533"/>
    <cellStyle name="Normal 5 2 6 2" xfId="1139"/>
    <cellStyle name="Normal 5 2 6 2 2" xfId="2064"/>
    <cellStyle name="Normal 5 2 6 2 2 2" xfId="9988"/>
    <cellStyle name="Normal 5 2 6 2 2 3" xfId="4970"/>
    <cellStyle name="Normal 5 2 6 2 3" xfId="6211"/>
    <cellStyle name="Normal 5 2 6 2 3 2" xfId="11227"/>
    <cellStyle name="Normal 5 2 6 2 4" xfId="9104"/>
    <cellStyle name="Normal 5 2 6 2 5" xfId="12681"/>
    <cellStyle name="Normal 5 2 6 2 6" xfId="7581"/>
    <cellStyle name="Normal 5 2 6 2 7" xfId="4035"/>
    <cellStyle name="Normal 5 2 6 3" xfId="1496"/>
    <cellStyle name="Normal 5 2 6 3 2" xfId="2413"/>
    <cellStyle name="Normal 5 2 6 3 2 2" xfId="10170"/>
    <cellStyle name="Normal 5 2 6 3 2 3" xfId="5152"/>
    <cellStyle name="Normal 5 2 6 3 3" xfId="6560"/>
    <cellStyle name="Normal 5 2 6 3 3 2" xfId="11575"/>
    <cellStyle name="Normal 5 2 6 3 4" xfId="9286"/>
    <cellStyle name="Normal 5 2 6 3 5" xfId="13029"/>
    <cellStyle name="Normal 5 2 6 3 6" xfId="7763"/>
    <cellStyle name="Normal 5 2 6 3 7" xfId="4217"/>
    <cellStyle name="Normal 5 2 6 4" xfId="3058"/>
    <cellStyle name="Normal 5 2 6 4 2" xfId="5680"/>
    <cellStyle name="Normal 5 2 6 4 2 2" xfId="10697"/>
    <cellStyle name="Normal 5 2 6 4 3" xfId="7078"/>
    <cellStyle name="Normal 5 2 6 4 3 2" xfId="12093"/>
    <cellStyle name="Normal 5 2 6 4 4" xfId="8785"/>
    <cellStyle name="Normal 5 2 6 4 5" xfId="13547"/>
    <cellStyle name="Normal 5 2 6 4 6" xfId="8291"/>
    <cellStyle name="Normal 5 2 6 4 7" xfId="3716"/>
    <cellStyle name="Normal 5 2 6 5" xfId="1887"/>
    <cellStyle name="Normal 5 2 6 5 2" xfId="9671"/>
    <cellStyle name="Normal 5 2 6 5 3" xfId="4653"/>
    <cellStyle name="Normal 5 2 6 6" xfId="6034"/>
    <cellStyle name="Normal 5 2 6 6 2" xfId="11050"/>
    <cellStyle name="Normal 5 2 6 7" xfId="8611"/>
    <cellStyle name="Normal 5 2 6 8" xfId="12504"/>
    <cellStyle name="Normal 5 2 6 9" xfId="7264"/>
    <cellStyle name="Normal 5 2 6_Degree data" xfId="2627"/>
    <cellStyle name="Normal 5 2 7" xfId="569"/>
    <cellStyle name="Normal 5 2 7 2" xfId="978"/>
    <cellStyle name="Normal 5 2 7 2 2" xfId="2065"/>
    <cellStyle name="Normal 5 2 7 2 2 2" xfId="10171"/>
    <cellStyle name="Normal 5 2 7 2 2 3" xfId="5153"/>
    <cellStyle name="Normal 5 2 7 2 3" xfId="6212"/>
    <cellStyle name="Normal 5 2 7 2 3 2" xfId="11228"/>
    <cellStyle name="Normal 5 2 7 2 4" xfId="9287"/>
    <cellStyle name="Normal 5 2 7 2 5" xfId="12682"/>
    <cellStyle name="Normal 5 2 7 2 6" xfId="7764"/>
    <cellStyle name="Normal 5 2 7 2 7" xfId="4218"/>
    <cellStyle name="Normal 5 2 7 3" xfId="1334"/>
    <cellStyle name="Normal 5 2 7 3 2" xfId="2414"/>
    <cellStyle name="Normal 5 2 7 3 2 2" xfId="10537"/>
    <cellStyle name="Normal 5 2 7 3 2 3" xfId="5520"/>
    <cellStyle name="Normal 5 2 7 3 3" xfId="6561"/>
    <cellStyle name="Normal 5 2 7 3 3 2" xfId="11576"/>
    <cellStyle name="Normal 5 2 7 3 4" xfId="8944"/>
    <cellStyle name="Normal 5 2 7 3 5" xfId="13030"/>
    <cellStyle name="Normal 5 2 7 3 6" xfId="8131"/>
    <cellStyle name="Normal 5 2 7 3 7" xfId="3875"/>
    <cellStyle name="Normal 5 2 7 4" xfId="2892"/>
    <cellStyle name="Normal 5 2 7 4 2" xfId="6918"/>
    <cellStyle name="Normal 5 2 7 4 2 2" xfId="11933"/>
    <cellStyle name="Normal 5 2 7 4 3" xfId="13387"/>
    <cellStyle name="Normal 5 2 7 4 4" xfId="9828"/>
    <cellStyle name="Normal 5 2 7 4 5" xfId="4810"/>
    <cellStyle name="Normal 5 2 7 5" xfId="1727"/>
    <cellStyle name="Normal 5 2 7 5 2" xfId="10890"/>
    <cellStyle name="Normal 5 2 7 5 3" xfId="5874"/>
    <cellStyle name="Normal 5 2 7 6" xfId="8451"/>
    <cellStyle name="Normal 5 2 7 7" xfId="12344"/>
    <cellStyle name="Normal 5 2 7 8" xfId="7421"/>
    <cellStyle name="Normal 5 2 7 9" xfId="3373"/>
    <cellStyle name="Normal 5 2 7_Degree data" xfId="2681"/>
    <cellStyle name="Normal 5 2 8" xfId="1503"/>
    <cellStyle name="Normal 5 2 8 2" xfId="8624"/>
    <cellStyle name="Normal 5 2 8 3" xfId="3548"/>
    <cellStyle name="Normal 5 2 9" xfId="4492"/>
    <cellStyle name="Normal 5 2 9 2" xfId="9510"/>
    <cellStyle name="Normal 5 3" xfId="129"/>
    <cellStyle name="Normal 5 3 10" xfId="1556"/>
    <cellStyle name="Normal 5 3 10 2" xfId="12173"/>
    <cellStyle name="Normal 5 3 10 3" xfId="10717"/>
    <cellStyle name="Normal 5 3 10 4" xfId="5701"/>
    <cellStyle name="Normal 5 3 11" xfId="1526"/>
    <cellStyle name="Normal 5 3 11 2" xfId="8300"/>
    <cellStyle name="Normal 5 3 12" xfId="12143"/>
    <cellStyle name="Normal 5 3 13" xfId="7100"/>
    <cellStyle name="Normal 5 3 14" xfId="3220"/>
    <cellStyle name="Normal 5 3 2" xfId="174"/>
    <cellStyle name="Normal 5 3 2 10" xfId="8325"/>
    <cellStyle name="Normal 5 3 2 11" xfId="12218"/>
    <cellStyle name="Normal 5 3 2 12" xfId="7135"/>
    <cellStyle name="Normal 5 3 2 13" xfId="3247"/>
    <cellStyle name="Normal 5 3 2 2" xfId="349"/>
    <cellStyle name="Normal 5 3 2 2 10" xfId="7239"/>
    <cellStyle name="Normal 5 3 2 2 11" xfId="3304"/>
    <cellStyle name="Normal 5 3 2 2 2" xfId="704"/>
    <cellStyle name="Normal 5 3 2 2 2 2" xfId="1113"/>
    <cellStyle name="Normal 5 3 2 2 2 2 2" xfId="2069"/>
    <cellStyle name="Normal 5 3 2 2 2 2 2 2" xfId="10175"/>
    <cellStyle name="Normal 5 3 2 2 2 2 2 3" xfId="5157"/>
    <cellStyle name="Normal 5 3 2 2 2 2 3" xfId="6216"/>
    <cellStyle name="Normal 5 3 2 2 2 2 3 2" xfId="11232"/>
    <cellStyle name="Normal 5 3 2 2 2 2 4" xfId="9291"/>
    <cellStyle name="Normal 5 3 2 2 2 2 5" xfId="12686"/>
    <cellStyle name="Normal 5 3 2 2 2 2 6" xfId="7768"/>
    <cellStyle name="Normal 5 3 2 2 2 2 7" xfId="4222"/>
    <cellStyle name="Normal 5 3 2 2 2 3" xfId="1471"/>
    <cellStyle name="Normal 5 3 2 2 2 3 2" xfId="2418"/>
    <cellStyle name="Normal 5 3 2 2 2 3 2 2" xfId="10672"/>
    <cellStyle name="Normal 5 3 2 2 2 3 2 3" xfId="5655"/>
    <cellStyle name="Normal 5 3 2 2 2 3 3" xfId="6565"/>
    <cellStyle name="Normal 5 3 2 2 2 3 3 2" xfId="11580"/>
    <cellStyle name="Normal 5 3 2 2 2 3 4" xfId="9079"/>
    <cellStyle name="Normal 5 3 2 2 2 3 5" xfId="13034"/>
    <cellStyle name="Normal 5 3 2 2 2 3 6" xfId="8266"/>
    <cellStyle name="Normal 5 3 2 2 2 3 7" xfId="4010"/>
    <cellStyle name="Normal 5 3 2 2 2 4" xfId="3030"/>
    <cellStyle name="Normal 5 3 2 2 2 4 2" xfId="7053"/>
    <cellStyle name="Normal 5 3 2 2 2 4 2 2" xfId="12068"/>
    <cellStyle name="Normal 5 3 2 2 2 4 3" xfId="13522"/>
    <cellStyle name="Normal 5 3 2 2 2 4 4" xfId="9963"/>
    <cellStyle name="Normal 5 3 2 2 2 4 5" xfId="4945"/>
    <cellStyle name="Normal 5 3 2 2 2 5" xfId="1862"/>
    <cellStyle name="Normal 5 3 2 2 2 5 2" xfId="11025"/>
    <cellStyle name="Normal 5 3 2 2 2 5 3" xfId="6009"/>
    <cellStyle name="Normal 5 3 2 2 2 6" xfId="8586"/>
    <cellStyle name="Normal 5 3 2 2 2 7" xfId="12479"/>
    <cellStyle name="Normal 5 3 2 2 2 8" xfId="7556"/>
    <cellStyle name="Normal 5 3 2 2 2 9" xfId="3508"/>
    <cellStyle name="Normal 5 3 2 2 2_Degree data" xfId="2593"/>
    <cellStyle name="Normal 5 3 2 2 3" xfId="500"/>
    <cellStyle name="Normal 5 3 2 2 3 2" xfId="2068"/>
    <cellStyle name="Normal 5 3 2 2 3 2 2" xfId="9759"/>
    <cellStyle name="Normal 5 3 2 2 3 2 3" xfId="4741"/>
    <cellStyle name="Normal 5 3 2 2 3 3" xfId="6215"/>
    <cellStyle name="Normal 5 3 2 2 3 3 2" xfId="11231"/>
    <cellStyle name="Normal 5 3 2 2 3 4" xfId="8875"/>
    <cellStyle name="Normal 5 3 2 2 3 5" xfId="12685"/>
    <cellStyle name="Normal 5 3 2 2 3 6" xfId="7352"/>
    <cellStyle name="Normal 5 3 2 2 3 7" xfId="3806"/>
    <cellStyle name="Normal 5 3 2 2 4" xfId="909"/>
    <cellStyle name="Normal 5 3 2 2 4 2" xfId="2417"/>
    <cellStyle name="Normal 5 3 2 2 4 2 2" xfId="10174"/>
    <cellStyle name="Normal 5 3 2 2 4 2 3" xfId="5156"/>
    <cellStyle name="Normal 5 3 2 2 4 3" xfId="6564"/>
    <cellStyle name="Normal 5 3 2 2 4 3 2" xfId="11579"/>
    <cellStyle name="Normal 5 3 2 2 4 4" xfId="9290"/>
    <cellStyle name="Normal 5 3 2 2 4 5" xfId="13033"/>
    <cellStyle name="Normal 5 3 2 2 4 6" xfId="7767"/>
    <cellStyle name="Normal 5 3 2 2 4 7" xfId="4221"/>
    <cellStyle name="Normal 5 3 2 2 5" xfId="1264"/>
    <cellStyle name="Normal 5 3 2 2 5 2" xfId="2821"/>
    <cellStyle name="Normal 5 3 2 2 5 2 2" xfId="10468"/>
    <cellStyle name="Normal 5 3 2 2 5 2 3" xfId="5451"/>
    <cellStyle name="Normal 5 3 2 2 5 3" xfId="6849"/>
    <cellStyle name="Normal 5 3 2 2 5 3 2" xfId="11864"/>
    <cellStyle name="Normal 5 3 2 2 5 4" xfId="8760"/>
    <cellStyle name="Normal 5 3 2 2 5 5" xfId="13318"/>
    <cellStyle name="Normal 5 3 2 2 5 6" xfId="8062"/>
    <cellStyle name="Normal 5 3 2 2 5 7" xfId="3690"/>
    <cellStyle name="Normal 5 3 2 2 6" xfId="1658"/>
    <cellStyle name="Normal 5 3 2 2 6 2" xfId="9646"/>
    <cellStyle name="Normal 5 3 2 2 6 3" xfId="4628"/>
    <cellStyle name="Normal 5 3 2 2 7" xfId="5805"/>
    <cellStyle name="Normal 5 3 2 2 7 2" xfId="10821"/>
    <cellStyle name="Normal 5 3 2 2 8" xfId="8382"/>
    <cellStyle name="Normal 5 3 2 2 9" xfId="12275"/>
    <cellStyle name="Normal 5 3 2 2_Degree data" xfId="2594"/>
    <cellStyle name="Normal 5 3 2 3" xfId="288"/>
    <cellStyle name="Normal 5 3 2 3 10" xfId="3465"/>
    <cellStyle name="Normal 5 3 2 3 2" xfId="661"/>
    <cellStyle name="Normal 5 3 2 3 2 2" xfId="2070"/>
    <cellStyle name="Normal 5 3 2 3 2 2 2" xfId="9920"/>
    <cellStyle name="Normal 5 3 2 3 2 2 3" xfId="4902"/>
    <cellStyle name="Normal 5 3 2 3 2 3" xfId="6217"/>
    <cellStyle name="Normal 5 3 2 3 2 3 2" xfId="11233"/>
    <cellStyle name="Normal 5 3 2 3 2 4" xfId="9036"/>
    <cellStyle name="Normal 5 3 2 3 2 5" xfId="12687"/>
    <cellStyle name="Normal 5 3 2 3 2 6" xfId="7513"/>
    <cellStyle name="Normal 5 3 2 3 2 7" xfId="3967"/>
    <cellStyle name="Normal 5 3 2 3 3" xfId="1070"/>
    <cellStyle name="Normal 5 3 2 3 3 2" xfId="2419"/>
    <cellStyle name="Normal 5 3 2 3 3 2 2" xfId="10176"/>
    <cellStyle name="Normal 5 3 2 3 3 2 3" xfId="5158"/>
    <cellStyle name="Normal 5 3 2 3 3 3" xfId="6566"/>
    <cellStyle name="Normal 5 3 2 3 3 3 2" xfId="11581"/>
    <cellStyle name="Normal 5 3 2 3 3 4" xfId="9292"/>
    <cellStyle name="Normal 5 3 2 3 3 5" xfId="13035"/>
    <cellStyle name="Normal 5 3 2 3 3 6" xfId="7769"/>
    <cellStyle name="Normal 5 3 2 3 3 7" xfId="4223"/>
    <cellStyle name="Normal 5 3 2 3 4" xfId="1428"/>
    <cellStyle name="Normal 5 3 2 3 4 2" xfId="2987"/>
    <cellStyle name="Normal 5 3 2 3 4 2 2" xfId="10629"/>
    <cellStyle name="Normal 5 3 2 3 4 2 3" xfId="5612"/>
    <cellStyle name="Normal 5 3 2 3 4 3" xfId="7010"/>
    <cellStyle name="Normal 5 3 2 3 4 3 2" xfId="12025"/>
    <cellStyle name="Normal 5 3 2 3 4 4" xfId="8717"/>
    <cellStyle name="Normal 5 3 2 3 4 5" xfId="13479"/>
    <cellStyle name="Normal 5 3 2 3 4 6" xfId="8223"/>
    <cellStyle name="Normal 5 3 2 3 4 7" xfId="3647"/>
    <cellStyle name="Normal 5 3 2 3 5" xfId="1819"/>
    <cellStyle name="Normal 5 3 2 3 5 2" xfId="9603"/>
    <cellStyle name="Normal 5 3 2 3 5 3" xfId="4585"/>
    <cellStyle name="Normal 5 3 2 3 6" xfId="5966"/>
    <cellStyle name="Normal 5 3 2 3 6 2" xfId="10982"/>
    <cellStyle name="Normal 5 3 2 3 7" xfId="8543"/>
    <cellStyle name="Normal 5 3 2 3 8" xfId="12436"/>
    <cellStyle name="Normal 5 3 2 3 9" xfId="7196"/>
    <cellStyle name="Normal 5 3 2 3_Degree data" xfId="2592"/>
    <cellStyle name="Normal 5 3 2 4" xfId="600"/>
    <cellStyle name="Normal 5 3 2 4 2" xfId="1009"/>
    <cellStyle name="Normal 5 3 2 4 2 2" xfId="2071"/>
    <cellStyle name="Normal 5 3 2 4 2 2 2" xfId="10177"/>
    <cellStyle name="Normal 5 3 2 4 2 2 3" xfId="5159"/>
    <cellStyle name="Normal 5 3 2 4 2 3" xfId="6218"/>
    <cellStyle name="Normal 5 3 2 4 2 3 2" xfId="11234"/>
    <cellStyle name="Normal 5 3 2 4 2 4" xfId="9293"/>
    <cellStyle name="Normal 5 3 2 4 2 5" xfId="12688"/>
    <cellStyle name="Normal 5 3 2 4 2 6" xfId="7770"/>
    <cellStyle name="Normal 5 3 2 4 2 7" xfId="4224"/>
    <cellStyle name="Normal 5 3 2 4 3" xfId="1365"/>
    <cellStyle name="Normal 5 3 2 4 3 2" xfId="2420"/>
    <cellStyle name="Normal 5 3 2 4 3 2 2" xfId="10568"/>
    <cellStyle name="Normal 5 3 2 4 3 2 3" xfId="5551"/>
    <cellStyle name="Normal 5 3 2 4 3 3" xfId="6567"/>
    <cellStyle name="Normal 5 3 2 4 3 3 2" xfId="11582"/>
    <cellStyle name="Normal 5 3 2 4 3 4" xfId="8975"/>
    <cellStyle name="Normal 5 3 2 4 3 5" xfId="13036"/>
    <cellStyle name="Normal 5 3 2 4 3 6" xfId="8162"/>
    <cellStyle name="Normal 5 3 2 4 3 7" xfId="3906"/>
    <cellStyle name="Normal 5 3 2 4 4" xfId="2923"/>
    <cellStyle name="Normal 5 3 2 4 4 2" xfId="6949"/>
    <cellStyle name="Normal 5 3 2 4 4 2 2" xfId="11964"/>
    <cellStyle name="Normal 5 3 2 4 4 3" xfId="13418"/>
    <cellStyle name="Normal 5 3 2 4 4 4" xfId="9859"/>
    <cellStyle name="Normal 5 3 2 4 4 5" xfId="4841"/>
    <cellStyle name="Normal 5 3 2 4 5" xfId="1758"/>
    <cellStyle name="Normal 5 3 2 4 5 2" xfId="10921"/>
    <cellStyle name="Normal 5 3 2 4 5 3" xfId="5905"/>
    <cellStyle name="Normal 5 3 2 4 6" xfId="8482"/>
    <cellStyle name="Normal 5 3 2 4 7" xfId="12375"/>
    <cellStyle name="Normal 5 3 2 4 8" xfId="7452"/>
    <cellStyle name="Normal 5 3 2 4 9" xfId="3404"/>
    <cellStyle name="Normal 5 3 2 4_Degree data" xfId="2687"/>
    <cellStyle name="Normal 5 3 2 5" xfId="443"/>
    <cellStyle name="Normal 5 3 2 5 2" xfId="852"/>
    <cellStyle name="Normal 5 3 2 5 2 2" xfId="9702"/>
    <cellStyle name="Normal 5 3 2 5 2 3" xfId="4684"/>
    <cellStyle name="Normal 5 3 2 5 3" xfId="2067"/>
    <cellStyle name="Normal 5 3 2 5 3 2" xfId="11230"/>
    <cellStyle name="Normal 5 3 2 5 3 3" xfId="6214"/>
    <cellStyle name="Normal 5 3 2 5 4" xfId="8818"/>
    <cellStyle name="Normal 5 3 2 5 5" xfId="12684"/>
    <cellStyle name="Normal 5 3 2 5 6" xfId="7295"/>
    <cellStyle name="Normal 5 3 2 5 7" xfId="3749"/>
    <cellStyle name="Normal 5 3 2 6" xfId="776"/>
    <cellStyle name="Normal 5 3 2 6 2" xfId="2416"/>
    <cellStyle name="Normal 5 3 2 6 2 2" xfId="10173"/>
    <cellStyle name="Normal 5 3 2 6 2 3" xfId="5155"/>
    <cellStyle name="Normal 5 3 2 6 3" xfId="6563"/>
    <cellStyle name="Normal 5 3 2 6 3 2" xfId="11578"/>
    <cellStyle name="Normal 5 3 2 6 4" xfId="9289"/>
    <cellStyle name="Normal 5 3 2 6 5" xfId="13032"/>
    <cellStyle name="Normal 5 3 2 6 6" xfId="7766"/>
    <cellStyle name="Normal 5 3 2 6 7" xfId="4220"/>
    <cellStyle name="Normal 5 3 2 7" xfId="1202"/>
    <cellStyle name="Normal 5 3 2 7 2" xfId="2755"/>
    <cellStyle name="Normal 5 3 2 7 2 2" xfId="10411"/>
    <cellStyle name="Normal 5 3 2 7 2 3" xfId="5394"/>
    <cellStyle name="Normal 5 3 2 7 3" xfId="6792"/>
    <cellStyle name="Normal 5 3 2 7 3 2" xfId="11807"/>
    <cellStyle name="Normal 5 3 2 7 4" xfId="8656"/>
    <cellStyle name="Normal 5 3 2 7 5" xfId="13261"/>
    <cellStyle name="Normal 5 3 2 7 6" xfId="8005"/>
    <cellStyle name="Normal 5 3 2 7 7" xfId="3583"/>
    <cellStyle name="Normal 5 3 2 8" xfId="1601"/>
    <cellStyle name="Normal 5 3 2 8 2" xfId="9542"/>
    <cellStyle name="Normal 5 3 2 8 3" xfId="4524"/>
    <cellStyle name="Normal 5 3 2 9" xfId="5746"/>
    <cellStyle name="Normal 5 3 2 9 2" xfId="10762"/>
    <cellStyle name="Normal 5 3 2_Degree data" xfId="2617"/>
    <cellStyle name="Normal 5 3 3" xfId="200"/>
    <cellStyle name="Normal 5 3 3 10" xfId="7178"/>
    <cellStyle name="Normal 5 3 3 11" xfId="3347"/>
    <cellStyle name="Normal 5 3 3 2" xfId="393"/>
    <cellStyle name="Normal 5 3 3 2 2" xfId="643"/>
    <cellStyle name="Normal 5 3 3 2 2 2" xfId="2073"/>
    <cellStyle name="Normal 5 3 3 2 2 2 2" xfId="10179"/>
    <cellStyle name="Normal 5 3 3 2 2 2 3" xfId="5161"/>
    <cellStyle name="Normal 5 3 3 2 2 3" xfId="6220"/>
    <cellStyle name="Normal 5 3 3 2 2 3 2" xfId="11236"/>
    <cellStyle name="Normal 5 3 3 2 2 4" xfId="9295"/>
    <cellStyle name="Normal 5 3 3 2 2 5" xfId="12690"/>
    <cellStyle name="Normal 5 3 3 2 2 6" xfId="7772"/>
    <cellStyle name="Normal 5 3 3 2 2 7" xfId="4226"/>
    <cellStyle name="Normal 5 3 3 2 3" xfId="1052"/>
    <cellStyle name="Normal 5 3 3 2 3 2" xfId="2422"/>
    <cellStyle name="Normal 5 3 3 2 3 2 2" xfId="10611"/>
    <cellStyle name="Normal 5 3 3 2 3 2 3" xfId="5594"/>
    <cellStyle name="Normal 5 3 3 2 3 3" xfId="6569"/>
    <cellStyle name="Normal 5 3 3 2 3 3 2" xfId="11584"/>
    <cellStyle name="Normal 5 3 3 2 3 4" xfId="9018"/>
    <cellStyle name="Normal 5 3 3 2 3 5" xfId="13038"/>
    <cellStyle name="Normal 5 3 3 2 3 6" xfId="8205"/>
    <cellStyle name="Normal 5 3 3 2 3 7" xfId="3949"/>
    <cellStyle name="Normal 5 3 3 2 4" xfId="1410"/>
    <cellStyle name="Normal 5 3 3 2 4 2" xfId="2968"/>
    <cellStyle name="Normal 5 3 3 2 4 2 2" xfId="12007"/>
    <cellStyle name="Normal 5 3 3 2 4 2 3" xfId="6992"/>
    <cellStyle name="Normal 5 3 3 2 4 3" xfId="13461"/>
    <cellStyle name="Normal 5 3 3 2 4 4" xfId="9902"/>
    <cellStyle name="Normal 5 3 3 2 4 5" xfId="4884"/>
    <cellStyle name="Normal 5 3 3 2 5" xfId="1801"/>
    <cellStyle name="Normal 5 3 3 2 5 2" xfId="10964"/>
    <cellStyle name="Normal 5 3 3 2 5 3" xfId="5948"/>
    <cellStyle name="Normal 5 3 3 2 6" xfId="8525"/>
    <cellStyle name="Normal 5 3 3 2 7" xfId="12418"/>
    <cellStyle name="Normal 5 3 3 2 8" xfId="7495"/>
    <cellStyle name="Normal 5 3 3 2 9" xfId="3447"/>
    <cellStyle name="Normal 5 3 3 2_Degree data" xfId="2704"/>
    <cellStyle name="Normal 5 3 3 3" xfId="543"/>
    <cellStyle name="Normal 5 3 3 3 2" xfId="952"/>
    <cellStyle name="Normal 5 3 3 3 2 2" xfId="9802"/>
    <cellStyle name="Normal 5 3 3 3 2 3" xfId="4784"/>
    <cellStyle name="Normal 5 3 3 3 3" xfId="2072"/>
    <cellStyle name="Normal 5 3 3 3 3 2" xfId="11235"/>
    <cellStyle name="Normal 5 3 3 3 3 3" xfId="6219"/>
    <cellStyle name="Normal 5 3 3 3 4" xfId="8918"/>
    <cellStyle name="Normal 5 3 3 3 5" xfId="12689"/>
    <cellStyle name="Normal 5 3 3 3 6" xfId="7395"/>
    <cellStyle name="Normal 5 3 3 3 7" xfId="3849"/>
    <cellStyle name="Normal 5 3 3 4" xfId="806"/>
    <cellStyle name="Normal 5 3 3 4 2" xfId="2421"/>
    <cellStyle name="Normal 5 3 3 4 2 2" xfId="10178"/>
    <cellStyle name="Normal 5 3 3 4 2 3" xfId="5160"/>
    <cellStyle name="Normal 5 3 3 4 3" xfId="6568"/>
    <cellStyle name="Normal 5 3 3 4 3 2" xfId="11583"/>
    <cellStyle name="Normal 5 3 3 4 4" xfId="9294"/>
    <cellStyle name="Normal 5 3 3 4 5" xfId="13037"/>
    <cellStyle name="Normal 5 3 3 4 6" xfId="7771"/>
    <cellStyle name="Normal 5 3 3 4 7" xfId="4225"/>
    <cellStyle name="Normal 5 3 3 5" xfId="1308"/>
    <cellStyle name="Normal 5 3 3 5 2" xfId="2866"/>
    <cellStyle name="Normal 5 3 3 5 2 2" xfId="10511"/>
    <cellStyle name="Normal 5 3 3 5 2 3" xfId="5494"/>
    <cellStyle name="Normal 5 3 3 5 3" xfId="6892"/>
    <cellStyle name="Normal 5 3 3 5 3 2" xfId="11907"/>
    <cellStyle name="Normal 5 3 3 5 4" xfId="8699"/>
    <cellStyle name="Normal 5 3 3 5 5" xfId="13361"/>
    <cellStyle name="Normal 5 3 3 5 6" xfId="8105"/>
    <cellStyle name="Normal 5 3 3 5 7" xfId="3629"/>
    <cellStyle name="Normal 5 3 3 6" xfId="1701"/>
    <cellStyle name="Normal 5 3 3 6 2" xfId="9585"/>
    <cellStyle name="Normal 5 3 3 6 3" xfId="4567"/>
    <cellStyle name="Normal 5 3 3 7" xfId="5848"/>
    <cellStyle name="Normal 5 3 3 7 2" xfId="10864"/>
    <cellStyle name="Normal 5 3 3 8" xfId="8425"/>
    <cellStyle name="Normal 5 3 3 9" xfId="12318"/>
    <cellStyle name="Normal 5 3 3_Degree data" xfId="2686"/>
    <cellStyle name="Normal 5 3 4" xfId="236"/>
    <cellStyle name="Normal 5 3 4 10" xfId="7205"/>
    <cellStyle name="Normal 5 3 4 11" xfId="3269"/>
    <cellStyle name="Normal 5 3 4 2" xfId="313"/>
    <cellStyle name="Normal 5 3 4 2 2" xfId="670"/>
    <cellStyle name="Normal 5 3 4 2 2 2" xfId="2075"/>
    <cellStyle name="Normal 5 3 4 2 2 2 2" xfId="10181"/>
    <cellStyle name="Normal 5 3 4 2 2 2 3" xfId="5163"/>
    <cellStyle name="Normal 5 3 4 2 2 3" xfId="6222"/>
    <cellStyle name="Normal 5 3 4 2 2 3 2" xfId="11238"/>
    <cellStyle name="Normal 5 3 4 2 2 4" xfId="9297"/>
    <cellStyle name="Normal 5 3 4 2 2 5" xfId="12692"/>
    <cellStyle name="Normal 5 3 4 2 2 6" xfId="7774"/>
    <cellStyle name="Normal 5 3 4 2 2 7" xfId="4228"/>
    <cellStyle name="Normal 5 3 4 2 3" xfId="1079"/>
    <cellStyle name="Normal 5 3 4 2 3 2" xfId="2424"/>
    <cellStyle name="Normal 5 3 4 2 3 2 2" xfId="10638"/>
    <cellStyle name="Normal 5 3 4 2 3 2 3" xfId="5621"/>
    <cellStyle name="Normal 5 3 4 2 3 3" xfId="6571"/>
    <cellStyle name="Normal 5 3 4 2 3 3 2" xfId="11586"/>
    <cellStyle name="Normal 5 3 4 2 3 4" xfId="9045"/>
    <cellStyle name="Normal 5 3 4 2 3 5" xfId="13040"/>
    <cellStyle name="Normal 5 3 4 2 3 6" xfId="8232"/>
    <cellStyle name="Normal 5 3 4 2 3 7" xfId="3976"/>
    <cellStyle name="Normal 5 3 4 2 4" xfId="1437"/>
    <cellStyle name="Normal 5 3 4 2 4 2" xfId="2996"/>
    <cellStyle name="Normal 5 3 4 2 4 2 2" xfId="12034"/>
    <cellStyle name="Normal 5 3 4 2 4 2 3" xfId="7019"/>
    <cellStyle name="Normal 5 3 4 2 4 3" xfId="13488"/>
    <cellStyle name="Normal 5 3 4 2 4 4" xfId="9929"/>
    <cellStyle name="Normal 5 3 4 2 4 5" xfId="4911"/>
    <cellStyle name="Normal 5 3 4 2 5" xfId="1828"/>
    <cellStyle name="Normal 5 3 4 2 5 2" xfId="10991"/>
    <cellStyle name="Normal 5 3 4 2 5 3" xfId="5975"/>
    <cellStyle name="Normal 5 3 4 2 6" xfId="8552"/>
    <cellStyle name="Normal 5 3 4 2 7" xfId="12445"/>
    <cellStyle name="Normal 5 3 4 2 8" xfId="7522"/>
    <cellStyle name="Normal 5 3 4 2 9" xfId="3474"/>
    <cellStyle name="Normal 5 3 4 2_Degree data" xfId="2774"/>
    <cellStyle name="Normal 5 3 4 3" xfId="465"/>
    <cellStyle name="Normal 5 3 4 3 2" xfId="2074"/>
    <cellStyle name="Normal 5 3 4 3 2 2" xfId="9724"/>
    <cellStyle name="Normal 5 3 4 3 2 3" xfId="4706"/>
    <cellStyle name="Normal 5 3 4 3 3" xfId="6221"/>
    <cellStyle name="Normal 5 3 4 3 3 2" xfId="11237"/>
    <cellStyle name="Normal 5 3 4 3 4" xfId="8840"/>
    <cellStyle name="Normal 5 3 4 3 5" xfId="12691"/>
    <cellStyle name="Normal 5 3 4 3 6" xfId="7317"/>
    <cellStyle name="Normal 5 3 4 3 7" xfId="3771"/>
    <cellStyle name="Normal 5 3 4 4" xfId="874"/>
    <cellStyle name="Normal 5 3 4 4 2" xfId="2423"/>
    <cellStyle name="Normal 5 3 4 4 2 2" xfId="10180"/>
    <cellStyle name="Normal 5 3 4 4 2 3" xfId="5162"/>
    <cellStyle name="Normal 5 3 4 4 3" xfId="6570"/>
    <cellStyle name="Normal 5 3 4 4 3 2" xfId="11585"/>
    <cellStyle name="Normal 5 3 4 4 4" xfId="9296"/>
    <cellStyle name="Normal 5 3 4 4 5" xfId="13039"/>
    <cellStyle name="Normal 5 3 4 4 6" xfId="7773"/>
    <cellStyle name="Normal 5 3 4 4 7" xfId="4227"/>
    <cellStyle name="Normal 5 3 4 5" xfId="1226"/>
    <cellStyle name="Normal 5 3 4 5 2" xfId="2782"/>
    <cellStyle name="Normal 5 3 4 5 2 2" xfId="10433"/>
    <cellStyle name="Normal 5 3 4 5 2 3" xfId="5416"/>
    <cellStyle name="Normal 5 3 4 5 3" xfId="6814"/>
    <cellStyle name="Normal 5 3 4 5 3 2" xfId="11829"/>
    <cellStyle name="Normal 5 3 4 5 4" xfId="8726"/>
    <cellStyle name="Normal 5 3 4 5 5" xfId="13283"/>
    <cellStyle name="Normal 5 3 4 5 6" xfId="8027"/>
    <cellStyle name="Normal 5 3 4 5 7" xfId="3656"/>
    <cellStyle name="Normal 5 3 4 6" xfId="1623"/>
    <cellStyle name="Normal 5 3 4 6 2" xfId="9612"/>
    <cellStyle name="Normal 5 3 4 6 3" xfId="4594"/>
    <cellStyle name="Normal 5 3 4 7" xfId="5770"/>
    <cellStyle name="Normal 5 3 4 7 2" xfId="10786"/>
    <cellStyle name="Normal 5 3 4 8" xfId="8347"/>
    <cellStyle name="Normal 5 3 4 9" xfId="12240"/>
    <cellStyle name="Normal 5 3 4_Degree data" xfId="2649"/>
    <cellStyle name="Normal 5 3 5" xfId="262"/>
    <cellStyle name="Normal 5 3 5 2" xfId="565"/>
    <cellStyle name="Normal 5 3 5 2 2" xfId="2076"/>
    <cellStyle name="Normal 5 3 5 2 2 2" xfId="10182"/>
    <cellStyle name="Normal 5 3 5 2 2 3" xfId="5164"/>
    <cellStyle name="Normal 5 3 5 2 3" xfId="6223"/>
    <cellStyle name="Normal 5 3 5 2 3 2" xfId="11239"/>
    <cellStyle name="Normal 5 3 5 2 4" xfId="9298"/>
    <cellStyle name="Normal 5 3 5 2 5" xfId="12693"/>
    <cellStyle name="Normal 5 3 5 2 6" xfId="7775"/>
    <cellStyle name="Normal 5 3 5 2 7" xfId="4229"/>
    <cellStyle name="Normal 5 3 5 3" xfId="974"/>
    <cellStyle name="Normal 5 3 5 3 2" xfId="2425"/>
    <cellStyle name="Normal 5 3 5 3 2 2" xfId="10533"/>
    <cellStyle name="Normal 5 3 5 3 2 3" xfId="5516"/>
    <cellStyle name="Normal 5 3 5 3 3" xfId="6572"/>
    <cellStyle name="Normal 5 3 5 3 3 2" xfId="11587"/>
    <cellStyle name="Normal 5 3 5 3 4" xfId="8940"/>
    <cellStyle name="Normal 5 3 5 3 5" xfId="13041"/>
    <cellStyle name="Normal 5 3 5 3 6" xfId="8127"/>
    <cellStyle name="Normal 5 3 5 3 7" xfId="3871"/>
    <cellStyle name="Normal 5 3 5 4" xfId="1330"/>
    <cellStyle name="Normal 5 3 5 4 2" xfId="2888"/>
    <cellStyle name="Normal 5 3 5 4 2 2" xfId="11929"/>
    <cellStyle name="Normal 5 3 5 4 2 3" xfId="6914"/>
    <cellStyle name="Normal 5 3 5 4 3" xfId="13383"/>
    <cellStyle name="Normal 5 3 5 4 4" xfId="9824"/>
    <cellStyle name="Normal 5 3 5 4 5" xfId="4806"/>
    <cellStyle name="Normal 5 3 5 5" xfId="1723"/>
    <cellStyle name="Normal 5 3 5 5 2" xfId="10886"/>
    <cellStyle name="Normal 5 3 5 5 3" xfId="5870"/>
    <cellStyle name="Normal 5 3 5 6" xfId="8447"/>
    <cellStyle name="Normal 5 3 5 7" xfId="12340"/>
    <cellStyle name="Normal 5 3 5 8" xfId="7417"/>
    <cellStyle name="Normal 5 3 5 9" xfId="3369"/>
    <cellStyle name="Normal 5 3 5_Degree data" xfId="2736"/>
    <cellStyle name="Normal 5 3 6" xfId="418"/>
    <cellStyle name="Normal 5 3 6 2" xfId="826"/>
    <cellStyle name="Normal 5 3 6 2 2" xfId="2077"/>
    <cellStyle name="Normal 5 3 6 2 2 2" xfId="10183"/>
    <cellStyle name="Normal 5 3 6 2 2 3" xfId="5165"/>
    <cellStyle name="Normal 5 3 6 2 3" xfId="6224"/>
    <cellStyle name="Normal 5 3 6 2 3 2" xfId="11240"/>
    <cellStyle name="Normal 5 3 6 2 4" xfId="9299"/>
    <cellStyle name="Normal 5 3 6 2 5" xfId="12694"/>
    <cellStyle name="Normal 5 3 6 2 6" xfId="7776"/>
    <cellStyle name="Normal 5 3 6 2 7" xfId="4230"/>
    <cellStyle name="Normal 5 3 6 3" xfId="1176"/>
    <cellStyle name="Normal 5 3 6 3 2" xfId="2426"/>
    <cellStyle name="Normal 5 3 6 3 2 2" xfId="10386"/>
    <cellStyle name="Normal 5 3 6 3 2 3" xfId="5369"/>
    <cellStyle name="Normal 5 3 6 3 3" xfId="6573"/>
    <cellStyle name="Normal 5 3 6 3 3 2" xfId="11588"/>
    <cellStyle name="Normal 5 3 6 3 4" xfId="8613"/>
    <cellStyle name="Normal 5 3 6 3 5" xfId="13042"/>
    <cellStyle name="Normal 5 3 6 3 6" xfId="7980"/>
    <cellStyle name="Normal 5 3 6 3 7" xfId="3535"/>
    <cellStyle name="Normal 5 3 6 4" xfId="2727"/>
    <cellStyle name="Normal 5 3 6 4 2" xfId="6767"/>
    <cellStyle name="Normal 5 3 6 4 2 2" xfId="11782"/>
    <cellStyle name="Normal 5 3 6 4 3" xfId="13236"/>
    <cellStyle name="Normal 5 3 6 4 4" xfId="9677"/>
    <cellStyle name="Normal 5 3 6 4 5" xfId="4659"/>
    <cellStyle name="Normal 5 3 6 5" xfId="1576"/>
    <cellStyle name="Normal 5 3 6 5 2" xfId="10737"/>
    <cellStyle name="Normal 5 3 6 5 3" xfId="5721"/>
    <cellStyle name="Normal 5 3 6 6" xfId="8793"/>
    <cellStyle name="Normal 5 3 6 7" xfId="12193"/>
    <cellStyle name="Normal 5 3 6 8" xfId="7270"/>
    <cellStyle name="Normal 5 3 6 9" xfId="3724"/>
    <cellStyle name="Normal 5 3 6_Degree data" xfId="2699"/>
    <cellStyle name="Normal 5 3 7" xfId="752"/>
    <cellStyle name="Normal 5 3 7 2" xfId="2066"/>
    <cellStyle name="Normal 5 3 7 2 2" xfId="10172"/>
    <cellStyle name="Normal 5 3 7 2 3" xfId="5154"/>
    <cellStyle name="Normal 5 3 7 3" xfId="6213"/>
    <cellStyle name="Normal 5 3 7 3 2" xfId="11229"/>
    <cellStyle name="Normal 5 3 7 4" xfId="9288"/>
    <cellStyle name="Normal 5 3 7 5" xfId="12683"/>
    <cellStyle name="Normal 5 3 7 6" xfId="7765"/>
    <cellStyle name="Normal 5 3 7 7" xfId="4219"/>
    <cellStyle name="Normal 5 3 8" xfId="1156"/>
    <cellStyle name="Normal 5 3 8 2" xfId="2415"/>
    <cellStyle name="Normal 5 3 8 2 2" xfId="10366"/>
    <cellStyle name="Normal 5 3 8 2 3" xfId="5349"/>
    <cellStyle name="Normal 5 3 8 3" xfId="6562"/>
    <cellStyle name="Normal 5 3 8 3 2" xfId="11577"/>
    <cellStyle name="Normal 5 3 8 4" xfId="8620"/>
    <cellStyle name="Normal 5 3 8 5" xfId="13031"/>
    <cellStyle name="Normal 5 3 8 6" xfId="7960"/>
    <cellStyle name="Normal 5 3 8 7" xfId="3544"/>
    <cellStyle name="Normal 5 3 9" xfId="2701"/>
    <cellStyle name="Normal 5 3 9 2" xfId="6747"/>
    <cellStyle name="Normal 5 3 9 2 2" xfId="11762"/>
    <cellStyle name="Normal 5 3 9 3" xfId="13216"/>
    <cellStyle name="Normal 5 3 9 4" xfId="9506"/>
    <cellStyle name="Normal 5 3 9 5" xfId="4488"/>
    <cellStyle name="Normal 5 3_Degree data" xfId="2713"/>
    <cellStyle name="Normal 5 4" xfId="108"/>
    <cellStyle name="Normal 5 4 10" xfId="1525"/>
    <cellStyle name="Normal 5 4 10 2" xfId="8322"/>
    <cellStyle name="Normal 5 4 11" xfId="12142"/>
    <cellStyle name="Normal 5 4 12" xfId="7134"/>
    <cellStyle name="Normal 5 4 13" xfId="3243"/>
    <cellStyle name="Normal 5 4 2" xfId="173"/>
    <cellStyle name="Normal 5 4 2 10" xfId="7177"/>
    <cellStyle name="Normal 5 4 2 11" xfId="3346"/>
    <cellStyle name="Normal 5 4 2 2" xfId="391"/>
    <cellStyle name="Normal 5 4 2 2 2" xfId="642"/>
    <cellStyle name="Normal 5 4 2 2 2 2" xfId="2080"/>
    <cellStyle name="Normal 5 4 2 2 2 2 2" xfId="10186"/>
    <cellStyle name="Normal 5 4 2 2 2 2 3" xfId="5168"/>
    <cellStyle name="Normal 5 4 2 2 2 3" xfId="6227"/>
    <cellStyle name="Normal 5 4 2 2 2 3 2" xfId="11243"/>
    <cellStyle name="Normal 5 4 2 2 2 4" xfId="9302"/>
    <cellStyle name="Normal 5 4 2 2 2 5" xfId="12697"/>
    <cellStyle name="Normal 5 4 2 2 2 6" xfId="7779"/>
    <cellStyle name="Normal 5 4 2 2 2 7" xfId="4233"/>
    <cellStyle name="Normal 5 4 2 2 3" xfId="1051"/>
    <cellStyle name="Normal 5 4 2 2 3 2" xfId="2429"/>
    <cellStyle name="Normal 5 4 2 2 3 2 2" xfId="10610"/>
    <cellStyle name="Normal 5 4 2 2 3 2 3" xfId="5593"/>
    <cellStyle name="Normal 5 4 2 2 3 3" xfId="6576"/>
    <cellStyle name="Normal 5 4 2 2 3 3 2" xfId="11591"/>
    <cellStyle name="Normal 5 4 2 2 3 4" xfId="9017"/>
    <cellStyle name="Normal 5 4 2 2 3 5" xfId="13045"/>
    <cellStyle name="Normal 5 4 2 2 3 6" xfId="8204"/>
    <cellStyle name="Normal 5 4 2 2 3 7" xfId="3948"/>
    <cellStyle name="Normal 5 4 2 2 4" xfId="1408"/>
    <cellStyle name="Normal 5 4 2 2 4 2" xfId="2966"/>
    <cellStyle name="Normal 5 4 2 2 4 2 2" xfId="12006"/>
    <cellStyle name="Normal 5 4 2 2 4 2 3" xfId="6991"/>
    <cellStyle name="Normal 5 4 2 2 4 3" xfId="13460"/>
    <cellStyle name="Normal 5 4 2 2 4 4" xfId="9901"/>
    <cellStyle name="Normal 5 4 2 2 4 5" xfId="4883"/>
    <cellStyle name="Normal 5 4 2 2 5" xfId="1800"/>
    <cellStyle name="Normal 5 4 2 2 5 2" xfId="10963"/>
    <cellStyle name="Normal 5 4 2 2 5 3" xfId="5947"/>
    <cellStyle name="Normal 5 4 2 2 6" xfId="8524"/>
    <cellStyle name="Normal 5 4 2 2 7" xfId="12417"/>
    <cellStyle name="Normal 5 4 2 2 8" xfId="7494"/>
    <cellStyle name="Normal 5 4 2 2 9" xfId="3446"/>
    <cellStyle name="Normal 5 4 2 2_Degree data" xfId="2688"/>
    <cellStyle name="Normal 5 4 2 3" xfId="542"/>
    <cellStyle name="Normal 5 4 2 3 2" xfId="951"/>
    <cellStyle name="Normal 5 4 2 3 2 2" xfId="9801"/>
    <cellStyle name="Normal 5 4 2 3 2 3" xfId="4783"/>
    <cellStyle name="Normal 5 4 2 3 3" xfId="2079"/>
    <cellStyle name="Normal 5 4 2 3 3 2" xfId="11242"/>
    <cellStyle name="Normal 5 4 2 3 3 3" xfId="6226"/>
    <cellStyle name="Normal 5 4 2 3 4" xfId="8917"/>
    <cellStyle name="Normal 5 4 2 3 5" xfId="12696"/>
    <cellStyle name="Normal 5 4 2 3 6" xfId="7394"/>
    <cellStyle name="Normal 5 4 2 3 7" xfId="3848"/>
    <cellStyle name="Normal 5 4 2 4" xfId="775"/>
    <cellStyle name="Normal 5 4 2 4 2" xfId="2428"/>
    <cellStyle name="Normal 5 4 2 4 2 2" xfId="10185"/>
    <cellStyle name="Normal 5 4 2 4 2 3" xfId="5167"/>
    <cellStyle name="Normal 5 4 2 4 3" xfId="6575"/>
    <cellStyle name="Normal 5 4 2 4 3 2" xfId="11590"/>
    <cellStyle name="Normal 5 4 2 4 4" xfId="9301"/>
    <cellStyle name="Normal 5 4 2 4 5" xfId="13044"/>
    <cellStyle name="Normal 5 4 2 4 6" xfId="7778"/>
    <cellStyle name="Normal 5 4 2 4 7" xfId="4232"/>
    <cellStyle name="Normal 5 4 2 5" xfId="1307"/>
    <cellStyle name="Normal 5 4 2 5 2" xfId="2864"/>
    <cellStyle name="Normal 5 4 2 5 2 2" xfId="10510"/>
    <cellStyle name="Normal 5 4 2 5 2 3" xfId="5493"/>
    <cellStyle name="Normal 5 4 2 5 3" xfId="6891"/>
    <cellStyle name="Normal 5 4 2 5 3 2" xfId="11906"/>
    <cellStyle name="Normal 5 4 2 5 4" xfId="8698"/>
    <cellStyle name="Normal 5 4 2 5 5" xfId="13360"/>
    <cellStyle name="Normal 5 4 2 5 6" xfId="8104"/>
    <cellStyle name="Normal 5 4 2 5 7" xfId="3627"/>
    <cellStyle name="Normal 5 4 2 6" xfId="1700"/>
    <cellStyle name="Normal 5 4 2 6 2" xfId="9584"/>
    <cellStyle name="Normal 5 4 2 6 3" xfId="4566"/>
    <cellStyle name="Normal 5 4 2 7" xfId="5847"/>
    <cellStyle name="Normal 5 4 2 7 2" xfId="10863"/>
    <cellStyle name="Normal 5 4 2 8" xfId="8424"/>
    <cellStyle name="Normal 5 4 2 9" xfId="12317"/>
    <cellStyle name="Normal 5 4 2_Degree data" xfId="2591"/>
    <cellStyle name="Normal 5 4 3" xfId="199"/>
    <cellStyle name="Normal 5 4 3 10" xfId="7238"/>
    <cellStyle name="Normal 5 4 3 11" xfId="3303"/>
    <cellStyle name="Normal 5 4 3 2" xfId="347"/>
    <cellStyle name="Normal 5 4 3 2 2" xfId="703"/>
    <cellStyle name="Normal 5 4 3 2 2 2" xfId="2082"/>
    <cellStyle name="Normal 5 4 3 2 2 2 2" xfId="10188"/>
    <cellStyle name="Normal 5 4 3 2 2 2 3" xfId="5170"/>
    <cellStyle name="Normal 5 4 3 2 2 3" xfId="6229"/>
    <cellStyle name="Normal 5 4 3 2 2 3 2" xfId="11245"/>
    <cellStyle name="Normal 5 4 3 2 2 4" xfId="9304"/>
    <cellStyle name="Normal 5 4 3 2 2 5" xfId="12699"/>
    <cellStyle name="Normal 5 4 3 2 2 6" xfId="7781"/>
    <cellStyle name="Normal 5 4 3 2 2 7" xfId="4235"/>
    <cellStyle name="Normal 5 4 3 2 3" xfId="1112"/>
    <cellStyle name="Normal 5 4 3 2 3 2" xfId="2431"/>
    <cellStyle name="Normal 5 4 3 2 3 2 2" xfId="10671"/>
    <cellStyle name="Normal 5 4 3 2 3 2 3" xfId="5654"/>
    <cellStyle name="Normal 5 4 3 2 3 3" xfId="6578"/>
    <cellStyle name="Normal 5 4 3 2 3 3 2" xfId="11593"/>
    <cellStyle name="Normal 5 4 3 2 3 4" xfId="9078"/>
    <cellStyle name="Normal 5 4 3 2 3 5" xfId="13047"/>
    <cellStyle name="Normal 5 4 3 2 3 6" xfId="8265"/>
    <cellStyle name="Normal 5 4 3 2 3 7" xfId="4009"/>
    <cellStyle name="Normal 5 4 3 2 4" xfId="1470"/>
    <cellStyle name="Normal 5 4 3 2 4 2" xfId="3029"/>
    <cellStyle name="Normal 5 4 3 2 4 2 2" xfId="12067"/>
    <cellStyle name="Normal 5 4 3 2 4 2 3" xfId="7052"/>
    <cellStyle name="Normal 5 4 3 2 4 3" xfId="13521"/>
    <cellStyle name="Normal 5 4 3 2 4 4" xfId="9962"/>
    <cellStyle name="Normal 5 4 3 2 4 5" xfId="4944"/>
    <cellStyle name="Normal 5 4 3 2 5" xfId="1861"/>
    <cellStyle name="Normal 5 4 3 2 5 2" xfId="11024"/>
    <cellStyle name="Normal 5 4 3 2 5 3" xfId="6008"/>
    <cellStyle name="Normal 5 4 3 2 6" xfId="8585"/>
    <cellStyle name="Normal 5 4 3 2 7" xfId="12478"/>
    <cellStyle name="Normal 5 4 3 2 8" xfId="7555"/>
    <cellStyle name="Normal 5 4 3 2 9" xfId="3507"/>
    <cellStyle name="Normal 5 4 3 2_Degree data" xfId="2650"/>
    <cellStyle name="Normal 5 4 3 3" xfId="499"/>
    <cellStyle name="Normal 5 4 3 3 2" xfId="908"/>
    <cellStyle name="Normal 5 4 3 3 2 2" xfId="9758"/>
    <cellStyle name="Normal 5 4 3 3 2 3" xfId="4740"/>
    <cellStyle name="Normal 5 4 3 3 3" xfId="2081"/>
    <cellStyle name="Normal 5 4 3 3 3 2" xfId="11244"/>
    <cellStyle name="Normal 5 4 3 3 3 3" xfId="6228"/>
    <cellStyle name="Normal 5 4 3 3 4" xfId="8874"/>
    <cellStyle name="Normal 5 4 3 3 5" xfId="12698"/>
    <cellStyle name="Normal 5 4 3 3 6" xfId="7351"/>
    <cellStyle name="Normal 5 4 3 3 7" xfId="3805"/>
    <cellStyle name="Normal 5 4 3 4" xfId="805"/>
    <cellStyle name="Normal 5 4 3 4 2" xfId="2430"/>
    <cellStyle name="Normal 5 4 3 4 2 2" xfId="10187"/>
    <cellStyle name="Normal 5 4 3 4 2 3" xfId="5169"/>
    <cellStyle name="Normal 5 4 3 4 3" xfId="6577"/>
    <cellStyle name="Normal 5 4 3 4 3 2" xfId="11592"/>
    <cellStyle name="Normal 5 4 3 4 4" xfId="9303"/>
    <cellStyle name="Normal 5 4 3 4 5" xfId="13046"/>
    <cellStyle name="Normal 5 4 3 4 6" xfId="7780"/>
    <cellStyle name="Normal 5 4 3 4 7" xfId="4234"/>
    <cellStyle name="Normal 5 4 3 5" xfId="1263"/>
    <cellStyle name="Normal 5 4 3 5 2" xfId="2819"/>
    <cellStyle name="Normal 5 4 3 5 2 2" xfId="10467"/>
    <cellStyle name="Normal 5 4 3 5 2 3" xfId="5450"/>
    <cellStyle name="Normal 5 4 3 5 3" xfId="6848"/>
    <cellStyle name="Normal 5 4 3 5 3 2" xfId="11863"/>
    <cellStyle name="Normal 5 4 3 5 4" xfId="8759"/>
    <cellStyle name="Normal 5 4 3 5 5" xfId="13317"/>
    <cellStyle name="Normal 5 4 3 5 6" xfId="8061"/>
    <cellStyle name="Normal 5 4 3 5 7" xfId="3689"/>
    <cellStyle name="Normal 5 4 3 6" xfId="1657"/>
    <cellStyle name="Normal 5 4 3 6 2" xfId="9645"/>
    <cellStyle name="Normal 5 4 3 6 3" xfId="4627"/>
    <cellStyle name="Normal 5 4 3 7" xfId="5804"/>
    <cellStyle name="Normal 5 4 3 7 2" xfId="10820"/>
    <cellStyle name="Normal 5 4 3 8" xfId="8381"/>
    <cellStyle name="Normal 5 4 3 9" xfId="12274"/>
    <cellStyle name="Normal 5 4 3_Degree data" xfId="2705"/>
    <cellStyle name="Normal 5 4 4" xfId="235"/>
    <cellStyle name="Normal 5 4 4 2" xfId="599"/>
    <cellStyle name="Normal 5 4 4 2 2" xfId="2083"/>
    <cellStyle name="Normal 5 4 4 2 2 2" xfId="10189"/>
    <cellStyle name="Normal 5 4 4 2 2 3" xfId="5171"/>
    <cellStyle name="Normal 5 4 4 2 3" xfId="6230"/>
    <cellStyle name="Normal 5 4 4 2 3 2" xfId="11246"/>
    <cellStyle name="Normal 5 4 4 2 4" xfId="9305"/>
    <cellStyle name="Normal 5 4 4 2 5" xfId="12700"/>
    <cellStyle name="Normal 5 4 4 2 6" xfId="7782"/>
    <cellStyle name="Normal 5 4 4 2 7" xfId="4236"/>
    <cellStyle name="Normal 5 4 4 3" xfId="1008"/>
    <cellStyle name="Normal 5 4 4 3 2" xfId="2432"/>
    <cellStyle name="Normal 5 4 4 3 2 2" xfId="10567"/>
    <cellStyle name="Normal 5 4 4 3 2 3" xfId="5550"/>
    <cellStyle name="Normal 5 4 4 3 3" xfId="6579"/>
    <cellStyle name="Normal 5 4 4 3 3 2" xfId="11594"/>
    <cellStyle name="Normal 5 4 4 3 4" xfId="8974"/>
    <cellStyle name="Normal 5 4 4 3 5" xfId="13048"/>
    <cellStyle name="Normal 5 4 4 3 6" xfId="8161"/>
    <cellStyle name="Normal 5 4 4 3 7" xfId="3905"/>
    <cellStyle name="Normal 5 4 4 4" xfId="1364"/>
    <cellStyle name="Normal 5 4 4 4 2" xfId="2922"/>
    <cellStyle name="Normal 5 4 4 4 2 2" xfId="11963"/>
    <cellStyle name="Normal 5 4 4 4 2 3" xfId="6948"/>
    <cellStyle name="Normal 5 4 4 4 3" xfId="13417"/>
    <cellStyle name="Normal 5 4 4 4 4" xfId="9858"/>
    <cellStyle name="Normal 5 4 4 4 5" xfId="4840"/>
    <cellStyle name="Normal 5 4 4 5" xfId="1757"/>
    <cellStyle name="Normal 5 4 4 5 2" xfId="10920"/>
    <cellStyle name="Normal 5 4 4 5 3" xfId="5904"/>
    <cellStyle name="Normal 5 4 4 6" xfId="8481"/>
    <cellStyle name="Normal 5 4 4 7" xfId="12374"/>
    <cellStyle name="Normal 5 4 4 8" xfId="7451"/>
    <cellStyle name="Normal 5 4 4 9" xfId="3403"/>
    <cellStyle name="Normal 5 4 4_Degree data" xfId="2697"/>
    <cellStyle name="Normal 5 4 5" xfId="284"/>
    <cellStyle name="Normal 5 4 5 2" xfId="848"/>
    <cellStyle name="Normal 5 4 5 2 2" xfId="2084"/>
    <cellStyle name="Normal 5 4 5 2 2 2" xfId="10190"/>
    <cellStyle name="Normal 5 4 5 2 2 3" xfId="5172"/>
    <cellStyle name="Normal 5 4 5 2 3" xfId="6231"/>
    <cellStyle name="Normal 5 4 5 2 3 2" xfId="11247"/>
    <cellStyle name="Normal 5 4 5 2 4" xfId="9306"/>
    <cellStyle name="Normal 5 4 5 2 5" xfId="12701"/>
    <cellStyle name="Normal 5 4 5 2 6" xfId="7783"/>
    <cellStyle name="Normal 5 4 5 2 7" xfId="4237"/>
    <cellStyle name="Normal 5 4 5 3" xfId="1199"/>
    <cellStyle name="Normal 5 4 5 3 2" xfId="2433"/>
    <cellStyle name="Normal 5 4 5 3 2 2" xfId="10408"/>
    <cellStyle name="Normal 5 4 5 3 2 3" xfId="5391"/>
    <cellStyle name="Normal 5 4 5 3 3" xfId="6580"/>
    <cellStyle name="Normal 5 4 5 3 3 2" xfId="11595"/>
    <cellStyle name="Normal 5 4 5 3 4" xfId="9474"/>
    <cellStyle name="Normal 5 4 5 3 5" xfId="13049"/>
    <cellStyle name="Normal 5 4 5 3 6" xfId="8002"/>
    <cellStyle name="Normal 5 4 5 3 7" xfId="4456"/>
    <cellStyle name="Normal 5 4 5 4" xfId="2751"/>
    <cellStyle name="Normal 5 4 5 4 2" xfId="6789"/>
    <cellStyle name="Normal 5 4 5 4 2 2" xfId="11804"/>
    <cellStyle name="Normal 5 4 5 4 3" xfId="13258"/>
    <cellStyle name="Normal 5 4 5 4 4" xfId="9699"/>
    <cellStyle name="Normal 5 4 5 4 5" xfId="4681"/>
    <cellStyle name="Normal 5 4 5 5" xfId="1598"/>
    <cellStyle name="Normal 5 4 5 5 2" xfId="10759"/>
    <cellStyle name="Normal 5 4 5 5 3" xfId="5743"/>
    <cellStyle name="Normal 5 4 5 6" xfId="8815"/>
    <cellStyle name="Normal 5 4 5 7" xfId="12215"/>
    <cellStyle name="Normal 5 4 5 8" xfId="7292"/>
    <cellStyle name="Normal 5 4 5 9" xfId="3746"/>
    <cellStyle name="Normal 5 4 5_Degree data" xfId="2820"/>
    <cellStyle name="Normal 5 4 6" xfId="440"/>
    <cellStyle name="Normal 5 4 6 2" xfId="2078"/>
    <cellStyle name="Normal 5 4 6 2 2" xfId="10184"/>
    <cellStyle name="Normal 5 4 6 2 3" xfId="5166"/>
    <cellStyle name="Normal 5 4 6 3" xfId="6225"/>
    <cellStyle name="Normal 5 4 6 3 2" xfId="11241"/>
    <cellStyle name="Normal 5 4 6 4" xfId="9300"/>
    <cellStyle name="Normal 5 4 6 5" xfId="12695"/>
    <cellStyle name="Normal 5 4 6 6" xfId="7777"/>
    <cellStyle name="Normal 5 4 6 7" xfId="4231"/>
    <cellStyle name="Normal 5 4 7" xfId="751"/>
    <cellStyle name="Normal 5 4 7 2" xfId="2427"/>
    <cellStyle name="Normal 5 4 7 2 2" xfId="10365"/>
    <cellStyle name="Normal 5 4 7 2 3" xfId="5348"/>
    <cellStyle name="Normal 5 4 7 3" xfId="6574"/>
    <cellStyle name="Normal 5 4 7 3 2" xfId="11589"/>
    <cellStyle name="Normal 5 4 7 4" xfId="8654"/>
    <cellStyle name="Normal 5 4 7 5" xfId="13043"/>
    <cellStyle name="Normal 5 4 7 6" xfId="7959"/>
    <cellStyle name="Normal 5 4 7 7" xfId="3581"/>
    <cellStyle name="Normal 5 4 8" xfId="1155"/>
    <cellStyle name="Normal 5 4 8 2" xfId="2680"/>
    <cellStyle name="Normal 5 4 8 2 2" xfId="11761"/>
    <cellStyle name="Normal 5 4 8 2 3" xfId="6746"/>
    <cellStyle name="Normal 5 4 8 3" xfId="13215"/>
    <cellStyle name="Normal 5 4 8 4" xfId="9541"/>
    <cellStyle name="Normal 5 4 8 5" xfId="4523"/>
    <cellStyle name="Normal 5 4 9" xfId="1555"/>
    <cellStyle name="Normal 5 4 9 2" xfId="12172"/>
    <cellStyle name="Normal 5 4 9 3" xfId="10716"/>
    <cellStyle name="Normal 5 4 9 4" xfId="5700"/>
    <cellStyle name="Normal 5 4_Degree data" xfId="2651"/>
    <cellStyle name="Normal 5 5" xfId="165"/>
    <cellStyle name="Normal 5 5 10" xfId="8310"/>
    <cellStyle name="Normal 5 5 11" xfId="12130"/>
    <cellStyle name="Normal 5 5 12" xfId="7122"/>
    <cellStyle name="Normal 5 5 13" xfId="3231"/>
    <cellStyle name="Normal 5 5 2" xfId="379"/>
    <cellStyle name="Normal 5 5 2 10" xfId="7165"/>
    <cellStyle name="Normal 5 5 2 11" xfId="3334"/>
    <cellStyle name="Normal 5 5 2 2" xfId="630"/>
    <cellStyle name="Normal 5 5 2 2 2" xfId="1039"/>
    <cellStyle name="Normal 5 5 2 2 2 2" xfId="2087"/>
    <cellStyle name="Normal 5 5 2 2 2 2 2" xfId="10193"/>
    <cellStyle name="Normal 5 5 2 2 2 2 3" xfId="5175"/>
    <cellStyle name="Normal 5 5 2 2 2 3" xfId="6234"/>
    <cellStyle name="Normal 5 5 2 2 2 3 2" xfId="11250"/>
    <cellStyle name="Normal 5 5 2 2 2 4" xfId="9309"/>
    <cellStyle name="Normal 5 5 2 2 2 5" xfId="12704"/>
    <cellStyle name="Normal 5 5 2 2 2 6" xfId="7786"/>
    <cellStyle name="Normal 5 5 2 2 2 7" xfId="4240"/>
    <cellStyle name="Normal 5 5 2 2 3" xfId="1396"/>
    <cellStyle name="Normal 5 5 2 2 3 2" xfId="2436"/>
    <cellStyle name="Normal 5 5 2 2 3 2 2" xfId="10598"/>
    <cellStyle name="Normal 5 5 2 2 3 2 3" xfId="5581"/>
    <cellStyle name="Normal 5 5 2 2 3 3" xfId="6583"/>
    <cellStyle name="Normal 5 5 2 2 3 3 2" xfId="11598"/>
    <cellStyle name="Normal 5 5 2 2 3 4" xfId="9005"/>
    <cellStyle name="Normal 5 5 2 2 3 5" xfId="13052"/>
    <cellStyle name="Normal 5 5 2 2 3 6" xfId="8192"/>
    <cellStyle name="Normal 5 5 2 2 3 7" xfId="3936"/>
    <cellStyle name="Normal 5 5 2 2 4" xfId="2954"/>
    <cellStyle name="Normal 5 5 2 2 4 2" xfId="6979"/>
    <cellStyle name="Normal 5 5 2 2 4 2 2" xfId="11994"/>
    <cellStyle name="Normal 5 5 2 2 4 3" xfId="13448"/>
    <cellStyle name="Normal 5 5 2 2 4 4" xfId="9889"/>
    <cellStyle name="Normal 5 5 2 2 4 5" xfId="4871"/>
    <cellStyle name="Normal 5 5 2 2 5" xfId="1788"/>
    <cellStyle name="Normal 5 5 2 2 5 2" xfId="10951"/>
    <cellStyle name="Normal 5 5 2 2 5 3" xfId="5935"/>
    <cellStyle name="Normal 5 5 2 2 6" xfId="8512"/>
    <cellStyle name="Normal 5 5 2 2 7" xfId="12405"/>
    <cellStyle name="Normal 5 5 2 2 8" xfId="7482"/>
    <cellStyle name="Normal 5 5 2 2 9" xfId="3434"/>
    <cellStyle name="Normal 5 5 2 2_Degree data" xfId="2682"/>
    <cellStyle name="Normal 5 5 2 3" xfId="530"/>
    <cellStyle name="Normal 5 5 2 3 2" xfId="2086"/>
    <cellStyle name="Normal 5 5 2 3 2 2" xfId="9789"/>
    <cellStyle name="Normal 5 5 2 3 2 3" xfId="4771"/>
    <cellStyle name="Normal 5 5 2 3 3" xfId="6233"/>
    <cellStyle name="Normal 5 5 2 3 3 2" xfId="11249"/>
    <cellStyle name="Normal 5 5 2 3 4" xfId="8905"/>
    <cellStyle name="Normal 5 5 2 3 5" xfId="12703"/>
    <cellStyle name="Normal 5 5 2 3 6" xfId="7382"/>
    <cellStyle name="Normal 5 5 2 3 7" xfId="3836"/>
    <cellStyle name="Normal 5 5 2 4" xfId="939"/>
    <cellStyle name="Normal 5 5 2 4 2" xfId="2435"/>
    <cellStyle name="Normal 5 5 2 4 2 2" xfId="10192"/>
    <cellStyle name="Normal 5 5 2 4 2 3" xfId="5174"/>
    <cellStyle name="Normal 5 5 2 4 3" xfId="6582"/>
    <cellStyle name="Normal 5 5 2 4 3 2" xfId="11597"/>
    <cellStyle name="Normal 5 5 2 4 4" xfId="9308"/>
    <cellStyle name="Normal 5 5 2 4 5" xfId="13051"/>
    <cellStyle name="Normal 5 5 2 4 6" xfId="7785"/>
    <cellStyle name="Normal 5 5 2 4 7" xfId="4239"/>
    <cellStyle name="Normal 5 5 2 5" xfId="1295"/>
    <cellStyle name="Normal 5 5 2 5 2" xfId="2852"/>
    <cellStyle name="Normal 5 5 2 5 2 2" xfId="10498"/>
    <cellStyle name="Normal 5 5 2 5 2 3" xfId="5481"/>
    <cellStyle name="Normal 5 5 2 5 3" xfId="6879"/>
    <cellStyle name="Normal 5 5 2 5 3 2" xfId="11894"/>
    <cellStyle name="Normal 5 5 2 5 4" xfId="8686"/>
    <cellStyle name="Normal 5 5 2 5 5" xfId="13348"/>
    <cellStyle name="Normal 5 5 2 5 6" xfId="8092"/>
    <cellStyle name="Normal 5 5 2 5 7" xfId="3615"/>
    <cellStyle name="Normal 5 5 2 6" xfId="1688"/>
    <cellStyle name="Normal 5 5 2 6 2" xfId="9572"/>
    <cellStyle name="Normal 5 5 2 6 3" xfId="4554"/>
    <cellStyle name="Normal 5 5 2 7" xfId="5835"/>
    <cellStyle name="Normal 5 5 2 7 2" xfId="10851"/>
    <cellStyle name="Normal 5 5 2 8" xfId="8412"/>
    <cellStyle name="Normal 5 5 2 9" xfId="12305"/>
    <cellStyle name="Normal 5 5 2_Degree data" xfId="2585"/>
    <cellStyle name="Normal 5 5 3" xfId="335"/>
    <cellStyle name="Normal 5 5 3 10" xfId="7227"/>
    <cellStyle name="Normal 5 5 3 11" xfId="3291"/>
    <cellStyle name="Normal 5 5 3 2" xfId="692"/>
    <cellStyle name="Normal 5 5 3 2 2" xfId="1101"/>
    <cellStyle name="Normal 5 5 3 2 2 2" xfId="2089"/>
    <cellStyle name="Normal 5 5 3 2 2 2 2" xfId="10195"/>
    <cellStyle name="Normal 5 5 3 2 2 2 3" xfId="5177"/>
    <cellStyle name="Normal 5 5 3 2 2 3" xfId="6236"/>
    <cellStyle name="Normal 5 5 3 2 2 3 2" xfId="11252"/>
    <cellStyle name="Normal 5 5 3 2 2 4" xfId="9311"/>
    <cellStyle name="Normal 5 5 3 2 2 5" xfId="12706"/>
    <cellStyle name="Normal 5 5 3 2 2 6" xfId="7788"/>
    <cellStyle name="Normal 5 5 3 2 2 7" xfId="4242"/>
    <cellStyle name="Normal 5 5 3 2 3" xfId="1459"/>
    <cellStyle name="Normal 5 5 3 2 3 2" xfId="2438"/>
    <cellStyle name="Normal 5 5 3 2 3 2 2" xfId="10660"/>
    <cellStyle name="Normal 5 5 3 2 3 2 3" xfId="5643"/>
    <cellStyle name="Normal 5 5 3 2 3 3" xfId="6585"/>
    <cellStyle name="Normal 5 5 3 2 3 3 2" xfId="11600"/>
    <cellStyle name="Normal 5 5 3 2 3 4" xfId="9067"/>
    <cellStyle name="Normal 5 5 3 2 3 5" xfId="13054"/>
    <cellStyle name="Normal 5 5 3 2 3 6" xfId="8254"/>
    <cellStyle name="Normal 5 5 3 2 3 7" xfId="3998"/>
    <cellStyle name="Normal 5 5 3 2 4" xfId="3018"/>
    <cellStyle name="Normal 5 5 3 2 4 2" xfId="7041"/>
    <cellStyle name="Normal 5 5 3 2 4 2 2" xfId="12056"/>
    <cellStyle name="Normal 5 5 3 2 4 3" xfId="13510"/>
    <cellStyle name="Normal 5 5 3 2 4 4" xfId="9951"/>
    <cellStyle name="Normal 5 5 3 2 4 5" xfId="4933"/>
    <cellStyle name="Normal 5 5 3 2 5" xfId="1850"/>
    <cellStyle name="Normal 5 5 3 2 5 2" xfId="11013"/>
    <cellStyle name="Normal 5 5 3 2 5 3" xfId="5997"/>
    <cellStyle name="Normal 5 5 3 2 6" xfId="8574"/>
    <cellStyle name="Normal 5 5 3 2 7" xfId="12467"/>
    <cellStyle name="Normal 5 5 3 2 8" xfId="7544"/>
    <cellStyle name="Normal 5 5 3 2 9" xfId="3496"/>
    <cellStyle name="Normal 5 5 3 2_Degree data" xfId="2630"/>
    <cellStyle name="Normal 5 5 3 3" xfId="487"/>
    <cellStyle name="Normal 5 5 3 3 2" xfId="2088"/>
    <cellStyle name="Normal 5 5 3 3 2 2" xfId="9746"/>
    <cellStyle name="Normal 5 5 3 3 2 3" xfId="4728"/>
    <cellStyle name="Normal 5 5 3 3 3" xfId="6235"/>
    <cellStyle name="Normal 5 5 3 3 3 2" xfId="11251"/>
    <cellStyle name="Normal 5 5 3 3 4" xfId="8862"/>
    <cellStyle name="Normal 5 5 3 3 5" xfId="12705"/>
    <cellStyle name="Normal 5 5 3 3 6" xfId="7339"/>
    <cellStyle name="Normal 5 5 3 3 7" xfId="3793"/>
    <cellStyle name="Normal 5 5 3 4" xfId="896"/>
    <cellStyle name="Normal 5 5 3 4 2" xfId="2437"/>
    <cellStyle name="Normal 5 5 3 4 2 2" xfId="10194"/>
    <cellStyle name="Normal 5 5 3 4 2 3" xfId="5176"/>
    <cellStyle name="Normal 5 5 3 4 3" xfId="6584"/>
    <cellStyle name="Normal 5 5 3 4 3 2" xfId="11599"/>
    <cellStyle name="Normal 5 5 3 4 4" xfId="9310"/>
    <cellStyle name="Normal 5 5 3 4 5" xfId="13053"/>
    <cellStyle name="Normal 5 5 3 4 6" xfId="7787"/>
    <cellStyle name="Normal 5 5 3 4 7" xfId="4241"/>
    <cellStyle name="Normal 5 5 3 5" xfId="1251"/>
    <cellStyle name="Normal 5 5 3 5 2" xfId="2807"/>
    <cellStyle name="Normal 5 5 3 5 2 2" xfId="10455"/>
    <cellStyle name="Normal 5 5 3 5 2 3" xfId="5438"/>
    <cellStyle name="Normal 5 5 3 5 3" xfId="6836"/>
    <cellStyle name="Normal 5 5 3 5 3 2" xfId="11851"/>
    <cellStyle name="Normal 5 5 3 5 4" xfId="8748"/>
    <cellStyle name="Normal 5 5 3 5 5" xfId="13305"/>
    <cellStyle name="Normal 5 5 3 5 6" xfId="8049"/>
    <cellStyle name="Normal 5 5 3 5 7" xfId="3678"/>
    <cellStyle name="Normal 5 5 3 6" xfId="1645"/>
    <cellStyle name="Normal 5 5 3 6 2" xfId="9634"/>
    <cellStyle name="Normal 5 5 3 6 3" xfId="4616"/>
    <cellStyle name="Normal 5 5 3 7" xfId="5792"/>
    <cellStyle name="Normal 5 5 3 7 2" xfId="10808"/>
    <cellStyle name="Normal 5 5 3 8" xfId="8369"/>
    <cellStyle name="Normal 5 5 3 9" xfId="12262"/>
    <cellStyle name="Normal 5 5 3_Degree data" xfId="2647"/>
    <cellStyle name="Normal 5 5 4" xfId="272"/>
    <cellStyle name="Normal 5 5 4 2" xfId="587"/>
    <cellStyle name="Normal 5 5 4 2 2" xfId="2090"/>
    <cellStyle name="Normal 5 5 4 2 2 2" xfId="10196"/>
    <cellStyle name="Normal 5 5 4 2 2 3" xfId="5178"/>
    <cellStyle name="Normal 5 5 4 2 3" xfId="6237"/>
    <cellStyle name="Normal 5 5 4 2 3 2" xfId="11253"/>
    <cellStyle name="Normal 5 5 4 2 4" xfId="9312"/>
    <cellStyle name="Normal 5 5 4 2 5" xfId="12707"/>
    <cellStyle name="Normal 5 5 4 2 6" xfId="7789"/>
    <cellStyle name="Normal 5 5 4 2 7" xfId="4243"/>
    <cellStyle name="Normal 5 5 4 3" xfId="996"/>
    <cellStyle name="Normal 5 5 4 3 2" xfId="2439"/>
    <cellStyle name="Normal 5 5 4 3 2 2" xfId="10555"/>
    <cellStyle name="Normal 5 5 4 3 2 3" xfId="5538"/>
    <cellStyle name="Normal 5 5 4 3 3" xfId="6586"/>
    <cellStyle name="Normal 5 5 4 3 3 2" xfId="11601"/>
    <cellStyle name="Normal 5 5 4 3 4" xfId="8962"/>
    <cellStyle name="Normal 5 5 4 3 5" xfId="13055"/>
    <cellStyle name="Normal 5 5 4 3 6" xfId="8149"/>
    <cellStyle name="Normal 5 5 4 3 7" xfId="3893"/>
    <cellStyle name="Normal 5 5 4 4" xfId="1352"/>
    <cellStyle name="Normal 5 5 4 4 2" xfId="2910"/>
    <cellStyle name="Normal 5 5 4 4 2 2" xfId="11951"/>
    <cellStyle name="Normal 5 5 4 4 2 3" xfId="6936"/>
    <cellStyle name="Normal 5 5 4 4 3" xfId="13405"/>
    <cellStyle name="Normal 5 5 4 4 4" xfId="9846"/>
    <cellStyle name="Normal 5 5 4 4 5" xfId="4828"/>
    <cellStyle name="Normal 5 5 4 5" xfId="1745"/>
    <cellStyle name="Normal 5 5 4 5 2" xfId="10908"/>
    <cellStyle name="Normal 5 5 4 5 3" xfId="5892"/>
    <cellStyle name="Normal 5 5 4 6" xfId="8469"/>
    <cellStyle name="Normal 5 5 4 7" xfId="12362"/>
    <cellStyle name="Normal 5 5 4 8" xfId="7439"/>
    <cellStyle name="Normal 5 5 4 9" xfId="3391"/>
    <cellStyle name="Normal 5 5 4_Degree data" xfId="2658"/>
    <cellStyle name="Normal 5 5 5" xfId="428"/>
    <cellStyle name="Normal 5 5 5 2" xfId="836"/>
    <cellStyle name="Normal 5 5 5 2 2" xfId="9687"/>
    <cellStyle name="Normal 5 5 5 2 3" xfId="4669"/>
    <cellStyle name="Normal 5 5 5 3" xfId="2085"/>
    <cellStyle name="Normal 5 5 5 3 2" xfId="11248"/>
    <cellStyle name="Normal 5 5 5 3 3" xfId="6232"/>
    <cellStyle name="Normal 5 5 5 4" xfId="8803"/>
    <cellStyle name="Normal 5 5 5 5" xfId="12702"/>
    <cellStyle name="Normal 5 5 5 6" xfId="7280"/>
    <cellStyle name="Normal 5 5 5 7" xfId="3734"/>
    <cellStyle name="Normal 5 5 6" xfId="763"/>
    <cellStyle name="Normal 5 5 6 2" xfId="2434"/>
    <cellStyle name="Normal 5 5 6 2 2" xfId="10191"/>
    <cellStyle name="Normal 5 5 6 2 3" xfId="5173"/>
    <cellStyle name="Normal 5 5 6 3" xfId="6581"/>
    <cellStyle name="Normal 5 5 6 3 2" xfId="11596"/>
    <cellStyle name="Normal 5 5 6 4" xfId="9307"/>
    <cellStyle name="Normal 5 5 6 5" xfId="13050"/>
    <cellStyle name="Normal 5 5 6 6" xfId="7784"/>
    <cellStyle name="Normal 5 5 6 7" xfId="4238"/>
    <cellStyle name="Normal 5 5 7" xfId="1187"/>
    <cellStyle name="Normal 5 5 7 2" xfId="2739"/>
    <cellStyle name="Normal 5 5 7 2 2" xfId="10396"/>
    <cellStyle name="Normal 5 5 7 2 3" xfId="5379"/>
    <cellStyle name="Normal 5 5 7 3" xfId="6777"/>
    <cellStyle name="Normal 5 5 7 3 2" xfId="11792"/>
    <cellStyle name="Normal 5 5 7 4" xfId="8642"/>
    <cellStyle name="Normal 5 5 7 5" xfId="13246"/>
    <cellStyle name="Normal 5 5 7 6" xfId="7990"/>
    <cellStyle name="Normal 5 5 7 7" xfId="3569"/>
    <cellStyle name="Normal 5 5 8" xfId="1586"/>
    <cellStyle name="Normal 5 5 8 2" xfId="12203"/>
    <cellStyle name="Normal 5 5 8 3" xfId="9529"/>
    <cellStyle name="Normal 5 5 8 4" xfId="4511"/>
    <cellStyle name="Normal 5 5 9" xfId="1513"/>
    <cellStyle name="Normal 5 5 9 2" xfId="10747"/>
    <cellStyle name="Normal 5 5 9 3" xfId="5731"/>
    <cellStyle name="Normal 5 5_Degree data" xfId="2696"/>
    <cellStyle name="Normal 5 6" xfId="187"/>
    <cellStyle name="Normal 5 6 10" xfId="7156"/>
    <cellStyle name="Normal 5 6 11" xfId="3325"/>
    <cellStyle name="Normal 5 6 2" xfId="370"/>
    <cellStyle name="Normal 5 6 2 2" xfId="621"/>
    <cellStyle name="Normal 5 6 2 2 2" xfId="2092"/>
    <cellStyle name="Normal 5 6 2 2 2 2" xfId="10198"/>
    <cellStyle name="Normal 5 6 2 2 2 3" xfId="5180"/>
    <cellStyle name="Normal 5 6 2 2 3" xfId="6239"/>
    <cellStyle name="Normal 5 6 2 2 3 2" xfId="11255"/>
    <cellStyle name="Normal 5 6 2 2 4" xfId="9314"/>
    <cellStyle name="Normal 5 6 2 2 5" xfId="12709"/>
    <cellStyle name="Normal 5 6 2 2 6" xfId="7791"/>
    <cellStyle name="Normal 5 6 2 2 7" xfId="4245"/>
    <cellStyle name="Normal 5 6 2 3" xfId="1030"/>
    <cellStyle name="Normal 5 6 2 3 2" xfId="2441"/>
    <cellStyle name="Normal 5 6 2 3 2 2" xfId="10589"/>
    <cellStyle name="Normal 5 6 2 3 2 3" xfId="5572"/>
    <cellStyle name="Normal 5 6 2 3 3" xfId="6588"/>
    <cellStyle name="Normal 5 6 2 3 3 2" xfId="11603"/>
    <cellStyle name="Normal 5 6 2 3 4" xfId="8996"/>
    <cellStyle name="Normal 5 6 2 3 5" xfId="13057"/>
    <cellStyle name="Normal 5 6 2 3 6" xfId="8183"/>
    <cellStyle name="Normal 5 6 2 3 7" xfId="3927"/>
    <cellStyle name="Normal 5 6 2 4" xfId="1387"/>
    <cellStyle name="Normal 5 6 2 4 2" xfId="2945"/>
    <cellStyle name="Normal 5 6 2 4 2 2" xfId="11985"/>
    <cellStyle name="Normal 5 6 2 4 2 3" xfId="6970"/>
    <cellStyle name="Normal 5 6 2 4 3" xfId="13439"/>
    <cellStyle name="Normal 5 6 2 4 4" xfId="9880"/>
    <cellStyle name="Normal 5 6 2 4 5" xfId="4862"/>
    <cellStyle name="Normal 5 6 2 5" xfId="1779"/>
    <cellStyle name="Normal 5 6 2 5 2" xfId="10942"/>
    <cellStyle name="Normal 5 6 2 5 3" xfId="5926"/>
    <cellStyle name="Normal 5 6 2 6" xfId="8503"/>
    <cellStyle name="Normal 5 6 2 7" xfId="12396"/>
    <cellStyle name="Normal 5 6 2 8" xfId="7473"/>
    <cellStyle name="Normal 5 6 2 9" xfId="3425"/>
    <cellStyle name="Normal 5 6 2_Degree data" xfId="2698"/>
    <cellStyle name="Normal 5 6 3" xfId="521"/>
    <cellStyle name="Normal 5 6 3 2" xfId="930"/>
    <cellStyle name="Normal 5 6 3 2 2" xfId="9780"/>
    <cellStyle name="Normal 5 6 3 2 3" xfId="4762"/>
    <cellStyle name="Normal 5 6 3 3" xfId="2091"/>
    <cellStyle name="Normal 5 6 3 3 2" xfId="11254"/>
    <cellStyle name="Normal 5 6 3 3 3" xfId="6238"/>
    <cellStyle name="Normal 5 6 3 4" xfId="8896"/>
    <cellStyle name="Normal 5 6 3 5" xfId="12708"/>
    <cellStyle name="Normal 5 6 3 6" xfId="7373"/>
    <cellStyle name="Normal 5 6 3 7" xfId="3827"/>
    <cellStyle name="Normal 5 6 4" xfId="793"/>
    <cellStyle name="Normal 5 6 4 2" xfId="2440"/>
    <cellStyle name="Normal 5 6 4 2 2" xfId="10197"/>
    <cellStyle name="Normal 5 6 4 2 3" xfId="5179"/>
    <cellStyle name="Normal 5 6 4 3" xfId="6587"/>
    <cellStyle name="Normal 5 6 4 3 2" xfId="11602"/>
    <cellStyle name="Normal 5 6 4 4" xfId="9313"/>
    <cellStyle name="Normal 5 6 4 5" xfId="13056"/>
    <cellStyle name="Normal 5 6 4 6" xfId="7790"/>
    <cellStyle name="Normal 5 6 4 7" xfId="4244"/>
    <cellStyle name="Normal 5 6 5" xfId="1286"/>
    <cellStyle name="Normal 5 6 5 2" xfId="2843"/>
    <cellStyle name="Normal 5 6 5 2 2" xfId="10489"/>
    <cellStyle name="Normal 5 6 5 2 3" xfId="5472"/>
    <cellStyle name="Normal 5 6 5 3" xfId="6870"/>
    <cellStyle name="Normal 5 6 5 3 2" xfId="11885"/>
    <cellStyle name="Normal 5 6 5 4" xfId="8677"/>
    <cellStyle name="Normal 5 6 5 5" xfId="13339"/>
    <cellStyle name="Normal 5 6 5 6" xfId="8083"/>
    <cellStyle name="Normal 5 6 5 7" xfId="3606"/>
    <cellStyle name="Normal 5 6 6" xfId="1679"/>
    <cellStyle name="Normal 5 6 6 2" xfId="9563"/>
    <cellStyle name="Normal 5 6 6 3" xfId="4545"/>
    <cellStyle name="Normal 5 6 7" xfId="5826"/>
    <cellStyle name="Normal 5 6 7 2" xfId="10842"/>
    <cellStyle name="Normal 5 6 8" xfId="8403"/>
    <cellStyle name="Normal 5 6 9" xfId="12296"/>
    <cellStyle name="Normal 5 6_Degree data" xfId="2675"/>
    <cellStyle name="Normal 5 7" xfId="223"/>
    <cellStyle name="Normal 5 7 10" xfId="3530"/>
    <cellStyle name="Normal 5 7 2" xfId="727"/>
    <cellStyle name="Normal 5 7 2 2" xfId="2093"/>
    <cellStyle name="Normal 5 7 2 2 2" xfId="9985"/>
    <cellStyle name="Normal 5 7 2 2 3" xfId="4967"/>
    <cellStyle name="Normal 5 7 2 3" xfId="6240"/>
    <cellStyle name="Normal 5 7 2 3 2" xfId="11256"/>
    <cellStyle name="Normal 5 7 2 4" xfId="9101"/>
    <cellStyle name="Normal 5 7 2 5" xfId="12710"/>
    <cellStyle name="Normal 5 7 2 6" xfId="7578"/>
    <cellStyle name="Normal 5 7 2 7" xfId="4032"/>
    <cellStyle name="Normal 5 7 3" xfId="1135"/>
    <cellStyle name="Normal 5 7 3 2" xfId="2442"/>
    <cellStyle name="Normal 5 7 3 2 2" xfId="10199"/>
    <cellStyle name="Normal 5 7 3 2 3" xfId="5181"/>
    <cellStyle name="Normal 5 7 3 3" xfId="6589"/>
    <cellStyle name="Normal 5 7 3 3 2" xfId="11604"/>
    <cellStyle name="Normal 5 7 3 4" xfId="9315"/>
    <cellStyle name="Normal 5 7 3 5" xfId="13058"/>
    <cellStyle name="Normal 5 7 3 6" xfId="7792"/>
    <cellStyle name="Normal 5 7 3 7" xfId="4246"/>
    <cellStyle name="Normal 5 7 4" xfId="1493"/>
    <cellStyle name="Normal 5 7 4 2" xfId="3053"/>
    <cellStyle name="Normal 5 7 4 2 2" xfId="10694"/>
    <cellStyle name="Normal 5 7 4 2 3" xfId="5677"/>
    <cellStyle name="Normal 5 7 4 3" xfId="7075"/>
    <cellStyle name="Normal 5 7 4 3 2" xfId="12090"/>
    <cellStyle name="Normal 5 7 4 4" xfId="8782"/>
    <cellStyle name="Normal 5 7 4 5" xfId="13544"/>
    <cellStyle name="Normal 5 7 4 6" xfId="8288"/>
    <cellStyle name="Normal 5 7 4 7" xfId="3712"/>
    <cellStyle name="Normal 5 7 5" xfId="1884"/>
    <cellStyle name="Normal 5 7 5 2" xfId="9668"/>
    <cellStyle name="Normal 5 7 5 3" xfId="4650"/>
    <cellStyle name="Normal 5 7 6" xfId="6031"/>
    <cellStyle name="Normal 5 7 6 2" xfId="11047"/>
    <cellStyle name="Normal 5 7 7" xfId="8608"/>
    <cellStyle name="Normal 5 7 8" xfId="12501"/>
    <cellStyle name="Normal 5 7 9" xfId="7261"/>
    <cellStyle name="Normal 5 7_Degree data" xfId="2629"/>
    <cellStyle name="Normal 5 8" xfId="260"/>
    <cellStyle name="Normal 5 8 2" xfId="825"/>
    <cellStyle name="Normal 5 8 2 2" xfId="2094"/>
    <cellStyle name="Normal 5 8 2 2 2" xfId="10200"/>
    <cellStyle name="Normal 5 8 2 2 3" xfId="5182"/>
    <cellStyle name="Normal 5 8 2 3" xfId="6241"/>
    <cellStyle name="Normal 5 8 2 3 2" xfId="11257"/>
    <cellStyle name="Normal 5 8 2 4" xfId="9316"/>
    <cellStyle name="Normal 5 8 2 5" xfId="12711"/>
    <cellStyle name="Normal 5 8 2 6" xfId="7793"/>
    <cellStyle name="Normal 5 8 2 7" xfId="4247"/>
    <cellStyle name="Normal 5 8 3" xfId="1175"/>
    <cellStyle name="Normal 5 8 3 2" xfId="2443"/>
    <cellStyle name="Normal 5 8 3 2 2" xfId="10385"/>
    <cellStyle name="Normal 5 8 3 2 3" xfId="5368"/>
    <cellStyle name="Normal 5 8 3 3" xfId="6590"/>
    <cellStyle name="Normal 5 8 3 3 2" xfId="11605"/>
    <cellStyle name="Normal 5 8 3 4" xfId="9478"/>
    <cellStyle name="Normal 5 8 3 5" xfId="13059"/>
    <cellStyle name="Normal 5 8 3 6" xfId="7979"/>
    <cellStyle name="Normal 5 8 3 7" xfId="4460"/>
    <cellStyle name="Normal 5 8 4" xfId="2726"/>
    <cellStyle name="Normal 5 8 4 2" xfId="6766"/>
    <cellStyle name="Normal 5 8 4 2 2" xfId="11781"/>
    <cellStyle name="Normal 5 8 4 3" xfId="13235"/>
    <cellStyle name="Normal 5 8 4 4" xfId="9676"/>
    <cellStyle name="Normal 5 8 4 5" xfId="4658"/>
    <cellStyle name="Normal 5 8 5" xfId="1575"/>
    <cellStyle name="Normal 5 8 5 2" xfId="10736"/>
    <cellStyle name="Normal 5 8 5 3" xfId="5720"/>
    <cellStyle name="Normal 5 8 6" xfId="8792"/>
    <cellStyle name="Normal 5 8 7" xfId="12192"/>
    <cellStyle name="Normal 5 8 8" xfId="7269"/>
    <cellStyle name="Normal 5 8 9" xfId="3723"/>
    <cellStyle name="Normal 5 8_Degree data" xfId="3060"/>
    <cellStyle name="Normal 5 9" xfId="417"/>
    <cellStyle name="Normal 5 9 2" xfId="2052"/>
    <cellStyle name="Normal 5 9 2 2" xfId="10158"/>
    <cellStyle name="Normal 5 9 2 3" xfId="5140"/>
    <cellStyle name="Normal 5 9 3" xfId="6199"/>
    <cellStyle name="Normal 5 9 3 2" xfId="11215"/>
    <cellStyle name="Normal 5 9 4" xfId="9274"/>
    <cellStyle name="Normal 5 9 5" xfId="12669"/>
    <cellStyle name="Normal 5 9 6" xfId="7751"/>
    <cellStyle name="Normal 5 9 7" xfId="4205"/>
    <cellStyle name="Normal 5_Degree data" xfId="2692"/>
    <cellStyle name="Normal 50" xfId="58"/>
    <cellStyle name="Normal 51" xfId="59"/>
    <cellStyle name="Normal 52" xfId="49"/>
    <cellStyle name="Normal 53" xfId="117"/>
    <cellStyle name="Normal 54" xfId="118"/>
    <cellStyle name="Normal 55" xfId="119"/>
    <cellStyle name="Normal 56" xfId="15"/>
    <cellStyle name="Normal 57" xfId="65"/>
    <cellStyle name="Normal 57 10" xfId="719"/>
    <cellStyle name="Normal 57 10 10" xfId="3523"/>
    <cellStyle name="Normal 57 10 2" xfId="1128"/>
    <cellStyle name="Normal 57 10 2 2" xfId="2096"/>
    <cellStyle name="Normal 57 10 2 2 2" xfId="9978"/>
    <cellStyle name="Normal 57 10 2 2 3" xfId="4960"/>
    <cellStyle name="Normal 57 10 2 3" xfId="6243"/>
    <cellStyle name="Normal 57 10 2 3 2" xfId="11259"/>
    <cellStyle name="Normal 57 10 2 4" xfId="9094"/>
    <cellStyle name="Normal 57 10 2 5" xfId="12713"/>
    <cellStyle name="Normal 57 10 2 6" xfId="7571"/>
    <cellStyle name="Normal 57 10 2 7" xfId="4025"/>
    <cellStyle name="Normal 57 10 3" xfId="1486"/>
    <cellStyle name="Normal 57 10 3 2" xfId="2445"/>
    <cellStyle name="Normal 57 10 3 2 2" xfId="10202"/>
    <cellStyle name="Normal 57 10 3 2 3" xfId="5184"/>
    <cellStyle name="Normal 57 10 3 3" xfId="6592"/>
    <cellStyle name="Normal 57 10 3 3 2" xfId="11607"/>
    <cellStyle name="Normal 57 10 3 4" xfId="9318"/>
    <cellStyle name="Normal 57 10 3 5" xfId="13061"/>
    <cellStyle name="Normal 57 10 3 6" xfId="7795"/>
    <cellStyle name="Normal 57 10 3 7" xfId="4249"/>
    <cellStyle name="Normal 57 10 4" xfId="3045"/>
    <cellStyle name="Normal 57 10 4 2" xfId="5670"/>
    <cellStyle name="Normal 57 10 4 2 2" xfId="10687"/>
    <cellStyle name="Normal 57 10 4 3" xfId="7068"/>
    <cellStyle name="Normal 57 10 4 3 2" xfId="12083"/>
    <cellStyle name="Normal 57 10 4 4" xfId="8775"/>
    <cellStyle name="Normal 57 10 4 5" xfId="13537"/>
    <cellStyle name="Normal 57 10 4 6" xfId="8281"/>
    <cellStyle name="Normal 57 10 4 7" xfId="3705"/>
    <cellStyle name="Normal 57 10 5" xfId="1877"/>
    <cellStyle name="Normal 57 10 5 2" xfId="9661"/>
    <cellStyle name="Normal 57 10 5 3" xfId="4643"/>
    <cellStyle name="Normal 57 10 6" xfId="6024"/>
    <cellStyle name="Normal 57 10 6 2" xfId="11040"/>
    <cellStyle name="Normal 57 10 7" xfId="8601"/>
    <cellStyle name="Normal 57 10 8" xfId="12494"/>
    <cellStyle name="Normal 57 10 9" xfId="7254"/>
    <cellStyle name="Normal 57 10_Degree data" xfId="3062"/>
    <cellStyle name="Normal 57 11" xfId="558"/>
    <cellStyle name="Normal 57 11 2" xfId="967"/>
    <cellStyle name="Normal 57 11 2 2" xfId="2097"/>
    <cellStyle name="Normal 57 11 2 2 2" xfId="10203"/>
    <cellStyle name="Normal 57 11 2 2 3" xfId="5185"/>
    <cellStyle name="Normal 57 11 2 3" xfId="6244"/>
    <cellStyle name="Normal 57 11 2 3 2" xfId="11260"/>
    <cellStyle name="Normal 57 11 2 4" xfId="9319"/>
    <cellStyle name="Normal 57 11 2 5" xfId="12714"/>
    <cellStyle name="Normal 57 11 2 6" xfId="7796"/>
    <cellStyle name="Normal 57 11 2 7" xfId="4250"/>
    <cellStyle name="Normal 57 11 3" xfId="1323"/>
    <cellStyle name="Normal 57 11 3 2" xfId="2446"/>
    <cellStyle name="Normal 57 11 3 2 2" xfId="10526"/>
    <cellStyle name="Normal 57 11 3 2 3" xfId="5509"/>
    <cellStyle name="Normal 57 11 3 3" xfId="6593"/>
    <cellStyle name="Normal 57 11 3 3 2" xfId="11608"/>
    <cellStyle name="Normal 57 11 3 4" xfId="8933"/>
    <cellStyle name="Normal 57 11 3 5" xfId="13062"/>
    <cellStyle name="Normal 57 11 3 6" xfId="8120"/>
    <cellStyle name="Normal 57 11 3 7" xfId="3864"/>
    <cellStyle name="Normal 57 11 4" xfId="2881"/>
    <cellStyle name="Normal 57 11 4 2" xfId="6907"/>
    <cellStyle name="Normal 57 11 4 2 2" xfId="11922"/>
    <cellStyle name="Normal 57 11 4 3" xfId="13376"/>
    <cellStyle name="Normal 57 11 4 4" xfId="9817"/>
    <cellStyle name="Normal 57 11 4 5" xfId="4799"/>
    <cellStyle name="Normal 57 11 5" xfId="1716"/>
    <cellStyle name="Normal 57 11 5 2" xfId="10879"/>
    <cellStyle name="Normal 57 11 5 3" xfId="5863"/>
    <cellStyle name="Normal 57 11 6" xfId="8440"/>
    <cellStyle name="Normal 57 11 7" xfId="12333"/>
    <cellStyle name="Normal 57 11 8" xfId="7410"/>
    <cellStyle name="Normal 57 11 9" xfId="3362"/>
    <cellStyle name="Normal 57 11_Degree data" xfId="3063"/>
    <cellStyle name="Normal 57 12" xfId="413"/>
    <cellStyle name="Normal 57 12 2" xfId="821"/>
    <cellStyle name="Normal 57 12 2 2" xfId="2098"/>
    <cellStyle name="Normal 57 12 2 2 2" xfId="10204"/>
    <cellStyle name="Normal 57 12 2 2 3" xfId="5186"/>
    <cellStyle name="Normal 57 12 2 3" xfId="6245"/>
    <cellStyle name="Normal 57 12 2 3 2" xfId="11261"/>
    <cellStyle name="Normal 57 12 2 4" xfId="9320"/>
    <cellStyle name="Normal 57 12 2 5" xfId="12715"/>
    <cellStyle name="Normal 57 12 2 6" xfId="7797"/>
    <cellStyle name="Normal 57 12 2 7" xfId="4251"/>
    <cellStyle name="Normal 57 12 3" xfId="1171"/>
    <cellStyle name="Normal 57 12 3 2" xfId="2447"/>
    <cellStyle name="Normal 57 12 3 2 2" xfId="10381"/>
    <cellStyle name="Normal 57 12 3 2 3" xfId="5364"/>
    <cellStyle name="Normal 57 12 3 3" xfId="6594"/>
    <cellStyle name="Normal 57 12 3 3 2" xfId="11609"/>
    <cellStyle name="Normal 57 12 3 4" xfId="9472"/>
    <cellStyle name="Normal 57 12 3 5" xfId="13063"/>
    <cellStyle name="Normal 57 12 3 6" xfId="7975"/>
    <cellStyle name="Normal 57 12 3 7" xfId="4454"/>
    <cellStyle name="Normal 57 12 4" xfId="2722"/>
    <cellStyle name="Normal 57 12 4 2" xfId="6762"/>
    <cellStyle name="Normal 57 12 4 2 2" xfId="11777"/>
    <cellStyle name="Normal 57 12 4 3" xfId="13231"/>
    <cellStyle name="Normal 57 12 4 4" xfId="9672"/>
    <cellStyle name="Normal 57 12 4 5" xfId="4654"/>
    <cellStyle name="Normal 57 12 5" xfId="1571"/>
    <cellStyle name="Normal 57 12 5 2" xfId="10732"/>
    <cellStyle name="Normal 57 12 5 3" xfId="5716"/>
    <cellStyle name="Normal 57 12 6" xfId="8788"/>
    <cellStyle name="Normal 57 12 7" xfId="12188"/>
    <cellStyle name="Normal 57 12 8" xfId="7265"/>
    <cellStyle name="Normal 57 12 9" xfId="3719"/>
    <cellStyle name="Normal 57 12_Degree data" xfId="3064"/>
    <cellStyle name="Normal 57 13" xfId="736"/>
    <cellStyle name="Normal 57 13 2" xfId="2095"/>
    <cellStyle name="Normal 57 13 2 2" xfId="10201"/>
    <cellStyle name="Normal 57 13 2 3" xfId="5183"/>
    <cellStyle name="Normal 57 13 3" xfId="6242"/>
    <cellStyle name="Normal 57 13 3 2" xfId="11258"/>
    <cellStyle name="Normal 57 13 4" xfId="9317"/>
    <cellStyle name="Normal 57 13 5" xfId="12712"/>
    <cellStyle name="Normal 57 13 6" xfId="7794"/>
    <cellStyle name="Normal 57 13 7" xfId="4248"/>
    <cellStyle name="Normal 57 14" xfId="1141"/>
    <cellStyle name="Normal 57 14 2" xfId="2444"/>
    <cellStyle name="Normal 57 14 2 2" xfId="10351"/>
    <cellStyle name="Normal 57 14 2 3" xfId="5334"/>
    <cellStyle name="Normal 57 14 3" xfId="6591"/>
    <cellStyle name="Normal 57 14 3 2" xfId="11606"/>
    <cellStyle name="Normal 57 14 4" xfId="8612"/>
    <cellStyle name="Normal 57 14 5" xfId="13060"/>
    <cellStyle name="Normal 57 14 6" xfId="7945"/>
    <cellStyle name="Normal 57 14 7" xfId="3534"/>
    <cellStyle name="Normal 57 15" xfId="2634"/>
    <cellStyle name="Normal 57 15 2" xfId="6732"/>
    <cellStyle name="Normal 57 15 2 2" xfId="11747"/>
    <cellStyle name="Normal 57 15 3" xfId="13201"/>
    <cellStyle name="Normal 57 15 4" xfId="9499"/>
    <cellStyle name="Normal 57 15 5" xfId="4481"/>
    <cellStyle name="Normal 57 16" xfId="1541"/>
    <cellStyle name="Normal 57 16 2" xfId="12158"/>
    <cellStyle name="Normal 57 16 3" xfId="10701"/>
    <cellStyle name="Normal 57 16 4" xfId="5685"/>
    <cellStyle name="Normal 57 17" xfId="1498"/>
    <cellStyle name="Normal 57 17 2" xfId="8295"/>
    <cellStyle name="Normal 57 18" xfId="12115"/>
    <cellStyle name="Normal 57 19" xfId="7093"/>
    <cellStyle name="Normal 57 2" xfId="84"/>
    <cellStyle name="Normal 57 20" xfId="3213"/>
    <cellStyle name="Normal 57 3" xfId="74"/>
    <cellStyle name="Normal 57 3 10" xfId="2644"/>
    <cellStyle name="Normal 57 3 10 2" xfId="6736"/>
    <cellStyle name="Normal 57 3 10 2 2" xfId="11751"/>
    <cellStyle name="Normal 57 3 10 3" xfId="13205"/>
    <cellStyle name="Normal 57 3 10 4" xfId="9512"/>
    <cellStyle name="Normal 57 3 10 5" xfId="4494"/>
    <cellStyle name="Normal 57 3 11" xfId="1545"/>
    <cellStyle name="Normal 57 3 11 2" xfId="12162"/>
    <cellStyle name="Normal 57 3 11 3" xfId="10705"/>
    <cellStyle name="Normal 57 3 11 4" xfId="5689"/>
    <cellStyle name="Normal 57 3 12" xfId="1505"/>
    <cellStyle name="Normal 57 3 12 2" xfId="8301"/>
    <cellStyle name="Normal 57 3 13" xfId="12122"/>
    <cellStyle name="Normal 57 3 14" xfId="7106"/>
    <cellStyle name="Normal 57 3 15" xfId="3221"/>
    <cellStyle name="Normal 57 3 2" xfId="130"/>
    <cellStyle name="Normal 57 3 2 10" xfId="1527"/>
    <cellStyle name="Normal 57 3 2 10 2" xfId="8326"/>
    <cellStyle name="Normal 57 3 2 11" xfId="12144"/>
    <cellStyle name="Normal 57 3 2 12" xfId="7136"/>
    <cellStyle name="Normal 57 3 2 13" xfId="3248"/>
    <cellStyle name="Normal 57 3 2 2" xfId="175"/>
    <cellStyle name="Normal 57 3 2 2 10" xfId="7179"/>
    <cellStyle name="Normal 57 3 2 2 11" xfId="3348"/>
    <cellStyle name="Normal 57 3 2 2 2" xfId="394"/>
    <cellStyle name="Normal 57 3 2 2 2 2" xfId="644"/>
    <cellStyle name="Normal 57 3 2 2 2 2 2" xfId="2102"/>
    <cellStyle name="Normal 57 3 2 2 2 2 2 2" xfId="10208"/>
    <cellStyle name="Normal 57 3 2 2 2 2 2 3" xfId="5190"/>
    <cellStyle name="Normal 57 3 2 2 2 2 3" xfId="6249"/>
    <cellStyle name="Normal 57 3 2 2 2 2 3 2" xfId="11265"/>
    <cellStyle name="Normal 57 3 2 2 2 2 4" xfId="9324"/>
    <cellStyle name="Normal 57 3 2 2 2 2 5" xfId="12719"/>
    <cellStyle name="Normal 57 3 2 2 2 2 6" xfId="7801"/>
    <cellStyle name="Normal 57 3 2 2 2 2 7" xfId="4255"/>
    <cellStyle name="Normal 57 3 2 2 2 3" xfId="1053"/>
    <cellStyle name="Normal 57 3 2 2 2 3 2" xfId="2451"/>
    <cellStyle name="Normal 57 3 2 2 2 3 2 2" xfId="10612"/>
    <cellStyle name="Normal 57 3 2 2 2 3 2 3" xfId="5595"/>
    <cellStyle name="Normal 57 3 2 2 2 3 3" xfId="6598"/>
    <cellStyle name="Normal 57 3 2 2 2 3 3 2" xfId="11613"/>
    <cellStyle name="Normal 57 3 2 2 2 3 4" xfId="9019"/>
    <cellStyle name="Normal 57 3 2 2 2 3 5" xfId="13067"/>
    <cellStyle name="Normal 57 3 2 2 2 3 6" xfId="8206"/>
    <cellStyle name="Normal 57 3 2 2 2 3 7" xfId="3950"/>
    <cellStyle name="Normal 57 3 2 2 2 4" xfId="1411"/>
    <cellStyle name="Normal 57 3 2 2 2 4 2" xfId="2969"/>
    <cellStyle name="Normal 57 3 2 2 2 4 2 2" xfId="12008"/>
    <cellStyle name="Normal 57 3 2 2 2 4 2 3" xfId="6993"/>
    <cellStyle name="Normal 57 3 2 2 2 4 3" xfId="13462"/>
    <cellStyle name="Normal 57 3 2 2 2 4 4" xfId="9903"/>
    <cellStyle name="Normal 57 3 2 2 2 4 5" xfId="4885"/>
    <cellStyle name="Normal 57 3 2 2 2 5" xfId="1802"/>
    <cellStyle name="Normal 57 3 2 2 2 5 2" xfId="10965"/>
    <cellStyle name="Normal 57 3 2 2 2 5 3" xfId="5949"/>
    <cellStyle name="Normal 57 3 2 2 2 6" xfId="8526"/>
    <cellStyle name="Normal 57 3 2 2 2 7" xfId="12419"/>
    <cellStyle name="Normal 57 3 2 2 2 8" xfId="7496"/>
    <cellStyle name="Normal 57 3 2 2 2 9" xfId="3448"/>
    <cellStyle name="Normal 57 3 2 2 2_Degree data" xfId="3068"/>
    <cellStyle name="Normal 57 3 2 2 3" xfId="544"/>
    <cellStyle name="Normal 57 3 2 2 3 2" xfId="953"/>
    <cellStyle name="Normal 57 3 2 2 3 2 2" xfId="9803"/>
    <cellStyle name="Normal 57 3 2 2 3 2 3" xfId="4785"/>
    <cellStyle name="Normal 57 3 2 2 3 3" xfId="2101"/>
    <cellStyle name="Normal 57 3 2 2 3 3 2" xfId="11264"/>
    <cellStyle name="Normal 57 3 2 2 3 3 3" xfId="6248"/>
    <cellStyle name="Normal 57 3 2 2 3 4" xfId="8919"/>
    <cellStyle name="Normal 57 3 2 2 3 5" xfId="12718"/>
    <cellStyle name="Normal 57 3 2 2 3 6" xfId="7396"/>
    <cellStyle name="Normal 57 3 2 2 3 7" xfId="3850"/>
    <cellStyle name="Normal 57 3 2 2 4" xfId="777"/>
    <cellStyle name="Normal 57 3 2 2 4 2" xfId="2450"/>
    <cellStyle name="Normal 57 3 2 2 4 2 2" xfId="10207"/>
    <cellStyle name="Normal 57 3 2 2 4 2 3" xfId="5189"/>
    <cellStyle name="Normal 57 3 2 2 4 3" xfId="6597"/>
    <cellStyle name="Normal 57 3 2 2 4 3 2" xfId="11612"/>
    <cellStyle name="Normal 57 3 2 2 4 4" xfId="9323"/>
    <cellStyle name="Normal 57 3 2 2 4 5" xfId="13066"/>
    <cellStyle name="Normal 57 3 2 2 4 6" xfId="7800"/>
    <cellStyle name="Normal 57 3 2 2 4 7" xfId="4254"/>
    <cellStyle name="Normal 57 3 2 2 5" xfId="1309"/>
    <cellStyle name="Normal 57 3 2 2 5 2" xfId="2867"/>
    <cellStyle name="Normal 57 3 2 2 5 2 2" xfId="10512"/>
    <cellStyle name="Normal 57 3 2 2 5 2 3" xfId="5495"/>
    <cellStyle name="Normal 57 3 2 2 5 3" xfId="6893"/>
    <cellStyle name="Normal 57 3 2 2 5 3 2" xfId="11908"/>
    <cellStyle name="Normal 57 3 2 2 5 4" xfId="8700"/>
    <cellStyle name="Normal 57 3 2 2 5 5" xfId="13362"/>
    <cellStyle name="Normal 57 3 2 2 5 6" xfId="8106"/>
    <cellStyle name="Normal 57 3 2 2 5 7" xfId="3630"/>
    <cellStyle name="Normal 57 3 2 2 6" xfId="1702"/>
    <cellStyle name="Normal 57 3 2 2 6 2" xfId="9586"/>
    <cellStyle name="Normal 57 3 2 2 6 3" xfId="4568"/>
    <cellStyle name="Normal 57 3 2 2 7" xfId="5849"/>
    <cellStyle name="Normal 57 3 2 2 7 2" xfId="10865"/>
    <cellStyle name="Normal 57 3 2 2 8" xfId="8426"/>
    <cellStyle name="Normal 57 3 2 2 9" xfId="12319"/>
    <cellStyle name="Normal 57 3 2 2_Degree data" xfId="3067"/>
    <cellStyle name="Normal 57 3 2 3" xfId="201"/>
    <cellStyle name="Normal 57 3 2 3 10" xfId="7240"/>
    <cellStyle name="Normal 57 3 2 3 11" xfId="3305"/>
    <cellStyle name="Normal 57 3 2 3 2" xfId="350"/>
    <cellStyle name="Normal 57 3 2 3 2 2" xfId="705"/>
    <cellStyle name="Normal 57 3 2 3 2 2 2" xfId="2104"/>
    <cellStyle name="Normal 57 3 2 3 2 2 2 2" xfId="10210"/>
    <cellStyle name="Normal 57 3 2 3 2 2 2 3" xfId="5192"/>
    <cellStyle name="Normal 57 3 2 3 2 2 3" xfId="6251"/>
    <cellStyle name="Normal 57 3 2 3 2 2 3 2" xfId="11267"/>
    <cellStyle name="Normal 57 3 2 3 2 2 4" xfId="9326"/>
    <cellStyle name="Normal 57 3 2 3 2 2 5" xfId="12721"/>
    <cellStyle name="Normal 57 3 2 3 2 2 6" xfId="7803"/>
    <cellStyle name="Normal 57 3 2 3 2 2 7" xfId="4257"/>
    <cellStyle name="Normal 57 3 2 3 2 3" xfId="1114"/>
    <cellStyle name="Normal 57 3 2 3 2 3 2" xfId="2453"/>
    <cellStyle name="Normal 57 3 2 3 2 3 2 2" xfId="10673"/>
    <cellStyle name="Normal 57 3 2 3 2 3 2 3" xfId="5656"/>
    <cellStyle name="Normal 57 3 2 3 2 3 3" xfId="6600"/>
    <cellStyle name="Normal 57 3 2 3 2 3 3 2" xfId="11615"/>
    <cellStyle name="Normal 57 3 2 3 2 3 4" xfId="9080"/>
    <cellStyle name="Normal 57 3 2 3 2 3 5" xfId="13069"/>
    <cellStyle name="Normal 57 3 2 3 2 3 6" xfId="8267"/>
    <cellStyle name="Normal 57 3 2 3 2 3 7" xfId="4011"/>
    <cellStyle name="Normal 57 3 2 3 2 4" xfId="1472"/>
    <cellStyle name="Normal 57 3 2 3 2 4 2" xfId="3031"/>
    <cellStyle name="Normal 57 3 2 3 2 4 2 2" xfId="12069"/>
    <cellStyle name="Normal 57 3 2 3 2 4 2 3" xfId="7054"/>
    <cellStyle name="Normal 57 3 2 3 2 4 3" xfId="13523"/>
    <cellStyle name="Normal 57 3 2 3 2 4 4" xfId="9964"/>
    <cellStyle name="Normal 57 3 2 3 2 4 5" xfId="4946"/>
    <cellStyle name="Normal 57 3 2 3 2 5" xfId="1863"/>
    <cellStyle name="Normal 57 3 2 3 2 5 2" xfId="11026"/>
    <cellStyle name="Normal 57 3 2 3 2 5 3" xfId="6010"/>
    <cellStyle name="Normal 57 3 2 3 2 6" xfId="8587"/>
    <cellStyle name="Normal 57 3 2 3 2 7" xfId="12480"/>
    <cellStyle name="Normal 57 3 2 3 2 8" xfId="7557"/>
    <cellStyle name="Normal 57 3 2 3 2 9" xfId="3509"/>
    <cellStyle name="Normal 57 3 2 3 2_Degree data" xfId="3070"/>
    <cellStyle name="Normal 57 3 2 3 3" xfId="501"/>
    <cellStyle name="Normal 57 3 2 3 3 2" xfId="910"/>
    <cellStyle name="Normal 57 3 2 3 3 2 2" xfId="9760"/>
    <cellStyle name="Normal 57 3 2 3 3 2 3" xfId="4742"/>
    <cellStyle name="Normal 57 3 2 3 3 3" xfId="2103"/>
    <cellStyle name="Normal 57 3 2 3 3 3 2" xfId="11266"/>
    <cellStyle name="Normal 57 3 2 3 3 3 3" xfId="6250"/>
    <cellStyle name="Normal 57 3 2 3 3 4" xfId="8876"/>
    <cellStyle name="Normal 57 3 2 3 3 5" xfId="12720"/>
    <cellStyle name="Normal 57 3 2 3 3 6" xfId="7353"/>
    <cellStyle name="Normal 57 3 2 3 3 7" xfId="3807"/>
    <cellStyle name="Normal 57 3 2 3 4" xfId="807"/>
    <cellStyle name="Normal 57 3 2 3 4 2" xfId="2452"/>
    <cellStyle name="Normal 57 3 2 3 4 2 2" xfId="10209"/>
    <cellStyle name="Normal 57 3 2 3 4 2 3" xfId="5191"/>
    <cellStyle name="Normal 57 3 2 3 4 3" xfId="6599"/>
    <cellStyle name="Normal 57 3 2 3 4 3 2" xfId="11614"/>
    <cellStyle name="Normal 57 3 2 3 4 4" xfId="9325"/>
    <cellStyle name="Normal 57 3 2 3 4 5" xfId="13068"/>
    <cellStyle name="Normal 57 3 2 3 4 6" xfId="7802"/>
    <cellStyle name="Normal 57 3 2 3 4 7" xfId="4256"/>
    <cellStyle name="Normal 57 3 2 3 5" xfId="1265"/>
    <cellStyle name="Normal 57 3 2 3 5 2" xfId="2822"/>
    <cellStyle name="Normal 57 3 2 3 5 2 2" xfId="10469"/>
    <cellStyle name="Normal 57 3 2 3 5 2 3" xfId="5452"/>
    <cellStyle name="Normal 57 3 2 3 5 3" xfId="6850"/>
    <cellStyle name="Normal 57 3 2 3 5 3 2" xfId="11865"/>
    <cellStyle name="Normal 57 3 2 3 5 4" xfId="8761"/>
    <cellStyle name="Normal 57 3 2 3 5 5" xfId="13319"/>
    <cellStyle name="Normal 57 3 2 3 5 6" xfId="8063"/>
    <cellStyle name="Normal 57 3 2 3 5 7" xfId="3691"/>
    <cellStyle name="Normal 57 3 2 3 6" xfId="1659"/>
    <cellStyle name="Normal 57 3 2 3 6 2" xfId="9647"/>
    <cellStyle name="Normal 57 3 2 3 6 3" xfId="4629"/>
    <cellStyle name="Normal 57 3 2 3 7" xfId="5806"/>
    <cellStyle name="Normal 57 3 2 3 7 2" xfId="10822"/>
    <cellStyle name="Normal 57 3 2 3 8" xfId="8383"/>
    <cellStyle name="Normal 57 3 2 3 9" xfId="12276"/>
    <cellStyle name="Normal 57 3 2 3_Degree data" xfId="3069"/>
    <cellStyle name="Normal 57 3 2 4" xfId="237"/>
    <cellStyle name="Normal 57 3 2 4 2" xfId="601"/>
    <cellStyle name="Normal 57 3 2 4 2 2" xfId="2105"/>
    <cellStyle name="Normal 57 3 2 4 2 2 2" xfId="10211"/>
    <cellStyle name="Normal 57 3 2 4 2 2 3" xfId="5193"/>
    <cellStyle name="Normal 57 3 2 4 2 3" xfId="6252"/>
    <cellStyle name="Normal 57 3 2 4 2 3 2" xfId="11268"/>
    <cellStyle name="Normal 57 3 2 4 2 4" xfId="9327"/>
    <cellStyle name="Normal 57 3 2 4 2 5" xfId="12722"/>
    <cellStyle name="Normal 57 3 2 4 2 6" xfId="7804"/>
    <cellStyle name="Normal 57 3 2 4 2 7" xfId="4258"/>
    <cellStyle name="Normal 57 3 2 4 3" xfId="1010"/>
    <cellStyle name="Normal 57 3 2 4 3 2" xfId="2454"/>
    <cellStyle name="Normal 57 3 2 4 3 2 2" xfId="10569"/>
    <cellStyle name="Normal 57 3 2 4 3 2 3" xfId="5552"/>
    <cellStyle name="Normal 57 3 2 4 3 3" xfId="6601"/>
    <cellStyle name="Normal 57 3 2 4 3 3 2" xfId="11616"/>
    <cellStyle name="Normal 57 3 2 4 3 4" xfId="8976"/>
    <cellStyle name="Normal 57 3 2 4 3 5" xfId="13070"/>
    <cellStyle name="Normal 57 3 2 4 3 6" xfId="8163"/>
    <cellStyle name="Normal 57 3 2 4 3 7" xfId="3907"/>
    <cellStyle name="Normal 57 3 2 4 4" xfId="1366"/>
    <cellStyle name="Normal 57 3 2 4 4 2" xfId="2924"/>
    <cellStyle name="Normal 57 3 2 4 4 2 2" xfId="11965"/>
    <cellStyle name="Normal 57 3 2 4 4 2 3" xfId="6950"/>
    <cellStyle name="Normal 57 3 2 4 4 3" xfId="13419"/>
    <cellStyle name="Normal 57 3 2 4 4 4" xfId="9860"/>
    <cellStyle name="Normal 57 3 2 4 4 5" xfId="4842"/>
    <cellStyle name="Normal 57 3 2 4 5" xfId="1759"/>
    <cellStyle name="Normal 57 3 2 4 5 2" xfId="10922"/>
    <cellStyle name="Normal 57 3 2 4 5 3" xfId="5906"/>
    <cellStyle name="Normal 57 3 2 4 6" xfId="8483"/>
    <cellStyle name="Normal 57 3 2 4 7" xfId="12376"/>
    <cellStyle name="Normal 57 3 2 4 8" xfId="7453"/>
    <cellStyle name="Normal 57 3 2 4 9" xfId="3405"/>
    <cellStyle name="Normal 57 3 2 4_Degree data" xfId="3071"/>
    <cellStyle name="Normal 57 3 2 5" xfId="289"/>
    <cellStyle name="Normal 57 3 2 5 2" xfId="853"/>
    <cellStyle name="Normal 57 3 2 5 2 2" xfId="2106"/>
    <cellStyle name="Normal 57 3 2 5 2 2 2" xfId="10212"/>
    <cellStyle name="Normal 57 3 2 5 2 2 3" xfId="5194"/>
    <cellStyle name="Normal 57 3 2 5 2 3" xfId="6253"/>
    <cellStyle name="Normal 57 3 2 5 2 3 2" xfId="11269"/>
    <cellStyle name="Normal 57 3 2 5 2 4" xfId="9328"/>
    <cellStyle name="Normal 57 3 2 5 2 5" xfId="12723"/>
    <cellStyle name="Normal 57 3 2 5 2 6" xfId="7805"/>
    <cellStyle name="Normal 57 3 2 5 2 7" xfId="4259"/>
    <cellStyle name="Normal 57 3 2 5 3" xfId="1203"/>
    <cellStyle name="Normal 57 3 2 5 3 2" xfId="2455"/>
    <cellStyle name="Normal 57 3 2 5 3 2 2" xfId="10412"/>
    <cellStyle name="Normal 57 3 2 5 3 2 3" xfId="5395"/>
    <cellStyle name="Normal 57 3 2 5 3 3" xfId="6602"/>
    <cellStyle name="Normal 57 3 2 5 3 3 2" xfId="11617"/>
    <cellStyle name="Normal 57 3 2 5 3 4" xfId="9488"/>
    <cellStyle name="Normal 57 3 2 5 3 5" xfId="13071"/>
    <cellStyle name="Normal 57 3 2 5 3 6" xfId="8006"/>
    <cellStyle name="Normal 57 3 2 5 3 7" xfId="4470"/>
    <cellStyle name="Normal 57 3 2 5 4" xfId="2756"/>
    <cellStyle name="Normal 57 3 2 5 4 2" xfId="6793"/>
    <cellStyle name="Normal 57 3 2 5 4 2 2" xfId="11808"/>
    <cellStyle name="Normal 57 3 2 5 4 3" xfId="13262"/>
    <cellStyle name="Normal 57 3 2 5 4 4" xfId="9703"/>
    <cellStyle name="Normal 57 3 2 5 4 5" xfId="4685"/>
    <cellStyle name="Normal 57 3 2 5 5" xfId="1602"/>
    <cellStyle name="Normal 57 3 2 5 5 2" xfId="10763"/>
    <cellStyle name="Normal 57 3 2 5 5 3" xfId="5747"/>
    <cellStyle name="Normal 57 3 2 5 6" xfId="8819"/>
    <cellStyle name="Normal 57 3 2 5 7" xfId="12219"/>
    <cellStyle name="Normal 57 3 2 5 8" xfId="7296"/>
    <cellStyle name="Normal 57 3 2 5 9" xfId="3750"/>
    <cellStyle name="Normal 57 3 2 5_Degree data" xfId="3072"/>
    <cellStyle name="Normal 57 3 2 6" xfId="444"/>
    <cellStyle name="Normal 57 3 2 6 2" xfId="2100"/>
    <cellStyle name="Normal 57 3 2 6 2 2" xfId="10206"/>
    <cellStyle name="Normal 57 3 2 6 2 3" xfId="5188"/>
    <cellStyle name="Normal 57 3 2 6 3" xfId="6247"/>
    <cellStyle name="Normal 57 3 2 6 3 2" xfId="11263"/>
    <cellStyle name="Normal 57 3 2 6 4" xfId="9322"/>
    <cellStyle name="Normal 57 3 2 6 5" xfId="12717"/>
    <cellStyle name="Normal 57 3 2 6 6" xfId="7799"/>
    <cellStyle name="Normal 57 3 2 6 7" xfId="4253"/>
    <cellStyle name="Normal 57 3 2 7" xfId="753"/>
    <cellStyle name="Normal 57 3 2 7 2" xfId="2449"/>
    <cellStyle name="Normal 57 3 2 7 2 2" xfId="10367"/>
    <cellStyle name="Normal 57 3 2 7 2 3" xfId="5350"/>
    <cellStyle name="Normal 57 3 2 7 3" xfId="6596"/>
    <cellStyle name="Normal 57 3 2 7 3 2" xfId="11611"/>
    <cellStyle name="Normal 57 3 2 7 4" xfId="8657"/>
    <cellStyle name="Normal 57 3 2 7 5" xfId="13065"/>
    <cellStyle name="Normal 57 3 2 7 6" xfId="7961"/>
    <cellStyle name="Normal 57 3 2 7 7" xfId="3584"/>
    <cellStyle name="Normal 57 3 2 8" xfId="1157"/>
    <cellStyle name="Normal 57 3 2 8 2" xfId="2702"/>
    <cellStyle name="Normal 57 3 2 8 2 2" xfId="11763"/>
    <cellStyle name="Normal 57 3 2 8 2 3" xfId="6748"/>
    <cellStyle name="Normal 57 3 2 8 3" xfId="13217"/>
    <cellStyle name="Normal 57 3 2 8 4" xfId="9543"/>
    <cellStyle name="Normal 57 3 2 8 5" xfId="4525"/>
    <cellStyle name="Normal 57 3 2 9" xfId="1557"/>
    <cellStyle name="Normal 57 3 2 9 2" xfId="12174"/>
    <cellStyle name="Normal 57 3 2 9 3" xfId="10718"/>
    <cellStyle name="Normal 57 3 2 9 4" xfId="5702"/>
    <cellStyle name="Normal 57 3 2_Degree data" xfId="3066"/>
    <cellStyle name="Normal 57 3 3" xfId="167"/>
    <cellStyle name="Normal 57 3 3 10" xfId="8312"/>
    <cellStyle name="Normal 57 3 3 11" xfId="12132"/>
    <cellStyle name="Normal 57 3 3 12" xfId="7124"/>
    <cellStyle name="Normal 57 3 3 13" xfId="3233"/>
    <cellStyle name="Normal 57 3 3 2" xfId="381"/>
    <cellStyle name="Normal 57 3 3 2 10" xfId="7167"/>
    <cellStyle name="Normal 57 3 3 2 11" xfId="3336"/>
    <cellStyle name="Normal 57 3 3 2 2" xfId="632"/>
    <cellStyle name="Normal 57 3 3 2 2 2" xfId="1041"/>
    <cellStyle name="Normal 57 3 3 2 2 2 2" xfId="2109"/>
    <cellStyle name="Normal 57 3 3 2 2 2 2 2" xfId="10215"/>
    <cellStyle name="Normal 57 3 3 2 2 2 2 3" xfId="5197"/>
    <cellStyle name="Normal 57 3 3 2 2 2 3" xfId="6256"/>
    <cellStyle name="Normal 57 3 3 2 2 2 3 2" xfId="11272"/>
    <cellStyle name="Normal 57 3 3 2 2 2 4" xfId="9331"/>
    <cellStyle name="Normal 57 3 3 2 2 2 5" xfId="12726"/>
    <cellStyle name="Normal 57 3 3 2 2 2 6" xfId="7808"/>
    <cellStyle name="Normal 57 3 3 2 2 2 7" xfId="4262"/>
    <cellStyle name="Normal 57 3 3 2 2 3" xfId="1398"/>
    <cellStyle name="Normal 57 3 3 2 2 3 2" xfId="2458"/>
    <cellStyle name="Normal 57 3 3 2 2 3 2 2" xfId="10600"/>
    <cellStyle name="Normal 57 3 3 2 2 3 2 3" xfId="5583"/>
    <cellStyle name="Normal 57 3 3 2 2 3 3" xfId="6605"/>
    <cellStyle name="Normal 57 3 3 2 2 3 3 2" xfId="11620"/>
    <cellStyle name="Normal 57 3 3 2 2 3 4" xfId="9007"/>
    <cellStyle name="Normal 57 3 3 2 2 3 5" xfId="13074"/>
    <cellStyle name="Normal 57 3 3 2 2 3 6" xfId="8194"/>
    <cellStyle name="Normal 57 3 3 2 2 3 7" xfId="3938"/>
    <cellStyle name="Normal 57 3 3 2 2 4" xfId="2956"/>
    <cellStyle name="Normal 57 3 3 2 2 4 2" xfId="6981"/>
    <cellStyle name="Normal 57 3 3 2 2 4 2 2" xfId="11996"/>
    <cellStyle name="Normal 57 3 3 2 2 4 3" xfId="13450"/>
    <cellStyle name="Normal 57 3 3 2 2 4 4" xfId="9891"/>
    <cellStyle name="Normal 57 3 3 2 2 4 5" xfId="4873"/>
    <cellStyle name="Normal 57 3 3 2 2 5" xfId="1790"/>
    <cellStyle name="Normal 57 3 3 2 2 5 2" xfId="10953"/>
    <cellStyle name="Normal 57 3 3 2 2 5 3" xfId="5937"/>
    <cellStyle name="Normal 57 3 3 2 2 6" xfId="8514"/>
    <cellStyle name="Normal 57 3 3 2 2 7" xfId="12407"/>
    <cellStyle name="Normal 57 3 3 2 2 8" xfId="7484"/>
    <cellStyle name="Normal 57 3 3 2 2 9" xfId="3436"/>
    <cellStyle name="Normal 57 3 3 2 2_Degree data" xfId="3075"/>
    <cellStyle name="Normal 57 3 3 2 3" xfId="532"/>
    <cellStyle name="Normal 57 3 3 2 3 2" xfId="2108"/>
    <cellStyle name="Normal 57 3 3 2 3 2 2" xfId="9791"/>
    <cellStyle name="Normal 57 3 3 2 3 2 3" xfId="4773"/>
    <cellStyle name="Normal 57 3 3 2 3 3" xfId="6255"/>
    <cellStyle name="Normal 57 3 3 2 3 3 2" xfId="11271"/>
    <cellStyle name="Normal 57 3 3 2 3 4" xfId="8907"/>
    <cellStyle name="Normal 57 3 3 2 3 5" xfId="12725"/>
    <cellStyle name="Normal 57 3 3 2 3 6" xfId="7384"/>
    <cellStyle name="Normal 57 3 3 2 3 7" xfId="3838"/>
    <cellStyle name="Normal 57 3 3 2 4" xfId="941"/>
    <cellStyle name="Normal 57 3 3 2 4 2" xfId="2457"/>
    <cellStyle name="Normal 57 3 3 2 4 2 2" xfId="10214"/>
    <cellStyle name="Normal 57 3 3 2 4 2 3" xfId="5196"/>
    <cellStyle name="Normal 57 3 3 2 4 3" xfId="6604"/>
    <cellStyle name="Normal 57 3 3 2 4 3 2" xfId="11619"/>
    <cellStyle name="Normal 57 3 3 2 4 4" xfId="9330"/>
    <cellStyle name="Normal 57 3 3 2 4 5" xfId="13073"/>
    <cellStyle name="Normal 57 3 3 2 4 6" xfId="7807"/>
    <cellStyle name="Normal 57 3 3 2 4 7" xfId="4261"/>
    <cellStyle name="Normal 57 3 3 2 5" xfId="1297"/>
    <cellStyle name="Normal 57 3 3 2 5 2" xfId="2854"/>
    <cellStyle name="Normal 57 3 3 2 5 2 2" xfId="10500"/>
    <cellStyle name="Normal 57 3 3 2 5 2 3" xfId="5483"/>
    <cellStyle name="Normal 57 3 3 2 5 3" xfId="6881"/>
    <cellStyle name="Normal 57 3 3 2 5 3 2" xfId="11896"/>
    <cellStyle name="Normal 57 3 3 2 5 4" xfId="8688"/>
    <cellStyle name="Normal 57 3 3 2 5 5" xfId="13350"/>
    <cellStyle name="Normal 57 3 3 2 5 6" xfId="8094"/>
    <cellStyle name="Normal 57 3 3 2 5 7" xfId="3617"/>
    <cellStyle name="Normal 57 3 3 2 6" xfId="1690"/>
    <cellStyle name="Normal 57 3 3 2 6 2" xfId="9574"/>
    <cellStyle name="Normal 57 3 3 2 6 3" xfId="4556"/>
    <cellStyle name="Normal 57 3 3 2 7" xfId="5837"/>
    <cellStyle name="Normal 57 3 3 2 7 2" xfId="10853"/>
    <cellStyle name="Normal 57 3 3 2 8" xfId="8414"/>
    <cellStyle name="Normal 57 3 3 2 9" xfId="12307"/>
    <cellStyle name="Normal 57 3 3 2_Degree data" xfId="3074"/>
    <cellStyle name="Normal 57 3 3 3" xfId="337"/>
    <cellStyle name="Normal 57 3 3 3 10" xfId="7229"/>
    <cellStyle name="Normal 57 3 3 3 11" xfId="3293"/>
    <cellStyle name="Normal 57 3 3 3 2" xfId="694"/>
    <cellStyle name="Normal 57 3 3 3 2 2" xfId="1103"/>
    <cellStyle name="Normal 57 3 3 3 2 2 2" xfId="2111"/>
    <cellStyle name="Normal 57 3 3 3 2 2 2 2" xfId="10217"/>
    <cellStyle name="Normal 57 3 3 3 2 2 2 3" xfId="5199"/>
    <cellStyle name="Normal 57 3 3 3 2 2 3" xfId="6258"/>
    <cellStyle name="Normal 57 3 3 3 2 2 3 2" xfId="11274"/>
    <cellStyle name="Normal 57 3 3 3 2 2 4" xfId="9333"/>
    <cellStyle name="Normal 57 3 3 3 2 2 5" xfId="12728"/>
    <cellStyle name="Normal 57 3 3 3 2 2 6" xfId="7810"/>
    <cellStyle name="Normal 57 3 3 3 2 2 7" xfId="4264"/>
    <cellStyle name="Normal 57 3 3 3 2 3" xfId="1461"/>
    <cellStyle name="Normal 57 3 3 3 2 3 2" xfId="2460"/>
    <cellStyle name="Normal 57 3 3 3 2 3 2 2" xfId="10662"/>
    <cellStyle name="Normal 57 3 3 3 2 3 2 3" xfId="5645"/>
    <cellStyle name="Normal 57 3 3 3 2 3 3" xfId="6607"/>
    <cellStyle name="Normal 57 3 3 3 2 3 3 2" xfId="11622"/>
    <cellStyle name="Normal 57 3 3 3 2 3 4" xfId="9069"/>
    <cellStyle name="Normal 57 3 3 3 2 3 5" xfId="13076"/>
    <cellStyle name="Normal 57 3 3 3 2 3 6" xfId="8256"/>
    <cellStyle name="Normal 57 3 3 3 2 3 7" xfId="4000"/>
    <cellStyle name="Normal 57 3 3 3 2 4" xfId="3020"/>
    <cellStyle name="Normal 57 3 3 3 2 4 2" xfId="7043"/>
    <cellStyle name="Normal 57 3 3 3 2 4 2 2" xfId="12058"/>
    <cellStyle name="Normal 57 3 3 3 2 4 3" xfId="13512"/>
    <cellStyle name="Normal 57 3 3 3 2 4 4" xfId="9953"/>
    <cellStyle name="Normal 57 3 3 3 2 4 5" xfId="4935"/>
    <cellStyle name="Normal 57 3 3 3 2 5" xfId="1852"/>
    <cellStyle name="Normal 57 3 3 3 2 5 2" xfId="11015"/>
    <cellStyle name="Normal 57 3 3 3 2 5 3" xfId="5999"/>
    <cellStyle name="Normal 57 3 3 3 2 6" xfId="8576"/>
    <cellStyle name="Normal 57 3 3 3 2 7" xfId="12469"/>
    <cellStyle name="Normal 57 3 3 3 2 8" xfId="7546"/>
    <cellStyle name="Normal 57 3 3 3 2 9" xfId="3498"/>
    <cellStyle name="Normal 57 3 3 3 2_Degree data" xfId="3077"/>
    <cellStyle name="Normal 57 3 3 3 3" xfId="489"/>
    <cellStyle name="Normal 57 3 3 3 3 2" xfId="2110"/>
    <cellStyle name="Normal 57 3 3 3 3 2 2" xfId="9748"/>
    <cellStyle name="Normal 57 3 3 3 3 2 3" xfId="4730"/>
    <cellStyle name="Normal 57 3 3 3 3 3" xfId="6257"/>
    <cellStyle name="Normal 57 3 3 3 3 3 2" xfId="11273"/>
    <cellStyle name="Normal 57 3 3 3 3 4" xfId="8864"/>
    <cellStyle name="Normal 57 3 3 3 3 5" xfId="12727"/>
    <cellStyle name="Normal 57 3 3 3 3 6" xfId="7341"/>
    <cellStyle name="Normal 57 3 3 3 3 7" xfId="3795"/>
    <cellStyle name="Normal 57 3 3 3 4" xfId="898"/>
    <cellStyle name="Normal 57 3 3 3 4 2" xfId="2459"/>
    <cellStyle name="Normal 57 3 3 3 4 2 2" xfId="10216"/>
    <cellStyle name="Normal 57 3 3 3 4 2 3" xfId="5198"/>
    <cellStyle name="Normal 57 3 3 3 4 3" xfId="6606"/>
    <cellStyle name="Normal 57 3 3 3 4 3 2" xfId="11621"/>
    <cellStyle name="Normal 57 3 3 3 4 4" xfId="9332"/>
    <cellStyle name="Normal 57 3 3 3 4 5" xfId="13075"/>
    <cellStyle name="Normal 57 3 3 3 4 6" xfId="7809"/>
    <cellStyle name="Normal 57 3 3 3 4 7" xfId="4263"/>
    <cellStyle name="Normal 57 3 3 3 5" xfId="1253"/>
    <cellStyle name="Normal 57 3 3 3 5 2" xfId="2809"/>
    <cellStyle name="Normal 57 3 3 3 5 2 2" xfId="10457"/>
    <cellStyle name="Normal 57 3 3 3 5 2 3" xfId="5440"/>
    <cellStyle name="Normal 57 3 3 3 5 3" xfId="6838"/>
    <cellStyle name="Normal 57 3 3 3 5 3 2" xfId="11853"/>
    <cellStyle name="Normal 57 3 3 3 5 4" xfId="8750"/>
    <cellStyle name="Normal 57 3 3 3 5 5" xfId="13307"/>
    <cellStyle name="Normal 57 3 3 3 5 6" xfId="8051"/>
    <cellStyle name="Normal 57 3 3 3 5 7" xfId="3680"/>
    <cellStyle name="Normal 57 3 3 3 6" xfId="1647"/>
    <cellStyle name="Normal 57 3 3 3 6 2" xfId="9636"/>
    <cellStyle name="Normal 57 3 3 3 6 3" xfId="4618"/>
    <cellStyle name="Normal 57 3 3 3 7" xfId="5794"/>
    <cellStyle name="Normal 57 3 3 3 7 2" xfId="10810"/>
    <cellStyle name="Normal 57 3 3 3 8" xfId="8371"/>
    <cellStyle name="Normal 57 3 3 3 9" xfId="12264"/>
    <cellStyle name="Normal 57 3 3 3_Degree data" xfId="3076"/>
    <cellStyle name="Normal 57 3 3 4" xfId="274"/>
    <cellStyle name="Normal 57 3 3 4 2" xfId="589"/>
    <cellStyle name="Normal 57 3 3 4 2 2" xfId="2112"/>
    <cellStyle name="Normal 57 3 3 4 2 2 2" xfId="10218"/>
    <cellStyle name="Normal 57 3 3 4 2 2 3" xfId="5200"/>
    <cellStyle name="Normal 57 3 3 4 2 3" xfId="6259"/>
    <cellStyle name="Normal 57 3 3 4 2 3 2" xfId="11275"/>
    <cellStyle name="Normal 57 3 3 4 2 4" xfId="9334"/>
    <cellStyle name="Normal 57 3 3 4 2 5" xfId="12729"/>
    <cellStyle name="Normal 57 3 3 4 2 6" xfId="7811"/>
    <cellStyle name="Normal 57 3 3 4 2 7" xfId="4265"/>
    <cellStyle name="Normal 57 3 3 4 3" xfId="998"/>
    <cellStyle name="Normal 57 3 3 4 3 2" xfId="2461"/>
    <cellStyle name="Normal 57 3 3 4 3 2 2" xfId="10557"/>
    <cellStyle name="Normal 57 3 3 4 3 2 3" xfId="5540"/>
    <cellStyle name="Normal 57 3 3 4 3 3" xfId="6608"/>
    <cellStyle name="Normal 57 3 3 4 3 3 2" xfId="11623"/>
    <cellStyle name="Normal 57 3 3 4 3 4" xfId="8964"/>
    <cellStyle name="Normal 57 3 3 4 3 5" xfId="13077"/>
    <cellStyle name="Normal 57 3 3 4 3 6" xfId="8151"/>
    <cellStyle name="Normal 57 3 3 4 3 7" xfId="3895"/>
    <cellStyle name="Normal 57 3 3 4 4" xfId="1354"/>
    <cellStyle name="Normal 57 3 3 4 4 2" xfId="2912"/>
    <cellStyle name="Normal 57 3 3 4 4 2 2" xfId="11953"/>
    <cellStyle name="Normal 57 3 3 4 4 2 3" xfId="6938"/>
    <cellStyle name="Normal 57 3 3 4 4 3" xfId="13407"/>
    <cellStyle name="Normal 57 3 3 4 4 4" xfId="9848"/>
    <cellStyle name="Normal 57 3 3 4 4 5" xfId="4830"/>
    <cellStyle name="Normal 57 3 3 4 5" xfId="1747"/>
    <cellStyle name="Normal 57 3 3 4 5 2" xfId="10910"/>
    <cellStyle name="Normal 57 3 3 4 5 3" xfId="5894"/>
    <cellStyle name="Normal 57 3 3 4 6" xfId="8471"/>
    <cellStyle name="Normal 57 3 3 4 7" xfId="12364"/>
    <cellStyle name="Normal 57 3 3 4 8" xfId="7441"/>
    <cellStyle name="Normal 57 3 3 4 9" xfId="3393"/>
    <cellStyle name="Normal 57 3 3 4_Degree data" xfId="3078"/>
    <cellStyle name="Normal 57 3 3 5" xfId="430"/>
    <cellStyle name="Normal 57 3 3 5 2" xfId="838"/>
    <cellStyle name="Normal 57 3 3 5 2 2" xfId="9689"/>
    <cellStyle name="Normal 57 3 3 5 2 3" xfId="4671"/>
    <cellStyle name="Normal 57 3 3 5 3" xfId="2107"/>
    <cellStyle name="Normal 57 3 3 5 3 2" xfId="11270"/>
    <cellStyle name="Normal 57 3 3 5 3 3" xfId="6254"/>
    <cellStyle name="Normal 57 3 3 5 4" xfId="8805"/>
    <cellStyle name="Normal 57 3 3 5 5" xfId="12724"/>
    <cellStyle name="Normal 57 3 3 5 6" xfId="7282"/>
    <cellStyle name="Normal 57 3 3 5 7" xfId="3736"/>
    <cellStyle name="Normal 57 3 3 6" xfId="765"/>
    <cellStyle name="Normal 57 3 3 6 2" xfId="2456"/>
    <cellStyle name="Normal 57 3 3 6 2 2" xfId="10213"/>
    <cellStyle name="Normal 57 3 3 6 2 3" xfId="5195"/>
    <cellStyle name="Normal 57 3 3 6 3" xfId="6603"/>
    <cellStyle name="Normal 57 3 3 6 3 2" xfId="11618"/>
    <cellStyle name="Normal 57 3 3 6 4" xfId="9329"/>
    <cellStyle name="Normal 57 3 3 6 5" xfId="13072"/>
    <cellStyle name="Normal 57 3 3 6 6" xfId="7806"/>
    <cellStyle name="Normal 57 3 3 6 7" xfId="4260"/>
    <cellStyle name="Normal 57 3 3 7" xfId="1189"/>
    <cellStyle name="Normal 57 3 3 7 2" xfId="2741"/>
    <cellStyle name="Normal 57 3 3 7 2 2" xfId="10398"/>
    <cellStyle name="Normal 57 3 3 7 2 3" xfId="5381"/>
    <cellStyle name="Normal 57 3 3 7 3" xfId="6779"/>
    <cellStyle name="Normal 57 3 3 7 3 2" xfId="11794"/>
    <cellStyle name="Normal 57 3 3 7 4" xfId="8644"/>
    <cellStyle name="Normal 57 3 3 7 5" xfId="13248"/>
    <cellStyle name="Normal 57 3 3 7 6" xfId="7992"/>
    <cellStyle name="Normal 57 3 3 7 7" xfId="3571"/>
    <cellStyle name="Normal 57 3 3 8" xfId="1588"/>
    <cellStyle name="Normal 57 3 3 8 2" xfId="12205"/>
    <cellStyle name="Normal 57 3 3 8 3" xfId="9531"/>
    <cellStyle name="Normal 57 3 3 8 4" xfId="4513"/>
    <cellStyle name="Normal 57 3 3 9" xfId="1515"/>
    <cellStyle name="Normal 57 3 3 9 2" xfId="10749"/>
    <cellStyle name="Normal 57 3 3 9 3" xfId="5733"/>
    <cellStyle name="Normal 57 3 3_Degree data" xfId="3073"/>
    <cellStyle name="Normal 57 3 4" xfId="189"/>
    <cellStyle name="Normal 57 3 4 10" xfId="7161"/>
    <cellStyle name="Normal 57 3 4 11" xfId="3330"/>
    <cellStyle name="Normal 57 3 4 2" xfId="375"/>
    <cellStyle name="Normal 57 3 4 2 2" xfId="626"/>
    <cellStyle name="Normal 57 3 4 2 2 2" xfId="2114"/>
    <cellStyle name="Normal 57 3 4 2 2 2 2" xfId="10220"/>
    <cellStyle name="Normal 57 3 4 2 2 2 3" xfId="5202"/>
    <cellStyle name="Normal 57 3 4 2 2 3" xfId="6261"/>
    <cellStyle name="Normal 57 3 4 2 2 3 2" xfId="11277"/>
    <cellStyle name="Normal 57 3 4 2 2 4" xfId="9336"/>
    <cellStyle name="Normal 57 3 4 2 2 5" xfId="12731"/>
    <cellStyle name="Normal 57 3 4 2 2 6" xfId="7813"/>
    <cellStyle name="Normal 57 3 4 2 2 7" xfId="4267"/>
    <cellStyle name="Normal 57 3 4 2 3" xfId="1035"/>
    <cellStyle name="Normal 57 3 4 2 3 2" xfId="2463"/>
    <cellStyle name="Normal 57 3 4 2 3 2 2" xfId="10594"/>
    <cellStyle name="Normal 57 3 4 2 3 2 3" xfId="5577"/>
    <cellStyle name="Normal 57 3 4 2 3 3" xfId="6610"/>
    <cellStyle name="Normal 57 3 4 2 3 3 2" xfId="11625"/>
    <cellStyle name="Normal 57 3 4 2 3 4" xfId="9001"/>
    <cellStyle name="Normal 57 3 4 2 3 5" xfId="13079"/>
    <cellStyle name="Normal 57 3 4 2 3 6" xfId="8188"/>
    <cellStyle name="Normal 57 3 4 2 3 7" xfId="3932"/>
    <cellStyle name="Normal 57 3 4 2 4" xfId="1392"/>
    <cellStyle name="Normal 57 3 4 2 4 2" xfId="2950"/>
    <cellStyle name="Normal 57 3 4 2 4 2 2" xfId="11990"/>
    <cellStyle name="Normal 57 3 4 2 4 2 3" xfId="6975"/>
    <cellStyle name="Normal 57 3 4 2 4 3" xfId="13444"/>
    <cellStyle name="Normal 57 3 4 2 4 4" xfId="9885"/>
    <cellStyle name="Normal 57 3 4 2 4 5" xfId="4867"/>
    <cellStyle name="Normal 57 3 4 2 5" xfId="1784"/>
    <cellStyle name="Normal 57 3 4 2 5 2" xfId="10947"/>
    <cellStyle name="Normal 57 3 4 2 5 3" xfId="5931"/>
    <cellStyle name="Normal 57 3 4 2 6" xfId="8508"/>
    <cellStyle name="Normal 57 3 4 2 7" xfId="12401"/>
    <cellStyle name="Normal 57 3 4 2 8" xfId="7478"/>
    <cellStyle name="Normal 57 3 4 2 9" xfId="3430"/>
    <cellStyle name="Normal 57 3 4 2_Degree data" xfId="3080"/>
    <cellStyle name="Normal 57 3 4 3" xfId="526"/>
    <cellStyle name="Normal 57 3 4 3 2" xfId="935"/>
    <cellStyle name="Normal 57 3 4 3 2 2" xfId="9785"/>
    <cellStyle name="Normal 57 3 4 3 2 3" xfId="4767"/>
    <cellStyle name="Normal 57 3 4 3 3" xfId="2113"/>
    <cellStyle name="Normal 57 3 4 3 3 2" xfId="11276"/>
    <cellStyle name="Normal 57 3 4 3 3 3" xfId="6260"/>
    <cellStyle name="Normal 57 3 4 3 4" xfId="8901"/>
    <cellStyle name="Normal 57 3 4 3 5" xfId="12730"/>
    <cellStyle name="Normal 57 3 4 3 6" xfId="7378"/>
    <cellStyle name="Normal 57 3 4 3 7" xfId="3832"/>
    <cellStyle name="Normal 57 3 4 4" xfId="795"/>
    <cellStyle name="Normal 57 3 4 4 2" xfId="2462"/>
    <cellStyle name="Normal 57 3 4 4 2 2" xfId="10219"/>
    <cellStyle name="Normal 57 3 4 4 2 3" xfId="5201"/>
    <cellStyle name="Normal 57 3 4 4 3" xfId="6609"/>
    <cellStyle name="Normal 57 3 4 4 3 2" xfId="11624"/>
    <cellStyle name="Normal 57 3 4 4 4" xfId="9335"/>
    <cellStyle name="Normal 57 3 4 4 5" xfId="13078"/>
    <cellStyle name="Normal 57 3 4 4 6" xfId="7812"/>
    <cellStyle name="Normal 57 3 4 4 7" xfId="4266"/>
    <cellStyle name="Normal 57 3 4 5" xfId="1291"/>
    <cellStyle name="Normal 57 3 4 5 2" xfId="2848"/>
    <cellStyle name="Normal 57 3 4 5 2 2" xfId="10494"/>
    <cellStyle name="Normal 57 3 4 5 2 3" xfId="5477"/>
    <cellStyle name="Normal 57 3 4 5 3" xfId="6875"/>
    <cellStyle name="Normal 57 3 4 5 3 2" xfId="11890"/>
    <cellStyle name="Normal 57 3 4 5 4" xfId="8682"/>
    <cellStyle name="Normal 57 3 4 5 5" xfId="13344"/>
    <cellStyle name="Normal 57 3 4 5 6" xfId="8088"/>
    <cellStyle name="Normal 57 3 4 5 7" xfId="3611"/>
    <cellStyle name="Normal 57 3 4 6" xfId="1684"/>
    <cellStyle name="Normal 57 3 4 6 2" xfId="9568"/>
    <cellStyle name="Normal 57 3 4 6 3" xfId="4550"/>
    <cellStyle name="Normal 57 3 4 7" xfId="5831"/>
    <cellStyle name="Normal 57 3 4 7 2" xfId="10847"/>
    <cellStyle name="Normal 57 3 4 8" xfId="8408"/>
    <cellStyle name="Normal 57 3 4 9" xfId="12301"/>
    <cellStyle name="Normal 57 3 4_Degree data" xfId="3079"/>
    <cellStyle name="Normal 57 3 5" xfId="225"/>
    <cellStyle name="Normal 57 3 5 10" xfId="7211"/>
    <cellStyle name="Normal 57 3 5 11" xfId="3275"/>
    <cellStyle name="Normal 57 3 5 2" xfId="319"/>
    <cellStyle name="Normal 57 3 5 2 2" xfId="676"/>
    <cellStyle name="Normal 57 3 5 2 2 2" xfId="2116"/>
    <cellStyle name="Normal 57 3 5 2 2 2 2" xfId="10222"/>
    <cellStyle name="Normal 57 3 5 2 2 2 3" xfId="5204"/>
    <cellStyle name="Normal 57 3 5 2 2 3" xfId="6263"/>
    <cellStyle name="Normal 57 3 5 2 2 3 2" xfId="11279"/>
    <cellStyle name="Normal 57 3 5 2 2 4" xfId="9338"/>
    <cellStyle name="Normal 57 3 5 2 2 5" xfId="12733"/>
    <cellStyle name="Normal 57 3 5 2 2 6" xfId="7815"/>
    <cellStyle name="Normal 57 3 5 2 2 7" xfId="4269"/>
    <cellStyle name="Normal 57 3 5 2 3" xfId="1085"/>
    <cellStyle name="Normal 57 3 5 2 3 2" xfId="2465"/>
    <cellStyle name="Normal 57 3 5 2 3 2 2" xfId="10644"/>
    <cellStyle name="Normal 57 3 5 2 3 2 3" xfId="5627"/>
    <cellStyle name="Normal 57 3 5 2 3 3" xfId="6612"/>
    <cellStyle name="Normal 57 3 5 2 3 3 2" xfId="11627"/>
    <cellStyle name="Normal 57 3 5 2 3 4" xfId="9051"/>
    <cellStyle name="Normal 57 3 5 2 3 5" xfId="13081"/>
    <cellStyle name="Normal 57 3 5 2 3 6" xfId="8238"/>
    <cellStyle name="Normal 57 3 5 2 3 7" xfId="3982"/>
    <cellStyle name="Normal 57 3 5 2 4" xfId="1443"/>
    <cellStyle name="Normal 57 3 5 2 4 2" xfId="3002"/>
    <cellStyle name="Normal 57 3 5 2 4 2 2" xfId="12040"/>
    <cellStyle name="Normal 57 3 5 2 4 2 3" xfId="7025"/>
    <cellStyle name="Normal 57 3 5 2 4 3" xfId="13494"/>
    <cellStyle name="Normal 57 3 5 2 4 4" xfId="9935"/>
    <cellStyle name="Normal 57 3 5 2 4 5" xfId="4917"/>
    <cellStyle name="Normal 57 3 5 2 5" xfId="1834"/>
    <cellStyle name="Normal 57 3 5 2 5 2" xfId="10997"/>
    <cellStyle name="Normal 57 3 5 2 5 3" xfId="5981"/>
    <cellStyle name="Normal 57 3 5 2 6" xfId="8558"/>
    <cellStyle name="Normal 57 3 5 2 7" xfId="12451"/>
    <cellStyle name="Normal 57 3 5 2 8" xfId="7528"/>
    <cellStyle name="Normal 57 3 5 2 9" xfId="3480"/>
    <cellStyle name="Normal 57 3 5 2_Degree data" xfId="3082"/>
    <cellStyle name="Normal 57 3 5 3" xfId="471"/>
    <cellStyle name="Normal 57 3 5 3 2" xfId="2115"/>
    <cellStyle name="Normal 57 3 5 3 2 2" xfId="9730"/>
    <cellStyle name="Normal 57 3 5 3 2 3" xfId="4712"/>
    <cellStyle name="Normal 57 3 5 3 3" xfId="6262"/>
    <cellStyle name="Normal 57 3 5 3 3 2" xfId="11278"/>
    <cellStyle name="Normal 57 3 5 3 4" xfId="8846"/>
    <cellStyle name="Normal 57 3 5 3 5" xfId="12732"/>
    <cellStyle name="Normal 57 3 5 3 6" xfId="7323"/>
    <cellStyle name="Normal 57 3 5 3 7" xfId="3777"/>
    <cellStyle name="Normal 57 3 5 4" xfId="880"/>
    <cellStyle name="Normal 57 3 5 4 2" xfId="2464"/>
    <cellStyle name="Normal 57 3 5 4 2 2" xfId="10221"/>
    <cellStyle name="Normal 57 3 5 4 2 3" xfId="5203"/>
    <cellStyle name="Normal 57 3 5 4 3" xfId="6611"/>
    <cellStyle name="Normal 57 3 5 4 3 2" xfId="11626"/>
    <cellStyle name="Normal 57 3 5 4 4" xfId="9337"/>
    <cellStyle name="Normal 57 3 5 4 5" xfId="13080"/>
    <cellStyle name="Normal 57 3 5 4 6" xfId="7814"/>
    <cellStyle name="Normal 57 3 5 4 7" xfId="4268"/>
    <cellStyle name="Normal 57 3 5 5" xfId="1232"/>
    <cellStyle name="Normal 57 3 5 5 2" xfId="2788"/>
    <cellStyle name="Normal 57 3 5 5 2 2" xfId="10439"/>
    <cellStyle name="Normal 57 3 5 5 2 3" xfId="5422"/>
    <cellStyle name="Normal 57 3 5 5 3" xfId="6820"/>
    <cellStyle name="Normal 57 3 5 5 3 2" xfId="11835"/>
    <cellStyle name="Normal 57 3 5 5 4" xfId="8732"/>
    <cellStyle name="Normal 57 3 5 5 5" xfId="13289"/>
    <cellStyle name="Normal 57 3 5 5 6" xfId="8033"/>
    <cellStyle name="Normal 57 3 5 5 7" xfId="3662"/>
    <cellStyle name="Normal 57 3 5 6" xfId="1629"/>
    <cellStyle name="Normal 57 3 5 6 2" xfId="9618"/>
    <cellStyle name="Normal 57 3 5 6 3" xfId="4600"/>
    <cellStyle name="Normal 57 3 5 7" xfId="5776"/>
    <cellStyle name="Normal 57 3 5 7 2" xfId="10792"/>
    <cellStyle name="Normal 57 3 5 8" xfId="8353"/>
    <cellStyle name="Normal 57 3 5 9" xfId="12246"/>
    <cellStyle name="Normal 57 3 5_Degree data" xfId="3081"/>
    <cellStyle name="Normal 57 3 6" xfId="263"/>
    <cellStyle name="Normal 57 3 6 2" xfId="571"/>
    <cellStyle name="Normal 57 3 6 2 2" xfId="2117"/>
    <cellStyle name="Normal 57 3 6 2 2 2" xfId="10223"/>
    <cellStyle name="Normal 57 3 6 2 2 3" xfId="5205"/>
    <cellStyle name="Normal 57 3 6 2 3" xfId="6264"/>
    <cellStyle name="Normal 57 3 6 2 3 2" xfId="11280"/>
    <cellStyle name="Normal 57 3 6 2 4" xfId="9339"/>
    <cellStyle name="Normal 57 3 6 2 5" xfId="12734"/>
    <cellStyle name="Normal 57 3 6 2 6" xfId="7816"/>
    <cellStyle name="Normal 57 3 6 2 7" xfId="4270"/>
    <cellStyle name="Normal 57 3 6 3" xfId="980"/>
    <cellStyle name="Normal 57 3 6 3 2" xfId="2466"/>
    <cellStyle name="Normal 57 3 6 3 2 2" xfId="10539"/>
    <cellStyle name="Normal 57 3 6 3 2 3" xfId="5522"/>
    <cellStyle name="Normal 57 3 6 3 3" xfId="6613"/>
    <cellStyle name="Normal 57 3 6 3 3 2" xfId="11628"/>
    <cellStyle name="Normal 57 3 6 3 4" xfId="8946"/>
    <cellStyle name="Normal 57 3 6 3 5" xfId="13082"/>
    <cellStyle name="Normal 57 3 6 3 6" xfId="8133"/>
    <cellStyle name="Normal 57 3 6 3 7" xfId="3877"/>
    <cellStyle name="Normal 57 3 6 4" xfId="1336"/>
    <cellStyle name="Normal 57 3 6 4 2" xfId="2894"/>
    <cellStyle name="Normal 57 3 6 4 2 2" xfId="11935"/>
    <cellStyle name="Normal 57 3 6 4 2 3" xfId="6920"/>
    <cellStyle name="Normal 57 3 6 4 3" xfId="13389"/>
    <cellStyle name="Normal 57 3 6 4 4" xfId="9830"/>
    <cellStyle name="Normal 57 3 6 4 5" xfId="4812"/>
    <cellStyle name="Normal 57 3 6 5" xfId="1729"/>
    <cellStyle name="Normal 57 3 6 5 2" xfId="10892"/>
    <cellStyle name="Normal 57 3 6 5 3" xfId="5876"/>
    <cellStyle name="Normal 57 3 6 6" xfId="8453"/>
    <cellStyle name="Normal 57 3 6 7" xfId="12346"/>
    <cellStyle name="Normal 57 3 6 8" xfId="7423"/>
    <cellStyle name="Normal 57 3 6 9" xfId="3375"/>
    <cellStyle name="Normal 57 3 6_Degree data" xfId="3083"/>
    <cellStyle name="Normal 57 3 7" xfId="419"/>
    <cellStyle name="Normal 57 3 7 2" xfId="827"/>
    <cellStyle name="Normal 57 3 7 2 2" xfId="2118"/>
    <cellStyle name="Normal 57 3 7 2 2 2" xfId="10224"/>
    <cellStyle name="Normal 57 3 7 2 2 3" xfId="5206"/>
    <cellStyle name="Normal 57 3 7 2 3" xfId="6265"/>
    <cellStyle name="Normal 57 3 7 2 3 2" xfId="11281"/>
    <cellStyle name="Normal 57 3 7 2 4" xfId="9340"/>
    <cellStyle name="Normal 57 3 7 2 5" xfId="12735"/>
    <cellStyle name="Normal 57 3 7 2 6" xfId="7817"/>
    <cellStyle name="Normal 57 3 7 2 7" xfId="4271"/>
    <cellStyle name="Normal 57 3 7 3" xfId="1177"/>
    <cellStyle name="Normal 57 3 7 3 2" xfId="2467"/>
    <cellStyle name="Normal 57 3 7 3 2 2" xfId="10387"/>
    <cellStyle name="Normal 57 3 7 3 2 3" xfId="5370"/>
    <cellStyle name="Normal 57 3 7 3 3" xfId="6614"/>
    <cellStyle name="Normal 57 3 7 3 3 2" xfId="11629"/>
    <cellStyle name="Normal 57 3 7 3 4" xfId="9489"/>
    <cellStyle name="Normal 57 3 7 3 5" xfId="13083"/>
    <cellStyle name="Normal 57 3 7 3 6" xfId="7981"/>
    <cellStyle name="Normal 57 3 7 3 7" xfId="4471"/>
    <cellStyle name="Normal 57 3 7 4" xfId="2728"/>
    <cellStyle name="Normal 57 3 7 4 2" xfId="6768"/>
    <cellStyle name="Normal 57 3 7 4 2 2" xfId="11783"/>
    <cellStyle name="Normal 57 3 7 4 3" xfId="13237"/>
    <cellStyle name="Normal 57 3 7 4 4" xfId="9678"/>
    <cellStyle name="Normal 57 3 7 4 5" xfId="4660"/>
    <cellStyle name="Normal 57 3 7 5" xfId="1577"/>
    <cellStyle name="Normal 57 3 7 5 2" xfId="10738"/>
    <cellStyle name="Normal 57 3 7 5 3" xfId="5722"/>
    <cellStyle name="Normal 57 3 7 6" xfId="8794"/>
    <cellStyle name="Normal 57 3 7 7" xfId="12194"/>
    <cellStyle name="Normal 57 3 7 8" xfId="7271"/>
    <cellStyle name="Normal 57 3 7 9" xfId="3725"/>
    <cellStyle name="Normal 57 3 7_Degree data" xfId="3084"/>
    <cellStyle name="Normal 57 3 8" xfId="741"/>
    <cellStyle name="Normal 57 3 8 2" xfId="2099"/>
    <cellStyle name="Normal 57 3 8 2 2" xfId="10205"/>
    <cellStyle name="Normal 57 3 8 2 3" xfId="5187"/>
    <cellStyle name="Normal 57 3 8 3" xfId="6246"/>
    <cellStyle name="Normal 57 3 8 3 2" xfId="11262"/>
    <cellStyle name="Normal 57 3 8 4" xfId="9321"/>
    <cellStyle name="Normal 57 3 8 5" xfId="12716"/>
    <cellStyle name="Normal 57 3 8 6" xfId="7798"/>
    <cellStyle name="Normal 57 3 8 7" xfId="4252"/>
    <cellStyle name="Normal 57 3 9" xfId="1145"/>
    <cellStyle name="Normal 57 3 9 2" xfId="2448"/>
    <cellStyle name="Normal 57 3 9 2 2" xfId="10355"/>
    <cellStyle name="Normal 57 3 9 2 3" xfId="5338"/>
    <cellStyle name="Normal 57 3 9 3" xfId="6595"/>
    <cellStyle name="Normal 57 3 9 3 2" xfId="11610"/>
    <cellStyle name="Normal 57 3 9 4" xfId="8626"/>
    <cellStyle name="Normal 57 3 9 5" xfId="13064"/>
    <cellStyle name="Normal 57 3 9 6" xfId="7949"/>
    <cellStyle name="Normal 57 3 9 7" xfId="3550"/>
    <cellStyle name="Normal 57 3_Degree data" xfId="3065"/>
    <cellStyle name="Normal 57 4" xfId="104"/>
    <cellStyle name="Normal 57 4 10" xfId="1551"/>
    <cellStyle name="Normal 57 4 10 2" xfId="12168"/>
    <cellStyle name="Normal 57 4 10 3" xfId="10712"/>
    <cellStyle name="Normal 57 4 10 4" xfId="5696"/>
    <cellStyle name="Normal 57 4 11" xfId="1501"/>
    <cellStyle name="Normal 57 4 11 2" xfId="8318"/>
    <cellStyle name="Normal 57 4 12" xfId="12118"/>
    <cellStyle name="Normal 57 4 13" xfId="7102"/>
    <cellStyle name="Normal 57 4 14" xfId="3239"/>
    <cellStyle name="Normal 57 4 2" xfId="169"/>
    <cellStyle name="Normal 57 4 2 10" xfId="12138"/>
    <cellStyle name="Normal 57 4 2 11" xfId="7130"/>
    <cellStyle name="Normal 57 4 2 12" xfId="3299"/>
    <cellStyle name="Normal 57 4 2 2" xfId="387"/>
    <cellStyle name="Normal 57 4 2 2 10" xfId="7173"/>
    <cellStyle name="Normal 57 4 2 2 11" xfId="3342"/>
    <cellStyle name="Normal 57 4 2 2 2" xfId="638"/>
    <cellStyle name="Normal 57 4 2 2 2 2" xfId="1047"/>
    <cellStyle name="Normal 57 4 2 2 2 2 2" xfId="2122"/>
    <cellStyle name="Normal 57 4 2 2 2 2 2 2" xfId="10228"/>
    <cellStyle name="Normal 57 4 2 2 2 2 2 3" xfId="5210"/>
    <cellStyle name="Normal 57 4 2 2 2 2 3" xfId="6269"/>
    <cellStyle name="Normal 57 4 2 2 2 2 3 2" xfId="11285"/>
    <cellStyle name="Normal 57 4 2 2 2 2 4" xfId="9344"/>
    <cellStyle name="Normal 57 4 2 2 2 2 5" xfId="12739"/>
    <cellStyle name="Normal 57 4 2 2 2 2 6" xfId="7821"/>
    <cellStyle name="Normal 57 4 2 2 2 2 7" xfId="4275"/>
    <cellStyle name="Normal 57 4 2 2 2 3" xfId="1404"/>
    <cellStyle name="Normal 57 4 2 2 2 3 2" xfId="2471"/>
    <cellStyle name="Normal 57 4 2 2 2 3 2 2" xfId="10606"/>
    <cellStyle name="Normal 57 4 2 2 2 3 2 3" xfId="5589"/>
    <cellStyle name="Normal 57 4 2 2 2 3 3" xfId="6618"/>
    <cellStyle name="Normal 57 4 2 2 2 3 3 2" xfId="11633"/>
    <cellStyle name="Normal 57 4 2 2 2 3 4" xfId="9013"/>
    <cellStyle name="Normal 57 4 2 2 2 3 5" xfId="13087"/>
    <cellStyle name="Normal 57 4 2 2 2 3 6" xfId="8200"/>
    <cellStyle name="Normal 57 4 2 2 2 3 7" xfId="3944"/>
    <cellStyle name="Normal 57 4 2 2 2 4" xfId="2962"/>
    <cellStyle name="Normal 57 4 2 2 2 4 2" xfId="6987"/>
    <cellStyle name="Normal 57 4 2 2 2 4 2 2" xfId="12002"/>
    <cellStyle name="Normal 57 4 2 2 2 4 3" xfId="13456"/>
    <cellStyle name="Normal 57 4 2 2 2 4 4" xfId="9897"/>
    <cellStyle name="Normal 57 4 2 2 2 4 5" xfId="4879"/>
    <cellStyle name="Normal 57 4 2 2 2 5" xfId="1796"/>
    <cellStyle name="Normal 57 4 2 2 2 5 2" xfId="10959"/>
    <cellStyle name="Normal 57 4 2 2 2 5 3" xfId="5943"/>
    <cellStyle name="Normal 57 4 2 2 2 6" xfId="8520"/>
    <cellStyle name="Normal 57 4 2 2 2 7" xfId="12413"/>
    <cellStyle name="Normal 57 4 2 2 2 8" xfId="7490"/>
    <cellStyle name="Normal 57 4 2 2 2 9" xfId="3442"/>
    <cellStyle name="Normal 57 4 2 2 2_Degree data" xfId="3088"/>
    <cellStyle name="Normal 57 4 2 2 3" xfId="538"/>
    <cellStyle name="Normal 57 4 2 2 3 2" xfId="2121"/>
    <cellStyle name="Normal 57 4 2 2 3 2 2" xfId="9797"/>
    <cellStyle name="Normal 57 4 2 2 3 2 3" xfId="4779"/>
    <cellStyle name="Normal 57 4 2 2 3 3" xfId="6268"/>
    <cellStyle name="Normal 57 4 2 2 3 3 2" xfId="11284"/>
    <cellStyle name="Normal 57 4 2 2 3 4" xfId="8913"/>
    <cellStyle name="Normal 57 4 2 2 3 5" xfId="12738"/>
    <cellStyle name="Normal 57 4 2 2 3 6" xfId="7390"/>
    <cellStyle name="Normal 57 4 2 2 3 7" xfId="3844"/>
    <cellStyle name="Normal 57 4 2 2 4" xfId="947"/>
    <cellStyle name="Normal 57 4 2 2 4 2" xfId="2470"/>
    <cellStyle name="Normal 57 4 2 2 4 2 2" xfId="10227"/>
    <cellStyle name="Normal 57 4 2 2 4 2 3" xfId="5209"/>
    <cellStyle name="Normal 57 4 2 2 4 3" xfId="6617"/>
    <cellStyle name="Normal 57 4 2 2 4 3 2" xfId="11632"/>
    <cellStyle name="Normal 57 4 2 2 4 4" xfId="9343"/>
    <cellStyle name="Normal 57 4 2 2 4 5" xfId="13086"/>
    <cellStyle name="Normal 57 4 2 2 4 6" xfId="7820"/>
    <cellStyle name="Normal 57 4 2 2 4 7" xfId="4274"/>
    <cellStyle name="Normal 57 4 2 2 5" xfId="1303"/>
    <cellStyle name="Normal 57 4 2 2 5 2" xfId="2860"/>
    <cellStyle name="Normal 57 4 2 2 5 2 2" xfId="10506"/>
    <cellStyle name="Normal 57 4 2 2 5 2 3" xfId="5489"/>
    <cellStyle name="Normal 57 4 2 2 5 3" xfId="6887"/>
    <cellStyle name="Normal 57 4 2 2 5 3 2" xfId="11902"/>
    <cellStyle name="Normal 57 4 2 2 5 4" xfId="8694"/>
    <cellStyle name="Normal 57 4 2 2 5 5" xfId="13356"/>
    <cellStyle name="Normal 57 4 2 2 5 6" xfId="8100"/>
    <cellStyle name="Normal 57 4 2 2 5 7" xfId="3623"/>
    <cellStyle name="Normal 57 4 2 2 6" xfId="1696"/>
    <cellStyle name="Normal 57 4 2 2 6 2" xfId="9580"/>
    <cellStyle name="Normal 57 4 2 2 6 3" xfId="4562"/>
    <cellStyle name="Normal 57 4 2 2 7" xfId="5843"/>
    <cellStyle name="Normal 57 4 2 2 7 2" xfId="10859"/>
    <cellStyle name="Normal 57 4 2 2 8" xfId="8420"/>
    <cellStyle name="Normal 57 4 2 2 9" xfId="12313"/>
    <cellStyle name="Normal 57 4 2 2_Degree data" xfId="3087"/>
    <cellStyle name="Normal 57 4 2 3" xfId="343"/>
    <cellStyle name="Normal 57 4 2 3 2" xfId="595"/>
    <cellStyle name="Normal 57 4 2 3 2 2" xfId="2123"/>
    <cellStyle name="Normal 57 4 2 3 2 2 2" xfId="10229"/>
    <cellStyle name="Normal 57 4 2 3 2 2 3" xfId="5211"/>
    <cellStyle name="Normal 57 4 2 3 2 3" xfId="6270"/>
    <cellStyle name="Normal 57 4 2 3 2 3 2" xfId="11286"/>
    <cellStyle name="Normal 57 4 2 3 2 4" xfId="9345"/>
    <cellStyle name="Normal 57 4 2 3 2 5" xfId="12740"/>
    <cellStyle name="Normal 57 4 2 3 2 6" xfId="7822"/>
    <cellStyle name="Normal 57 4 2 3 2 7" xfId="4276"/>
    <cellStyle name="Normal 57 4 2 3 3" xfId="1004"/>
    <cellStyle name="Normal 57 4 2 3 3 2" xfId="2472"/>
    <cellStyle name="Normal 57 4 2 3 3 2 2" xfId="10563"/>
    <cellStyle name="Normal 57 4 2 3 3 2 3" xfId="5546"/>
    <cellStyle name="Normal 57 4 2 3 3 3" xfId="6619"/>
    <cellStyle name="Normal 57 4 2 3 3 3 2" xfId="11634"/>
    <cellStyle name="Normal 57 4 2 3 3 4" xfId="8970"/>
    <cellStyle name="Normal 57 4 2 3 3 5" xfId="13088"/>
    <cellStyle name="Normal 57 4 2 3 3 6" xfId="8157"/>
    <cellStyle name="Normal 57 4 2 3 3 7" xfId="3901"/>
    <cellStyle name="Normal 57 4 2 3 4" xfId="1360"/>
    <cellStyle name="Normal 57 4 2 3 4 2" xfId="2918"/>
    <cellStyle name="Normal 57 4 2 3 4 2 2" xfId="11959"/>
    <cellStyle name="Normal 57 4 2 3 4 2 3" xfId="6944"/>
    <cellStyle name="Normal 57 4 2 3 4 3" xfId="13413"/>
    <cellStyle name="Normal 57 4 2 3 4 4" xfId="9854"/>
    <cellStyle name="Normal 57 4 2 3 4 5" xfId="4836"/>
    <cellStyle name="Normal 57 4 2 3 5" xfId="1753"/>
    <cellStyle name="Normal 57 4 2 3 5 2" xfId="10916"/>
    <cellStyle name="Normal 57 4 2 3 5 3" xfId="5900"/>
    <cellStyle name="Normal 57 4 2 3 6" xfId="8477"/>
    <cellStyle name="Normal 57 4 2 3 7" xfId="12370"/>
    <cellStyle name="Normal 57 4 2 3 8" xfId="7447"/>
    <cellStyle name="Normal 57 4 2 3 9" xfId="3399"/>
    <cellStyle name="Normal 57 4 2 3_Degree data" xfId="3089"/>
    <cellStyle name="Normal 57 4 2 4" xfId="495"/>
    <cellStyle name="Normal 57 4 2 4 2" xfId="904"/>
    <cellStyle name="Normal 57 4 2 4 2 2" xfId="9754"/>
    <cellStyle name="Normal 57 4 2 4 2 3" xfId="4736"/>
    <cellStyle name="Normal 57 4 2 4 3" xfId="2120"/>
    <cellStyle name="Normal 57 4 2 4 3 2" xfId="11283"/>
    <cellStyle name="Normal 57 4 2 4 3 3" xfId="6267"/>
    <cellStyle name="Normal 57 4 2 4 4" xfId="8870"/>
    <cellStyle name="Normal 57 4 2 4 5" xfId="12737"/>
    <cellStyle name="Normal 57 4 2 4 6" xfId="7347"/>
    <cellStyle name="Normal 57 4 2 4 7" xfId="3801"/>
    <cellStyle name="Normal 57 4 2 5" xfId="771"/>
    <cellStyle name="Normal 57 4 2 5 2" xfId="2469"/>
    <cellStyle name="Normal 57 4 2 5 2 2" xfId="10226"/>
    <cellStyle name="Normal 57 4 2 5 2 3" xfId="5208"/>
    <cellStyle name="Normal 57 4 2 5 3" xfId="6616"/>
    <cellStyle name="Normal 57 4 2 5 3 2" xfId="11631"/>
    <cellStyle name="Normal 57 4 2 5 4" xfId="9342"/>
    <cellStyle name="Normal 57 4 2 5 5" xfId="13085"/>
    <cellStyle name="Normal 57 4 2 5 6" xfId="7819"/>
    <cellStyle name="Normal 57 4 2 5 7" xfId="4273"/>
    <cellStyle name="Normal 57 4 2 6" xfId="1259"/>
    <cellStyle name="Normal 57 4 2 6 2" xfId="2815"/>
    <cellStyle name="Normal 57 4 2 6 2 2" xfId="10463"/>
    <cellStyle name="Normal 57 4 2 6 2 3" xfId="5446"/>
    <cellStyle name="Normal 57 4 2 6 3" xfId="6844"/>
    <cellStyle name="Normal 57 4 2 6 3 2" xfId="11859"/>
    <cellStyle name="Normal 57 4 2 6 4" xfId="8650"/>
    <cellStyle name="Normal 57 4 2 6 5" xfId="13313"/>
    <cellStyle name="Normal 57 4 2 6 6" xfId="8057"/>
    <cellStyle name="Normal 57 4 2 6 7" xfId="3577"/>
    <cellStyle name="Normal 57 4 2 7" xfId="1653"/>
    <cellStyle name="Normal 57 4 2 7 2" xfId="12270"/>
    <cellStyle name="Normal 57 4 2 7 3" xfId="9537"/>
    <cellStyle name="Normal 57 4 2 7 4" xfId="4519"/>
    <cellStyle name="Normal 57 4 2 8" xfId="1521"/>
    <cellStyle name="Normal 57 4 2 8 2" xfId="10816"/>
    <cellStyle name="Normal 57 4 2 8 3" xfId="5800"/>
    <cellStyle name="Normal 57 4 2 9" xfId="8377"/>
    <cellStyle name="Normal 57 4 2_Degree data" xfId="3086"/>
    <cellStyle name="Normal 57 4 3" xfId="195"/>
    <cellStyle name="Normal 57 4 3 10" xfId="7158"/>
    <cellStyle name="Normal 57 4 3 11" xfId="3327"/>
    <cellStyle name="Normal 57 4 3 2" xfId="372"/>
    <cellStyle name="Normal 57 4 3 2 2" xfId="623"/>
    <cellStyle name="Normal 57 4 3 2 2 2" xfId="2125"/>
    <cellStyle name="Normal 57 4 3 2 2 2 2" xfId="10231"/>
    <cellStyle name="Normal 57 4 3 2 2 2 3" xfId="5213"/>
    <cellStyle name="Normal 57 4 3 2 2 3" xfId="6272"/>
    <cellStyle name="Normal 57 4 3 2 2 3 2" xfId="11288"/>
    <cellStyle name="Normal 57 4 3 2 2 4" xfId="9347"/>
    <cellStyle name="Normal 57 4 3 2 2 5" xfId="12742"/>
    <cellStyle name="Normal 57 4 3 2 2 6" xfId="7824"/>
    <cellStyle name="Normal 57 4 3 2 2 7" xfId="4278"/>
    <cellStyle name="Normal 57 4 3 2 3" xfId="1032"/>
    <cellStyle name="Normal 57 4 3 2 3 2" xfId="2474"/>
    <cellStyle name="Normal 57 4 3 2 3 2 2" xfId="10591"/>
    <cellStyle name="Normal 57 4 3 2 3 2 3" xfId="5574"/>
    <cellStyle name="Normal 57 4 3 2 3 3" xfId="6621"/>
    <cellStyle name="Normal 57 4 3 2 3 3 2" xfId="11636"/>
    <cellStyle name="Normal 57 4 3 2 3 4" xfId="8998"/>
    <cellStyle name="Normal 57 4 3 2 3 5" xfId="13090"/>
    <cellStyle name="Normal 57 4 3 2 3 6" xfId="8185"/>
    <cellStyle name="Normal 57 4 3 2 3 7" xfId="3929"/>
    <cellStyle name="Normal 57 4 3 2 4" xfId="1389"/>
    <cellStyle name="Normal 57 4 3 2 4 2" xfId="2947"/>
    <cellStyle name="Normal 57 4 3 2 4 2 2" xfId="11987"/>
    <cellStyle name="Normal 57 4 3 2 4 2 3" xfId="6972"/>
    <cellStyle name="Normal 57 4 3 2 4 3" xfId="13441"/>
    <cellStyle name="Normal 57 4 3 2 4 4" xfId="9882"/>
    <cellStyle name="Normal 57 4 3 2 4 5" xfId="4864"/>
    <cellStyle name="Normal 57 4 3 2 5" xfId="1781"/>
    <cellStyle name="Normal 57 4 3 2 5 2" xfId="10944"/>
    <cellStyle name="Normal 57 4 3 2 5 3" xfId="5928"/>
    <cellStyle name="Normal 57 4 3 2 6" xfId="8505"/>
    <cellStyle name="Normal 57 4 3 2 7" xfId="12398"/>
    <cellStyle name="Normal 57 4 3 2 8" xfId="7475"/>
    <cellStyle name="Normal 57 4 3 2 9" xfId="3427"/>
    <cellStyle name="Normal 57 4 3 2_Degree data" xfId="3091"/>
    <cellStyle name="Normal 57 4 3 3" xfId="523"/>
    <cellStyle name="Normal 57 4 3 3 2" xfId="932"/>
    <cellStyle name="Normal 57 4 3 3 2 2" xfId="9782"/>
    <cellStyle name="Normal 57 4 3 3 2 3" xfId="4764"/>
    <cellStyle name="Normal 57 4 3 3 3" xfId="2124"/>
    <cellStyle name="Normal 57 4 3 3 3 2" xfId="11287"/>
    <cellStyle name="Normal 57 4 3 3 3 3" xfId="6271"/>
    <cellStyle name="Normal 57 4 3 3 4" xfId="8898"/>
    <cellStyle name="Normal 57 4 3 3 5" xfId="12741"/>
    <cellStyle name="Normal 57 4 3 3 6" xfId="7375"/>
    <cellStyle name="Normal 57 4 3 3 7" xfId="3829"/>
    <cellStyle name="Normal 57 4 3 4" xfId="801"/>
    <cellStyle name="Normal 57 4 3 4 2" xfId="2473"/>
    <cellStyle name="Normal 57 4 3 4 2 2" xfId="10230"/>
    <cellStyle name="Normal 57 4 3 4 2 3" xfId="5212"/>
    <cellStyle name="Normal 57 4 3 4 3" xfId="6620"/>
    <cellStyle name="Normal 57 4 3 4 3 2" xfId="11635"/>
    <cellStyle name="Normal 57 4 3 4 4" xfId="9346"/>
    <cellStyle name="Normal 57 4 3 4 5" xfId="13089"/>
    <cellStyle name="Normal 57 4 3 4 6" xfId="7823"/>
    <cellStyle name="Normal 57 4 3 4 7" xfId="4277"/>
    <cellStyle name="Normal 57 4 3 5" xfId="1288"/>
    <cellStyle name="Normal 57 4 3 5 2" xfId="2845"/>
    <cellStyle name="Normal 57 4 3 5 2 2" xfId="10491"/>
    <cellStyle name="Normal 57 4 3 5 2 3" xfId="5474"/>
    <cellStyle name="Normal 57 4 3 5 3" xfId="6872"/>
    <cellStyle name="Normal 57 4 3 5 3 2" xfId="11887"/>
    <cellStyle name="Normal 57 4 3 5 4" xfId="8679"/>
    <cellStyle name="Normal 57 4 3 5 5" xfId="13341"/>
    <cellStyle name="Normal 57 4 3 5 6" xfId="8085"/>
    <cellStyle name="Normal 57 4 3 5 7" xfId="3608"/>
    <cellStyle name="Normal 57 4 3 6" xfId="1681"/>
    <cellStyle name="Normal 57 4 3 6 2" xfId="9565"/>
    <cellStyle name="Normal 57 4 3 6 3" xfId="4547"/>
    <cellStyle name="Normal 57 4 3 7" xfId="5828"/>
    <cellStyle name="Normal 57 4 3 7 2" xfId="10844"/>
    <cellStyle name="Normal 57 4 3 8" xfId="8405"/>
    <cellStyle name="Normal 57 4 3 9" xfId="12298"/>
    <cellStyle name="Normal 57 4 3_Degree data" xfId="3090"/>
    <cellStyle name="Normal 57 4 4" xfId="231"/>
    <cellStyle name="Normal 57 4 4 10" xfId="7207"/>
    <cellStyle name="Normal 57 4 4 11" xfId="3271"/>
    <cellStyle name="Normal 57 4 4 2" xfId="315"/>
    <cellStyle name="Normal 57 4 4 2 2" xfId="672"/>
    <cellStyle name="Normal 57 4 4 2 2 2" xfId="2127"/>
    <cellStyle name="Normal 57 4 4 2 2 2 2" xfId="10233"/>
    <cellStyle name="Normal 57 4 4 2 2 2 3" xfId="5215"/>
    <cellStyle name="Normal 57 4 4 2 2 3" xfId="6274"/>
    <cellStyle name="Normal 57 4 4 2 2 3 2" xfId="11290"/>
    <cellStyle name="Normal 57 4 4 2 2 4" xfId="9349"/>
    <cellStyle name="Normal 57 4 4 2 2 5" xfId="12744"/>
    <cellStyle name="Normal 57 4 4 2 2 6" xfId="7826"/>
    <cellStyle name="Normal 57 4 4 2 2 7" xfId="4280"/>
    <cellStyle name="Normal 57 4 4 2 3" xfId="1081"/>
    <cellStyle name="Normal 57 4 4 2 3 2" xfId="2476"/>
    <cellStyle name="Normal 57 4 4 2 3 2 2" xfId="10640"/>
    <cellStyle name="Normal 57 4 4 2 3 2 3" xfId="5623"/>
    <cellStyle name="Normal 57 4 4 2 3 3" xfId="6623"/>
    <cellStyle name="Normal 57 4 4 2 3 3 2" xfId="11638"/>
    <cellStyle name="Normal 57 4 4 2 3 4" xfId="9047"/>
    <cellStyle name="Normal 57 4 4 2 3 5" xfId="13092"/>
    <cellStyle name="Normal 57 4 4 2 3 6" xfId="8234"/>
    <cellStyle name="Normal 57 4 4 2 3 7" xfId="3978"/>
    <cellStyle name="Normal 57 4 4 2 4" xfId="1439"/>
    <cellStyle name="Normal 57 4 4 2 4 2" xfId="2998"/>
    <cellStyle name="Normal 57 4 4 2 4 2 2" xfId="12036"/>
    <cellStyle name="Normal 57 4 4 2 4 2 3" xfId="7021"/>
    <cellStyle name="Normal 57 4 4 2 4 3" xfId="13490"/>
    <cellStyle name="Normal 57 4 4 2 4 4" xfId="9931"/>
    <cellStyle name="Normal 57 4 4 2 4 5" xfId="4913"/>
    <cellStyle name="Normal 57 4 4 2 5" xfId="1830"/>
    <cellStyle name="Normal 57 4 4 2 5 2" xfId="10993"/>
    <cellStyle name="Normal 57 4 4 2 5 3" xfId="5977"/>
    <cellStyle name="Normal 57 4 4 2 6" xfId="8554"/>
    <cellStyle name="Normal 57 4 4 2 7" xfId="12447"/>
    <cellStyle name="Normal 57 4 4 2 8" xfId="7524"/>
    <cellStyle name="Normal 57 4 4 2 9" xfId="3476"/>
    <cellStyle name="Normal 57 4 4 2_Degree data" xfId="3093"/>
    <cellStyle name="Normal 57 4 4 3" xfId="467"/>
    <cellStyle name="Normal 57 4 4 3 2" xfId="2126"/>
    <cellStyle name="Normal 57 4 4 3 2 2" xfId="9726"/>
    <cellStyle name="Normal 57 4 4 3 2 3" xfId="4708"/>
    <cellStyle name="Normal 57 4 4 3 3" xfId="6273"/>
    <cellStyle name="Normal 57 4 4 3 3 2" xfId="11289"/>
    <cellStyle name="Normal 57 4 4 3 4" xfId="8842"/>
    <cellStyle name="Normal 57 4 4 3 5" xfId="12743"/>
    <cellStyle name="Normal 57 4 4 3 6" xfId="7319"/>
    <cellStyle name="Normal 57 4 4 3 7" xfId="3773"/>
    <cellStyle name="Normal 57 4 4 4" xfId="876"/>
    <cellStyle name="Normal 57 4 4 4 2" xfId="2475"/>
    <cellStyle name="Normal 57 4 4 4 2 2" xfId="10232"/>
    <cellStyle name="Normal 57 4 4 4 2 3" xfId="5214"/>
    <cellStyle name="Normal 57 4 4 4 3" xfId="6622"/>
    <cellStyle name="Normal 57 4 4 4 3 2" xfId="11637"/>
    <cellStyle name="Normal 57 4 4 4 4" xfId="9348"/>
    <cellStyle name="Normal 57 4 4 4 5" xfId="13091"/>
    <cellStyle name="Normal 57 4 4 4 6" xfId="7825"/>
    <cellStyle name="Normal 57 4 4 4 7" xfId="4279"/>
    <cellStyle name="Normal 57 4 4 5" xfId="1228"/>
    <cellStyle name="Normal 57 4 4 5 2" xfId="2784"/>
    <cellStyle name="Normal 57 4 4 5 2 2" xfId="10435"/>
    <cellStyle name="Normal 57 4 4 5 2 3" xfId="5418"/>
    <cellStyle name="Normal 57 4 4 5 3" xfId="6816"/>
    <cellStyle name="Normal 57 4 4 5 3 2" xfId="11831"/>
    <cellStyle name="Normal 57 4 4 5 4" xfId="8728"/>
    <cellStyle name="Normal 57 4 4 5 5" xfId="13285"/>
    <cellStyle name="Normal 57 4 4 5 6" xfId="8029"/>
    <cellStyle name="Normal 57 4 4 5 7" xfId="3658"/>
    <cellStyle name="Normal 57 4 4 6" xfId="1625"/>
    <cellStyle name="Normal 57 4 4 6 2" xfId="9614"/>
    <cellStyle name="Normal 57 4 4 6 3" xfId="4596"/>
    <cellStyle name="Normal 57 4 4 7" xfId="5772"/>
    <cellStyle name="Normal 57 4 4 7 2" xfId="10788"/>
    <cellStyle name="Normal 57 4 4 8" xfId="8349"/>
    <cellStyle name="Normal 57 4 4 9" xfId="12242"/>
    <cellStyle name="Normal 57 4 4_Degree data" xfId="3092"/>
    <cellStyle name="Normal 57 4 5" xfId="280"/>
    <cellStyle name="Normal 57 4 5 2" xfId="567"/>
    <cellStyle name="Normal 57 4 5 2 2" xfId="2128"/>
    <cellStyle name="Normal 57 4 5 2 2 2" xfId="10234"/>
    <cellStyle name="Normal 57 4 5 2 2 3" xfId="5216"/>
    <cellStyle name="Normal 57 4 5 2 3" xfId="6275"/>
    <cellStyle name="Normal 57 4 5 2 3 2" xfId="11291"/>
    <cellStyle name="Normal 57 4 5 2 4" xfId="9350"/>
    <cellStyle name="Normal 57 4 5 2 5" xfId="12745"/>
    <cellStyle name="Normal 57 4 5 2 6" xfId="7827"/>
    <cellStyle name="Normal 57 4 5 2 7" xfId="4281"/>
    <cellStyle name="Normal 57 4 5 3" xfId="976"/>
    <cellStyle name="Normal 57 4 5 3 2" xfId="2477"/>
    <cellStyle name="Normal 57 4 5 3 2 2" xfId="10535"/>
    <cellStyle name="Normal 57 4 5 3 2 3" xfId="5518"/>
    <cellStyle name="Normal 57 4 5 3 3" xfId="6624"/>
    <cellStyle name="Normal 57 4 5 3 3 2" xfId="11639"/>
    <cellStyle name="Normal 57 4 5 3 4" xfId="8942"/>
    <cellStyle name="Normal 57 4 5 3 5" xfId="13093"/>
    <cellStyle name="Normal 57 4 5 3 6" xfId="8129"/>
    <cellStyle name="Normal 57 4 5 3 7" xfId="3873"/>
    <cellStyle name="Normal 57 4 5 4" xfId="1332"/>
    <cellStyle name="Normal 57 4 5 4 2" xfId="2890"/>
    <cellStyle name="Normal 57 4 5 4 2 2" xfId="11931"/>
    <cellStyle name="Normal 57 4 5 4 2 3" xfId="6916"/>
    <cellStyle name="Normal 57 4 5 4 3" xfId="13385"/>
    <cellStyle name="Normal 57 4 5 4 4" xfId="9826"/>
    <cellStyle name="Normal 57 4 5 4 5" xfId="4808"/>
    <cellStyle name="Normal 57 4 5 5" xfId="1725"/>
    <cellStyle name="Normal 57 4 5 5 2" xfId="10888"/>
    <cellStyle name="Normal 57 4 5 5 3" xfId="5872"/>
    <cellStyle name="Normal 57 4 5 6" xfId="8449"/>
    <cellStyle name="Normal 57 4 5 7" xfId="12342"/>
    <cellStyle name="Normal 57 4 5 8" xfId="7419"/>
    <cellStyle name="Normal 57 4 5 9" xfId="3371"/>
    <cellStyle name="Normal 57 4 5_Degree data" xfId="3094"/>
    <cellStyle name="Normal 57 4 6" xfId="436"/>
    <cellStyle name="Normal 57 4 6 2" xfId="844"/>
    <cellStyle name="Normal 57 4 6 2 2" xfId="2129"/>
    <cellStyle name="Normal 57 4 6 2 2 2" xfId="10235"/>
    <cellStyle name="Normal 57 4 6 2 2 3" xfId="5217"/>
    <cellStyle name="Normal 57 4 6 2 3" xfId="6276"/>
    <cellStyle name="Normal 57 4 6 2 3 2" xfId="11292"/>
    <cellStyle name="Normal 57 4 6 2 4" xfId="9351"/>
    <cellStyle name="Normal 57 4 6 2 5" xfId="12746"/>
    <cellStyle name="Normal 57 4 6 2 6" xfId="7828"/>
    <cellStyle name="Normal 57 4 6 2 7" xfId="4282"/>
    <cellStyle name="Normal 57 4 6 3" xfId="1195"/>
    <cellStyle name="Normal 57 4 6 3 2" xfId="2478"/>
    <cellStyle name="Normal 57 4 6 3 2 2" xfId="10404"/>
    <cellStyle name="Normal 57 4 6 3 2 3" xfId="5387"/>
    <cellStyle name="Normal 57 4 6 3 3" xfId="6625"/>
    <cellStyle name="Normal 57 4 6 3 3 2" xfId="11640"/>
    <cellStyle name="Normal 57 4 6 3 4" xfId="9490"/>
    <cellStyle name="Normal 57 4 6 3 5" xfId="13094"/>
    <cellStyle name="Normal 57 4 6 3 6" xfId="7998"/>
    <cellStyle name="Normal 57 4 6 3 7" xfId="4472"/>
    <cellStyle name="Normal 57 4 6 4" xfId="2747"/>
    <cellStyle name="Normal 57 4 6 4 2" xfId="6785"/>
    <cellStyle name="Normal 57 4 6 4 2 2" xfId="11800"/>
    <cellStyle name="Normal 57 4 6 4 3" xfId="13254"/>
    <cellStyle name="Normal 57 4 6 4 4" xfId="9695"/>
    <cellStyle name="Normal 57 4 6 4 5" xfId="4677"/>
    <cellStyle name="Normal 57 4 6 5" xfId="1594"/>
    <cellStyle name="Normal 57 4 6 5 2" xfId="10755"/>
    <cellStyle name="Normal 57 4 6 5 3" xfId="5739"/>
    <cellStyle name="Normal 57 4 6 6" xfId="8811"/>
    <cellStyle name="Normal 57 4 6 7" xfId="12211"/>
    <cellStyle name="Normal 57 4 6 8" xfId="7288"/>
    <cellStyle name="Normal 57 4 6 9" xfId="3742"/>
    <cellStyle name="Normal 57 4 6_Degree data" xfId="3095"/>
    <cellStyle name="Normal 57 4 7" xfId="747"/>
    <cellStyle name="Normal 57 4 7 2" xfId="2119"/>
    <cellStyle name="Normal 57 4 7 2 2" xfId="10225"/>
    <cellStyle name="Normal 57 4 7 2 3" xfId="5207"/>
    <cellStyle name="Normal 57 4 7 3" xfId="6266"/>
    <cellStyle name="Normal 57 4 7 3 2" xfId="11282"/>
    <cellStyle name="Normal 57 4 7 4" xfId="9341"/>
    <cellStyle name="Normal 57 4 7 5" xfId="12736"/>
    <cellStyle name="Normal 57 4 7 6" xfId="7818"/>
    <cellStyle name="Normal 57 4 7 7" xfId="4272"/>
    <cellStyle name="Normal 57 4 8" xfId="1151"/>
    <cellStyle name="Normal 57 4 8 2" xfId="2468"/>
    <cellStyle name="Normal 57 4 8 2 2" xfId="10361"/>
    <cellStyle name="Normal 57 4 8 2 3" xfId="5344"/>
    <cellStyle name="Normal 57 4 8 3" xfId="6615"/>
    <cellStyle name="Normal 57 4 8 3 2" xfId="11630"/>
    <cellStyle name="Normal 57 4 8 4" xfId="8622"/>
    <cellStyle name="Normal 57 4 8 5" xfId="13084"/>
    <cellStyle name="Normal 57 4 8 6" xfId="7955"/>
    <cellStyle name="Normal 57 4 8 7" xfId="3546"/>
    <cellStyle name="Normal 57 4 9" xfId="2676"/>
    <cellStyle name="Normal 57 4 9 2" xfId="6742"/>
    <cellStyle name="Normal 57 4 9 2 2" xfId="11757"/>
    <cellStyle name="Normal 57 4 9 3" xfId="13211"/>
    <cellStyle name="Normal 57 4 9 4" xfId="9508"/>
    <cellStyle name="Normal 57 4 9 5" xfId="4490"/>
    <cellStyle name="Normal 57 4_Degree data" xfId="3085"/>
    <cellStyle name="Normal 57 5" xfId="149"/>
    <cellStyle name="Normal 57 5 10" xfId="1565"/>
    <cellStyle name="Normal 57 5 10 2" xfId="12182"/>
    <cellStyle name="Normal 57 5 10 3" xfId="10726"/>
    <cellStyle name="Normal 57 5 10 4" xfId="5710"/>
    <cellStyle name="Normal 57 5 11" xfId="1535"/>
    <cellStyle name="Normal 57 5 11 2" xfId="8334"/>
    <cellStyle name="Normal 57 5 12" xfId="12152"/>
    <cellStyle name="Normal 57 5 13" xfId="7099"/>
    <cellStyle name="Normal 57 5 14" xfId="3256"/>
    <cellStyle name="Normal 57 5 2" xfId="209"/>
    <cellStyle name="Normal 57 5 2 10" xfId="12284"/>
    <cellStyle name="Normal 57 5 2 11" xfId="7144"/>
    <cellStyle name="Normal 57 5 2 12" xfId="3313"/>
    <cellStyle name="Normal 57 5 2 2" xfId="358"/>
    <cellStyle name="Normal 57 5 2 2 10" xfId="3517"/>
    <cellStyle name="Normal 57 5 2 2 2" xfId="713"/>
    <cellStyle name="Normal 57 5 2 2 2 2" xfId="2132"/>
    <cellStyle name="Normal 57 5 2 2 2 2 2" xfId="9972"/>
    <cellStyle name="Normal 57 5 2 2 2 2 3" xfId="4954"/>
    <cellStyle name="Normal 57 5 2 2 2 3" xfId="6279"/>
    <cellStyle name="Normal 57 5 2 2 2 3 2" xfId="11295"/>
    <cellStyle name="Normal 57 5 2 2 2 4" xfId="9088"/>
    <cellStyle name="Normal 57 5 2 2 2 5" xfId="12749"/>
    <cellStyle name="Normal 57 5 2 2 2 6" xfId="7565"/>
    <cellStyle name="Normal 57 5 2 2 2 7" xfId="4019"/>
    <cellStyle name="Normal 57 5 2 2 3" xfId="1122"/>
    <cellStyle name="Normal 57 5 2 2 3 2" xfId="2481"/>
    <cellStyle name="Normal 57 5 2 2 3 2 2" xfId="10238"/>
    <cellStyle name="Normal 57 5 2 2 3 2 3" xfId="5220"/>
    <cellStyle name="Normal 57 5 2 2 3 3" xfId="6628"/>
    <cellStyle name="Normal 57 5 2 2 3 3 2" xfId="11643"/>
    <cellStyle name="Normal 57 5 2 2 3 4" xfId="9354"/>
    <cellStyle name="Normal 57 5 2 2 3 5" xfId="13097"/>
    <cellStyle name="Normal 57 5 2 2 3 6" xfId="7831"/>
    <cellStyle name="Normal 57 5 2 2 3 7" xfId="4285"/>
    <cellStyle name="Normal 57 5 2 2 4" xfId="1480"/>
    <cellStyle name="Normal 57 5 2 2 4 2" xfId="3039"/>
    <cellStyle name="Normal 57 5 2 2 4 2 2" xfId="10681"/>
    <cellStyle name="Normal 57 5 2 2 4 2 3" xfId="5664"/>
    <cellStyle name="Normal 57 5 2 2 4 3" xfId="7062"/>
    <cellStyle name="Normal 57 5 2 2 4 3 2" xfId="12077"/>
    <cellStyle name="Normal 57 5 2 2 4 4" xfId="8769"/>
    <cellStyle name="Normal 57 5 2 2 4 5" xfId="13531"/>
    <cellStyle name="Normal 57 5 2 2 4 6" xfId="8275"/>
    <cellStyle name="Normal 57 5 2 2 4 7" xfId="3699"/>
    <cellStyle name="Normal 57 5 2 2 5" xfId="1871"/>
    <cellStyle name="Normal 57 5 2 2 5 2" xfId="9655"/>
    <cellStyle name="Normal 57 5 2 2 5 3" xfId="4637"/>
    <cellStyle name="Normal 57 5 2 2 6" xfId="6018"/>
    <cellStyle name="Normal 57 5 2 2 6 2" xfId="11034"/>
    <cellStyle name="Normal 57 5 2 2 7" xfId="8595"/>
    <cellStyle name="Normal 57 5 2 2 8" xfId="12488"/>
    <cellStyle name="Normal 57 5 2 2 9" xfId="7248"/>
    <cellStyle name="Normal 57 5 2 2_Degree data" xfId="3098"/>
    <cellStyle name="Normal 57 5 2 3" xfId="609"/>
    <cellStyle name="Normal 57 5 2 3 2" xfId="1018"/>
    <cellStyle name="Normal 57 5 2 3 2 2" xfId="2133"/>
    <cellStyle name="Normal 57 5 2 3 2 2 2" xfId="10239"/>
    <cellStyle name="Normal 57 5 2 3 2 2 3" xfId="5221"/>
    <cellStyle name="Normal 57 5 2 3 2 3" xfId="6280"/>
    <cellStyle name="Normal 57 5 2 3 2 3 2" xfId="11296"/>
    <cellStyle name="Normal 57 5 2 3 2 4" xfId="9355"/>
    <cellStyle name="Normal 57 5 2 3 2 5" xfId="12750"/>
    <cellStyle name="Normal 57 5 2 3 2 6" xfId="7832"/>
    <cellStyle name="Normal 57 5 2 3 2 7" xfId="4286"/>
    <cellStyle name="Normal 57 5 2 3 3" xfId="1374"/>
    <cellStyle name="Normal 57 5 2 3 3 2" xfId="2482"/>
    <cellStyle name="Normal 57 5 2 3 3 2 2" xfId="10577"/>
    <cellStyle name="Normal 57 5 2 3 3 2 3" xfId="5560"/>
    <cellStyle name="Normal 57 5 2 3 3 3" xfId="6629"/>
    <cellStyle name="Normal 57 5 2 3 3 3 2" xfId="11644"/>
    <cellStyle name="Normal 57 5 2 3 3 4" xfId="8984"/>
    <cellStyle name="Normal 57 5 2 3 3 5" xfId="13098"/>
    <cellStyle name="Normal 57 5 2 3 3 6" xfId="8171"/>
    <cellStyle name="Normal 57 5 2 3 3 7" xfId="3915"/>
    <cellStyle name="Normal 57 5 2 3 4" xfId="2932"/>
    <cellStyle name="Normal 57 5 2 3 4 2" xfId="6958"/>
    <cellStyle name="Normal 57 5 2 3 4 2 2" xfId="11973"/>
    <cellStyle name="Normal 57 5 2 3 4 3" xfId="13427"/>
    <cellStyle name="Normal 57 5 2 3 4 4" xfId="9868"/>
    <cellStyle name="Normal 57 5 2 3 4 5" xfId="4850"/>
    <cellStyle name="Normal 57 5 2 3 5" xfId="1767"/>
    <cellStyle name="Normal 57 5 2 3 5 2" xfId="10930"/>
    <cellStyle name="Normal 57 5 2 3 5 3" xfId="5914"/>
    <cellStyle name="Normal 57 5 2 3 6" xfId="8491"/>
    <cellStyle name="Normal 57 5 2 3 7" xfId="12384"/>
    <cellStyle name="Normal 57 5 2 3 8" xfId="7461"/>
    <cellStyle name="Normal 57 5 2 3 9" xfId="3413"/>
    <cellStyle name="Normal 57 5 2 3_Degree data" xfId="3099"/>
    <cellStyle name="Normal 57 5 2 4" xfId="509"/>
    <cellStyle name="Normal 57 5 2 4 2" xfId="918"/>
    <cellStyle name="Normal 57 5 2 4 2 2" xfId="9768"/>
    <cellStyle name="Normal 57 5 2 4 2 3" xfId="4750"/>
    <cellStyle name="Normal 57 5 2 4 3" xfId="2131"/>
    <cellStyle name="Normal 57 5 2 4 3 2" xfId="11294"/>
    <cellStyle name="Normal 57 5 2 4 3 3" xfId="6278"/>
    <cellStyle name="Normal 57 5 2 4 4" xfId="8884"/>
    <cellStyle name="Normal 57 5 2 4 5" xfId="12748"/>
    <cellStyle name="Normal 57 5 2 4 6" xfId="7361"/>
    <cellStyle name="Normal 57 5 2 4 7" xfId="3815"/>
    <cellStyle name="Normal 57 5 2 5" xfId="815"/>
    <cellStyle name="Normal 57 5 2 5 2" xfId="2480"/>
    <cellStyle name="Normal 57 5 2 5 2 2" xfId="10237"/>
    <cellStyle name="Normal 57 5 2 5 2 3" xfId="5219"/>
    <cellStyle name="Normal 57 5 2 5 3" xfId="6627"/>
    <cellStyle name="Normal 57 5 2 5 3 2" xfId="11642"/>
    <cellStyle name="Normal 57 5 2 5 4" xfId="9353"/>
    <cellStyle name="Normal 57 5 2 5 5" xfId="13096"/>
    <cellStyle name="Normal 57 5 2 5 6" xfId="7830"/>
    <cellStyle name="Normal 57 5 2 5 7" xfId="4284"/>
    <cellStyle name="Normal 57 5 2 6" xfId="1273"/>
    <cellStyle name="Normal 57 5 2 6 2" xfId="2830"/>
    <cellStyle name="Normal 57 5 2 6 2 2" xfId="10477"/>
    <cellStyle name="Normal 57 5 2 6 2 3" xfId="5460"/>
    <cellStyle name="Normal 57 5 2 6 3" xfId="6858"/>
    <cellStyle name="Normal 57 5 2 6 3 2" xfId="11873"/>
    <cellStyle name="Normal 57 5 2 6 4" xfId="8665"/>
    <cellStyle name="Normal 57 5 2 6 5" xfId="13327"/>
    <cellStyle name="Normal 57 5 2 6 6" xfId="8071"/>
    <cellStyle name="Normal 57 5 2 6 7" xfId="3592"/>
    <cellStyle name="Normal 57 5 2 7" xfId="1667"/>
    <cellStyle name="Normal 57 5 2 7 2" xfId="9551"/>
    <cellStyle name="Normal 57 5 2 7 3" xfId="4533"/>
    <cellStyle name="Normal 57 5 2 8" xfId="5814"/>
    <cellStyle name="Normal 57 5 2 8 2" xfId="10830"/>
    <cellStyle name="Normal 57 5 2 9" xfId="8391"/>
    <cellStyle name="Normal 57 5 2_Degree data" xfId="3097"/>
    <cellStyle name="Normal 57 5 3" xfId="245"/>
    <cellStyle name="Normal 57 5 3 10" xfId="7187"/>
    <cellStyle name="Normal 57 5 3 11" xfId="3356"/>
    <cellStyle name="Normal 57 5 3 2" xfId="402"/>
    <cellStyle name="Normal 57 5 3 2 2" xfId="652"/>
    <cellStyle name="Normal 57 5 3 2 2 2" xfId="2135"/>
    <cellStyle name="Normal 57 5 3 2 2 2 2" xfId="10241"/>
    <cellStyle name="Normal 57 5 3 2 2 2 3" xfId="5223"/>
    <cellStyle name="Normal 57 5 3 2 2 3" xfId="6282"/>
    <cellStyle name="Normal 57 5 3 2 2 3 2" xfId="11298"/>
    <cellStyle name="Normal 57 5 3 2 2 4" xfId="9357"/>
    <cellStyle name="Normal 57 5 3 2 2 5" xfId="12752"/>
    <cellStyle name="Normal 57 5 3 2 2 6" xfId="7834"/>
    <cellStyle name="Normal 57 5 3 2 2 7" xfId="4288"/>
    <cellStyle name="Normal 57 5 3 2 3" xfId="1061"/>
    <cellStyle name="Normal 57 5 3 2 3 2" xfId="2484"/>
    <cellStyle name="Normal 57 5 3 2 3 2 2" xfId="10620"/>
    <cellStyle name="Normal 57 5 3 2 3 2 3" xfId="5603"/>
    <cellStyle name="Normal 57 5 3 2 3 3" xfId="6631"/>
    <cellStyle name="Normal 57 5 3 2 3 3 2" xfId="11646"/>
    <cellStyle name="Normal 57 5 3 2 3 4" xfId="9027"/>
    <cellStyle name="Normal 57 5 3 2 3 5" xfId="13100"/>
    <cellStyle name="Normal 57 5 3 2 3 6" xfId="8214"/>
    <cellStyle name="Normal 57 5 3 2 3 7" xfId="3958"/>
    <cellStyle name="Normal 57 5 3 2 4" xfId="1419"/>
    <cellStyle name="Normal 57 5 3 2 4 2" xfId="2977"/>
    <cellStyle name="Normal 57 5 3 2 4 2 2" xfId="12016"/>
    <cellStyle name="Normal 57 5 3 2 4 2 3" xfId="7001"/>
    <cellStyle name="Normal 57 5 3 2 4 3" xfId="13470"/>
    <cellStyle name="Normal 57 5 3 2 4 4" xfId="9911"/>
    <cellStyle name="Normal 57 5 3 2 4 5" xfId="4893"/>
    <cellStyle name="Normal 57 5 3 2 5" xfId="1810"/>
    <cellStyle name="Normal 57 5 3 2 5 2" xfId="10973"/>
    <cellStyle name="Normal 57 5 3 2 5 3" xfId="5957"/>
    <cellStyle name="Normal 57 5 3 2 6" xfId="8534"/>
    <cellStyle name="Normal 57 5 3 2 7" xfId="12427"/>
    <cellStyle name="Normal 57 5 3 2 8" xfId="7504"/>
    <cellStyle name="Normal 57 5 3 2 9" xfId="3456"/>
    <cellStyle name="Normal 57 5 3 2_Degree data" xfId="3101"/>
    <cellStyle name="Normal 57 5 3 3" xfId="552"/>
    <cellStyle name="Normal 57 5 3 3 2" xfId="2134"/>
    <cellStyle name="Normal 57 5 3 3 2 2" xfId="9811"/>
    <cellStyle name="Normal 57 5 3 3 2 3" xfId="4793"/>
    <cellStyle name="Normal 57 5 3 3 3" xfId="6281"/>
    <cellStyle name="Normal 57 5 3 3 3 2" xfId="11297"/>
    <cellStyle name="Normal 57 5 3 3 4" xfId="8927"/>
    <cellStyle name="Normal 57 5 3 3 5" xfId="12751"/>
    <cellStyle name="Normal 57 5 3 3 6" xfId="7404"/>
    <cellStyle name="Normal 57 5 3 3 7" xfId="3858"/>
    <cellStyle name="Normal 57 5 3 4" xfId="961"/>
    <cellStyle name="Normal 57 5 3 4 2" xfId="2483"/>
    <cellStyle name="Normal 57 5 3 4 2 2" xfId="10240"/>
    <cellStyle name="Normal 57 5 3 4 2 3" xfId="5222"/>
    <cellStyle name="Normal 57 5 3 4 3" xfId="6630"/>
    <cellStyle name="Normal 57 5 3 4 3 2" xfId="11645"/>
    <cellStyle name="Normal 57 5 3 4 4" xfId="9356"/>
    <cellStyle name="Normal 57 5 3 4 5" xfId="13099"/>
    <cellStyle name="Normal 57 5 3 4 6" xfId="7833"/>
    <cellStyle name="Normal 57 5 3 4 7" xfId="4287"/>
    <cellStyle name="Normal 57 5 3 5" xfId="1317"/>
    <cellStyle name="Normal 57 5 3 5 2" xfId="2875"/>
    <cellStyle name="Normal 57 5 3 5 2 2" xfId="10520"/>
    <cellStyle name="Normal 57 5 3 5 2 3" xfId="5503"/>
    <cellStyle name="Normal 57 5 3 5 3" xfId="6901"/>
    <cellStyle name="Normal 57 5 3 5 3 2" xfId="11916"/>
    <cellStyle name="Normal 57 5 3 5 4" xfId="8708"/>
    <cellStyle name="Normal 57 5 3 5 5" xfId="13370"/>
    <cellStyle name="Normal 57 5 3 5 6" xfId="8114"/>
    <cellStyle name="Normal 57 5 3 5 7" xfId="3638"/>
    <cellStyle name="Normal 57 5 3 6" xfId="1710"/>
    <cellStyle name="Normal 57 5 3 6 2" xfId="9594"/>
    <cellStyle name="Normal 57 5 3 6 3" xfId="4576"/>
    <cellStyle name="Normal 57 5 3 7" xfId="5857"/>
    <cellStyle name="Normal 57 5 3 7 2" xfId="10873"/>
    <cellStyle name="Normal 57 5 3 8" xfId="8434"/>
    <cellStyle name="Normal 57 5 3 9" xfId="12327"/>
    <cellStyle name="Normal 57 5 3_Degree data" xfId="3100"/>
    <cellStyle name="Normal 57 5 4" xfId="312"/>
    <cellStyle name="Normal 57 5 4 10" xfId="7204"/>
    <cellStyle name="Normal 57 5 4 11" xfId="3268"/>
    <cellStyle name="Normal 57 5 4 2" xfId="669"/>
    <cellStyle name="Normal 57 5 4 2 2" xfId="1078"/>
    <cellStyle name="Normal 57 5 4 2 2 2" xfId="2137"/>
    <cellStyle name="Normal 57 5 4 2 2 2 2" xfId="10243"/>
    <cellStyle name="Normal 57 5 4 2 2 2 3" xfId="5225"/>
    <cellStyle name="Normal 57 5 4 2 2 3" xfId="6284"/>
    <cellStyle name="Normal 57 5 4 2 2 3 2" xfId="11300"/>
    <cellStyle name="Normal 57 5 4 2 2 4" xfId="9359"/>
    <cellStyle name="Normal 57 5 4 2 2 5" xfId="12754"/>
    <cellStyle name="Normal 57 5 4 2 2 6" xfId="7836"/>
    <cellStyle name="Normal 57 5 4 2 2 7" xfId="4290"/>
    <cellStyle name="Normal 57 5 4 2 3" xfId="1436"/>
    <cellStyle name="Normal 57 5 4 2 3 2" xfId="2486"/>
    <cellStyle name="Normal 57 5 4 2 3 2 2" xfId="10637"/>
    <cellStyle name="Normal 57 5 4 2 3 2 3" xfId="5620"/>
    <cellStyle name="Normal 57 5 4 2 3 3" xfId="6633"/>
    <cellStyle name="Normal 57 5 4 2 3 3 2" xfId="11648"/>
    <cellStyle name="Normal 57 5 4 2 3 4" xfId="9044"/>
    <cellStyle name="Normal 57 5 4 2 3 5" xfId="13102"/>
    <cellStyle name="Normal 57 5 4 2 3 6" xfId="8231"/>
    <cellStyle name="Normal 57 5 4 2 3 7" xfId="3975"/>
    <cellStyle name="Normal 57 5 4 2 4" xfId="2995"/>
    <cellStyle name="Normal 57 5 4 2 4 2" xfId="7018"/>
    <cellStyle name="Normal 57 5 4 2 4 2 2" xfId="12033"/>
    <cellStyle name="Normal 57 5 4 2 4 3" xfId="13487"/>
    <cellStyle name="Normal 57 5 4 2 4 4" xfId="9928"/>
    <cellStyle name="Normal 57 5 4 2 4 5" xfId="4910"/>
    <cellStyle name="Normal 57 5 4 2 5" xfId="1827"/>
    <cellStyle name="Normal 57 5 4 2 5 2" xfId="10990"/>
    <cellStyle name="Normal 57 5 4 2 5 3" xfId="5974"/>
    <cellStyle name="Normal 57 5 4 2 6" xfId="8551"/>
    <cellStyle name="Normal 57 5 4 2 7" xfId="12444"/>
    <cellStyle name="Normal 57 5 4 2 8" xfId="7521"/>
    <cellStyle name="Normal 57 5 4 2 9" xfId="3473"/>
    <cellStyle name="Normal 57 5 4 2_Degree data" xfId="3103"/>
    <cellStyle name="Normal 57 5 4 3" xfId="464"/>
    <cellStyle name="Normal 57 5 4 3 2" xfId="2136"/>
    <cellStyle name="Normal 57 5 4 3 2 2" xfId="9723"/>
    <cellStyle name="Normal 57 5 4 3 2 3" xfId="4705"/>
    <cellStyle name="Normal 57 5 4 3 3" xfId="6283"/>
    <cellStyle name="Normal 57 5 4 3 3 2" xfId="11299"/>
    <cellStyle name="Normal 57 5 4 3 4" xfId="8839"/>
    <cellStyle name="Normal 57 5 4 3 5" xfId="12753"/>
    <cellStyle name="Normal 57 5 4 3 6" xfId="7316"/>
    <cellStyle name="Normal 57 5 4 3 7" xfId="3770"/>
    <cellStyle name="Normal 57 5 4 4" xfId="873"/>
    <cellStyle name="Normal 57 5 4 4 2" xfId="2485"/>
    <cellStyle name="Normal 57 5 4 4 2 2" xfId="10242"/>
    <cellStyle name="Normal 57 5 4 4 2 3" xfId="5224"/>
    <cellStyle name="Normal 57 5 4 4 3" xfId="6632"/>
    <cellStyle name="Normal 57 5 4 4 3 2" xfId="11647"/>
    <cellStyle name="Normal 57 5 4 4 4" xfId="9358"/>
    <cellStyle name="Normal 57 5 4 4 5" xfId="13101"/>
    <cellStyle name="Normal 57 5 4 4 6" xfId="7835"/>
    <cellStyle name="Normal 57 5 4 4 7" xfId="4289"/>
    <cellStyle name="Normal 57 5 4 5" xfId="1225"/>
    <cellStyle name="Normal 57 5 4 5 2" xfId="2781"/>
    <cellStyle name="Normal 57 5 4 5 2 2" xfId="10432"/>
    <cellStyle name="Normal 57 5 4 5 2 3" xfId="5415"/>
    <cellStyle name="Normal 57 5 4 5 3" xfId="6813"/>
    <cellStyle name="Normal 57 5 4 5 3 2" xfId="11828"/>
    <cellStyle name="Normal 57 5 4 5 4" xfId="8725"/>
    <cellStyle name="Normal 57 5 4 5 5" xfId="13282"/>
    <cellStyle name="Normal 57 5 4 5 6" xfId="8026"/>
    <cellStyle name="Normal 57 5 4 5 7" xfId="3655"/>
    <cellStyle name="Normal 57 5 4 6" xfId="1622"/>
    <cellStyle name="Normal 57 5 4 6 2" xfId="9611"/>
    <cellStyle name="Normal 57 5 4 6 3" xfId="4593"/>
    <cellStyle name="Normal 57 5 4 7" xfId="5769"/>
    <cellStyle name="Normal 57 5 4 7 2" xfId="10785"/>
    <cellStyle name="Normal 57 5 4 8" xfId="8346"/>
    <cellStyle name="Normal 57 5 4 9" xfId="12239"/>
    <cellStyle name="Normal 57 5 4_Degree data" xfId="3102"/>
    <cellStyle name="Normal 57 5 5" xfId="298"/>
    <cellStyle name="Normal 57 5 5 2" xfId="564"/>
    <cellStyle name="Normal 57 5 5 2 2" xfId="2138"/>
    <cellStyle name="Normal 57 5 5 2 2 2" xfId="10244"/>
    <cellStyle name="Normal 57 5 5 2 2 3" xfId="5226"/>
    <cellStyle name="Normal 57 5 5 2 3" xfId="6285"/>
    <cellStyle name="Normal 57 5 5 2 3 2" xfId="11301"/>
    <cellStyle name="Normal 57 5 5 2 4" xfId="9360"/>
    <cellStyle name="Normal 57 5 5 2 5" xfId="12755"/>
    <cellStyle name="Normal 57 5 5 2 6" xfId="7837"/>
    <cellStyle name="Normal 57 5 5 2 7" xfId="4291"/>
    <cellStyle name="Normal 57 5 5 3" xfId="973"/>
    <cellStyle name="Normal 57 5 5 3 2" xfId="2487"/>
    <cellStyle name="Normal 57 5 5 3 2 2" xfId="10532"/>
    <cellStyle name="Normal 57 5 5 3 2 3" xfId="5515"/>
    <cellStyle name="Normal 57 5 5 3 3" xfId="6634"/>
    <cellStyle name="Normal 57 5 5 3 3 2" xfId="11649"/>
    <cellStyle name="Normal 57 5 5 3 4" xfId="8939"/>
    <cellStyle name="Normal 57 5 5 3 5" xfId="13103"/>
    <cellStyle name="Normal 57 5 5 3 6" xfId="8126"/>
    <cellStyle name="Normal 57 5 5 3 7" xfId="3870"/>
    <cellStyle name="Normal 57 5 5 4" xfId="1329"/>
    <cellStyle name="Normal 57 5 5 4 2" xfId="2887"/>
    <cellStyle name="Normal 57 5 5 4 2 2" xfId="11928"/>
    <cellStyle name="Normal 57 5 5 4 2 3" xfId="6913"/>
    <cellStyle name="Normal 57 5 5 4 3" xfId="13382"/>
    <cellStyle name="Normal 57 5 5 4 4" xfId="9823"/>
    <cellStyle name="Normal 57 5 5 4 5" xfId="4805"/>
    <cellStyle name="Normal 57 5 5 5" xfId="1722"/>
    <cellStyle name="Normal 57 5 5 5 2" xfId="10885"/>
    <cellStyle name="Normal 57 5 5 5 3" xfId="5869"/>
    <cellStyle name="Normal 57 5 5 6" xfId="8446"/>
    <cellStyle name="Normal 57 5 5 7" xfId="12339"/>
    <cellStyle name="Normal 57 5 5 8" xfId="7416"/>
    <cellStyle name="Normal 57 5 5 9" xfId="3368"/>
    <cellStyle name="Normal 57 5 5_Degree data" xfId="3104"/>
    <cellStyle name="Normal 57 5 6" xfId="452"/>
    <cellStyle name="Normal 57 5 6 2" xfId="861"/>
    <cellStyle name="Normal 57 5 6 2 2" xfId="2139"/>
    <cellStyle name="Normal 57 5 6 2 2 2" xfId="10245"/>
    <cellStyle name="Normal 57 5 6 2 2 3" xfId="5227"/>
    <cellStyle name="Normal 57 5 6 2 3" xfId="6286"/>
    <cellStyle name="Normal 57 5 6 2 3 2" xfId="11302"/>
    <cellStyle name="Normal 57 5 6 2 4" xfId="9361"/>
    <cellStyle name="Normal 57 5 6 2 5" xfId="12756"/>
    <cellStyle name="Normal 57 5 6 2 6" xfId="7838"/>
    <cellStyle name="Normal 57 5 6 2 7" xfId="4292"/>
    <cellStyle name="Normal 57 5 6 3" xfId="1211"/>
    <cellStyle name="Normal 57 5 6 3 2" xfId="2488"/>
    <cellStyle name="Normal 57 5 6 3 2 2" xfId="10420"/>
    <cellStyle name="Normal 57 5 6 3 2 3" xfId="5403"/>
    <cellStyle name="Normal 57 5 6 3 3" xfId="6635"/>
    <cellStyle name="Normal 57 5 6 3 3 2" xfId="11650"/>
    <cellStyle name="Normal 57 5 6 3 4" xfId="9491"/>
    <cellStyle name="Normal 57 5 6 3 5" xfId="13104"/>
    <cellStyle name="Normal 57 5 6 3 6" xfId="8014"/>
    <cellStyle name="Normal 57 5 6 3 7" xfId="4473"/>
    <cellStyle name="Normal 57 5 6 4" xfId="2765"/>
    <cellStyle name="Normal 57 5 6 4 2" xfId="6801"/>
    <cellStyle name="Normal 57 5 6 4 2 2" xfId="11816"/>
    <cellStyle name="Normal 57 5 6 4 3" xfId="13270"/>
    <cellStyle name="Normal 57 5 6 4 4" xfId="9711"/>
    <cellStyle name="Normal 57 5 6 4 5" xfId="4693"/>
    <cellStyle name="Normal 57 5 6 5" xfId="1610"/>
    <cellStyle name="Normal 57 5 6 5 2" xfId="10771"/>
    <cellStyle name="Normal 57 5 6 5 3" xfId="5755"/>
    <cellStyle name="Normal 57 5 6 6" xfId="8827"/>
    <cellStyle name="Normal 57 5 6 7" xfId="12227"/>
    <cellStyle name="Normal 57 5 6 8" xfId="7304"/>
    <cellStyle name="Normal 57 5 6 9" xfId="3758"/>
    <cellStyle name="Normal 57 5 6_Degree data" xfId="3105"/>
    <cellStyle name="Normal 57 5 7" xfId="785"/>
    <cellStyle name="Normal 57 5 7 2" xfId="2130"/>
    <cellStyle name="Normal 57 5 7 2 2" xfId="10236"/>
    <cellStyle name="Normal 57 5 7 2 3" xfId="5218"/>
    <cellStyle name="Normal 57 5 7 3" xfId="6277"/>
    <cellStyle name="Normal 57 5 7 3 2" xfId="11293"/>
    <cellStyle name="Normal 57 5 7 4" xfId="9352"/>
    <cellStyle name="Normal 57 5 7 5" xfId="12747"/>
    <cellStyle name="Normal 57 5 7 6" xfId="7829"/>
    <cellStyle name="Normal 57 5 7 7" xfId="4283"/>
    <cellStyle name="Normal 57 5 8" xfId="1165"/>
    <cellStyle name="Normal 57 5 8 2" xfId="2479"/>
    <cellStyle name="Normal 57 5 8 2 2" xfId="10375"/>
    <cellStyle name="Normal 57 5 8 2 3" xfId="5358"/>
    <cellStyle name="Normal 57 5 8 3" xfId="6626"/>
    <cellStyle name="Normal 57 5 8 3 2" xfId="11641"/>
    <cellStyle name="Normal 57 5 8 4" xfId="8619"/>
    <cellStyle name="Normal 57 5 8 5" xfId="13095"/>
    <cellStyle name="Normal 57 5 8 6" xfId="7969"/>
    <cellStyle name="Normal 57 5 8 7" xfId="3543"/>
    <cellStyle name="Normal 57 5 9" xfId="2716"/>
    <cellStyle name="Normal 57 5 9 2" xfId="6756"/>
    <cellStyle name="Normal 57 5 9 2 2" xfId="11771"/>
    <cellStyle name="Normal 57 5 9 3" xfId="13225"/>
    <cellStyle name="Normal 57 5 9 4" xfId="9505"/>
    <cellStyle name="Normal 57 5 9 5" xfId="4487"/>
    <cellStyle name="Normal 57 5_Degree data" xfId="3096"/>
    <cellStyle name="Normal 57 6" xfId="155"/>
    <cellStyle name="Normal 57 6 10" xfId="8308"/>
    <cellStyle name="Normal 57 6 11" xfId="12128"/>
    <cellStyle name="Normal 57 6 12" xfId="7117"/>
    <cellStyle name="Normal 57 6 13" xfId="3229"/>
    <cellStyle name="Normal 57 6 2" xfId="377"/>
    <cellStyle name="Normal 57 6 2 10" xfId="7163"/>
    <cellStyle name="Normal 57 6 2 11" xfId="3332"/>
    <cellStyle name="Normal 57 6 2 2" xfId="628"/>
    <cellStyle name="Normal 57 6 2 2 2" xfId="1037"/>
    <cellStyle name="Normal 57 6 2 2 2 2" xfId="2142"/>
    <cellStyle name="Normal 57 6 2 2 2 2 2" xfId="10248"/>
    <cellStyle name="Normal 57 6 2 2 2 2 3" xfId="5230"/>
    <cellStyle name="Normal 57 6 2 2 2 3" xfId="6289"/>
    <cellStyle name="Normal 57 6 2 2 2 3 2" xfId="11305"/>
    <cellStyle name="Normal 57 6 2 2 2 4" xfId="9364"/>
    <cellStyle name="Normal 57 6 2 2 2 5" xfId="12759"/>
    <cellStyle name="Normal 57 6 2 2 2 6" xfId="7841"/>
    <cellStyle name="Normal 57 6 2 2 2 7" xfId="4295"/>
    <cellStyle name="Normal 57 6 2 2 3" xfId="1394"/>
    <cellStyle name="Normal 57 6 2 2 3 2" xfId="2491"/>
    <cellStyle name="Normal 57 6 2 2 3 2 2" xfId="10596"/>
    <cellStyle name="Normal 57 6 2 2 3 2 3" xfId="5579"/>
    <cellStyle name="Normal 57 6 2 2 3 3" xfId="6638"/>
    <cellStyle name="Normal 57 6 2 2 3 3 2" xfId="11653"/>
    <cellStyle name="Normal 57 6 2 2 3 4" xfId="9003"/>
    <cellStyle name="Normal 57 6 2 2 3 5" xfId="13107"/>
    <cellStyle name="Normal 57 6 2 2 3 6" xfId="8190"/>
    <cellStyle name="Normal 57 6 2 2 3 7" xfId="3934"/>
    <cellStyle name="Normal 57 6 2 2 4" xfId="2952"/>
    <cellStyle name="Normal 57 6 2 2 4 2" xfId="6977"/>
    <cellStyle name="Normal 57 6 2 2 4 2 2" xfId="11992"/>
    <cellStyle name="Normal 57 6 2 2 4 3" xfId="13446"/>
    <cellStyle name="Normal 57 6 2 2 4 4" xfId="9887"/>
    <cellStyle name="Normal 57 6 2 2 4 5" xfId="4869"/>
    <cellStyle name="Normal 57 6 2 2 5" xfId="1786"/>
    <cellStyle name="Normal 57 6 2 2 5 2" xfId="10949"/>
    <cellStyle name="Normal 57 6 2 2 5 3" xfId="5933"/>
    <cellStyle name="Normal 57 6 2 2 6" xfId="8510"/>
    <cellStyle name="Normal 57 6 2 2 7" xfId="12403"/>
    <cellStyle name="Normal 57 6 2 2 8" xfId="7480"/>
    <cellStyle name="Normal 57 6 2 2 9" xfId="3432"/>
    <cellStyle name="Normal 57 6 2 2_Degree data" xfId="3108"/>
    <cellStyle name="Normal 57 6 2 3" xfId="528"/>
    <cellStyle name="Normal 57 6 2 3 2" xfId="2141"/>
    <cellStyle name="Normal 57 6 2 3 2 2" xfId="9787"/>
    <cellStyle name="Normal 57 6 2 3 2 3" xfId="4769"/>
    <cellStyle name="Normal 57 6 2 3 3" xfId="6288"/>
    <cellStyle name="Normal 57 6 2 3 3 2" xfId="11304"/>
    <cellStyle name="Normal 57 6 2 3 4" xfId="8903"/>
    <cellStyle name="Normal 57 6 2 3 5" xfId="12758"/>
    <cellStyle name="Normal 57 6 2 3 6" xfId="7380"/>
    <cellStyle name="Normal 57 6 2 3 7" xfId="3834"/>
    <cellStyle name="Normal 57 6 2 4" xfId="937"/>
    <cellStyle name="Normal 57 6 2 4 2" xfId="2490"/>
    <cellStyle name="Normal 57 6 2 4 2 2" xfId="10247"/>
    <cellStyle name="Normal 57 6 2 4 2 3" xfId="5229"/>
    <cellStyle name="Normal 57 6 2 4 3" xfId="6637"/>
    <cellStyle name="Normal 57 6 2 4 3 2" xfId="11652"/>
    <cellStyle name="Normal 57 6 2 4 4" xfId="9363"/>
    <cellStyle name="Normal 57 6 2 4 5" xfId="13106"/>
    <cellStyle name="Normal 57 6 2 4 6" xfId="7840"/>
    <cellStyle name="Normal 57 6 2 4 7" xfId="4294"/>
    <cellStyle name="Normal 57 6 2 5" xfId="1293"/>
    <cellStyle name="Normal 57 6 2 5 2" xfId="2850"/>
    <cellStyle name="Normal 57 6 2 5 2 2" xfId="10496"/>
    <cellStyle name="Normal 57 6 2 5 2 3" xfId="5479"/>
    <cellStyle name="Normal 57 6 2 5 3" xfId="6877"/>
    <cellStyle name="Normal 57 6 2 5 3 2" xfId="11892"/>
    <cellStyle name="Normal 57 6 2 5 4" xfId="8684"/>
    <cellStyle name="Normal 57 6 2 5 5" xfId="13346"/>
    <cellStyle name="Normal 57 6 2 5 6" xfId="8090"/>
    <cellStyle name="Normal 57 6 2 5 7" xfId="3613"/>
    <cellStyle name="Normal 57 6 2 6" xfId="1686"/>
    <cellStyle name="Normal 57 6 2 6 2" xfId="9570"/>
    <cellStyle name="Normal 57 6 2 6 3" xfId="4552"/>
    <cellStyle name="Normal 57 6 2 7" xfId="5833"/>
    <cellStyle name="Normal 57 6 2 7 2" xfId="10849"/>
    <cellStyle name="Normal 57 6 2 8" xfId="8410"/>
    <cellStyle name="Normal 57 6 2 9" xfId="12303"/>
    <cellStyle name="Normal 57 6 2_Degree data" xfId="3107"/>
    <cellStyle name="Normal 57 6 3" xfId="330"/>
    <cellStyle name="Normal 57 6 3 10" xfId="7222"/>
    <cellStyle name="Normal 57 6 3 11" xfId="3286"/>
    <cellStyle name="Normal 57 6 3 2" xfId="687"/>
    <cellStyle name="Normal 57 6 3 2 2" xfId="1096"/>
    <cellStyle name="Normal 57 6 3 2 2 2" xfId="2144"/>
    <cellStyle name="Normal 57 6 3 2 2 2 2" xfId="10250"/>
    <cellStyle name="Normal 57 6 3 2 2 2 3" xfId="5232"/>
    <cellStyle name="Normal 57 6 3 2 2 3" xfId="6291"/>
    <cellStyle name="Normal 57 6 3 2 2 3 2" xfId="11307"/>
    <cellStyle name="Normal 57 6 3 2 2 4" xfId="9366"/>
    <cellStyle name="Normal 57 6 3 2 2 5" xfId="12761"/>
    <cellStyle name="Normal 57 6 3 2 2 6" xfId="7843"/>
    <cellStyle name="Normal 57 6 3 2 2 7" xfId="4297"/>
    <cellStyle name="Normal 57 6 3 2 3" xfId="1454"/>
    <cellStyle name="Normal 57 6 3 2 3 2" xfId="2493"/>
    <cellStyle name="Normal 57 6 3 2 3 2 2" xfId="10655"/>
    <cellStyle name="Normal 57 6 3 2 3 2 3" xfId="5638"/>
    <cellStyle name="Normal 57 6 3 2 3 3" xfId="6640"/>
    <cellStyle name="Normal 57 6 3 2 3 3 2" xfId="11655"/>
    <cellStyle name="Normal 57 6 3 2 3 4" xfId="9062"/>
    <cellStyle name="Normal 57 6 3 2 3 5" xfId="13109"/>
    <cellStyle name="Normal 57 6 3 2 3 6" xfId="8249"/>
    <cellStyle name="Normal 57 6 3 2 3 7" xfId="3993"/>
    <cellStyle name="Normal 57 6 3 2 4" xfId="3013"/>
    <cellStyle name="Normal 57 6 3 2 4 2" xfId="7036"/>
    <cellStyle name="Normal 57 6 3 2 4 2 2" xfId="12051"/>
    <cellStyle name="Normal 57 6 3 2 4 3" xfId="13505"/>
    <cellStyle name="Normal 57 6 3 2 4 4" xfId="9946"/>
    <cellStyle name="Normal 57 6 3 2 4 5" xfId="4928"/>
    <cellStyle name="Normal 57 6 3 2 5" xfId="1845"/>
    <cellStyle name="Normal 57 6 3 2 5 2" xfId="11008"/>
    <cellStyle name="Normal 57 6 3 2 5 3" xfId="5992"/>
    <cellStyle name="Normal 57 6 3 2 6" xfId="8569"/>
    <cellStyle name="Normal 57 6 3 2 7" xfId="12462"/>
    <cellStyle name="Normal 57 6 3 2 8" xfId="7539"/>
    <cellStyle name="Normal 57 6 3 2 9" xfId="3491"/>
    <cellStyle name="Normal 57 6 3 2_Degree data" xfId="3110"/>
    <cellStyle name="Normal 57 6 3 3" xfId="482"/>
    <cellStyle name="Normal 57 6 3 3 2" xfId="2143"/>
    <cellStyle name="Normal 57 6 3 3 2 2" xfId="9741"/>
    <cellStyle name="Normal 57 6 3 3 2 3" xfId="4723"/>
    <cellStyle name="Normal 57 6 3 3 3" xfId="6290"/>
    <cellStyle name="Normal 57 6 3 3 3 2" xfId="11306"/>
    <cellStyle name="Normal 57 6 3 3 4" xfId="8857"/>
    <cellStyle name="Normal 57 6 3 3 5" xfId="12760"/>
    <cellStyle name="Normal 57 6 3 3 6" xfId="7334"/>
    <cellStyle name="Normal 57 6 3 3 7" xfId="3788"/>
    <cellStyle name="Normal 57 6 3 4" xfId="891"/>
    <cellStyle name="Normal 57 6 3 4 2" xfId="2492"/>
    <cellStyle name="Normal 57 6 3 4 2 2" xfId="10249"/>
    <cellStyle name="Normal 57 6 3 4 2 3" xfId="5231"/>
    <cellStyle name="Normal 57 6 3 4 3" xfId="6639"/>
    <cellStyle name="Normal 57 6 3 4 3 2" xfId="11654"/>
    <cellStyle name="Normal 57 6 3 4 4" xfId="9365"/>
    <cellStyle name="Normal 57 6 3 4 5" xfId="13108"/>
    <cellStyle name="Normal 57 6 3 4 6" xfId="7842"/>
    <cellStyle name="Normal 57 6 3 4 7" xfId="4296"/>
    <cellStyle name="Normal 57 6 3 5" xfId="1243"/>
    <cellStyle name="Normal 57 6 3 5 2" xfId="2799"/>
    <cellStyle name="Normal 57 6 3 5 2 2" xfId="10450"/>
    <cellStyle name="Normal 57 6 3 5 2 3" xfId="5433"/>
    <cellStyle name="Normal 57 6 3 5 3" xfId="6831"/>
    <cellStyle name="Normal 57 6 3 5 3 2" xfId="11846"/>
    <cellStyle name="Normal 57 6 3 5 4" xfId="8743"/>
    <cellStyle name="Normal 57 6 3 5 5" xfId="13300"/>
    <cellStyle name="Normal 57 6 3 5 6" xfId="8044"/>
    <cellStyle name="Normal 57 6 3 5 7" xfId="3673"/>
    <cellStyle name="Normal 57 6 3 6" xfId="1640"/>
    <cellStyle name="Normal 57 6 3 6 2" xfId="9629"/>
    <cellStyle name="Normal 57 6 3 6 3" xfId="4611"/>
    <cellStyle name="Normal 57 6 3 7" xfId="5787"/>
    <cellStyle name="Normal 57 6 3 7 2" xfId="10803"/>
    <cellStyle name="Normal 57 6 3 8" xfId="8364"/>
    <cellStyle name="Normal 57 6 3 9" xfId="12257"/>
    <cellStyle name="Normal 57 6 3_Degree data" xfId="3109"/>
    <cellStyle name="Normal 57 6 4" xfId="270"/>
    <cellStyle name="Normal 57 6 4 2" xfId="582"/>
    <cellStyle name="Normal 57 6 4 2 2" xfId="2145"/>
    <cellStyle name="Normal 57 6 4 2 2 2" xfId="10251"/>
    <cellStyle name="Normal 57 6 4 2 2 3" xfId="5233"/>
    <cellStyle name="Normal 57 6 4 2 3" xfId="6292"/>
    <cellStyle name="Normal 57 6 4 2 3 2" xfId="11308"/>
    <cellStyle name="Normal 57 6 4 2 4" xfId="9367"/>
    <cellStyle name="Normal 57 6 4 2 5" xfId="12762"/>
    <cellStyle name="Normal 57 6 4 2 6" xfId="7844"/>
    <cellStyle name="Normal 57 6 4 2 7" xfId="4298"/>
    <cellStyle name="Normal 57 6 4 3" xfId="991"/>
    <cellStyle name="Normal 57 6 4 3 2" xfId="2494"/>
    <cellStyle name="Normal 57 6 4 3 2 2" xfId="10550"/>
    <cellStyle name="Normal 57 6 4 3 2 3" xfId="5533"/>
    <cellStyle name="Normal 57 6 4 3 3" xfId="6641"/>
    <cellStyle name="Normal 57 6 4 3 3 2" xfId="11656"/>
    <cellStyle name="Normal 57 6 4 3 4" xfId="8957"/>
    <cellStyle name="Normal 57 6 4 3 5" xfId="13110"/>
    <cellStyle name="Normal 57 6 4 3 6" xfId="8144"/>
    <cellStyle name="Normal 57 6 4 3 7" xfId="3888"/>
    <cellStyle name="Normal 57 6 4 4" xfId="1347"/>
    <cellStyle name="Normal 57 6 4 4 2" xfId="2905"/>
    <cellStyle name="Normal 57 6 4 4 2 2" xfId="11946"/>
    <cellStyle name="Normal 57 6 4 4 2 3" xfId="6931"/>
    <cellStyle name="Normal 57 6 4 4 3" xfId="13400"/>
    <cellStyle name="Normal 57 6 4 4 4" xfId="9841"/>
    <cellStyle name="Normal 57 6 4 4 5" xfId="4823"/>
    <cellStyle name="Normal 57 6 4 5" xfId="1740"/>
    <cellStyle name="Normal 57 6 4 5 2" xfId="10903"/>
    <cellStyle name="Normal 57 6 4 5 3" xfId="5887"/>
    <cellStyle name="Normal 57 6 4 6" xfId="8464"/>
    <cellStyle name="Normal 57 6 4 7" xfId="12357"/>
    <cellStyle name="Normal 57 6 4 8" xfId="7434"/>
    <cellStyle name="Normal 57 6 4 9" xfId="3386"/>
    <cellStyle name="Normal 57 6 4_Degree data" xfId="3111"/>
    <cellStyle name="Normal 57 6 5" xfId="426"/>
    <cellStyle name="Normal 57 6 5 2" xfId="834"/>
    <cellStyle name="Normal 57 6 5 2 2" xfId="9685"/>
    <cellStyle name="Normal 57 6 5 2 3" xfId="4667"/>
    <cellStyle name="Normal 57 6 5 3" xfId="2140"/>
    <cellStyle name="Normal 57 6 5 3 2" xfId="11303"/>
    <cellStyle name="Normal 57 6 5 3 3" xfId="6287"/>
    <cellStyle name="Normal 57 6 5 4" xfId="8801"/>
    <cellStyle name="Normal 57 6 5 5" xfId="12757"/>
    <cellStyle name="Normal 57 6 5 6" xfId="7278"/>
    <cellStyle name="Normal 57 6 5 7" xfId="3732"/>
    <cellStyle name="Normal 57 6 6" xfId="761"/>
    <cellStyle name="Normal 57 6 6 2" xfId="2489"/>
    <cellStyle name="Normal 57 6 6 2 2" xfId="10246"/>
    <cellStyle name="Normal 57 6 6 2 3" xfId="5228"/>
    <cellStyle name="Normal 57 6 6 3" xfId="6636"/>
    <cellStyle name="Normal 57 6 6 3 2" xfId="11651"/>
    <cellStyle name="Normal 57 6 6 4" xfId="9362"/>
    <cellStyle name="Normal 57 6 6 5" xfId="13105"/>
    <cellStyle name="Normal 57 6 6 6" xfId="7839"/>
    <cellStyle name="Normal 57 6 6 7" xfId="4293"/>
    <cellStyle name="Normal 57 6 7" xfId="1185"/>
    <cellStyle name="Normal 57 6 7 2" xfId="2737"/>
    <cellStyle name="Normal 57 6 7 2 2" xfId="10394"/>
    <cellStyle name="Normal 57 6 7 2 3" xfId="5377"/>
    <cellStyle name="Normal 57 6 7 3" xfId="6775"/>
    <cellStyle name="Normal 57 6 7 3 2" xfId="11790"/>
    <cellStyle name="Normal 57 6 7 4" xfId="8637"/>
    <cellStyle name="Normal 57 6 7 5" xfId="13244"/>
    <cellStyle name="Normal 57 6 7 6" xfId="7988"/>
    <cellStyle name="Normal 57 6 7 7" xfId="3561"/>
    <cellStyle name="Normal 57 6 8" xfId="1584"/>
    <cellStyle name="Normal 57 6 8 2" xfId="12201"/>
    <cellStyle name="Normal 57 6 8 3" xfId="9524"/>
    <cellStyle name="Normal 57 6 8 4" xfId="4506"/>
    <cellStyle name="Normal 57 6 9" xfId="1511"/>
    <cellStyle name="Normal 57 6 9 2" xfId="10745"/>
    <cellStyle name="Normal 57 6 9 3" xfId="5729"/>
    <cellStyle name="Normal 57 6_Degree data" xfId="3106"/>
    <cellStyle name="Normal 57 7" xfId="185"/>
    <cellStyle name="Normal 57 7 10" xfId="12260"/>
    <cellStyle name="Normal 57 7 11" xfId="7120"/>
    <cellStyle name="Normal 57 7 12" xfId="3289"/>
    <cellStyle name="Normal 57 7 2" xfId="333"/>
    <cellStyle name="Normal 57 7 2 10" xfId="3494"/>
    <cellStyle name="Normal 57 7 2 2" xfId="690"/>
    <cellStyle name="Normal 57 7 2 2 2" xfId="2147"/>
    <cellStyle name="Normal 57 7 2 2 2 2" xfId="9949"/>
    <cellStyle name="Normal 57 7 2 2 2 3" xfId="4931"/>
    <cellStyle name="Normal 57 7 2 2 3" xfId="6294"/>
    <cellStyle name="Normal 57 7 2 2 3 2" xfId="11310"/>
    <cellStyle name="Normal 57 7 2 2 4" xfId="9065"/>
    <cellStyle name="Normal 57 7 2 2 5" xfId="12764"/>
    <cellStyle name="Normal 57 7 2 2 6" xfId="7542"/>
    <cellStyle name="Normal 57 7 2 2 7" xfId="3996"/>
    <cellStyle name="Normal 57 7 2 3" xfId="1099"/>
    <cellStyle name="Normal 57 7 2 3 2" xfId="2496"/>
    <cellStyle name="Normal 57 7 2 3 2 2" xfId="10253"/>
    <cellStyle name="Normal 57 7 2 3 2 3" xfId="5235"/>
    <cellStyle name="Normal 57 7 2 3 3" xfId="6643"/>
    <cellStyle name="Normal 57 7 2 3 3 2" xfId="11658"/>
    <cellStyle name="Normal 57 7 2 3 4" xfId="9369"/>
    <cellStyle name="Normal 57 7 2 3 5" xfId="13112"/>
    <cellStyle name="Normal 57 7 2 3 6" xfId="7846"/>
    <cellStyle name="Normal 57 7 2 3 7" xfId="4300"/>
    <cellStyle name="Normal 57 7 2 4" xfId="1457"/>
    <cellStyle name="Normal 57 7 2 4 2" xfId="3016"/>
    <cellStyle name="Normal 57 7 2 4 2 2" xfId="10658"/>
    <cellStyle name="Normal 57 7 2 4 2 3" xfId="5641"/>
    <cellStyle name="Normal 57 7 2 4 3" xfId="7039"/>
    <cellStyle name="Normal 57 7 2 4 3 2" xfId="12054"/>
    <cellStyle name="Normal 57 7 2 4 4" xfId="8746"/>
    <cellStyle name="Normal 57 7 2 4 5" xfId="13508"/>
    <cellStyle name="Normal 57 7 2 4 6" xfId="8252"/>
    <cellStyle name="Normal 57 7 2 4 7" xfId="3676"/>
    <cellStyle name="Normal 57 7 2 5" xfId="1848"/>
    <cellStyle name="Normal 57 7 2 5 2" xfId="9632"/>
    <cellStyle name="Normal 57 7 2 5 3" xfId="4614"/>
    <cellStyle name="Normal 57 7 2 6" xfId="5995"/>
    <cellStyle name="Normal 57 7 2 6 2" xfId="11011"/>
    <cellStyle name="Normal 57 7 2 7" xfId="8572"/>
    <cellStyle name="Normal 57 7 2 8" xfId="12465"/>
    <cellStyle name="Normal 57 7 2 9" xfId="7225"/>
    <cellStyle name="Normal 57 7 2_Degree data" xfId="3113"/>
    <cellStyle name="Normal 57 7 3" xfId="585"/>
    <cellStyle name="Normal 57 7 3 2" xfId="994"/>
    <cellStyle name="Normal 57 7 3 2 2" xfId="2148"/>
    <cellStyle name="Normal 57 7 3 2 2 2" xfId="10254"/>
    <cellStyle name="Normal 57 7 3 2 2 3" xfId="5236"/>
    <cellStyle name="Normal 57 7 3 2 3" xfId="6295"/>
    <cellStyle name="Normal 57 7 3 2 3 2" xfId="11311"/>
    <cellStyle name="Normal 57 7 3 2 4" xfId="9370"/>
    <cellStyle name="Normal 57 7 3 2 5" xfId="12765"/>
    <cellStyle name="Normal 57 7 3 2 6" xfId="7847"/>
    <cellStyle name="Normal 57 7 3 2 7" xfId="4301"/>
    <cellStyle name="Normal 57 7 3 3" xfId="1350"/>
    <cellStyle name="Normal 57 7 3 3 2" xfId="2497"/>
    <cellStyle name="Normal 57 7 3 3 2 2" xfId="10553"/>
    <cellStyle name="Normal 57 7 3 3 2 3" xfId="5536"/>
    <cellStyle name="Normal 57 7 3 3 3" xfId="6644"/>
    <cellStyle name="Normal 57 7 3 3 3 2" xfId="11659"/>
    <cellStyle name="Normal 57 7 3 3 4" xfId="8960"/>
    <cellStyle name="Normal 57 7 3 3 5" xfId="13113"/>
    <cellStyle name="Normal 57 7 3 3 6" xfId="8147"/>
    <cellStyle name="Normal 57 7 3 3 7" xfId="3891"/>
    <cellStyle name="Normal 57 7 3 4" xfId="2908"/>
    <cellStyle name="Normal 57 7 3 4 2" xfId="6934"/>
    <cellStyle name="Normal 57 7 3 4 2 2" xfId="11949"/>
    <cellStyle name="Normal 57 7 3 4 3" xfId="13403"/>
    <cellStyle name="Normal 57 7 3 4 4" xfId="9844"/>
    <cellStyle name="Normal 57 7 3 4 5" xfId="4826"/>
    <cellStyle name="Normal 57 7 3 5" xfId="1743"/>
    <cellStyle name="Normal 57 7 3 5 2" xfId="10906"/>
    <cellStyle name="Normal 57 7 3 5 3" xfId="5890"/>
    <cellStyle name="Normal 57 7 3 6" xfId="8467"/>
    <cellStyle name="Normal 57 7 3 7" xfId="12360"/>
    <cellStyle name="Normal 57 7 3 8" xfId="7437"/>
    <cellStyle name="Normal 57 7 3 9" xfId="3389"/>
    <cellStyle name="Normal 57 7 3_Degree data" xfId="3114"/>
    <cellStyle name="Normal 57 7 4" xfId="485"/>
    <cellStyle name="Normal 57 7 4 2" xfId="894"/>
    <cellStyle name="Normal 57 7 4 2 2" xfId="9744"/>
    <cellStyle name="Normal 57 7 4 2 3" xfId="4726"/>
    <cellStyle name="Normal 57 7 4 3" xfId="2146"/>
    <cellStyle name="Normal 57 7 4 3 2" xfId="11309"/>
    <cellStyle name="Normal 57 7 4 3 3" xfId="6293"/>
    <cellStyle name="Normal 57 7 4 4" xfId="8860"/>
    <cellStyle name="Normal 57 7 4 5" xfId="12763"/>
    <cellStyle name="Normal 57 7 4 6" xfId="7337"/>
    <cellStyle name="Normal 57 7 4 7" xfId="3791"/>
    <cellStyle name="Normal 57 7 5" xfId="791"/>
    <cellStyle name="Normal 57 7 5 2" xfId="2495"/>
    <cellStyle name="Normal 57 7 5 2 2" xfId="10252"/>
    <cellStyle name="Normal 57 7 5 2 3" xfId="5234"/>
    <cellStyle name="Normal 57 7 5 3" xfId="6642"/>
    <cellStyle name="Normal 57 7 5 3 2" xfId="11657"/>
    <cellStyle name="Normal 57 7 5 4" xfId="9368"/>
    <cellStyle name="Normal 57 7 5 5" xfId="13111"/>
    <cellStyle name="Normal 57 7 5 6" xfId="7845"/>
    <cellStyle name="Normal 57 7 5 7" xfId="4299"/>
    <cellStyle name="Normal 57 7 6" xfId="1249"/>
    <cellStyle name="Normal 57 7 6 2" xfId="2805"/>
    <cellStyle name="Normal 57 7 6 2 2" xfId="10453"/>
    <cellStyle name="Normal 57 7 6 2 3" xfId="5436"/>
    <cellStyle name="Normal 57 7 6 3" xfId="6834"/>
    <cellStyle name="Normal 57 7 6 3 2" xfId="11849"/>
    <cellStyle name="Normal 57 7 6 4" xfId="8640"/>
    <cellStyle name="Normal 57 7 6 5" xfId="13303"/>
    <cellStyle name="Normal 57 7 6 6" xfId="8047"/>
    <cellStyle name="Normal 57 7 6 7" xfId="3567"/>
    <cellStyle name="Normal 57 7 7" xfId="1643"/>
    <cellStyle name="Normal 57 7 7 2" xfId="9527"/>
    <cellStyle name="Normal 57 7 7 3" xfId="4509"/>
    <cellStyle name="Normal 57 7 8" xfId="5790"/>
    <cellStyle name="Normal 57 7 8 2" xfId="10806"/>
    <cellStyle name="Normal 57 7 9" xfId="8367"/>
    <cellStyle name="Normal 57 7_Degree data" xfId="3112"/>
    <cellStyle name="Normal 57 8" xfId="219"/>
    <cellStyle name="Normal 57 8 10" xfId="7150"/>
    <cellStyle name="Normal 57 8 11" xfId="3319"/>
    <cellStyle name="Normal 57 8 2" xfId="364"/>
    <cellStyle name="Normal 57 8 2 2" xfId="615"/>
    <cellStyle name="Normal 57 8 2 2 2" xfId="2150"/>
    <cellStyle name="Normal 57 8 2 2 2 2" xfId="10256"/>
    <cellStyle name="Normal 57 8 2 2 2 3" xfId="5238"/>
    <cellStyle name="Normal 57 8 2 2 3" xfId="6297"/>
    <cellStyle name="Normal 57 8 2 2 3 2" xfId="11313"/>
    <cellStyle name="Normal 57 8 2 2 4" xfId="9372"/>
    <cellStyle name="Normal 57 8 2 2 5" xfId="12767"/>
    <cellStyle name="Normal 57 8 2 2 6" xfId="7849"/>
    <cellStyle name="Normal 57 8 2 2 7" xfId="4303"/>
    <cellStyle name="Normal 57 8 2 3" xfId="1024"/>
    <cellStyle name="Normal 57 8 2 3 2" xfId="2499"/>
    <cellStyle name="Normal 57 8 2 3 2 2" xfId="10583"/>
    <cellStyle name="Normal 57 8 2 3 2 3" xfId="5566"/>
    <cellStyle name="Normal 57 8 2 3 3" xfId="6646"/>
    <cellStyle name="Normal 57 8 2 3 3 2" xfId="11661"/>
    <cellStyle name="Normal 57 8 2 3 4" xfId="8990"/>
    <cellStyle name="Normal 57 8 2 3 5" xfId="13115"/>
    <cellStyle name="Normal 57 8 2 3 6" xfId="8177"/>
    <cellStyle name="Normal 57 8 2 3 7" xfId="3921"/>
    <cellStyle name="Normal 57 8 2 4" xfId="1381"/>
    <cellStyle name="Normal 57 8 2 4 2" xfId="2939"/>
    <cellStyle name="Normal 57 8 2 4 2 2" xfId="11979"/>
    <cellStyle name="Normal 57 8 2 4 2 3" xfId="6964"/>
    <cellStyle name="Normal 57 8 2 4 3" xfId="13433"/>
    <cellStyle name="Normal 57 8 2 4 4" xfId="9874"/>
    <cellStyle name="Normal 57 8 2 4 5" xfId="4856"/>
    <cellStyle name="Normal 57 8 2 5" xfId="1773"/>
    <cellStyle name="Normal 57 8 2 5 2" xfId="10936"/>
    <cellStyle name="Normal 57 8 2 5 3" xfId="5920"/>
    <cellStyle name="Normal 57 8 2 6" xfId="8497"/>
    <cellStyle name="Normal 57 8 2 7" xfId="12390"/>
    <cellStyle name="Normal 57 8 2 8" xfId="7467"/>
    <cellStyle name="Normal 57 8 2 9" xfId="3419"/>
    <cellStyle name="Normal 57 8 2_Degree data" xfId="3116"/>
    <cellStyle name="Normal 57 8 3" xfId="515"/>
    <cellStyle name="Normal 57 8 3 2" xfId="2149"/>
    <cellStyle name="Normal 57 8 3 2 2" xfId="9774"/>
    <cellStyle name="Normal 57 8 3 2 3" xfId="4756"/>
    <cellStyle name="Normal 57 8 3 3" xfId="6296"/>
    <cellStyle name="Normal 57 8 3 3 2" xfId="11312"/>
    <cellStyle name="Normal 57 8 3 4" xfId="8890"/>
    <cellStyle name="Normal 57 8 3 5" xfId="12766"/>
    <cellStyle name="Normal 57 8 3 6" xfId="7367"/>
    <cellStyle name="Normal 57 8 3 7" xfId="3821"/>
    <cellStyle name="Normal 57 8 4" xfId="924"/>
    <cellStyle name="Normal 57 8 4 2" xfId="2498"/>
    <cellStyle name="Normal 57 8 4 2 2" xfId="10255"/>
    <cellStyle name="Normal 57 8 4 2 3" xfId="5237"/>
    <cellStyle name="Normal 57 8 4 3" xfId="6645"/>
    <cellStyle name="Normal 57 8 4 3 2" xfId="11660"/>
    <cellStyle name="Normal 57 8 4 4" xfId="9371"/>
    <cellStyle name="Normal 57 8 4 5" xfId="13114"/>
    <cellStyle name="Normal 57 8 4 6" xfId="7848"/>
    <cellStyle name="Normal 57 8 4 7" xfId="4302"/>
    <cellStyle name="Normal 57 8 5" xfId="1280"/>
    <cellStyle name="Normal 57 8 5 2" xfId="2837"/>
    <cellStyle name="Normal 57 8 5 2 2" xfId="10483"/>
    <cellStyle name="Normal 57 8 5 2 3" xfId="5466"/>
    <cellStyle name="Normal 57 8 5 3" xfId="6864"/>
    <cellStyle name="Normal 57 8 5 3 2" xfId="11879"/>
    <cellStyle name="Normal 57 8 5 4" xfId="8671"/>
    <cellStyle name="Normal 57 8 5 5" xfId="13333"/>
    <cellStyle name="Normal 57 8 5 6" xfId="8077"/>
    <cellStyle name="Normal 57 8 5 7" xfId="3600"/>
    <cellStyle name="Normal 57 8 6" xfId="1673"/>
    <cellStyle name="Normal 57 8 6 2" xfId="9557"/>
    <cellStyle name="Normal 57 8 6 3" xfId="4539"/>
    <cellStyle name="Normal 57 8 7" xfId="5820"/>
    <cellStyle name="Normal 57 8 7 2" xfId="10836"/>
    <cellStyle name="Normal 57 8 8" xfId="8397"/>
    <cellStyle name="Normal 57 8 9" xfId="12290"/>
    <cellStyle name="Normal 57 8_Degree data" xfId="3115"/>
    <cellStyle name="Normal 57 9" xfId="251"/>
    <cellStyle name="Normal 57 9 10" xfId="7198"/>
    <cellStyle name="Normal 57 9 11" xfId="3262"/>
    <cellStyle name="Normal 57 9 2" xfId="663"/>
    <cellStyle name="Normal 57 9 2 2" xfId="1072"/>
    <cellStyle name="Normal 57 9 2 2 2" xfId="2152"/>
    <cellStyle name="Normal 57 9 2 2 2 2" xfId="10258"/>
    <cellStyle name="Normal 57 9 2 2 2 3" xfId="5240"/>
    <cellStyle name="Normal 57 9 2 2 3" xfId="6299"/>
    <cellStyle name="Normal 57 9 2 2 3 2" xfId="11315"/>
    <cellStyle name="Normal 57 9 2 2 4" xfId="9374"/>
    <cellStyle name="Normal 57 9 2 2 5" xfId="12769"/>
    <cellStyle name="Normal 57 9 2 2 6" xfId="7851"/>
    <cellStyle name="Normal 57 9 2 2 7" xfId="4305"/>
    <cellStyle name="Normal 57 9 2 3" xfId="1430"/>
    <cellStyle name="Normal 57 9 2 3 2" xfId="2501"/>
    <cellStyle name="Normal 57 9 2 3 2 2" xfId="10631"/>
    <cellStyle name="Normal 57 9 2 3 2 3" xfId="5614"/>
    <cellStyle name="Normal 57 9 2 3 3" xfId="6648"/>
    <cellStyle name="Normal 57 9 2 3 3 2" xfId="11663"/>
    <cellStyle name="Normal 57 9 2 3 4" xfId="9038"/>
    <cellStyle name="Normal 57 9 2 3 5" xfId="13117"/>
    <cellStyle name="Normal 57 9 2 3 6" xfId="8225"/>
    <cellStyle name="Normal 57 9 2 3 7" xfId="3969"/>
    <cellStyle name="Normal 57 9 2 4" xfId="2989"/>
    <cellStyle name="Normal 57 9 2 4 2" xfId="7012"/>
    <cellStyle name="Normal 57 9 2 4 2 2" xfId="12027"/>
    <cellStyle name="Normal 57 9 2 4 3" xfId="13481"/>
    <cellStyle name="Normal 57 9 2 4 4" xfId="9922"/>
    <cellStyle name="Normal 57 9 2 4 5" xfId="4904"/>
    <cellStyle name="Normal 57 9 2 5" xfId="1821"/>
    <cellStyle name="Normal 57 9 2 5 2" xfId="10984"/>
    <cellStyle name="Normal 57 9 2 5 3" xfId="5968"/>
    <cellStyle name="Normal 57 9 2 6" xfId="8545"/>
    <cellStyle name="Normal 57 9 2 7" xfId="12438"/>
    <cellStyle name="Normal 57 9 2 8" xfId="7515"/>
    <cellStyle name="Normal 57 9 2 9" xfId="3467"/>
    <cellStyle name="Normal 57 9 2_Degree data" xfId="3118"/>
    <cellStyle name="Normal 57 9 3" xfId="458"/>
    <cellStyle name="Normal 57 9 3 2" xfId="2151"/>
    <cellStyle name="Normal 57 9 3 2 2" xfId="9717"/>
    <cellStyle name="Normal 57 9 3 2 3" xfId="4699"/>
    <cellStyle name="Normal 57 9 3 3" xfId="6298"/>
    <cellStyle name="Normal 57 9 3 3 2" xfId="11314"/>
    <cellStyle name="Normal 57 9 3 4" xfId="8833"/>
    <cellStyle name="Normal 57 9 3 5" xfId="12768"/>
    <cellStyle name="Normal 57 9 3 6" xfId="7310"/>
    <cellStyle name="Normal 57 9 3 7" xfId="3764"/>
    <cellStyle name="Normal 57 9 4" xfId="867"/>
    <cellStyle name="Normal 57 9 4 2" xfId="2500"/>
    <cellStyle name="Normal 57 9 4 2 2" xfId="10257"/>
    <cellStyle name="Normal 57 9 4 2 3" xfId="5239"/>
    <cellStyle name="Normal 57 9 4 3" xfId="6647"/>
    <cellStyle name="Normal 57 9 4 3 2" xfId="11662"/>
    <cellStyle name="Normal 57 9 4 4" xfId="9373"/>
    <cellStyle name="Normal 57 9 4 5" xfId="13116"/>
    <cellStyle name="Normal 57 9 4 6" xfId="7850"/>
    <cellStyle name="Normal 57 9 4 7" xfId="4304"/>
    <cellStyle name="Normal 57 9 5" xfId="1219"/>
    <cellStyle name="Normal 57 9 5 2" xfId="2775"/>
    <cellStyle name="Normal 57 9 5 2 2" xfId="10426"/>
    <cellStyle name="Normal 57 9 5 2 3" xfId="5409"/>
    <cellStyle name="Normal 57 9 5 3" xfId="6807"/>
    <cellStyle name="Normal 57 9 5 3 2" xfId="11822"/>
    <cellStyle name="Normal 57 9 5 4" xfId="8719"/>
    <cellStyle name="Normal 57 9 5 5" xfId="13276"/>
    <cellStyle name="Normal 57 9 5 6" xfId="8020"/>
    <cellStyle name="Normal 57 9 5 7" xfId="3649"/>
    <cellStyle name="Normal 57 9 6" xfId="1616"/>
    <cellStyle name="Normal 57 9 6 2" xfId="9605"/>
    <cellStyle name="Normal 57 9 6 3" xfId="4587"/>
    <cellStyle name="Normal 57 9 7" xfId="5763"/>
    <cellStyle name="Normal 57 9 7 2" xfId="10779"/>
    <cellStyle name="Normal 57 9 8" xfId="8340"/>
    <cellStyle name="Normal 57 9 9" xfId="12233"/>
    <cellStyle name="Normal 57 9_Degree data" xfId="3117"/>
    <cellStyle name="Normal 57_Degree data" xfId="3061"/>
    <cellStyle name="Normal 58" xfId="16"/>
    <cellStyle name="Normal 58 10" xfId="253"/>
    <cellStyle name="Normal 58 10 2" xfId="559"/>
    <cellStyle name="Normal 58 10 2 2" xfId="2154"/>
    <cellStyle name="Normal 58 10 2 2 2" xfId="10260"/>
    <cellStyle name="Normal 58 10 2 2 3" xfId="5242"/>
    <cellStyle name="Normal 58 10 2 3" xfId="6301"/>
    <cellStyle name="Normal 58 10 2 3 2" xfId="11317"/>
    <cellStyle name="Normal 58 10 2 4" xfId="9376"/>
    <cellStyle name="Normal 58 10 2 5" xfId="12771"/>
    <cellStyle name="Normal 58 10 2 6" xfId="7853"/>
    <cellStyle name="Normal 58 10 2 7" xfId="4307"/>
    <cellStyle name="Normal 58 10 3" xfId="968"/>
    <cellStyle name="Normal 58 10 3 2" xfId="2503"/>
    <cellStyle name="Normal 58 10 3 2 2" xfId="10527"/>
    <cellStyle name="Normal 58 10 3 2 3" xfId="5510"/>
    <cellStyle name="Normal 58 10 3 3" xfId="6650"/>
    <cellStyle name="Normal 58 10 3 3 2" xfId="11665"/>
    <cellStyle name="Normal 58 10 3 4" xfId="8934"/>
    <cellStyle name="Normal 58 10 3 5" xfId="13119"/>
    <cellStyle name="Normal 58 10 3 6" xfId="8121"/>
    <cellStyle name="Normal 58 10 3 7" xfId="3865"/>
    <cellStyle name="Normal 58 10 4" xfId="1324"/>
    <cellStyle name="Normal 58 10 4 2" xfId="2882"/>
    <cellStyle name="Normal 58 10 4 2 2" xfId="11923"/>
    <cellStyle name="Normal 58 10 4 2 3" xfId="6908"/>
    <cellStyle name="Normal 58 10 4 3" xfId="13377"/>
    <cellStyle name="Normal 58 10 4 4" xfId="9818"/>
    <cellStyle name="Normal 58 10 4 5" xfId="4800"/>
    <cellStyle name="Normal 58 10 5" xfId="1717"/>
    <cellStyle name="Normal 58 10 5 2" xfId="10880"/>
    <cellStyle name="Normal 58 10 5 3" xfId="5864"/>
    <cellStyle name="Normal 58 10 6" xfId="8441"/>
    <cellStyle name="Normal 58 10 7" xfId="12334"/>
    <cellStyle name="Normal 58 10 8" xfId="7411"/>
    <cellStyle name="Normal 58 10 9" xfId="3363"/>
    <cellStyle name="Normal 58 10_Degree data" xfId="3120"/>
    <cellStyle name="Normal 58 11" xfId="415"/>
    <cellStyle name="Normal 58 11 2" xfId="823"/>
    <cellStyle name="Normal 58 11 2 2" xfId="2155"/>
    <cellStyle name="Normal 58 11 2 2 2" xfId="10261"/>
    <cellStyle name="Normal 58 11 2 2 3" xfId="5243"/>
    <cellStyle name="Normal 58 11 2 3" xfId="6302"/>
    <cellStyle name="Normal 58 11 2 3 2" xfId="11318"/>
    <cellStyle name="Normal 58 11 2 4" xfId="9377"/>
    <cellStyle name="Normal 58 11 2 5" xfId="12772"/>
    <cellStyle name="Normal 58 11 2 6" xfId="7854"/>
    <cellStyle name="Normal 58 11 2 7" xfId="4308"/>
    <cellStyle name="Normal 58 11 3" xfId="1173"/>
    <cellStyle name="Normal 58 11 3 2" xfId="2504"/>
    <cellStyle name="Normal 58 11 3 2 2" xfId="10383"/>
    <cellStyle name="Normal 58 11 3 2 3" xfId="5366"/>
    <cellStyle name="Normal 58 11 3 3" xfId="6651"/>
    <cellStyle name="Normal 58 11 3 3 2" xfId="11666"/>
    <cellStyle name="Normal 58 11 3 4" xfId="9492"/>
    <cellStyle name="Normal 58 11 3 5" xfId="13120"/>
    <cellStyle name="Normal 58 11 3 6" xfId="7977"/>
    <cellStyle name="Normal 58 11 3 7" xfId="4474"/>
    <cellStyle name="Normal 58 11 4" xfId="2724"/>
    <cellStyle name="Normal 58 11 4 2" xfId="6764"/>
    <cellStyle name="Normal 58 11 4 2 2" xfId="11779"/>
    <cellStyle name="Normal 58 11 4 3" xfId="13233"/>
    <cellStyle name="Normal 58 11 4 4" xfId="9674"/>
    <cellStyle name="Normal 58 11 4 5" xfId="4656"/>
    <cellStyle name="Normal 58 11 5" xfId="1573"/>
    <cellStyle name="Normal 58 11 5 2" xfId="10734"/>
    <cellStyle name="Normal 58 11 5 3" xfId="5718"/>
    <cellStyle name="Normal 58 11 6" xfId="8790"/>
    <cellStyle name="Normal 58 11 7" xfId="12190"/>
    <cellStyle name="Normal 58 11 8" xfId="7267"/>
    <cellStyle name="Normal 58 11 9" xfId="3721"/>
    <cellStyle name="Normal 58 11_Degree data" xfId="3121"/>
    <cellStyle name="Normal 58 12" xfId="742"/>
    <cellStyle name="Normal 58 12 2" xfId="2153"/>
    <cellStyle name="Normal 58 12 2 2" xfId="10259"/>
    <cellStyle name="Normal 58 12 2 3" xfId="5241"/>
    <cellStyle name="Normal 58 12 3" xfId="6300"/>
    <cellStyle name="Normal 58 12 3 2" xfId="11316"/>
    <cellStyle name="Normal 58 12 4" xfId="9375"/>
    <cellStyle name="Normal 58 12 5" xfId="12770"/>
    <cellStyle name="Normal 58 12 6" xfId="7852"/>
    <cellStyle name="Normal 58 12 7" xfId="4306"/>
    <cellStyle name="Normal 58 13" xfId="1146"/>
    <cellStyle name="Normal 58 13 2" xfId="2502"/>
    <cellStyle name="Normal 58 13 2 2" xfId="10356"/>
    <cellStyle name="Normal 58 13 2 3" xfId="5339"/>
    <cellStyle name="Normal 58 13 3" xfId="6649"/>
    <cellStyle name="Normal 58 13 3 2" xfId="11664"/>
    <cellStyle name="Normal 58 13 4" xfId="8614"/>
    <cellStyle name="Normal 58 13 5" xfId="13118"/>
    <cellStyle name="Normal 58 13 6" xfId="7950"/>
    <cellStyle name="Normal 58 13 7" xfId="3536"/>
    <cellStyle name="Normal 58 14" xfId="2656"/>
    <cellStyle name="Normal 58 14 2" xfId="6737"/>
    <cellStyle name="Normal 58 14 2 2" xfId="11752"/>
    <cellStyle name="Normal 58 14 3" xfId="13206"/>
    <cellStyle name="Normal 58 14 4" xfId="9500"/>
    <cellStyle name="Normal 58 14 5" xfId="4482"/>
    <cellStyle name="Normal 58 15" xfId="1546"/>
    <cellStyle name="Normal 58 15 2" xfId="12163"/>
    <cellStyle name="Normal 58 15 3" xfId="10707"/>
    <cellStyle name="Normal 58 15 4" xfId="5691"/>
    <cellStyle name="Normal 58 16" xfId="1506"/>
    <cellStyle name="Normal 58 16 2" xfId="8297"/>
    <cellStyle name="Normal 58 17" xfId="12123"/>
    <cellStyle name="Normal 58 18" xfId="7094"/>
    <cellStyle name="Normal 58 19" xfId="3215"/>
    <cellStyle name="Normal 58 2" xfId="85"/>
    <cellStyle name="Normal 58 2 2" xfId="735"/>
    <cellStyle name="Normal 58 3" xfId="135"/>
    <cellStyle name="Normal 58 3 10" xfId="1558"/>
    <cellStyle name="Normal 58 3 10 2" xfId="12175"/>
    <cellStyle name="Normal 58 3 10 3" xfId="10719"/>
    <cellStyle name="Normal 58 3 10 4" xfId="5703"/>
    <cellStyle name="Normal 58 3 11" xfId="1528"/>
    <cellStyle name="Normal 58 3 11 2" xfId="8302"/>
    <cellStyle name="Normal 58 3 12" xfId="12145"/>
    <cellStyle name="Normal 58 3 13" xfId="7107"/>
    <cellStyle name="Normal 58 3 14" xfId="3222"/>
    <cellStyle name="Normal 58 3 2" xfId="176"/>
    <cellStyle name="Normal 58 3 2 10" xfId="8327"/>
    <cellStyle name="Normal 58 3 2 11" xfId="12220"/>
    <cellStyle name="Normal 58 3 2 12" xfId="7137"/>
    <cellStyle name="Normal 58 3 2 13" xfId="3249"/>
    <cellStyle name="Normal 58 3 2 2" xfId="351"/>
    <cellStyle name="Normal 58 3 2 2 10" xfId="7241"/>
    <cellStyle name="Normal 58 3 2 2 11" xfId="3306"/>
    <cellStyle name="Normal 58 3 2 2 2" xfId="706"/>
    <cellStyle name="Normal 58 3 2 2 2 2" xfId="1115"/>
    <cellStyle name="Normal 58 3 2 2 2 2 2" xfId="2159"/>
    <cellStyle name="Normal 58 3 2 2 2 2 2 2" xfId="10265"/>
    <cellStyle name="Normal 58 3 2 2 2 2 2 3" xfId="5247"/>
    <cellStyle name="Normal 58 3 2 2 2 2 3" xfId="6306"/>
    <cellStyle name="Normal 58 3 2 2 2 2 3 2" xfId="11322"/>
    <cellStyle name="Normal 58 3 2 2 2 2 4" xfId="9381"/>
    <cellStyle name="Normal 58 3 2 2 2 2 5" xfId="12776"/>
    <cellStyle name="Normal 58 3 2 2 2 2 6" xfId="7858"/>
    <cellStyle name="Normal 58 3 2 2 2 2 7" xfId="4312"/>
    <cellStyle name="Normal 58 3 2 2 2 3" xfId="1473"/>
    <cellStyle name="Normal 58 3 2 2 2 3 2" xfId="2508"/>
    <cellStyle name="Normal 58 3 2 2 2 3 2 2" xfId="10674"/>
    <cellStyle name="Normal 58 3 2 2 2 3 2 3" xfId="5657"/>
    <cellStyle name="Normal 58 3 2 2 2 3 3" xfId="6655"/>
    <cellStyle name="Normal 58 3 2 2 2 3 3 2" xfId="11670"/>
    <cellStyle name="Normal 58 3 2 2 2 3 4" xfId="9081"/>
    <cellStyle name="Normal 58 3 2 2 2 3 5" xfId="13124"/>
    <cellStyle name="Normal 58 3 2 2 2 3 6" xfId="8268"/>
    <cellStyle name="Normal 58 3 2 2 2 3 7" xfId="4012"/>
    <cellStyle name="Normal 58 3 2 2 2 4" xfId="3032"/>
    <cellStyle name="Normal 58 3 2 2 2 4 2" xfId="7055"/>
    <cellStyle name="Normal 58 3 2 2 2 4 2 2" xfId="12070"/>
    <cellStyle name="Normal 58 3 2 2 2 4 3" xfId="13524"/>
    <cellStyle name="Normal 58 3 2 2 2 4 4" xfId="9965"/>
    <cellStyle name="Normal 58 3 2 2 2 4 5" xfId="4947"/>
    <cellStyle name="Normal 58 3 2 2 2 5" xfId="1864"/>
    <cellStyle name="Normal 58 3 2 2 2 5 2" xfId="11027"/>
    <cellStyle name="Normal 58 3 2 2 2 5 3" xfId="6011"/>
    <cellStyle name="Normal 58 3 2 2 2 6" xfId="8588"/>
    <cellStyle name="Normal 58 3 2 2 2 7" xfId="12481"/>
    <cellStyle name="Normal 58 3 2 2 2 8" xfId="7558"/>
    <cellStyle name="Normal 58 3 2 2 2 9" xfId="3510"/>
    <cellStyle name="Normal 58 3 2 2 2_Degree data" xfId="3125"/>
    <cellStyle name="Normal 58 3 2 2 3" xfId="502"/>
    <cellStyle name="Normal 58 3 2 2 3 2" xfId="2158"/>
    <cellStyle name="Normal 58 3 2 2 3 2 2" xfId="9761"/>
    <cellStyle name="Normal 58 3 2 2 3 2 3" xfId="4743"/>
    <cellStyle name="Normal 58 3 2 2 3 3" xfId="6305"/>
    <cellStyle name="Normal 58 3 2 2 3 3 2" xfId="11321"/>
    <cellStyle name="Normal 58 3 2 2 3 4" xfId="8877"/>
    <cellStyle name="Normal 58 3 2 2 3 5" xfId="12775"/>
    <cellStyle name="Normal 58 3 2 2 3 6" xfId="7354"/>
    <cellStyle name="Normal 58 3 2 2 3 7" xfId="3808"/>
    <cellStyle name="Normal 58 3 2 2 4" xfId="911"/>
    <cellStyle name="Normal 58 3 2 2 4 2" xfId="2507"/>
    <cellStyle name="Normal 58 3 2 2 4 2 2" xfId="10264"/>
    <cellStyle name="Normal 58 3 2 2 4 2 3" xfId="5246"/>
    <cellStyle name="Normal 58 3 2 2 4 3" xfId="6654"/>
    <cellStyle name="Normal 58 3 2 2 4 3 2" xfId="11669"/>
    <cellStyle name="Normal 58 3 2 2 4 4" xfId="9380"/>
    <cellStyle name="Normal 58 3 2 2 4 5" xfId="13123"/>
    <cellStyle name="Normal 58 3 2 2 4 6" xfId="7857"/>
    <cellStyle name="Normal 58 3 2 2 4 7" xfId="4311"/>
    <cellStyle name="Normal 58 3 2 2 5" xfId="1266"/>
    <cellStyle name="Normal 58 3 2 2 5 2" xfId="2823"/>
    <cellStyle name="Normal 58 3 2 2 5 2 2" xfId="10470"/>
    <cellStyle name="Normal 58 3 2 2 5 2 3" xfId="5453"/>
    <cellStyle name="Normal 58 3 2 2 5 3" xfId="6851"/>
    <cellStyle name="Normal 58 3 2 2 5 3 2" xfId="11866"/>
    <cellStyle name="Normal 58 3 2 2 5 4" xfId="8762"/>
    <cellStyle name="Normal 58 3 2 2 5 5" xfId="13320"/>
    <cellStyle name="Normal 58 3 2 2 5 6" xfId="8064"/>
    <cellStyle name="Normal 58 3 2 2 5 7" xfId="3692"/>
    <cellStyle name="Normal 58 3 2 2 6" xfId="1660"/>
    <cellStyle name="Normal 58 3 2 2 6 2" xfId="9648"/>
    <cellStyle name="Normal 58 3 2 2 6 3" xfId="4630"/>
    <cellStyle name="Normal 58 3 2 2 7" xfId="5807"/>
    <cellStyle name="Normal 58 3 2 2 7 2" xfId="10823"/>
    <cellStyle name="Normal 58 3 2 2 8" xfId="8384"/>
    <cellStyle name="Normal 58 3 2 2 9" xfId="12277"/>
    <cellStyle name="Normal 58 3 2 2_Degree data" xfId="3124"/>
    <cellStyle name="Normal 58 3 2 3" xfId="291"/>
    <cellStyle name="Normal 58 3 2 3 10" xfId="3466"/>
    <cellStyle name="Normal 58 3 2 3 2" xfId="662"/>
    <cellStyle name="Normal 58 3 2 3 2 2" xfId="2160"/>
    <cellStyle name="Normal 58 3 2 3 2 2 2" xfId="9921"/>
    <cellStyle name="Normal 58 3 2 3 2 2 3" xfId="4903"/>
    <cellStyle name="Normal 58 3 2 3 2 3" xfId="6307"/>
    <cellStyle name="Normal 58 3 2 3 2 3 2" xfId="11323"/>
    <cellStyle name="Normal 58 3 2 3 2 4" xfId="9037"/>
    <cellStyle name="Normal 58 3 2 3 2 5" xfId="12777"/>
    <cellStyle name="Normal 58 3 2 3 2 6" xfId="7514"/>
    <cellStyle name="Normal 58 3 2 3 2 7" xfId="3968"/>
    <cellStyle name="Normal 58 3 2 3 3" xfId="1071"/>
    <cellStyle name="Normal 58 3 2 3 3 2" xfId="2509"/>
    <cellStyle name="Normal 58 3 2 3 3 2 2" xfId="10266"/>
    <cellStyle name="Normal 58 3 2 3 3 2 3" xfId="5248"/>
    <cellStyle name="Normal 58 3 2 3 3 3" xfId="6656"/>
    <cellStyle name="Normal 58 3 2 3 3 3 2" xfId="11671"/>
    <cellStyle name="Normal 58 3 2 3 3 4" xfId="9382"/>
    <cellStyle name="Normal 58 3 2 3 3 5" xfId="13125"/>
    <cellStyle name="Normal 58 3 2 3 3 6" xfId="7859"/>
    <cellStyle name="Normal 58 3 2 3 3 7" xfId="4313"/>
    <cellStyle name="Normal 58 3 2 3 4" xfId="1429"/>
    <cellStyle name="Normal 58 3 2 3 4 2" xfId="2988"/>
    <cellStyle name="Normal 58 3 2 3 4 2 2" xfId="10630"/>
    <cellStyle name="Normal 58 3 2 3 4 2 3" xfId="5613"/>
    <cellStyle name="Normal 58 3 2 3 4 3" xfId="7011"/>
    <cellStyle name="Normal 58 3 2 3 4 3 2" xfId="12026"/>
    <cellStyle name="Normal 58 3 2 3 4 4" xfId="8718"/>
    <cellStyle name="Normal 58 3 2 3 4 5" xfId="13480"/>
    <cellStyle name="Normal 58 3 2 3 4 6" xfId="8224"/>
    <cellStyle name="Normal 58 3 2 3 4 7" xfId="3648"/>
    <cellStyle name="Normal 58 3 2 3 5" xfId="1820"/>
    <cellStyle name="Normal 58 3 2 3 5 2" xfId="9604"/>
    <cellStyle name="Normal 58 3 2 3 5 3" xfId="4586"/>
    <cellStyle name="Normal 58 3 2 3 6" xfId="5967"/>
    <cellStyle name="Normal 58 3 2 3 6 2" xfId="10983"/>
    <cellStyle name="Normal 58 3 2 3 7" xfId="8544"/>
    <cellStyle name="Normal 58 3 2 3 8" xfId="12437"/>
    <cellStyle name="Normal 58 3 2 3 9" xfId="7197"/>
    <cellStyle name="Normal 58 3 2 3_Degree data" xfId="3126"/>
    <cellStyle name="Normal 58 3 2 4" xfId="602"/>
    <cellStyle name="Normal 58 3 2 4 2" xfId="1011"/>
    <cellStyle name="Normal 58 3 2 4 2 2" xfId="2161"/>
    <cellStyle name="Normal 58 3 2 4 2 2 2" xfId="10267"/>
    <cellStyle name="Normal 58 3 2 4 2 2 3" xfId="5249"/>
    <cellStyle name="Normal 58 3 2 4 2 3" xfId="6308"/>
    <cellStyle name="Normal 58 3 2 4 2 3 2" xfId="11324"/>
    <cellStyle name="Normal 58 3 2 4 2 4" xfId="9383"/>
    <cellStyle name="Normal 58 3 2 4 2 5" xfId="12778"/>
    <cellStyle name="Normal 58 3 2 4 2 6" xfId="7860"/>
    <cellStyle name="Normal 58 3 2 4 2 7" xfId="4314"/>
    <cellStyle name="Normal 58 3 2 4 3" xfId="1367"/>
    <cellStyle name="Normal 58 3 2 4 3 2" xfId="2510"/>
    <cellStyle name="Normal 58 3 2 4 3 2 2" xfId="10570"/>
    <cellStyle name="Normal 58 3 2 4 3 2 3" xfId="5553"/>
    <cellStyle name="Normal 58 3 2 4 3 3" xfId="6657"/>
    <cellStyle name="Normal 58 3 2 4 3 3 2" xfId="11672"/>
    <cellStyle name="Normal 58 3 2 4 3 4" xfId="8977"/>
    <cellStyle name="Normal 58 3 2 4 3 5" xfId="13126"/>
    <cellStyle name="Normal 58 3 2 4 3 6" xfId="8164"/>
    <cellStyle name="Normal 58 3 2 4 3 7" xfId="3908"/>
    <cellStyle name="Normal 58 3 2 4 4" xfId="2925"/>
    <cellStyle name="Normal 58 3 2 4 4 2" xfId="6951"/>
    <cellStyle name="Normal 58 3 2 4 4 2 2" xfId="11966"/>
    <cellStyle name="Normal 58 3 2 4 4 3" xfId="13420"/>
    <cellStyle name="Normal 58 3 2 4 4 4" xfId="9861"/>
    <cellStyle name="Normal 58 3 2 4 4 5" xfId="4843"/>
    <cellStyle name="Normal 58 3 2 4 5" xfId="1760"/>
    <cellStyle name="Normal 58 3 2 4 5 2" xfId="10923"/>
    <cellStyle name="Normal 58 3 2 4 5 3" xfId="5907"/>
    <cellStyle name="Normal 58 3 2 4 6" xfId="8484"/>
    <cellStyle name="Normal 58 3 2 4 7" xfId="12377"/>
    <cellStyle name="Normal 58 3 2 4 8" xfId="7454"/>
    <cellStyle name="Normal 58 3 2 4 9" xfId="3406"/>
    <cellStyle name="Normal 58 3 2 4_Degree data" xfId="3127"/>
    <cellStyle name="Normal 58 3 2 5" xfId="445"/>
    <cellStyle name="Normal 58 3 2 5 2" xfId="854"/>
    <cellStyle name="Normal 58 3 2 5 2 2" xfId="9704"/>
    <cellStyle name="Normal 58 3 2 5 2 3" xfId="4686"/>
    <cellStyle name="Normal 58 3 2 5 3" xfId="2157"/>
    <cellStyle name="Normal 58 3 2 5 3 2" xfId="11320"/>
    <cellStyle name="Normal 58 3 2 5 3 3" xfId="6304"/>
    <cellStyle name="Normal 58 3 2 5 4" xfId="8820"/>
    <cellStyle name="Normal 58 3 2 5 5" xfId="12774"/>
    <cellStyle name="Normal 58 3 2 5 6" xfId="7297"/>
    <cellStyle name="Normal 58 3 2 5 7" xfId="3751"/>
    <cellStyle name="Normal 58 3 2 6" xfId="778"/>
    <cellStyle name="Normal 58 3 2 6 2" xfId="2506"/>
    <cellStyle name="Normal 58 3 2 6 2 2" xfId="10263"/>
    <cellStyle name="Normal 58 3 2 6 2 3" xfId="5245"/>
    <cellStyle name="Normal 58 3 2 6 3" xfId="6653"/>
    <cellStyle name="Normal 58 3 2 6 3 2" xfId="11668"/>
    <cellStyle name="Normal 58 3 2 6 4" xfId="9379"/>
    <cellStyle name="Normal 58 3 2 6 5" xfId="13122"/>
    <cellStyle name="Normal 58 3 2 6 6" xfId="7856"/>
    <cellStyle name="Normal 58 3 2 6 7" xfId="4310"/>
    <cellStyle name="Normal 58 3 2 7" xfId="1204"/>
    <cellStyle name="Normal 58 3 2 7 2" xfId="2758"/>
    <cellStyle name="Normal 58 3 2 7 2 2" xfId="10413"/>
    <cellStyle name="Normal 58 3 2 7 2 3" xfId="5396"/>
    <cellStyle name="Normal 58 3 2 7 3" xfId="6794"/>
    <cellStyle name="Normal 58 3 2 7 3 2" xfId="11809"/>
    <cellStyle name="Normal 58 3 2 7 4" xfId="8658"/>
    <cellStyle name="Normal 58 3 2 7 5" xfId="13263"/>
    <cellStyle name="Normal 58 3 2 7 6" xfId="8007"/>
    <cellStyle name="Normal 58 3 2 7 7" xfId="3585"/>
    <cellStyle name="Normal 58 3 2 8" xfId="1603"/>
    <cellStyle name="Normal 58 3 2 8 2" xfId="9544"/>
    <cellStyle name="Normal 58 3 2 8 3" xfId="4526"/>
    <cellStyle name="Normal 58 3 2 9" xfId="5748"/>
    <cellStyle name="Normal 58 3 2 9 2" xfId="10764"/>
    <cellStyle name="Normal 58 3 2_Degree data" xfId="3123"/>
    <cellStyle name="Normal 58 3 3" xfId="202"/>
    <cellStyle name="Normal 58 3 3 10" xfId="7180"/>
    <cellStyle name="Normal 58 3 3 11" xfId="3349"/>
    <cellStyle name="Normal 58 3 3 2" xfId="395"/>
    <cellStyle name="Normal 58 3 3 2 2" xfId="645"/>
    <cellStyle name="Normal 58 3 3 2 2 2" xfId="2163"/>
    <cellStyle name="Normal 58 3 3 2 2 2 2" xfId="10269"/>
    <cellStyle name="Normal 58 3 3 2 2 2 3" xfId="5251"/>
    <cellStyle name="Normal 58 3 3 2 2 3" xfId="6310"/>
    <cellStyle name="Normal 58 3 3 2 2 3 2" xfId="11326"/>
    <cellStyle name="Normal 58 3 3 2 2 4" xfId="9385"/>
    <cellStyle name="Normal 58 3 3 2 2 5" xfId="12780"/>
    <cellStyle name="Normal 58 3 3 2 2 6" xfId="7862"/>
    <cellStyle name="Normal 58 3 3 2 2 7" xfId="4316"/>
    <cellStyle name="Normal 58 3 3 2 3" xfId="1054"/>
    <cellStyle name="Normal 58 3 3 2 3 2" xfId="2512"/>
    <cellStyle name="Normal 58 3 3 2 3 2 2" xfId="10613"/>
    <cellStyle name="Normal 58 3 3 2 3 2 3" xfId="5596"/>
    <cellStyle name="Normal 58 3 3 2 3 3" xfId="6659"/>
    <cellStyle name="Normal 58 3 3 2 3 3 2" xfId="11674"/>
    <cellStyle name="Normal 58 3 3 2 3 4" xfId="9020"/>
    <cellStyle name="Normal 58 3 3 2 3 5" xfId="13128"/>
    <cellStyle name="Normal 58 3 3 2 3 6" xfId="8207"/>
    <cellStyle name="Normal 58 3 3 2 3 7" xfId="3951"/>
    <cellStyle name="Normal 58 3 3 2 4" xfId="1412"/>
    <cellStyle name="Normal 58 3 3 2 4 2" xfId="2970"/>
    <cellStyle name="Normal 58 3 3 2 4 2 2" xfId="12009"/>
    <cellStyle name="Normal 58 3 3 2 4 2 3" xfId="6994"/>
    <cellStyle name="Normal 58 3 3 2 4 3" xfId="13463"/>
    <cellStyle name="Normal 58 3 3 2 4 4" xfId="9904"/>
    <cellStyle name="Normal 58 3 3 2 4 5" xfId="4886"/>
    <cellStyle name="Normal 58 3 3 2 5" xfId="1803"/>
    <cellStyle name="Normal 58 3 3 2 5 2" xfId="10966"/>
    <cellStyle name="Normal 58 3 3 2 5 3" xfId="5950"/>
    <cellStyle name="Normal 58 3 3 2 6" xfId="8527"/>
    <cellStyle name="Normal 58 3 3 2 7" xfId="12420"/>
    <cellStyle name="Normal 58 3 3 2 8" xfId="7497"/>
    <cellStyle name="Normal 58 3 3 2 9" xfId="3449"/>
    <cellStyle name="Normal 58 3 3 2_Degree data" xfId="3129"/>
    <cellStyle name="Normal 58 3 3 3" xfId="545"/>
    <cellStyle name="Normal 58 3 3 3 2" xfId="954"/>
    <cellStyle name="Normal 58 3 3 3 2 2" xfId="9804"/>
    <cellStyle name="Normal 58 3 3 3 2 3" xfId="4786"/>
    <cellStyle name="Normal 58 3 3 3 3" xfId="2162"/>
    <cellStyle name="Normal 58 3 3 3 3 2" xfId="11325"/>
    <cellStyle name="Normal 58 3 3 3 3 3" xfId="6309"/>
    <cellStyle name="Normal 58 3 3 3 4" xfId="8920"/>
    <cellStyle name="Normal 58 3 3 3 5" xfId="12779"/>
    <cellStyle name="Normal 58 3 3 3 6" xfId="7397"/>
    <cellStyle name="Normal 58 3 3 3 7" xfId="3851"/>
    <cellStyle name="Normal 58 3 3 4" xfId="808"/>
    <cellStyle name="Normal 58 3 3 4 2" xfId="2511"/>
    <cellStyle name="Normal 58 3 3 4 2 2" xfId="10268"/>
    <cellStyle name="Normal 58 3 3 4 2 3" xfId="5250"/>
    <cellStyle name="Normal 58 3 3 4 3" xfId="6658"/>
    <cellStyle name="Normal 58 3 3 4 3 2" xfId="11673"/>
    <cellStyle name="Normal 58 3 3 4 4" xfId="9384"/>
    <cellStyle name="Normal 58 3 3 4 5" xfId="13127"/>
    <cellStyle name="Normal 58 3 3 4 6" xfId="7861"/>
    <cellStyle name="Normal 58 3 3 4 7" xfId="4315"/>
    <cellStyle name="Normal 58 3 3 5" xfId="1310"/>
    <cellStyle name="Normal 58 3 3 5 2" xfId="2868"/>
    <cellStyle name="Normal 58 3 3 5 2 2" xfId="10513"/>
    <cellStyle name="Normal 58 3 3 5 2 3" xfId="5496"/>
    <cellStyle name="Normal 58 3 3 5 3" xfId="6894"/>
    <cellStyle name="Normal 58 3 3 5 3 2" xfId="11909"/>
    <cellStyle name="Normal 58 3 3 5 4" xfId="8701"/>
    <cellStyle name="Normal 58 3 3 5 5" xfId="13363"/>
    <cellStyle name="Normal 58 3 3 5 6" xfId="8107"/>
    <cellStyle name="Normal 58 3 3 5 7" xfId="3631"/>
    <cellStyle name="Normal 58 3 3 6" xfId="1703"/>
    <cellStyle name="Normal 58 3 3 6 2" xfId="9587"/>
    <cellStyle name="Normal 58 3 3 6 3" xfId="4569"/>
    <cellStyle name="Normal 58 3 3 7" xfId="5850"/>
    <cellStyle name="Normal 58 3 3 7 2" xfId="10866"/>
    <cellStyle name="Normal 58 3 3 8" xfId="8427"/>
    <cellStyle name="Normal 58 3 3 9" xfId="12320"/>
    <cellStyle name="Normal 58 3 3_Degree data" xfId="3128"/>
    <cellStyle name="Normal 58 3 4" xfId="238"/>
    <cellStyle name="Normal 58 3 4 10" xfId="7212"/>
    <cellStyle name="Normal 58 3 4 11" xfId="3276"/>
    <cellStyle name="Normal 58 3 4 2" xfId="320"/>
    <cellStyle name="Normal 58 3 4 2 2" xfId="677"/>
    <cellStyle name="Normal 58 3 4 2 2 2" xfId="2165"/>
    <cellStyle name="Normal 58 3 4 2 2 2 2" xfId="10271"/>
    <cellStyle name="Normal 58 3 4 2 2 2 3" xfId="5253"/>
    <cellStyle name="Normal 58 3 4 2 2 3" xfId="6312"/>
    <cellStyle name="Normal 58 3 4 2 2 3 2" xfId="11328"/>
    <cellStyle name="Normal 58 3 4 2 2 4" xfId="9387"/>
    <cellStyle name="Normal 58 3 4 2 2 5" xfId="12782"/>
    <cellStyle name="Normal 58 3 4 2 2 6" xfId="7864"/>
    <cellStyle name="Normal 58 3 4 2 2 7" xfId="4318"/>
    <cellStyle name="Normal 58 3 4 2 3" xfId="1086"/>
    <cellStyle name="Normal 58 3 4 2 3 2" xfId="2514"/>
    <cellStyle name="Normal 58 3 4 2 3 2 2" xfId="10645"/>
    <cellStyle name="Normal 58 3 4 2 3 2 3" xfId="5628"/>
    <cellStyle name="Normal 58 3 4 2 3 3" xfId="6661"/>
    <cellStyle name="Normal 58 3 4 2 3 3 2" xfId="11676"/>
    <cellStyle name="Normal 58 3 4 2 3 4" xfId="9052"/>
    <cellStyle name="Normal 58 3 4 2 3 5" xfId="13130"/>
    <cellStyle name="Normal 58 3 4 2 3 6" xfId="8239"/>
    <cellStyle name="Normal 58 3 4 2 3 7" xfId="3983"/>
    <cellStyle name="Normal 58 3 4 2 4" xfId="1444"/>
    <cellStyle name="Normal 58 3 4 2 4 2" xfId="3003"/>
    <cellStyle name="Normal 58 3 4 2 4 2 2" xfId="12041"/>
    <cellStyle name="Normal 58 3 4 2 4 2 3" xfId="7026"/>
    <cellStyle name="Normal 58 3 4 2 4 3" xfId="13495"/>
    <cellStyle name="Normal 58 3 4 2 4 4" xfId="9936"/>
    <cellStyle name="Normal 58 3 4 2 4 5" xfId="4918"/>
    <cellStyle name="Normal 58 3 4 2 5" xfId="1835"/>
    <cellStyle name="Normal 58 3 4 2 5 2" xfId="10998"/>
    <cellStyle name="Normal 58 3 4 2 5 3" xfId="5982"/>
    <cellStyle name="Normal 58 3 4 2 6" xfId="8559"/>
    <cellStyle name="Normal 58 3 4 2 7" xfId="12452"/>
    <cellStyle name="Normal 58 3 4 2 8" xfId="7529"/>
    <cellStyle name="Normal 58 3 4 2 9" xfId="3481"/>
    <cellStyle name="Normal 58 3 4 2_Degree data" xfId="3131"/>
    <cellStyle name="Normal 58 3 4 3" xfId="472"/>
    <cellStyle name="Normal 58 3 4 3 2" xfId="2164"/>
    <cellStyle name="Normal 58 3 4 3 2 2" xfId="9731"/>
    <cellStyle name="Normal 58 3 4 3 2 3" xfId="4713"/>
    <cellStyle name="Normal 58 3 4 3 3" xfId="6311"/>
    <cellStyle name="Normal 58 3 4 3 3 2" xfId="11327"/>
    <cellStyle name="Normal 58 3 4 3 4" xfId="8847"/>
    <cellStyle name="Normal 58 3 4 3 5" xfId="12781"/>
    <cellStyle name="Normal 58 3 4 3 6" xfId="7324"/>
    <cellStyle name="Normal 58 3 4 3 7" xfId="3778"/>
    <cellStyle name="Normal 58 3 4 4" xfId="881"/>
    <cellStyle name="Normal 58 3 4 4 2" xfId="2513"/>
    <cellStyle name="Normal 58 3 4 4 2 2" xfId="10270"/>
    <cellStyle name="Normal 58 3 4 4 2 3" xfId="5252"/>
    <cellStyle name="Normal 58 3 4 4 3" xfId="6660"/>
    <cellStyle name="Normal 58 3 4 4 3 2" xfId="11675"/>
    <cellStyle name="Normal 58 3 4 4 4" xfId="9386"/>
    <cellStyle name="Normal 58 3 4 4 5" xfId="13129"/>
    <cellStyle name="Normal 58 3 4 4 6" xfId="7863"/>
    <cellStyle name="Normal 58 3 4 4 7" xfId="4317"/>
    <cellStyle name="Normal 58 3 4 5" xfId="1233"/>
    <cellStyle name="Normal 58 3 4 5 2" xfId="2789"/>
    <cellStyle name="Normal 58 3 4 5 2 2" xfId="10440"/>
    <cellStyle name="Normal 58 3 4 5 2 3" xfId="5423"/>
    <cellStyle name="Normal 58 3 4 5 3" xfId="6821"/>
    <cellStyle name="Normal 58 3 4 5 3 2" xfId="11836"/>
    <cellStyle name="Normal 58 3 4 5 4" xfId="8733"/>
    <cellStyle name="Normal 58 3 4 5 5" xfId="13290"/>
    <cellStyle name="Normal 58 3 4 5 6" xfId="8034"/>
    <cellStyle name="Normal 58 3 4 5 7" xfId="3663"/>
    <cellStyle name="Normal 58 3 4 6" xfId="1630"/>
    <cellStyle name="Normal 58 3 4 6 2" xfId="9619"/>
    <cellStyle name="Normal 58 3 4 6 3" xfId="4601"/>
    <cellStyle name="Normal 58 3 4 7" xfId="5777"/>
    <cellStyle name="Normal 58 3 4 7 2" xfId="10793"/>
    <cellStyle name="Normal 58 3 4 8" xfId="8354"/>
    <cellStyle name="Normal 58 3 4 9" xfId="12247"/>
    <cellStyle name="Normal 58 3 4_Degree data" xfId="3130"/>
    <cellStyle name="Normal 58 3 5" xfId="264"/>
    <cellStyle name="Normal 58 3 5 2" xfId="572"/>
    <cellStyle name="Normal 58 3 5 2 2" xfId="2166"/>
    <cellStyle name="Normal 58 3 5 2 2 2" xfId="10272"/>
    <cellStyle name="Normal 58 3 5 2 2 3" xfId="5254"/>
    <cellStyle name="Normal 58 3 5 2 3" xfId="6313"/>
    <cellStyle name="Normal 58 3 5 2 3 2" xfId="11329"/>
    <cellStyle name="Normal 58 3 5 2 4" xfId="9388"/>
    <cellStyle name="Normal 58 3 5 2 5" xfId="12783"/>
    <cellStyle name="Normal 58 3 5 2 6" xfId="7865"/>
    <cellStyle name="Normal 58 3 5 2 7" xfId="4319"/>
    <cellStyle name="Normal 58 3 5 3" xfId="981"/>
    <cellStyle name="Normal 58 3 5 3 2" xfId="2515"/>
    <cellStyle name="Normal 58 3 5 3 2 2" xfId="10540"/>
    <cellStyle name="Normal 58 3 5 3 2 3" xfId="5523"/>
    <cellStyle name="Normal 58 3 5 3 3" xfId="6662"/>
    <cellStyle name="Normal 58 3 5 3 3 2" xfId="11677"/>
    <cellStyle name="Normal 58 3 5 3 4" xfId="8947"/>
    <cellStyle name="Normal 58 3 5 3 5" xfId="13131"/>
    <cellStyle name="Normal 58 3 5 3 6" xfId="8134"/>
    <cellStyle name="Normal 58 3 5 3 7" xfId="3878"/>
    <cellStyle name="Normal 58 3 5 4" xfId="1337"/>
    <cellStyle name="Normal 58 3 5 4 2" xfId="2895"/>
    <cellStyle name="Normal 58 3 5 4 2 2" xfId="11936"/>
    <cellStyle name="Normal 58 3 5 4 2 3" xfId="6921"/>
    <cellStyle name="Normal 58 3 5 4 3" xfId="13390"/>
    <cellStyle name="Normal 58 3 5 4 4" xfId="9831"/>
    <cellStyle name="Normal 58 3 5 4 5" xfId="4813"/>
    <cellStyle name="Normal 58 3 5 5" xfId="1730"/>
    <cellStyle name="Normal 58 3 5 5 2" xfId="10893"/>
    <cellStyle name="Normal 58 3 5 5 3" xfId="5877"/>
    <cellStyle name="Normal 58 3 5 6" xfId="8454"/>
    <cellStyle name="Normal 58 3 5 7" xfId="12347"/>
    <cellStyle name="Normal 58 3 5 8" xfId="7424"/>
    <cellStyle name="Normal 58 3 5 9" xfId="3376"/>
    <cellStyle name="Normal 58 3 5_Degree data" xfId="3132"/>
    <cellStyle name="Normal 58 3 6" xfId="420"/>
    <cellStyle name="Normal 58 3 6 2" xfId="828"/>
    <cellStyle name="Normal 58 3 6 2 2" xfId="2167"/>
    <cellStyle name="Normal 58 3 6 2 2 2" xfId="10273"/>
    <cellStyle name="Normal 58 3 6 2 2 3" xfId="5255"/>
    <cellStyle name="Normal 58 3 6 2 3" xfId="6314"/>
    <cellStyle name="Normal 58 3 6 2 3 2" xfId="11330"/>
    <cellStyle name="Normal 58 3 6 2 4" xfId="9389"/>
    <cellStyle name="Normal 58 3 6 2 5" xfId="12784"/>
    <cellStyle name="Normal 58 3 6 2 6" xfId="7866"/>
    <cellStyle name="Normal 58 3 6 2 7" xfId="4320"/>
    <cellStyle name="Normal 58 3 6 3" xfId="1178"/>
    <cellStyle name="Normal 58 3 6 3 2" xfId="2516"/>
    <cellStyle name="Normal 58 3 6 3 2 2" xfId="10388"/>
    <cellStyle name="Normal 58 3 6 3 2 3" xfId="5371"/>
    <cellStyle name="Normal 58 3 6 3 3" xfId="6663"/>
    <cellStyle name="Normal 58 3 6 3 3 2" xfId="11678"/>
    <cellStyle name="Normal 58 3 6 3 4" xfId="9493"/>
    <cellStyle name="Normal 58 3 6 3 5" xfId="13132"/>
    <cellStyle name="Normal 58 3 6 3 6" xfId="7982"/>
    <cellStyle name="Normal 58 3 6 3 7" xfId="4475"/>
    <cellStyle name="Normal 58 3 6 4" xfId="2729"/>
    <cellStyle name="Normal 58 3 6 4 2" xfId="6769"/>
    <cellStyle name="Normal 58 3 6 4 2 2" xfId="11784"/>
    <cellStyle name="Normal 58 3 6 4 3" xfId="13238"/>
    <cellStyle name="Normal 58 3 6 4 4" xfId="9679"/>
    <cellStyle name="Normal 58 3 6 4 5" xfId="4661"/>
    <cellStyle name="Normal 58 3 6 5" xfId="1578"/>
    <cellStyle name="Normal 58 3 6 5 2" xfId="10739"/>
    <cellStyle name="Normal 58 3 6 5 3" xfId="5723"/>
    <cellStyle name="Normal 58 3 6 6" xfId="8795"/>
    <cellStyle name="Normal 58 3 6 7" xfId="12195"/>
    <cellStyle name="Normal 58 3 6 8" xfId="7272"/>
    <cellStyle name="Normal 58 3 6 9" xfId="3726"/>
    <cellStyle name="Normal 58 3 6_Degree data" xfId="3133"/>
    <cellStyle name="Normal 58 3 7" xfId="754"/>
    <cellStyle name="Normal 58 3 7 2" xfId="2156"/>
    <cellStyle name="Normal 58 3 7 2 2" xfId="10262"/>
    <cellStyle name="Normal 58 3 7 2 3" xfId="5244"/>
    <cellStyle name="Normal 58 3 7 3" xfId="6303"/>
    <cellStyle name="Normal 58 3 7 3 2" xfId="11319"/>
    <cellStyle name="Normal 58 3 7 4" xfId="9378"/>
    <cellStyle name="Normal 58 3 7 5" xfId="12773"/>
    <cellStyle name="Normal 58 3 7 6" xfId="7855"/>
    <cellStyle name="Normal 58 3 7 7" xfId="4309"/>
    <cellStyle name="Normal 58 3 8" xfId="1158"/>
    <cellStyle name="Normal 58 3 8 2" xfId="2505"/>
    <cellStyle name="Normal 58 3 8 2 2" xfId="10368"/>
    <cellStyle name="Normal 58 3 8 2 3" xfId="5351"/>
    <cellStyle name="Normal 58 3 8 3" xfId="6652"/>
    <cellStyle name="Normal 58 3 8 3 2" xfId="11667"/>
    <cellStyle name="Normal 58 3 8 4" xfId="8627"/>
    <cellStyle name="Normal 58 3 8 5" xfId="13121"/>
    <cellStyle name="Normal 58 3 8 6" xfId="7962"/>
    <cellStyle name="Normal 58 3 8 7" xfId="3551"/>
    <cellStyle name="Normal 58 3 9" xfId="2707"/>
    <cellStyle name="Normal 58 3 9 2" xfId="6749"/>
    <cellStyle name="Normal 58 3 9 2 2" xfId="11764"/>
    <cellStyle name="Normal 58 3 9 3" xfId="13218"/>
    <cellStyle name="Normal 58 3 9 4" xfId="9513"/>
    <cellStyle name="Normal 58 3 9 5" xfId="4495"/>
    <cellStyle name="Normal 58 3_Degree data" xfId="3122"/>
    <cellStyle name="Normal 58 4" xfId="106"/>
    <cellStyle name="Normal 58 4 10" xfId="1553"/>
    <cellStyle name="Normal 58 4 10 2" xfId="12170"/>
    <cellStyle name="Normal 58 4 10 3" xfId="10714"/>
    <cellStyle name="Normal 58 4 10 4" xfId="5698"/>
    <cellStyle name="Normal 58 4 11" xfId="1523"/>
    <cellStyle name="Normal 58 4 11 2" xfId="8320"/>
    <cellStyle name="Normal 58 4 12" xfId="12140"/>
    <cellStyle name="Normal 58 4 13" xfId="7118"/>
    <cellStyle name="Normal 58 4 14" xfId="3241"/>
    <cellStyle name="Normal 58 4 2" xfId="171"/>
    <cellStyle name="Normal 58 4 2 10" xfId="12272"/>
    <cellStyle name="Normal 58 4 2 11" xfId="7132"/>
    <cellStyle name="Normal 58 4 2 12" xfId="3301"/>
    <cellStyle name="Normal 58 4 2 2" xfId="345"/>
    <cellStyle name="Normal 58 4 2 2 10" xfId="3505"/>
    <cellStyle name="Normal 58 4 2 2 2" xfId="701"/>
    <cellStyle name="Normal 58 4 2 2 2 2" xfId="2170"/>
    <cellStyle name="Normal 58 4 2 2 2 2 2" xfId="9960"/>
    <cellStyle name="Normal 58 4 2 2 2 2 3" xfId="4942"/>
    <cellStyle name="Normal 58 4 2 2 2 3" xfId="6317"/>
    <cellStyle name="Normal 58 4 2 2 2 3 2" xfId="11333"/>
    <cellStyle name="Normal 58 4 2 2 2 4" xfId="9076"/>
    <cellStyle name="Normal 58 4 2 2 2 5" xfId="12787"/>
    <cellStyle name="Normal 58 4 2 2 2 6" xfId="7553"/>
    <cellStyle name="Normal 58 4 2 2 2 7" xfId="4007"/>
    <cellStyle name="Normal 58 4 2 2 3" xfId="1110"/>
    <cellStyle name="Normal 58 4 2 2 3 2" xfId="2519"/>
    <cellStyle name="Normal 58 4 2 2 3 2 2" xfId="10276"/>
    <cellStyle name="Normal 58 4 2 2 3 2 3" xfId="5258"/>
    <cellStyle name="Normal 58 4 2 2 3 3" xfId="6666"/>
    <cellStyle name="Normal 58 4 2 2 3 3 2" xfId="11681"/>
    <cellStyle name="Normal 58 4 2 2 3 4" xfId="9392"/>
    <cellStyle name="Normal 58 4 2 2 3 5" xfId="13135"/>
    <cellStyle name="Normal 58 4 2 2 3 6" xfId="7869"/>
    <cellStyle name="Normal 58 4 2 2 3 7" xfId="4323"/>
    <cellStyle name="Normal 58 4 2 2 4" xfId="1468"/>
    <cellStyle name="Normal 58 4 2 2 4 2" xfId="3027"/>
    <cellStyle name="Normal 58 4 2 2 4 2 2" xfId="10669"/>
    <cellStyle name="Normal 58 4 2 2 4 2 3" xfId="5652"/>
    <cellStyle name="Normal 58 4 2 2 4 3" xfId="7050"/>
    <cellStyle name="Normal 58 4 2 2 4 3 2" xfId="12065"/>
    <cellStyle name="Normal 58 4 2 2 4 4" xfId="8757"/>
    <cellStyle name="Normal 58 4 2 2 4 5" xfId="13519"/>
    <cellStyle name="Normal 58 4 2 2 4 6" xfId="8263"/>
    <cellStyle name="Normal 58 4 2 2 4 7" xfId="3687"/>
    <cellStyle name="Normal 58 4 2 2 5" xfId="1859"/>
    <cellStyle name="Normal 58 4 2 2 5 2" xfId="9643"/>
    <cellStyle name="Normal 58 4 2 2 5 3" xfId="4625"/>
    <cellStyle name="Normal 58 4 2 2 6" xfId="6006"/>
    <cellStyle name="Normal 58 4 2 2 6 2" xfId="11022"/>
    <cellStyle name="Normal 58 4 2 2 7" xfId="8583"/>
    <cellStyle name="Normal 58 4 2 2 8" xfId="12476"/>
    <cellStyle name="Normal 58 4 2 2 9" xfId="7236"/>
    <cellStyle name="Normal 58 4 2 2_Degree data" xfId="3136"/>
    <cellStyle name="Normal 58 4 2 3" xfId="597"/>
    <cellStyle name="Normal 58 4 2 3 2" xfId="1006"/>
    <cellStyle name="Normal 58 4 2 3 2 2" xfId="2171"/>
    <cellStyle name="Normal 58 4 2 3 2 2 2" xfId="10277"/>
    <cellStyle name="Normal 58 4 2 3 2 2 3" xfId="5259"/>
    <cellStyle name="Normal 58 4 2 3 2 3" xfId="6318"/>
    <cellStyle name="Normal 58 4 2 3 2 3 2" xfId="11334"/>
    <cellStyle name="Normal 58 4 2 3 2 4" xfId="9393"/>
    <cellStyle name="Normal 58 4 2 3 2 5" xfId="12788"/>
    <cellStyle name="Normal 58 4 2 3 2 6" xfId="7870"/>
    <cellStyle name="Normal 58 4 2 3 2 7" xfId="4324"/>
    <cellStyle name="Normal 58 4 2 3 3" xfId="1362"/>
    <cellStyle name="Normal 58 4 2 3 3 2" xfId="2520"/>
    <cellStyle name="Normal 58 4 2 3 3 2 2" xfId="10565"/>
    <cellStyle name="Normal 58 4 2 3 3 2 3" xfId="5548"/>
    <cellStyle name="Normal 58 4 2 3 3 3" xfId="6667"/>
    <cellStyle name="Normal 58 4 2 3 3 3 2" xfId="11682"/>
    <cellStyle name="Normal 58 4 2 3 3 4" xfId="8972"/>
    <cellStyle name="Normal 58 4 2 3 3 5" xfId="13136"/>
    <cellStyle name="Normal 58 4 2 3 3 6" xfId="8159"/>
    <cellStyle name="Normal 58 4 2 3 3 7" xfId="3903"/>
    <cellStyle name="Normal 58 4 2 3 4" xfId="2920"/>
    <cellStyle name="Normal 58 4 2 3 4 2" xfId="6946"/>
    <cellStyle name="Normal 58 4 2 3 4 2 2" xfId="11961"/>
    <cellStyle name="Normal 58 4 2 3 4 3" xfId="13415"/>
    <cellStyle name="Normal 58 4 2 3 4 4" xfId="9856"/>
    <cellStyle name="Normal 58 4 2 3 4 5" xfId="4838"/>
    <cellStyle name="Normal 58 4 2 3 5" xfId="1755"/>
    <cellStyle name="Normal 58 4 2 3 5 2" xfId="10918"/>
    <cellStyle name="Normal 58 4 2 3 5 3" xfId="5902"/>
    <cellStyle name="Normal 58 4 2 3 6" xfId="8479"/>
    <cellStyle name="Normal 58 4 2 3 7" xfId="12372"/>
    <cellStyle name="Normal 58 4 2 3 8" xfId="7449"/>
    <cellStyle name="Normal 58 4 2 3 9" xfId="3401"/>
    <cellStyle name="Normal 58 4 2 3_Degree data" xfId="3137"/>
    <cellStyle name="Normal 58 4 2 4" xfId="497"/>
    <cellStyle name="Normal 58 4 2 4 2" xfId="906"/>
    <cellStyle name="Normal 58 4 2 4 2 2" xfId="9756"/>
    <cellStyle name="Normal 58 4 2 4 2 3" xfId="4738"/>
    <cellStyle name="Normal 58 4 2 4 3" xfId="2169"/>
    <cellStyle name="Normal 58 4 2 4 3 2" xfId="11332"/>
    <cellStyle name="Normal 58 4 2 4 3 3" xfId="6316"/>
    <cellStyle name="Normal 58 4 2 4 4" xfId="8872"/>
    <cellStyle name="Normal 58 4 2 4 5" xfId="12786"/>
    <cellStyle name="Normal 58 4 2 4 6" xfId="7349"/>
    <cellStyle name="Normal 58 4 2 4 7" xfId="3803"/>
    <cellStyle name="Normal 58 4 2 5" xfId="773"/>
    <cellStyle name="Normal 58 4 2 5 2" xfId="2518"/>
    <cellStyle name="Normal 58 4 2 5 2 2" xfId="10275"/>
    <cellStyle name="Normal 58 4 2 5 2 3" xfId="5257"/>
    <cellStyle name="Normal 58 4 2 5 3" xfId="6665"/>
    <cellStyle name="Normal 58 4 2 5 3 2" xfId="11680"/>
    <cellStyle name="Normal 58 4 2 5 4" xfId="9391"/>
    <cellStyle name="Normal 58 4 2 5 5" xfId="13134"/>
    <cellStyle name="Normal 58 4 2 5 6" xfId="7868"/>
    <cellStyle name="Normal 58 4 2 5 7" xfId="4322"/>
    <cellStyle name="Normal 58 4 2 6" xfId="1261"/>
    <cellStyle name="Normal 58 4 2 6 2" xfId="2817"/>
    <cellStyle name="Normal 58 4 2 6 2 2" xfId="10465"/>
    <cellStyle name="Normal 58 4 2 6 2 3" xfId="5448"/>
    <cellStyle name="Normal 58 4 2 6 3" xfId="6846"/>
    <cellStyle name="Normal 58 4 2 6 3 2" xfId="11861"/>
    <cellStyle name="Normal 58 4 2 6 4" xfId="8652"/>
    <cellStyle name="Normal 58 4 2 6 5" xfId="13315"/>
    <cellStyle name="Normal 58 4 2 6 6" xfId="8059"/>
    <cellStyle name="Normal 58 4 2 6 7" xfId="3579"/>
    <cellStyle name="Normal 58 4 2 7" xfId="1655"/>
    <cellStyle name="Normal 58 4 2 7 2" xfId="9539"/>
    <cellStyle name="Normal 58 4 2 7 3" xfId="4521"/>
    <cellStyle name="Normal 58 4 2 8" xfId="5802"/>
    <cellStyle name="Normal 58 4 2 8 2" xfId="10818"/>
    <cellStyle name="Normal 58 4 2 9" xfId="8379"/>
    <cellStyle name="Normal 58 4 2_Degree data" xfId="3135"/>
    <cellStyle name="Normal 58 4 3" xfId="197"/>
    <cellStyle name="Normal 58 4 3 10" xfId="7175"/>
    <cellStyle name="Normal 58 4 3 11" xfId="3344"/>
    <cellStyle name="Normal 58 4 3 2" xfId="389"/>
    <cellStyle name="Normal 58 4 3 2 2" xfId="640"/>
    <cellStyle name="Normal 58 4 3 2 2 2" xfId="2173"/>
    <cellStyle name="Normal 58 4 3 2 2 2 2" xfId="10279"/>
    <cellStyle name="Normal 58 4 3 2 2 2 3" xfId="5261"/>
    <cellStyle name="Normal 58 4 3 2 2 3" xfId="6320"/>
    <cellStyle name="Normal 58 4 3 2 2 3 2" xfId="11336"/>
    <cellStyle name="Normal 58 4 3 2 2 4" xfId="9395"/>
    <cellStyle name="Normal 58 4 3 2 2 5" xfId="12790"/>
    <cellStyle name="Normal 58 4 3 2 2 6" xfId="7872"/>
    <cellStyle name="Normal 58 4 3 2 2 7" xfId="4326"/>
    <cellStyle name="Normal 58 4 3 2 3" xfId="1049"/>
    <cellStyle name="Normal 58 4 3 2 3 2" xfId="2522"/>
    <cellStyle name="Normal 58 4 3 2 3 2 2" xfId="10608"/>
    <cellStyle name="Normal 58 4 3 2 3 2 3" xfId="5591"/>
    <cellStyle name="Normal 58 4 3 2 3 3" xfId="6669"/>
    <cellStyle name="Normal 58 4 3 2 3 3 2" xfId="11684"/>
    <cellStyle name="Normal 58 4 3 2 3 4" xfId="9015"/>
    <cellStyle name="Normal 58 4 3 2 3 5" xfId="13138"/>
    <cellStyle name="Normal 58 4 3 2 3 6" xfId="8202"/>
    <cellStyle name="Normal 58 4 3 2 3 7" xfId="3946"/>
    <cellStyle name="Normal 58 4 3 2 4" xfId="1406"/>
    <cellStyle name="Normal 58 4 3 2 4 2" xfId="2964"/>
    <cellStyle name="Normal 58 4 3 2 4 2 2" xfId="12004"/>
    <cellStyle name="Normal 58 4 3 2 4 2 3" xfId="6989"/>
    <cellStyle name="Normal 58 4 3 2 4 3" xfId="13458"/>
    <cellStyle name="Normal 58 4 3 2 4 4" xfId="9899"/>
    <cellStyle name="Normal 58 4 3 2 4 5" xfId="4881"/>
    <cellStyle name="Normal 58 4 3 2 5" xfId="1798"/>
    <cellStyle name="Normal 58 4 3 2 5 2" xfId="10961"/>
    <cellStyle name="Normal 58 4 3 2 5 3" xfId="5945"/>
    <cellStyle name="Normal 58 4 3 2 6" xfId="8522"/>
    <cellStyle name="Normal 58 4 3 2 7" xfId="12415"/>
    <cellStyle name="Normal 58 4 3 2 8" xfId="7492"/>
    <cellStyle name="Normal 58 4 3 2 9" xfId="3444"/>
    <cellStyle name="Normal 58 4 3 2_Degree data" xfId="3139"/>
    <cellStyle name="Normal 58 4 3 3" xfId="540"/>
    <cellStyle name="Normal 58 4 3 3 2" xfId="949"/>
    <cellStyle name="Normal 58 4 3 3 2 2" xfId="9799"/>
    <cellStyle name="Normal 58 4 3 3 2 3" xfId="4781"/>
    <cellStyle name="Normal 58 4 3 3 3" xfId="2172"/>
    <cellStyle name="Normal 58 4 3 3 3 2" xfId="11335"/>
    <cellStyle name="Normal 58 4 3 3 3 3" xfId="6319"/>
    <cellStyle name="Normal 58 4 3 3 4" xfId="8915"/>
    <cellStyle name="Normal 58 4 3 3 5" xfId="12789"/>
    <cellStyle name="Normal 58 4 3 3 6" xfId="7392"/>
    <cellStyle name="Normal 58 4 3 3 7" xfId="3846"/>
    <cellStyle name="Normal 58 4 3 4" xfId="803"/>
    <cellStyle name="Normal 58 4 3 4 2" xfId="2521"/>
    <cellStyle name="Normal 58 4 3 4 2 2" xfId="10278"/>
    <cellStyle name="Normal 58 4 3 4 2 3" xfId="5260"/>
    <cellStyle name="Normal 58 4 3 4 3" xfId="6668"/>
    <cellStyle name="Normal 58 4 3 4 3 2" xfId="11683"/>
    <cellStyle name="Normal 58 4 3 4 4" xfId="9394"/>
    <cellStyle name="Normal 58 4 3 4 5" xfId="13137"/>
    <cellStyle name="Normal 58 4 3 4 6" xfId="7871"/>
    <cellStyle name="Normal 58 4 3 4 7" xfId="4325"/>
    <cellStyle name="Normal 58 4 3 5" xfId="1305"/>
    <cellStyle name="Normal 58 4 3 5 2" xfId="2862"/>
    <cellStyle name="Normal 58 4 3 5 2 2" xfId="10508"/>
    <cellStyle name="Normal 58 4 3 5 2 3" xfId="5491"/>
    <cellStyle name="Normal 58 4 3 5 3" xfId="6889"/>
    <cellStyle name="Normal 58 4 3 5 3 2" xfId="11904"/>
    <cellStyle name="Normal 58 4 3 5 4" xfId="8696"/>
    <cellStyle name="Normal 58 4 3 5 5" xfId="13358"/>
    <cellStyle name="Normal 58 4 3 5 6" xfId="8102"/>
    <cellStyle name="Normal 58 4 3 5 7" xfId="3625"/>
    <cellStyle name="Normal 58 4 3 6" xfId="1698"/>
    <cellStyle name="Normal 58 4 3 6 2" xfId="9582"/>
    <cellStyle name="Normal 58 4 3 6 3" xfId="4564"/>
    <cellStyle name="Normal 58 4 3 7" xfId="5845"/>
    <cellStyle name="Normal 58 4 3 7 2" xfId="10861"/>
    <cellStyle name="Normal 58 4 3 8" xfId="8422"/>
    <cellStyle name="Normal 58 4 3 9" xfId="12315"/>
    <cellStyle name="Normal 58 4 3_Degree data" xfId="3138"/>
    <cellStyle name="Normal 58 4 4" xfId="233"/>
    <cellStyle name="Normal 58 4 4 10" xfId="7223"/>
    <cellStyle name="Normal 58 4 4 11" xfId="3287"/>
    <cellStyle name="Normal 58 4 4 2" xfId="331"/>
    <cellStyle name="Normal 58 4 4 2 2" xfId="688"/>
    <cellStyle name="Normal 58 4 4 2 2 2" xfId="2175"/>
    <cellStyle name="Normal 58 4 4 2 2 2 2" xfId="10281"/>
    <cellStyle name="Normal 58 4 4 2 2 2 3" xfId="5263"/>
    <cellStyle name="Normal 58 4 4 2 2 3" xfId="6322"/>
    <cellStyle name="Normal 58 4 4 2 2 3 2" xfId="11338"/>
    <cellStyle name="Normal 58 4 4 2 2 4" xfId="9397"/>
    <cellStyle name="Normal 58 4 4 2 2 5" xfId="12792"/>
    <cellStyle name="Normal 58 4 4 2 2 6" xfId="7874"/>
    <cellStyle name="Normal 58 4 4 2 2 7" xfId="4328"/>
    <cellStyle name="Normal 58 4 4 2 3" xfId="1097"/>
    <cellStyle name="Normal 58 4 4 2 3 2" xfId="2524"/>
    <cellStyle name="Normal 58 4 4 2 3 2 2" xfId="10656"/>
    <cellStyle name="Normal 58 4 4 2 3 2 3" xfId="5639"/>
    <cellStyle name="Normal 58 4 4 2 3 3" xfId="6671"/>
    <cellStyle name="Normal 58 4 4 2 3 3 2" xfId="11686"/>
    <cellStyle name="Normal 58 4 4 2 3 4" xfId="9063"/>
    <cellStyle name="Normal 58 4 4 2 3 5" xfId="13140"/>
    <cellStyle name="Normal 58 4 4 2 3 6" xfId="8250"/>
    <cellStyle name="Normal 58 4 4 2 3 7" xfId="3994"/>
    <cellStyle name="Normal 58 4 4 2 4" xfId="1455"/>
    <cellStyle name="Normal 58 4 4 2 4 2" xfId="3014"/>
    <cellStyle name="Normal 58 4 4 2 4 2 2" xfId="12052"/>
    <cellStyle name="Normal 58 4 4 2 4 2 3" xfId="7037"/>
    <cellStyle name="Normal 58 4 4 2 4 3" xfId="13506"/>
    <cellStyle name="Normal 58 4 4 2 4 4" xfId="9947"/>
    <cellStyle name="Normal 58 4 4 2 4 5" xfId="4929"/>
    <cellStyle name="Normal 58 4 4 2 5" xfId="1846"/>
    <cellStyle name="Normal 58 4 4 2 5 2" xfId="11009"/>
    <cellStyle name="Normal 58 4 4 2 5 3" xfId="5993"/>
    <cellStyle name="Normal 58 4 4 2 6" xfId="8570"/>
    <cellStyle name="Normal 58 4 4 2 7" xfId="12463"/>
    <cellStyle name="Normal 58 4 4 2 8" xfId="7540"/>
    <cellStyle name="Normal 58 4 4 2 9" xfId="3492"/>
    <cellStyle name="Normal 58 4 4 2_Degree data" xfId="3141"/>
    <cellStyle name="Normal 58 4 4 3" xfId="483"/>
    <cellStyle name="Normal 58 4 4 3 2" xfId="2174"/>
    <cellStyle name="Normal 58 4 4 3 2 2" xfId="9742"/>
    <cellStyle name="Normal 58 4 4 3 2 3" xfId="4724"/>
    <cellStyle name="Normal 58 4 4 3 3" xfId="6321"/>
    <cellStyle name="Normal 58 4 4 3 3 2" xfId="11337"/>
    <cellStyle name="Normal 58 4 4 3 4" xfId="8858"/>
    <cellStyle name="Normal 58 4 4 3 5" xfId="12791"/>
    <cellStyle name="Normal 58 4 4 3 6" xfId="7335"/>
    <cellStyle name="Normal 58 4 4 3 7" xfId="3789"/>
    <cellStyle name="Normal 58 4 4 4" xfId="892"/>
    <cellStyle name="Normal 58 4 4 4 2" xfId="2523"/>
    <cellStyle name="Normal 58 4 4 4 2 2" xfId="10280"/>
    <cellStyle name="Normal 58 4 4 4 2 3" xfId="5262"/>
    <cellStyle name="Normal 58 4 4 4 3" xfId="6670"/>
    <cellStyle name="Normal 58 4 4 4 3 2" xfId="11685"/>
    <cellStyle name="Normal 58 4 4 4 4" xfId="9396"/>
    <cellStyle name="Normal 58 4 4 4 5" xfId="13139"/>
    <cellStyle name="Normal 58 4 4 4 6" xfId="7873"/>
    <cellStyle name="Normal 58 4 4 4 7" xfId="4327"/>
    <cellStyle name="Normal 58 4 4 5" xfId="1244"/>
    <cellStyle name="Normal 58 4 4 5 2" xfId="2800"/>
    <cellStyle name="Normal 58 4 4 5 2 2" xfId="10451"/>
    <cellStyle name="Normal 58 4 4 5 2 3" xfId="5434"/>
    <cellStyle name="Normal 58 4 4 5 3" xfId="6832"/>
    <cellStyle name="Normal 58 4 4 5 3 2" xfId="11847"/>
    <cellStyle name="Normal 58 4 4 5 4" xfId="8744"/>
    <cellStyle name="Normal 58 4 4 5 5" xfId="13301"/>
    <cellStyle name="Normal 58 4 4 5 6" xfId="8045"/>
    <cellStyle name="Normal 58 4 4 5 7" xfId="3674"/>
    <cellStyle name="Normal 58 4 4 6" xfId="1641"/>
    <cellStyle name="Normal 58 4 4 6 2" xfId="9630"/>
    <cellStyle name="Normal 58 4 4 6 3" xfId="4612"/>
    <cellStyle name="Normal 58 4 4 7" xfId="5788"/>
    <cellStyle name="Normal 58 4 4 7 2" xfId="10804"/>
    <cellStyle name="Normal 58 4 4 8" xfId="8365"/>
    <cellStyle name="Normal 58 4 4 9" xfId="12258"/>
    <cellStyle name="Normal 58 4 4_Degree data" xfId="3140"/>
    <cellStyle name="Normal 58 4 5" xfId="282"/>
    <cellStyle name="Normal 58 4 5 2" xfId="583"/>
    <cellStyle name="Normal 58 4 5 2 2" xfId="2176"/>
    <cellStyle name="Normal 58 4 5 2 2 2" xfId="10282"/>
    <cellStyle name="Normal 58 4 5 2 2 3" xfId="5264"/>
    <cellStyle name="Normal 58 4 5 2 3" xfId="6323"/>
    <cellStyle name="Normal 58 4 5 2 3 2" xfId="11339"/>
    <cellStyle name="Normal 58 4 5 2 4" xfId="9398"/>
    <cellStyle name="Normal 58 4 5 2 5" xfId="12793"/>
    <cellStyle name="Normal 58 4 5 2 6" xfId="7875"/>
    <cellStyle name="Normal 58 4 5 2 7" xfId="4329"/>
    <cellStyle name="Normal 58 4 5 3" xfId="992"/>
    <cellStyle name="Normal 58 4 5 3 2" xfId="2525"/>
    <cellStyle name="Normal 58 4 5 3 2 2" xfId="10551"/>
    <cellStyle name="Normal 58 4 5 3 2 3" xfId="5534"/>
    <cellStyle name="Normal 58 4 5 3 3" xfId="6672"/>
    <cellStyle name="Normal 58 4 5 3 3 2" xfId="11687"/>
    <cellStyle name="Normal 58 4 5 3 4" xfId="8958"/>
    <cellStyle name="Normal 58 4 5 3 5" xfId="13141"/>
    <cellStyle name="Normal 58 4 5 3 6" xfId="8145"/>
    <cellStyle name="Normal 58 4 5 3 7" xfId="3889"/>
    <cellStyle name="Normal 58 4 5 4" xfId="1348"/>
    <cellStyle name="Normal 58 4 5 4 2" xfId="2906"/>
    <cellStyle name="Normal 58 4 5 4 2 2" xfId="11947"/>
    <cellStyle name="Normal 58 4 5 4 2 3" xfId="6932"/>
    <cellStyle name="Normal 58 4 5 4 3" xfId="13401"/>
    <cellStyle name="Normal 58 4 5 4 4" xfId="9842"/>
    <cellStyle name="Normal 58 4 5 4 5" xfId="4824"/>
    <cellStyle name="Normal 58 4 5 5" xfId="1741"/>
    <cellStyle name="Normal 58 4 5 5 2" xfId="10904"/>
    <cellStyle name="Normal 58 4 5 5 3" xfId="5888"/>
    <cellStyle name="Normal 58 4 5 6" xfId="8465"/>
    <cellStyle name="Normal 58 4 5 7" xfId="12358"/>
    <cellStyle name="Normal 58 4 5 8" xfId="7435"/>
    <cellStyle name="Normal 58 4 5 9" xfId="3387"/>
    <cellStyle name="Normal 58 4 5_Degree data" xfId="3142"/>
    <cellStyle name="Normal 58 4 6" xfId="438"/>
    <cellStyle name="Normal 58 4 6 2" xfId="846"/>
    <cellStyle name="Normal 58 4 6 2 2" xfId="2177"/>
    <cellStyle name="Normal 58 4 6 2 2 2" xfId="10283"/>
    <cellStyle name="Normal 58 4 6 2 2 3" xfId="5265"/>
    <cellStyle name="Normal 58 4 6 2 3" xfId="6324"/>
    <cellStyle name="Normal 58 4 6 2 3 2" xfId="11340"/>
    <cellStyle name="Normal 58 4 6 2 4" xfId="9399"/>
    <cellStyle name="Normal 58 4 6 2 5" xfId="12794"/>
    <cellStyle name="Normal 58 4 6 2 6" xfId="7876"/>
    <cellStyle name="Normal 58 4 6 2 7" xfId="4330"/>
    <cellStyle name="Normal 58 4 6 3" xfId="1197"/>
    <cellStyle name="Normal 58 4 6 3 2" xfId="2526"/>
    <cellStyle name="Normal 58 4 6 3 2 2" xfId="10406"/>
    <cellStyle name="Normal 58 4 6 3 2 3" xfId="5389"/>
    <cellStyle name="Normal 58 4 6 3 3" xfId="6673"/>
    <cellStyle name="Normal 58 4 6 3 3 2" xfId="11688"/>
    <cellStyle name="Normal 58 4 6 3 4" xfId="9494"/>
    <cellStyle name="Normal 58 4 6 3 5" xfId="13142"/>
    <cellStyle name="Normal 58 4 6 3 6" xfId="8000"/>
    <cellStyle name="Normal 58 4 6 3 7" xfId="4476"/>
    <cellStyle name="Normal 58 4 6 4" xfId="2749"/>
    <cellStyle name="Normal 58 4 6 4 2" xfId="6787"/>
    <cellStyle name="Normal 58 4 6 4 2 2" xfId="11802"/>
    <cellStyle name="Normal 58 4 6 4 3" xfId="13256"/>
    <cellStyle name="Normal 58 4 6 4 4" xfId="9697"/>
    <cellStyle name="Normal 58 4 6 4 5" xfId="4679"/>
    <cellStyle name="Normal 58 4 6 5" xfId="1596"/>
    <cellStyle name="Normal 58 4 6 5 2" xfId="10757"/>
    <cellStyle name="Normal 58 4 6 5 3" xfId="5741"/>
    <cellStyle name="Normal 58 4 6 6" xfId="8813"/>
    <cellStyle name="Normal 58 4 6 7" xfId="12213"/>
    <cellStyle name="Normal 58 4 6 8" xfId="7290"/>
    <cellStyle name="Normal 58 4 6 9" xfId="3744"/>
    <cellStyle name="Normal 58 4 6_Degree data" xfId="3143"/>
    <cellStyle name="Normal 58 4 7" xfId="749"/>
    <cellStyle name="Normal 58 4 7 2" xfId="2168"/>
    <cellStyle name="Normal 58 4 7 2 2" xfId="10274"/>
    <cellStyle name="Normal 58 4 7 2 3" xfId="5256"/>
    <cellStyle name="Normal 58 4 7 3" xfId="6315"/>
    <cellStyle name="Normal 58 4 7 3 2" xfId="11331"/>
    <cellStyle name="Normal 58 4 7 4" xfId="9390"/>
    <cellStyle name="Normal 58 4 7 5" xfId="12785"/>
    <cellStyle name="Normal 58 4 7 6" xfId="7867"/>
    <cellStyle name="Normal 58 4 7 7" xfId="4321"/>
    <cellStyle name="Normal 58 4 8" xfId="1153"/>
    <cellStyle name="Normal 58 4 8 2" xfId="2517"/>
    <cellStyle name="Normal 58 4 8 2 2" xfId="10363"/>
    <cellStyle name="Normal 58 4 8 2 3" xfId="5346"/>
    <cellStyle name="Normal 58 4 8 3" xfId="6664"/>
    <cellStyle name="Normal 58 4 8 3 2" xfId="11679"/>
    <cellStyle name="Normal 58 4 8 4" xfId="8638"/>
    <cellStyle name="Normal 58 4 8 5" xfId="13133"/>
    <cellStyle name="Normal 58 4 8 6" xfId="7957"/>
    <cellStyle name="Normal 58 4 8 7" xfId="3562"/>
    <cellStyle name="Normal 58 4 9" xfId="2678"/>
    <cellStyle name="Normal 58 4 9 2" xfId="6744"/>
    <cellStyle name="Normal 58 4 9 2 2" xfId="11759"/>
    <cellStyle name="Normal 58 4 9 3" xfId="13213"/>
    <cellStyle name="Normal 58 4 9 4" xfId="9525"/>
    <cellStyle name="Normal 58 4 9 5" xfId="4507"/>
    <cellStyle name="Normal 58 4_Degree data" xfId="3134"/>
    <cellStyle name="Normal 58 5" xfId="86"/>
    <cellStyle name="Normal 58 5 10" xfId="1536"/>
    <cellStyle name="Normal 58 5 10 2" xfId="8335"/>
    <cellStyle name="Normal 58 5 11" xfId="12153"/>
    <cellStyle name="Normal 58 5 12" xfId="7145"/>
    <cellStyle name="Normal 58 5 13" xfId="3257"/>
    <cellStyle name="Normal 58 5 2" xfId="210"/>
    <cellStyle name="Normal 58 5 2 10" xfId="7188"/>
    <cellStyle name="Normal 58 5 2 11" xfId="3357"/>
    <cellStyle name="Normal 58 5 2 2" xfId="403"/>
    <cellStyle name="Normal 58 5 2 2 2" xfId="653"/>
    <cellStyle name="Normal 58 5 2 2 2 2" xfId="2180"/>
    <cellStyle name="Normal 58 5 2 2 2 2 2" xfId="10286"/>
    <cellStyle name="Normal 58 5 2 2 2 2 3" xfId="5268"/>
    <cellStyle name="Normal 58 5 2 2 2 3" xfId="6327"/>
    <cellStyle name="Normal 58 5 2 2 2 3 2" xfId="11343"/>
    <cellStyle name="Normal 58 5 2 2 2 4" xfId="9402"/>
    <cellStyle name="Normal 58 5 2 2 2 5" xfId="12797"/>
    <cellStyle name="Normal 58 5 2 2 2 6" xfId="7879"/>
    <cellStyle name="Normal 58 5 2 2 2 7" xfId="4333"/>
    <cellStyle name="Normal 58 5 2 2 3" xfId="1062"/>
    <cellStyle name="Normal 58 5 2 2 3 2" xfId="2529"/>
    <cellStyle name="Normal 58 5 2 2 3 2 2" xfId="10621"/>
    <cellStyle name="Normal 58 5 2 2 3 2 3" xfId="5604"/>
    <cellStyle name="Normal 58 5 2 2 3 3" xfId="6676"/>
    <cellStyle name="Normal 58 5 2 2 3 3 2" xfId="11691"/>
    <cellStyle name="Normal 58 5 2 2 3 4" xfId="9028"/>
    <cellStyle name="Normal 58 5 2 2 3 5" xfId="13145"/>
    <cellStyle name="Normal 58 5 2 2 3 6" xfId="8215"/>
    <cellStyle name="Normal 58 5 2 2 3 7" xfId="3959"/>
    <cellStyle name="Normal 58 5 2 2 4" xfId="1420"/>
    <cellStyle name="Normal 58 5 2 2 4 2" xfId="2978"/>
    <cellStyle name="Normal 58 5 2 2 4 2 2" xfId="12017"/>
    <cellStyle name="Normal 58 5 2 2 4 2 3" xfId="7002"/>
    <cellStyle name="Normal 58 5 2 2 4 3" xfId="13471"/>
    <cellStyle name="Normal 58 5 2 2 4 4" xfId="9912"/>
    <cellStyle name="Normal 58 5 2 2 4 5" xfId="4894"/>
    <cellStyle name="Normal 58 5 2 2 5" xfId="1811"/>
    <cellStyle name="Normal 58 5 2 2 5 2" xfId="10974"/>
    <cellStyle name="Normal 58 5 2 2 5 3" xfId="5958"/>
    <cellStyle name="Normal 58 5 2 2 6" xfId="8535"/>
    <cellStyle name="Normal 58 5 2 2 7" xfId="12428"/>
    <cellStyle name="Normal 58 5 2 2 8" xfId="7505"/>
    <cellStyle name="Normal 58 5 2 2 9" xfId="3457"/>
    <cellStyle name="Normal 58 5 2 2_Degree data" xfId="3146"/>
    <cellStyle name="Normal 58 5 2 3" xfId="553"/>
    <cellStyle name="Normal 58 5 2 3 2" xfId="962"/>
    <cellStyle name="Normal 58 5 2 3 2 2" xfId="9812"/>
    <cellStyle name="Normal 58 5 2 3 2 3" xfId="4794"/>
    <cellStyle name="Normal 58 5 2 3 3" xfId="2179"/>
    <cellStyle name="Normal 58 5 2 3 3 2" xfId="11342"/>
    <cellStyle name="Normal 58 5 2 3 3 3" xfId="6326"/>
    <cellStyle name="Normal 58 5 2 3 4" xfId="8928"/>
    <cellStyle name="Normal 58 5 2 3 5" xfId="12796"/>
    <cellStyle name="Normal 58 5 2 3 6" xfId="7405"/>
    <cellStyle name="Normal 58 5 2 3 7" xfId="3859"/>
    <cellStyle name="Normal 58 5 2 4" xfId="816"/>
    <cellStyle name="Normal 58 5 2 4 2" xfId="2528"/>
    <cellStyle name="Normal 58 5 2 4 2 2" xfId="10285"/>
    <cellStyle name="Normal 58 5 2 4 2 3" xfId="5267"/>
    <cellStyle name="Normal 58 5 2 4 3" xfId="6675"/>
    <cellStyle name="Normal 58 5 2 4 3 2" xfId="11690"/>
    <cellStyle name="Normal 58 5 2 4 4" xfId="9401"/>
    <cellStyle name="Normal 58 5 2 4 5" xfId="13144"/>
    <cellStyle name="Normal 58 5 2 4 6" xfId="7878"/>
    <cellStyle name="Normal 58 5 2 4 7" xfId="4332"/>
    <cellStyle name="Normal 58 5 2 5" xfId="1318"/>
    <cellStyle name="Normal 58 5 2 5 2" xfId="2876"/>
    <cellStyle name="Normal 58 5 2 5 2 2" xfId="10521"/>
    <cellStyle name="Normal 58 5 2 5 2 3" xfId="5504"/>
    <cellStyle name="Normal 58 5 2 5 3" xfId="6902"/>
    <cellStyle name="Normal 58 5 2 5 3 2" xfId="11917"/>
    <cellStyle name="Normal 58 5 2 5 4" xfId="8709"/>
    <cellStyle name="Normal 58 5 2 5 5" xfId="13371"/>
    <cellStyle name="Normal 58 5 2 5 6" xfId="8115"/>
    <cellStyle name="Normal 58 5 2 5 7" xfId="3639"/>
    <cellStyle name="Normal 58 5 2 6" xfId="1711"/>
    <cellStyle name="Normal 58 5 2 6 2" xfId="9595"/>
    <cellStyle name="Normal 58 5 2 6 3" xfId="4577"/>
    <cellStyle name="Normal 58 5 2 7" xfId="5858"/>
    <cellStyle name="Normal 58 5 2 7 2" xfId="10874"/>
    <cellStyle name="Normal 58 5 2 8" xfId="8435"/>
    <cellStyle name="Normal 58 5 2 9" xfId="12328"/>
    <cellStyle name="Normal 58 5 2_Degree data" xfId="3145"/>
    <cellStyle name="Normal 58 5 3" xfId="246"/>
    <cellStyle name="Normal 58 5 3 10" xfId="7249"/>
    <cellStyle name="Normal 58 5 3 11" xfId="3314"/>
    <cellStyle name="Normal 58 5 3 2" xfId="359"/>
    <cellStyle name="Normal 58 5 3 2 2" xfId="714"/>
    <cellStyle name="Normal 58 5 3 2 2 2" xfId="2182"/>
    <cellStyle name="Normal 58 5 3 2 2 2 2" xfId="10288"/>
    <cellStyle name="Normal 58 5 3 2 2 2 3" xfId="5270"/>
    <cellStyle name="Normal 58 5 3 2 2 3" xfId="6329"/>
    <cellStyle name="Normal 58 5 3 2 2 3 2" xfId="11345"/>
    <cellStyle name="Normal 58 5 3 2 2 4" xfId="9404"/>
    <cellStyle name="Normal 58 5 3 2 2 5" xfId="12799"/>
    <cellStyle name="Normal 58 5 3 2 2 6" xfId="7881"/>
    <cellStyle name="Normal 58 5 3 2 2 7" xfId="4335"/>
    <cellStyle name="Normal 58 5 3 2 3" xfId="1123"/>
    <cellStyle name="Normal 58 5 3 2 3 2" xfId="2531"/>
    <cellStyle name="Normal 58 5 3 2 3 2 2" xfId="10682"/>
    <cellStyle name="Normal 58 5 3 2 3 2 3" xfId="5665"/>
    <cellStyle name="Normal 58 5 3 2 3 3" xfId="6678"/>
    <cellStyle name="Normal 58 5 3 2 3 3 2" xfId="11693"/>
    <cellStyle name="Normal 58 5 3 2 3 4" xfId="9089"/>
    <cellStyle name="Normal 58 5 3 2 3 5" xfId="13147"/>
    <cellStyle name="Normal 58 5 3 2 3 6" xfId="8276"/>
    <cellStyle name="Normal 58 5 3 2 3 7" xfId="4020"/>
    <cellStyle name="Normal 58 5 3 2 4" xfId="1481"/>
    <cellStyle name="Normal 58 5 3 2 4 2" xfId="3040"/>
    <cellStyle name="Normal 58 5 3 2 4 2 2" xfId="12078"/>
    <cellStyle name="Normal 58 5 3 2 4 2 3" xfId="7063"/>
    <cellStyle name="Normal 58 5 3 2 4 3" xfId="13532"/>
    <cellStyle name="Normal 58 5 3 2 4 4" xfId="9973"/>
    <cellStyle name="Normal 58 5 3 2 4 5" xfId="4955"/>
    <cellStyle name="Normal 58 5 3 2 5" xfId="1872"/>
    <cellStyle name="Normal 58 5 3 2 5 2" xfId="11035"/>
    <cellStyle name="Normal 58 5 3 2 5 3" xfId="6019"/>
    <cellStyle name="Normal 58 5 3 2 6" xfId="8596"/>
    <cellStyle name="Normal 58 5 3 2 7" xfId="12489"/>
    <cellStyle name="Normal 58 5 3 2 8" xfId="7566"/>
    <cellStyle name="Normal 58 5 3 2 9" xfId="3518"/>
    <cellStyle name="Normal 58 5 3 2_Degree data" xfId="3148"/>
    <cellStyle name="Normal 58 5 3 3" xfId="510"/>
    <cellStyle name="Normal 58 5 3 3 2" xfId="2181"/>
    <cellStyle name="Normal 58 5 3 3 2 2" xfId="9769"/>
    <cellStyle name="Normal 58 5 3 3 2 3" xfId="4751"/>
    <cellStyle name="Normal 58 5 3 3 3" xfId="6328"/>
    <cellStyle name="Normal 58 5 3 3 3 2" xfId="11344"/>
    <cellStyle name="Normal 58 5 3 3 4" xfId="8885"/>
    <cellStyle name="Normal 58 5 3 3 5" xfId="12798"/>
    <cellStyle name="Normal 58 5 3 3 6" xfId="7362"/>
    <cellStyle name="Normal 58 5 3 3 7" xfId="3816"/>
    <cellStyle name="Normal 58 5 3 4" xfId="919"/>
    <cellStyle name="Normal 58 5 3 4 2" xfId="2530"/>
    <cellStyle name="Normal 58 5 3 4 2 2" xfId="10287"/>
    <cellStyle name="Normal 58 5 3 4 2 3" xfId="5269"/>
    <cellStyle name="Normal 58 5 3 4 3" xfId="6677"/>
    <cellStyle name="Normal 58 5 3 4 3 2" xfId="11692"/>
    <cellStyle name="Normal 58 5 3 4 4" xfId="9403"/>
    <cellStyle name="Normal 58 5 3 4 5" xfId="13146"/>
    <cellStyle name="Normal 58 5 3 4 6" xfId="7880"/>
    <cellStyle name="Normal 58 5 3 4 7" xfId="4334"/>
    <cellStyle name="Normal 58 5 3 5" xfId="1274"/>
    <cellStyle name="Normal 58 5 3 5 2" xfId="2831"/>
    <cellStyle name="Normal 58 5 3 5 2 2" xfId="10478"/>
    <cellStyle name="Normal 58 5 3 5 2 3" xfId="5461"/>
    <cellStyle name="Normal 58 5 3 5 3" xfId="6859"/>
    <cellStyle name="Normal 58 5 3 5 3 2" xfId="11874"/>
    <cellStyle name="Normal 58 5 3 5 4" xfId="8770"/>
    <cellStyle name="Normal 58 5 3 5 5" xfId="13328"/>
    <cellStyle name="Normal 58 5 3 5 6" xfId="8072"/>
    <cellStyle name="Normal 58 5 3 5 7" xfId="3700"/>
    <cellStyle name="Normal 58 5 3 6" xfId="1668"/>
    <cellStyle name="Normal 58 5 3 6 2" xfId="9656"/>
    <cellStyle name="Normal 58 5 3 6 3" xfId="4638"/>
    <cellStyle name="Normal 58 5 3 7" xfId="5815"/>
    <cellStyle name="Normal 58 5 3 7 2" xfId="10831"/>
    <cellStyle name="Normal 58 5 3 8" xfId="8392"/>
    <cellStyle name="Normal 58 5 3 9" xfId="12285"/>
    <cellStyle name="Normal 58 5 3_Degree data" xfId="3147"/>
    <cellStyle name="Normal 58 5 4" xfId="299"/>
    <cellStyle name="Normal 58 5 4 2" xfId="610"/>
    <cellStyle name="Normal 58 5 4 2 2" xfId="2183"/>
    <cellStyle name="Normal 58 5 4 2 2 2" xfId="10289"/>
    <cellStyle name="Normal 58 5 4 2 2 3" xfId="5271"/>
    <cellStyle name="Normal 58 5 4 2 3" xfId="6330"/>
    <cellStyle name="Normal 58 5 4 2 3 2" xfId="11346"/>
    <cellStyle name="Normal 58 5 4 2 4" xfId="9405"/>
    <cellStyle name="Normal 58 5 4 2 5" xfId="12800"/>
    <cellStyle name="Normal 58 5 4 2 6" xfId="7882"/>
    <cellStyle name="Normal 58 5 4 2 7" xfId="4336"/>
    <cellStyle name="Normal 58 5 4 3" xfId="1019"/>
    <cellStyle name="Normal 58 5 4 3 2" xfId="2532"/>
    <cellStyle name="Normal 58 5 4 3 2 2" xfId="10578"/>
    <cellStyle name="Normal 58 5 4 3 2 3" xfId="5561"/>
    <cellStyle name="Normal 58 5 4 3 3" xfId="6679"/>
    <cellStyle name="Normal 58 5 4 3 3 2" xfId="11694"/>
    <cellStyle name="Normal 58 5 4 3 4" xfId="8985"/>
    <cellStyle name="Normal 58 5 4 3 5" xfId="13148"/>
    <cellStyle name="Normal 58 5 4 3 6" xfId="8172"/>
    <cellStyle name="Normal 58 5 4 3 7" xfId="3916"/>
    <cellStyle name="Normal 58 5 4 4" xfId="1375"/>
    <cellStyle name="Normal 58 5 4 4 2" xfId="2933"/>
    <cellStyle name="Normal 58 5 4 4 2 2" xfId="11974"/>
    <cellStyle name="Normal 58 5 4 4 2 3" xfId="6959"/>
    <cellStyle name="Normal 58 5 4 4 3" xfId="13428"/>
    <cellStyle name="Normal 58 5 4 4 4" xfId="9869"/>
    <cellStyle name="Normal 58 5 4 4 5" xfId="4851"/>
    <cellStyle name="Normal 58 5 4 5" xfId="1768"/>
    <cellStyle name="Normal 58 5 4 5 2" xfId="10931"/>
    <cellStyle name="Normal 58 5 4 5 3" xfId="5915"/>
    <cellStyle name="Normal 58 5 4 6" xfId="8492"/>
    <cellStyle name="Normal 58 5 4 7" xfId="12385"/>
    <cellStyle name="Normal 58 5 4 8" xfId="7462"/>
    <cellStyle name="Normal 58 5 4 9" xfId="3414"/>
    <cellStyle name="Normal 58 5 4_Degree data" xfId="3149"/>
    <cellStyle name="Normal 58 5 5" xfId="453"/>
    <cellStyle name="Normal 58 5 5 2" xfId="862"/>
    <cellStyle name="Normal 58 5 5 2 2" xfId="2184"/>
    <cellStyle name="Normal 58 5 5 2 2 2" xfId="10290"/>
    <cellStyle name="Normal 58 5 5 2 2 3" xfId="5272"/>
    <cellStyle name="Normal 58 5 5 2 3" xfId="6331"/>
    <cellStyle name="Normal 58 5 5 2 3 2" xfId="11347"/>
    <cellStyle name="Normal 58 5 5 2 4" xfId="9406"/>
    <cellStyle name="Normal 58 5 5 2 5" xfId="12801"/>
    <cellStyle name="Normal 58 5 5 2 6" xfId="7883"/>
    <cellStyle name="Normal 58 5 5 2 7" xfId="4337"/>
    <cellStyle name="Normal 58 5 5 3" xfId="1212"/>
    <cellStyle name="Normal 58 5 5 3 2" xfId="2533"/>
    <cellStyle name="Normal 58 5 5 3 2 2" xfId="10421"/>
    <cellStyle name="Normal 58 5 5 3 2 3" xfId="5404"/>
    <cellStyle name="Normal 58 5 5 3 3" xfId="6680"/>
    <cellStyle name="Normal 58 5 5 3 3 2" xfId="11695"/>
    <cellStyle name="Normal 58 5 5 3 4" xfId="9495"/>
    <cellStyle name="Normal 58 5 5 3 5" xfId="13149"/>
    <cellStyle name="Normal 58 5 5 3 6" xfId="8015"/>
    <cellStyle name="Normal 58 5 5 3 7" xfId="4477"/>
    <cellStyle name="Normal 58 5 5 4" xfId="2766"/>
    <cellStyle name="Normal 58 5 5 4 2" xfId="6802"/>
    <cellStyle name="Normal 58 5 5 4 2 2" xfId="11817"/>
    <cellStyle name="Normal 58 5 5 4 3" xfId="13271"/>
    <cellStyle name="Normal 58 5 5 4 4" xfId="9712"/>
    <cellStyle name="Normal 58 5 5 4 5" xfId="4694"/>
    <cellStyle name="Normal 58 5 5 5" xfId="1611"/>
    <cellStyle name="Normal 58 5 5 5 2" xfId="10772"/>
    <cellStyle name="Normal 58 5 5 5 3" xfId="5756"/>
    <cellStyle name="Normal 58 5 5 6" xfId="8828"/>
    <cellStyle name="Normal 58 5 5 7" xfId="12228"/>
    <cellStyle name="Normal 58 5 5 8" xfId="7305"/>
    <cellStyle name="Normal 58 5 5 9" xfId="3759"/>
    <cellStyle name="Normal 58 5 5_Degree data" xfId="3150"/>
    <cellStyle name="Normal 58 5 6" xfId="786"/>
    <cellStyle name="Normal 58 5 6 2" xfId="2178"/>
    <cellStyle name="Normal 58 5 6 2 2" xfId="10284"/>
    <cellStyle name="Normal 58 5 6 2 3" xfId="5266"/>
    <cellStyle name="Normal 58 5 6 3" xfId="6325"/>
    <cellStyle name="Normal 58 5 6 3 2" xfId="11341"/>
    <cellStyle name="Normal 58 5 6 4" xfId="9400"/>
    <cellStyle name="Normal 58 5 6 5" xfId="12795"/>
    <cellStyle name="Normal 58 5 6 6" xfId="7877"/>
    <cellStyle name="Normal 58 5 6 7" xfId="4331"/>
    <cellStyle name="Normal 58 5 7" xfId="1166"/>
    <cellStyle name="Normal 58 5 7 2" xfId="2527"/>
    <cellStyle name="Normal 58 5 7 2 2" xfId="10376"/>
    <cellStyle name="Normal 58 5 7 2 3" xfId="5359"/>
    <cellStyle name="Normal 58 5 7 3" xfId="6674"/>
    <cellStyle name="Normal 58 5 7 3 2" xfId="11689"/>
    <cellStyle name="Normal 58 5 7 4" xfId="8666"/>
    <cellStyle name="Normal 58 5 7 5" xfId="13143"/>
    <cellStyle name="Normal 58 5 7 6" xfId="7970"/>
    <cellStyle name="Normal 58 5 7 7" xfId="3593"/>
    <cellStyle name="Normal 58 5 8" xfId="2717"/>
    <cellStyle name="Normal 58 5 8 2" xfId="6757"/>
    <cellStyle name="Normal 58 5 8 2 2" xfId="11772"/>
    <cellStyle name="Normal 58 5 8 3" xfId="13226"/>
    <cellStyle name="Normal 58 5 8 4" xfId="9552"/>
    <cellStyle name="Normal 58 5 8 5" xfId="4534"/>
    <cellStyle name="Normal 58 5 9" xfId="1566"/>
    <cellStyle name="Normal 58 5 9 2" xfId="12183"/>
    <cellStyle name="Normal 58 5 9 3" xfId="10727"/>
    <cellStyle name="Normal 58 5 9 4" xfId="5711"/>
    <cellStyle name="Normal 58 5_Degree data" xfId="3144"/>
    <cellStyle name="Normal 58 6" xfId="150"/>
    <cellStyle name="Normal 58 6 10" xfId="8313"/>
    <cellStyle name="Normal 58 6 11" xfId="12133"/>
    <cellStyle name="Normal 58 6 12" xfId="7125"/>
    <cellStyle name="Normal 58 6 13" xfId="3234"/>
    <cellStyle name="Normal 58 6 2" xfId="382"/>
    <cellStyle name="Normal 58 6 2 10" xfId="7168"/>
    <cellStyle name="Normal 58 6 2 11" xfId="3337"/>
    <cellStyle name="Normal 58 6 2 2" xfId="633"/>
    <cellStyle name="Normal 58 6 2 2 2" xfId="1042"/>
    <cellStyle name="Normal 58 6 2 2 2 2" xfId="2187"/>
    <cellStyle name="Normal 58 6 2 2 2 2 2" xfId="10293"/>
    <cellStyle name="Normal 58 6 2 2 2 2 3" xfId="5275"/>
    <cellStyle name="Normal 58 6 2 2 2 3" xfId="6334"/>
    <cellStyle name="Normal 58 6 2 2 2 3 2" xfId="11350"/>
    <cellStyle name="Normal 58 6 2 2 2 4" xfId="9409"/>
    <cellStyle name="Normal 58 6 2 2 2 5" xfId="12804"/>
    <cellStyle name="Normal 58 6 2 2 2 6" xfId="7886"/>
    <cellStyle name="Normal 58 6 2 2 2 7" xfId="4340"/>
    <cellStyle name="Normal 58 6 2 2 3" xfId="1399"/>
    <cellStyle name="Normal 58 6 2 2 3 2" xfId="2536"/>
    <cellStyle name="Normal 58 6 2 2 3 2 2" xfId="10601"/>
    <cellStyle name="Normal 58 6 2 2 3 2 3" xfId="5584"/>
    <cellStyle name="Normal 58 6 2 2 3 3" xfId="6683"/>
    <cellStyle name="Normal 58 6 2 2 3 3 2" xfId="11698"/>
    <cellStyle name="Normal 58 6 2 2 3 4" xfId="9008"/>
    <cellStyle name="Normal 58 6 2 2 3 5" xfId="13152"/>
    <cellStyle name="Normal 58 6 2 2 3 6" xfId="8195"/>
    <cellStyle name="Normal 58 6 2 2 3 7" xfId="3939"/>
    <cellStyle name="Normal 58 6 2 2 4" xfId="2957"/>
    <cellStyle name="Normal 58 6 2 2 4 2" xfId="6982"/>
    <cellStyle name="Normal 58 6 2 2 4 2 2" xfId="11997"/>
    <cellStyle name="Normal 58 6 2 2 4 3" xfId="13451"/>
    <cellStyle name="Normal 58 6 2 2 4 4" xfId="9892"/>
    <cellStyle name="Normal 58 6 2 2 4 5" xfId="4874"/>
    <cellStyle name="Normal 58 6 2 2 5" xfId="1791"/>
    <cellStyle name="Normal 58 6 2 2 5 2" xfId="10954"/>
    <cellStyle name="Normal 58 6 2 2 5 3" xfId="5938"/>
    <cellStyle name="Normal 58 6 2 2 6" xfId="8515"/>
    <cellStyle name="Normal 58 6 2 2 7" xfId="12408"/>
    <cellStyle name="Normal 58 6 2 2 8" xfId="7485"/>
    <cellStyle name="Normal 58 6 2 2 9" xfId="3437"/>
    <cellStyle name="Normal 58 6 2 2_Degree data" xfId="3153"/>
    <cellStyle name="Normal 58 6 2 3" xfId="533"/>
    <cellStyle name="Normal 58 6 2 3 2" xfId="2186"/>
    <cellStyle name="Normal 58 6 2 3 2 2" xfId="9792"/>
    <cellStyle name="Normal 58 6 2 3 2 3" xfId="4774"/>
    <cellStyle name="Normal 58 6 2 3 3" xfId="6333"/>
    <cellStyle name="Normal 58 6 2 3 3 2" xfId="11349"/>
    <cellStyle name="Normal 58 6 2 3 4" xfId="8908"/>
    <cellStyle name="Normal 58 6 2 3 5" xfId="12803"/>
    <cellStyle name="Normal 58 6 2 3 6" xfId="7385"/>
    <cellStyle name="Normal 58 6 2 3 7" xfId="3839"/>
    <cellStyle name="Normal 58 6 2 4" xfId="942"/>
    <cellStyle name="Normal 58 6 2 4 2" xfId="2535"/>
    <cellStyle name="Normal 58 6 2 4 2 2" xfId="10292"/>
    <cellStyle name="Normal 58 6 2 4 2 3" xfId="5274"/>
    <cellStyle name="Normal 58 6 2 4 3" xfId="6682"/>
    <cellStyle name="Normal 58 6 2 4 3 2" xfId="11697"/>
    <cellStyle name="Normal 58 6 2 4 4" xfId="9408"/>
    <cellStyle name="Normal 58 6 2 4 5" xfId="13151"/>
    <cellStyle name="Normal 58 6 2 4 6" xfId="7885"/>
    <cellStyle name="Normal 58 6 2 4 7" xfId="4339"/>
    <cellStyle name="Normal 58 6 2 5" xfId="1298"/>
    <cellStyle name="Normal 58 6 2 5 2" xfId="2855"/>
    <cellStyle name="Normal 58 6 2 5 2 2" xfId="10501"/>
    <cellStyle name="Normal 58 6 2 5 2 3" xfId="5484"/>
    <cellStyle name="Normal 58 6 2 5 3" xfId="6882"/>
    <cellStyle name="Normal 58 6 2 5 3 2" xfId="11897"/>
    <cellStyle name="Normal 58 6 2 5 4" xfId="8689"/>
    <cellStyle name="Normal 58 6 2 5 5" xfId="13351"/>
    <cellStyle name="Normal 58 6 2 5 6" xfId="8095"/>
    <cellStyle name="Normal 58 6 2 5 7" xfId="3618"/>
    <cellStyle name="Normal 58 6 2 6" xfId="1691"/>
    <cellStyle name="Normal 58 6 2 6 2" xfId="9575"/>
    <cellStyle name="Normal 58 6 2 6 3" xfId="4557"/>
    <cellStyle name="Normal 58 6 2 7" xfId="5838"/>
    <cellStyle name="Normal 58 6 2 7 2" xfId="10854"/>
    <cellStyle name="Normal 58 6 2 8" xfId="8415"/>
    <cellStyle name="Normal 58 6 2 9" xfId="12308"/>
    <cellStyle name="Normal 58 6 2_Degree data" xfId="3152"/>
    <cellStyle name="Normal 58 6 3" xfId="338"/>
    <cellStyle name="Normal 58 6 3 10" xfId="7230"/>
    <cellStyle name="Normal 58 6 3 11" xfId="3294"/>
    <cellStyle name="Normal 58 6 3 2" xfId="695"/>
    <cellStyle name="Normal 58 6 3 2 2" xfId="1104"/>
    <cellStyle name="Normal 58 6 3 2 2 2" xfId="2189"/>
    <cellStyle name="Normal 58 6 3 2 2 2 2" xfId="10295"/>
    <cellStyle name="Normal 58 6 3 2 2 2 3" xfId="5277"/>
    <cellStyle name="Normal 58 6 3 2 2 3" xfId="6336"/>
    <cellStyle name="Normal 58 6 3 2 2 3 2" xfId="11352"/>
    <cellStyle name="Normal 58 6 3 2 2 4" xfId="9411"/>
    <cellStyle name="Normal 58 6 3 2 2 5" xfId="12806"/>
    <cellStyle name="Normal 58 6 3 2 2 6" xfId="7888"/>
    <cellStyle name="Normal 58 6 3 2 2 7" xfId="4342"/>
    <cellStyle name="Normal 58 6 3 2 3" xfId="1462"/>
    <cellStyle name="Normal 58 6 3 2 3 2" xfId="2538"/>
    <cellStyle name="Normal 58 6 3 2 3 2 2" xfId="10663"/>
    <cellStyle name="Normal 58 6 3 2 3 2 3" xfId="5646"/>
    <cellStyle name="Normal 58 6 3 2 3 3" xfId="6685"/>
    <cellStyle name="Normal 58 6 3 2 3 3 2" xfId="11700"/>
    <cellStyle name="Normal 58 6 3 2 3 4" xfId="9070"/>
    <cellStyle name="Normal 58 6 3 2 3 5" xfId="13154"/>
    <cellStyle name="Normal 58 6 3 2 3 6" xfId="8257"/>
    <cellStyle name="Normal 58 6 3 2 3 7" xfId="4001"/>
    <cellStyle name="Normal 58 6 3 2 4" xfId="3021"/>
    <cellStyle name="Normal 58 6 3 2 4 2" xfId="7044"/>
    <cellStyle name="Normal 58 6 3 2 4 2 2" xfId="12059"/>
    <cellStyle name="Normal 58 6 3 2 4 3" xfId="13513"/>
    <cellStyle name="Normal 58 6 3 2 4 4" xfId="9954"/>
    <cellStyle name="Normal 58 6 3 2 4 5" xfId="4936"/>
    <cellStyle name="Normal 58 6 3 2 5" xfId="1853"/>
    <cellStyle name="Normal 58 6 3 2 5 2" xfId="11016"/>
    <cellStyle name="Normal 58 6 3 2 5 3" xfId="6000"/>
    <cellStyle name="Normal 58 6 3 2 6" xfId="8577"/>
    <cellStyle name="Normal 58 6 3 2 7" xfId="12470"/>
    <cellStyle name="Normal 58 6 3 2 8" xfId="7547"/>
    <cellStyle name="Normal 58 6 3 2 9" xfId="3499"/>
    <cellStyle name="Normal 58 6 3 2_Degree data" xfId="3155"/>
    <cellStyle name="Normal 58 6 3 3" xfId="490"/>
    <cellStyle name="Normal 58 6 3 3 2" xfId="2188"/>
    <cellStyle name="Normal 58 6 3 3 2 2" xfId="9749"/>
    <cellStyle name="Normal 58 6 3 3 2 3" xfId="4731"/>
    <cellStyle name="Normal 58 6 3 3 3" xfId="6335"/>
    <cellStyle name="Normal 58 6 3 3 3 2" xfId="11351"/>
    <cellStyle name="Normal 58 6 3 3 4" xfId="8865"/>
    <cellStyle name="Normal 58 6 3 3 5" xfId="12805"/>
    <cellStyle name="Normal 58 6 3 3 6" xfId="7342"/>
    <cellStyle name="Normal 58 6 3 3 7" xfId="3796"/>
    <cellStyle name="Normal 58 6 3 4" xfId="899"/>
    <cellStyle name="Normal 58 6 3 4 2" xfId="2537"/>
    <cellStyle name="Normal 58 6 3 4 2 2" xfId="10294"/>
    <cellStyle name="Normal 58 6 3 4 2 3" xfId="5276"/>
    <cellStyle name="Normal 58 6 3 4 3" xfId="6684"/>
    <cellStyle name="Normal 58 6 3 4 3 2" xfId="11699"/>
    <cellStyle name="Normal 58 6 3 4 4" xfId="9410"/>
    <cellStyle name="Normal 58 6 3 4 5" xfId="13153"/>
    <cellStyle name="Normal 58 6 3 4 6" xfId="7887"/>
    <cellStyle name="Normal 58 6 3 4 7" xfId="4341"/>
    <cellStyle name="Normal 58 6 3 5" xfId="1254"/>
    <cellStyle name="Normal 58 6 3 5 2" xfId="2810"/>
    <cellStyle name="Normal 58 6 3 5 2 2" xfId="10458"/>
    <cellStyle name="Normal 58 6 3 5 2 3" xfId="5441"/>
    <cellStyle name="Normal 58 6 3 5 3" xfId="6839"/>
    <cellStyle name="Normal 58 6 3 5 3 2" xfId="11854"/>
    <cellStyle name="Normal 58 6 3 5 4" xfId="8751"/>
    <cellStyle name="Normal 58 6 3 5 5" xfId="13308"/>
    <cellStyle name="Normal 58 6 3 5 6" xfId="8052"/>
    <cellStyle name="Normal 58 6 3 5 7" xfId="3681"/>
    <cellStyle name="Normal 58 6 3 6" xfId="1648"/>
    <cellStyle name="Normal 58 6 3 6 2" xfId="9637"/>
    <cellStyle name="Normal 58 6 3 6 3" xfId="4619"/>
    <cellStyle name="Normal 58 6 3 7" xfId="5795"/>
    <cellStyle name="Normal 58 6 3 7 2" xfId="10811"/>
    <cellStyle name="Normal 58 6 3 8" xfId="8372"/>
    <cellStyle name="Normal 58 6 3 9" xfId="12265"/>
    <cellStyle name="Normal 58 6 3_Degree data" xfId="3154"/>
    <cellStyle name="Normal 58 6 4" xfId="275"/>
    <cellStyle name="Normal 58 6 4 2" xfId="590"/>
    <cellStyle name="Normal 58 6 4 2 2" xfId="2190"/>
    <cellStyle name="Normal 58 6 4 2 2 2" xfId="10296"/>
    <cellStyle name="Normal 58 6 4 2 2 3" xfId="5278"/>
    <cellStyle name="Normal 58 6 4 2 3" xfId="6337"/>
    <cellStyle name="Normal 58 6 4 2 3 2" xfId="11353"/>
    <cellStyle name="Normal 58 6 4 2 4" xfId="9412"/>
    <cellStyle name="Normal 58 6 4 2 5" xfId="12807"/>
    <cellStyle name="Normal 58 6 4 2 6" xfId="7889"/>
    <cellStyle name="Normal 58 6 4 2 7" xfId="4343"/>
    <cellStyle name="Normal 58 6 4 3" xfId="999"/>
    <cellStyle name="Normal 58 6 4 3 2" xfId="2539"/>
    <cellStyle name="Normal 58 6 4 3 2 2" xfId="10558"/>
    <cellStyle name="Normal 58 6 4 3 2 3" xfId="5541"/>
    <cellStyle name="Normal 58 6 4 3 3" xfId="6686"/>
    <cellStyle name="Normal 58 6 4 3 3 2" xfId="11701"/>
    <cellStyle name="Normal 58 6 4 3 4" xfId="8965"/>
    <cellStyle name="Normal 58 6 4 3 5" xfId="13155"/>
    <cellStyle name="Normal 58 6 4 3 6" xfId="8152"/>
    <cellStyle name="Normal 58 6 4 3 7" xfId="3896"/>
    <cellStyle name="Normal 58 6 4 4" xfId="1355"/>
    <cellStyle name="Normal 58 6 4 4 2" xfId="2913"/>
    <cellStyle name="Normal 58 6 4 4 2 2" xfId="11954"/>
    <cellStyle name="Normal 58 6 4 4 2 3" xfId="6939"/>
    <cellStyle name="Normal 58 6 4 4 3" xfId="13408"/>
    <cellStyle name="Normal 58 6 4 4 4" xfId="9849"/>
    <cellStyle name="Normal 58 6 4 4 5" xfId="4831"/>
    <cellStyle name="Normal 58 6 4 5" xfId="1748"/>
    <cellStyle name="Normal 58 6 4 5 2" xfId="10911"/>
    <cellStyle name="Normal 58 6 4 5 3" xfId="5895"/>
    <cellStyle name="Normal 58 6 4 6" xfId="8472"/>
    <cellStyle name="Normal 58 6 4 7" xfId="12365"/>
    <cellStyle name="Normal 58 6 4 8" xfId="7442"/>
    <cellStyle name="Normal 58 6 4 9" xfId="3394"/>
    <cellStyle name="Normal 58 6 4_Degree data" xfId="3156"/>
    <cellStyle name="Normal 58 6 5" xfId="431"/>
    <cellStyle name="Normal 58 6 5 2" xfId="839"/>
    <cellStyle name="Normal 58 6 5 2 2" xfId="9690"/>
    <cellStyle name="Normal 58 6 5 2 3" xfId="4672"/>
    <cellStyle name="Normal 58 6 5 3" xfId="2185"/>
    <cellStyle name="Normal 58 6 5 3 2" xfId="11348"/>
    <cellStyle name="Normal 58 6 5 3 3" xfId="6332"/>
    <cellStyle name="Normal 58 6 5 4" xfId="8806"/>
    <cellStyle name="Normal 58 6 5 5" xfId="12802"/>
    <cellStyle name="Normal 58 6 5 6" xfId="7283"/>
    <cellStyle name="Normal 58 6 5 7" xfId="3737"/>
    <cellStyle name="Normal 58 6 6" xfId="766"/>
    <cellStyle name="Normal 58 6 6 2" xfId="2534"/>
    <cellStyle name="Normal 58 6 6 2 2" xfId="10291"/>
    <cellStyle name="Normal 58 6 6 2 3" xfId="5273"/>
    <cellStyle name="Normal 58 6 6 3" xfId="6681"/>
    <cellStyle name="Normal 58 6 6 3 2" xfId="11696"/>
    <cellStyle name="Normal 58 6 6 4" xfId="9407"/>
    <cellStyle name="Normal 58 6 6 5" xfId="13150"/>
    <cellStyle name="Normal 58 6 6 6" xfId="7884"/>
    <cellStyle name="Normal 58 6 6 7" xfId="4338"/>
    <cellStyle name="Normal 58 6 7" xfId="1190"/>
    <cellStyle name="Normal 58 6 7 2" xfId="2742"/>
    <cellStyle name="Normal 58 6 7 2 2" xfId="10399"/>
    <cellStyle name="Normal 58 6 7 2 3" xfId="5382"/>
    <cellStyle name="Normal 58 6 7 3" xfId="6780"/>
    <cellStyle name="Normal 58 6 7 3 2" xfId="11795"/>
    <cellStyle name="Normal 58 6 7 4" xfId="8645"/>
    <cellStyle name="Normal 58 6 7 5" xfId="13249"/>
    <cellStyle name="Normal 58 6 7 6" xfId="7993"/>
    <cellStyle name="Normal 58 6 7 7" xfId="3572"/>
    <cellStyle name="Normal 58 6 8" xfId="1589"/>
    <cellStyle name="Normal 58 6 8 2" xfId="12206"/>
    <cellStyle name="Normal 58 6 8 3" xfId="9532"/>
    <cellStyle name="Normal 58 6 8 4" xfId="4514"/>
    <cellStyle name="Normal 58 6 9" xfId="1516"/>
    <cellStyle name="Normal 58 6 9 2" xfId="10750"/>
    <cellStyle name="Normal 58 6 9 3" xfId="5734"/>
    <cellStyle name="Normal 58 6_Degree data" xfId="3151"/>
    <cellStyle name="Normal 58 7" xfId="158"/>
    <cellStyle name="Normal 58 7 10" xfId="7151"/>
    <cellStyle name="Normal 58 7 11" xfId="3320"/>
    <cellStyle name="Normal 58 7 2" xfId="365"/>
    <cellStyle name="Normal 58 7 2 2" xfId="616"/>
    <cellStyle name="Normal 58 7 2 2 2" xfId="2192"/>
    <cellStyle name="Normal 58 7 2 2 2 2" xfId="10298"/>
    <cellStyle name="Normal 58 7 2 2 2 3" xfId="5280"/>
    <cellStyle name="Normal 58 7 2 2 3" xfId="6339"/>
    <cellStyle name="Normal 58 7 2 2 3 2" xfId="11355"/>
    <cellStyle name="Normal 58 7 2 2 4" xfId="9414"/>
    <cellStyle name="Normal 58 7 2 2 5" xfId="12809"/>
    <cellStyle name="Normal 58 7 2 2 6" xfId="7891"/>
    <cellStyle name="Normal 58 7 2 2 7" xfId="4345"/>
    <cellStyle name="Normal 58 7 2 3" xfId="1025"/>
    <cellStyle name="Normal 58 7 2 3 2" xfId="2541"/>
    <cellStyle name="Normal 58 7 2 3 2 2" xfId="10584"/>
    <cellStyle name="Normal 58 7 2 3 2 3" xfId="5567"/>
    <cellStyle name="Normal 58 7 2 3 3" xfId="6688"/>
    <cellStyle name="Normal 58 7 2 3 3 2" xfId="11703"/>
    <cellStyle name="Normal 58 7 2 3 4" xfId="8991"/>
    <cellStyle name="Normal 58 7 2 3 5" xfId="13157"/>
    <cellStyle name="Normal 58 7 2 3 6" xfId="8178"/>
    <cellStyle name="Normal 58 7 2 3 7" xfId="3922"/>
    <cellStyle name="Normal 58 7 2 4" xfId="1382"/>
    <cellStyle name="Normal 58 7 2 4 2" xfId="2940"/>
    <cellStyle name="Normal 58 7 2 4 2 2" xfId="11980"/>
    <cellStyle name="Normal 58 7 2 4 2 3" xfId="6965"/>
    <cellStyle name="Normal 58 7 2 4 3" xfId="13434"/>
    <cellStyle name="Normal 58 7 2 4 4" xfId="9875"/>
    <cellStyle name="Normal 58 7 2 4 5" xfId="4857"/>
    <cellStyle name="Normal 58 7 2 5" xfId="1774"/>
    <cellStyle name="Normal 58 7 2 5 2" xfId="10937"/>
    <cellStyle name="Normal 58 7 2 5 3" xfId="5921"/>
    <cellStyle name="Normal 58 7 2 6" xfId="8498"/>
    <cellStyle name="Normal 58 7 2 7" xfId="12391"/>
    <cellStyle name="Normal 58 7 2 8" xfId="7468"/>
    <cellStyle name="Normal 58 7 2 9" xfId="3420"/>
    <cellStyle name="Normal 58 7 2_Degree data" xfId="3158"/>
    <cellStyle name="Normal 58 7 3" xfId="516"/>
    <cellStyle name="Normal 58 7 3 2" xfId="925"/>
    <cellStyle name="Normal 58 7 3 2 2" xfId="9775"/>
    <cellStyle name="Normal 58 7 3 2 3" xfId="4757"/>
    <cellStyle name="Normal 58 7 3 3" xfId="2191"/>
    <cellStyle name="Normal 58 7 3 3 2" xfId="11354"/>
    <cellStyle name="Normal 58 7 3 3 3" xfId="6338"/>
    <cellStyle name="Normal 58 7 3 4" xfId="8891"/>
    <cellStyle name="Normal 58 7 3 5" xfId="12808"/>
    <cellStyle name="Normal 58 7 3 6" xfId="7368"/>
    <cellStyle name="Normal 58 7 3 7" xfId="3822"/>
    <cellStyle name="Normal 58 7 4" xfId="796"/>
    <cellStyle name="Normal 58 7 4 2" xfId="2540"/>
    <cellStyle name="Normal 58 7 4 2 2" xfId="10297"/>
    <cellStyle name="Normal 58 7 4 2 3" xfId="5279"/>
    <cellStyle name="Normal 58 7 4 3" xfId="6687"/>
    <cellStyle name="Normal 58 7 4 3 2" xfId="11702"/>
    <cellStyle name="Normal 58 7 4 4" xfId="9413"/>
    <cellStyle name="Normal 58 7 4 5" xfId="13156"/>
    <cellStyle name="Normal 58 7 4 6" xfId="7890"/>
    <cellStyle name="Normal 58 7 4 7" xfId="4344"/>
    <cellStyle name="Normal 58 7 5" xfId="1281"/>
    <cellStyle name="Normal 58 7 5 2" xfId="2838"/>
    <cellStyle name="Normal 58 7 5 2 2" xfId="10484"/>
    <cellStyle name="Normal 58 7 5 2 3" xfId="5467"/>
    <cellStyle name="Normal 58 7 5 3" xfId="6865"/>
    <cellStyle name="Normal 58 7 5 3 2" xfId="11880"/>
    <cellStyle name="Normal 58 7 5 4" xfId="8672"/>
    <cellStyle name="Normal 58 7 5 5" xfId="13334"/>
    <cellStyle name="Normal 58 7 5 6" xfId="8078"/>
    <cellStyle name="Normal 58 7 5 7" xfId="3601"/>
    <cellStyle name="Normal 58 7 6" xfId="1674"/>
    <cellStyle name="Normal 58 7 6 2" xfId="9558"/>
    <cellStyle name="Normal 58 7 6 3" xfId="4540"/>
    <cellStyle name="Normal 58 7 7" xfId="5821"/>
    <cellStyle name="Normal 58 7 7 2" xfId="10837"/>
    <cellStyle name="Normal 58 7 8" xfId="8398"/>
    <cellStyle name="Normal 58 7 9" xfId="12291"/>
    <cellStyle name="Normal 58 7_Degree data" xfId="3157"/>
    <cellStyle name="Normal 58 8" xfId="190"/>
    <cellStyle name="Normal 58 8 10" xfId="7199"/>
    <cellStyle name="Normal 58 8 11" xfId="3263"/>
    <cellStyle name="Normal 58 8 2" xfId="307"/>
    <cellStyle name="Normal 58 8 2 2" xfId="664"/>
    <cellStyle name="Normal 58 8 2 2 2" xfId="2194"/>
    <cellStyle name="Normal 58 8 2 2 2 2" xfId="10300"/>
    <cellStyle name="Normal 58 8 2 2 2 3" xfId="5282"/>
    <cellStyle name="Normal 58 8 2 2 3" xfId="6341"/>
    <cellStyle name="Normal 58 8 2 2 3 2" xfId="11357"/>
    <cellStyle name="Normal 58 8 2 2 4" xfId="9416"/>
    <cellStyle name="Normal 58 8 2 2 5" xfId="12811"/>
    <cellStyle name="Normal 58 8 2 2 6" xfId="7893"/>
    <cellStyle name="Normal 58 8 2 2 7" xfId="4347"/>
    <cellStyle name="Normal 58 8 2 3" xfId="1073"/>
    <cellStyle name="Normal 58 8 2 3 2" xfId="2543"/>
    <cellStyle name="Normal 58 8 2 3 2 2" xfId="10632"/>
    <cellStyle name="Normal 58 8 2 3 2 3" xfId="5615"/>
    <cellStyle name="Normal 58 8 2 3 3" xfId="6690"/>
    <cellStyle name="Normal 58 8 2 3 3 2" xfId="11705"/>
    <cellStyle name="Normal 58 8 2 3 4" xfId="9039"/>
    <cellStyle name="Normal 58 8 2 3 5" xfId="13159"/>
    <cellStyle name="Normal 58 8 2 3 6" xfId="8226"/>
    <cellStyle name="Normal 58 8 2 3 7" xfId="3970"/>
    <cellStyle name="Normal 58 8 2 4" xfId="1431"/>
    <cellStyle name="Normal 58 8 2 4 2" xfId="2990"/>
    <cellStyle name="Normal 58 8 2 4 2 2" xfId="12028"/>
    <cellStyle name="Normal 58 8 2 4 2 3" xfId="7013"/>
    <cellStyle name="Normal 58 8 2 4 3" xfId="13482"/>
    <cellStyle name="Normal 58 8 2 4 4" xfId="9923"/>
    <cellStyle name="Normal 58 8 2 4 5" xfId="4905"/>
    <cellStyle name="Normal 58 8 2 5" xfId="1822"/>
    <cellStyle name="Normal 58 8 2 5 2" xfId="10985"/>
    <cellStyle name="Normal 58 8 2 5 3" xfId="5969"/>
    <cellStyle name="Normal 58 8 2 6" xfId="8546"/>
    <cellStyle name="Normal 58 8 2 7" xfId="12439"/>
    <cellStyle name="Normal 58 8 2 8" xfId="7516"/>
    <cellStyle name="Normal 58 8 2 9" xfId="3468"/>
    <cellStyle name="Normal 58 8 2_Degree data" xfId="3160"/>
    <cellStyle name="Normal 58 8 3" xfId="459"/>
    <cellStyle name="Normal 58 8 3 2" xfId="2193"/>
    <cellStyle name="Normal 58 8 3 2 2" xfId="9718"/>
    <cellStyle name="Normal 58 8 3 2 3" xfId="4700"/>
    <cellStyle name="Normal 58 8 3 3" xfId="6340"/>
    <cellStyle name="Normal 58 8 3 3 2" xfId="11356"/>
    <cellStyle name="Normal 58 8 3 4" xfId="8834"/>
    <cellStyle name="Normal 58 8 3 5" xfId="12810"/>
    <cellStyle name="Normal 58 8 3 6" xfId="7311"/>
    <cellStyle name="Normal 58 8 3 7" xfId="3765"/>
    <cellStyle name="Normal 58 8 4" xfId="868"/>
    <cellStyle name="Normal 58 8 4 2" xfId="2542"/>
    <cellStyle name="Normal 58 8 4 2 2" xfId="10299"/>
    <cellStyle name="Normal 58 8 4 2 3" xfId="5281"/>
    <cellStyle name="Normal 58 8 4 3" xfId="6689"/>
    <cellStyle name="Normal 58 8 4 3 2" xfId="11704"/>
    <cellStyle name="Normal 58 8 4 4" xfId="9415"/>
    <cellStyle name="Normal 58 8 4 5" xfId="13158"/>
    <cellStyle name="Normal 58 8 4 6" xfId="7892"/>
    <cellStyle name="Normal 58 8 4 7" xfId="4346"/>
    <cellStyle name="Normal 58 8 5" xfId="1220"/>
    <cellStyle name="Normal 58 8 5 2" xfId="2776"/>
    <cellStyle name="Normal 58 8 5 2 2" xfId="10427"/>
    <cellStyle name="Normal 58 8 5 2 3" xfId="5410"/>
    <cellStyle name="Normal 58 8 5 3" xfId="6808"/>
    <cellStyle name="Normal 58 8 5 3 2" xfId="11823"/>
    <cellStyle name="Normal 58 8 5 4" xfId="8720"/>
    <cellStyle name="Normal 58 8 5 5" xfId="13277"/>
    <cellStyle name="Normal 58 8 5 6" xfId="8021"/>
    <cellStyle name="Normal 58 8 5 7" xfId="3650"/>
    <cellStyle name="Normal 58 8 6" xfId="1617"/>
    <cellStyle name="Normal 58 8 6 2" xfId="9606"/>
    <cellStyle name="Normal 58 8 6 3" xfId="4588"/>
    <cellStyle name="Normal 58 8 7" xfId="5764"/>
    <cellStyle name="Normal 58 8 7 2" xfId="10780"/>
    <cellStyle name="Normal 58 8 8" xfId="8341"/>
    <cellStyle name="Normal 58 8 9" xfId="12234"/>
    <cellStyle name="Normal 58 8_Degree data" xfId="3159"/>
    <cellStyle name="Normal 58 9" xfId="226"/>
    <cellStyle name="Normal 58 9 10" xfId="3524"/>
    <cellStyle name="Normal 58 9 2" xfId="720"/>
    <cellStyle name="Normal 58 9 2 2" xfId="2195"/>
    <cellStyle name="Normal 58 9 2 2 2" xfId="9979"/>
    <cellStyle name="Normal 58 9 2 2 3" xfId="4961"/>
    <cellStyle name="Normal 58 9 2 3" xfId="6342"/>
    <cellStyle name="Normal 58 9 2 3 2" xfId="11358"/>
    <cellStyle name="Normal 58 9 2 4" xfId="9095"/>
    <cellStyle name="Normal 58 9 2 5" xfId="12812"/>
    <cellStyle name="Normal 58 9 2 6" xfId="7572"/>
    <cellStyle name="Normal 58 9 2 7" xfId="4026"/>
    <cellStyle name="Normal 58 9 3" xfId="1129"/>
    <cellStyle name="Normal 58 9 3 2" xfId="2544"/>
    <cellStyle name="Normal 58 9 3 2 2" xfId="10301"/>
    <cellStyle name="Normal 58 9 3 2 3" xfId="5283"/>
    <cellStyle name="Normal 58 9 3 3" xfId="6691"/>
    <cellStyle name="Normal 58 9 3 3 2" xfId="11706"/>
    <cellStyle name="Normal 58 9 3 4" xfId="9417"/>
    <cellStyle name="Normal 58 9 3 5" xfId="13160"/>
    <cellStyle name="Normal 58 9 3 6" xfId="7894"/>
    <cellStyle name="Normal 58 9 3 7" xfId="4348"/>
    <cellStyle name="Normal 58 9 4" xfId="1487"/>
    <cellStyle name="Normal 58 9 4 2" xfId="3046"/>
    <cellStyle name="Normal 58 9 4 2 2" xfId="10688"/>
    <cellStyle name="Normal 58 9 4 2 3" xfId="5671"/>
    <cellStyle name="Normal 58 9 4 3" xfId="7069"/>
    <cellStyle name="Normal 58 9 4 3 2" xfId="12084"/>
    <cellStyle name="Normal 58 9 4 4" xfId="8776"/>
    <cellStyle name="Normal 58 9 4 5" xfId="13538"/>
    <cellStyle name="Normal 58 9 4 6" xfId="8282"/>
    <cellStyle name="Normal 58 9 4 7" xfId="3706"/>
    <cellStyle name="Normal 58 9 5" xfId="1878"/>
    <cellStyle name="Normal 58 9 5 2" xfId="9662"/>
    <cellStyle name="Normal 58 9 5 3" xfId="4644"/>
    <cellStyle name="Normal 58 9 6" xfId="6025"/>
    <cellStyle name="Normal 58 9 6 2" xfId="11041"/>
    <cellStyle name="Normal 58 9 7" xfId="8602"/>
    <cellStyle name="Normal 58 9 8" xfId="12495"/>
    <cellStyle name="Normal 58 9 9" xfId="7255"/>
    <cellStyle name="Normal 58 9_Degree data" xfId="3161"/>
    <cellStyle name="Normal 58_Degree data" xfId="3119"/>
    <cellStyle name="Normal 59" xfId="17"/>
    <cellStyle name="Normal 6" xfId="75"/>
    <cellStyle name="Normal 6 2 2" xfId="18"/>
    <cellStyle name="Normal 6_sreb progression tab 2 redo" xfId="82"/>
    <cellStyle name="Normal 60" xfId="20"/>
    <cellStyle name="Normal 60 2" xfId="305"/>
    <cellStyle name="Normal 60 2 2" xfId="2196"/>
    <cellStyle name="Normal 60 3" xfId="1218"/>
    <cellStyle name="Normal 60_Degree data" xfId="3162"/>
    <cellStyle name="Normal 61" xfId="21"/>
    <cellStyle name="Normal 61 2" xfId="1217"/>
    <cellStyle name="Normal 61 3" xfId="3541"/>
    <cellStyle name="Normal 61_Degree data" xfId="3163"/>
    <cellStyle name="Normal 62" xfId="61"/>
    <cellStyle name="Normal 62 2" xfId="1184"/>
    <cellStyle name="Normal 62 3" xfId="3542"/>
    <cellStyle name="Normal 62_Degree data" xfId="3164"/>
    <cellStyle name="Normal 63" xfId="67"/>
    <cellStyle name="Normal 63 10" xfId="8324"/>
    <cellStyle name="Normal 63 11" xfId="12217"/>
    <cellStyle name="Normal 63 12" xfId="7113"/>
    <cellStyle name="Normal 63 13" xfId="3246"/>
    <cellStyle name="Normal 63 2" xfId="326"/>
    <cellStyle name="Normal 63 2 10" xfId="7218"/>
    <cellStyle name="Normal 63 2 11" xfId="3282"/>
    <cellStyle name="Normal 63 2 2" xfId="683"/>
    <cellStyle name="Normal 63 2 2 2" xfId="1092"/>
    <cellStyle name="Normal 63 2 2 2 2" xfId="2199"/>
    <cellStyle name="Normal 63 2 2 2 2 2" xfId="10304"/>
    <cellStyle name="Normal 63 2 2 2 2 3" xfId="5286"/>
    <cellStyle name="Normal 63 2 2 2 3" xfId="6345"/>
    <cellStyle name="Normal 63 2 2 2 3 2" xfId="11361"/>
    <cellStyle name="Normal 63 2 2 2 4" xfId="9420"/>
    <cellStyle name="Normal 63 2 2 2 5" xfId="12815"/>
    <cellStyle name="Normal 63 2 2 2 6" xfId="7897"/>
    <cellStyle name="Normal 63 2 2 2 7" xfId="4351"/>
    <cellStyle name="Normal 63 2 2 3" xfId="1450"/>
    <cellStyle name="Normal 63 2 2 3 2" xfId="2547"/>
    <cellStyle name="Normal 63 2 2 3 2 2" xfId="10651"/>
    <cellStyle name="Normal 63 2 2 3 2 3" xfId="5634"/>
    <cellStyle name="Normal 63 2 2 3 3" xfId="6694"/>
    <cellStyle name="Normal 63 2 2 3 3 2" xfId="11709"/>
    <cellStyle name="Normal 63 2 2 3 4" xfId="9058"/>
    <cellStyle name="Normal 63 2 2 3 5" xfId="13163"/>
    <cellStyle name="Normal 63 2 2 3 6" xfId="8245"/>
    <cellStyle name="Normal 63 2 2 3 7" xfId="3989"/>
    <cellStyle name="Normal 63 2 2 4" xfId="3009"/>
    <cellStyle name="Normal 63 2 2 4 2" xfId="7032"/>
    <cellStyle name="Normal 63 2 2 4 2 2" xfId="12047"/>
    <cellStyle name="Normal 63 2 2 4 3" xfId="13501"/>
    <cellStyle name="Normal 63 2 2 4 4" xfId="9942"/>
    <cellStyle name="Normal 63 2 2 4 5" xfId="4924"/>
    <cellStyle name="Normal 63 2 2 5" xfId="1841"/>
    <cellStyle name="Normal 63 2 2 5 2" xfId="11004"/>
    <cellStyle name="Normal 63 2 2 5 3" xfId="5988"/>
    <cellStyle name="Normal 63 2 2 6" xfId="8565"/>
    <cellStyle name="Normal 63 2 2 7" xfId="12458"/>
    <cellStyle name="Normal 63 2 2 8" xfId="7535"/>
    <cellStyle name="Normal 63 2 2 9" xfId="3487"/>
    <cellStyle name="Normal 63 2 2_Degree data" xfId="3167"/>
    <cellStyle name="Normal 63 2 3" xfId="478"/>
    <cellStyle name="Normal 63 2 3 2" xfId="2198"/>
    <cellStyle name="Normal 63 2 3 2 2" xfId="9737"/>
    <cellStyle name="Normal 63 2 3 2 3" xfId="4719"/>
    <cellStyle name="Normal 63 2 3 3" xfId="6344"/>
    <cellStyle name="Normal 63 2 3 3 2" xfId="11360"/>
    <cellStyle name="Normal 63 2 3 4" xfId="8853"/>
    <cellStyle name="Normal 63 2 3 5" xfId="12814"/>
    <cellStyle name="Normal 63 2 3 6" xfId="7330"/>
    <cellStyle name="Normal 63 2 3 7" xfId="3784"/>
    <cellStyle name="Normal 63 2 4" xfId="887"/>
    <cellStyle name="Normal 63 2 4 2" xfId="2546"/>
    <cellStyle name="Normal 63 2 4 2 2" xfId="10303"/>
    <cellStyle name="Normal 63 2 4 2 3" xfId="5285"/>
    <cellStyle name="Normal 63 2 4 3" xfId="6693"/>
    <cellStyle name="Normal 63 2 4 3 2" xfId="11708"/>
    <cellStyle name="Normal 63 2 4 4" xfId="9419"/>
    <cellStyle name="Normal 63 2 4 5" xfId="13162"/>
    <cellStyle name="Normal 63 2 4 6" xfId="7896"/>
    <cellStyle name="Normal 63 2 4 7" xfId="4350"/>
    <cellStyle name="Normal 63 2 5" xfId="1239"/>
    <cellStyle name="Normal 63 2 5 2" xfId="2795"/>
    <cellStyle name="Normal 63 2 5 2 2" xfId="10446"/>
    <cellStyle name="Normal 63 2 5 2 3" xfId="5429"/>
    <cellStyle name="Normal 63 2 5 3" xfId="6827"/>
    <cellStyle name="Normal 63 2 5 3 2" xfId="11842"/>
    <cellStyle name="Normal 63 2 5 4" xfId="8739"/>
    <cellStyle name="Normal 63 2 5 5" xfId="13296"/>
    <cellStyle name="Normal 63 2 5 6" xfId="8040"/>
    <cellStyle name="Normal 63 2 5 7" xfId="3669"/>
    <cellStyle name="Normal 63 2 6" xfId="1636"/>
    <cellStyle name="Normal 63 2 6 2" xfId="9625"/>
    <cellStyle name="Normal 63 2 6 3" xfId="4607"/>
    <cellStyle name="Normal 63 2 7" xfId="5783"/>
    <cellStyle name="Normal 63 2 7 2" xfId="10799"/>
    <cellStyle name="Normal 63 2 8" xfId="8360"/>
    <cellStyle name="Normal 63 2 9" xfId="12253"/>
    <cellStyle name="Normal 63 2_Degree data" xfId="3166"/>
    <cellStyle name="Normal 63 3" xfId="287"/>
    <cellStyle name="Normal 63 3 10" xfId="3464"/>
    <cellStyle name="Normal 63 3 2" xfId="660"/>
    <cellStyle name="Normal 63 3 2 2" xfId="2200"/>
    <cellStyle name="Normal 63 3 2 2 2" xfId="9919"/>
    <cellStyle name="Normal 63 3 2 2 3" xfId="4901"/>
    <cellStyle name="Normal 63 3 2 3" xfId="6346"/>
    <cellStyle name="Normal 63 3 2 3 2" xfId="11362"/>
    <cellStyle name="Normal 63 3 2 4" xfId="9035"/>
    <cellStyle name="Normal 63 3 2 5" xfId="12816"/>
    <cellStyle name="Normal 63 3 2 6" xfId="7512"/>
    <cellStyle name="Normal 63 3 2 7" xfId="3966"/>
    <cellStyle name="Normal 63 3 3" xfId="1069"/>
    <cellStyle name="Normal 63 3 3 2" xfId="2548"/>
    <cellStyle name="Normal 63 3 3 2 2" xfId="10305"/>
    <cellStyle name="Normal 63 3 3 2 3" xfId="5287"/>
    <cellStyle name="Normal 63 3 3 3" xfId="6695"/>
    <cellStyle name="Normal 63 3 3 3 2" xfId="11710"/>
    <cellStyle name="Normal 63 3 3 4" xfId="9421"/>
    <cellStyle name="Normal 63 3 3 5" xfId="13164"/>
    <cellStyle name="Normal 63 3 3 6" xfId="7898"/>
    <cellStyle name="Normal 63 3 3 7" xfId="4352"/>
    <cellStyle name="Normal 63 3 4" xfId="1427"/>
    <cellStyle name="Normal 63 3 4 2" xfId="2986"/>
    <cellStyle name="Normal 63 3 4 2 2" xfId="10628"/>
    <cellStyle name="Normal 63 3 4 2 3" xfId="5611"/>
    <cellStyle name="Normal 63 3 4 3" xfId="7009"/>
    <cellStyle name="Normal 63 3 4 3 2" xfId="12024"/>
    <cellStyle name="Normal 63 3 4 4" xfId="8716"/>
    <cellStyle name="Normal 63 3 4 5" xfId="13478"/>
    <cellStyle name="Normal 63 3 4 6" xfId="8222"/>
    <cellStyle name="Normal 63 3 4 7" xfId="3646"/>
    <cellStyle name="Normal 63 3 5" xfId="1818"/>
    <cellStyle name="Normal 63 3 5 2" xfId="9602"/>
    <cellStyle name="Normal 63 3 5 3" xfId="4584"/>
    <cellStyle name="Normal 63 3 6" xfId="5965"/>
    <cellStyle name="Normal 63 3 6 2" xfId="10981"/>
    <cellStyle name="Normal 63 3 7" xfId="8542"/>
    <cellStyle name="Normal 63 3 8" xfId="12435"/>
    <cellStyle name="Normal 63 3 9" xfId="7195"/>
    <cellStyle name="Normal 63 3_Degree data" xfId="3168"/>
    <cellStyle name="Normal 63 4" xfId="578"/>
    <cellStyle name="Normal 63 4 2" xfId="987"/>
    <cellStyle name="Normal 63 4 2 2" xfId="2201"/>
    <cellStyle name="Normal 63 4 2 2 2" xfId="10306"/>
    <cellStyle name="Normal 63 4 2 2 3" xfId="5288"/>
    <cellStyle name="Normal 63 4 2 3" xfId="6347"/>
    <cellStyle name="Normal 63 4 2 3 2" xfId="11363"/>
    <cellStyle name="Normal 63 4 2 4" xfId="9422"/>
    <cellStyle name="Normal 63 4 2 5" xfId="12817"/>
    <cellStyle name="Normal 63 4 2 6" xfId="7899"/>
    <cellStyle name="Normal 63 4 2 7" xfId="4353"/>
    <cellStyle name="Normal 63 4 3" xfId="1343"/>
    <cellStyle name="Normal 63 4 3 2" xfId="2549"/>
    <cellStyle name="Normal 63 4 3 2 2" xfId="10546"/>
    <cellStyle name="Normal 63 4 3 2 3" xfId="5529"/>
    <cellStyle name="Normal 63 4 3 3" xfId="6696"/>
    <cellStyle name="Normal 63 4 3 3 2" xfId="11711"/>
    <cellStyle name="Normal 63 4 3 4" xfId="8953"/>
    <cellStyle name="Normal 63 4 3 5" xfId="13165"/>
    <cellStyle name="Normal 63 4 3 6" xfId="8140"/>
    <cellStyle name="Normal 63 4 3 7" xfId="3884"/>
    <cellStyle name="Normal 63 4 4" xfId="2901"/>
    <cellStyle name="Normal 63 4 4 2" xfId="6927"/>
    <cellStyle name="Normal 63 4 4 2 2" xfId="11942"/>
    <cellStyle name="Normal 63 4 4 3" xfId="13396"/>
    <cellStyle name="Normal 63 4 4 4" xfId="9837"/>
    <cellStyle name="Normal 63 4 4 5" xfId="4819"/>
    <cellStyle name="Normal 63 4 5" xfId="1736"/>
    <cellStyle name="Normal 63 4 5 2" xfId="10899"/>
    <cellStyle name="Normal 63 4 5 3" xfId="5883"/>
    <cellStyle name="Normal 63 4 6" xfId="8460"/>
    <cellStyle name="Normal 63 4 7" xfId="12353"/>
    <cellStyle name="Normal 63 4 8" xfId="7430"/>
    <cellStyle name="Normal 63 4 9" xfId="3382"/>
    <cellStyle name="Normal 63 4_Degree data" xfId="3169"/>
    <cellStyle name="Normal 63 5" xfId="442"/>
    <cellStyle name="Normal 63 5 2" xfId="2197"/>
    <cellStyle name="Normal 63 5 2 2" xfId="9701"/>
    <cellStyle name="Normal 63 5 2 3" xfId="4683"/>
    <cellStyle name="Normal 63 5 3" xfId="6343"/>
    <cellStyle name="Normal 63 5 3 2" xfId="11359"/>
    <cellStyle name="Normal 63 5 4" xfId="8817"/>
    <cellStyle name="Normal 63 5 5" xfId="12813"/>
    <cellStyle name="Normal 63 5 6" xfId="7294"/>
    <cellStyle name="Normal 63 5 7" xfId="3748"/>
    <cellStyle name="Normal 63 6" xfId="851"/>
    <cellStyle name="Normal 63 6 2" xfId="2545"/>
    <cellStyle name="Normal 63 6 2 2" xfId="10302"/>
    <cellStyle name="Normal 63 6 2 3" xfId="5284"/>
    <cellStyle name="Normal 63 6 3" xfId="6692"/>
    <cellStyle name="Normal 63 6 3 2" xfId="11707"/>
    <cellStyle name="Normal 63 6 4" xfId="9418"/>
    <cellStyle name="Normal 63 6 5" xfId="13161"/>
    <cellStyle name="Normal 63 6 6" xfId="7895"/>
    <cellStyle name="Normal 63 6 7" xfId="4349"/>
    <cellStyle name="Normal 63 7" xfId="1201"/>
    <cellStyle name="Normal 63 7 2" xfId="2754"/>
    <cellStyle name="Normal 63 7 2 2" xfId="10410"/>
    <cellStyle name="Normal 63 7 2 3" xfId="5393"/>
    <cellStyle name="Normal 63 7 3" xfId="6791"/>
    <cellStyle name="Normal 63 7 3 2" xfId="11806"/>
    <cellStyle name="Normal 63 7 4" xfId="8633"/>
    <cellStyle name="Normal 63 7 5" xfId="13260"/>
    <cellStyle name="Normal 63 7 6" xfId="8004"/>
    <cellStyle name="Normal 63 7 7" xfId="3557"/>
    <cellStyle name="Normal 63 8" xfId="1600"/>
    <cellStyle name="Normal 63 8 2" xfId="9520"/>
    <cellStyle name="Normal 63 8 3" xfId="4502"/>
    <cellStyle name="Normal 63 9" xfId="5745"/>
    <cellStyle name="Normal 63 9 2" xfId="10761"/>
    <cellStyle name="Normal 63_Degree data" xfId="3165"/>
    <cellStyle name="Normal 64" xfId="145"/>
    <cellStyle name="Normal 64 2" xfId="1246"/>
    <cellStyle name="Normal 64 3" xfId="3564"/>
    <cellStyle name="Normal 64_Degree data" xfId="3170"/>
    <cellStyle name="Normal 65" xfId="147"/>
    <cellStyle name="Normal 65 2" xfId="1248"/>
    <cellStyle name="Normal 65 3" xfId="3566"/>
    <cellStyle name="Normal 65_Degree data" xfId="3171"/>
    <cellStyle name="Normal 66" xfId="92"/>
    <cellStyle name="Normal 66 2" xfId="1247"/>
    <cellStyle name="Normal 66 3" xfId="3565"/>
    <cellStyle name="Normal 66_Degree data" xfId="3172"/>
    <cellStyle name="Normal 67" xfId="64"/>
    <cellStyle name="Normal 67 2" xfId="1279"/>
    <cellStyle name="Normal 67 3" xfId="3598"/>
    <cellStyle name="Normal 67_Degree data" xfId="3173"/>
    <cellStyle name="Normal 68" xfId="144"/>
    <cellStyle name="Normal 68 2" xfId="1380"/>
    <cellStyle name="Normal 68 3" xfId="3599"/>
    <cellStyle name="Normal 68_Degree data" xfId="3174"/>
    <cellStyle name="Normal 69" xfId="148"/>
    <cellStyle name="Normal 69 2" xfId="1409"/>
    <cellStyle name="Normal 69 3" xfId="3628"/>
    <cellStyle name="Normal 69_Degree data" xfId="3175"/>
    <cellStyle name="Normal 7" xfId="91"/>
    <cellStyle name="Normal 7 10" xfId="745"/>
    <cellStyle name="Normal 7 10 2" xfId="2202"/>
    <cellStyle name="Normal 7 10 2 2" xfId="10307"/>
    <cellStyle name="Normal 7 10 2 3" xfId="5289"/>
    <cellStyle name="Normal 7 10 3" xfId="6349"/>
    <cellStyle name="Normal 7 10 3 2" xfId="11364"/>
    <cellStyle name="Normal 7 10 4" xfId="9423"/>
    <cellStyle name="Normal 7 10 5" xfId="12818"/>
    <cellStyle name="Normal 7 10 6" xfId="7900"/>
    <cellStyle name="Normal 7 10 7" xfId="4354"/>
    <cellStyle name="Normal 7 11" xfId="1149"/>
    <cellStyle name="Normal 7 11 2" xfId="2550"/>
    <cellStyle name="Normal 7 11 2 2" xfId="10359"/>
    <cellStyle name="Normal 7 11 2 3" xfId="5342"/>
    <cellStyle name="Normal 7 11 3" xfId="6697"/>
    <cellStyle name="Normal 7 11 3 2" xfId="11712"/>
    <cellStyle name="Normal 7 11 4" xfId="8617"/>
    <cellStyle name="Normal 7 11 5" xfId="13166"/>
    <cellStyle name="Normal 7 11 6" xfId="7953"/>
    <cellStyle name="Normal 7 11 7" xfId="3539"/>
    <cellStyle name="Normal 7 12" xfId="2661"/>
    <cellStyle name="Normal 7 12 2" xfId="6740"/>
    <cellStyle name="Normal 7 12 2 2" xfId="11755"/>
    <cellStyle name="Normal 7 12 3" xfId="13209"/>
    <cellStyle name="Normal 7 12 4" xfId="9503"/>
    <cellStyle name="Normal 7 12 5" xfId="4485"/>
    <cellStyle name="Normal 7 13" xfId="1549"/>
    <cellStyle name="Normal 7 13 2" xfId="12166"/>
    <cellStyle name="Normal 7 13 3" xfId="10710"/>
    <cellStyle name="Normal 7 13 4" xfId="5694"/>
    <cellStyle name="Normal 7 14" xfId="1509"/>
    <cellStyle name="Normal 7 14 2" xfId="8305"/>
    <cellStyle name="Normal 7 15" xfId="12126"/>
    <cellStyle name="Normal 7 16" xfId="7097"/>
    <cellStyle name="Normal 7 17" xfId="3225"/>
    <cellStyle name="Normal 7 2" xfId="138"/>
    <cellStyle name="Normal 7 2 10" xfId="1561"/>
    <cellStyle name="Normal 7 2 10 2" xfId="12178"/>
    <cellStyle name="Normal 7 2 10 3" xfId="10722"/>
    <cellStyle name="Normal 7 2 10 4" xfId="5706"/>
    <cellStyle name="Normal 7 2 11" xfId="1531"/>
    <cellStyle name="Normal 7 2 11 2" xfId="8330"/>
    <cellStyle name="Normal 7 2 12" xfId="12148"/>
    <cellStyle name="Normal 7 2 13" xfId="7110"/>
    <cellStyle name="Normal 7 2 14" xfId="3252"/>
    <cellStyle name="Normal 7 2 2" xfId="179"/>
    <cellStyle name="Normal 7 2 2 10" xfId="12280"/>
    <cellStyle name="Normal 7 2 2 11" xfId="7140"/>
    <cellStyle name="Normal 7 2 2 12" xfId="3309"/>
    <cellStyle name="Normal 7 2 2 2" xfId="354"/>
    <cellStyle name="Normal 7 2 2 2 10" xfId="3513"/>
    <cellStyle name="Normal 7 2 2 2 2" xfId="709"/>
    <cellStyle name="Normal 7 2 2 2 2 2" xfId="2205"/>
    <cellStyle name="Normal 7 2 2 2 2 2 2" xfId="9968"/>
    <cellStyle name="Normal 7 2 2 2 2 2 3" xfId="4950"/>
    <cellStyle name="Normal 7 2 2 2 2 3" xfId="6352"/>
    <cellStyle name="Normal 7 2 2 2 2 3 2" xfId="11367"/>
    <cellStyle name="Normal 7 2 2 2 2 4" xfId="9084"/>
    <cellStyle name="Normal 7 2 2 2 2 5" xfId="12821"/>
    <cellStyle name="Normal 7 2 2 2 2 6" xfId="7561"/>
    <cellStyle name="Normal 7 2 2 2 2 7" xfId="4015"/>
    <cellStyle name="Normal 7 2 2 2 3" xfId="1118"/>
    <cellStyle name="Normal 7 2 2 2 3 2" xfId="2553"/>
    <cellStyle name="Normal 7 2 2 2 3 2 2" xfId="10310"/>
    <cellStyle name="Normal 7 2 2 2 3 2 3" xfId="5292"/>
    <cellStyle name="Normal 7 2 2 2 3 3" xfId="6700"/>
    <cellStyle name="Normal 7 2 2 2 3 3 2" xfId="11715"/>
    <cellStyle name="Normal 7 2 2 2 3 4" xfId="9426"/>
    <cellStyle name="Normal 7 2 2 2 3 5" xfId="13169"/>
    <cellStyle name="Normal 7 2 2 2 3 6" xfId="7903"/>
    <cellStyle name="Normal 7 2 2 2 3 7" xfId="4357"/>
    <cellStyle name="Normal 7 2 2 2 4" xfId="1476"/>
    <cellStyle name="Normal 7 2 2 2 4 2" xfId="3035"/>
    <cellStyle name="Normal 7 2 2 2 4 2 2" xfId="10677"/>
    <cellStyle name="Normal 7 2 2 2 4 2 3" xfId="5660"/>
    <cellStyle name="Normal 7 2 2 2 4 3" xfId="7058"/>
    <cellStyle name="Normal 7 2 2 2 4 3 2" xfId="12073"/>
    <cellStyle name="Normal 7 2 2 2 4 4" xfId="8765"/>
    <cellStyle name="Normal 7 2 2 2 4 5" xfId="13527"/>
    <cellStyle name="Normal 7 2 2 2 4 6" xfId="8271"/>
    <cellStyle name="Normal 7 2 2 2 4 7" xfId="3695"/>
    <cellStyle name="Normal 7 2 2 2 5" xfId="1867"/>
    <cellStyle name="Normal 7 2 2 2 5 2" xfId="9651"/>
    <cellStyle name="Normal 7 2 2 2 5 3" xfId="4633"/>
    <cellStyle name="Normal 7 2 2 2 6" xfId="6014"/>
    <cellStyle name="Normal 7 2 2 2 6 2" xfId="11030"/>
    <cellStyle name="Normal 7 2 2 2 7" xfId="8591"/>
    <cellStyle name="Normal 7 2 2 2 8" xfId="12484"/>
    <cellStyle name="Normal 7 2 2 2 9" xfId="7244"/>
    <cellStyle name="Normal 7 2 2 2_Degree data" xfId="3179"/>
    <cellStyle name="Normal 7 2 2 3" xfId="605"/>
    <cellStyle name="Normal 7 2 2 3 2" xfId="1014"/>
    <cellStyle name="Normal 7 2 2 3 2 2" xfId="2206"/>
    <cellStyle name="Normal 7 2 2 3 2 2 2" xfId="10311"/>
    <cellStyle name="Normal 7 2 2 3 2 2 3" xfId="5293"/>
    <cellStyle name="Normal 7 2 2 3 2 3" xfId="6353"/>
    <cellStyle name="Normal 7 2 2 3 2 3 2" xfId="11368"/>
    <cellStyle name="Normal 7 2 2 3 2 4" xfId="9427"/>
    <cellStyle name="Normal 7 2 2 3 2 5" xfId="12822"/>
    <cellStyle name="Normal 7 2 2 3 2 6" xfId="7904"/>
    <cellStyle name="Normal 7 2 2 3 2 7" xfId="4358"/>
    <cellStyle name="Normal 7 2 2 3 3" xfId="1370"/>
    <cellStyle name="Normal 7 2 2 3 3 2" xfId="2554"/>
    <cellStyle name="Normal 7 2 2 3 3 2 2" xfId="10573"/>
    <cellStyle name="Normal 7 2 2 3 3 2 3" xfId="5556"/>
    <cellStyle name="Normal 7 2 2 3 3 3" xfId="6701"/>
    <cellStyle name="Normal 7 2 2 3 3 3 2" xfId="11716"/>
    <cellStyle name="Normal 7 2 2 3 3 4" xfId="8980"/>
    <cellStyle name="Normal 7 2 2 3 3 5" xfId="13170"/>
    <cellStyle name="Normal 7 2 2 3 3 6" xfId="8167"/>
    <cellStyle name="Normal 7 2 2 3 3 7" xfId="3911"/>
    <cellStyle name="Normal 7 2 2 3 4" xfId="2928"/>
    <cellStyle name="Normal 7 2 2 3 4 2" xfId="6954"/>
    <cellStyle name="Normal 7 2 2 3 4 2 2" xfId="11969"/>
    <cellStyle name="Normal 7 2 2 3 4 3" xfId="13423"/>
    <cellStyle name="Normal 7 2 2 3 4 4" xfId="9864"/>
    <cellStyle name="Normal 7 2 2 3 4 5" xfId="4846"/>
    <cellStyle name="Normal 7 2 2 3 5" xfId="1763"/>
    <cellStyle name="Normal 7 2 2 3 5 2" xfId="10926"/>
    <cellStyle name="Normal 7 2 2 3 5 3" xfId="5910"/>
    <cellStyle name="Normal 7 2 2 3 6" xfId="8487"/>
    <cellStyle name="Normal 7 2 2 3 7" xfId="12380"/>
    <cellStyle name="Normal 7 2 2 3 8" xfId="7457"/>
    <cellStyle name="Normal 7 2 2 3 9" xfId="3409"/>
    <cellStyle name="Normal 7 2 2 3_Degree data" xfId="3180"/>
    <cellStyle name="Normal 7 2 2 4" xfId="505"/>
    <cellStyle name="Normal 7 2 2 4 2" xfId="914"/>
    <cellStyle name="Normal 7 2 2 4 2 2" xfId="9764"/>
    <cellStyle name="Normal 7 2 2 4 2 3" xfId="4746"/>
    <cellStyle name="Normal 7 2 2 4 3" xfId="2204"/>
    <cellStyle name="Normal 7 2 2 4 3 2" xfId="11366"/>
    <cellStyle name="Normal 7 2 2 4 3 3" xfId="6351"/>
    <cellStyle name="Normal 7 2 2 4 4" xfId="8880"/>
    <cellStyle name="Normal 7 2 2 4 5" xfId="12820"/>
    <cellStyle name="Normal 7 2 2 4 6" xfId="7357"/>
    <cellStyle name="Normal 7 2 2 4 7" xfId="3811"/>
    <cellStyle name="Normal 7 2 2 5" xfId="781"/>
    <cellStyle name="Normal 7 2 2 5 2" xfId="2552"/>
    <cellStyle name="Normal 7 2 2 5 2 2" xfId="10309"/>
    <cellStyle name="Normal 7 2 2 5 2 3" xfId="5291"/>
    <cellStyle name="Normal 7 2 2 5 3" xfId="6699"/>
    <cellStyle name="Normal 7 2 2 5 3 2" xfId="11714"/>
    <cellStyle name="Normal 7 2 2 5 4" xfId="9425"/>
    <cellStyle name="Normal 7 2 2 5 5" xfId="13168"/>
    <cellStyle name="Normal 7 2 2 5 6" xfId="7902"/>
    <cellStyle name="Normal 7 2 2 5 7" xfId="4356"/>
    <cellStyle name="Normal 7 2 2 6" xfId="1269"/>
    <cellStyle name="Normal 7 2 2 6 2" xfId="2826"/>
    <cellStyle name="Normal 7 2 2 6 2 2" xfId="10473"/>
    <cellStyle name="Normal 7 2 2 6 2 3" xfId="5456"/>
    <cellStyle name="Normal 7 2 2 6 3" xfId="6854"/>
    <cellStyle name="Normal 7 2 2 6 3 2" xfId="11869"/>
    <cellStyle name="Normal 7 2 2 6 4" xfId="8661"/>
    <cellStyle name="Normal 7 2 2 6 5" xfId="13323"/>
    <cellStyle name="Normal 7 2 2 6 6" xfId="8067"/>
    <cellStyle name="Normal 7 2 2 6 7" xfId="3588"/>
    <cellStyle name="Normal 7 2 2 7" xfId="1663"/>
    <cellStyle name="Normal 7 2 2 7 2" xfId="9547"/>
    <cellStyle name="Normal 7 2 2 7 3" xfId="4529"/>
    <cellStyle name="Normal 7 2 2 8" xfId="5810"/>
    <cellStyle name="Normal 7 2 2 8 2" xfId="10826"/>
    <cellStyle name="Normal 7 2 2 9" xfId="8387"/>
    <cellStyle name="Normal 7 2 2_Degree data" xfId="3178"/>
    <cellStyle name="Normal 7 2 3" xfId="205"/>
    <cellStyle name="Normal 7 2 3 10" xfId="7183"/>
    <cellStyle name="Normal 7 2 3 11" xfId="3352"/>
    <cellStyle name="Normal 7 2 3 2" xfId="398"/>
    <cellStyle name="Normal 7 2 3 2 2" xfId="648"/>
    <cellStyle name="Normal 7 2 3 2 2 2" xfId="2208"/>
    <cellStyle name="Normal 7 2 3 2 2 2 2" xfId="10313"/>
    <cellStyle name="Normal 7 2 3 2 2 2 3" xfId="5295"/>
    <cellStyle name="Normal 7 2 3 2 2 3" xfId="6355"/>
    <cellStyle name="Normal 7 2 3 2 2 3 2" xfId="11370"/>
    <cellStyle name="Normal 7 2 3 2 2 4" xfId="9429"/>
    <cellStyle name="Normal 7 2 3 2 2 5" xfId="12824"/>
    <cellStyle name="Normal 7 2 3 2 2 6" xfId="7906"/>
    <cellStyle name="Normal 7 2 3 2 2 7" xfId="4360"/>
    <cellStyle name="Normal 7 2 3 2 3" xfId="1057"/>
    <cellStyle name="Normal 7 2 3 2 3 2" xfId="2556"/>
    <cellStyle name="Normal 7 2 3 2 3 2 2" xfId="10616"/>
    <cellStyle name="Normal 7 2 3 2 3 2 3" xfId="5599"/>
    <cellStyle name="Normal 7 2 3 2 3 3" xfId="6703"/>
    <cellStyle name="Normal 7 2 3 2 3 3 2" xfId="11718"/>
    <cellStyle name="Normal 7 2 3 2 3 4" xfId="9023"/>
    <cellStyle name="Normal 7 2 3 2 3 5" xfId="13172"/>
    <cellStyle name="Normal 7 2 3 2 3 6" xfId="8210"/>
    <cellStyle name="Normal 7 2 3 2 3 7" xfId="3954"/>
    <cellStyle name="Normal 7 2 3 2 4" xfId="1415"/>
    <cellStyle name="Normal 7 2 3 2 4 2" xfId="2973"/>
    <cellStyle name="Normal 7 2 3 2 4 2 2" xfId="12012"/>
    <cellStyle name="Normal 7 2 3 2 4 2 3" xfId="6997"/>
    <cellStyle name="Normal 7 2 3 2 4 3" xfId="13466"/>
    <cellStyle name="Normal 7 2 3 2 4 4" xfId="9907"/>
    <cellStyle name="Normal 7 2 3 2 4 5" xfId="4889"/>
    <cellStyle name="Normal 7 2 3 2 5" xfId="1806"/>
    <cellStyle name="Normal 7 2 3 2 5 2" xfId="10969"/>
    <cellStyle name="Normal 7 2 3 2 5 3" xfId="5953"/>
    <cellStyle name="Normal 7 2 3 2 6" xfId="8530"/>
    <cellStyle name="Normal 7 2 3 2 7" xfId="12423"/>
    <cellStyle name="Normal 7 2 3 2 8" xfId="7500"/>
    <cellStyle name="Normal 7 2 3 2 9" xfId="3452"/>
    <cellStyle name="Normal 7 2 3 2_Degree data" xfId="3182"/>
    <cellStyle name="Normal 7 2 3 3" xfId="548"/>
    <cellStyle name="Normal 7 2 3 3 2" xfId="957"/>
    <cellStyle name="Normal 7 2 3 3 2 2" xfId="9807"/>
    <cellStyle name="Normal 7 2 3 3 2 3" xfId="4789"/>
    <cellStyle name="Normal 7 2 3 3 3" xfId="2207"/>
    <cellStyle name="Normal 7 2 3 3 3 2" xfId="11369"/>
    <cellStyle name="Normal 7 2 3 3 3 3" xfId="6354"/>
    <cellStyle name="Normal 7 2 3 3 4" xfId="8923"/>
    <cellStyle name="Normal 7 2 3 3 5" xfId="12823"/>
    <cellStyle name="Normal 7 2 3 3 6" xfId="7400"/>
    <cellStyle name="Normal 7 2 3 3 7" xfId="3854"/>
    <cellStyle name="Normal 7 2 3 4" xfId="811"/>
    <cellStyle name="Normal 7 2 3 4 2" xfId="2555"/>
    <cellStyle name="Normal 7 2 3 4 2 2" xfId="10312"/>
    <cellStyle name="Normal 7 2 3 4 2 3" xfId="5294"/>
    <cellStyle name="Normal 7 2 3 4 3" xfId="6702"/>
    <cellStyle name="Normal 7 2 3 4 3 2" xfId="11717"/>
    <cellStyle name="Normal 7 2 3 4 4" xfId="9428"/>
    <cellStyle name="Normal 7 2 3 4 5" xfId="13171"/>
    <cellStyle name="Normal 7 2 3 4 6" xfId="7905"/>
    <cellStyle name="Normal 7 2 3 4 7" xfId="4359"/>
    <cellStyle name="Normal 7 2 3 5" xfId="1313"/>
    <cellStyle name="Normal 7 2 3 5 2" xfId="2871"/>
    <cellStyle name="Normal 7 2 3 5 2 2" xfId="10516"/>
    <cellStyle name="Normal 7 2 3 5 2 3" xfId="5499"/>
    <cellStyle name="Normal 7 2 3 5 3" xfId="6897"/>
    <cellStyle name="Normal 7 2 3 5 3 2" xfId="11912"/>
    <cellStyle name="Normal 7 2 3 5 4" xfId="8704"/>
    <cellStyle name="Normal 7 2 3 5 5" xfId="13366"/>
    <cellStyle name="Normal 7 2 3 5 6" xfId="8110"/>
    <cellStyle name="Normal 7 2 3 5 7" xfId="3634"/>
    <cellStyle name="Normal 7 2 3 6" xfId="1706"/>
    <cellStyle name="Normal 7 2 3 6 2" xfId="9590"/>
    <cellStyle name="Normal 7 2 3 6 3" xfId="4572"/>
    <cellStyle name="Normal 7 2 3 7" xfId="5853"/>
    <cellStyle name="Normal 7 2 3 7 2" xfId="10869"/>
    <cellStyle name="Normal 7 2 3 8" xfId="8430"/>
    <cellStyle name="Normal 7 2 3 9" xfId="12323"/>
    <cellStyle name="Normal 7 2 3_Degree data" xfId="3181"/>
    <cellStyle name="Normal 7 2 4" xfId="241"/>
    <cellStyle name="Normal 7 2 4 10" xfId="7215"/>
    <cellStyle name="Normal 7 2 4 11" xfId="3279"/>
    <cellStyle name="Normal 7 2 4 2" xfId="323"/>
    <cellStyle name="Normal 7 2 4 2 2" xfId="680"/>
    <cellStyle name="Normal 7 2 4 2 2 2" xfId="2210"/>
    <cellStyle name="Normal 7 2 4 2 2 2 2" xfId="10315"/>
    <cellStyle name="Normal 7 2 4 2 2 2 3" xfId="5297"/>
    <cellStyle name="Normal 7 2 4 2 2 3" xfId="6357"/>
    <cellStyle name="Normal 7 2 4 2 2 3 2" xfId="11372"/>
    <cellStyle name="Normal 7 2 4 2 2 4" xfId="9431"/>
    <cellStyle name="Normal 7 2 4 2 2 5" xfId="12826"/>
    <cellStyle name="Normal 7 2 4 2 2 6" xfId="7908"/>
    <cellStyle name="Normal 7 2 4 2 2 7" xfId="4362"/>
    <cellStyle name="Normal 7 2 4 2 3" xfId="1089"/>
    <cellStyle name="Normal 7 2 4 2 3 2" xfId="2558"/>
    <cellStyle name="Normal 7 2 4 2 3 2 2" xfId="10648"/>
    <cellStyle name="Normal 7 2 4 2 3 2 3" xfId="5631"/>
    <cellStyle name="Normal 7 2 4 2 3 3" xfId="6705"/>
    <cellStyle name="Normal 7 2 4 2 3 3 2" xfId="11720"/>
    <cellStyle name="Normal 7 2 4 2 3 4" xfId="9055"/>
    <cellStyle name="Normal 7 2 4 2 3 5" xfId="13174"/>
    <cellStyle name="Normal 7 2 4 2 3 6" xfId="8242"/>
    <cellStyle name="Normal 7 2 4 2 3 7" xfId="3986"/>
    <cellStyle name="Normal 7 2 4 2 4" xfId="1447"/>
    <cellStyle name="Normal 7 2 4 2 4 2" xfId="3006"/>
    <cellStyle name="Normal 7 2 4 2 4 2 2" xfId="12044"/>
    <cellStyle name="Normal 7 2 4 2 4 2 3" xfId="7029"/>
    <cellStyle name="Normal 7 2 4 2 4 3" xfId="13498"/>
    <cellStyle name="Normal 7 2 4 2 4 4" xfId="9939"/>
    <cellStyle name="Normal 7 2 4 2 4 5" xfId="4921"/>
    <cellStyle name="Normal 7 2 4 2 5" xfId="1838"/>
    <cellStyle name="Normal 7 2 4 2 5 2" xfId="11001"/>
    <cellStyle name="Normal 7 2 4 2 5 3" xfId="5985"/>
    <cellStyle name="Normal 7 2 4 2 6" xfId="8562"/>
    <cellStyle name="Normal 7 2 4 2 7" xfId="12455"/>
    <cellStyle name="Normal 7 2 4 2 8" xfId="7532"/>
    <cellStyle name="Normal 7 2 4 2 9" xfId="3484"/>
    <cellStyle name="Normal 7 2 4 2_Degree data" xfId="3184"/>
    <cellStyle name="Normal 7 2 4 3" xfId="475"/>
    <cellStyle name="Normal 7 2 4 3 2" xfId="2209"/>
    <cellStyle name="Normal 7 2 4 3 2 2" xfId="9734"/>
    <cellStyle name="Normal 7 2 4 3 2 3" xfId="4716"/>
    <cellStyle name="Normal 7 2 4 3 3" xfId="6356"/>
    <cellStyle name="Normal 7 2 4 3 3 2" xfId="11371"/>
    <cellStyle name="Normal 7 2 4 3 4" xfId="8850"/>
    <cellStyle name="Normal 7 2 4 3 5" xfId="12825"/>
    <cellStyle name="Normal 7 2 4 3 6" xfId="7327"/>
    <cellStyle name="Normal 7 2 4 3 7" xfId="3781"/>
    <cellStyle name="Normal 7 2 4 4" xfId="884"/>
    <cellStyle name="Normal 7 2 4 4 2" xfId="2557"/>
    <cellStyle name="Normal 7 2 4 4 2 2" xfId="10314"/>
    <cellStyle name="Normal 7 2 4 4 2 3" xfId="5296"/>
    <cellStyle name="Normal 7 2 4 4 3" xfId="6704"/>
    <cellStyle name="Normal 7 2 4 4 3 2" xfId="11719"/>
    <cellStyle name="Normal 7 2 4 4 4" xfId="9430"/>
    <cellStyle name="Normal 7 2 4 4 5" xfId="13173"/>
    <cellStyle name="Normal 7 2 4 4 6" xfId="7907"/>
    <cellStyle name="Normal 7 2 4 4 7" xfId="4361"/>
    <cellStyle name="Normal 7 2 4 5" xfId="1236"/>
    <cellStyle name="Normal 7 2 4 5 2" xfId="2792"/>
    <cellStyle name="Normal 7 2 4 5 2 2" xfId="10443"/>
    <cellStyle name="Normal 7 2 4 5 2 3" xfId="5426"/>
    <cellStyle name="Normal 7 2 4 5 3" xfId="6824"/>
    <cellStyle name="Normal 7 2 4 5 3 2" xfId="11839"/>
    <cellStyle name="Normal 7 2 4 5 4" xfId="8736"/>
    <cellStyle name="Normal 7 2 4 5 5" xfId="13293"/>
    <cellStyle name="Normal 7 2 4 5 6" xfId="8037"/>
    <cellStyle name="Normal 7 2 4 5 7" xfId="3666"/>
    <cellStyle name="Normal 7 2 4 6" xfId="1633"/>
    <cellStyle name="Normal 7 2 4 6 2" xfId="9622"/>
    <cellStyle name="Normal 7 2 4 6 3" xfId="4604"/>
    <cellStyle name="Normal 7 2 4 7" xfId="5780"/>
    <cellStyle name="Normal 7 2 4 7 2" xfId="10796"/>
    <cellStyle name="Normal 7 2 4 8" xfId="8357"/>
    <cellStyle name="Normal 7 2 4 9" xfId="12250"/>
    <cellStyle name="Normal 7 2 4_Degree data" xfId="3183"/>
    <cellStyle name="Normal 7 2 5" xfId="294"/>
    <cellStyle name="Normal 7 2 5 2" xfId="575"/>
    <cellStyle name="Normal 7 2 5 2 2" xfId="2211"/>
    <cellStyle name="Normal 7 2 5 2 2 2" xfId="10316"/>
    <cellStyle name="Normal 7 2 5 2 2 3" xfId="5298"/>
    <cellStyle name="Normal 7 2 5 2 3" xfId="6358"/>
    <cellStyle name="Normal 7 2 5 2 3 2" xfId="11373"/>
    <cellStyle name="Normal 7 2 5 2 4" xfId="9432"/>
    <cellStyle name="Normal 7 2 5 2 5" xfId="12827"/>
    <cellStyle name="Normal 7 2 5 2 6" xfId="7909"/>
    <cellStyle name="Normal 7 2 5 2 7" xfId="4363"/>
    <cellStyle name="Normal 7 2 5 3" xfId="984"/>
    <cellStyle name="Normal 7 2 5 3 2" xfId="2559"/>
    <cellStyle name="Normal 7 2 5 3 2 2" xfId="10543"/>
    <cellStyle name="Normal 7 2 5 3 2 3" xfId="5526"/>
    <cellStyle name="Normal 7 2 5 3 3" xfId="6706"/>
    <cellStyle name="Normal 7 2 5 3 3 2" xfId="11721"/>
    <cellStyle name="Normal 7 2 5 3 4" xfId="8950"/>
    <cellStyle name="Normal 7 2 5 3 5" xfId="13175"/>
    <cellStyle name="Normal 7 2 5 3 6" xfId="8137"/>
    <cellStyle name="Normal 7 2 5 3 7" xfId="3881"/>
    <cellStyle name="Normal 7 2 5 4" xfId="1340"/>
    <cellStyle name="Normal 7 2 5 4 2" xfId="2898"/>
    <cellStyle name="Normal 7 2 5 4 2 2" xfId="11939"/>
    <cellStyle name="Normal 7 2 5 4 2 3" xfId="6924"/>
    <cellStyle name="Normal 7 2 5 4 3" xfId="13393"/>
    <cellStyle name="Normal 7 2 5 4 4" xfId="9834"/>
    <cellStyle name="Normal 7 2 5 4 5" xfId="4816"/>
    <cellStyle name="Normal 7 2 5 5" xfId="1733"/>
    <cellStyle name="Normal 7 2 5 5 2" xfId="10896"/>
    <cellStyle name="Normal 7 2 5 5 3" xfId="5880"/>
    <cellStyle name="Normal 7 2 5 6" xfId="8457"/>
    <cellStyle name="Normal 7 2 5 7" xfId="12350"/>
    <cellStyle name="Normal 7 2 5 8" xfId="7427"/>
    <cellStyle name="Normal 7 2 5 9" xfId="3379"/>
    <cellStyle name="Normal 7 2 5_Degree data" xfId="3185"/>
    <cellStyle name="Normal 7 2 6" xfId="448"/>
    <cellStyle name="Normal 7 2 6 2" xfId="857"/>
    <cellStyle name="Normal 7 2 6 2 2" xfId="2212"/>
    <cellStyle name="Normal 7 2 6 2 2 2" xfId="10317"/>
    <cellStyle name="Normal 7 2 6 2 2 3" xfId="5299"/>
    <cellStyle name="Normal 7 2 6 2 3" xfId="6359"/>
    <cellStyle name="Normal 7 2 6 2 3 2" xfId="11374"/>
    <cellStyle name="Normal 7 2 6 2 4" xfId="9433"/>
    <cellStyle name="Normal 7 2 6 2 5" xfId="12828"/>
    <cellStyle name="Normal 7 2 6 2 6" xfId="7910"/>
    <cellStyle name="Normal 7 2 6 2 7" xfId="4364"/>
    <cellStyle name="Normal 7 2 6 3" xfId="1207"/>
    <cellStyle name="Normal 7 2 6 3 2" xfId="2560"/>
    <cellStyle name="Normal 7 2 6 3 2 2" xfId="10416"/>
    <cellStyle name="Normal 7 2 6 3 2 3" xfId="5399"/>
    <cellStyle name="Normal 7 2 6 3 3" xfId="6707"/>
    <cellStyle name="Normal 7 2 6 3 3 2" xfId="11722"/>
    <cellStyle name="Normal 7 2 6 3 4" xfId="9496"/>
    <cellStyle name="Normal 7 2 6 3 5" xfId="13176"/>
    <cellStyle name="Normal 7 2 6 3 6" xfId="8010"/>
    <cellStyle name="Normal 7 2 6 3 7" xfId="4478"/>
    <cellStyle name="Normal 7 2 6 4" xfId="2761"/>
    <cellStyle name="Normal 7 2 6 4 2" xfId="6797"/>
    <cellStyle name="Normal 7 2 6 4 2 2" xfId="11812"/>
    <cellStyle name="Normal 7 2 6 4 3" xfId="13266"/>
    <cellStyle name="Normal 7 2 6 4 4" xfId="9707"/>
    <cellStyle name="Normal 7 2 6 4 5" xfId="4689"/>
    <cellStyle name="Normal 7 2 6 5" xfId="1606"/>
    <cellStyle name="Normal 7 2 6 5 2" xfId="10767"/>
    <cellStyle name="Normal 7 2 6 5 3" xfId="5751"/>
    <cellStyle name="Normal 7 2 6 6" xfId="8823"/>
    <cellStyle name="Normal 7 2 6 7" xfId="12223"/>
    <cellStyle name="Normal 7 2 6 8" xfId="7300"/>
    <cellStyle name="Normal 7 2 6 9" xfId="3754"/>
    <cellStyle name="Normal 7 2 6_Degree data" xfId="3186"/>
    <cellStyle name="Normal 7 2 7" xfId="757"/>
    <cellStyle name="Normal 7 2 7 2" xfId="2203"/>
    <cellStyle name="Normal 7 2 7 2 2" xfId="10308"/>
    <cellStyle name="Normal 7 2 7 2 3" xfId="5290"/>
    <cellStyle name="Normal 7 2 7 3" xfId="6350"/>
    <cellStyle name="Normal 7 2 7 3 2" xfId="11365"/>
    <cellStyle name="Normal 7 2 7 4" xfId="9424"/>
    <cellStyle name="Normal 7 2 7 5" xfId="12819"/>
    <cellStyle name="Normal 7 2 7 6" xfId="7901"/>
    <cellStyle name="Normal 7 2 7 7" xfId="4355"/>
    <cellStyle name="Normal 7 2 8" xfId="1161"/>
    <cellStyle name="Normal 7 2 8 2" xfId="2551"/>
    <cellStyle name="Normal 7 2 8 2 2" xfId="10371"/>
    <cellStyle name="Normal 7 2 8 2 3" xfId="5354"/>
    <cellStyle name="Normal 7 2 8 3" xfId="6698"/>
    <cellStyle name="Normal 7 2 8 3 2" xfId="11713"/>
    <cellStyle name="Normal 7 2 8 4" xfId="8630"/>
    <cellStyle name="Normal 7 2 8 5" xfId="13167"/>
    <cellStyle name="Normal 7 2 8 6" xfId="7965"/>
    <cellStyle name="Normal 7 2 8 7" xfId="3554"/>
    <cellStyle name="Normal 7 2 9" xfId="2710"/>
    <cellStyle name="Normal 7 2 9 2" xfId="6752"/>
    <cellStyle name="Normal 7 2 9 2 2" xfId="11767"/>
    <cellStyle name="Normal 7 2 9 3" xfId="13221"/>
    <cellStyle name="Normal 7 2 9 4" xfId="9516"/>
    <cellStyle name="Normal 7 2 9 5" xfId="4498"/>
    <cellStyle name="Normal 7 2_Degree data" xfId="3177"/>
    <cellStyle name="Normal 7 3" xfId="153"/>
    <cellStyle name="Normal 7 3 10" xfId="1569"/>
    <cellStyle name="Normal 7 3 10 2" xfId="12186"/>
    <cellStyle name="Normal 7 3 10 3" xfId="10730"/>
    <cellStyle name="Normal 7 3 10 4" xfId="5714"/>
    <cellStyle name="Normal 7 3 11" xfId="1539"/>
    <cellStyle name="Normal 7 3 11 2" xfId="8338"/>
    <cellStyle name="Normal 7 3 12" xfId="12156"/>
    <cellStyle name="Normal 7 3 13" xfId="7119"/>
    <cellStyle name="Normal 7 3 14" xfId="3260"/>
    <cellStyle name="Normal 7 3 2" xfId="213"/>
    <cellStyle name="Normal 7 3 2 10" xfId="12288"/>
    <cellStyle name="Normal 7 3 2 11" xfId="7148"/>
    <cellStyle name="Normal 7 3 2 12" xfId="3317"/>
    <cellStyle name="Normal 7 3 2 2" xfId="362"/>
    <cellStyle name="Normal 7 3 2 2 10" xfId="3521"/>
    <cellStyle name="Normal 7 3 2 2 2" xfId="717"/>
    <cellStyle name="Normal 7 3 2 2 2 2" xfId="2215"/>
    <cellStyle name="Normal 7 3 2 2 2 2 2" xfId="9976"/>
    <cellStyle name="Normal 7 3 2 2 2 2 3" xfId="4958"/>
    <cellStyle name="Normal 7 3 2 2 2 3" xfId="6362"/>
    <cellStyle name="Normal 7 3 2 2 2 3 2" xfId="11377"/>
    <cellStyle name="Normal 7 3 2 2 2 4" xfId="9092"/>
    <cellStyle name="Normal 7 3 2 2 2 5" xfId="12831"/>
    <cellStyle name="Normal 7 3 2 2 2 6" xfId="7569"/>
    <cellStyle name="Normal 7 3 2 2 2 7" xfId="4023"/>
    <cellStyle name="Normal 7 3 2 2 3" xfId="1126"/>
    <cellStyle name="Normal 7 3 2 2 3 2" xfId="2563"/>
    <cellStyle name="Normal 7 3 2 2 3 2 2" xfId="10320"/>
    <cellStyle name="Normal 7 3 2 2 3 2 3" xfId="5302"/>
    <cellStyle name="Normal 7 3 2 2 3 3" xfId="6710"/>
    <cellStyle name="Normal 7 3 2 2 3 3 2" xfId="11725"/>
    <cellStyle name="Normal 7 3 2 2 3 4" xfId="9436"/>
    <cellStyle name="Normal 7 3 2 2 3 5" xfId="13179"/>
    <cellStyle name="Normal 7 3 2 2 3 6" xfId="7913"/>
    <cellStyle name="Normal 7 3 2 2 3 7" xfId="4367"/>
    <cellStyle name="Normal 7 3 2 2 4" xfId="1484"/>
    <cellStyle name="Normal 7 3 2 2 4 2" xfId="3043"/>
    <cellStyle name="Normal 7 3 2 2 4 2 2" xfId="10685"/>
    <cellStyle name="Normal 7 3 2 2 4 2 3" xfId="5668"/>
    <cellStyle name="Normal 7 3 2 2 4 3" xfId="7066"/>
    <cellStyle name="Normal 7 3 2 2 4 3 2" xfId="12081"/>
    <cellStyle name="Normal 7 3 2 2 4 4" xfId="8773"/>
    <cellStyle name="Normal 7 3 2 2 4 5" xfId="13535"/>
    <cellStyle name="Normal 7 3 2 2 4 6" xfId="8279"/>
    <cellStyle name="Normal 7 3 2 2 4 7" xfId="3703"/>
    <cellStyle name="Normal 7 3 2 2 5" xfId="1875"/>
    <cellStyle name="Normal 7 3 2 2 5 2" xfId="9659"/>
    <cellStyle name="Normal 7 3 2 2 5 3" xfId="4641"/>
    <cellStyle name="Normal 7 3 2 2 6" xfId="6022"/>
    <cellStyle name="Normal 7 3 2 2 6 2" xfId="11038"/>
    <cellStyle name="Normal 7 3 2 2 7" xfId="8599"/>
    <cellStyle name="Normal 7 3 2 2 8" xfId="12492"/>
    <cellStyle name="Normal 7 3 2 2 9" xfId="7252"/>
    <cellStyle name="Normal 7 3 2 2_Degree data" xfId="3189"/>
    <cellStyle name="Normal 7 3 2 3" xfId="613"/>
    <cellStyle name="Normal 7 3 2 3 2" xfId="1022"/>
    <cellStyle name="Normal 7 3 2 3 2 2" xfId="2216"/>
    <cellStyle name="Normal 7 3 2 3 2 2 2" xfId="10321"/>
    <cellStyle name="Normal 7 3 2 3 2 2 3" xfId="5303"/>
    <cellStyle name="Normal 7 3 2 3 2 3" xfId="6363"/>
    <cellStyle name="Normal 7 3 2 3 2 3 2" xfId="11378"/>
    <cellStyle name="Normal 7 3 2 3 2 4" xfId="9437"/>
    <cellStyle name="Normal 7 3 2 3 2 5" xfId="12832"/>
    <cellStyle name="Normal 7 3 2 3 2 6" xfId="7914"/>
    <cellStyle name="Normal 7 3 2 3 2 7" xfId="4368"/>
    <cellStyle name="Normal 7 3 2 3 3" xfId="1378"/>
    <cellStyle name="Normal 7 3 2 3 3 2" xfId="2564"/>
    <cellStyle name="Normal 7 3 2 3 3 2 2" xfId="10581"/>
    <cellStyle name="Normal 7 3 2 3 3 2 3" xfId="5564"/>
    <cellStyle name="Normal 7 3 2 3 3 3" xfId="6711"/>
    <cellStyle name="Normal 7 3 2 3 3 3 2" xfId="11726"/>
    <cellStyle name="Normal 7 3 2 3 3 4" xfId="8988"/>
    <cellStyle name="Normal 7 3 2 3 3 5" xfId="13180"/>
    <cellStyle name="Normal 7 3 2 3 3 6" xfId="8175"/>
    <cellStyle name="Normal 7 3 2 3 3 7" xfId="3919"/>
    <cellStyle name="Normal 7 3 2 3 4" xfId="2936"/>
    <cellStyle name="Normal 7 3 2 3 4 2" xfId="6962"/>
    <cellStyle name="Normal 7 3 2 3 4 2 2" xfId="11977"/>
    <cellStyle name="Normal 7 3 2 3 4 3" xfId="13431"/>
    <cellStyle name="Normal 7 3 2 3 4 4" xfId="9872"/>
    <cellStyle name="Normal 7 3 2 3 4 5" xfId="4854"/>
    <cellStyle name="Normal 7 3 2 3 5" xfId="1771"/>
    <cellStyle name="Normal 7 3 2 3 5 2" xfId="10934"/>
    <cellStyle name="Normal 7 3 2 3 5 3" xfId="5918"/>
    <cellStyle name="Normal 7 3 2 3 6" xfId="8495"/>
    <cellStyle name="Normal 7 3 2 3 7" xfId="12388"/>
    <cellStyle name="Normal 7 3 2 3 8" xfId="7465"/>
    <cellStyle name="Normal 7 3 2 3 9" xfId="3417"/>
    <cellStyle name="Normal 7 3 2 3_Degree data" xfId="3190"/>
    <cellStyle name="Normal 7 3 2 4" xfId="513"/>
    <cellStyle name="Normal 7 3 2 4 2" xfId="922"/>
    <cellStyle name="Normal 7 3 2 4 2 2" xfId="9772"/>
    <cellStyle name="Normal 7 3 2 4 2 3" xfId="4754"/>
    <cellStyle name="Normal 7 3 2 4 3" xfId="2214"/>
    <cellStyle name="Normal 7 3 2 4 3 2" xfId="11376"/>
    <cellStyle name="Normal 7 3 2 4 3 3" xfId="6361"/>
    <cellStyle name="Normal 7 3 2 4 4" xfId="8888"/>
    <cellStyle name="Normal 7 3 2 4 5" xfId="12830"/>
    <cellStyle name="Normal 7 3 2 4 6" xfId="7365"/>
    <cellStyle name="Normal 7 3 2 4 7" xfId="3819"/>
    <cellStyle name="Normal 7 3 2 5" xfId="819"/>
    <cellStyle name="Normal 7 3 2 5 2" xfId="2562"/>
    <cellStyle name="Normal 7 3 2 5 2 2" xfId="10319"/>
    <cellStyle name="Normal 7 3 2 5 2 3" xfId="5301"/>
    <cellStyle name="Normal 7 3 2 5 3" xfId="6709"/>
    <cellStyle name="Normal 7 3 2 5 3 2" xfId="11724"/>
    <cellStyle name="Normal 7 3 2 5 4" xfId="9435"/>
    <cellStyle name="Normal 7 3 2 5 5" xfId="13178"/>
    <cellStyle name="Normal 7 3 2 5 6" xfId="7912"/>
    <cellStyle name="Normal 7 3 2 5 7" xfId="4366"/>
    <cellStyle name="Normal 7 3 2 6" xfId="1277"/>
    <cellStyle name="Normal 7 3 2 6 2" xfId="2834"/>
    <cellStyle name="Normal 7 3 2 6 2 2" xfId="10481"/>
    <cellStyle name="Normal 7 3 2 6 2 3" xfId="5464"/>
    <cellStyle name="Normal 7 3 2 6 3" xfId="6862"/>
    <cellStyle name="Normal 7 3 2 6 3 2" xfId="11877"/>
    <cellStyle name="Normal 7 3 2 6 4" xfId="8669"/>
    <cellStyle name="Normal 7 3 2 6 5" xfId="13331"/>
    <cellStyle name="Normal 7 3 2 6 6" xfId="8075"/>
    <cellStyle name="Normal 7 3 2 6 7" xfId="3596"/>
    <cellStyle name="Normal 7 3 2 7" xfId="1671"/>
    <cellStyle name="Normal 7 3 2 7 2" xfId="9555"/>
    <cellStyle name="Normal 7 3 2 7 3" xfId="4537"/>
    <cellStyle name="Normal 7 3 2 8" xfId="5818"/>
    <cellStyle name="Normal 7 3 2 8 2" xfId="10834"/>
    <cellStyle name="Normal 7 3 2 9" xfId="8395"/>
    <cellStyle name="Normal 7 3 2_Degree data" xfId="3188"/>
    <cellStyle name="Normal 7 3 3" xfId="249"/>
    <cellStyle name="Normal 7 3 3 10" xfId="7191"/>
    <cellStyle name="Normal 7 3 3 11" xfId="3360"/>
    <cellStyle name="Normal 7 3 3 2" xfId="406"/>
    <cellStyle name="Normal 7 3 3 2 2" xfId="656"/>
    <cellStyle name="Normal 7 3 3 2 2 2" xfId="2218"/>
    <cellStyle name="Normal 7 3 3 2 2 2 2" xfId="10323"/>
    <cellStyle name="Normal 7 3 3 2 2 2 3" xfId="5305"/>
    <cellStyle name="Normal 7 3 3 2 2 3" xfId="6365"/>
    <cellStyle name="Normal 7 3 3 2 2 3 2" xfId="11380"/>
    <cellStyle name="Normal 7 3 3 2 2 4" xfId="9439"/>
    <cellStyle name="Normal 7 3 3 2 2 5" xfId="12834"/>
    <cellStyle name="Normal 7 3 3 2 2 6" xfId="7916"/>
    <cellStyle name="Normal 7 3 3 2 2 7" xfId="4370"/>
    <cellStyle name="Normal 7 3 3 2 3" xfId="1065"/>
    <cellStyle name="Normal 7 3 3 2 3 2" xfId="2566"/>
    <cellStyle name="Normal 7 3 3 2 3 2 2" xfId="10624"/>
    <cellStyle name="Normal 7 3 3 2 3 2 3" xfId="5607"/>
    <cellStyle name="Normal 7 3 3 2 3 3" xfId="6713"/>
    <cellStyle name="Normal 7 3 3 2 3 3 2" xfId="11728"/>
    <cellStyle name="Normal 7 3 3 2 3 4" xfId="9031"/>
    <cellStyle name="Normal 7 3 3 2 3 5" xfId="13182"/>
    <cellStyle name="Normal 7 3 3 2 3 6" xfId="8218"/>
    <cellStyle name="Normal 7 3 3 2 3 7" xfId="3962"/>
    <cellStyle name="Normal 7 3 3 2 4" xfId="1423"/>
    <cellStyle name="Normal 7 3 3 2 4 2" xfId="2981"/>
    <cellStyle name="Normal 7 3 3 2 4 2 2" xfId="12020"/>
    <cellStyle name="Normal 7 3 3 2 4 2 3" xfId="7005"/>
    <cellStyle name="Normal 7 3 3 2 4 3" xfId="13474"/>
    <cellStyle name="Normal 7 3 3 2 4 4" xfId="9915"/>
    <cellStyle name="Normal 7 3 3 2 4 5" xfId="4897"/>
    <cellStyle name="Normal 7 3 3 2 5" xfId="1814"/>
    <cellStyle name="Normal 7 3 3 2 5 2" xfId="10977"/>
    <cellStyle name="Normal 7 3 3 2 5 3" xfId="5961"/>
    <cellStyle name="Normal 7 3 3 2 6" xfId="8538"/>
    <cellStyle name="Normal 7 3 3 2 7" xfId="12431"/>
    <cellStyle name="Normal 7 3 3 2 8" xfId="7508"/>
    <cellStyle name="Normal 7 3 3 2 9" xfId="3460"/>
    <cellStyle name="Normal 7 3 3 2_Degree data" xfId="3192"/>
    <cellStyle name="Normal 7 3 3 3" xfId="556"/>
    <cellStyle name="Normal 7 3 3 3 2" xfId="2217"/>
    <cellStyle name="Normal 7 3 3 3 2 2" xfId="9815"/>
    <cellStyle name="Normal 7 3 3 3 2 3" xfId="4797"/>
    <cellStyle name="Normal 7 3 3 3 3" xfId="6364"/>
    <cellStyle name="Normal 7 3 3 3 3 2" xfId="11379"/>
    <cellStyle name="Normal 7 3 3 3 4" xfId="8931"/>
    <cellStyle name="Normal 7 3 3 3 5" xfId="12833"/>
    <cellStyle name="Normal 7 3 3 3 6" xfId="7408"/>
    <cellStyle name="Normal 7 3 3 3 7" xfId="3862"/>
    <cellStyle name="Normal 7 3 3 4" xfId="965"/>
    <cellStyle name="Normal 7 3 3 4 2" xfId="2565"/>
    <cellStyle name="Normal 7 3 3 4 2 2" xfId="10322"/>
    <cellStyle name="Normal 7 3 3 4 2 3" xfId="5304"/>
    <cellStyle name="Normal 7 3 3 4 3" xfId="6712"/>
    <cellStyle name="Normal 7 3 3 4 3 2" xfId="11727"/>
    <cellStyle name="Normal 7 3 3 4 4" xfId="9438"/>
    <cellStyle name="Normal 7 3 3 4 5" xfId="13181"/>
    <cellStyle name="Normal 7 3 3 4 6" xfId="7915"/>
    <cellStyle name="Normal 7 3 3 4 7" xfId="4369"/>
    <cellStyle name="Normal 7 3 3 5" xfId="1321"/>
    <cellStyle name="Normal 7 3 3 5 2" xfId="2879"/>
    <cellStyle name="Normal 7 3 3 5 2 2" xfId="10524"/>
    <cellStyle name="Normal 7 3 3 5 2 3" xfId="5507"/>
    <cellStyle name="Normal 7 3 3 5 3" xfId="6905"/>
    <cellStyle name="Normal 7 3 3 5 3 2" xfId="11920"/>
    <cellStyle name="Normal 7 3 3 5 4" xfId="8712"/>
    <cellStyle name="Normal 7 3 3 5 5" xfId="13374"/>
    <cellStyle name="Normal 7 3 3 5 6" xfId="8118"/>
    <cellStyle name="Normal 7 3 3 5 7" xfId="3642"/>
    <cellStyle name="Normal 7 3 3 6" xfId="1714"/>
    <cellStyle name="Normal 7 3 3 6 2" xfId="9598"/>
    <cellStyle name="Normal 7 3 3 6 3" xfId="4580"/>
    <cellStyle name="Normal 7 3 3 7" xfId="5861"/>
    <cellStyle name="Normal 7 3 3 7 2" xfId="10877"/>
    <cellStyle name="Normal 7 3 3 8" xfId="8438"/>
    <cellStyle name="Normal 7 3 3 9" xfId="12331"/>
    <cellStyle name="Normal 7 3 3_Degree data" xfId="3191"/>
    <cellStyle name="Normal 7 3 4" xfId="332"/>
    <cellStyle name="Normal 7 3 4 10" xfId="7224"/>
    <cellStyle name="Normal 7 3 4 11" xfId="3288"/>
    <cellStyle name="Normal 7 3 4 2" xfId="689"/>
    <cellStyle name="Normal 7 3 4 2 2" xfId="1098"/>
    <cellStyle name="Normal 7 3 4 2 2 2" xfId="2220"/>
    <cellStyle name="Normal 7 3 4 2 2 2 2" xfId="10325"/>
    <cellStyle name="Normal 7 3 4 2 2 2 3" xfId="5307"/>
    <cellStyle name="Normal 7 3 4 2 2 3" xfId="6367"/>
    <cellStyle name="Normal 7 3 4 2 2 3 2" xfId="11382"/>
    <cellStyle name="Normal 7 3 4 2 2 4" xfId="9441"/>
    <cellStyle name="Normal 7 3 4 2 2 5" xfId="12836"/>
    <cellStyle name="Normal 7 3 4 2 2 6" xfId="7918"/>
    <cellStyle name="Normal 7 3 4 2 2 7" xfId="4372"/>
    <cellStyle name="Normal 7 3 4 2 3" xfId="1456"/>
    <cellStyle name="Normal 7 3 4 2 3 2" xfId="2568"/>
    <cellStyle name="Normal 7 3 4 2 3 2 2" xfId="10657"/>
    <cellStyle name="Normal 7 3 4 2 3 2 3" xfId="5640"/>
    <cellStyle name="Normal 7 3 4 2 3 3" xfId="6715"/>
    <cellStyle name="Normal 7 3 4 2 3 3 2" xfId="11730"/>
    <cellStyle name="Normal 7 3 4 2 3 4" xfId="9064"/>
    <cellStyle name="Normal 7 3 4 2 3 5" xfId="13184"/>
    <cellStyle name="Normal 7 3 4 2 3 6" xfId="8251"/>
    <cellStyle name="Normal 7 3 4 2 3 7" xfId="3995"/>
    <cellStyle name="Normal 7 3 4 2 4" xfId="3015"/>
    <cellStyle name="Normal 7 3 4 2 4 2" xfId="7038"/>
    <cellStyle name="Normal 7 3 4 2 4 2 2" xfId="12053"/>
    <cellStyle name="Normal 7 3 4 2 4 3" xfId="13507"/>
    <cellStyle name="Normal 7 3 4 2 4 4" xfId="9948"/>
    <cellStyle name="Normal 7 3 4 2 4 5" xfId="4930"/>
    <cellStyle name="Normal 7 3 4 2 5" xfId="1847"/>
    <cellStyle name="Normal 7 3 4 2 5 2" xfId="11010"/>
    <cellStyle name="Normal 7 3 4 2 5 3" xfId="5994"/>
    <cellStyle name="Normal 7 3 4 2 6" xfId="8571"/>
    <cellStyle name="Normal 7 3 4 2 7" xfId="12464"/>
    <cellStyle name="Normal 7 3 4 2 8" xfId="7541"/>
    <cellStyle name="Normal 7 3 4 2 9" xfId="3493"/>
    <cellStyle name="Normal 7 3 4 2_Degree data" xfId="3194"/>
    <cellStyle name="Normal 7 3 4 3" xfId="484"/>
    <cellStyle name="Normal 7 3 4 3 2" xfId="2219"/>
    <cellStyle name="Normal 7 3 4 3 2 2" xfId="9743"/>
    <cellStyle name="Normal 7 3 4 3 2 3" xfId="4725"/>
    <cellStyle name="Normal 7 3 4 3 3" xfId="6366"/>
    <cellStyle name="Normal 7 3 4 3 3 2" xfId="11381"/>
    <cellStyle name="Normal 7 3 4 3 4" xfId="8859"/>
    <cellStyle name="Normal 7 3 4 3 5" xfId="12835"/>
    <cellStyle name="Normal 7 3 4 3 6" xfId="7336"/>
    <cellStyle name="Normal 7 3 4 3 7" xfId="3790"/>
    <cellStyle name="Normal 7 3 4 4" xfId="893"/>
    <cellStyle name="Normal 7 3 4 4 2" xfId="2567"/>
    <cellStyle name="Normal 7 3 4 4 2 2" xfId="10324"/>
    <cellStyle name="Normal 7 3 4 4 2 3" xfId="5306"/>
    <cellStyle name="Normal 7 3 4 4 3" xfId="6714"/>
    <cellStyle name="Normal 7 3 4 4 3 2" xfId="11729"/>
    <cellStyle name="Normal 7 3 4 4 4" xfId="9440"/>
    <cellStyle name="Normal 7 3 4 4 5" xfId="13183"/>
    <cellStyle name="Normal 7 3 4 4 6" xfId="7917"/>
    <cellStyle name="Normal 7 3 4 4 7" xfId="4371"/>
    <cellStyle name="Normal 7 3 4 5" xfId="1245"/>
    <cellStyle name="Normal 7 3 4 5 2" xfId="2801"/>
    <cellStyle name="Normal 7 3 4 5 2 2" xfId="10452"/>
    <cellStyle name="Normal 7 3 4 5 2 3" xfId="5435"/>
    <cellStyle name="Normal 7 3 4 5 3" xfId="6833"/>
    <cellStyle name="Normal 7 3 4 5 3 2" xfId="11848"/>
    <cellStyle name="Normal 7 3 4 5 4" xfId="8745"/>
    <cellStyle name="Normal 7 3 4 5 5" xfId="13302"/>
    <cellStyle name="Normal 7 3 4 5 6" xfId="8046"/>
    <cellStyle name="Normal 7 3 4 5 7" xfId="3675"/>
    <cellStyle name="Normal 7 3 4 6" xfId="1642"/>
    <cellStyle name="Normal 7 3 4 6 2" xfId="9631"/>
    <cellStyle name="Normal 7 3 4 6 3" xfId="4613"/>
    <cellStyle name="Normal 7 3 4 7" xfId="5789"/>
    <cellStyle name="Normal 7 3 4 7 2" xfId="10805"/>
    <cellStyle name="Normal 7 3 4 8" xfId="8366"/>
    <cellStyle name="Normal 7 3 4 9" xfId="12259"/>
    <cellStyle name="Normal 7 3 4_Degree data" xfId="3193"/>
    <cellStyle name="Normal 7 3 5" xfId="302"/>
    <cellStyle name="Normal 7 3 5 2" xfId="584"/>
    <cellStyle name="Normal 7 3 5 2 2" xfId="2221"/>
    <cellStyle name="Normal 7 3 5 2 2 2" xfId="10326"/>
    <cellStyle name="Normal 7 3 5 2 2 3" xfId="5308"/>
    <cellStyle name="Normal 7 3 5 2 3" xfId="6368"/>
    <cellStyle name="Normal 7 3 5 2 3 2" xfId="11383"/>
    <cellStyle name="Normal 7 3 5 2 4" xfId="9442"/>
    <cellStyle name="Normal 7 3 5 2 5" xfId="12837"/>
    <cellStyle name="Normal 7 3 5 2 6" xfId="7919"/>
    <cellStyle name="Normal 7 3 5 2 7" xfId="4373"/>
    <cellStyle name="Normal 7 3 5 3" xfId="993"/>
    <cellStyle name="Normal 7 3 5 3 2" xfId="2569"/>
    <cellStyle name="Normal 7 3 5 3 2 2" xfId="10552"/>
    <cellStyle name="Normal 7 3 5 3 2 3" xfId="5535"/>
    <cellStyle name="Normal 7 3 5 3 3" xfId="6716"/>
    <cellStyle name="Normal 7 3 5 3 3 2" xfId="11731"/>
    <cellStyle name="Normal 7 3 5 3 4" xfId="8959"/>
    <cellStyle name="Normal 7 3 5 3 5" xfId="13185"/>
    <cellStyle name="Normal 7 3 5 3 6" xfId="8146"/>
    <cellStyle name="Normal 7 3 5 3 7" xfId="3890"/>
    <cellStyle name="Normal 7 3 5 4" xfId="1349"/>
    <cellStyle name="Normal 7 3 5 4 2" xfId="2907"/>
    <cellStyle name="Normal 7 3 5 4 2 2" xfId="11948"/>
    <cellStyle name="Normal 7 3 5 4 2 3" xfId="6933"/>
    <cellStyle name="Normal 7 3 5 4 3" xfId="13402"/>
    <cellStyle name="Normal 7 3 5 4 4" xfId="9843"/>
    <cellStyle name="Normal 7 3 5 4 5" xfId="4825"/>
    <cellStyle name="Normal 7 3 5 5" xfId="1742"/>
    <cellStyle name="Normal 7 3 5 5 2" xfId="10905"/>
    <cellStyle name="Normal 7 3 5 5 3" xfId="5889"/>
    <cellStyle name="Normal 7 3 5 6" xfId="8466"/>
    <cellStyle name="Normal 7 3 5 7" xfId="12359"/>
    <cellStyle name="Normal 7 3 5 8" xfId="7436"/>
    <cellStyle name="Normal 7 3 5 9" xfId="3388"/>
    <cellStyle name="Normal 7 3 5_Degree data" xfId="3195"/>
    <cellStyle name="Normal 7 3 6" xfId="456"/>
    <cellStyle name="Normal 7 3 6 2" xfId="865"/>
    <cellStyle name="Normal 7 3 6 2 2" xfId="2222"/>
    <cellStyle name="Normal 7 3 6 2 2 2" xfId="10327"/>
    <cellStyle name="Normal 7 3 6 2 2 3" xfId="5309"/>
    <cellStyle name="Normal 7 3 6 2 3" xfId="6369"/>
    <cellStyle name="Normal 7 3 6 2 3 2" xfId="11384"/>
    <cellStyle name="Normal 7 3 6 2 4" xfId="9443"/>
    <cellStyle name="Normal 7 3 6 2 5" xfId="12838"/>
    <cellStyle name="Normal 7 3 6 2 6" xfId="7920"/>
    <cellStyle name="Normal 7 3 6 2 7" xfId="4374"/>
    <cellStyle name="Normal 7 3 6 3" xfId="1215"/>
    <cellStyle name="Normal 7 3 6 3 2" xfId="2570"/>
    <cellStyle name="Normal 7 3 6 3 2 2" xfId="10424"/>
    <cellStyle name="Normal 7 3 6 3 2 3" xfId="5407"/>
    <cellStyle name="Normal 7 3 6 3 3" xfId="6717"/>
    <cellStyle name="Normal 7 3 6 3 3 2" xfId="11732"/>
    <cellStyle name="Normal 7 3 6 3 4" xfId="9497"/>
    <cellStyle name="Normal 7 3 6 3 5" xfId="13186"/>
    <cellStyle name="Normal 7 3 6 3 6" xfId="8018"/>
    <cellStyle name="Normal 7 3 6 3 7" xfId="4479"/>
    <cellStyle name="Normal 7 3 6 4" xfId="2769"/>
    <cellStyle name="Normal 7 3 6 4 2" xfId="6805"/>
    <cellStyle name="Normal 7 3 6 4 2 2" xfId="11820"/>
    <cellStyle name="Normal 7 3 6 4 3" xfId="13274"/>
    <cellStyle name="Normal 7 3 6 4 4" xfId="9715"/>
    <cellStyle name="Normal 7 3 6 4 5" xfId="4697"/>
    <cellStyle name="Normal 7 3 6 5" xfId="1614"/>
    <cellStyle name="Normal 7 3 6 5 2" xfId="10775"/>
    <cellStyle name="Normal 7 3 6 5 3" xfId="5759"/>
    <cellStyle name="Normal 7 3 6 6" xfId="8831"/>
    <cellStyle name="Normal 7 3 6 7" xfId="12231"/>
    <cellStyle name="Normal 7 3 6 8" xfId="7308"/>
    <cellStyle name="Normal 7 3 6 9" xfId="3762"/>
    <cellStyle name="Normal 7 3 6_Degree data" xfId="3196"/>
    <cellStyle name="Normal 7 3 7" xfId="789"/>
    <cellStyle name="Normal 7 3 7 2" xfId="2213"/>
    <cellStyle name="Normal 7 3 7 2 2" xfId="10318"/>
    <cellStyle name="Normal 7 3 7 2 3" xfId="5300"/>
    <cellStyle name="Normal 7 3 7 3" xfId="6360"/>
    <cellStyle name="Normal 7 3 7 3 2" xfId="11375"/>
    <cellStyle name="Normal 7 3 7 4" xfId="9434"/>
    <cellStyle name="Normal 7 3 7 5" xfId="12829"/>
    <cellStyle name="Normal 7 3 7 6" xfId="7911"/>
    <cellStyle name="Normal 7 3 7 7" xfId="4365"/>
    <cellStyle name="Normal 7 3 8" xfId="1169"/>
    <cellStyle name="Normal 7 3 8 2" xfId="2561"/>
    <cellStyle name="Normal 7 3 8 2 2" xfId="10379"/>
    <cellStyle name="Normal 7 3 8 2 3" xfId="5362"/>
    <cellStyle name="Normal 7 3 8 3" xfId="6708"/>
    <cellStyle name="Normal 7 3 8 3 2" xfId="11723"/>
    <cellStyle name="Normal 7 3 8 4" xfId="8639"/>
    <cellStyle name="Normal 7 3 8 5" xfId="13177"/>
    <cellStyle name="Normal 7 3 8 6" xfId="7973"/>
    <cellStyle name="Normal 7 3 8 7" xfId="3563"/>
    <cellStyle name="Normal 7 3 9" xfId="2720"/>
    <cellStyle name="Normal 7 3 9 2" xfId="6760"/>
    <cellStyle name="Normal 7 3 9 2 2" xfId="11775"/>
    <cellStyle name="Normal 7 3 9 3" xfId="13229"/>
    <cellStyle name="Normal 7 3 9 4" xfId="9526"/>
    <cellStyle name="Normal 7 3 9 5" xfId="4508"/>
    <cellStyle name="Normal 7 3_Degree data" xfId="3187"/>
    <cellStyle name="Normal 7 4" xfId="161"/>
    <cellStyle name="Normal 7 4 10" xfId="8316"/>
    <cellStyle name="Normal 7 4 11" xfId="12136"/>
    <cellStyle name="Normal 7 4 12" xfId="7128"/>
    <cellStyle name="Normal 7 4 13" xfId="3237"/>
    <cellStyle name="Normal 7 4 2" xfId="385"/>
    <cellStyle name="Normal 7 4 2 10" xfId="7171"/>
    <cellStyle name="Normal 7 4 2 11" xfId="3340"/>
    <cellStyle name="Normal 7 4 2 2" xfId="636"/>
    <cellStyle name="Normal 7 4 2 2 2" xfId="1045"/>
    <cellStyle name="Normal 7 4 2 2 2 2" xfId="2225"/>
    <cellStyle name="Normal 7 4 2 2 2 2 2" xfId="10330"/>
    <cellStyle name="Normal 7 4 2 2 2 2 3" xfId="5312"/>
    <cellStyle name="Normal 7 4 2 2 2 3" xfId="6372"/>
    <cellStyle name="Normal 7 4 2 2 2 3 2" xfId="11387"/>
    <cellStyle name="Normal 7 4 2 2 2 4" xfId="9446"/>
    <cellStyle name="Normal 7 4 2 2 2 5" xfId="12841"/>
    <cellStyle name="Normal 7 4 2 2 2 6" xfId="7923"/>
    <cellStyle name="Normal 7 4 2 2 2 7" xfId="4377"/>
    <cellStyle name="Normal 7 4 2 2 3" xfId="1402"/>
    <cellStyle name="Normal 7 4 2 2 3 2" xfId="2573"/>
    <cellStyle name="Normal 7 4 2 2 3 2 2" xfId="10604"/>
    <cellStyle name="Normal 7 4 2 2 3 2 3" xfId="5587"/>
    <cellStyle name="Normal 7 4 2 2 3 3" xfId="6720"/>
    <cellStyle name="Normal 7 4 2 2 3 3 2" xfId="11735"/>
    <cellStyle name="Normal 7 4 2 2 3 4" xfId="9011"/>
    <cellStyle name="Normal 7 4 2 2 3 5" xfId="13189"/>
    <cellStyle name="Normal 7 4 2 2 3 6" xfId="8198"/>
    <cellStyle name="Normal 7 4 2 2 3 7" xfId="3942"/>
    <cellStyle name="Normal 7 4 2 2 4" xfId="2960"/>
    <cellStyle name="Normal 7 4 2 2 4 2" xfId="6985"/>
    <cellStyle name="Normal 7 4 2 2 4 2 2" xfId="12000"/>
    <cellStyle name="Normal 7 4 2 2 4 3" xfId="13454"/>
    <cellStyle name="Normal 7 4 2 2 4 4" xfId="9895"/>
    <cellStyle name="Normal 7 4 2 2 4 5" xfId="4877"/>
    <cellStyle name="Normal 7 4 2 2 5" xfId="1794"/>
    <cellStyle name="Normal 7 4 2 2 5 2" xfId="10957"/>
    <cellStyle name="Normal 7 4 2 2 5 3" xfId="5941"/>
    <cellStyle name="Normal 7 4 2 2 6" xfId="8518"/>
    <cellStyle name="Normal 7 4 2 2 7" xfId="12411"/>
    <cellStyle name="Normal 7 4 2 2 8" xfId="7488"/>
    <cellStyle name="Normal 7 4 2 2 9" xfId="3440"/>
    <cellStyle name="Normal 7 4 2 2_Degree data" xfId="3199"/>
    <cellStyle name="Normal 7 4 2 3" xfId="536"/>
    <cellStyle name="Normal 7 4 2 3 2" xfId="2224"/>
    <cellStyle name="Normal 7 4 2 3 2 2" xfId="9795"/>
    <cellStyle name="Normal 7 4 2 3 2 3" xfId="4777"/>
    <cellStyle name="Normal 7 4 2 3 3" xfId="6371"/>
    <cellStyle name="Normal 7 4 2 3 3 2" xfId="11386"/>
    <cellStyle name="Normal 7 4 2 3 4" xfId="8911"/>
    <cellStyle name="Normal 7 4 2 3 5" xfId="12840"/>
    <cellStyle name="Normal 7 4 2 3 6" xfId="7388"/>
    <cellStyle name="Normal 7 4 2 3 7" xfId="3842"/>
    <cellStyle name="Normal 7 4 2 4" xfId="945"/>
    <cellStyle name="Normal 7 4 2 4 2" xfId="2572"/>
    <cellStyle name="Normal 7 4 2 4 2 2" xfId="10329"/>
    <cellStyle name="Normal 7 4 2 4 2 3" xfId="5311"/>
    <cellStyle name="Normal 7 4 2 4 3" xfId="6719"/>
    <cellStyle name="Normal 7 4 2 4 3 2" xfId="11734"/>
    <cellStyle name="Normal 7 4 2 4 4" xfId="9445"/>
    <cellStyle name="Normal 7 4 2 4 5" xfId="13188"/>
    <cellStyle name="Normal 7 4 2 4 6" xfId="7922"/>
    <cellStyle name="Normal 7 4 2 4 7" xfId="4376"/>
    <cellStyle name="Normal 7 4 2 5" xfId="1301"/>
    <cellStyle name="Normal 7 4 2 5 2" xfId="2858"/>
    <cellStyle name="Normal 7 4 2 5 2 2" xfId="10504"/>
    <cellStyle name="Normal 7 4 2 5 2 3" xfId="5487"/>
    <cellStyle name="Normal 7 4 2 5 3" xfId="6885"/>
    <cellStyle name="Normal 7 4 2 5 3 2" xfId="11900"/>
    <cellStyle name="Normal 7 4 2 5 4" xfId="8692"/>
    <cellStyle name="Normal 7 4 2 5 5" xfId="13354"/>
    <cellStyle name="Normal 7 4 2 5 6" xfId="8098"/>
    <cellStyle name="Normal 7 4 2 5 7" xfId="3621"/>
    <cellStyle name="Normal 7 4 2 6" xfId="1694"/>
    <cellStyle name="Normal 7 4 2 6 2" xfId="9578"/>
    <cellStyle name="Normal 7 4 2 6 3" xfId="4560"/>
    <cellStyle name="Normal 7 4 2 7" xfId="5841"/>
    <cellStyle name="Normal 7 4 2 7 2" xfId="10857"/>
    <cellStyle name="Normal 7 4 2 8" xfId="8418"/>
    <cellStyle name="Normal 7 4 2 9" xfId="12311"/>
    <cellStyle name="Normal 7 4 2_Degree data" xfId="3198"/>
    <cellStyle name="Normal 7 4 3" xfId="341"/>
    <cellStyle name="Normal 7 4 3 10" xfId="7233"/>
    <cellStyle name="Normal 7 4 3 11" xfId="3297"/>
    <cellStyle name="Normal 7 4 3 2" xfId="698"/>
    <cellStyle name="Normal 7 4 3 2 2" xfId="1107"/>
    <cellStyle name="Normal 7 4 3 2 2 2" xfId="2227"/>
    <cellStyle name="Normal 7 4 3 2 2 2 2" xfId="10332"/>
    <cellStyle name="Normal 7 4 3 2 2 2 3" xfId="5314"/>
    <cellStyle name="Normal 7 4 3 2 2 3" xfId="6374"/>
    <cellStyle name="Normal 7 4 3 2 2 3 2" xfId="11389"/>
    <cellStyle name="Normal 7 4 3 2 2 4" xfId="9448"/>
    <cellStyle name="Normal 7 4 3 2 2 5" xfId="12843"/>
    <cellStyle name="Normal 7 4 3 2 2 6" xfId="7925"/>
    <cellStyle name="Normal 7 4 3 2 2 7" xfId="4379"/>
    <cellStyle name="Normal 7 4 3 2 3" xfId="1465"/>
    <cellStyle name="Normal 7 4 3 2 3 2" xfId="2575"/>
    <cellStyle name="Normal 7 4 3 2 3 2 2" xfId="10666"/>
    <cellStyle name="Normal 7 4 3 2 3 2 3" xfId="5649"/>
    <cellStyle name="Normal 7 4 3 2 3 3" xfId="6722"/>
    <cellStyle name="Normal 7 4 3 2 3 3 2" xfId="11737"/>
    <cellStyle name="Normal 7 4 3 2 3 4" xfId="9073"/>
    <cellStyle name="Normal 7 4 3 2 3 5" xfId="13191"/>
    <cellStyle name="Normal 7 4 3 2 3 6" xfId="8260"/>
    <cellStyle name="Normal 7 4 3 2 3 7" xfId="4004"/>
    <cellStyle name="Normal 7 4 3 2 4" xfId="3024"/>
    <cellStyle name="Normal 7 4 3 2 4 2" xfId="7047"/>
    <cellStyle name="Normal 7 4 3 2 4 2 2" xfId="12062"/>
    <cellStyle name="Normal 7 4 3 2 4 3" xfId="13516"/>
    <cellStyle name="Normal 7 4 3 2 4 4" xfId="9957"/>
    <cellStyle name="Normal 7 4 3 2 4 5" xfId="4939"/>
    <cellStyle name="Normal 7 4 3 2 5" xfId="1856"/>
    <cellStyle name="Normal 7 4 3 2 5 2" xfId="11019"/>
    <cellStyle name="Normal 7 4 3 2 5 3" xfId="6003"/>
    <cellStyle name="Normal 7 4 3 2 6" xfId="8580"/>
    <cellStyle name="Normal 7 4 3 2 7" xfId="12473"/>
    <cellStyle name="Normal 7 4 3 2 8" xfId="7550"/>
    <cellStyle name="Normal 7 4 3 2 9" xfId="3502"/>
    <cellStyle name="Normal 7 4 3 2_Degree data" xfId="3201"/>
    <cellStyle name="Normal 7 4 3 3" xfId="493"/>
    <cellStyle name="Normal 7 4 3 3 2" xfId="2226"/>
    <cellStyle name="Normal 7 4 3 3 2 2" xfId="9752"/>
    <cellStyle name="Normal 7 4 3 3 2 3" xfId="4734"/>
    <cellStyle name="Normal 7 4 3 3 3" xfId="6373"/>
    <cellStyle name="Normal 7 4 3 3 3 2" xfId="11388"/>
    <cellStyle name="Normal 7 4 3 3 4" xfId="8868"/>
    <cellStyle name="Normal 7 4 3 3 5" xfId="12842"/>
    <cellStyle name="Normal 7 4 3 3 6" xfId="7345"/>
    <cellStyle name="Normal 7 4 3 3 7" xfId="3799"/>
    <cellStyle name="Normal 7 4 3 4" xfId="902"/>
    <cellStyle name="Normal 7 4 3 4 2" xfId="2574"/>
    <cellStyle name="Normal 7 4 3 4 2 2" xfId="10331"/>
    <cellStyle name="Normal 7 4 3 4 2 3" xfId="5313"/>
    <cellStyle name="Normal 7 4 3 4 3" xfId="6721"/>
    <cellStyle name="Normal 7 4 3 4 3 2" xfId="11736"/>
    <cellStyle name="Normal 7 4 3 4 4" xfId="9447"/>
    <cellStyle name="Normal 7 4 3 4 5" xfId="13190"/>
    <cellStyle name="Normal 7 4 3 4 6" xfId="7924"/>
    <cellStyle name="Normal 7 4 3 4 7" xfId="4378"/>
    <cellStyle name="Normal 7 4 3 5" xfId="1257"/>
    <cellStyle name="Normal 7 4 3 5 2" xfId="2813"/>
    <cellStyle name="Normal 7 4 3 5 2 2" xfId="10461"/>
    <cellStyle name="Normal 7 4 3 5 2 3" xfId="5444"/>
    <cellStyle name="Normal 7 4 3 5 3" xfId="6842"/>
    <cellStyle name="Normal 7 4 3 5 3 2" xfId="11857"/>
    <cellStyle name="Normal 7 4 3 5 4" xfId="8754"/>
    <cellStyle name="Normal 7 4 3 5 5" xfId="13311"/>
    <cellStyle name="Normal 7 4 3 5 6" xfId="8055"/>
    <cellStyle name="Normal 7 4 3 5 7" xfId="3684"/>
    <cellStyle name="Normal 7 4 3 6" xfId="1651"/>
    <cellStyle name="Normal 7 4 3 6 2" xfId="9640"/>
    <cellStyle name="Normal 7 4 3 6 3" xfId="4622"/>
    <cellStyle name="Normal 7 4 3 7" xfId="5798"/>
    <cellStyle name="Normal 7 4 3 7 2" xfId="10814"/>
    <cellStyle name="Normal 7 4 3 8" xfId="8375"/>
    <cellStyle name="Normal 7 4 3 9" xfId="12268"/>
    <cellStyle name="Normal 7 4 3_Degree data" xfId="3200"/>
    <cellStyle name="Normal 7 4 4" xfId="278"/>
    <cellStyle name="Normal 7 4 4 2" xfId="593"/>
    <cellStyle name="Normal 7 4 4 2 2" xfId="2228"/>
    <cellStyle name="Normal 7 4 4 2 2 2" xfId="10333"/>
    <cellStyle name="Normal 7 4 4 2 2 3" xfId="5315"/>
    <cellStyle name="Normal 7 4 4 2 3" xfId="6375"/>
    <cellStyle name="Normal 7 4 4 2 3 2" xfId="11390"/>
    <cellStyle name="Normal 7 4 4 2 4" xfId="9449"/>
    <cellStyle name="Normal 7 4 4 2 5" xfId="12844"/>
    <cellStyle name="Normal 7 4 4 2 6" xfId="7926"/>
    <cellStyle name="Normal 7 4 4 2 7" xfId="4380"/>
    <cellStyle name="Normal 7 4 4 3" xfId="1002"/>
    <cellStyle name="Normal 7 4 4 3 2" xfId="2576"/>
    <cellStyle name="Normal 7 4 4 3 2 2" xfId="10561"/>
    <cellStyle name="Normal 7 4 4 3 2 3" xfId="5544"/>
    <cellStyle name="Normal 7 4 4 3 3" xfId="6723"/>
    <cellStyle name="Normal 7 4 4 3 3 2" xfId="11738"/>
    <cellStyle name="Normal 7 4 4 3 4" xfId="8968"/>
    <cellStyle name="Normal 7 4 4 3 5" xfId="13192"/>
    <cellStyle name="Normal 7 4 4 3 6" xfId="8155"/>
    <cellStyle name="Normal 7 4 4 3 7" xfId="3899"/>
    <cellStyle name="Normal 7 4 4 4" xfId="1358"/>
    <cellStyle name="Normal 7 4 4 4 2" xfId="2916"/>
    <cellStyle name="Normal 7 4 4 4 2 2" xfId="11957"/>
    <cellStyle name="Normal 7 4 4 4 2 3" xfId="6942"/>
    <cellStyle name="Normal 7 4 4 4 3" xfId="13411"/>
    <cellStyle name="Normal 7 4 4 4 4" xfId="9852"/>
    <cellStyle name="Normal 7 4 4 4 5" xfId="4834"/>
    <cellStyle name="Normal 7 4 4 5" xfId="1751"/>
    <cellStyle name="Normal 7 4 4 5 2" xfId="10914"/>
    <cellStyle name="Normal 7 4 4 5 3" xfId="5898"/>
    <cellStyle name="Normal 7 4 4 6" xfId="8475"/>
    <cellStyle name="Normal 7 4 4 7" xfId="12368"/>
    <cellStyle name="Normal 7 4 4 8" xfId="7445"/>
    <cellStyle name="Normal 7 4 4 9" xfId="3397"/>
    <cellStyle name="Normal 7 4 4_Degree data" xfId="3202"/>
    <cellStyle name="Normal 7 4 5" xfId="434"/>
    <cellStyle name="Normal 7 4 5 2" xfId="842"/>
    <cellStyle name="Normal 7 4 5 2 2" xfId="9693"/>
    <cellStyle name="Normal 7 4 5 2 3" xfId="4675"/>
    <cellStyle name="Normal 7 4 5 3" xfId="2223"/>
    <cellStyle name="Normal 7 4 5 3 2" xfId="11385"/>
    <cellStyle name="Normal 7 4 5 3 3" xfId="6370"/>
    <cellStyle name="Normal 7 4 5 4" xfId="8809"/>
    <cellStyle name="Normal 7 4 5 5" xfId="12839"/>
    <cellStyle name="Normal 7 4 5 6" xfId="7286"/>
    <cellStyle name="Normal 7 4 5 7" xfId="3740"/>
    <cellStyle name="Normal 7 4 6" xfId="769"/>
    <cellStyle name="Normal 7 4 6 2" xfId="2571"/>
    <cellStyle name="Normal 7 4 6 2 2" xfId="10328"/>
    <cellStyle name="Normal 7 4 6 2 3" xfId="5310"/>
    <cellStyle name="Normal 7 4 6 3" xfId="6718"/>
    <cellStyle name="Normal 7 4 6 3 2" xfId="11733"/>
    <cellStyle name="Normal 7 4 6 4" xfId="9444"/>
    <cellStyle name="Normal 7 4 6 5" xfId="13187"/>
    <cellStyle name="Normal 7 4 6 6" xfId="7921"/>
    <cellStyle name="Normal 7 4 6 7" xfId="4375"/>
    <cellStyle name="Normal 7 4 7" xfId="1193"/>
    <cellStyle name="Normal 7 4 7 2" xfId="2745"/>
    <cellStyle name="Normal 7 4 7 2 2" xfId="10402"/>
    <cellStyle name="Normal 7 4 7 2 3" xfId="5385"/>
    <cellStyle name="Normal 7 4 7 3" xfId="6783"/>
    <cellStyle name="Normal 7 4 7 3 2" xfId="11798"/>
    <cellStyle name="Normal 7 4 7 4" xfId="8648"/>
    <cellStyle name="Normal 7 4 7 5" xfId="13252"/>
    <cellStyle name="Normal 7 4 7 6" xfId="7996"/>
    <cellStyle name="Normal 7 4 7 7" xfId="3575"/>
    <cellStyle name="Normal 7 4 8" xfId="1592"/>
    <cellStyle name="Normal 7 4 8 2" xfId="12209"/>
    <cellStyle name="Normal 7 4 8 3" xfId="9535"/>
    <cellStyle name="Normal 7 4 8 4" xfId="4517"/>
    <cellStyle name="Normal 7 4 9" xfId="1519"/>
    <cellStyle name="Normal 7 4 9 2" xfId="10753"/>
    <cellStyle name="Normal 7 4 9 3" xfId="5737"/>
    <cellStyle name="Normal 7 4_Degree data" xfId="3197"/>
    <cellStyle name="Normal 7 5" xfId="193"/>
    <cellStyle name="Normal 7 5 10" xfId="7154"/>
    <cellStyle name="Normal 7 5 11" xfId="3323"/>
    <cellStyle name="Normal 7 5 2" xfId="368"/>
    <cellStyle name="Normal 7 5 2 2" xfId="619"/>
    <cellStyle name="Normal 7 5 2 2 2" xfId="2230"/>
    <cellStyle name="Normal 7 5 2 2 2 2" xfId="10335"/>
    <cellStyle name="Normal 7 5 2 2 2 3" xfId="5317"/>
    <cellStyle name="Normal 7 5 2 2 3" xfId="6377"/>
    <cellStyle name="Normal 7 5 2 2 3 2" xfId="11392"/>
    <cellStyle name="Normal 7 5 2 2 4" xfId="9451"/>
    <cellStyle name="Normal 7 5 2 2 5" xfId="12846"/>
    <cellStyle name="Normal 7 5 2 2 6" xfId="7928"/>
    <cellStyle name="Normal 7 5 2 2 7" xfId="4382"/>
    <cellStyle name="Normal 7 5 2 3" xfId="1028"/>
    <cellStyle name="Normal 7 5 2 3 2" xfId="2578"/>
    <cellStyle name="Normal 7 5 2 3 2 2" xfId="10587"/>
    <cellStyle name="Normal 7 5 2 3 2 3" xfId="5570"/>
    <cellStyle name="Normal 7 5 2 3 3" xfId="6725"/>
    <cellStyle name="Normal 7 5 2 3 3 2" xfId="11740"/>
    <cellStyle name="Normal 7 5 2 3 4" xfId="8994"/>
    <cellStyle name="Normal 7 5 2 3 5" xfId="13194"/>
    <cellStyle name="Normal 7 5 2 3 6" xfId="8181"/>
    <cellStyle name="Normal 7 5 2 3 7" xfId="3925"/>
    <cellStyle name="Normal 7 5 2 4" xfId="1385"/>
    <cellStyle name="Normal 7 5 2 4 2" xfId="2943"/>
    <cellStyle name="Normal 7 5 2 4 2 2" xfId="11983"/>
    <cellStyle name="Normal 7 5 2 4 2 3" xfId="6968"/>
    <cellStyle name="Normal 7 5 2 4 3" xfId="13437"/>
    <cellStyle name="Normal 7 5 2 4 4" xfId="9878"/>
    <cellStyle name="Normal 7 5 2 4 5" xfId="4860"/>
    <cellStyle name="Normal 7 5 2 5" xfId="1777"/>
    <cellStyle name="Normal 7 5 2 5 2" xfId="10940"/>
    <cellStyle name="Normal 7 5 2 5 3" xfId="5924"/>
    <cellStyle name="Normal 7 5 2 6" xfId="8501"/>
    <cellStyle name="Normal 7 5 2 7" xfId="12394"/>
    <cellStyle name="Normal 7 5 2 8" xfId="7471"/>
    <cellStyle name="Normal 7 5 2 9" xfId="3423"/>
    <cellStyle name="Normal 7 5 2_Degree data" xfId="3204"/>
    <cellStyle name="Normal 7 5 3" xfId="519"/>
    <cellStyle name="Normal 7 5 3 2" xfId="928"/>
    <cellStyle name="Normal 7 5 3 2 2" xfId="9778"/>
    <cellStyle name="Normal 7 5 3 2 3" xfId="4760"/>
    <cellStyle name="Normal 7 5 3 3" xfId="2229"/>
    <cellStyle name="Normal 7 5 3 3 2" xfId="11391"/>
    <cellStyle name="Normal 7 5 3 3 3" xfId="6376"/>
    <cellStyle name="Normal 7 5 3 4" xfId="8894"/>
    <cellStyle name="Normal 7 5 3 5" xfId="12845"/>
    <cellStyle name="Normal 7 5 3 6" xfId="7371"/>
    <cellStyle name="Normal 7 5 3 7" xfId="3825"/>
    <cellStyle name="Normal 7 5 4" xfId="799"/>
    <cellStyle name="Normal 7 5 4 2" xfId="2577"/>
    <cellStyle name="Normal 7 5 4 2 2" xfId="10334"/>
    <cellStyle name="Normal 7 5 4 2 3" xfId="5316"/>
    <cellStyle name="Normal 7 5 4 3" xfId="6724"/>
    <cellStyle name="Normal 7 5 4 3 2" xfId="11739"/>
    <cellStyle name="Normal 7 5 4 4" xfId="9450"/>
    <cellStyle name="Normal 7 5 4 5" xfId="13193"/>
    <cellStyle name="Normal 7 5 4 6" xfId="7927"/>
    <cellStyle name="Normal 7 5 4 7" xfId="4381"/>
    <cellStyle name="Normal 7 5 5" xfId="1284"/>
    <cellStyle name="Normal 7 5 5 2" xfId="2841"/>
    <cellStyle name="Normal 7 5 5 2 2" xfId="10487"/>
    <cellStyle name="Normal 7 5 5 2 3" xfId="5470"/>
    <cellStyle name="Normal 7 5 5 3" xfId="6868"/>
    <cellStyle name="Normal 7 5 5 3 2" xfId="11883"/>
    <cellStyle name="Normal 7 5 5 4" xfId="8675"/>
    <cellStyle name="Normal 7 5 5 5" xfId="13337"/>
    <cellStyle name="Normal 7 5 5 6" xfId="8081"/>
    <cellStyle name="Normal 7 5 5 7" xfId="3604"/>
    <cellStyle name="Normal 7 5 6" xfId="1677"/>
    <cellStyle name="Normal 7 5 6 2" xfId="9561"/>
    <cellStyle name="Normal 7 5 6 3" xfId="4543"/>
    <cellStyle name="Normal 7 5 7" xfId="5824"/>
    <cellStyle name="Normal 7 5 7 2" xfId="10840"/>
    <cellStyle name="Normal 7 5 8" xfId="8401"/>
    <cellStyle name="Normal 7 5 9" xfId="12294"/>
    <cellStyle name="Normal 7 5_Degree data" xfId="3203"/>
    <cellStyle name="Normal 7 6" xfId="229"/>
    <cellStyle name="Normal 7 6 10" xfId="7202"/>
    <cellStyle name="Normal 7 6 11" xfId="3266"/>
    <cellStyle name="Normal 7 6 2" xfId="310"/>
    <cellStyle name="Normal 7 6 2 2" xfId="667"/>
    <cellStyle name="Normal 7 6 2 2 2" xfId="2232"/>
    <cellStyle name="Normal 7 6 2 2 2 2" xfId="10337"/>
    <cellStyle name="Normal 7 6 2 2 2 3" xfId="5319"/>
    <cellStyle name="Normal 7 6 2 2 3" xfId="6379"/>
    <cellStyle name="Normal 7 6 2 2 3 2" xfId="11394"/>
    <cellStyle name="Normal 7 6 2 2 4" xfId="9453"/>
    <cellStyle name="Normal 7 6 2 2 5" xfId="12848"/>
    <cellStyle name="Normal 7 6 2 2 6" xfId="7930"/>
    <cellStyle name="Normal 7 6 2 2 7" xfId="4384"/>
    <cellStyle name="Normal 7 6 2 3" xfId="1076"/>
    <cellStyle name="Normal 7 6 2 3 2" xfId="2580"/>
    <cellStyle name="Normal 7 6 2 3 2 2" xfId="10635"/>
    <cellStyle name="Normal 7 6 2 3 2 3" xfId="5618"/>
    <cellStyle name="Normal 7 6 2 3 3" xfId="6727"/>
    <cellStyle name="Normal 7 6 2 3 3 2" xfId="11742"/>
    <cellStyle name="Normal 7 6 2 3 4" xfId="9042"/>
    <cellStyle name="Normal 7 6 2 3 5" xfId="13196"/>
    <cellStyle name="Normal 7 6 2 3 6" xfId="8229"/>
    <cellStyle name="Normal 7 6 2 3 7" xfId="3973"/>
    <cellStyle name="Normal 7 6 2 4" xfId="1434"/>
    <cellStyle name="Normal 7 6 2 4 2" xfId="2993"/>
    <cellStyle name="Normal 7 6 2 4 2 2" xfId="12031"/>
    <cellStyle name="Normal 7 6 2 4 2 3" xfId="7016"/>
    <cellStyle name="Normal 7 6 2 4 3" xfId="13485"/>
    <cellStyle name="Normal 7 6 2 4 4" xfId="9926"/>
    <cellStyle name="Normal 7 6 2 4 5" xfId="4908"/>
    <cellStyle name="Normal 7 6 2 5" xfId="1825"/>
    <cellStyle name="Normal 7 6 2 5 2" xfId="10988"/>
    <cellStyle name="Normal 7 6 2 5 3" xfId="5972"/>
    <cellStyle name="Normal 7 6 2 6" xfId="8549"/>
    <cellStyle name="Normal 7 6 2 7" xfId="12442"/>
    <cellStyle name="Normal 7 6 2 8" xfId="7519"/>
    <cellStyle name="Normal 7 6 2 9" xfId="3471"/>
    <cellStyle name="Normal 7 6 2_Degree data" xfId="3206"/>
    <cellStyle name="Normal 7 6 3" xfId="462"/>
    <cellStyle name="Normal 7 6 3 2" xfId="2231"/>
    <cellStyle name="Normal 7 6 3 2 2" xfId="9721"/>
    <cellStyle name="Normal 7 6 3 2 3" xfId="4703"/>
    <cellStyle name="Normal 7 6 3 3" xfId="6378"/>
    <cellStyle name="Normal 7 6 3 3 2" xfId="11393"/>
    <cellStyle name="Normal 7 6 3 4" xfId="8837"/>
    <cellStyle name="Normal 7 6 3 5" xfId="12847"/>
    <cellStyle name="Normal 7 6 3 6" xfId="7314"/>
    <cellStyle name="Normal 7 6 3 7" xfId="3768"/>
    <cellStyle name="Normal 7 6 4" xfId="871"/>
    <cellStyle name="Normal 7 6 4 2" xfId="2579"/>
    <cellStyle name="Normal 7 6 4 2 2" xfId="10336"/>
    <cellStyle name="Normal 7 6 4 2 3" xfId="5318"/>
    <cellStyle name="Normal 7 6 4 3" xfId="6726"/>
    <cellStyle name="Normal 7 6 4 3 2" xfId="11741"/>
    <cellStyle name="Normal 7 6 4 4" xfId="9452"/>
    <cellStyle name="Normal 7 6 4 5" xfId="13195"/>
    <cellStyle name="Normal 7 6 4 6" xfId="7929"/>
    <cellStyle name="Normal 7 6 4 7" xfId="4383"/>
    <cellStyle name="Normal 7 6 5" xfId="1223"/>
    <cellStyle name="Normal 7 6 5 2" xfId="2779"/>
    <cellStyle name="Normal 7 6 5 2 2" xfId="10430"/>
    <cellStyle name="Normal 7 6 5 2 3" xfId="5413"/>
    <cellStyle name="Normal 7 6 5 3" xfId="6811"/>
    <cellStyle name="Normal 7 6 5 3 2" xfId="11826"/>
    <cellStyle name="Normal 7 6 5 4" xfId="8723"/>
    <cellStyle name="Normal 7 6 5 5" xfId="13280"/>
    <cellStyle name="Normal 7 6 5 6" xfId="8024"/>
    <cellStyle name="Normal 7 6 5 7" xfId="3653"/>
    <cellStyle name="Normal 7 6 6" xfId="1620"/>
    <cellStyle name="Normal 7 6 6 2" xfId="9609"/>
    <cellStyle name="Normal 7 6 6 3" xfId="4591"/>
    <cellStyle name="Normal 7 6 7" xfId="5767"/>
    <cellStyle name="Normal 7 6 7 2" xfId="10783"/>
    <cellStyle name="Normal 7 6 8" xfId="8344"/>
    <cellStyle name="Normal 7 6 9" xfId="12237"/>
    <cellStyle name="Normal 7 6_Degree data" xfId="3205"/>
    <cellStyle name="Normal 7 7" xfId="256"/>
    <cellStyle name="Normal 7 7 10" xfId="3527"/>
    <cellStyle name="Normal 7 7 2" xfId="723"/>
    <cellStyle name="Normal 7 7 2 2" xfId="2233"/>
    <cellStyle name="Normal 7 7 2 2 2" xfId="9982"/>
    <cellStyle name="Normal 7 7 2 2 3" xfId="4964"/>
    <cellStyle name="Normal 7 7 2 3" xfId="6380"/>
    <cellStyle name="Normal 7 7 2 3 2" xfId="11395"/>
    <cellStyle name="Normal 7 7 2 4" xfId="9098"/>
    <cellStyle name="Normal 7 7 2 5" xfId="12849"/>
    <cellStyle name="Normal 7 7 2 6" xfId="7575"/>
    <cellStyle name="Normal 7 7 2 7" xfId="4029"/>
    <cellStyle name="Normal 7 7 3" xfId="1132"/>
    <cellStyle name="Normal 7 7 3 2" xfId="2581"/>
    <cellStyle name="Normal 7 7 3 2 2" xfId="10338"/>
    <cellStyle name="Normal 7 7 3 2 3" xfId="5320"/>
    <cellStyle name="Normal 7 7 3 3" xfId="6728"/>
    <cellStyle name="Normal 7 7 3 3 2" xfId="11743"/>
    <cellStyle name="Normal 7 7 3 4" xfId="9454"/>
    <cellStyle name="Normal 7 7 3 5" xfId="13197"/>
    <cellStyle name="Normal 7 7 3 6" xfId="7931"/>
    <cellStyle name="Normal 7 7 3 7" xfId="4385"/>
    <cellStyle name="Normal 7 7 4" xfId="1490"/>
    <cellStyle name="Normal 7 7 4 2" xfId="3049"/>
    <cellStyle name="Normal 7 7 4 2 2" xfId="10691"/>
    <cellStyle name="Normal 7 7 4 2 3" xfId="5674"/>
    <cellStyle name="Normal 7 7 4 3" xfId="7072"/>
    <cellStyle name="Normal 7 7 4 3 2" xfId="12087"/>
    <cellStyle name="Normal 7 7 4 4" xfId="8779"/>
    <cellStyle name="Normal 7 7 4 5" xfId="13541"/>
    <cellStyle name="Normal 7 7 4 6" xfId="8285"/>
    <cellStyle name="Normal 7 7 4 7" xfId="3709"/>
    <cellStyle name="Normal 7 7 5" xfId="1881"/>
    <cellStyle name="Normal 7 7 5 2" xfId="9665"/>
    <cellStyle name="Normal 7 7 5 3" xfId="4647"/>
    <cellStyle name="Normal 7 7 6" xfId="6028"/>
    <cellStyle name="Normal 7 7 6 2" xfId="11044"/>
    <cellStyle name="Normal 7 7 7" xfId="8605"/>
    <cellStyle name="Normal 7 7 8" xfId="12498"/>
    <cellStyle name="Normal 7 7 9" xfId="7258"/>
    <cellStyle name="Normal 7 7_Degree data" xfId="3207"/>
    <cellStyle name="Normal 7 8" xfId="562"/>
    <cellStyle name="Normal 7 8 2" xfId="971"/>
    <cellStyle name="Normal 7 8 2 2" xfId="2234"/>
    <cellStyle name="Normal 7 8 2 2 2" xfId="10339"/>
    <cellStyle name="Normal 7 8 2 2 3" xfId="5321"/>
    <cellStyle name="Normal 7 8 2 3" xfId="6381"/>
    <cellStyle name="Normal 7 8 2 3 2" xfId="11396"/>
    <cellStyle name="Normal 7 8 2 4" xfId="9455"/>
    <cellStyle name="Normal 7 8 2 5" xfId="12850"/>
    <cellStyle name="Normal 7 8 2 6" xfId="7932"/>
    <cellStyle name="Normal 7 8 2 7" xfId="4386"/>
    <cellStyle name="Normal 7 8 3" xfId="1327"/>
    <cellStyle name="Normal 7 8 3 2" xfId="2582"/>
    <cellStyle name="Normal 7 8 3 2 2" xfId="10530"/>
    <cellStyle name="Normal 7 8 3 2 3" xfId="5513"/>
    <cellStyle name="Normal 7 8 3 3" xfId="6729"/>
    <cellStyle name="Normal 7 8 3 3 2" xfId="11744"/>
    <cellStyle name="Normal 7 8 3 4" xfId="8937"/>
    <cellStyle name="Normal 7 8 3 5" xfId="13198"/>
    <cellStyle name="Normal 7 8 3 6" xfId="8124"/>
    <cellStyle name="Normal 7 8 3 7" xfId="3868"/>
    <cellStyle name="Normal 7 8 4" xfId="2885"/>
    <cellStyle name="Normal 7 8 4 2" xfId="6911"/>
    <cellStyle name="Normal 7 8 4 2 2" xfId="11926"/>
    <cellStyle name="Normal 7 8 4 3" xfId="13380"/>
    <cellStyle name="Normal 7 8 4 4" xfId="9821"/>
    <cellStyle name="Normal 7 8 4 5" xfId="4803"/>
    <cellStyle name="Normal 7 8 5" xfId="1720"/>
    <cellStyle name="Normal 7 8 5 2" xfId="10883"/>
    <cellStyle name="Normal 7 8 5 3" xfId="5867"/>
    <cellStyle name="Normal 7 8 6" xfId="8444"/>
    <cellStyle name="Normal 7 8 7" xfId="12337"/>
    <cellStyle name="Normal 7 8 8" xfId="7414"/>
    <cellStyle name="Normal 7 8 9" xfId="3366"/>
    <cellStyle name="Normal 7 8_Degree data" xfId="3208"/>
    <cellStyle name="Normal 7 9" xfId="423"/>
    <cellStyle name="Normal 7 9 2" xfId="831"/>
    <cellStyle name="Normal 7 9 2 2" xfId="2235"/>
    <cellStyle name="Normal 7 9 2 2 2" xfId="10340"/>
    <cellStyle name="Normal 7 9 2 2 3" xfId="5322"/>
    <cellStyle name="Normal 7 9 2 3" xfId="6382"/>
    <cellStyle name="Normal 7 9 2 3 2" xfId="11397"/>
    <cellStyle name="Normal 7 9 2 4" xfId="9456"/>
    <cellStyle name="Normal 7 9 2 5" xfId="12851"/>
    <cellStyle name="Normal 7 9 2 6" xfId="7933"/>
    <cellStyle name="Normal 7 9 2 7" xfId="4387"/>
    <cellStyle name="Normal 7 9 3" xfId="1181"/>
    <cellStyle name="Normal 7 9 3 2" xfId="2583"/>
    <cellStyle name="Normal 7 9 3 2 2" xfId="10391"/>
    <cellStyle name="Normal 7 9 3 2 3" xfId="5374"/>
    <cellStyle name="Normal 7 9 3 3" xfId="6730"/>
    <cellStyle name="Normal 7 9 3 3 2" xfId="11745"/>
    <cellStyle name="Normal 7 9 3 4" xfId="9498"/>
    <cellStyle name="Normal 7 9 3 5" xfId="13199"/>
    <cellStyle name="Normal 7 9 3 6" xfId="7985"/>
    <cellStyle name="Normal 7 9 3 7" xfId="4480"/>
    <cellStyle name="Normal 7 9 4" xfId="2732"/>
    <cellStyle name="Normal 7 9 4 2" xfId="6772"/>
    <cellStyle name="Normal 7 9 4 2 2" xfId="11787"/>
    <cellStyle name="Normal 7 9 4 3" xfId="13241"/>
    <cellStyle name="Normal 7 9 4 4" xfId="9682"/>
    <cellStyle name="Normal 7 9 4 5" xfId="4664"/>
    <cellStyle name="Normal 7 9 5" xfId="1581"/>
    <cellStyle name="Normal 7 9 5 2" xfId="10742"/>
    <cellStyle name="Normal 7 9 5 3" xfId="5726"/>
    <cellStyle name="Normal 7 9 6" xfId="8798"/>
    <cellStyle name="Normal 7 9 7" xfId="12198"/>
    <cellStyle name="Normal 7 9 8" xfId="7275"/>
    <cellStyle name="Normal 7 9 9" xfId="3729"/>
    <cellStyle name="Normal 7 9_Degree data" xfId="3209"/>
    <cellStyle name="Normal 7_Degree data" xfId="3176"/>
    <cellStyle name="Normal 70" xfId="146"/>
    <cellStyle name="Normal 70 2" xfId="4388"/>
    <cellStyle name="Normal 70 2 2" xfId="5323"/>
    <cellStyle name="Normal 70 2 2 2" xfId="10341"/>
    <cellStyle name="Normal 70 2 3" xfId="7088"/>
    <cellStyle name="Normal 70 2 3 2" xfId="12102"/>
    <cellStyle name="Normal 70 2 4" xfId="9457"/>
    <cellStyle name="Normal 70 2 5" xfId="7934"/>
    <cellStyle name="Normal 70 3" xfId="8786"/>
    <cellStyle name="Normal 70 4" xfId="3717"/>
    <cellStyle name="Normal 71" xfId="96"/>
    <cellStyle name="Normal 72" xfId="97"/>
    <cellStyle name="Normal 73" xfId="62"/>
    <cellStyle name="Normal 73 2" xfId="4389"/>
    <cellStyle name="Normal 73 2 2" xfId="5324"/>
    <cellStyle name="Normal 73 2 2 2" xfId="10342"/>
    <cellStyle name="Normal 73 2 3" xfId="7086"/>
    <cellStyle name="Normal 73 2 3 2" xfId="12100"/>
    <cellStyle name="Normal 73 2 4" xfId="9458"/>
    <cellStyle name="Normal 73 2 5" xfId="7935"/>
    <cellStyle name="Normal 73 3" xfId="8787"/>
    <cellStyle name="Normal 73 4" xfId="3718"/>
    <cellStyle name="Normal 74" xfId="156"/>
    <cellStyle name="Normal 74 2" xfId="5325"/>
    <cellStyle name="Normal 74 2 2" xfId="10343"/>
    <cellStyle name="Normal 74 3" xfId="7084"/>
    <cellStyle name="Normal 74 3 2" xfId="12099"/>
    <cellStyle name="Normal 74 4" xfId="9459"/>
    <cellStyle name="Normal 74 5" xfId="7936"/>
    <cellStyle name="Normal 74 6" xfId="4390"/>
    <cellStyle name="Normal 75" xfId="164"/>
    <cellStyle name="Normal 75 2" xfId="5326"/>
    <cellStyle name="Normal 75 2 2" xfId="10344"/>
    <cellStyle name="Normal 75 3" xfId="7081"/>
    <cellStyle name="Normal 75 3 2" xfId="12096"/>
    <cellStyle name="Normal 75 4" xfId="9460"/>
    <cellStyle name="Normal 75 5" xfId="7937"/>
    <cellStyle name="Normal 75 6" xfId="4391"/>
    <cellStyle name="Normal 76" xfId="162"/>
    <cellStyle name="Normal 76 2" xfId="5327"/>
    <cellStyle name="Normal 76 2 2" xfId="10345"/>
    <cellStyle name="Normal 76 3" xfId="7080"/>
    <cellStyle name="Normal 76 3 2" xfId="12095"/>
    <cellStyle name="Normal 76 4" xfId="9461"/>
    <cellStyle name="Normal 76 5" xfId="7938"/>
    <cellStyle name="Normal 76 6" xfId="4392"/>
    <cellStyle name="Normal 77" xfId="157"/>
    <cellStyle name="Normal 77 2" xfId="4972"/>
    <cellStyle name="Normal 77 2 2" xfId="9990"/>
    <cellStyle name="Normal 77 3" xfId="7089"/>
    <cellStyle name="Normal 77 3 2" xfId="12103"/>
    <cellStyle name="Normal 77 4" xfId="9106"/>
    <cellStyle name="Normal 77 5" xfId="7583"/>
    <cellStyle name="Normal 77 6" xfId="4037"/>
    <cellStyle name="Normal 78" xfId="183"/>
    <cellStyle name="Normal 78 2" xfId="5328"/>
    <cellStyle name="Normal 78 2 2" xfId="10346"/>
    <cellStyle name="Normal 78 3" xfId="5762"/>
    <cellStyle name="Normal 78 3 2" xfId="10778"/>
    <cellStyle name="Normal 78 4" xfId="9462"/>
    <cellStyle name="Normal 78 5" xfId="7939"/>
    <cellStyle name="Normal 78 6" xfId="4393"/>
    <cellStyle name="Normal 79" xfId="184"/>
    <cellStyle name="Normal 79 2" xfId="4973"/>
    <cellStyle name="Normal 79 2 2" xfId="9991"/>
    <cellStyle name="Normal 79 3" xfId="7087"/>
    <cellStyle name="Normal 79 3 2" xfId="12101"/>
    <cellStyle name="Normal 79 4" xfId="9107"/>
    <cellStyle name="Normal 79 5" xfId="7584"/>
    <cellStyle name="Normal 79 6" xfId="4038"/>
    <cellStyle name="Normal 8" xfId="78"/>
    <cellStyle name="Normal 8 2" xfId="131"/>
    <cellStyle name="Normal 8 3" xfId="122"/>
    <cellStyle name="Normal 80" xfId="215"/>
    <cellStyle name="Normal 80 2" xfId="4974"/>
    <cellStyle name="Normal 80 2 2" xfId="9992"/>
    <cellStyle name="Normal 80 3" xfId="7083"/>
    <cellStyle name="Normal 80 3 2" xfId="12098"/>
    <cellStyle name="Normal 80 4" xfId="9108"/>
    <cellStyle name="Normal 80 5" xfId="7585"/>
    <cellStyle name="Normal 80 6" xfId="4039"/>
    <cellStyle name="Normal 81" xfId="217"/>
    <cellStyle name="Normal 81 2" xfId="5329"/>
    <cellStyle name="Normal 81 2 2" xfId="10347"/>
    <cellStyle name="Normal 81 3" xfId="5690"/>
    <cellStyle name="Normal 81 3 2" xfId="10706"/>
    <cellStyle name="Normal 81 4" xfId="9463"/>
    <cellStyle name="Normal 81 5" xfId="7940"/>
    <cellStyle name="Normal 81 6" xfId="4394"/>
    <cellStyle name="Normal 82" xfId="216"/>
    <cellStyle name="Normal 82 2" xfId="5330"/>
    <cellStyle name="Normal 82 2 2" xfId="10348"/>
    <cellStyle name="Normal 82 3" xfId="7090"/>
    <cellStyle name="Normal 82 3 2" xfId="12104"/>
    <cellStyle name="Normal 82 4" xfId="9464"/>
    <cellStyle name="Normal 82 5" xfId="7941"/>
    <cellStyle name="Normal 82 6" xfId="4395"/>
    <cellStyle name="Normal 83" xfId="98"/>
    <cellStyle name="Normal 84" xfId="99"/>
    <cellStyle name="Normal 85" xfId="218"/>
    <cellStyle name="Normal 85 2" xfId="4975"/>
    <cellStyle name="Normal 85 2 2" xfId="9993"/>
    <cellStyle name="Normal 85 3" xfId="7082"/>
    <cellStyle name="Normal 85 3 2" xfId="12097"/>
    <cellStyle name="Normal 85 4" xfId="9109"/>
    <cellStyle name="Normal 85 5" xfId="7586"/>
    <cellStyle name="Normal 85 6" xfId="4040"/>
    <cellStyle name="Normal 86" xfId="100"/>
    <cellStyle name="Normal 87" xfId="220"/>
    <cellStyle name="Normal 87 2" xfId="4971"/>
    <cellStyle name="Normal 87 2 2" xfId="9989"/>
    <cellStyle name="Normal 87 3" xfId="7091"/>
    <cellStyle name="Normal 87 3 2" xfId="12105"/>
    <cellStyle name="Normal 87 4" xfId="9105"/>
    <cellStyle name="Normal 87 5" xfId="7582"/>
    <cellStyle name="Normal 87 6" xfId="4036"/>
    <cellStyle name="Normal 88" xfId="221"/>
    <cellStyle name="Normal 88 2" xfId="5333"/>
    <cellStyle name="Normal 89" xfId="252"/>
    <cellStyle name="Normal 89 2" xfId="5684"/>
    <cellStyle name="Normal 9" xfId="123"/>
    <cellStyle name="Normal 9 2" xfId="729"/>
    <cellStyle name="Normal 9 2 10" xfId="3531"/>
    <cellStyle name="Normal 9 2 2" xfId="1137"/>
    <cellStyle name="Normal 9 2 2 2" xfId="2236"/>
    <cellStyle name="Normal 9 2 2 2 2" xfId="9986"/>
    <cellStyle name="Normal 9 2 2 2 3" xfId="4968"/>
    <cellStyle name="Normal 9 2 2 3" xfId="6383"/>
    <cellStyle name="Normal 9 2 2 3 2" xfId="11398"/>
    <cellStyle name="Normal 9 2 2 4" xfId="9102"/>
    <cellStyle name="Normal 9 2 2 5" xfId="12852"/>
    <cellStyle name="Normal 9 2 2 6" xfId="7579"/>
    <cellStyle name="Normal 9 2 2 7" xfId="4033"/>
    <cellStyle name="Normal 9 2 3" xfId="1494"/>
    <cellStyle name="Normal 9 2 3 2" xfId="2584"/>
    <cellStyle name="Normal 9 2 3 2 2" xfId="10349"/>
    <cellStyle name="Normal 9 2 3 2 3" xfId="5331"/>
    <cellStyle name="Normal 9 2 3 3" xfId="6731"/>
    <cellStyle name="Normal 9 2 3 3 2" xfId="11746"/>
    <cellStyle name="Normal 9 2 3 4" xfId="9465"/>
    <cellStyle name="Normal 9 2 3 5" xfId="13200"/>
    <cellStyle name="Normal 9 2 3 6" xfId="7942"/>
    <cellStyle name="Normal 9 2 3 7" xfId="4396"/>
    <cellStyle name="Normal 9 2 4" xfId="3055"/>
    <cellStyle name="Normal 9 2 4 2" xfId="5678"/>
    <cellStyle name="Normal 9 2 4 2 2" xfId="10695"/>
    <cellStyle name="Normal 9 2 4 3" xfId="7076"/>
    <cellStyle name="Normal 9 2 4 3 2" xfId="12091"/>
    <cellStyle name="Normal 9 2 4 4" xfId="8783"/>
    <cellStyle name="Normal 9 2 4 5" xfId="13545"/>
    <cellStyle name="Normal 9 2 4 6" xfId="8289"/>
    <cellStyle name="Normal 9 2 4 7" xfId="3714"/>
    <cellStyle name="Normal 9 2 5" xfId="1885"/>
    <cellStyle name="Normal 9 2 5 2" xfId="9669"/>
    <cellStyle name="Normal 9 2 5 3" xfId="4651"/>
    <cellStyle name="Normal 9 2 6" xfId="6032"/>
    <cellStyle name="Normal 9 2 6 2" xfId="11048"/>
    <cellStyle name="Normal 9 2 7" xfId="8609"/>
    <cellStyle name="Normal 9 2 8" xfId="12502"/>
    <cellStyle name="Normal 9 2 9" xfId="7262"/>
    <cellStyle name="Normal 9 2_Degree data" xfId="3210"/>
    <cellStyle name="Normal 90" xfId="257"/>
    <cellStyle name="Normal 90 2" xfId="6348"/>
    <cellStyle name="Normal 91" xfId="261"/>
    <cellStyle name="Normal 91 2" xfId="7085"/>
    <cellStyle name="Normal 92" xfId="408"/>
    <cellStyle name="Normal 92 2" xfId="8293"/>
    <cellStyle name="Normal 93" xfId="267"/>
    <cellStyle name="Normal 93 2" xfId="9467"/>
    <cellStyle name="Normal 94" xfId="410"/>
    <cellStyle name="Normal 94 2" xfId="12107"/>
    <cellStyle name="Normal 95" xfId="409"/>
    <cellStyle name="Normal 95 2" xfId="12106"/>
    <cellStyle name="Normal 96" xfId="265"/>
    <cellStyle name="Normal 96 2" xfId="12111"/>
    <cellStyle name="Normal 97" xfId="411"/>
    <cellStyle name="Normal 97 2" xfId="12112"/>
    <cellStyle name="Normal 98" xfId="101"/>
    <cellStyle name="Normal 99" xfId="412"/>
    <cellStyle name="Normal 99 2" xfId="12114"/>
    <cellStyle name="Normal_03SCH&amp;FTE05" xfId="13571"/>
    <cellStyle name="Normal_03TTA09mastersurvey" xfId="19"/>
    <cellStyle name="Normal_05Funding05" xfId="13562"/>
    <cellStyle name="Normal_06Funding09mastersurvey" xfId="2"/>
    <cellStyle name="Normal_Benefits02 Form" xfId="13560"/>
    <cellStyle name="Normal_Degree02 Form" xfId="13564"/>
    <cellStyle name="Normal_Degree02 Form 2" xfId="13556"/>
    <cellStyle name="Normal_Degree02 Form 3" xfId="13565"/>
    <cellStyle name="Normal_Degrees02 Form" xfId="13563"/>
    <cellStyle name="Normal_Degrees02 Form 2" xfId="13558"/>
    <cellStyle name="Normal_Degrees02 Form 3" xfId="13567"/>
    <cellStyle name="Normal_Funding02 Form" xfId="3"/>
    <cellStyle name="Normal_Funding03 Form" xfId="13561"/>
    <cellStyle name="Normal_Funding04 Form" xfId="4"/>
    <cellStyle name="Normal_Funding07" xfId="13570"/>
    <cellStyle name="Normal_Salaries02 Form" xfId="13566"/>
    <cellStyle name="Normal_SCH&amp;FTE02 Form" xfId="13559"/>
    <cellStyle name="Normal_SFA Data for Highlights" xfId="9"/>
    <cellStyle name="Normal_StProg01B" xfId="13557"/>
    <cellStyle name="Normal_StProg02 Form" xfId="13569"/>
    <cellStyle name="Normal_StProg02 Form 2" xfId="13568"/>
    <cellStyle name="Note" xfId="5" builtinId="10" customBuiltin="1"/>
    <cellStyle name="Note 2" xfId="4397"/>
    <cellStyle name="Note 2 2" xfId="4437"/>
    <cellStyle name="Note 2 3" xfId="4444"/>
    <cellStyle name="Note 2 4" xfId="5332"/>
    <cellStyle name="Note 2 4 2" xfId="10350"/>
    <cellStyle name="Note 2 5" xfId="5761"/>
    <cellStyle name="Note 2 5 2" xfId="10777"/>
    <cellStyle name="Note 2 6" xfId="9466"/>
    <cellStyle name="Note 2 7" xfId="7943"/>
    <cellStyle name="Note 3" xfId="4436"/>
    <cellStyle name="Note 4" xfId="4445"/>
    <cellStyle name="Output 2" xfId="4438"/>
    <cellStyle name="Output 3" xfId="4448"/>
    <cellStyle name="Percent" xfId="6" builtinId="5"/>
    <cellStyle name="Percent 2" xfId="13"/>
    <cellStyle name="Percent 2 2" xfId="128"/>
    <cellStyle name="Percent 2 2 2" xfId="304"/>
    <cellStyle name="Percent 2 2 3" xfId="290"/>
    <cellStyle name="Percent 2 3" xfId="4440"/>
    <cellStyle name="Percent 3" xfId="63"/>
    <cellStyle name="Percent 4" xfId="76"/>
    <cellStyle name="Percent 5" xfId="73"/>
    <cellStyle name="Percent 6" xfId="4439"/>
    <cellStyle name="questionable" xfId="22"/>
    <cellStyle name="questionable 2" xfId="113"/>
    <cellStyle name="review" xfId="23"/>
    <cellStyle name="Title 2" xfId="4441"/>
    <cellStyle name="Total 2" xfId="4442"/>
    <cellStyle name="Total 3" xfId="4449"/>
    <cellStyle name="Warning Text 2" xfId="4443"/>
  </cellStyles>
  <dxfs count="1295">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val="0"/>
      </font>
    </dxf>
    <dxf>
      <border>
        <bottom/>
      </border>
    </dxf>
    <dxf>
      <font>
        <b/>
      </font>
    </dxf>
    <dxf>
      <font>
        <b/>
      </font>
    </dxf>
    <dxf>
      <fill>
        <patternFill patternType="solid">
          <bgColor rgb="FFFFFF00"/>
        </patternFill>
      </fill>
    </dxf>
    <dxf>
      <numFmt numFmtId="3" formatCode="#,##0"/>
    </dxf>
    <dxf>
      <font>
        <name val="Arial"/>
        <scheme val="none"/>
      </font>
    </dxf>
    <dxf>
      <alignment wrapText="1" readingOrder="0"/>
    </dxf>
    <dxf>
      <fill>
        <patternFill patternType="none">
          <bgColor auto="1"/>
        </patternFill>
      </fill>
    </dxf>
    <dxf>
      <font>
        <color auto="1"/>
      </font>
    </dxf>
    <dxf>
      <fill>
        <patternFill patternType="solid">
          <bgColor theme="6" tint="0.79998168889431442"/>
        </patternFill>
      </fill>
    </dxf>
    <dxf>
      <fill>
        <patternFill>
          <bgColor theme="6" tint="0.79998168889431442"/>
        </patternFill>
      </fill>
    </dxf>
    <dxf>
      <fill>
        <patternFill patternType="solid">
          <bgColor theme="6" tint="0.79998168889431442"/>
        </patternFill>
      </fill>
    </dxf>
    <dxf>
      <font>
        <b/>
      </font>
    </dxf>
    <dxf>
      <font>
        <b/>
      </font>
    </dxf>
    <dxf>
      <font>
        <b/>
      </font>
    </dxf>
    <dxf>
      <font>
        <b/>
      </font>
    </dxf>
    <dxf>
      <font>
        <b/>
      </font>
    </dxf>
    <dxf>
      <font>
        <b/>
      </font>
    </dxf>
    <dxf>
      <font>
        <b/>
      </font>
    </dxf>
    <dxf>
      <font>
        <b/>
      </font>
    </dxf>
    <dxf>
      <font>
        <b/>
      </font>
    </dxf>
    <dxf>
      <border>
        <horizontal style="thin">
          <color indexed="8"/>
        </horizontal>
      </border>
    </dxf>
    <dxf>
      <border>
        <horizontal style="thin">
          <color indexed="8"/>
        </horizontal>
      </border>
    </dxf>
    <dxf>
      <border>
        <horizontal style="thin">
          <color indexed="8"/>
        </horizontal>
      </border>
    </dxf>
    <dxf>
      <border>
        <horizontal style="thin">
          <color indexed="8"/>
        </horizontal>
      </border>
    </dxf>
    <dxf>
      <border>
        <horizontal style="thin">
          <color indexed="8"/>
        </horizontal>
      </border>
    </dxf>
    <dxf>
      <border>
        <top style="thin">
          <color indexed="64"/>
        </top>
        <bottom style="thin">
          <color indexed="64"/>
        </bottom>
      </border>
    </dxf>
    <dxf>
      <border>
        <bottom style="thin">
          <color indexed="64"/>
        </bottom>
      </border>
    </dxf>
    <dxf>
      <border>
        <bottom style="thin">
          <color indexed="64"/>
        </bottom>
      </border>
    </dxf>
    <dxf>
      <border>
        <bottom style="thin">
          <color indexed="64"/>
        </bottom>
      </border>
    </dxf>
    <dxf>
      <border>
        <right style="thin">
          <color indexed="64"/>
        </right>
      </border>
    </dxf>
    <dxf>
      <border>
        <right style="thin">
          <color indexed="64"/>
        </right>
      </border>
    </dxf>
    <dxf>
      <border>
        <right style="thin">
          <color indexed="64"/>
        </right>
      </border>
    </dxf>
    <dxf>
      <font>
        <b/>
      </font>
    </dxf>
    <dxf>
      <font>
        <b/>
      </font>
    </dxf>
    <dxf>
      <font>
        <b/>
      </font>
    </dxf>
    <dxf>
      <font>
        <b/>
      </font>
    </dxf>
    <dxf>
      <font>
        <b/>
      </font>
    </dxf>
    <dxf>
      <font>
        <b/>
      </font>
    </dxf>
    <dxf>
      <font>
        <b/>
      </font>
    </dxf>
    <dxf>
      <border>
        <right style="thin">
          <color indexed="64"/>
        </right>
      </border>
    </dxf>
    <dxf>
      <border>
        <right style="thin">
          <color indexed="64"/>
        </right>
      </border>
    </dxf>
    <dxf>
      <fill>
        <patternFill patternType="none"/>
      </fill>
    </dxf>
    <dxf>
      <border>
        <bottom style="thin">
          <color indexed="64"/>
        </bottom>
      </border>
    </dxf>
    <dxf>
      <fill>
        <patternFill patternType="solid">
          <bgColor indexed="46"/>
        </patternFill>
      </fill>
    </dxf>
    <dxf>
      <fill>
        <patternFill patternType="solid">
          <bgColor indexed="41"/>
        </patternFill>
      </fill>
    </dxf>
    <dxf>
      <fill>
        <patternFill patternType="solid">
          <bgColor indexed="42"/>
        </patternFill>
      </fill>
    </dxf>
    <dxf>
      <fill>
        <patternFill patternType="solid">
          <bgColor indexed="43"/>
        </patternFill>
      </fill>
    </dxf>
    <dxf>
      <fill>
        <patternFill patternType="solid">
          <bgColor indexed="47"/>
        </patternFill>
      </fill>
    </dxf>
    <dxf>
      <fill>
        <patternFill patternType="solid">
          <bgColor indexed="45"/>
        </patternFill>
      </fill>
    </dxf>
    <dxf>
      <fill>
        <patternFill patternType="solid">
          <bgColor indexed="14"/>
        </patternFill>
      </fill>
    </dxf>
    <dxf>
      <fill>
        <patternFill patternType="solid">
          <bgColor indexed="14"/>
        </patternFill>
      </fill>
    </dxf>
    <dxf>
      <fill>
        <patternFill patternType="solid">
          <bgColor indexed="14"/>
        </patternFill>
      </fill>
    </dxf>
    <dxf>
      <border>
        <right style="thin">
          <color indexed="64"/>
        </right>
      </border>
    </dxf>
    <dxf>
      <font>
        <name val="Arial"/>
        <scheme val="none"/>
      </font>
    </dxf>
    <dxf>
      <numFmt numFmtId="3" formatCode="#,##0"/>
    </dxf>
    <dxf>
      <border>
        <bottom style="thin">
          <color indexed="64"/>
        </bottom>
      </border>
    </dxf>
    <dxf>
      <border>
        <top style="thin">
          <color indexed="64"/>
        </top>
      </border>
    </dxf>
    <dxf>
      <border>
        <top/>
        <bottom/>
      </border>
    </dxf>
    <dxf>
      <border>
        <left/>
        <right/>
      </border>
    </dxf>
    <dxf>
      <border>
        <left/>
        <right/>
      </border>
    </dxf>
    <dxf>
      <font>
        <name val="Arial"/>
        <scheme val="none"/>
      </font>
    </dxf>
    <dxf>
      <border>
        <left style="thin">
          <color indexed="8"/>
        </left>
        <right style="thin">
          <color indexed="8"/>
        </right>
        <vertical style="thin">
          <color indexed="8"/>
        </vertical>
      </border>
    </dxf>
    <dxf>
      <border>
        <left style="thin">
          <color indexed="8"/>
        </left>
        <right style="thin">
          <color indexed="8"/>
        </right>
        <vertical style="thin">
          <color indexed="8"/>
        </vertical>
      </border>
    </dxf>
    <dxf>
      <fill>
        <patternFill patternType="none">
          <bgColor auto="1"/>
        </patternFill>
      </fill>
    </dxf>
    <dxf>
      <border>
        <horizontal/>
      </border>
    </dxf>
    <dxf>
      <border>
        <horizontal/>
      </border>
    </dxf>
    <dxf>
      <font>
        <u/>
      </font>
    </dxf>
    <dxf>
      <font>
        <u/>
      </font>
    </dxf>
    <dxf>
      <alignment vertical="center" readingOrder="0"/>
    </dxf>
    <dxf>
      <alignment vertical="center" readingOrder="0"/>
    </dxf>
    <dxf>
      <border>
        <top style="thin">
          <color indexed="64"/>
        </top>
        <bottom style="thin">
          <color indexed="64"/>
        </bottom>
      </border>
    </dxf>
    <dxf>
      <fill>
        <patternFill patternType="none">
          <bgColor auto="1"/>
        </patternFill>
      </fill>
    </dxf>
    <dxf>
      <font>
        <b val="0"/>
      </font>
    </dxf>
    <dxf>
      <fill>
        <patternFill patternType="solid">
          <bgColor indexed="43"/>
        </patternFill>
      </fill>
    </dxf>
    <dxf>
      <fill>
        <patternFill patternType="solid">
          <bgColor indexed="43"/>
        </patternFill>
      </fill>
    </dxf>
    <dxf>
      <fill>
        <patternFill patternType="solid">
          <bgColor indexed="43"/>
        </patternFill>
      </fill>
    </dxf>
    <dxf>
      <fill>
        <patternFill patternType="solid">
          <bgColor indexed="43"/>
        </patternFill>
      </fill>
    </dxf>
    <dxf>
      <fill>
        <patternFill patternType="solid">
          <bgColor indexed="43"/>
        </patternFill>
      </fill>
    </dxf>
    <dxf>
      <fill>
        <patternFill patternType="solid">
          <bgColor indexed="43"/>
        </patternFill>
      </fill>
    </dxf>
    <dxf>
      <fill>
        <patternFill patternType="solid">
          <bgColor indexed="43"/>
        </patternFill>
      </fill>
    </dxf>
    <dxf>
      <fill>
        <patternFill patternType="solid">
          <bgColor indexed="43"/>
        </patternFill>
      </fill>
    </dxf>
    <dxf>
      <fill>
        <patternFill patternType="solid">
          <bgColor indexed="43"/>
        </patternFill>
      </fill>
    </dxf>
    <dxf>
      <fill>
        <patternFill patternType="solid">
          <bgColor indexed="43"/>
        </patternFill>
      </fill>
    </dxf>
    <dxf>
      <fill>
        <patternFill patternType="solid">
          <bgColor indexed="41"/>
        </patternFill>
      </fill>
    </dxf>
    <dxf>
      <fill>
        <patternFill patternType="solid">
          <bgColor indexed="41"/>
        </patternFill>
      </fill>
    </dxf>
    <dxf>
      <fill>
        <patternFill patternType="solid">
          <bgColor indexed="41"/>
        </patternFill>
      </fill>
    </dxf>
    <dxf>
      <fill>
        <patternFill patternType="solid">
          <bgColor indexed="41"/>
        </patternFill>
      </fill>
    </dxf>
    <dxf>
      <fill>
        <patternFill patternType="solid">
          <bgColor indexed="41"/>
        </patternFill>
      </fill>
    </dxf>
    <dxf>
      <fill>
        <patternFill patternType="solid">
          <bgColor indexed="41"/>
        </patternFill>
      </fill>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font>
        <name val="Arial"/>
        <scheme val="none"/>
      </font>
      <alignment vertical="center" readingOrder="0"/>
    </dxf>
    <dxf>
      <font>
        <name val="Arial"/>
        <scheme val="none"/>
      </font>
      <alignment vertical="center" readingOrder="0"/>
    </dxf>
    <dxf>
      <border>
        <right style="thin">
          <color indexed="64"/>
        </right>
      </border>
    </dxf>
    <dxf>
      <font>
        <name val="Arial"/>
        <scheme val="none"/>
      </font>
      <alignment vertical="center" readingOrder="0"/>
    </dxf>
    <dxf>
      <font>
        <name val="Arial"/>
        <scheme val="none"/>
      </font>
      <alignment vertical="center" readingOrder="0"/>
    </dxf>
    <dxf>
      <font>
        <name val="Arial"/>
        <scheme val="none"/>
      </font>
      <alignment vertical="center" readingOrder="0"/>
    </dxf>
    <dxf>
      <font>
        <name val="Arial"/>
        <scheme val="none"/>
      </font>
      <alignment vertical="center" readingOrder="0"/>
    </dxf>
    <dxf>
      <font>
        <name val="Arial"/>
        <scheme val="none"/>
      </font>
      <alignment vertical="center" readingOrder="0"/>
    </dxf>
    <dxf>
      <font>
        <name val="Arial"/>
        <scheme val="none"/>
      </font>
      <alignment vertical="center" readingOrder="0"/>
    </dxf>
    <dxf>
      <font>
        <name val="Arial"/>
        <scheme val="none"/>
      </font>
      <alignment vertical="center" readingOrder="0"/>
    </dxf>
    <dxf>
      <font>
        <name val="Arial"/>
        <scheme val="none"/>
      </font>
      <alignment vertical="center" readingOrder="0"/>
    </dxf>
    <dxf>
      <font>
        <name val="Arial"/>
        <scheme val="none"/>
      </font>
      <alignment vertical="center" readingOrder="0"/>
    </dxf>
    <dxf>
      <font>
        <name val="Arial"/>
        <scheme val="none"/>
      </font>
      <alignment vertical="center" readingOrder="0"/>
    </dxf>
    <dxf>
      <font>
        <name val="Arial"/>
        <scheme val="none"/>
      </font>
      <alignment vertical="center" readingOrder="0"/>
    </dxf>
    <dxf>
      <font>
        <name val="Arial"/>
        <scheme val="none"/>
      </font>
      <alignment vertical="center" readingOrder="0"/>
    </dxf>
    <dxf>
      <font>
        <name val="Arial"/>
        <scheme val="none"/>
      </font>
      <alignment vertical="center" readingOrder="0"/>
    </dxf>
    <dxf>
      <font>
        <name val="Arial"/>
        <scheme val="none"/>
      </font>
      <alignment vertical="center" readingOrder="0"/>
    </dxf>
    <dxf>
      <font>
        <name val="Arial"/>
        <scheme val="none"/>
      </font>
      <alignment vertical="center" readingOrder="0"/>
    </dxf>
    <dxf>
      <font>
        <name val="Arial"/>
        <scheme val="none"/>
      </font>
      <alignment vertical="center" readingOrder="0"/>
    </dxf>
    <dxf>
      <font>
        <name val="Arial"/>
        <scheme val="none"/>
      </font>
      <alignment vertical="center" readingOrder="0"/>
    </dxf>
    <dxf>
      <font>
        <name val="Arial"/>
        <scheme val="none"/>
      </font>
      <alignment vertical="center" readingOrder="0"/>
    </dxf>
    <dxf>
      <font>
        <name val="Arial"/>
        <scheme val="none"/>
      </font>
      <alignment vertical="center" readingOrder="0"/>
    </dxf>
    <dxf>
      <font>
        <name val="Arial"/>
        <scheme val="none"/>
      </font>
      <alignment vertical="center" readingOrder="0"/>
    </dxf>
    <dxf>
      <font>
        <name val="Arial"/>
        <scheme val="none"/>
      </font>
      <alignment vertical="center" readingOrder="0"/>
    </dxf>
    <dxf>
      <font>
        <name val="Arial"/>
        <scheme val="none"/>
      </font>
      <alignment vertical="center" readingOrder="0"/>
    </dxf>
    <dxf>
      <font>
        <name val="Arial"/>
        <scheme val="none"/>
      </font>
      <alignment vertical="center" readingOrder="0"/>
    </dxf>
    <dxf>
      <font>
        <name val="Arial"/>
        <scheme val="none"/>
      </font>
      <alignment vertical="center" readingOrder="0"/>
    </dxf>
    <dxf>
      <font>
        <name val="Arial"/>
        <scheme val="none"/>
      </font>
      <alignment vertical="center" readingOrder="0"/>
    </dxf>
    <dxf>
      <font>
        <name val="Arial"/>
        <scheme val="none"/>
      </font>
      <alignment vertical="center" readingOrder="0"/>
    </dxf>
    <dxf>
      <font>
        <name val="Arial"/>
        <scheme val="none"/>
      </font>
      <alignment vertical="center" readingOrder="0"/>
    </dxf>
    <dxf>
      <font>
        <name val="Arial"/>
        <scheme val="none"/>
      </font>
      <alignment vertical="center" readingOrder="0"/>
    </dxf>
    <dxf>
      <font>
        <name val="Arial"/>
        <scheme val="none"/>
      </font>
      <alignment vertical="center" readingOrder="0"/>
    </dxf>
    <dxf>
      <font>
        <name val="Arial"/>
        <scheme val="none"/>
      </font>
      <alignment vertical="center" readingOrder="0"/>
    </dxf>
    <dxf>
      <font>
        <name val="Arial"/>
        <scheme val="none"/>
      </font>
      <alignment vertical="center" readingOrder="0"/>
    </dxf>
    <dxf>
      <border>
        <right style="thin">
          <color indexed="64"/>
        </right>
      </border>
    </dxf>
    <dxf>
      <border>
        <right style="thin">
          <color indexed="64"/>
        </right>
      </border>
    </dxf>
    <dxf>
      <font>
        <b/>
        <name val="Arial"/>
        <scheme val="none"/>
      </font>
      <alignment vertical="top" readingOrder="0"/>
    </dxf>
    <dxf>
      <font>
        <b/>
        <name val="Arial"/>
        <scheme val="none"/>
      </font>
      <alignment vertical="top" readingOrder="0"/>
    </dxf>
    <dxf>
      <font>
        <b/>
        <name val="Arial"/>
        <scheme val="none"/>
      </font>
      <alignment vertical="top" readingOrder="0"/>
    </dxf>
    <dxf>
      <font>
        <b/>
        <name val="Arial"/>
        <scheme val="none"/>
      </font>
      <alignment vertical="top" readingOrder="0"/>
    </dxf>
    <dxf>
      <font>
        <b/>
        <name val="Arial"/>
        <scheme val="none"/>
      </font>
      <alignment vertical="top" readingOrder="0"/>
    </dxf>
    <dxf>
      <font>
        <b/>
        <name val="Arial"/>
        <scheme val="none"/>
      </font>
      <alignment vertical="top" readingOrder="0"/>
    </dxf>
    <dxf>
      <font>
        <b/>
        <name val="Arial"/>
        <scheme val="none"/>
      </font>
      <alignment vertical="top" readingOrder="0"/>
    </dxf>
    <dxf>
      <font>
        <b/>
        <name val="Arial"/>
        <scheme val="none"/>
      </font>
      <alignment vertical="top" readingOrder="0"/>
    </dxf>
    <dxf>
      <font>
        <b/>
        <name val="Arial"/>
        <scheme val="none"/>
      </font>
      <alignment vertical="top" readingOrder="0"/>
    </dxf>
    <dxf>
      <font>
        <b/>
        <name val="Arial"/>
        <scheme val="none"/>
      </font>
      <alignment vertical="top" readingOrder="0"/>
    </dxf>
    <dxf>
      <font>
        <b/>
        <name val="Arial"/>
        <scheme val="none"/>
      </font>
      <alignment vertical="top" readingOrder="0"/>
    </dxf>
    <dxf>
      <font>
        <b/>
        <name val="Arial"/>
        <scheme val="none"/>
      </font>
      <alignment vertical="top" readingOrder="0"/>
    </dxf>
    <dxf>
      <font>
        <b/>
        <name val="Arial"/>
        <scheme val="none"/>
      </font>
      <alignment vertical="top" readingOrder="0"/>
    </dxf>
    <dxf>
      <font>
        <b/>
        <name val="Arial"/>
        <scheme val="none"/>
      </font>
      <alignment vertical="top" readingOrder="0"/>
    </dxf>
    <dxf>
      <font>
        <b/>
        <name val="Arial"/>
        <scheme val="none"/>
      </font>
      <alignment vertical="top" readingOrder="0"/>
    </dxf>
    <dxf>
      <font>
        <b/>
        <name val="Arial"/>
        <scheme val="none"/>
      </font>
      <alignment vertical="top" readingOrder="0"/>
    </dxf>
    <dxf>
      <font>
        <b/>
        <name val="Arial"/>
        <scheme val="none"/>
      </font>
      <alignment vertical="top" readingOrder="0"/>
    </dxf>
    <dxf>
      <font>
        <b/>
        <name val="Arial"/>
        <scheme val="none"/>
      </font>
      <alignment vertical="top" readingOrder="0"/>
    </dxf>
    <dxf>
      <font>
        <b/>
        <name val="Arial"/>
        <scheme val="none"/>
      </font>
      <alignment vertical="top" readingOrder="0"/>
    </dxf>
    <dxf>
      <font>
        <b/>
        <name val="Arial"/>
        <scheme val="none"/>
      </font>
      <alignment vertical="top" readingOrder="0"/>
    </dxf>
    <dxf>
      <font>
        <b/>
        <name val="Arial"/>
        <scheme val="none"/>
      </font>
      <alignment vertical="top" readingOrder="0"/>
    </dxf>
    <dxf>
      <font>
        <b/>
        <name val="Arial"/>
        <scheme val="none"/>
      </font>
      <alignment vertical="top" readingOrder="0"/>
    </dxf>
    <dxf>
      <font>
        <b/>
        <name val="Arial"/>
        <scheme val="none"/>
      </font>
      <alignment vertical="top" readingOrder="0"/>
    </dxf>
    <dxf>
      <font>
        <b/>
        <name val="Arial"/>
        <scheme val="none"/>
      </font>
      <alignment vertical="top" readingOrder="0"/>
    </dxf>
    <dxf>
      <font>
        <b/>
        <name val="Arial"/>
        <scheme val="none"/>
      </font>
      <alignment vertical="top" readingOrder="0"/>
    </dxf>
    <dxf>
      <font>
        <b/>
        <name val="Arial"/>
        <scheme val="none"/>
      </font>
      <alignment vertical="top" readingOrder="0"/>
    </dxf>
    <dxf>
      <font>
        <b/>
        <name val="Arial"/>
        <scheme val="none"/>
      </font>
      <alignment vertical="top" readingOrder="0"/>
    </dxf>
    <dxf>
      <font>
        <b/>
        <name val="Arial"/>
        <scheme val="none"/>
      </font>
      <alignment vertical="top" readingOrder="0"/>
    </dxf>
    <dxf>
      <font>
        <b/>
        <name val="Arial"/>
        <scheme val="none"/>
      </font>
      <alignment vertical="top" readingOrder="0"/>
    </dxf>
    <dxf>
      <font>
        <b/>
        <name val="Arial"/>
        <scheme val="none"/>
      </font>
      <alignment vertical="top" readingOrder="0"/>
    </dxf>
    <dxf>
      <font>
        <b/>
        <name val="Arial"/>
        <scheme val="none"/>
      </font>
      <alignment vertical="top" readingOrder="0"/>
    </dxf>
    <dxf>
      <alignment vertical="center" readingOrder="0"/>
    </dxf>
    <dxf>
      <alignment vertical="center" readingOrder="0"/>
    </dxf>
    <dxf>
      <alignment vertical="distributed" readingOrder="0"/>
    </dxf>
    <dxf>
      <font>
        <name val="Arial"/>
        <scheme val="none"/>
      </font>
    </dxf>
    <dxf>
      <font>
        <b/>
        <name val="Arial"/>
        <scheme val="none"/>
      </font>
    </dxf>
    <dxf>
      <font>
        <b/>
        <name val="Arial"/>
        <scheme val="none"/>
      </font>
    </dxf>
    <dxf>
      <font>
        <b/>
        <name val="Arial"/>
        <scheme val="none"/>
      </font>
    </dxf>
    <dxf>
      <font>
        <b/>
        <name val="Arial"/>
        <scheme val="none"/>
      </font>
    </dxf>
    <dxf>
      <font>
        <b/>
        <name val="Arial"/>
        <scheme val="none"/>
      </font>
    </dxf>
    <dxf>
      <font>
        <b/>
        <name val="Arial"/>
        <scheme val="none"/>
      </font>
    </dxf>
    <dxf>
      <font>
        <b/>
        <name val="Arial"/>
        <scheme val="none"/>
      </font>
    </dxf>
    <dxf>
      <font>
        <b/>
        <name val="Arial"/>
        <scheme val="none"/>
      </font>
    </dxf>
    <dxf>
      <font>
        <b/>
        <name val="Arial"/>
        <scheme val="none"/>
      </font>
    </dxf>
    <dxf>
      <font>
        <b/>
        <name val="Arial"/>
        <scheme val="none"/>
      </font>
    </dxf>
    <dxf>
      <font>
        <b/>
        <name val="Arial"/>
        <scheme val="none"/>
      </font>
    </dxf>
    <dxf>
      <font>
        <b/>
        <name val="Arial"/>
        <scheme val="none"/>
      </font>
    </dxf>
    <dxf>
      <font>
        <b/>
        <name val="Arial"/>
        <scheme val="none"/>
      </font>
    </dxf>
    <dxf>
      <font>
        <b/>
        <name val="Arial"/>
        <scheme val="none"/>
      </font>
    </dxf>
    <dxf>
      <font>
        <b/>
        <name val="Arial"/>
        <scheme val="none"/>
      </font>
    </dxf>
    <dxf>
      <font>
        <b/>
        <name val="Arial"/>
        <scheme val="none"/>
      </font>
    </dxf>
    <dxf>
      <font>
        <b/>
        <name val="Arial"/>
        <scheme val="none"/>
      </font>
    </dxf>
    <dxf>
      <font>
        <b/>
        <name val="Arial"/>
        <scheme val="none"/>
      </font>
    </dxf>
    <dxf>
      <font>
        <b/>
        <name val="Arial"/>
        <scheme val="none"/>
      </font>
    </dxf>
    <dxf>
      <font>
        <b/>
        <name val="Arial"/>
        <scheme val="none"/>
      </font>
    </dxf>
    <dxf>
      <font>
        <b/>
        <name val="Arial"/>
        <scheme val="none"/>
      </font>
    </dxf>
    <dxf>
      <font>
        <b/>
        <name val="Arial"/>
        <scheme val="none"/>
      </font>
    </dxf>
    <dxf>
      <font>
        <b/>
        <name val="Arial"/>
        <scheme val="none"/>
      </font>
    </dxf>
    <dxf>
      <font>
        <b/>
        <name val="Arial"/>
        <scheme val="none"/>
      </font>
    </dxf>
    <dxf>
      <font>
        <b/>
        <name val="Arial"/>
        <scheme val="none"/>
      </font>
    </dxf>
    <dxf>
      <font>
        <b/>
        <name val="Arial"/>
        <scheme val="none"/>
      </font>
    </dxf>
    <dxf>
      <font>
        <b/>
        <name val="Arial"/>
        <scheme val="none"/>
      </font>
    </dxf>
    <dxf>
      <font>
        <b/>
        <name val="Arial"/>
        <scheme val="none"/>
      </font>
    </dxf>
    <dxf>
      <font>
        <b/>
        <name val="Arial"/>
        <scheme val="none"/>
      </font>
    </dxf>
    <dxf>
      <font>
        <b/>
        <name val="Arial"/>
        <scheme val="none"/>
      </font>
    </dxf>
    <dxf>
      <font>
        <b/>
        <name val="Arial"/>
        <scheme val="none"/>
      </font>
    </dxf>
    <dxf>
      <font>
        <b/>
        <name val="Arial"/>
        <scheme val="none"/>
      </font>
    </dxf>
    <dxf>
      <font>
        <b/>
        <name val="Arial"/>
        <scheme val="none"/>
      </font>
    </dxf>
    <dxf>
      <font>
        <b/>
        <name val="Arial"/>
        <scheme val="none"/>
      </font>
    </dxf>
    <dxf>
      <font>
        <b/>
        <name val="Arial"/>
        <scheme val="none"/>
      </font>
    </dxf>
    <dxf>
      <font>
        <b/>
        <name val="Arial"/>
        <scheme val="none"/>
      </font>
    </dxf>
    <dxf>
      <border>
        <left style="medium">
          <color indexed="64"/>
        </left>
        <right style="medium">
          <color indexed="64"/>
        </right>
        <top style="medium">
          <color indexed="64"/>
        </top>
        <bottom style="medium">
          <color indexed="64"/>
        </bottom>
      </border>
    </dxf>
    <dxf>
      <border>
        <bottom/>
      </border>
    </dxf>
    <dxf>
      <border>
        <left style="thin">
          <color indexed="64"/>
        </left>
        <right style="thin">
          <color indexed="64"/>
        </right>
      </border>
    </dxf>
    <dxf>
      <border>
        <right style="thin">
          <color indexed="64"/>
        </right>
      </border>
    </dxf>
    <dxf>
      <border>
        <right style="thin">
          <color indexed="64"/>
        </right>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font>
        <sz val="10"/>
      </font>
    </dxf>
    <dxf>
      <font>
        <b val="0"/>
      </font>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ont>
        <name val="Arial"/>
        <scheme val="none"/>
      </font>
    </dxf>
    <dxf>
      <fill>
        <patternFill patternType="none"/>
      </fill>
    </dxf>
    <dxf>
      <fill>
        <patternFill patternType="none"/>
      </fill>
    </dxf>
    <dxf>
      <fill>
        <patternFill patternType="solid">
          <bgColor indexed="43"/>
        </patternFill>
      </fill>
    </dxf>
    <dxf>
      <fill>
        <patternFill patternType="solid">
          <bgColor indexed="13"/>
        </patternFill>
      </fill>
    </dxf>
    <dxf>
      <alignment horizontal="right" readingOrder="0"/>
    </dxf>
    <dxf>
      <alignment horizontal="right" readingOrder="0"/>
    </dxf>
    <dxf>
      <fill>
        <patternFill patternType="solid">
          <bgColor indexed="42"/>
        </patternFill>
      </fill>
    </dxf>
    <dxf>
      <fill>
        <patternFill>
          <bgColor indexed="42"/>
        </patternFill>
      </fill>
    </dxf>
    <dxf>
      <fill>
        <patternFill patternType="solid">
          <bgColor indexed="42"/>
        </patternFill>
      </fill>
    </dxf>
    <dxf>
      <font>
        <b/>
      </font>
    </dxf>
    <dxf>
      <alignment wrapText="1" readingOrder="0"/>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border>
        <bottom/>
      </border>
    </dxf>
    <dxf>
      <border>
        <bottom/>
      </border>
    </dxf>
    <dxf>
      <border>
        <left style="thin">
          <color indexed="64"/>
        </left>
      </border>
    </dxf>
    <dxf>
      <font>
        <b/>
      </font>
    </dxf>
    <dxf>
      <fill>
        <patternFill patternType="solid">
          <fgColor indexed="64"/>
          <bgColor theme="0" tint="-0.249977111117893"/>
        </patternFill>
      </fill>
    </dxf>
    <dxf>
      <fill>
        <patternFill patternType="none">
          <bgColor auto="1"/>
        </patternFill>
      </fill>
    </dxf>
    <dxf>
      <fill>
        <patternFill patternType="none">
          <bgColor auto="1"/>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none">
          <bgColor auto="1"/>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bgColor theme="0" tint="-0.249977111117893"/>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bgColor theme="0" tint="-0.249977111117893"/>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none">
          <bgColor auto="1"/>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none">
          <bgColor auto="1"/>
        </patternFill>
      </fill>
    </dxf>
    <dxf>
      <fill>
        <patternFill patternType="none">
          <bgColor auto="1"/>
        </patternFill>
      </fill>
    </dxf>
    <dxf>
      <fill>
        <patternFill patternType="solid">
          <bgColor theme="5" tint="0.59999389629810485"/>
        </patternFill>
      </fill>
    </dxf>
    <dxf>
      <border>
        <top style="thick">
          <color indexed="8"/>
        </top>
      </border>
    </dxf>
    <dxf>
      <fill>
        <patternFill patternType="none">
          <bgColor auto="1"/>
        </patternFill>
      </fill>
    </dxf>
    <dxf>
      <fill>
        <patternFill patternType="none">
          <bgColor auto="1"/>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0" tint="-0.249977111117893"/>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fgColor indexed="64"/>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none">
          <bgColor auto="1"/>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fgColor indexed="64"/>
          <bgColor theme="5" tint="0.59999389629810485"/>
        </patternFill>
      </fill>
    </dxf>
    <dxf>
      <fill>
        <patternFill patternType="solid">
          <fgColor indexed="64"/>
          <bgColor theme="5" tint="0.59999389629810485"/>
        </patternFill>
      </fill>
    </dxf>
    <dxf>
      <fill>
        <patternFill patternType="solid">
          <fgColor indexed="64"/>
          <bgColor theme="5" tint="0.59999389629810485"/>
        </patternFill>
      </fill>
    </dxf>
    <dxf>
      <fill>
        <patternFill patternType="solid">
          <fgColor indexed="64"/>
          <bgColor theme="5" tint="0.59999389629810485"/>
        </patternFill>
      </fill>
    </dxf>
    <dxf>
      <fill>
        <patternFill patternType="solid">
          <fgColor indexed="64"/>
          <bgColor theme="5" tint="0.59999389629810485"/>
        </patternFill>
      </fill>
    </dxf>
    <dxf>
      <fill>
        <patternFill patternType="solid">
          <fgColor indexed="64"/>
          <bgColor theme="5" tint="0.59999389629810485"/>
        </patternFill>
      </fill>
    </dxf>
    <dxf>
      <fill>
        <patternFill patternType="solid">
          <fgColor indexed="64"/>
          <bgColor theme="5" tint="0.59999389629810485"/>
        </patternFill>
      </fill>
    </dxf>
    <dxf>
      <fill>
        <patternFill patternType="solid">
          <fgColor indexed="64"/>
          <bgColor theme="5" tint="0.59999389629810485"/>
        </patternFill>
      </fill>
    </dxf>
    <dxf>
      <fill>
        <patternFill patternType="solid">
          <fgColor indexed="64"/>
          <bgColor theme="5" tint="0.59999389629810485"/>
        </patternFill>
      </fill>
    </dxf>
    <dxf>
      <fill>
        <patternFill patternType="solid">
          <fgColor indexed="64"/>
          <bgColor theme="5" tint="0.59999389629810485"/>
        </patternFill>
      </fill>
    </dxf>
    <dxf>
      <fill>
        <patternFill patternType="solid">
          <fgColor indexed="64"/>
          <bgColor theme="5" tint="0.59999389629810485"/>
        </patternFill>
      </fill>
    </dxf>
    <dxf>
      <fill>
        <patternFill patternType="solid">
          <fgColor indexed="64"/>
          <bgColor theme="5" tint="0.59999389629810485"/>
        </patternFill>
      </fill>
    </dxf>
    <dxf>
      <fill>
        <patternFill patternType="solid">
          <fgColor indexed="64"/>
          <bgColor theme="5" tint="0.59999389629810485"/>
        </patternFill>
      </fill>
    </dxf>
    <dxf>
      <fill>
        <patternFill patternType="solid">
          <fgColor indexed="64"/>
          <bgColor theme="5" tint="0.59999389629810485"/>
        </patternFill>
      </fill>
    </dxf>
    <dxf>
      <fill>
        <patternFill patternType="none">
          <bgColor auto="1"/>
        </patternFill>
      </fill>
    </dxf>
    <dxf>
      <font>
        <color auto="1"/>
      </font>
    </dxf>
    <dxf>
      <font>
        <color auto="1"/>
      </font>
    </dxf>
    <dxf>
      <fill>
        <patternFill>
          <bgColor theme="6" tint="0.79998168889431442"/>
        </patternFill>
      </fill>
    </dxf>
    <dxf>
      <fill>
        <patternFill>
          <bgColor theme="6" tint="0.79998168889431442"/>
        </patternFill>
      </fill>
    </dxf>
    <dxf>
      <fill>
        <patternFill patternType="solid">
          <bgColor theme="6" tint="0.79998168889431442"/>
        </patternFill>
      </fill>
    </dxf>
    <dxf>
      <fill>
        <patternFill patternType="solid">
          <bgColor theme="6" tint="0.79998168889431442"/>
        </patternFill>
      </fill>
    </dxf>
    <dxf>
      <fill>
        <patternFill patternType="solid">
          <bgColor theme="6" tint="0.79998168889431442"/>
        </patternFill>
      </fill>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border>
        <horizontal style="thin">
          <color indexed="8"/>
        </horizontal>
      </border>
    </dxf>
    <dxf>
      <border>
        <horizontal style="thin">
          <color indexed="8"/>
        </horizontal>
      </border>
    </dxf>
    <dxf>
      <border>
        <horizontal style="thin">
          <color indexed="8"/>
        </horizontal>
      </border>
    </dxf>
    <dxf>
      <border>
        <horizontal style="thin">
          <color indexed="8"/>
        </horizontal>
      </border>
    </dxf>
    <dxf>
      <border>
        <horizontal style="thin">
          <color indexed="8"/>
        </horizontal>
      </border>
    </dxf>
    <dxf>
      <border>
        <horizontal style="thin">
          <color indexed="8"/>
        </horizontal>
      </border>
    </dxf>
    <dxf>
      <border>
        <horizontal style="thin">
          <color indexed="8"/>
        </horizontal>
      </border>
    </dxf>
    <dxf>
      <border>
        <horizontal style="thin">
          <color indexed="8"/>
        </horizontal>
      </border>
    </dxf>
    <dxf>
      <border>
        <horizontal style="thin">
          <color indexed="8"/>
        </horizontal>
      </border>
    </dxf>
    <dxf>
      <border>
        <horizontal style="thin">
          <color indexed="8"/>
        </horizontal>
      </border>
    </dxf>
    <dxf>
      <border>
        <horizontal style="thin">
          <color indexed="8"/>
        </horizontal>
      </border>
    </dxf>
    <dxf>
      <border>
        <horizontal style="thin">
          <color indexed="8"/>
        </horizontal>
      </border>
    </dxf>
    <dxf>
      <border>
        <top style="thin">
          <color indexed="64"/>
        </top>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font>
        <name val="Arial"/>
        <scheme val="none"/>
      </font>
      <numFmt numFmtId="3" formatCode="#,##0"/>
    </dxf>
    <dxf>
      <border>
        <right style="thin">
          <color indexed="64"/>
        </right>
      </border>
    </dxf>
    <dxf>
      <border>
        <right style="thin">
          <color indexed="64"/>
        </right>
      </border>
    </dxf>
    <dxf>
      <font>
        <b/>
      </font>
    </dxf>
    <dxf>
      <font>
        <b/>
      </font>
    </dxf>
    <dxf>
      <font>
        <b/>
      </font>
    </dxf>
    <dxf>
      <font>
        <b/>
      </font>
    </dxf>
    <dxf>
      <font>
        <b/>
      </font>
    </dxf>
    <dxf>
      <font>
        <b/>
      </font>
    </dxf>
    <dxf>
      <font>
        <b/>
      </font>
    </dxf>
    <dxf>
      <font>
        <b/>
      </font>
    </dxf>
    <dxf>
      <font>
        <b/>
      </font>
    </dxf>
    <dxf>
      <font>
        <b/>
      </font>
    </dxf>
    <dxf>
      <font>
        <b/>
      </font>
    </dxf>
    <dxf>
      <font>
        <b/>
      </font>
    </dxf>
    <dxf>
      <font>
        <b/>
      </font>
    </dxf>
    <dxf>
      <border>
        <right style="thin">
          <color indexed="64"/>
        </right>
      </border>
    </dxf>
    <dxf>
      <border>
        <right style="thin">
          <color indexed="64"/>
        </right>
      </border>
    </dxf>
    <dxf>
      <border>
        <left style="thin">
          <color indexed="64"/>
        </left>
      </border>
    </dxf>
    <dxf>
      <border>
        <left style="thin">
          <color indexed="64"/>
        </left>
      </border>
    </dxf>
    <dxf>
      <border>
        <left style="thin">
          <color indexed="64"/>
        </left>
      </border>
    </dxf>
    <dxf>
      <border>
        <left style="thin">
          <color indexed="64"/>
        </left>
      </border>
    </dxf>
    <dxf>
      <border>
        <left style="thin">
          <color indexed="64"/>
        </left>
      </border>
    </dxf>
    <dxf>
      <border>
        <left style="thin">
          <color indexed="64"/>
        </left>
      </border>
    </dxf>
    <dxf>
      <border>
        <left style="thin">
          <color indexed="64"/>
        </left>
      </border>
    </dxf>
    <dxf>
      <fill>
        <patternFill patternType="none"/>
      </fill>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dxf>
    <dxf>
      <border>
        <bottom style="thin">
          <color indexed="64"/>
        </bottom>
      </border>
    </dxf>
    <dxf>
      <border>
        <left style="medium">
          <color indexed="64"/>
        </left>
        <right style="medium">
          <color indexed="64"/>
        </right>
        <top style="medium">
          <color indexed="64"/>
        </top>
        <bottom style="medium">
          <color indexed="64"/>
        </bottom>
      </border>
    </dxf>
    <dxf>
      <font>
        <name val="ARIAL"/>
        <scheme val="none"/>
      </font>
      <numFmt numFmtId="3" formatCode="#,##0"/>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ont>
        <name val="ARIAL"/>
        <scheme val="none"/>
      </font>
      <numFmt numFmtId="3" formatCode="#,##0"/>
    </dxf>
    <dxf>
      <border>
        <left style="medium">
          <color indexed="64"/>
        </left>
        <right style="medium">
          <color indexed="64"/>
        </right>
        <bottom style="medium">
          <color indexed="64"/>
        </bottom>
      </border>
    </dxf>
    <dxf>
      <font>
        <name val="ARIAL"/>
        <scheme val="none"/>
      </font>
      <numFmt numFmtId="3" formatCode="#,##0"/>
    </dxf>
    <dxf>
      <font>
        <name val="ARIAL"/>
        <scheme val="none"/>
      </font>
      <numFmt numFmtId="3" formatCode="#,##0"/>
    </dxf>
    <dxf>
      <font>
        <name val="ARIAL"/>
        <scheme val="none"/>
      </font>
      <numFmt numFmtId="3" formatCode="#,##0"/>
    </dxf>
    <dxf>
      <fill>
        <patternFill patternType="solid">
          <bgColor indexed="46"/>
        </patternFill>
      </fill>
    </dxf>
    <dxf>
      <fill>
        <patternFill patternType="solid">
          <bgColor indexed="46"/>
        </patternFill>
      </fill>
    </dxf>
    <dxf>
      <fill>
        <patternFill patternType="solid">
          <bgColor indexed="46"/>
        </patternFill>
      </fill>
    </dxf>
    <dxf>
      <fill>
        <patternFill patternType="solid">
          <bgColor indexed="41"/>
        </patternFill>
      </fill>
    </dxf>
    <dxf>
      <fill>
        <patternFill patternType="solid">
          <bgColor indexed="41"/>
        </patternFill>
      </fill>
    </dxf>
    <dxf>
      <fill>
        <patternFill patternType="solid">
          <bgColor indexed="41"/>
        </patternFill>
      </fill>
    </dxf>
    <dxf>
      <fill>
        <patternFill patternType="solid">
          <bgColor indexed="41"/>
        </patternFill>
      </fill>
    </dxf>
    <dxf>
      <fill>
        <patternFill patternType="solid">
          <bgColor indexed="42"/>
        </patternFill>
      </fill>
    </dxf>
    <dxf>
      <fill>
        <patternFill patternType="solid">
          <bgColor indexed="42"/>
        </patternFill>
      </fill>
    </dxf>
    <dxf>
      <fill>
        <patternFill patternType="solid">
          <bgColor indexed="42"/>
        </patternFill>
      </fill>
    </dxf>
    <dxf>
      <fill>
        <patternFill patternType="solid">
          <bgColor indexed="42"/>
        </patternFill>
      </fill>
    </dxf>
    <dxf>
      <fill>
        <patternFill patternType="solid">
          <bgColor indexed="43"/>
        </patternFill>
      </fill>
    </dxf>
    <dxf>
      <fill>
        <patternFill patternType="solid">
          <bgColor indexed="43"/>
        </patternFill>
      </fill>
    </dxf>
    <dxf>
      <fill>
        <patternFill patternType="solid">
          <bgColor indexed="43"/>
        </patternFill>
      </fill>
    </dxf>
    <dxf>
      <fill>
        <patternFill patternType="solid">
          <bgColor indexed="43"/>
        </patternFill>
      </fill>
    </dxf>
    <dxf>
      <fill>
        <patternFill patternType="solid">
          <bgColor indexed="47"/>
        </patternFill>
      </fill>
    </dxf>
    <dxf>
      <fill>
        <patternFill patternType="solid">
          <bgColor indexed="47"/>
        </patternFill>
      </fill>
    </dxf>
    <dxf>
      <fill>
        <patternFill patternType="solid">
          <bgColor indexed="47"/>
        </patternFill>
      </fill>
    </dxf>
    <dxf>
      <fill>
        <patternFill patternType="solid">
          <bgColor indexed="47"/>
        </patternFill>
      </fill>
    </dxf>
    <dxf>
      <fill>
        <patternFill patternType="solid">
          <bgColor indexed="45"/>
        </patternFill>
      </fill>
    </dxf>
    <dxf>
      <fill>
        <patternFill patternType="solid">
          <bgColor indexed="45"/>
        </patternFill>
      </fill>
    </dxf>
    <dxf>
      <fill>
        <patternFill patternType="solid">
          <bgColor indexed="45"/>
        </patternFill>
      </fill>
    </dxf>
    <dxf>
      <fill>
        <patternFill patternType="solid">
          <bgColor indexed="45"/>
        </patternFill>
      </fill>
    </dxf>
    <dxf>
      <fill>
        <patternFill patternType="solid">
          <bgColor indexed="14"/>
        </patternFill>
      </fill>
    </dxf>
    <dxf>
      <fill>
        <patternFill patternType="solid">
          <bgColor indexed="14"/>
        </patternFill>
      </fill>
    </dxf>
    <dxf>
      <fill>
        <patternFill patternType="solid">
          <bgColor indexed="14"/>
        </patternFill>
      </fill>
    </dxf>
    <dxf>
      <fill>
        <patternFill patternType="solid">
          <bgColor indexed="14"/>
        </patternFill>
      </fill>
    </dxf>
    <dxf>
      <fill>
        <patternFill patternType="solid">
          <bgColor indexed="14"/>
        </patternFill>
      </fill>
    </dxf>
    <dxf>
      <fill>
        <patternFill patternType="solid">
          <bgColor indexed="14"/>
        </patternFill>
      </fill>
    </dxf>
    <dxf>
      <fill>
        <patternFill patternType="solid">
          <bgColor indexed="14"/>
        </patternFill>
      </fill>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font>
        <name val="Arial"/>
        <scheme val="none"/>
      </font>
    </dxf>
    <dxf>
      <border>
        <left style="medium">
          <color indexed="64"/>
        </left>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numFmt numFmtId="3" formatCode="#,##0"/>
    </dxf>
  </dxfs>
  <tableStyles count="0" defaultTableStyle="TableStyleMedium9" defaultPivotStyle="PivotStyleLight16"/>
  <colors>
    <mruColors>
      <color rgb="FF0000FF"/>
      <color rgb="FFFF99CC"/>
      <color rgb="FF12F63D"/>
      <color rgb="FF00FF00"/>
      <color rgb="FFFFFF99"/>
      <color rgb="FF008000"/>
      <color rgb="FFCC0099"/>
      <color rgb="FFFCD5B4"/>
      <color rgb="FFFFFFCC"/>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pivotCacheDefinition" Target="pivotCache/pivotCacheDefinition2.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pivotCacheDefinition" Target="pivotCache/pivotCacheDefinition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04SCH-FTE1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W-Tables 80-86"/>
      <sheetName val="OLD Tables"/>
      <sheetName val="FTE Pivot for regular counts"/>
      <sheetName val="Pivot-HS Student % of Undergrad"/>
      <sheetName val="SCH Data"/>
      <sheetName val="Format for FTE"/>
      <sheetName val="Format for HS%"/>
    </sheetNames>
    <sheetDataSet>
      <sheetData sheetId="0">
        <row r="70">
          <cell r="B70">
            <v>1092923.1458333333</v>
          </cell>
          <cell r="C70">
            <v>282679.14250000002</v>
          </cell>
          <cell r="D70">
            <v>667270.38749999995</v>
          </cell>
          <cell r="E70">
            <v>172683.05416666664</v>
          </cell>
          <cell r="F70">
            <v>106225.09166666667</v>
          </cell>
          <cell r="G70">
            <v>73118.89499999999</v>
          </cell>
          <cell r="H70">
            <v>2394899.7166666663</v>
          </cell>
          <cell r="Q70">
            <v>1083610.1924999999</v>
          </cell>
          <cell r="R70">
            <v>283191.03333333333</v>
          </cell>
          <cell r="S70">
            <v>666247.21666666656</v>
          </cell>
          <cell r="T70">
            <v>173425.55833333335</v>
          </cell>
          <cell r="U70">
            <v>108208.98333333334</v>
          </cell>
          <cell r="V70">
            <v>74969.545333333328</v>
          </cell>
          <cell r="W70">
            <v>2389652.5295000002</v>
          </cell>
        </row>
        <row r="72">
          <cell r="B72">
            <v>54815.058333333327</v>
          </cell>
          <cell r="C72">
            <v>16731.375</v>
          </cell>
          <cell r="D72">
            <v>32325.758333333331</v>
          </cell>
          <cell r="E72">
            <v>15882.05</v>
          </cell>
          <cell r="F72">
            <v>6138.333333333333</v>
          </cell>
          <cell r="G72">
            <v>2657.6333333333332</v>
          </cell>
          <cell r="H72">
            <v>128550.20833333334</v>
          </cell>
          <cell r="Q72">
            <v>53859.35</v>
          </cell>
          <cell r="R72">
            <v>17000.633333333331</v>
          </cell>
          <cell r="S72">
            <v>33249.074999999997</v>
          </cell>
          <cell r="T72">
            <v>15831.808333333334</v>
          </cell>
          <cell r="U72">
            <v>6426.8166666666657</v>
          </cell>
          <cell r="V72">
            <v>2786.2</v>
          </cell>
          <cell r="W72">
            <v>129153.88333333333</v>
          </cell>
        </row>
        <row r="73">
          <cell r="B73">
            <v>23254.5</v>
          </cell>
          <cell r="C73">
            <v>0</v>
          </cell>
          <cell r="D73">
            <v>40266.891666666663</v>
          </cell>
          <cell r="E73">
            <v>6520.8749999999991</v>
          </cell>
          <cell r="F73">
            <v>2403.6</v>
          </cell>
          <cell r="G73">
            <v>8532.6416666666664</v>
          </cell>
          <cell r="H73">
            <v>80978.508333333317</v>
          </cell>
          <cell r="Q73">
            <v>22204.841666666667</v>
          </cell>
          <cell r="R73">
            <v>0</v>
          </cell>
          <cell r="S73">
            <v>40469.633333333331</v>
          </cell>
          <cell r="T73">
            <v>6580.458333333333</v>
          </cell>
          <cell r="U73">
            <v>2442.7166666666667</v>
          </cell>
          <cell r="V73">
            <v>8688.7999999999993</v>
          </cell>
          <cell r="W73">
            <v>80386.45</v>
          </cell>
        </row>
        <row r="74">
          <cell r="B74">
            <v>20057.933333333331</v>
          </cell>
          <cell r="C74">
            <v>0</v>
          </cell>
          <cell r="D74">
            <v>4115.5666666666666</v>
          </cell>
          <cell r="E74">
            <v>0</v>
          </cell>
          <cell r="F74">
            <v>0</v>
          </cell>
          <cell r="G74">
            <v>0</v>
          </cell>
          <cell r="H74">
            <v>24173.499999999996</v>
          </cell>
          <cell r="Q74">
            <v>20083.466666666667</v>
          </cell>
          <cell r="R74">
            <v>0</v>
          </cell>
          <cell r="S74">
            <v>3856.8083333333334</v>
          </cell>
          <cell r="T74">
            <v>0</v>
          </cell>
          <cell r="U74">
            <v>0</v>
          </cell>
          <cell r="V74">
            <v>0</v>
          </cell>
          <cell r="W74">
            <v>23940.275000000001</v>
          </cell>
        </row>
        <row r="75">
          <cell r="B75">
            <v>220737.23333333328</v>
          </cell>
          <cell r="C75">
            <v>24135.091666666667</v>
          </cell>
          <cell r="D75">
            <v>35207.175000000003</v>
          </cell>
          <cell r="E75">
            <v>11543.941666666668</v>
          </cell>
          <cell r="F75">
            <v>0</v>
          </cell>
          <cell r="G75">
            <v>925.2</v>
          </cell>
          <cell r="H75">
            <v>292548.64166666666</v>
          </cell>
          <cell r="Q75">
            <v>223426.89166666666</v>
          </cell>
          <cell r="R75">
            <v>23872.583333333336</v>
          </cell>
          <cell r="S75">
            <v>36164.337499999994</v>
          </cell>
          <cell r="T75">
            <v>11085.408333333333</v>
          </cell>
          <cell r="U75">
            <v>0</v>
          </cell>
          <cell r="V75">
            <v>950.66666666666663</v>
          </cell>
          <cell r="W75">
            <v>295499.88750000001</v>
          </cell>
        </row>
        <row r="77">
          <cell r="B77">
            <v>66673.733333333323</v>
          </cell>
          <cell r="C77">
            <v>24045.241666666669</v>
          </cell>
          <cell r="D77">
            <v>61169.958333333328</v>
          </cell>
          <cell r="E77">
            <v>42490.175000000003</v>
          </cell>
          <cell r="F77">
            <v>15769.841666666667</v>
          </cell>
          <cell r="G77">
            <v>18620.099999999999</v>
          </cell>
          <cell r="H77">
            <v>228769.05000000002</v>
          </cell>
          <cell r="Q77">
            <v>66344.78</v>
          </cell>
          <cell r="R77">
            <v>23886.579166666666</v>
          </cell>
          <cell r="S77">
            <v>62039.049999999996</v>
          </cell>
          <cell r="T77">
            <v>41471.25</v>
          </cell>
          <cell r="U77">
            <v>16035.800000000001</v>
          </cell>
          <cell r="V77">
            <v>18748.966666666667</v>
          </cell>
          <cell r="W77">
            <v>228526.42583333331</v>
          </cell>
        </row>
        <row r="78">
          <cell r="B78">
            <v>39760.474999999999</v>
          </cell>
          <cell r="C78">
            <v>0</v>
          </cell>
          <cell r="D78">
            <v>46738.091666666667</v>
          </cell>
          <cell r="E78">
            <v>14639.158333333335</v>
          </cell>
          <cell r="F78">
            <v>0</v>
          </cell>
          <cell r="G78">
            <v>0</v>
          </cell>
          <cell r="H78">
            <v>101137.72500000001</v>
          </cell>
          <cell r="Q78">
            <v>39001.558333333334</v>
          </cell>
          <cell r="R78">
            <v>0</v>
          </cell>
          <cell r="S78">
            <v>47130.55</v>
          </cell>
          <cell r="T78">
            <v>14897.941666666666</v>
          </cell>
          <cell r="U78">
            <v>0</v>
          </cell>
          <cell r="V78">
            <v>0</v>
          </cell>
          <cell r="W78">
            <v>101030.05</v>
          </cell>
        </row>
        <row r="79">
          <cell r="B79">
            <v>29411.608333333334</v>
          </cell>
          <cell r="C79">
            <v>31023.091666666664</v>
          </cell>
          <cell r="D79">
            <v>26492.825000000001</v>
          </cell>
          <cell r="E79">
            <v>30869.491666666665</v>
          </cell>
          <cell r="F79">
            <v>0</v>
          </cell>
          <cell r="G79">
            <v>1640.1666666666667</v>
          </cell>
          <cell r="H79">
            <v>119437.18333333333</v>
          </cell>
          <cell r="Q79">
            <v>29787.066666666669</v>
          </cell>
          <cell r="R79">
            <v>32201.183333333334</v>
          </cell>
          <cell r="S79">
            <v>27385.174999999999</v>
          </cell>
          <cell r="T79">
            <v>32330.075000000001</v>
          </cell>
          <cell r="U79">
            <v>0</v>
          </cell>
          <cell r="V79">
            <v>1724.3</v>
          </cell>
          <cell r="W79">
            <v>123427.8</v>
          </cell>
        </row>
        <row r="80">
          <cell r="B80">
            <v>32800.050000000003</v>
          </cell>
          <cell r="C80">
            <v>18831.333333333332</v>
          </cell>
          <cell r="D80">
            <v>19992.995833333331</v>
          </cell>
          <cell r="E80">
            <v>26986.495833333334</v>
          </cell>
          <cell r="F80">
            <v>2950.5333333333333</v>
          </cell>
          <cell r="G80">
            <v>1924.7416666666666</v>
          </cell>
          <cell r="H80">
            <v>103486.15000000001</v>
          </cell>
          <cell r="Q80">
            <v>32984.25</v>
          </cell>
          <cell r="R80">
            <v>18814.833333333336</v>
          </cell>
          <cell r="S80">
            <v>19576.7</v>
          </cell>
          <cell r="T80">
            <v>27107.75</v>
          </cell>
          <cell r="U80">
            <v>3117.4749999999999</v>
          </cell>
          <cell r="V80">
            <v>2169.4416666666666</v>
          </cell>
          <cell r="W80">
            <v>103770.45000000001</v>
          </cell>
        </row>
        <row r="82">
          <cell r="B82">
            <v>31789.783333333333</v>
          </cell>
          <cell r="C82">
            <v>25333.766666666666</v>
          </cell>
          <cell r="D82">
            <v>0</v>
          </cell>
          <cell r="E82">
            <v>8901.875</v>
          </cell>
          <cell r="F82">
            <v>2443.9250000000002</v>
          </cell>
          <cell r="G82">
            <v>0</v>
          </cell>
          <cell r="H82">
            <v>68469.350000000006</v>
          </cell>
          <cell r="Q82">
            <v>31555.833333333336</v>
          </cell>
          <cell r="R82">
            <v>24769.533333333336</v>
          </cell>
          <cell r="S82">
            <v>0</v>
          </cell>
          <cell r="T82">
            <v>9117.0083333333332</v>
          </cell>
          <cell r="U82">
            <v>2439.5500000000002</v>
          </cell>
          <cell r="V82">
            <v>0</v>
          </cell>
          <cell r="W82">
            <v>67881.925000000003</v>
          </cell>
        </row>
        <row r="83">
          <cell r="B83">
            <v>70953.658333333326</v>
          </cell>
          <cell r="C83">
            <v>46036.6</v>
          </cell>
          <cell r="D83">
            <v>57508.941666666666</v>
          </cell>
          <cell r="E83">
            <v>5490.6166666666668</v>
          </cell>
          <cell r="F83">
            <v>10893.483333333334</v>
          </cell>
          <cell r="G83">
            <v>5884.3250000000007</v>
          </cell>
          <cell r="H83">
            <v>196767.625</v>
          </cell>
          <cell r="Q83">
            <v>71298.94166666668</v>
          </cell>
          <cell r="R83">
            <v>45222.816666666666</v>
          </cell>
          <cell r="S83">
            <v>56682.5</v>
          </cell>
          <cell r="T83">
            <v>5434.5666666666666</v>
          </cell>
          <cell r="U83">
            <v>11212.55</v>
          </cell>
          <cell r="V83">
            <v>6191.6750000000002</v>
          </cell>
          <cell r="W83">
            <v>196043.05000000002</v>
          </cell>
        </row>
        <row r="84">
          <cell r="B84">
            <v>56675.291666666664</v>
          </cell>
          <cell r="C84">
            <v>0</v>
          </cell>
          <cell r="D84">
            <v>21322.575000000001</v>
          </cell>
          <cell r="E84">
            <v>3231.6083333333331</v>
          </cell>
          <cell r="F84">
            <v>17353.658333333333</v>
          </cell>
          <cell r="G84">
            <v>5451.8333333333339</v>
          </cell>
          <cell r="H84">
            <v>104034.96666666665</v>
          </cell>
          <cell r="Q84">
            <v>49176.75</v>
          </cell>
          <cell r="R84">
            <v>0</v>
          </cell>
          <cell r="S84">
            <v>20785.333333333332</v>
          </cell>
          <cell r="T84">
            <v>3428.95</v>
          </cell>
          <cell r="U84">
            <v>17593.849999999999</v>
          </cell>
          <cell r="V84">
            <v>5902.5999999999995</v>
          </cell>
          <cell r="W84">
            <v>96887.483333333337</v>
          </cell>
        </row>
        <row r="85">
          <cell r="B85">
            <v>48597.14166666667</v>
          </cell>
          <cell r="C85">
            <v>0</v>
          </cell>
          <cell r="D85">
            <v>20227.416666666668</v>
          </cell>
          <cell r="E85">
            <v>0</v>
          </cell>
          <cell r="F85">
            <v>15833.174999999999</v>
          </cell>
          <cell r="G85">
            <v>12233.666666666668</v>
          </cell>
          <cell r="H85">
            <v>96891.400000000009</v>
          </cell>
          <cell r="Q85">
            <v>47437.758333333331</v>
          </cell>
          <cell r="R85">
            <v>0</v>
          </cell>
          <cell r="S85">
            <v>20161.662499999999</v>
          </cell>
          <cell r="T85">
            <v>0</v>
          </cell>
          <cell r="U85">
            <v>16275.333333333334</v>
          </cell>
          <cell r="V85">
            <v>12320.842000000001</v>
          </cell>
          <cell r="W85">
            <v>96195.59616666667</v>
          </cell>
        </row>
        <row r="87">
          <cell r="B87">
            <v>41939.116666666669</v>
          </cell>
          <cell r="C87">
            <v>7495.9833333333336</v>
          </cell>
          <cell r="D87">
            <v>62808.991666666661</v>
          </cell>
          <cell r="E87">
            <v>0</v>
          </cell>
          <cell r="F87">
            <v>6880.85</v>
          </cell>
          <cell r="G87">
            <v>0</v>
          </cell>
          <cell r="H87">
            <v>119124.94166666667</v>
          </cell>
          <cell r="Q87">
            <v>42928.941666666666</v>
          </cell>
          <cell r="R87">
            <v>7496.25</v>
          </cell>
          <cell r="S87">
            <v>64306.358333333323</v>
          </cell>
          <cell r="T87">
            <v>0</v>
          </cell>
          <cell r="U87">
            <v>7038.8416666666672</v>
          </cell>
          <cell r="V87">
            <v>0</v>
          </cell>
          <cell r="W87">
            <v>121770.39166666666</v>
          </cell>
        </row>
        <row r="88">
          <cell r="B88">
            <v>226616.15833333333</v>
          </cell>
          <cell r="C88">
            <v>53346.625000000007</v>
          </cell>
          <cell r="D88">
            <v>177674.29166666669</v>
          </cell>
          <cell r="E88">
            <v>6126.7666666666673</v>
          </cell>
          <cell r="F88">
            <v>12803.433333333334</v>
          </cell>
          <cell r="G88">
            <v>1937.5833333333333</v>
          </cell>
          <cell r="H88">
            <v>478504.85833333328</v>
          </cell>
          <cell r="Q88">
            <v>224870.64166666666</v>
          </cell>
          <cell r="R88">
            <v>53840.566666666666</v>
          </cell>
          <cell r="S88">
            <v>173375.21666666665</v>
          </cell>
          <cell r="T88">
            <v>6140.3416666666672</v>
          </cell>
          <cell r="U88">
            <v>12706.216666666667</v>
          </cell>
          <cell r="V88">
            <v>1862.5</v>
          </cell>
          <cell r="W88">
            <v>472795.48333333328</v>
          </cell>
        </row>
        <row r="89">
          <cell r="B89">
            <v>102137.53750000001</v>
          </cell>
          <cell r="C89">
            <v>35700.034166666665</v>
          </cell>
          <cell r="D89">
            <v>50233.641666666663</v>
          </cell>
          <cell r="E89">
            <v>0</v>
          </cell>
          <cell r="F89">
            <v>5094.1499999999996</v>
          </cell>
          <cell r="G89">
            <v>1818.1333333333334</v>
          </cell>
          <cell r="H89">
            <v>194983.4966666667</v>
          </cell>
          <cell r="Q89">
            <v>101740.42916666667</v>
          </cell>
          <cell r="R89">
            <v>36086.054166666669</v>
          </cell>
          <cell r="S89">
            <v>49950.98333333333</v>
          </cell>
          <cell r="T89">
            <v>0</v>
          </cell>
          <cell r="U89">
            <v>4983.2416666666668</v>
          </cell>
          <cell r="V89">
            <v>1794.5666666666666</v>
          </cell>
          <cell r="W89">
            <v>194555.27500000002</v>
          </cell>
        </row>
        <row r="90">
          <cell r="B90">
            <v>26703.866666666669</v>
          </cell>
          <cell r="C90">
            <v>0</v>
          </cell>
          <cell r="D90">
            <v>11185.266666666666</v>
          </cell>
          <cell r="E90">
            <v>0</v>
          </cell>
          <cell r="F90">
            <v>7660.1083333333345</v>
          </cell>
          <cell r="G90">
            <v>11492.87</v>
          </cell>
          <cell r="H90">
            <v>57042.111666666671</v>
          </cell>
          <cell r="Q90">
            <v>26908.691666666666</v>
          </cell>
          <cell r="R90">
            <v>0</v>
          </cell>
          <cell r="S90">
            <v>11113.833333333334</v>
          </cell>
          <cell r="T90">
            <v>0</v>
          </cell>
          <cell r="U90">
            <v>7936.5916666666672</v>
          </cell>
          <cell r="V90">
            <v>11828.986666666668</v>
          </cell>
          <cell r="W90">
            <v>57788.103333333333</v>
          </cell>
        </row>
        <row r="161">
          <cell r="AD161">
            <v>259129.48888888894</v>
          </cell>
          <cell r="AE161">
            <v>890297.59888888896</v>
          </cell>
          <cell r="AF161">
            <v>409768.17</v>
          </cell>
          <cell r="AG161">
            <v>117753.57222222221</v>
          </cell>
          <cell r="AH161">
            <v>87642.162222222221</v>
          </cell>
          <cell r="AI161">
            <v>1770437.6922222222</v>
          </cell>
          <cell r="AK161">
            <v>266105.24444444443</v>
          </cell>
          <cell r="AL161">
            <v>850650.40711111121</v>
          </cell>
          <cell r="AM161">
            <v>386529.90988888888</v>
          </cell>
          <cell r="AN161">
            <v>122916.79488888888</v>
          </cell>
          <cell r="AO161">
            <v>89093.266666666663</v>
          </cell>
          <cell r="AP161">
            <v>1843113.3230000001</v>
          </cell>
        </row>
        <row r="162">
          <cell r="AP162"/>
        </row>
        <row r="163">
          <cell r="AD163">
            <v>0</v>
          </cell>
          <cell r="AE163">
            <v>22900.433333333334</v>
          </cell>
          <cell r="AF163">
            <v>32209.466666666667</v>
          </cell>
          <cell r="AG163">
            <v>8428.0999999999985</v>
          </cell>
          <cell r="AH163"/>
          <cell r="AI163">
            <v>63538</v>
          </cell>
          <cell r="AK163">
            <v>0</v>
          </cell>
          <cell r="AL163">
            <v>24454.633333333335</v>
          </cell>
          <cell r="AM163">
            <v>34235.100000000006</v>
          </cell>
          <cell r="AN163">
            <v>8541.4333333333343</v>
          </cell>
          <cell r="AO163"/>
          <cell r="AP163">
            <v>67231.166666666672</v>
          </cell>
        </row>
        <row r="164">
          <cell r="AD164">
            <v>0</v>
          </cell>
          <cell r="AE164">
            <v>13442.133333333333</v>
          </cell>
          <cell r="AF164">
            <v>5431.4</v>
          </cell>
          <cell r="AG164">
            <v>21940.73333333333</v>
          </cell>
          <cell r="AH164"/>
          <cell r="AI164">
            <v>40814.266666666663</v>
          </cell>
          <cell r="AK164">
            <v>0</v>
          </cell>
          <cell r="AL164">
            <v>14203.233333333334</v>
          </cell>
          <cell r="AM164">
            <v>5943.9</v>
          </cell>
          <cell r="AN164">
            <v>22052.833333333336</v>
          </cell>
          <cell r="AO164"/>
          <cell r="AP164">
            <v>42199.966666666667</v>
          </cell>
        </row>
        <row r="165">
          <cell r="AD165">
            <v>0</v>
          </cell>
          <cell r="AE165">
            <v>4970.666666666667</v>
          </cell>
          <cell r="AF165">
            <v>5424.5666666666675</v>
          </cell>
          <cell r="AG165">
            <v>0</v>
          </cell>
          <cell r="AH165"/>
          <cell r="AI165">
            <v>10395.233333333334</v>
          </cell>
          <cell r="AK165">
            <v>0</v>
          </cell>
          <cell r="AL165">
            <v>5113.5333333333338</v>
          </cell>
          <cell r="AM165">
            <v>5661.4333333333334</v>
          </cell>
          <cell r="AN165">
            <v>0</v>
          </cell>
          <cell r="AO165"/>
          <cell r="AP165">
            <v>10774.966666666667</v>
          </cell>
        </row>
        <row r="166">
          <cell r="AD166">
            <v>212066.73444444448</v>
          </cell>
          <cell r="AE166">
            <v>120199.23333333332</v>
          </cell>
          <cell r="AF166">
            <v>11548.334444444445</v>
          </cell>
          <cell r="AG166">
            <v>1644.6388888888889</v>
          </cell>
          <cell r="AH166"/>
          <cell r="AI166">
            <v>345458.94111111108</v>
          </cell>
          <cell r="AK166">
            <v>218782.73444444442</v>
          </cell>
          <cell r="AL166">
            <v>126150.89555555554</v>
          </cell>
          <cell r="AM166">
            <v>12293.132222222222</v>
          </cell>
          <cell r="AN166">
            <v>1777.817777777778</v>
          </cell>
          <cell r="AO166"/>
          <cell r="AP166">
            <v>359004.58</v>
          </cell>
        </row>
        <row r="168">
          <cell r="AD168">
            <v>8326.9666666666672</v>
          </cell>
          <cell r="AE168">
            <v>15720.066666666668</v>
          </cell>
          <cell r="AF168">
            <v>18111.633333333335</v>
          </cell>
          <cell r="AG168">
            <v>0</v>
          </cell>
          <cell r="AH168"/>
          <cell r="AI168">
            <v>42158.666666666672</v>
          </cell>
          <cell r="AK168">
            <v>8559.2000000000007</v>
          </cell>
          <cell r="AL168">
            <v>18381.833333333332</v>
          </cell>
          <cell r="AM168">
            <v>19535.983333333334</v>
          </cell>
          <cell r="AN168">
            <v>0</v>
          </cell>
          <cell r="AO168"/>
          <cell r="AP168">
            <v>46477.016666666663</v>
          </cell>
        </row>
        <row r="169">
          <cell r="AD169">
            <v>0</v>
          </cell>
          <cell r="AE169">
            <v>15588.466666666667</v>
          </cell>
          <cell r="AF169">
            <v>31886.366666666665</v>
          </cell>
          <cell r="AG169">
            <v>1303.7666666666667</v>
          </cell>
          <cell r="AH169"/>
          <cell r="AI169">
            <v>48778.6</v>
          </cell>
          <cell r="AK169">
            <v>0</v>
          </cell>
          <cell r="AL169">
            <v>17112</v>
          </cell>
          <cell r="AM169">
            <v>32833.599999999999</v>
          </cell>
          <cell r="AN169">
            <v>1273.7666666666667</v>
          </cell>
          <cell r="AO169"/>
          <cell r="AP169">
            <v>51219.366666666669</v>
          </cell>
        </row>
        <row r="170">
          <cell r="AD170">
            <v>0</v>
          </cell>
          <cell r="AE170">
            <v>25187.666666666664</v>
          </cell>
          <cell r="AF170">
            <v>11762.866666666667</v>
          </cell>
          <cell r="AG170">
            <v>3108.2333333333331</v>
          </cell>
          <cell r="AH170"/>
          <cell r="AI170">
            <v>40058.766666666663</v>
          </cell>
          <cell r="AK170">
            <v>0</v>
          </cell>
          <cell r="AL170">
            <v>25183.533333333333</v>
          </cell>
          <cell r="AM170">
            <v>12686.928888888888</v>
          </cell>
          <cell r="AN170">
            <v>3201.7</v>
          </cell>
          <cell r="AO170"/>
          <cell r="AP170">
            <v>41072.162222222214</v>
          </cell>
        </row>
        <row r="171">
          <cell r="AD171">
            <v>0</v>
          </cell>
          <cell r="AE171">
            <v>67256.116666666669</v>
          </cell>
          <cell r="AF171">
            <v>22083.983333333334</v>
          </cell>
          <cell r="AG171">
            <v>3801.0166666666664</v>
          </cell>
          <cell r="AH171"/>
          <cell r="AI171">
            <v>93141.116666666669</v>
          </cell>
          <cell r="AK171">
            <v>0</v>
          </cell>
          <cell r="AL171">
            <v>77461.149999999994</v>
          </cell>
          <cell r="AM171">
            <v>22938.799999999999</v>
          </cell>
          <cell r="AN171">
            <v>4085.5666666666666</v>
          </cell>
          <cell r="AO171"/>
          <cell r="AP171">
            <v>104485.51666666666</v>
          </cell>
        </row>
        <row r="173">
          <cell r="AD173">
            <v>0</v>
          </cell>
          <cell r="AE173">
            <v>29283.366666666669</v>
          </cell>
          <cell r="AF173">
            <v>30095.266666666666</v>
          </cell>
          <cell r="AG173">
            <v>3255.9666666666667</v>
          </cell>
          <cell r="AH173"/>
          <cell r="AI173">
            <v>62634.6</v>
          </cell>
          <cell r="AK173">
            <v>0</v>
          </cell>
          <cell r="AL173">
            <v>30718.933333333334</v>
          </cell>
          <cell r="AM173">
            <v>31317.4</v>
          </cell>
          <cell r="AN173">
            <v>3813.9333333333334</v>
          </cell>
          <cell r="AO173"/>
          <cell r="AP173">
            <v>65850.266666666663</v>
          </cell>
        </row>
        <row r="174">
          <cell r="AD174">
            <v>0</v>
          </cell>
          <cell r="AE174">
            <v>91761.814444444433</v>
          </cell>
          <cell r="AF174">
            <v>79114.65444444443</v>
          </cell>
          <cell r="AG174">
            <v>35073.246666666666</v>
          </cell>
          <cell r="AH174"/>
          <cell r="AI174">
            <v>205949.71555555551</v>
          </cell>
          <cell r="AK174">
            <v>0</v>
          </cell>
          <cell r="AL174">
            <v>91120.755555555559</v>
          </cell>
          <cell r="AM174">
            <v>81986.930000000008</v>
          </cell>
          <cell r="AN174">
            <v>36608.441111111111</v>
          </cell>
          <cell r="AO174"/>
          <cell r="AP174">
            <v>209716.12666666668</v>
          </cell>
        </row>
        <row r="175">
          <cell r="AD175">
            <v>8309.2000000000007</v>
          </cell>
          <cell r="AE175">
            <v>25175.566666666666</v>
          </cell>
          <cell r="AF175">
            <v>5287.7</v>
          </cell>
          <cell r="AG175">
            <v>10790.266666666665</v>
          </cell>
          <cell r="AH175"/>
          <cell r="AI175">
            <v>49562.733333333323</v>
          </cell>
          <cell r="AK175">
            <v>8803.1333333333332</v>
          </cell>
          <cell r="AL175">
            <v>26973.266666666663</v>
          </cell>
          <cell r="AM175">
            <v>5663.7333333333336</v>
          </cell>
          <cell r="AN175">
            <v>12528.933333333331</v>
          </cell>
          <cell r="AO175"/>
          <cell r="AP175">
            <v>53969.066666666666</v>
          </cell>
        </row>
        <row r="176">
          <cell r="AD176">
            <v>0</v>
          </cell>
          <cell r="AE176">
            <v>54844.26666666667</v>
          </cell>
          <cell r="AF176">
            <v>15909.833333333334</v>
          </cell>
          <cell r="AG176">
            <v>8241.6666666666679</v>
          </cell>
          <cell r="AH176"/>
          <cell r="AI176">
            <v>78995.766666666677</v>
          </cell>
          <cell r="AK176">
            <v>0</v>
          </cell>
          <cell r="AL176">
            <v>57001.922666666665</v>
          </cell>
          <cell r="AM176">
            <v>16852.201000000001</v>
          </cell>
          <cell r="AN176">
            <v>8725.2860000000001</v>
          </cell>
          <cell r="AO176"/>
          <cell r="AP176">
            <v>82579.409666666674</v>
          </cell>
        </row>
        <row r="178">
          <cell r="AD178">
            <v>0</v>
          </cell>
          <cell r="AE178">
            <v>33433.866666666669</v>
          </cell>
          <cell r="AF178">
            <v>26602</v>
          </cell>
          <cell r="AG178">
            <v>0</v>
          </cell>
          <cell r="AH178"/>
          <cell r="AI178">
            <v>60035.866666666669</v>
          </cell>
          <cell r="AK178">
            <v>0</v>
          </cell>
          <cell r="AL178">
            <v>34985.633333333331</v>
          </cell>
          <cell r="AM178">
            <v>28006.433333333327</v>
          </cell>
          <cell r="AN178">
            <v>0</v>
          </cell>
          <cell r="AO178"/>
          <cell r="AP178">
            <v>62992.066666666658</v>
          </cell>
        </row>
        <row r="179">
          <cell r="AD179">
            <v>26252.887777777778</v>
          </cell>
          <cell r="AE179">
            <v>293160.33444444451</v>
          </cell>
          <cell r="AF179">
            <v>69101.66777777778</v>
          </cell>
          <cell r="AG179">
            <v>11609.253333333334</v>
          </cell>
          <cell r="AH179">
            <v>87642.162222222221</v>
          </cell>
          <cell r="AI179">
            <v>487766.30555555562</v>
          </cell>
          <cell r="AK179">
            <v>25487.676666666666</v>
          </cell>
          <cell r="AL179">
            <v>301789.08333333337</v>
          </cell>
          <cell r="AM179">
            <v>70260.791111111103</v>
          </cell>
          <cell r="AN179">
            <v>11576.046666666669</v>
          </cell>
          <cell r="AO179">
            <v>89093.266666666663</v>
          </cell>
          <cell r="AP179">
            <v>498206.86444444442</v>
          </cell>
        </row>
        <row r="180">
          <cell r="AD180"/>
          <cell r="AE180">
            <v>77373.599999999991</v>
          </cell>
          <cell r="AF180">
            <v>39417.46666666666</v>
          </cell>
          <cell r="AG180">
            <v>1050</v>
          </cell>
          <cell r="AH180">
            <v>0</v>
          </cell>
          <cell r="AI180">
            <v>123687.76666666665</v>
          </cell>
          <cell r="AK180"/>
          <cell r="AL180"/>
          <cell r="AM180"/>
          <cell r="AN180">
            <v>1151</v>
          </cell>
          <cell r="AO180">
            <v>0</v>
          </cell>
          <cell r="AP180">
            <v>128968.7</v>
          </cell>
        </row>
        <row r="181">
          <cell r="AD181">
            <v>4173.7</v>
          </cell>
          <cell r="AE181">
            <v>0</v>
          </cell>
          <cell r="AF181">
            <v>5780.9633333333331</v>
          </cell>
          <cell r="AG181">
            <v>7506.6833333333334</v>
          </cell>
          <cell r="AH181"/>
          <cell r="AI181">
            <v>17461.346666666668</v>
          </cell>
          <cell r="AK181">
            <v>4472.5</v>
          </cell>
          <cell r="AL181">
            <v>0</v>
          </cell>
          <cell r="AM181">
            <v>6313.5433333333331</v>
          </cell>
          <cell r="AN181">
            <v>7580.0366666666669</v>
          </cell>
          <cell r="AO181"/>
          <cell r="AP181">
            <v>18366.080000000002</v>
          </cell>
        </row>
        <row r="191">
          <cell r="AD191">
            <v>98711.508933333331</v>
          </cell>
          <cell r="AE191">
            <v>28281.007488888885</v>
          </cell>
          <cell r="AF191">
            <v>126992.51642222224</v>
          </cell>
          <cell r="AJ191">
            <v>103314.87222222223</v>
          </cell>
          <cell r="AK191">
            <v>28325.901111111107</v>
          </cell>
          <cell r="AL191">
            <v>131640.77333333332</v>
          </cell>
        </row>
        <row r="193">
          <cell r="AD193">
            <v>1233.1666666666667</v>
          </cell>
          <cell r="AE193">
            <v>1988.8666666666668</v>
          </cell>
          <cell r="AF193">
            <v>3222.0333333333338</v>
          </cell>
          <cell r="AJ193">
            <v>1349.2666666666667</v>
          </cell>
          <cell r="AK193">
            <v>2102.1333333333332</v>
          </cell>
          <cell r="AL193">
            <v>3451.3999999999996</v>
          </cell>
        </row>
        <row r="194">
          <cell r="AD194">
            <v>0</v>
          </cell>
          <cell r="AE194">
            <v>0</v>
          </cell>
          <cell r="AF194">
            <v>0</v>
          </cell>
          <cell r="AJ194">
            <v>0</v>
          </cell>
          <cell r="AK194">
            <v>0</v>
          </cell>
          <cell r="AL194">
            <v>0</v>
          </cell>
        </row>
        <row r="195">
          <cell r="AD195">
            <v>0</v>
          </cell>
          <cell r="AE195">
            <v>0</v>
          </cell>
          <cell r="AF195">
            <v>0</v>
          </cell>
          <cell r="AJ195">
            <v>0</v>
          </cell>
          <cell r="AK195">
            <v>0</v>
          </cell>
          <cell r="AL195">
            <v>0</v>
          </cell>
        </row>
        <row r="196">
          <cell r="AD196">
            <v>0</v>
          </cell>
          <cell r="AE196">
            <v>0</v>
          </cell>
          <cell r="AF196">
            <v>0</v>
          </cell>
          <cell r="AJ196">
            <v>0</v>
          </cell>
          <cell r="AK196">
            <v>0</v>
          </cell>
          <cell r="AL196">
            <v>0</v>
          </cell>
        </row>
        <row r="198">
          <cell r="AD198">
            <v>76720.666666666672</v>
          </cell>
          <cell r="AE198">
            <v>0</v>
          </cell>
          <cell r="AF198">
            <v>76720.666666666672</v>
          </cell>
          <cell r="AJ198">
            <v>77975.723333333342</v>
          </cell>
          <cell r="AK198">
            <v>0</v>
          </cell>
          <cell r="AL198">
            <v>77975.723333333342</v>
          </cell>
        </row>
        <row r="199">
          <cell r="AD199">
            <v>5377.2</v>
          </cell>
          <cell r="AE199">
            <v>0</v>
          </cell>
          <cell r="AF199">
            <v>5377.2</v>
          </cell>
          <cell r="AJ199">
            <v>5047.0666666666666</v>
          </cell>
          <cell r="AK199">
            <v>0</v>
          </cell>
          <cell r="AL199">
            <v>5047.0666666666666</v>
          </cell>
        </row>
        <row r="200">
          <cell r="AD200">
            <v>10429.336666666668</v>
          </cell>
          <cell r="AE200">
            <v>0</v>
          </cell>
          <cell r="AF200">
            <v>10429.336666666668</v>
          </cell>
          <cell r="AJ200">
            <v>13854.743333333334</v>
          </cell>
          <cell r="AK200">
            <v>0</v>
          </cell>
          <cell r="AL200">
            <v>13854.743333333334</v>
          </cell>
        </row>
        <row r="201">
          <cell r="AD201">
            <v>0</v>
          </cell>
          <cell r="AE201">
            <v>0</v>
          </cell>
          <cell r="AF201">
            <v>0</v>
          </cell>
          <cell r="AJ201">
            <v>0</v>
          </cell>
          <cell r="AK201">
            <v>0</v>
          </cell>
          <cell r="AL201">
            <v>0</v>
          </cell>
        </row>
        <row r="203">
          <cell r="AD203">
            <v>0</v>
          </cell>
          <cell r="AE203">
            <v>0</v>
          </cell>
          <cell r="AF203">
            <v>0</v>
          </cell>
          <cell r="AJ203">
            <v>0</v>
          </cell>
          <cell r="AK203">
            <v>0</v>
          </cell>
          <cell r="AL203">
            <v>0</v>
          </cell>
        </row>
        <row r="204">
          <cell r="AD204">
            <v>0</v>
          </cell>
          <cell r="AE204">
            <v>0</v>
          </cell>
          <cell r="AF204">
            <v>0</v>
          </cell>
          <cell r="AJ204">
            <v>0</v>
          </cell>
          <cell r="AK204">
            <v>0</v>
          </cell>
          <cell r="AL204">
            <v>0</v>
          </cell>
        </row>
        <row r="205">
          <cell r="AD205">
            <v>3864.6067111111106</v>
          </cell>
          <cell r="AE205">
            <v>16054.077488888888</v>
          </cell>
          <cell r="AF205">
            <v>19918.6842</v>
          </cell>
          <cell r="AJ205">
            <v>4046.5422222222219</v>
          </cell>
          <cell r="AK205">
            <v>15930.953333333329</v>
          </cell>
          <cell r="AL205">
            <v>19977.49555555555</v>
          </cell>
        </row>
        <row r="206">
          <cell r="AD206">
            <v>0</v>
          </cell>
          <cell r="AE206">
            <v>0</v>
          </cell>
          <cell r="AF206">
            <v>0</v>
          </cell>
          <cell r="AJ206">
            <v>0</v>
          </cell>
          <cell r="AK206">
            <v>0</v>
          </cell>
          <cell r="AL206">
            <v>0</v>
          </cell>
        </row>
        <row r="208">
          <cell r="AD208">
            <v>1086.5322222222221</v>
          </cell>
          <cell r="AE208">
            <v>10238.063333333332</v>
          </cell>
          <cell r="AF208">
            <v>11324.595555555554</v>
          </cell>
          <cell r="AJ208">
            <v>1041.53</v>
          </cell>
          <cell r="AK208">
            <v>10292.814444444444</v>
          </cell>
          <cell r="AL208">
            <v>11334.344444444445</v>
          </cell>
        </row>
        <row r="209">
          <cell r="AD209">
            <v>0</v>
          </cell>
          <cell r="AE209">
            <v>0</v>
          </cell>
          <cell r="AF209">
            <v>0</v>
          </cell>
          <cell r="AJ209">
            <v>0</v>
          </cell>
          <cell r="AK209">
            <v>0</v>
          </cell>
          <cell r="AL209">
            <v>0</v>
          </cell>
        </row>
        <row r="210">
          <cell r="AD210">
            <v>0</v>
          </cell>
          <cell r="AE210">
            <v>0</v>
          </cell>
          <cell r="AF210">
            <v>0</v>
          </cell>
          <cell r="AJ210">
            <v>0</v>
          </cell>
          <cell r="AK210">
            <v>0</v>
          </cell>
          <cell r="AL210">
            <v>0</v>
          </cell>
        </row>
        <row r="211">
          <cell r="AD211">
            <v>0</v>
          </cell>
          <cell r="AE211">
            <v>0</v>
          </cell>
          <cell r="AF211">
            <v>0</v>
          </cell>
          <cell r="AJ211">
            <v>0</v>
          </cell>
          <cell r="AK211">
            <v>0</v>
          </cell>
          <cell r="AL211">
            <v>0</v>
          </cell>
        </row>
      </sheetData>
      <sheetData sheetId="1"/>
      <sheetData sheetId="2"/>
      <sheetData sheetId="3"/>
      <sheetData sheetId="4"/>
      <sheetData sheetId="5"/>
      <sheetData sheetId="6"/>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r:id="rId1" refreshedBy="Lisa Cowan" refreshedDate="41712.433605208331" createdVersion="4" refreshedVersion="4" minRefreshableVersion="3" recordCount="3051">
  <cacheSource type="worksheet">
    <worksheetSource ref="A9:AJ9" sheet="Funding Data"/>
  </cacheSource>
  <cacheFields count="51">
    <cacheField name="state" numFmtId="0">
      <sharedItems count="16">
        <s v="AL"/>
        <s v="AR"/>
        <s v="DE"/>
        <s v="FL"/>
        <s v="GA"/>
        <s v="KY"/>
        <s v="LA"/>
        <s v="MD"/>
        <s v="MS"/>
        <s v="NC"/>
        <s v="OK"/>
        <s v="SC"/>
        <s v="TN"/>
        <s v="TX"/>
        <s v="VA"/>
        <s v="WV"/>
      </sharedItems>
    </cacheField>
    <cacheField name="group" numFmtId="0">
      <sharedItems count="46">
        <s v="1A"/>
        <s v="1D"/>
        <s v="1B"/>
        <s v="1B1"/>
        <s v="1B2"/>
        <s v="1B3"/>
        <s v="1B4"/>
        <s v="1B6"/>
        <s v="1B7"/>
        <s v="1F"/>
        <s v="1C"/>
        <s v="1C6"/>
        <s v="1C7"/>
        <s v="1G"/>
        <s v="2A"/>
        <s v="2A1"/>
        <s v="2A2"/>
        <s v="2A3"/>
        <s v="2A4"/>
        <s v="2B"/>
        <s v="2C"/>
        <s v="2C1"/>
        <s v="2C2"/>
        <s v="2C3"/>
        <s v="2D"/>
        <s v="2D1"/>
        <s v="2D1a"/>
        <s v="2D1b"/>
        <s v="2D1c"/>
        <s v="2D1c1"/>
        <s v="2D1c2"/>
        <s v="2D1d"/>
        <s v="2D1d1"/>
        <s v="2D1d2"/>
        <s v="2D2"/>
        <s v="2D2a"/>
        <s v="2D2b"/>
        <s v="2D3"/>
        <s v="2D3a"/>
        <s v="2D3b"/>
        <s v="1C3"/>
        <s v="1E"/>
        <s v="1C1"/>
        <s v="1B5"/>
        <s v="1C2"/>
        <s v="1C5"/>
      </sharedItems>
    </cacheField>
    <cacheField name="item" numFmtId="0">
      <sharedItems/>
    </cacheField>
    <cacheField name="Classificatin Notes" numFmtId="0">
      <sharedItems containsBlank="1"/>
    </cacheField>
    <cacheField name="ID #" numFmtId="0">
      <sharedItems containsBlank="1" containsMixedTypes="1" containsNumber="1" containsInteger="1" minValue="100654" maxValue="870501"/>
    </cacheField>
    <cacheField name="category" numFmtId="0">
      <sharedItems containsString="0" containsBlank="1" containsNumber="1" minValue="1" maxValue="99" count="18">
        <n v="1"/>
        <n v="2"/>
        <n v="3"/>
        <n v="4"/>
        <n v="5"/>
        <n v="6"/>
        <n v="8"/>
        <n v="9"/>
        <n v="10"/>
        <n v="12"/>
        <n v="13"/>
        <n v="15"/>
        <m/>
        <n v="99"/>
        <n v="7"/>
        <n v="11"/>
        <n v="14" u="1"/>
        <n v="13.3928571428571" u="1"/>
      </sharedItems>
      <fieldGroup par="45"/>
    </cacheField>
    <cacheField name="State Gen Purp-Old" numFmtId="3">
      <sharedItems containsString="0" containsBlank="1" containsNumber="1" minValue="0" maxValue="479841652"/>
    </cacheField>
    <cacheField name="State Gen Purp-New" numFmtId="0">
      <sharedItems containsString="0" containsBlank="1" containsNumber="1" minValue="0" maxValue="479983244"/>
    </cacheField>
    <cacheField name="State Ed Spec Purp-Old" numFmtId="3">
      <sharedItems containsBlank="1" containsMixedTypes="1" containsNumber="1" minValue="0" maxValue="143885981"/>
    </cacheField>
    <cacheField name="State Ed Spec Purp-New" numFmtId="0">
      <sharedItems containsString="0" containsBlank="1" containsNumber="1" minValue="0" maxValue="123458686"/>
    </cacheField>
    <cacheField name="Local-Old" numFmtId="3">
      <sharedItems containsString="0" containsBlank="1" containsNumber="1" minValue="0" maxValue="163339387"/>
    </cacheField>
    <cacheField name="Local-New" numFmtId="0">
      <sharedItems containsString="0" containsBlank="1" containsNumber="1" containsInteger="1" minValue="5500" maxValue="180009933"/>
    </cacheField>
    <cacheField name="Tuition Ops-Old" numFmtId="0">
      <sharedItems containsBlank="1" containsMixedTypes="1" containsNumber="1" minValue="0" maxValue="545139599"/>
    </cacheField>
    <cacheField name="Tuition Debt-Old" numFmtId="3">
      <sharedItems containsBlank="1" containsMixedTypes="1" containsNumber="1" minValue="0" maxValue="26212700"/>
    </cacheField>
    <cacheField name="Tuition Tot-Old" numFmtId="3">
      <sharedItems containsSemiMixedTypes="0" containsString="0" containsNumber="1" minValue="0" maxValue="545139599"/>
    </cacheField>
    <cacheField name="Tuition Ops-New" numFmtId="0">
      <sharedItems containsBlank="1" containsMixedTypes="1" containsNumber="1" minValue="0" maxValue="555019935"/>
    </cacheField>
    <cacheField name="Tuition Debt-New" numFmtId="0">
      <sharedItems containsBlank="1" containsMixedTypes="1" containsNumber="1" minValue="0" maxValue="27121536"/>
    </cacheField>
    <cacheField name="Tuition Tot-New" numFmtId="3">
      <sharedItems containsSemiMixedTypes="0" containsString="0" containsNumber="1" minValue="0" maxValue="555019935"/>
    </cacheField>
    <cacheField name="Total E&amp;G-Old" numFmtId="3">
      <sharedItems containsSemiMixedTypes="0" containsString="0" containsNumber="1" minValue="0" maxValue="1024981251"/>
    </cacheField>
    <cacheField name="Total E&amp;G-New" numFmtId="3">
      <sharedItems containsSemiMixedTypes="0" containsString="0" containsNumber="1" minValue="0" maxValue="1035003179"/>
    </cacheField>
    <cacheField name="Other Spec Purp State-Old" numFmtId="0">
      <sharedItems containsString="0" containsBlank="1" containsNumber="1" minValue="0" maxValue="446451527"/>
    </cacheField>
    <cacheField name="Other Spec Purp State-New" numFmtId="0">
      <sharedItems containsBlank="1" containsMixedTypes="1" containsNumber="1" minValue="0" maxValue="401800599"/>
    </cacheField>
    <cacheField name="Tuition SP Ops-Old" numFmtId="3">
      <sharedItems containsString="0" containsBlank="1" containsNumber="1" containsInteger="1" minValue="0" maxValue="337706516"/>
    </cacheField>
    <cacheField name="Tuition SP Debt-Old" numFmtId="3">
      <sharedItems containsString="0" containsBlank="1" containsNumber="1" containsInteger="1" minValue="141498" maxValue="311400"/>
    </cacheField>
    <cacheField name="Tuition SP Tot-Old" numFmtId="3">
      <sharedItems containsSemiMixedTypes="0" containsString="0" containsNumber="1" containsInteger="1" minValue="0" maxValue="337706516"/>
    </cacheField>
    <cacheField name="Tuition SP Ops-New" numFmtId="3">
      <sharedItems containsString="0" containsBlank="1" containsNumber="1" containsInteger="1" minValue="1766048" maxValue="350389432"/>
    </cacheField>
    <cacheField name="Tuition SP Debt-New" numFmtId="3">
      <sharedItems containsString="0" containsBlank="1" containsNumber="1" containsInteger="1" minValue="177000" maxValue="347490"/>
    </cacheField>
    <cacheField name="Tuition SP Tot-New" numFmtId="3">
      <sharedItems containsSemiMixedTypes="0" containsString="0" containsNumber="1" containsInteger="1" minValue="0" maxValue="350389432"/>
    </cacheField>
    <cacheField name="Health State-Old" numFmtId="3">
      <sharedItems containsString="0" containsBlank="1" containsNumber="1" minValue="0" maxValue="342767552"/>
    </cacheField>
    <cacheField name="Health State-New" numFmtId="0">
      <sharedItems containsString="0" containsBlank="1" containsNumber="1" minValue="0" maxValue="324663239"/>
    </cacheField>
    <cacheField name="Health Tuition-Old" numFmtId="3">
      <sharedItems containsString="0" containsBlank="1" containsNumber="1" minValue="1097748" maxValue="112339806"/>
    </cacheField>
    <cacheField name="Health Tuition Debt - Old" numFmtId="3">
      <sharedItems containsString="0" containsBlank="1" containsNumber="1" minValue="0" maxValue="55116039"/>
    </cacheField>
    <cacheField name="Health Tuition-New" numFmtId="3">
      <sharedItems containsString="0" containsBlank="1" containsNumber="1" minValue="1294519" maxValue="116228036"/>
    </cacheField>
    <cacheField name="Health Tuition Debt - New" numFmtId="3">
      <sharedItems containsString="0" containsBlank="1" containsNumber="1" minValue="0" maxValue="10656001"/>
    </cacheField>
    <cacheField name="Total Funds-Old" numFmtId="3">
      <sharedItems containsSemiMixedTypes="0" containsString="0" containsNumber="1" minValue="0" maxValue="1024981251"/>
    </cacheField>
    <cacheField name="Total Funds-New" numFmtId="3">
      <sharedItems containsSemiMixedTypes="0" containsString="0" containsNumber="1" minValue="0" maxValue="1035003179"/>
    </cacheField>
    <cacheField name="% change in health tuition" numFmtId="0" formula=" IF('Health Tuition-Old'&gt;0,('Health Tuition-New'-'Health Tuition-Old')/'Health Tuition-Old',)*100" databaseField="0"/>
    <cacheField name="% change in total public funds" numFmtId="0" formula="IF('Total E&amp;G-Old'&gt;0,('Total E&amp;G-New'-'Total E&amp;G-Old')/'Total E&amp;G-Old')*100" databaseField="0"/>
    <cacheField name="% change in tuition ops" numFmtId="0" formula=" IF('Tuition Ops-Old'&gt;0,('Tuition Ops-New'-'Tuition Ops-Old')/'Tuition Ops-Old',)*100" databaseField="0"/>
    <cacheField name="% change in local" numFmtId="0" formula="IF('Local-Old'&gt;0, ('Local-New'-'Local-Old')/'Local-Old',)*100" databaseField="0"/>
    <cacheField name="% change in state ed spec purp" numFmtId="0" formula="IF('State Ed Spec Purp-Old'&gt;0,('State Ed Spec Purp-New'-'State Ed Spec Purp-Old')/'State Ed Spec Purp-Old',)*100" databaseField="0"/>
    <cacheField name="% change in state gen purp" numFmtId="0" formula=" IF('State Gen Purp-Old'&gt;0,('State Gen Purp-New'-'State Gen Purp-Old')/'State Gen Purp-Old',)*100" databaseField="0"/>
    <cacheField name="% change in other spec purp state" numFmtId="0" formula="IF('Other Spec Purp State-Old'&gt;0, ('Other Spec Purp State-New'-'Other Spec Purp State-Old')/'Other Spec Purp State-Old',)*100" databaseField="0"/>
    <cacheField name="% change in tuition total" numFmtId="0" formula=" IF('Tuition Tot-Old'&gt;0,('Tuition Tot-New'-'Tuition Tot-Old')/'Tuition Tot-Old',)*100" databaseField="0"/>
    <cacheField name="% change in tuition debt" numFmtId="0" formula=" IF('Tuition Debt-Old'&gt;0,('Tuition Debt-New'-'Tuition Debt-Old')/'Tuition Debt-Old',)*100" databaseField="0"/>
    <cacheField name="category2" numFmtId="0" databaseField="0">
      <fieldGroup base="5">
        <discretePr count="18">
          <x v="3"/>
          <x v="3"/>
          <x v="3"/>
          <x v="3"/>
          <x v="3"/>
          <x v="3"/>
          <x v="4"/>
          <x v="4"/>
          <x v="4"/>
          <x v="6"/>
          <x v="6"/>
          <x v="1"/>
          <x v="0"/>
          <x v="5"/>
          <x v="4"/>
          <x v="4"/>
          <x v="6"/>
          <x v="2"/>
        </discretePr>
        <groupItems count="7">
          <m/>
          <n v="15"/>
          <n v="13.3928571428571"/>
          <s v="Group1"/>
          <s v="Group2"/>
          <n v="99"/>
          <s v="Group3"/>
        </groupItems>
      </fieldGroup>
    </cacheField>
    <cacheField name="% change in health state" numFmtId="0" formula=" IF('Health State-Old'&gt;0,('Health State-New'-'Health State-Old')/'Health State-Old',)*100" databaseField="0"/>
    <cacheField name="% change in tuition sp total" numFmtId="0" formula=" IF('Tuition SP Tot-Old'&gt;0,('Tuition SP Tot-New'-'Tuition SP Tot-Old')/'Tuition SP Tot-Old',)*100" databaseField="0"/>
    <cacheField name="% change in tuition sp debt" numFmtId="0" formula=" IF('Tuition SP Debt-Old'&gt;0,('Tuition SP Debt-New'-'Tuition SP Debt-Old')/'Tuition SP Debt-Old',)*100" databaseField="0"/>
    <cacheField name="% change in tuition sp ops" numFmtId="0" formula=" IF('Tuition SP Ops-Old'&gt;0,('Tuition SP Ops-New'-'Tuition SP Ops-Old')/'Tuition SP Ops-Old',)*100" databaseField="0"/>
    <cacheField name="% change in total E&amp;G funds" numFmtId="0" formula="IF('Total E&amp;G-Old'&gt;0,('Total E&amp;G-New'-'Total E&amp;G-Old')/'Total E&amp;G-Old')*100" databaseField="0"/>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Lisa Cowan" refreshedDate="42045.383084490742" createdVersion="4" refreshedVersion="4" minRefreshableVersion="3" recordCount="3152">
  <cacheSource type="worksheet">
    <worksheetSource ref="A9:AJ3161" sheet="Funding Data"/>
  </cacheSource>
  <cacheFields count="51">
    <cacheField name="state" numFmtId="0">
      <sharedItems containsBlank="1" count="17">
        <s v="AL"/>
        <s v="AR"/>
        <s v="DE"/>
        <s v="FL"/>
        <s v="GA"/>
        <s v="KY"/>
        <s v="LA"/>
        <s v="MD"/>
        <s v="MS"/>
        <s v="NC"/>
        <s v="OK"/>
        <s v="SC"/>
        <s v="TN"/>
        <s v="TX"/>
        <s v="VA"/>
        <s v="WV"/>
        <m u="1"/>
      </sharedItems>
    </cacheField>
    <cacheField name="group" numFmtId="0">
      <sharedItems containsBlank="1" count="47">
        <s v="1A"/>
        <s v="1D"/>
        <s v="1B"/>
        <s v="1B1"/>
        <s v="1B2"/>
        <s v="1B3"/>
        <s v="1B4"/>
        <s v="1B6"/>
        <s v="1B7"/>
        <s v="1F"/>
        <s v="1C"/>
        <s v="1C6"/>
        <s v="1C7"/>
        <s v="1G"/>
        <s v="2A"/>
        <s v="2A1"/>
        <s v="2A2"/>
        <s v="2A3"/>
        <s v="2A4"/>
        <s v="2B"/>
        <s v="2C"/>
        <s v="2C1"/>
        <s v="2C2"/>
        <s v="2C3"/>
        <s v="2D"/>
        <s v="2D1"/>
        <s v="2D1a"/>
        <s v="2D1b"/>
        <s v="2D1c"/>
        <s v="2D1c1"/>
        <s v="2D1c2"/>
        <s v="2D1d"/>
        <s v="2D1d1"/>
        <s v="2D1d2"/>
        <s v="2D2"/>
        <s v="2D2a"/>
        <s v="2D2b"/>
        <s v="2D3"/>
        <s v="2D3a"/>
        <s v="2D3b"/>
        <s v="1C3"/>
        <s v="1E"/>
        <s v="1C1"/>
        <s v="1B5"/>
        <s v="1C2"/>
        <s v="1C5"/>
        <m u="1"/>
      </sharedItems>
    </cacheField>
    <cacheField name="item" numFmtId="0">
      <sharedItems/>
    </cacheField>
    <cacheField name="Classificatin Notes" numFmtId="0">
      <sharedItems containsBlank="1"/>
    </cacheField>
    <cacheField name="ID #" numFmtId="0">
      <sharedItems containsBlank="1" containsMixedTypes="1" containsNumber="1" containsInteger="1" minValue="100654" maxValue="870501"/>
    </cacheField>
    <cacheField name="category" numFmtId="0">
      <sharedItems containsString="0" containsBlank="1" containsNumber="1" minValue="1" maxValue="99" count="18">
        <n v="1"/>
        <n v="2"/>
        <n v="3"/>
        <n v="4"/>
        <n v="5"/>
        <n v="6"/>
        <n v="8"/>
        <n v="9"/>
        <n v="10"/>
        <n v="12"/>
        <n v="13"/>
        <n v="15"/>
        <m/>
        <n v="99"/>
        <n v="7"/>
        <n v="11"/>
        <n v="14"/>
        <n v="13.3928571428571" u="1"/>
      </sharedItems>
      <fieldGroup par="45"/>
    </cacheField>
    <cacheField name="State Gen Purp-Old" numFmtId="3">
      <sharedItems containsString="0" containsBlank="1" containsNumber="1" minValue="0" maxValue="509710244"/>
    </cacheField>
    <cacheField name="State Gen Purp-New" numFmtId="0">
      <sharedItems containsBlank="1" containsMixedTypes="1" containsNumber="1" minValue="0" maxValue="554214079"/>
    </cacheField>
    <cacheField name="State Ed Spec Purp-Old" numFmtId="0">
      <sharedItems containsString="0" containsBlank="1" containsNumber="1" minValue="0" maxValue="183909619"/>
    </cacheField>
    <cacheField name="State Ed Spec Purp-New" numFmtId="0">
      <sharedItems containsBlank="1" containsMixedTypes="1" containsNumber="1" minValue="0" maxValue="140867350"/>
    </cacheField>
    <cacheField name="Local-Old" numFmtId="3">
      <sharedItems containsString="0" containsBlank="1" containsNumber="1" containsInteger="1" minValue="5500" maxValue="184432700"/>
    </cacheField>
    <cacheField name="Local-New" numFmtId="0">
      <sharedItems containsString="0" containsBlank="1" containsNumber="1" containsInteger="1" minValue="3000" maxValue="196000124"/>
    </cacheField>
    <cacheField name="Tuition Ops-Old" numFmtId="0">
      <sharedItems containsBlank="1" containsMixedTypes="1" containsNumber="1" minValue="0" maxValue="550201661"/>
    </cacheField>
    <cacheField name="Tuition Debt-Old" numFmtId="3">
      <sharedItems containsBlank="1" containsMixedTypes="1" containsNumber="1" minValue="0" maxValue="27295936"/>
    </cacheField>
    <cacheField name="Tuition Tot-Old" numFmtId="3">
      <sharedItems containsSemiMixedTypes="0" containsString="0" containsNumber="1" minValue="0" maxValue="553607756"/>
    </cacheField>
    <cacheField name="Tuition Ops-New" numFmtId="0">
      <sharedItems containsString="0" containsBlank="1" containsNumber="1" minValue="0" maxValue="527527893"/>
    </cacheField>
    <cacheField name="Tuition Debt-New" numFmtId="0">
      <sharedItems containsBlank="1" containsMixedTypes="1" containsNumber="1" minValue="0" maxValue="27891960"/>
    </cacheField>
    <cacheField name="Tuition Tot-New" numFmtId="3">
      <sharedItems containsSemiMixedTypes="0" containsString="0" containsNumber="1" minValue="0" maxValue="530750343"/>
    </cacheField>
    <cacheField name="Total E&amp;G-Old" numFmtId="3">
      <sharedItems containsSemiMixedTypes="0" containsString="0" containsNumber="1" minValue="0" maxValue="943832056"/>
    </cacheField>
    <cacheField name="Total E&amp;G-New" numFmtId="3">
      <sharedItems containsSemiMixedTypes="0" containsString="0" containsNumber="1" minValue="0" maxValue="1012916201"/>
    </cacheField>
    <cacheField name="Other Spec Purp State-Old" numFmtId="0">
      <sharedItems containsBlank="1" containsMixedTypes="1" containsNumber="1" minValue="0" maxValue="401800599"/>
    </cacheField>
    <cacheField name="Other Spec Purp State-New" numFmtId="0">
      <sharedItems containsString="0" containsBlank="1" containsNumber="1" minValue="0" maxValue="525861525"/>
    </cacheField>
    <cacheField name="Tuition SP Ops-Old" numFmtId="3">
      <sharedItems containsString="0" containsBlank="1" containsNumber="1" containsInteger="1" minValue="1766048" maxValue="350389432"/>
    </cacheField>
    <cacheField name="Tuition SP Debt-Old" numFmtId="3">
      <sharedItems containsString="0" containsBlank="1" containsNumber="1" containsInteger="1" minValue="212502" maxValue="347490"/>
    </cacheField>
    <cacheField name="Tuition SP Tot-Old" numFmtId="3">
      <sharedItems containsSemiMixedTypes="0" containsString="0" containsNumber="1" containsInteger="1" minValue="0" maxValue="350389432"/>
    </cacheField>
    <cacheField name="Tuition SP Ops-New" numFmtId="3">
      <sharedItems containsString="0" containsBlank="1" containsNumber="1" containsInteger="1" minValue="0" maxValue="350158351"/>
    </cacheField>
    <cacheField name="Tuition SP Debt-New" numFmtId="3">
      <sharedItems containsString="0" containsBlank="1" containsNumber="1" containsInteger="1" minValue="0" maxValue="296208"/>
    </cacheField>
    <cacheField name="Tuition SP Tot-New" numFmtId="3">
      <sharedItems containsSemiMixedTypes="0" containsString="0" containsNumber="1" containsInteger="1" minValue="0" maxValue="350158351"/>
    </cacheField>
    <cacheField name="Health State-Old" numFmtId="3">
      <sharedItems containsString="0" containsBlank="1" containsNumber="1" minValue="0" maxValue="318364087"/>
    </cacheField>
    <cacheField name="Health State-New" numFmtId="0">
      <sharedItems containsString="0" containsBlank="1" containsNumber="1" minValue="5000" maxValue="340259418"/>
    </cacheField>
    <cacheField name="Health Tuition-Old" numFmtId="3">
      <sharedItems containsString="0" containsBlank="1" containsNumber="1" containsInteger="1" minValue="0" maxValue="116228036"/>
    </cacheField>
    <cacheField name="Health Tuition Debt - Old" numFmtId="3">
      <sharedItems containsString="0" containsBlank="1" containsNumber="1" containsInteger="1" minValue="0" maxValue="6923568"/>
    </cacheField>
    <cacheField name="Health Tuition-New" numFmtId="3">
      <sharedItems containsString="0" containsBlank="1" containsNumber="1" minValue="0" maxValue="118107254"/>
    </cacheField>
    <cacheField name="Health Tuition Debt - New" numFmtId="3">
      <sharedItems containsString="0" containsBlank="1" containsNumber="1" containsInteger="1" minValue="0" maxValue="1248459"/>
    </cacheField>
    <cacheField name="Total Funds-Old" numFmtId="3">
      <sharedItems containsSemiMixedTypes="0" containsString="0" containsNumber="1" minValue="0" maxValue="943832056"/>
    </cacheField>
    <cacheField name="Total Funds-New" numFmtId="3">
      <sharedItems containsSemiMixedTypes="0" containsString="0" containsNumber="1" minValue="0" maxValue="1012916201"/>
    </cacheField>
    <cacheField name="% change in health tuition" numFmtId="0" formula=" IF('Health Tuition-Old'&gt;0,('Health Tuition-New'-'Health Tuition-Old')/'Health Tuition-Old',)*100" databaseField="0"/>
    <cacheField name="% change in total public funds" numFmtId="0" formula="IF('Total E&amp;G-Old'&gt;0,('Total E&amp;G-New'-'Total E&amp;G-Old')/'Total E&amp;G-Old')*100" databaseField="0"/>
    <cacheField name="% change in tuition ops" numFmtId="0" formula=" IF('Tuition Ops-Old'&gt;0,('Tuition Ops-New'-'Tuition Ops-Old')/'Tuition Ops-Old',)*100" databaseField="0"/>
    <cacheField name="% change in local" numFmtId="0" formula="IF('Local-Old'&gt;0, ('Local-New'-'Local-Old')/'Local-Old',)*100" databaseField="0"/>
    <cacheField name="% change in state ed spec purp" numFmtId="0" formula="IF('State Ed Spec Purp-Old'&gt;0,('State Ed Spec Purp-New'-'State Ed Spec Purp-Old')/'State Ed Spec Purp-Old',)*100" databaseField="0"/>
    <cacheField name="% change in state gen purp" numFmtId="0" formula=" IF('State Gen Purp-Old'&gt;0,('State Gen Purp-New'-'State Gen Purp-Old')/'State Gen Purp-Old',)*100" databaseField="0"/>
    <cacheField name="% change in other spec purp state" numFmtId="0" formula="IF('Other Spec Purp State-Old'&gt;0, ('Other Spec Purp State-New'-'Other Spec Purp State-Old')/'Other Spec Purp State-Old',)*100" databaseField="0"/>
    <cacheField name="% change in tuition total" numFmtId="0" formula=" IF('Tuition Tot-Old'&gt;0,('Tuition Tot-New'-'Tuition Tot-Old')/'Tuition Tot-Old',)*100" databaseField="0"/>
    <cacheField name="% change in tuition debt" numFmtId="0" formula=" IF('Tuition Debt-Old'&gt;0,('Tuition Debt-New'-'Tuition Debt-Old')/'Tuition Debt-Old',)*100" databaseField="0"/>
    <cacheField name="category2" numFmtId="0" databaseField="0">
      <fieldGroup base="5">
        <discretePr count="18">
          <x v="3"/>
          <x v="3"/>
          <x v="3"/>
          <x v="3"/>
          <x v="3"/>
          <x v="3"/>
          <x v="4"/>
          <x v="4"/>
          <x v="4"/>
          <x v="6"/>
          <x v="6"/>
          <x v="1"/>
          <x v="0"/>
          <x v="5"/>
          <x v="4"/>
          <x v="4"/>
          <x v="6"/>
          <x v="2"/>
        </discretePr>
        <groupItems count="7">
          <m/>
          <n v="15"/>
          <n v="13.3928571428571"/>
          <s v="Group1"/>
          <s v="Group2"/>
          <n v="99"/>
          <s v="Group3"/>
        </groupItems>
      </fieldGroup>
    </cacheField>
    <cacheField name="% change in health state" numFmtId="0" formula=" IF('Health State-Old'&gt;0,('Health State-New'-'Health State-Old')/'Health State-Old',)*100" databaseField="0"/>
    <cacheField name="% change in tuition sp total" numFmtId="0" formula=" IF('Tuition SP Tot-Old'&gt;0,('Tuition SP Tot-New'-'Tuition SP Tot-Old')/'Tuition SP Tot-Old',)*100" databaseField="0"/>
    <cacheField name="% change in tuition sp debt" numFmtId="0" formula=" IF('Tuition SP Debt-Old'&gt;0,('Tuition SP Debt-New'-'Tuition SP Debt-Old')/'Tuition SP Debt-Old',)*100" databaseField="0"/>
    <cacheField name="% change in tuition sp ops" numFmtId="0" formula=" IF('Tuition SP Ops-Old'&gt;0,('Tuition SP Ops-New'-'Tuition SP Ops-Old')/'Tuition SP Ops-Old',)*100" databaseField="0"/>
    <cacheField name="% change in total E&amp;G funds" numFmtId="0" formula="IF('Total E&amp;G-Old'&gt;0,('Total E&amp;G-New'-'Total E&amp;G-Old')/'Total E&amp;G-Old')*100" databaseField="0"/>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3051">
  <r>
    <x v="0"/>
    <x v="0"/>
    <s v="Auburn University  "/>
    <m/>
    <n v="100858"/>
    <x v="0"/>
    <n v="142221075"/>
    <n v="137938695"/>
    <m/>
    <m/>
    <m/>
    <m/>
    <n v="325515945"/>
    <n v="26212700"/>
    <n v="351728645"/>
    <n v="295362755"/>
    <n v="27121536"/>
    <n v="322484291"/>
    <n v="467737020"/>
    <n v="433301450"/>
    <m/>
    <m/>
    <m/>
    <m/>
    <n v="0"/>
    <m/>
    <m/>
    <n v="0"/>
    <m/>
    <m/>
    <m/>
    <m/>
    <m/>
    <m/>
    <n v="467737020"/>
    <n v="433301450"/>
  </r>
  <r>
    <x v="0"/>
    <x v="1"/>
    <s v="Health Professions Education"/>
    <m/>
    <n v="100858"/>
    <x v="0"/>
    <m/>
    <m/>
    <m/>
    <m/>
    <m/>
    <m/>
    <m/>
    <m/>
    <n v="0"/>
    <m/>
    <m/>
    <n v="0"/>
    <n v="0"/>
    <n v="0"/>
    <m/>
    <m/>
    <m/>
    <m/>
    <n v="0"/>
    <m/>
    <m/>
    <n v="0"/>
    <m/>
    <m/>
    <m/>
    <m/>
    <m/>
    <m/>
    <n v="0"/>
    <n v="0"/>
  </r>
  <r>
    <x v="0"/>
    <x v="1"/>
    <s v="Veterinary School"/>
    <m/>
    <n v="100858"/>
    <x v="0"/>
    <m/>
    <m/>
    <m/>
    <m/>
    <m/>
    <m/>
    <m/>
    <m/>
    <n v="0"/>
    <m/>
    <m/>
    <n v="0"/>
    <n v="0"/>
    <n v="0"/>
    <m/>
    <m/>
    <m/>
    <m/>
    <n v="0"/>
    <m/>
    <m/>
    <n v="0"/>
    <n v="18838618"/>
    <n v="17318610"/>
    <n v="18564328"/>
    <m/>
    <n v="19000000"/>
    <m/>
    <n v="37402946"/>
    <n v="36318610"/>
  </r>
  <r>
    <x v="0"/>
    <x v="2"/>
    <s v="Educational Special-Purpose funds to public campuses"/>
    <m/>
    <n v="100858"/>
    <x v="0"/>
    <m/>
    <m/>
    <m/>
    <m/>
    <m/>
    <m/>
    <m/>
    <m/>
    <n v="0"/>
    <m/>
    <m/>
    <n v="0"/>
    <n v="0"/>
    <n v="0"/>
    <m/>
    <m/>
    <m/>
    <m/>
    <n v="0"/>
    <m/>
    <m/>
    <n v="0"/>
    <m/>
    <m/>
    <m/>
    <m/>
    <m/>
    <m/>
    <n v="0"/>
    <n v="0"/>
  </r>
  <r>
    <x v="0"/>
    <x v="3"/>
    <s v="Community or public service units"/>
    <m/>
    <n v="100858"/>
    <x v="0"/>
    <m/>
    <m/>
    <m/>
    <m/>
    <m/>
    <m/>
    <m/>
    <m/>
    <n v="0"/>
    <m/>
    <m/>
    <n v="0"/>
    <n v="0"/>
    <n v="0"/>
    <m/>
    <m/>
    <m/>
    <m/>
    <n v="0"/>
    <m/>
    <m/>
    <n v="0"/>
    <m/>
    <m/>
    <m/>
    <m/>
    <m/>
    <m/>
    <n v="0"/>
    <n v="0"/>
  </r>
  <r>
    <x v="0"/>
    <x v="3"/>
    <s v="Econ Res Services to St Dept of Finance"/>
    <m/>
    <n v="100858"/>
    <x v="0"/>
    <m/>
    <m/>
    <m/>
    <m/>
    <m/>
    <m/>
    <m/>
    <m/>
    <n v="0"/>
    <m/>
    <m/>
    <n v="0"/>
    <n v="0"/>
    <n v="0"/>
    <m/>
    <m/>
    <m/>
    <m/>
    <n v="0"/>
    <m/>
    <m/>
    <n v="0"/>
    <m/>
    <m/>
    <m/>
    <m/>
    <m/>
    <m/>
    <n v="0"/>
    <n v="0"/>
  </r>
  <r>
    <x v="0"/>
    <x v="3"/>
    <s v="Jules Collins Smith Art Museum"/>
    <m/>
    <n v="100858"/>
    <x v="0"/>
    <m/>
    <m/>
    <m/>
    <m/>
    <m/>
    <m/>
    <m/>
    <m/>
    <n v="0"/>
    <m/>
    <m/>
    <n v="0"/>
    <n v="0"/>
    <n v="0"/>
    <m/>
    <m/>
    <m/>
    <m/>
    <n v="0"/>
    <m/>
    <m/>
    <n v="0"/>
    <m/>
    <m/>
    <m/>
    <m/>
    <m/>
    <m/>
    <n v="0"/>
    <n v="0"/>
  </r>
  <r>
    <x v="0"/>
    <x v="3"/>
    <s v="Training for ASIMS"/>
    <m/>
    <n v="100858"/>
    <x v="0"/>
    <m/>
    <m/>
    <m/>
    <m/>
    <m/>
    <m/>
    <m/>
    <m/>
    <n v="0"/>
    <m/>
    <m/>
    <n v="0"/>
    <n v="0"/>
    <n v="0"/>
    <m/>
    <m/>
    <m/>
    <m/>
    <n v="0"/>
    <m/>
    <m/>
    <n v="0"/>
    <m/>
    <m/>
    <m/>
    <m/>
    <m/>
    <m/>
    <n v="0"/>
    <n v="0"/>
  </r>
  <r>
    <x v="0"/>
    <x v="3"/>
    <s v="Special Outreach PGM"/>
    <m/>
    <n v="100858"/>
    <x v="0"/>
    <m/>
    <m/>
    <m/>
    <m/>
    <m/>
    <m/>
    <m/>
    <m/>
    <n v="0"/>
    <m/>
    <m/>
    <n v="0"/>
    <n v="0"/>
    <n v="0"/>
    <m/>
    <m/>
    <m/>
    <m/>
    <n v="0"/>
    <m/>
    <m/>
    <n v="0"/>
    <m/>
    <m/>
    <m/>
    <m/>
    <m/>
    <m/>
    <n v="0"/>
    <n v="0"/>
  </r>
  <r>
    <x v="0"/>
    <x v="4"/>
    <s v="Non-credit continuing education"/>
    <m/>
    <n v="100858"/>
    <x v="0"/>
    <m/>
    <m/>
    <m/>
    <m/>
    <m/>
    <m/>
    <m/>
    <m/>
    <n v="0"/>
    <m/>
    <m/>
    <n v="0"/>
    <n v="0"/>
    <n v="0"/>
    <m/>
    <m/>
    <m/>
    <m/>
    <n v="0"/>
    <m/>
    <m/>
    <n v="0"/>
    <m/>
    <m/>
    <m/>
    <m/>
    <m/>
    <m/>
    <n v="0"/>
    <n v="0"/>
  </r>
  <r>
    <x v="0"/>
    <x v="4"/>
    <s v="Teacher In-service Center"/>
    <m/>
    <n v="100858"/>
    <x v="0"/>
    <m/>
    <m/>
    <n v="232683"/>
    <n v="223264"/>
    <m/>
    <m/>
    <m/>
    <m/>
    <n v="0"/>
    <m/>
    <m/>
    <n v="0"/>
    <n v="232683"/>
    <n v="223264"/>
    <m/>
    <m/>
    <m/>
    <m/>
    <n v="0"/>
    <m/>
    <m/>
    <n v="0"/>
    <m/>
    <m/>
    <m/>
    <m/>
    <m/>
    <m/>
    <n v="232683"/>
    <n v="223264"/>
  </r>
  <r>
    <x v="0"/>
    <x v="5"/>
    <s v="Agricultural cooperative extension"/>
    <m/>
    <n v="100858"/>
    <x v="0"/>
    <m/>
    <m/>
    <n v="32476409"/>
    <n v="31177353"/>
    <m/>
    <m/>
    <m/>
    <m/>
    <n v="0"/>
    <m/>
    <m/>
    <n v="0"/>
    <n v="32476409"/>
    <n v="31177353"/>
    <m/>
    <m/>
    <m/>
    <m/>
    <n v="0"/>
    <m/>
    <m/>
    <n v="0"/>
    <m/>
    <m/>
    <m/>
    <m/>
    <m/>
    <m/>
    <n v="32476409"/>
    <n v="31177353"/>
  </r>
  <r>
    <x v="0"/>
    <x v="6"/>
    <s v="Agricultural experiment stations"/>
    <m/>
    <n v="100858"/>
    <x v="0"/>
    <m/>
    <m/>
    <n v="31183951"/>
    <n v="29995593"/>
    <m/>
    <m/>
    <m/>
    <m/>
    <n v="0"/>
    <m/>
    <m/>
    <n v="0"/>
    <n v="31183951"/>
    <n v="29995593"/>
    <m/>
    <m/>
    <m/>
    <m/>
    <n v="0"/>
    <m/>
    <m/>
    <n v="0"/>
    <m/>
    <m/>
    <m/>
    <m/>
    <m/>
    <m/>
    <n v="31183951"/>
    <n v="29995593"/>
  </r>
  <r>
    <x v="0"/>
    <x v="7"/>
    <s v="Research centers/institutes"/>
    <m/>
    <n v="100858"/>
    <x v="0"/>
    <m/>
    <m/>
    <m/>
    <m/>
    <m/>
    <m/>
    <m/>
    <m/>
    <n v="0"/>
    <m/>
    <m/>
    <n v="0"/>
    <n v="0"/>
    <n v="0"/>
    <m/>
    <m/>
    <m/>
    <m/>
    <n v="0"/>
    <m/>
    <m/>
    <n v="0"/>
    <m/>
    <m/>
    <m/>
    <m/>
    <m/>
    <m/>
    <n v="0"/>
    <n v="0"/>
  </r>
  <r>
    <x v="0"/>
    <x v="0"/>
    <s v="University of Alabama "/>
    <m/>
    <n v="100751"/>
    <x v="0"/>
    <n v="135691896"/>
    <n v="130069985"/>
    <m/>
    <m/>
    <m/>
    <m/>
    <n v="449603374"/>
    <n v="3029139"/>
    <n v="452632513"/>
    <n v="417530947"/>
    <n v="3029139"/>
    <n v="420560086"/>
    <n v="585295270"/>
    <n v="547600932"/>
    <m/>
    <m/>
    <m/>
    <m/>
    <n v="0"/>
    <m/>
    <m/>
    <n v="0"/>
    <m/>
    <m/>
    <m/>
    <m/>
    <m/>
    <m/>
    <n v="585295270"/>
    <n v="547600932"/>
  </r>
  <r>
    <x v="0"/>
    <x v="1"/>
    <s v="Health Center"/>
    <m/>
    <n v="100751"/>
    <x v="0"/>
    <m/>
    <m/>
    <m/>
    <m/>
    <m/>
    <m/>
    <m/>
    <m/>
    <n v="0"/>
    <m/>
    <m/>
    <n v="0"/>
    <n v="0"/>
    <n v="0"/>
    <m/>
    <m/>
    <m/>
    <m/>
    <n v="0"/>
    <m/>
    <m/>
    <n v="0"/>
    <n v="9431343"/>
    <n v="9343325"/>
    <n v="1555082"/>
    <m/>
    <n v="1475021"/>
    <m/>
    <n v="10986425"/>
    <n v="10818346"/>
  </r>
  <r>
    <x v="0"/>
    <x v="3"/>
    <s v="Community or public service units"/>
    <m/>
    <n v="100751"/>
    <x v="0"/>
    <m/>
    <m/>
    <m/>
    <m/>
    <m/>
    <m/>
    <m/>
    <m/>
    <n v="0"/>
    <m/>
    <m/>
    <n v="0"/>
    <n v="0"/>
    <n v="0"/>
    <m/>
    <m/>
    <m/>
    <m/>
    <n v="0"/>
    <m/>
    <m/>
    <n v="0"/>
    <m/>
    <m/>
    <m/>
    <m/>
    <m/>
    <m/>
    <n v="0"/>
    <n v="0"/>
  </r>
  <r>
    <x v="0"/>
    <x v="3"/>
    <s v="AL Center for Civic Life"/>
    <m/>
    <n v="100751"/>
    <x v="0"/>
    <m/>
    <m/>
    <n v="100000"/>
    <n v="95000"/>
    <m/>
    <m/>
    <m/>
    <m/>
    <n v="0"/>
    <m/>
    <m/>
    <n v="0"/>
    <n v="100000"/>
    <n v="95000"/>
    <m/>
    <m/>
    <m/>
    <m/>
    <n v="0"/>
    <m/>
    <m/>
    <n v="0"/>
    <m/>
    <m/>
    <m/>
    <m/>
    <m/>
    <m/>
    <n v="100000"/>
    <n v="95000"/>
  </r>
  <r>
    <x v="0"/>
    <x v="3"/>
    <s v="Small Business Institute of Commerce"/>
    <m/>
    <n v="100751"/>
    <x v="0"/>
    <m/>
    <m/>
    <n v="628000"/>
    <n v="596600"/>
    <m/>
    <m/>
    <m/>
    <m/>
    <n v="0"/>
    <m/>
    <m/>
    <n v="0"/>
    <n v="628000"/>
    <n v="596600"/>
    <m/>
    <m/>
    <m/>
    <m/>
    <n v="0"/>
    <m/>
    <m/>
    <n v="0"/>
    <m/>
    <m/>
    <m/>
    <m/>
    <m/>
    <m/>
    <n v="628000"/>
    <n v="596600"/>
  </r>
  <r>
    <x v="0"/>
    <x v="3"/>
    <s v="Special Outreach PGM"/>
    <m/>
    <n v="100751"/>
    <x v="0"/>
    <m/>
    <m/>
    <n v="100000"/>
    <n v="95000"/>
    <m/>
    <m/>
    <m/>
    <m/>
    <n v="0"/>
    <m/>
    <m/>
    <n v="0"/>
    <n v="100000"/>
    <n v="95000"/>
    <m/>
    <m/>
    <m/>
    <m/>
    <n v="0"/>
    <m/>
    <m/>
    <n v="0"/>
    <m/>
    <m/>
    <m/>
    <m/>
    <m/>
    <m/>
    <n v="100000"/>
    <n v="95000"/>
  </r>
  <r>
    <x v="0"/>
    <x v="3"/>
    <s v="Institute for Automotive Eng"/>
    <m/>
    <n v="100751"/>
    <x v="0"/>
    <m/>
    <m/>
    <m/>
    <n v="500000"/>
    <m/>
    <m/>
    <m/>
    <m/>
    <n v="0"/>
    <m/>
    <m/>
    <n v="0"/>
    <n v="0"/>
    <n v="500000"/>
    <m/>
    <m/>
    <m/>
    <m/>
    <n v="0"/>
    <m/>
    <m/>
    <n v="0"/>
    <m/>
    <m/>
    <m/>
    <m/>
    <m/>
    <m/>
    <n v="0"/>
    <n v="500000"/>
  </r>
  <r>
    <x v="0"/>
    <x v="4"/>
    <s v="Non-credit continuing education"/>
    <m/>
    <n v="100751"/>
    <x v="0"/>
    <m/>
    <m/>
    <m/>
    <m/>
    <m/>
    <m/>
    <m/>
    <m/>
    <n v="0"/>
    <m/>
    <m/>
    <n v="0"/>
    <n v="0"/>
    <n v="0"/>
    <m/>
    <m/>
    <m/>
    <m/>
    <n v="0"/>
    <m/>
    <m/>
    <n v="0"/>
    <m/>
    <m/>
    <m/>
    <m/>
    <m/>
    <m/>
    <n v="0"/>
    <n v="0"/>
  </r>
  <r>
    <x v="0"/>
    <x v="4"/>
    <s v="Teacher In-service Center"/>
    <m/>
    <n v="100751"/>
    <x v="0"/>
    <m/>
    <m/>
    <n v="212117"/>
    <n v="203625"/>
    <m/>
    <m/>
    <m/>
    <m/>
    <n v="0"/>
    <m/>
    <m/>
    <n v="0"/>
    <n v="212117"/>
    <n v="203625"/>
    <m/>
    <m/>
    <m/>
    <m/>
    <n v="0"/>
    <m/>
    <m/>
    <n v="0"/>
    <m/>
    <m/>
    <m/>
    <m/>
    <m/>
    <m/>
    <n v="212117"/>
    <n v="203625"/>
  </r>
  <r>
    <x v="0"/>
    <x v="0"/>
    <s v="University of Alabama at Birmingham"/>
    <s v="Reclassified: met the criteria for Four-Year 2 in 2010-11, 2011-12, and 2012-13."/>
    <n v="100663"/>
    <x v="1"/>
    <n v="42554811"/>
    <n v="40806599"/>
    <m/>
    <m/>
    <m/>
    <m/>
    <n v="95869785"/>
    <m/>
    <n v="95869785"/>
    <n v="104706983"/>
    <m/>
    <n v="104706983"/>
    <n v="138424596"/>
    <n v="145513582"/>
    <m/>
    <m/>
    <m/>
    <m/>
    <n v="0"/>
    <m/>
    <m/>
    <n v="0"/>
    <m/>
    <m/>
    <m/>
    <m/>
    <m/>
    <m/>
    <n v="138424596"/>
    <n v="145513582"/>
  </r>
  <r>
    <x v="0"/>
    <x v="1"/>
    <s v="Health Professions Education"/>
    <m/>
    <n v="100663"/>
    <x v="1"/>
    <m/>
    <m/>
    <m/>
    <m/>
    <m/>
    <m/>
    <m/>
    <m/>
    <n v="0"/>
    <m/>
    <m/>
    <n v="0"/>
    <n v="0"/>
    <n v="0"/>
    <m/>
    <m/>
    <m/>
    <m/>
    <n v="0"/>
    <m/>
    <m/>
    <n v="0"/>
    <m/>
    <m/>
    <m/>
    <m/>
    <m/>
    <m/>
    <n v="0"/>
    <n v="0"/>
  </r>
  <r>
    <x v="0"/>
    <x v="1"/>
    <s v="Medical Center"/>
    <m/>
    <n v="100663"/>
    <x v="1"/>
    <m/>
    <m/>
    <m/>
    <m/>
    <m/>
    <m/>
    <m/>
    <m/>
    <n v="0"/>
    <m/>
    <m/>
    <n v="0"/>
    <n v="0"/>
    <n v="0"/>
    <m/>
    <m/>
    <m/>
    <m/>
    <n v="0"/>
    <m/>
    <m/>
    <n v="0"/>
    <n v="222208183"/>
    <n v="213966590"/>
    <n v="65849803"/>
    <m/>
    <n v="70477128"/>
    <m/>
    <n v="288057986"/>
    <n v="284443718"/>
  </r>
  <r>
    <x v="0"/>
    <x v="1"/>
    <s v="Chauncey-Sparks Mental Health Center"/>
    <m/>
    <n v="100663"/>
    <x v="1"/>
    <m/>
    <m/>
    <m/>
    <m/>
    <m/>
    <m/>
    <m/>
    <m/>
    <n v="0"/>
    <m/>
    <m/>
    <n v="0"/>
    <n v="0"/>
    <n v="0"/>
    <m/>
    <m/>
    <m/>
    <m/>
    <n v="0"/>
    <m/>
    <m/>
    <n v="0"/>
    <n v="3406977"/>
    <n v="3236628"/>
    <m/>
    <m/>
    <m/>
    <m/>
    <n v="3406977"/>
    <n v="3236628"/>
  </r>
  <r>
    <x v="0"/>
    <x v="1"/>
    <s v="James Cystic Fibrosis Ctr"/>
    <m/>
    <n v="100663"/>
    <x v="1"/>
    <m/>
    <m/>
    <m/>
    <m/>
    <m/>
    <m/>
    <m/>
    <m/>
    <n v="0"/>
    <m/>
    <m/>
    <n v="0"/>
    <n v="0"/>
    <n v="0"/>
    <m/>
    <m/>
    <m/>
    <m/>
    <n v="0"/>
    <m/>
    <m/>
    <n v="0"/>
    <m/>
    <m/>
    <m/>
    <m/>
    <m/>
    <m/>
    <n v="0"/>
    <n v="0"/>
  </r>
  <r>
    <x v="0"/>
    <x v="1"/>
    <s v="Diabetes Res Ctr"/>
    <m/>
    <n v="100663"/>
    <x v="1"/>
    <m/>
    <m/>
    <m/>
    <m/>
    <m/>
    <m/>
    <m/>
    <m/>
    <n v="0"/>
    <m/>
    <m/>
    <n v="0"/>
    <n v="0"/>
    <n v="0"/>
    <m/>
    <m/>
    <m/>
    <m/>
    <n v="0"/>
    <m/>
    <m/>
    <n v="0"/>
    <m/>
    <m/>
    <m/>
    <m/>
    <m/>
    <m/>
    <n v="0"/>
    <n v="0"/>
  </r>
  <r>
    <x v="0"/>
    <x v="3"/>
    <s v="Community or public service units"/>
    <m/>
    <n v="100663"/>
    <x v="1"/>
    <m/>
    <m/>
    <m/>
    <m/>
    <m/>
    <m/>
    <m/>
    <m/>
    <n v="0"/>
    <m/>
    <m/>
    <n v="0"/>
    <n v="0"/>
    <n v="0"/>
    <m/>
    <m/>
    <m/>
    <m/>
    <n v="0"/>
    <m/>
    <m/>
    <n v="0"/>
    <m/>
    <m/>
    <m/>
    <m/>
    <m/>
    <m/>
    <n v="0"/>
    <n v="0"/>
  </r>
  <r>
    <x v="0"/>
    <x v="3"/>
    <s v="Minority Bus Training Econ Dev Pgm"/>
    <m/>
    <n v="100663"/>
    <x v="1"/>
    <m/>
    <m/>
    <n v="396287"/>
    <n v="376473"/>
    <m/>
    <m/>
    <m/>
    <m/>
    <n v="0"/>
    <m/>
    <m/>
    <n v="0"/>
    <n v="396287"/>
    <n v="376473"/>
    <m/>
    <m/>
    <m/>
    <m/>
    <n v="0"/>
    <m/>
    <m/>
    <n v="0"/>
    <m/>
    <m/>
    <m/>
    <m/>
    <m/>
    <m/>
    <n v="396287"/>
    <n v="376473"/>
  </r>
  <r>
    <x v="0"/>
    <x v="3"/>
    <s v="High School Athletic Training Pgm"/>
    <m/>
    <n v="100663"/>
    <x v="1"/>
    <m/>
    <m/>
    <m/>
    <m/>
    <m/>
    <m/>
    <m/>
    <m/>
    <n v="0"/>
    <m/>
    <m/>
    <n v="0"/>
    <n v="0"/>
    <n v="0"/>
    <m/>
    <m/>
    <m/>
    <m/>
    <n v="0"/>
    <m/>
    <m/>
    <n v="0"/>
    <m/>
    <m/>
    <m/>
    <m/>
    <m/>
    <m/>
    <n v="0"/>
    <n v="0"/>
  </r>
  <r>
    <x v="0"/>
    <x v="4"/>
    <s v="Non-credit continuing education"/>
    <m/>
    <n v="100663"/>
    <x v="1"/>
    <m/>
    <m/>
    <m/>
    <m/>
    <m/>
    <m/>
    <m/>
    <m/>
    <n v="0"/>
    <m/>
    <m/>
    <n v="0"/>
    <n v="0"/>
    <n v="0"/>
    <m/>
    <m/>
    <m/>
    <m/>
    <n v="0"/>
    <m/>
    <m/>
    <n v="0"/>
    <m/>
    <m/>
    <m/>
    <m/>
    <m/>
    <m/>
    <n v="0"/>
    <n v="0"/>
  </r>
  <r>
    <x v="0"/>
    <x v="4"/>
    <s v="Teacher In-service Center"/>
    <m/>
    <n v="100663"/>
    <x v="1"/>
    <m/>
    <m/>
    <n v="293609"/>
    <n v="281923"/>
    <m/>
    <m/>
    <m/>
    <m/>
    <n v="0"/>
    <m/>
    <m/>
    <n v="0"/>
    <n v="293609"/>
    <n v="281923"/>
    <m/>
    <m/>
    <m/>
    <m/>
    <n v="0"/>
    <m/>
    <m/>
    <n v="0"/>
    <m/>
    <m/>
    <m/>
    <m/>
    <m/>
    <m/>
    <n v="293609"/>
    <n v="281923"/>
  </r>
  <r>
    <x v="0"/>
    <x v="0"/>
    <s v="University of Alabama in Huntsville"/>
    <m/>
    <n v="100706"/>
    <x v="1"/>
    <n v="43240587"/>
    <n v="42710964"/>
    <m/>
    <m/>
    <m/>
    <m/>
    <n v="67858529"/>
    <n v="360000"/>
    <n v="68218529"/>
    <n v="67105645"/>
    <n v="1080000"/>
    <n v="68185645"/>
    <n v="111099116"/>
    <n v="109816609"/>
    <m/>
    <m/>
    <m/>
    <m/>
    <n v="0"/>
    <m/>
    <m/>
    <n v="0"/>
    <m/>
    <m/>
    <m/>
    <m/>
    <m/>
    <m/>
    <n v="111099116"/>
    <n v="109816609"/>
  </r>
  <r>
    <x v="0"/>
    <x v="3"/>
    <s v="Community or public service units"/>
    <m/>
    <n v="100706"/>
    <x v="1"/>
    <m/>
    <m/>
    <m/>
    <m/>
    <m/>
    <m/>
    <m/>
    <m/>
    <n v="0"/>
    <m/>
    <m/>
    <n v="0"/>
    <n v="0"/>
    <n v="0"/>
    <m/>
    <m/>
    <m/>
    <m/>
    <n v="0"/>
    <m/>
    <m/>
    <n v="0"/>
    <m/>
    <m/>
    <m/>
    <m/>
    <m/>
    <m/>
    <n v="0"/>
    <n v="0"/>
  </r>
  <r>
    <x v="0"/>
    <x v="3"/>
    <s v="Climatology Prg"/>
    <m/>
    <n v="100706"/>
    <x v="1"/>
    <m/>
    <m/>
    <m/>
    <m/>
    <m/>
    <m/>
    <m/>
    <m/>
    <n v="0"/>
    <m/>
    <m/>
    <n v="0"/>
    <n v="0"/>
    <n v="0"/>
    <m/>
    <m/>
    <m/>
    <m/>
    <n v="0"/>
    <m/>
    <m/>
    <n v="0"/>
    <m/>
    <m/>
    <m/>
    <m/>
    <m/>
    <m/>
    <n v="0"/>
    <n v="0"/>
  </r>
  <r>
    <x v="0"/>
    <x v="0"/>
    <s v="Alabama Agricultural &amp; Mechanical University"/>
    <m/>
    <n v="100654"/>
    <x v="2"/>
    <n v="32367945"/>
    <n v="31573227"/>
    <m/>
    <m/>
    <m/>
    <m/>
    <n v="44596338"/>
    <n v="2516675"/>
    <n v="47113013"/>
    <n v="47400355"/>
    <n v="2516675"/>
    <n v="49917030"/>
    <n v="76964283"/>
    <n v="78973582"/>
    <m/>
    <m/>
    <m/>
    <m/>
    <n v="0"/>
    <m/>
    <m/>
    <n v="0"/>
    <m/>
    <m/>
    <m/>
    <m/>
    <m/>
    <m/>
    <n v="76964283"/>
    <n v="78973582"/>
  </r>
  <r>
    <x v="0"/>
    <x v="3"/>
    <s v="Community or public service units"/>
    <m/>
    <n v="100654"/>
    <x v="2"/>
    <m/>
    <m/>
    <m/>
    <m/>
    <m/>
    <m/>
    <m/>
    <m/>
    <n v="0"/>
    <m/>
    <m/>
    <n v="0"/>
    <n v="0"/>
    <n v="0"/>
    <m/>
    <m/>
    <m/>
    <m/>
    <n v="0"/>
    <m/>
    <m/>
    <n v="0"/>
    <m/>
    <m/>
    <m/>
    <m/>
    <m/>
    <m/>
    <n v="0"/>
    <n v="0"/>
  </r>
  <r>
    <x v="0"/>
    <x v="3"/>
    <s v="Black Archives Museum"/>
    <m/>
    <n v="100654"/>
    <x v="2"/>
    <m/>
    <m/>
    <m/>
    <m/>
    <m/>
    <m/>
    <m/>
    <m/>
    <n v="0"/>
    <m/>
    <m/>
    <n v="0"/>
    <n v="0"/>
    <n v="0"/>
    <m/>
    <m/>
    <m/>
    <m/>
    <n v="0"/>
    <m/>
    <m/>
    <n v="0"/>
    <m/>
    <m/>
    <m/>
    <m/>
    <m/>
    <m/>
    <n v="0"/>
    <n v="0"/>
  </r>
  <r>
    <x v="0"/>
    <x v="4"/>
    <s v="Non-credit continuing education"/>
    <m/>
    <n v="100654"/>
    <x v="2"/>
    <m/>
    <m/>
    <m/>
    <m/>
    <m/>
    <m/>
    <m/>
    <m/>
    <n v="0"/>
    <m/>
    <m/>
    <n v="0"/>
    <n v="0"/>
    <n v="0"/>
    <m/>
    <m/>
    <m/>
    <m/>
    <n v="0"/>
    <m/>
    <m/>
    <n v="0"/>
    <m/>
    <m/>
    <m/>
    <m/>
    <m/>
    <m/>
    <n v="0"/>
    <n v="0"/>
  </r>
  <r>
    <x v="0"/>
    <x v="4"/>
    <s v="Teacher In-service Center"/>
    <m/>
    <n v="100654"/>
    <x v="2"/>
    <m/>
    <m/>
    <n v="267596"/>
    <n v="256858"/>
    <m/>
    <m/>
    <m/>
    <m/>
    <n v="0"/>
    <m/>
    <m/>
    <n v="0"/>
    <n v="267596"/>
    <n v="256858"/>
    <m/>
    <m/>
    <m/>
    <m/>
    <n v="0"/>
    <m/>
    <m/>
    <n v="0"/>
    <m/>
    <m/>
    <m/>
    <m/>
    <m/>
    <m/>
    <n v="267596"/>
    <n v="256858"/>
  </r>
  <r>
    <x v="0"/>
    <x v="5"/>
    <s v="Agricultural"/>
    <m/>
    <n v="100654"/>
    <x v="2"/>
    <m/>
    <m/>
    <n v="5427434"/>
    <n v="5215567"/>
    <m/>
    <m/>
    <m/>
    <m/>
    <n v="0"/>
    <m/>
    <m/>
    <n v="0"/>
    <n v="5427434"/>
    <n v="5215567"/>
    <m/>
    <m/>
    <m/>
    <m/>
    <n v="0"/>
    <m/>
    <m/>
    <n v="0"/>
    <m/>
    <m/>
    <m/>
    <m/>
    <m/>
    <m/>
    <n v="5427434"/>
    <n v="5215567"/>
  </r>
  <r>
    <x v="0"/>
    <x v="5"/>
    <s v="AL Agricultural LG Alliance"/>
    <m/>
    <n v="100654"/>
    <x v="2"/>
    <m/>
    <m/>
    <n v="2205658"/>
    <n v="2153416"/>
    <m/>
    <m/>
    <m/>
    <m/>
    <n v="0"/>
    <m/>
    <m/>
    <n v="0"/>
    <n v="2205658"/>
    <n v="2153416"/>
    <m/>
    <m/>
    <m/>
    <m/>
    <n v="0"/>
    <m/>
    <m/>
    <n v="0"/>
    <m/>
    <m/>
    <m/>
    <m/>
    <m/>
    <m/>
    <n v="2205658"/>
    <n v="2153416"/>
  </r>
  <r>
    <x v="0"/>
    <x v="0"/>
    <s v="Jacksonville State University "/>
    <m/>
    <n v="101480"/>
    <x v="2"/>
    <n v="36043099"/>
    <n v="34601375"/>
    <m/>
    <m/>
    <m/>
    <m/>
    <n v="56136566"/>
    <n v="5615957"/>
    <n v="61752523"/>
    <n v="57666467"/>
    <n v="6134961"/>
    <n v="63801428"/>
    <n v="92179665"/>
    <n v="92267842"/>
    <m/>
    <m/>
    <m/>
    <m/>
    <n v="0"/>
    <m/>
    <m/>
    <n v="0"/>
    <m/>
    <m/>
    <m/>
    <m/>
    <m/>
    <m/>
    <n v="92179665"/>
    <n v="92267842"/>
  </r>
  <r>
    <x v="0"/>
    <x v="3"/>
    <s v="Community or public service units"/>
    <m/>
    <n v="101480"/>
    <x v="2"/>
    <m/>
    <m/>
    <m/>
    <m/>
    <m/>
    <m/>
    <m/>
    <m/>
    <n v="0"/>
    <m/>
    <m/>
    <n v="0"/>
    <n v="0"/>
    <n v="0"/>
    <m/>
    <m/>
    <m/>
    <m/>
    <n v="0"/>
    <m/>
    <m/>
    <n v="0"/>
    <m/>
    <m/>
    <m/>
    <m/>
    <m/>
    <m/>
    <n v="0"/>
    <n v="0"/>
  </r>
  <r>
    <x v="0"/>
    <x v="3"/>
    <s v="AL Small Business Institute of Commerce"/>
    <m/>
    <n v="101480"/>
    <x v="2"/>
    <m/>
    <m/>
    <m/>
    <m/>
    <m/>
    <m/>
    <m/>
    <m/>
    <n v="0"/>
    <m/>
    <m/>
    <n v="0"/>
    <n v="0"/>
    <n v="0"/>
    <m/>
    <m/>
    <m/>
    <m/>
    <n v="0"/>
    <m/>
    <m/>
    <n v="0"/>
    <m/>
    <m/>
    <m/>
    <m/>
    <m/>
    <m/>
    <n v="0"/>
    <n v="0"/>
  </r>
  <r>
    <x v="0"/>
    <x v="3"/>
    <s v="Wellness Initiative"/>
    <m/>
    <n v="101480"/>
    <x v="2"/>
    <m/>
    <m/>
    <m/>
    <m/>
    <m/>
    <m/>
    <m/>
    <m/>
    <n v="0"/>
    <m/>
    <m/>
    <n v="0"/>
    <n v="0"/>
    <n v="0"/>
    <m/>
    <m/>
    <m/>
    <m/>
    <n v="0"/>
    <m/>
    <m/>
    <n v="0"/>
    <m/>
    <m/>
    <m/>
    <m/>
    <m/>
    <m/>
    <n v="0"/>
    <n v="0"/>
  </r>
  <r>
    <x v="0"/>
    <x v="3"/>
    <s v="Little River Canyon Field School"/>
    <m/>
    <n v="101480"/>
    <x v="2"/>
    <m/>
    <m/>
    <n v="198140"/>
    <n v="188233"/>
    <m/>
    <m/>
    <m/>
    <m/>
    <n v="0"/>
    <m/>
    <m/>
    <n v="0"/>
    <n v="198140"/>
    <n v="188233"/>
    <m/>
    <m/>
    <m/>
    <m/>
    <n v="0"/>
    <m/>
    <m/>
    <n v="0"/>
    <m/>
    <m/>
    <m/>
    <m/>
    <m/>
    <m/>
    <n v="198140"/>
    <n v="188233"/>
  </r>
  <r>
    <x v="0"/>
    <x v="3"/>
    <s v="AL Film Initiative"/>
    <m/>
    <n v="101480"/>
    <x v="2"/>
    <m/>
    <m/>
    <n v="448625"/>
    <n v="426194"/>
    <m/>
    <m/>
    <m/>
    <m/>
    <n v="0"/>
    <m/>
    <m/>
    <n v="0"/>
    <n v="448625"/>
    <n v="426194"/>
    <m/>
    <m/>
    <m/>
    <m/>
    <n v="0"/>
    <m/>
    <m/>
    <n v="0"/>
    <m/>
    <m/>
    <m/>
    <m/>
    <m/>
    <m/>
    <n v="448625"/>
    <n v="426194"/>
  </r>
  <r>
    <x v="0"/>
    <x v="3"/>
    <s v="AL Scenic River Trail"/>
    <m/>
    <n v="101480"/>
    <x v="2"/>
    <m/>
    <m/>
    <m/>
    <n v="100000"/>
    <m/>
    <m/>
    <m/>
    <m/>
    <n v="0"/>
    <m/>
    <m/>
    <n v="0"/>
    <n v="0"/>
    <n v="100000"/>
    <m/>
    <m/>
    <m/>
    <m/>
    <n v="0"/>
    <m/>
    <m/>
    <n v="0"/>
    <m/>
    <m/>
    <m/>
    <m/>
    <m/>
    <m/>
    <n v="0"/>
    <n v="100000"/>
  </r>
  <r>
    <x v="0"/>
    <x v="4"/>
    <s v="Non-credit continuing education"/>
    <m/>
    <n v="101480"/>
    <x v="2"/>
    <m/>
    <m/>
    <m/>
    <m/>
    <m/>
    <m/>
    <m/>
    <m/>
    <n v="0"/>
    <m/>
    <m/>
    <n v="0"/>
    <n v="0"/>
    <n v="0"/>
    <m/>
    <m/>
    <m/>
    <m/>
    <n v="0"/>
    <m/>
    <m/>
    <n v="0"/>
    <m/>
    <m/>
    <m/>
    <m/>
    <m/>
    <m/>
    <n v="0"/>
    <n v="0"/>
  </r>
  <r>
    <x v="0"/>
    <x v="4"/>
    <s v="Teacher In-service Center"/>
    <m/>
    <n v="101480"/>
    <x v="2"/>
    <m/>
    <m/>
    <n v="227860"/>
    <n v="218872"/>
    <m/>
    <m/>
    <m/>
    <m/>
    <n v="0"/>
    <m/>
    <m/>
    <n v="0"/>
    <n v="227860"/>
    <n v="218872"/>
    <m/>
    <m/>
    <m/>
    <m/>
    <n v="0"/>
    <m/>
    <m/>
    <n v="0"/>
    <m/>
    <m/>
    <m/>
    <m/>
    <m/>
    <m/>
    <n v="227860"/>
    <n v="218872"/>
  </r>
  <r>
    <x v="0"/>
    <x v="0"/>
    <s v="Troy University"/>
    <m/>
    <n v="102368"/>
    <x v="2"/>
    <n v="46236179"/>
    <n v="44635439"/>
    <m/>
    <m/>
    <m/>
    <m/>
    <n v="68000788"/>
    <n v="9907146"/>
    <n v="77907934"/>
    <n v="77243827"/>
    <n v="9894362"/>
    <n v="87138189"/>
    <n v="114236967"/>
    <n v="121879266"/>
    <m/>
    <m/>
    <m/>
    <m/>
    <n v="0"/>
    <m/>
    <m/>
    <n v="0"/>
    <m/>
    <m/>
    <m/>
    <m/>
    <m/>
    <m/>
    <n v="114236967"/>
    <n v="121879266"/>
  </r>
  <r>
    <x v="0"/>
    <x v="3"/>
    <s v="Community or public service units"/>
    <m/>
    <n v="102368"/>
    <x v="2"/>
    <m/>
    <m/>
    <m/>
    <m/>
    <m/>
    <m/>
    <m/>
    <m/>
    <n v="0"/>
    <m/>
    <m/>
    <n v="0"/>
    <n v="0"/>
    <n v="0"/>
    <m/>
    <m/>
    <m/>
    <m/>
    <n v="0"/>
    <m/>
    <m/>
    <n v="0"/>
    <m/>
    <m/>
    <m/>
    <m/>
    <m/>
    <m/>
    <n v="0"/>
    <n v="0"/>
  </r>
  <r>
    <x v="0"/>
    <x v="3"/>
    <s v="Ctr for International Bus &amp; Econ Development"/>
    <m/>
    <n v="102368"/>
    <x v="2"/>
    <m/>
    <m/>
    <n v="39628"/>
    <n v="37647"/>
    <m/>
    <m/>
    <m/>
    <m/>
    <n v="0"/>
    <m/>
    <m/>
    <n v="0"/>
    <n v="39628"/>
    <n v="37647"/>
    <m/>
    <m/>
    <m/>
    <m/>
    <n v="0"/>
    <m/>
    <m/>
    <n v="0"/>
    <m/>
    <m/>
    <m/>
    <m/>
    <m/>
    <m/>
    <n v="39628"/>
    <n v="37647"/>
  </r>
  <r>
    <x v="0"/>
    <x v="3"/>
    <s v="Transfer Ag Center Board"/>
    <m/>
    <n v="102368"/>
    <x v="2"/>
    <m/>
    <m/>
    <m/>
    <n v="250000"/>
    <m/>
    <m/>
    <m/>
    <m/>
    <n v="0"/>
    <m/>
    <m/>
    <n v="0"/>
    <n v="0"/>
    <n v="250000"/>
    <m/>
    <m/>
    <m/>
    <m/>
    <n v="0"/>
    <m/>
    <m/>
    <n v="0"/>
    <m/>
    <m/>
    <m/>
    <m/>
    <m/>
    <m/>
    <n v="0"/>
    <n v="250000"/>
  </r>
  <r>
    <x v="0"/>
    <x v="4"/>
    <s v="Non-credit continuing education"/>
    <m/>
    <n v="102368"/>
    <x v="2"/>
    <m/>
    <m/>
    <m/>
    <m/>
    <m/>
    <m/>
    <m/>
    <m/>
    <n v="0"/>
    <m/>
    <m/>
    <n v="0"/>
    <n v="0"/>
    <n v="0"/>
    <m/>
    <m/>
    <m/>
    <m/>
    <n v="0"/>
    <m/>
    <m/>
    <n v="0"/>
    <m/>
    <m/>
    <m/>
    <m/>
    <m/>
    <m/>
    <n v="0"/>
    <n v="0"/>
  </r>
  <r>
    <x v="0"/>
    <x v="4"/>
    <s v="Teacher In-service Center"/>
    <m/>
    <n v="102368"/>
    <x v="2"/>
    <m/>
    <m/>
    <n v="242043"/>
    <n v="232309"/>
    <m/>
    <m/>
    <m/>
    <m/>
    <n v="0"/>
    <m/>
    <m/>
    <n v="0"/>
    <n v="242043"/>
    <n v="232309"/>
    <m/>
    <m/>
    <m/>
    <m/>
    <n v="0"/>
    <m/>
    <m/>
    <n v="0"/>
    <m/>
    <m/>
    <m/>
    <m/>
    <m/>
    <m/>
    <n v="242043"/>
    <n v="232309"/>
  </r>
  <r>
    <x v="0"/>
    <x v="0"/>
    <s v="University of South Alabama"/>
    <m/>
    <n v="102094"/>
    <x v="2"/>
    <n v="30596650"/>
    <n v="29161818"/>
    <m/>
    <m/>
    <m/>
    <m/>
    <n v="57036781"/>
    <n v="13718456"/>
    <n v="70755237"/>
    <n v="58299724"/>
    <n v="14022219"/>
    <n v="72321943"/>
    <n v="87633431"/>
    <n v="87461542"/>
    <m/>
    <m/>
    <m/>
    <m/>
    <n v="0"/>
    <m/>
    <m/>
    <n v="0"/>
    <m/>
    <m/>
    <m/>
    <m/>
    <m/>
    <m/>
    <n v="87633431"/>
    <n v="87461542"/>
  </r>
  <r>
    <x v="0"/>
    <x v="1"/>
    <s v="Health Professions Education"/>
    <m/>
    <n v="102094"/>
    <x v="2"/>
    <m/>
    <m/>
    <m/>
    <m/>
    <m/>
    <m/>
    <m/>
    <m/>
    <n v="0"/>
    <m/>
    <m/>
    <n v="0"/>
    <n v="0"/>
    <n v="0"/>
    <m/>
    <m/>
    <m/>
    <m/>
    <n v="0"/>
    <m/>
    <m/>
    <n v="0"/>
    <m/>
    <m/>
    <m/>
    <m/>
    <m/>
    <m/>
    <n v="0"/>
    <n v="0"/>
  </r>
  <r>
    <x v="0"/>
    <x v="1"/>
    <s v="Medical Center"/>
    <m/>
    <n v="102094"/>
    <x v="2"/>
    <m/>
    <m/>
    <m/>
    <m/>
    <m/>
    <m/>
    <m/>
    <m/>
    <n v="0"/>
    <m/>
    <m/>
    <n v="0"/>
    <n v="0"/>
    <n v="0"/>
    <m/>
    <m/>
    <m/>
    <m/>
    <n v="0"/>
    <m/>
    <m/>
    <n v="0"/>
    <n v="74794021"/>
    <n v="72133226"/>
    <n v="39556684"/>
    <m/>
    <n v="40432573"/>
    <m/>
    <n v="114350705"/>
    <n v="112565799"/>
  </r>
  <r>
    <x v="0"/>
    <x v="4"/>
    <s v="Non-credit continuing education"/>
    <m/>
    <n v="102094"/>
    <x v="2"/>
    <m/>
    <m/>
    <m/>
    <m/>
    <m/>
    <m/>
    <m/>
    <m/>
    <n v="0"/>
    <m/>
    <m/>
    <n v="0"/>
    <n v="0"/>
    <n v="0"/>
    <m/>
    <m/>
    <m/>
    <m/>
    <n v="0"/>
    <m/>
    <m/>
    <n v="0"/>
    <m/>
    <m/>
    <m/>
    <m/>
    <m/>
    <m/>
    <n v="0"/>
    <n v="0"/>
  </r>
  <r>
    <x v="0"/>
    <x v="4"/>
    <s v="Teacher In-service Center"/>
    <m/>
    <n v="102094"/>
    <x v="2"/>
    <m/>
    <m/>
    <n v="314887"/>
    <n v="302337"/>
    <m/>
    <m/>
    <m/>
    <m/>
    <n v="0"/>
    <m/>
    <m/>
    <n v="0"/>
    <n v="314887"/>
    <n v="302337"/>
    <m/>
    <m/>
    <m/>
    <m/>
    <n v="0"/>
    <m/>
    <m/>
    <n v="0"/>
    <m/>
    <m/>
    <m/>
    <m/>
    <m/>
    <m/>
    <n v="314887"/>
    <n v="302337"/>
  </r>
  <r>
    <x v="0"/>
    <x v="0"/>
    <s v="Alabama State University "/>
    <m/>
    <n v="100724"/>
    <x v="3"/>
    <n v="42611872"/>
    <n v="40907397"/>
    <m/>
    <m/>
    <m/>
    <m/>
    <n v="40234483"/>
    <n v="12341540"/>
    <n v="52576023"/>
    <n v="42111543"/>
    <n v="16141000"/>
    <n v="58252543"/>
    <n v="82846355"/>
    <n v="83018940"/>
    <m/>
    <m/>
    <m/>
    <m/>
    <n v="0"/>
    <m/>
    <m/>
    <n v="0"/>
    <m/>
    <m/>
    <m/>
    <m/>
    <m/>
    <m/>
    <n v="82846355"/>
    <n v="83018940"/>
  </r>
  <r>
    <x v="0"/>
    <x v="3"/>
    <s v="Community or public service units"/>
    <m/>
    <n v="100724"/>
    <x v="3"/>
    <m/>
    <m/>
    <m/>
    <m/>
    <m/>
    <m/>
    <m/>
    <m/>
    <n v="0"/>
    <m/>
    <m/>
    <n v="0"/>
    <n v="0"/>
    <n v="0"/>
    <m/>
    <m/>
    <m/>
    <m/>
    <n v="0"/>
    <m/>
    <m/>
    <n v="0"/>
    <m/>
    <m/>
    <m/>
    <m/>
    <m/>
    <m/>
    <n v="0"/>
    <n v="0"/>
  </r>
  <r>
    <x v="0"/>
    <x v="3"/>
    <s v="Cooperative Efforts to Enhance Community Ed Institute"/>
    <m/>
    <n v="100724"/>
    <x v="3"/>
    <m/>
    <m/>
    <m/>
    <m/>
    <m/>
    <m/>
    <m/>
    <m/>
    <n v="0"/>
    <m/>
    <m/>
    <n v="0"/>
    <n v="0"/>
    <n v="0"/>
    <m/>
    <m/>
    <m/>
    <m/>
    <n v="0"/>
    <m/>
    <m/>
    <n v="0"/>
    <m/>
    <m/>
    <m/>
    <m/>
    <m/>
    <m/>
    <n v="0"/>
    <n v="0"/>
  </r>
  <r>
    <x v="0"/>
    <x v="3"/>
    <s v="Minority Technology Network"/>
    <m/>
    <n v="100724"/>
    <x v="3"/>
    <m/>
    <m/>
    <m/>
    <m/>
    <m/>
    <m/>
    <m/>
    <m/>
    <n v="0"/>
    <m/>
    <m/>
    <n v="0"/>
    <n v="0"/>
    <n v="0"/>
    <m/>
    <m/>
    <m/>
    <m/>
    <n v="0"/>
    <m/>
    <m/>
    <n v="0"/>
    <m/>
    <m/>
    <m/>
    <m/>
    <m/>
    <m/>
    <n v="0"/>
    <n v="0"/>
  </r>
  <r>
    <x v="0"/>
    <x v="4"/>
    <s v="Non-credit continuing education"/>
    <m/>
    <n v="100724"/>
    <x v="3"/>
    <m/>
    <m/>
    <m/>
    <m/>
    <m/>
    <m/>
    <m/>
    <m/>
    <n v="0"/>
    <m/>
    <m/>
    <n v="0"/>
    <n v="0"/>
    <n v="0"/>
    <m/>
    <m/>
    <m/>
    <m/>
    <n v="0"/>
    <m/>
    <m/>
    <n v="0"/>
    <m/>
    <m/>
    <m/>
    <m/>
    <m/>
    <m/>
    <n v="0"/>
    <n v="0"/>
  </r>
  <r>
    <x v="0"/>
    <x v="4"/>
    <s v="Teacher In-service Center"/>
    <m/>
    <n v="100724"/>
    <x v="3"/>
    <m/>
    <m/>
    <n v="230610"/>
    <n v="221456"/>
    <m/>
    <m/>
    <m/>
    <m/>
    <n v="0"/>
    <m/>
    <m/>
    <n v="0"/>
    <n v="230610"/>
    <n v="221456"/>
    <m/>
    <m/>
    <m/>
    <m/>
    <n v="0"/>
    <m/>
    <m/>
    <n v="0"/>
    <m/>
    <m/>
    <m/>
    <m/>
    <m/>
    <m/>
    <n v="230610"/>
    <n v="221456"/>
  </r>
  <r>
    <x v="0"/>
    <x v="0"/>
    <s v="Auburn University at Montgomery"/>
    <m/>
    <n v="100830"/>
    <x v="3"/>
    <n v="22742448"/>
    <n v="21832750"/>
    <m/>
    <m/>
    <m/>
    <m/>
    <n v="31986856"/>
    <n v="4446297"/>
    <n v="36433153"/>
    <n v="31501935"/>
    <n v="5018699"/>
    <n v="36520634"/>
    <n v="54729304"/>
    <n v="53334685"/>
    <m/>
    <m/>
    <m/>
    <m/>
    <n v="0"/>
    <m/>
    <m/>
    <n v="0"/>
    <m/>
    <m/>
    <m/>
    <m/>
    <m/>
    <m/>
    <n v="54729304"/>
    <n v="53334685"/>
  </r>
  <r>
    <x v="0"/>
    <x v="3"/>
    <s v="Community or public service units"/>
    <m/>
    <n v="100830"/>
    <x v="3"/>
    <m/>
    <m/>
    <m/>
    <m/>
    <m/>
    <m/>
    <m/>
    <m/>
    <n v="0"/>
    <m/>
    <m/>
    <n v="0"/>
    <n v="0"/>
    <n v="0"/>
    <m/>
    <m/>
    <m/>
    <m/>
    <n v="0"/>
    <m/>
    <m/>
    <n v="0"/>
    <m/>
    <m/>
    <m/>
    <m/>
    <m/>
    <m/>
    <n v="0"/>
    <n v="0"/>
  </r>
  <r>
    <x v="0"/>
    <x v="3"/>
    <s v="S.E.R.I.E.S. Pgm"/>
    <m/>
    <n v="100830"/>
    <x v="3"/>
    <m/>
    <m/>
    <m/>
    <m/>
    <m/>
    <m/>
    <m/>
    <m/>
    <n v="0"/>
    <m/>
    <m/>
    <n v="0"/>
    <n v="0"/>
    <n v="0"/>
    <m/>
    <m/>
    <m/>
    <m/>
    <n v="0"/>
    <m/>
    <m/>
    <n v="0"/>
    <m/>
    <m/>
    <m/>
    <m/>
    <m/>
    <m/>
    <n v="0"/>
    <n v="0"/>
  </r>
  <r>
    <x v="0"/>
    <x v="3"/>
    <s v="Implementation of SMART Budgeting"/>
    <m/>
    <n v="100830"/>
    <x v="3"/>
    <m/>
    <m/>
    <m/>
    <m/>
    <m/>
    <m/>
    <m/>
    <m/>
    <n v="0"/>
    <m/>
    <m/>
    <n v="0"/>
    <n v="0"/>
    <n v="0"/>
    <m/>
    <m/>
    <m/>
    <m/>
    <n v="0"/>
    <m/>
    <m/>
    <n v="0"/>
    <m/>
    <m/>
    <m/>
    <m/>
    <m/>
    <m/>
    <n v="0"/>
    <n v="0"/>
  </r>
  <r>
    <x v="0"/>
    <x v="3"/>
    <s v="GAAT/CPM Prm"/>
    <m/>
    <n v="100830"/>
    <x v="3"/>
    <m/>
    <m/>
    <m/>
    <m/>
    <m/>
    <m/>
    <m/>
    <m/>
    <n v="0"/>
    <m/>
    <m/>
    <n v="0"/>
    <n v="0"/>
    <n v="0"/>
    <m/>
    <m/>
    <m/>
    <m/>
    <n v="0"/>
    <m/>
    <m/>
    <n v="0"/>
    <m/>
    <m/>
    <m/>
    <m/>
    <m/>
    <m/>
    <n v="0"/>
    <n v="0"/>
  </r>
  <r>
    <x v="0"/>
    <x v="3"/>
    <s v="Senior Resource Center"/>
    <m/>
    <n v="100830"/>
    <x v="3"/>
    <m/>
    <m/>
    <n v="120964"/>
    <n v="114915"/>
    <m/>
    <m/>
    <m/>
    <m/>
    <n v="0"/>
    <m/>
    <m/>
    <n v="0"/>
    <n v="120964"/>
    <n v="114915"/>
    <m/>
    <m/>
    <m/>
    <m/>
    <n v="0"/>
    <m/>
    <m/>
    <n v="0"/>
    <m/>
    <m/>
    <m/>
    <m/>
    <m/>
    <m/>
    <n v="120964"/>
    <n v="114915"/>
  </r>
  <r>
    <x v="0"/>
    <x v="3"/>
    <s v="Judicial College"/>
    <m/>
    <n v="100830"/>
    <x v="3"/>
    <m/>
    <m/>
    <m/>
    <m/>
    <m/>
    <m/>
    <m/>
    <m/>
    <n v="0"/>
    <m/>
    <m/>
    <n v="0"/>
    <n v="0"/>
    <n v="0"/>
    <m/>
    <m/>
    <m/>
    <m/>
    <n v="0"/>
    <m/>
    <m/>
    <n v="0"/>
    <m/>
    <m/>
    <m/>
    <m/>
    <m/>
    <m/>
    <n v="0"/>
    <n v="0"/>
  </r>
  <r>
    <x v="0"/>
    <x v="0"/>
    <s v="University of North Alabama"/>
    <m/>
    <n v="101879"/>
    <x v="3"/>
    <n v="25796342"/>
    <n v="24764488"/>
    <m/>
    <m/>
    <m/>
    <m/>
    <n v="42208202"/>
    <n v="1957541"/>
    <n v="44165743"/>
    <n v="44391408"/>
    <n v="1957541"/>
    <n v="46348949"/>
    <n v="68004544"/>
    <n v="69155896"/>
    <m/>
    <m/>
    <m/>
    <m/>
    <n v="0"/>
    <m/>
    <m/>
    <n v="0"/>
    <m/>
    <m/>
    <m/>
    <m/>
    <m/>
    <m/>
    <n v="68004544"/>
    <n v="69155896"/>
  </r>
  <r>
    <x v="0"/>
    <x v="4"/>
    <s v="Non-credit continuing education"/>
    <m/>
    <n v="101879"/>
    <x v="3"/>
    <m/>
    <m/>
    <m/>
    <m/>
    <m/>
    <m/>
    <m/>
    <m/>
    <n v="0"/>
    <m/>
    <m/>
    <n v="0"/>
    <n v="0"/>
    <n v="0"/>
    <m/>
    <m/>
    <m/>
    <m/>
    <n v="0"/>
    <m/>
    <m/>
    <n v="0"/>
    <m/>
    <m/>
    <m/>
    <m/>
    <m/>
    <m/>
    <n v="0"/>
    <n v="0"/>
  </r>
  <r>
    <x v="0"/>
    <x v="4"/>
    <s v="Teacher In-service Center"/>
    <m/>
    <n v="101879"/>
    <x v="3"/>
    <m/>
    <m/>
    <n v="207330"/>
    <n v="198974"/>
    <m/>
    <m/>
    <m/>
    <m/>
    <n v="0"/>
    <m/>
    <m/>
    <n v="0"/>
    <n v="207330"/>
    <n v="198974"/>
    <m/>
    <m/>
    <m/>
    <m/>
    <n v="0"/>
    <m/>
    <m/>
    <n v="0"/>
    <m/>
    <m/>
    <m/>
    <m/>
    <m/>
    <m/>
    <n v="207330"/>
    <n v="198974"/>
  </r>
  <r>
    <x v="0"/>
    <x v="0"/>
    <s v="University of Montevallo"/>
    <m/>
    <n v="101709"/>
    <x v="4"/>
    <n v="18282759"/>
    <n v="17551449"/>
    <m/>
    <m/>
    <m/>
    <m/>
    <n v="25321616"/>
    <m/>
    <n v="25321616"/>
    <n v="27257483"/>
    <m/>
    <n v="27257483"/>
    <n v="43604375"/>
    <n v="44808932"/>
    <m/>
    <m/>
    <m/>
    <m/>
    <n v="0"/>
    <m/>
    <m/>
    <n v="0"/>
    <m/>
    <m/>
    <m/>
    <m/>
    <m/>
    <m/>
    <n v="43604375"/>
    <n v="44808932"/>
  </r>
  <r>
    <x v="0"/>
    <x v="4"/>
    <s v="Non-credit continuing education"/>
    <m/>
    <n v="101709"/>
    <x v="4"/>
    <m/>
    <m/>
    <m/>
    <m/>
    <m/>
    <m/>
    <m/>
    <m/>
    <n v="0"/>
    <m/>
    <m/>
    <n v="0"/>
    <n v="0"/>
    <n v="0"/>
    <m/>
    <m/>
    <m/>
    <m/>
    <n v="0"/>
    <m/>
    <m/>
    <n v="0"/>
    <m/>
    <m/>
    <m/>
    <m/>
    <m/>
    <m/>
    <n v="0"/>
    <n v="0"/>
  </r>
  <r>
    <x v="0"/>
    <x v="4"/>
    <s v="Teacher In-service Center"/>
    <m/>
    <n v="101709"/>
    <x v="4"/>
    <m/>
    <m/>
    <n v="239469"/>
    <n v="229983"/>
    <m/>
    <m/>
    <m/>
    <m/>
    <n v="0"/>
    <m/>
    <m/>
    <n v="0"/>
    <n v="239469"/>
    <n v="229983"/>
    <m/>
    <m/>
    <m/>
    <m/>
    <n v="0"/>
    <m/>
    <m/>
    <n v="0"/>
    <m/>
    <m/>
    <m/>
    <m/>
    <m/>
    <m/>
    <n v="239469"/>
    <n v="229983"/>
  </r>
  <r>
    <x v="0"/>
    <x v="0"/>
    <s v="University of West Alabama"/>
    <m/>
    <n v="101587"/>
    <x v="4"/>
    <n v="12629858"/>
    <n v="12224664"/>
    <m/>
    <m/>
    <m/>
    <m/>
    <n v="10940142"/>
    <m/>
    <n v="10940142"/>
    <n v="12500691"/>
    <m/>
    <n v="12500691"/>
    <n v="23570000"/>
    <n v="24725355"/>
    <m/>
    <m/>
    <m/>
    <m/>
    <n v="0"/>
    <m/>
    <m/>
    <n v="0"/>
    <m/>
    <m/>
    <m/>
    <m/>
    <m/>
    <m/>
    <n v="23570000"/>
    <n v="24725355"/>
  </r>
  <r>
    <x v="0"/>
    <x v="3"/>
    <s v="Community or public service units"/>
    <m/>
    <n v="101587"/>
    <x v="4"/>
    <m/>
    <m/>
    <m/>
    <m/>
    <m/>
    <m/>
    <m/>
    <m/>
    <n v="0"/>
    <m/>
    <m/>
    <n v="0"/>
    <n v="0"/>
    <n v="0"/>
    <m/>
    <m/>
    <m/>
    <m/>
    <n v="0"/>
    <m/>
    <m/>
    <n v="0"/>
    <m/>
    <m/>
    <m/>
    <m/>
    <m/>
    <m/>
    <n v="0"/>
    <n v="0"/>
  </r>
  <r>
    <x v="0"/>
    <x v="3"/>
    <s v="AL Medical Ed Consortium"/>
    <m/>
    <n v="101587"/>
    <x v="4"/>
    <m/>
    <m/>
    <n v="690652"/>
    <n v="690652"/>
    <m/>
    <m/>
    <m/>
    <m/>
    <n v="0"/>
    <m/>
    <m/>
    <n v="0"/>
    <n v="690652"/>
    <n v="690652"/>
    <m/>
    <m/>
    <m/>
    <m/>
    <n v="0"/>
    <m/>
    <m/>
    <n v="0"/>
    <m/>
    <m/>
    <m/>
    <m/>
    <m/>
    <m/>
    <n v="690652"/>
    <n v="690652"/>
  </r>
  <r>
    <x v="0"/>
    <x v="3"/>
    <s v="Econ &amp; Small Bus Devel Prm"/>
    <m/>
    <n v="101587"/>
    <x v="4"/>
    <m/>
    <m/>
    <n v="198143"/>
    <n v="188236"/>
    <m/>
    <m/>
    <m/>
    <m/>
    <n v="0"/>
    <m/>
    <m/>
    <n v="0"/>
    <n v="198143"/>
    <n v="188236"/>
    <m/>
    <m/>
    <m/>
    <m/>
    <n v="0"/>
    <m/>
    <m/>
    <n v="0"/>
    <m/>
    <m/>
    <m/>
    <m/>
    <m/>
    <m/>
    <n v="198143"/>
    <n v="188236"/>
  </r>
  <r>
    <x v="0"/>
    <x v="3"/>
    <s v="Regional Wellness &amp; Fitness Center"/>
    <m/>
    <n v="101587"/>
    <x v="4"/>
    <m/>
    <m/>
    <m/>
    <m/>
    <m/>
    <m/>
    <m/>
    <m/>
    <n v="0"/>
    <m/>
    <m/>
    <n v="0"/>
    <n v="0"/>
    <n v="0"/>
    <m/>
    <m/>
    <m/>
    <m/>
    <n v="0"/>
    <m/>
    <m/>
    <n v="0"/>
    <m/>
    <m/>
    <m/>
    <m/>
    <m/>
    <m/>
    <n v="0"/>
    <n v="0"/>
  </r>
  <r>
    <x v="0"/>
    <x v="3"/>
    <s v="Black Belt Treasures Initiative"/>
    <m/>
    <n v="101587"/>
    <x v="4"/>
    <m/>
    <m/>
    <m/>
    <m/>
    <m/>
    <m/>
    <m/>
    <m/>
    <n v="0"/>
    <m/>
    <m/>
    <n v="0"/>
    <n v="0"/>
    <n v="0"/>
    <m/>
    <m/>
    <m/>
    <m/>
    <n v="0"/>
    <m/>
    <m/>
    <n v="0"/>
    <m/>
    <m/>
    <m/>
    <m/>
    <m/>
    <m/>
    <n v="0"/>
    <n v="0"/>
  </r>
  <r>
    <x v="0"/>
    <x v="3"/>
    <s v="National Young Farmers Ed Assoc"/>
    <m/>
    <n v="101587"/>
    <x v="4"/>
    <m/>
    <m/>
    <m/>
    <m/>
    <m/>
    <m/>
    <m/>
    <m/>
    <n v="0"/>
    <m/>
    <m/>
    <n v="0"/>
    <n v="0"/>
    <n v="0"/>
    <m/>
    <m/>
    <m/>
    <m/>
    <n v="0"/>
    <m/>
    <m/>
    <n v="0"/>
    <m/>
    <m/>
    <m/>
    <m/>
    <m/>
    <m/>
    <n v="0"/>
    <n v="0"/>
  </r>
  <r>
    <x v="0"/>
    <x v="3"/>
    <s v="Office of International Pgms"/>
    <m/>
    <n v="101587"/>
    <x v="4"/>
    <m/>
    <m/>
    <m/>
    <m/>
    <m/>
    <m/>
    <m/>
    <m/>
    <n v="0"/>
    <m/>
    <m/>
    <n v="0"/>
    <n v="0"/>
    <n v="0"/>
    <m/>
    <m/>
    <m/>
    <m/>
    <n v="0"/>
    <m/>
    <m/>
    <n v="0"/>
    <m/>
    <m/>
    <m/>
    <m/>
    <m/>
    <m/>
    <n v="0"/>
    <n v="0"/>
  </r>
  <r>
    <x v="0"/>
    <x v="0"/>
    <s v="Athens State University"/>
    <m/>
    <n v="100812"/>
    <x v="5"/>
    <n v="11523918"/>
    <n v="11178201"/>
    <m/>
    <m/>
    <m/>
    <m/>
    <n v="15345962"/>
    <n v="1300296"/>
    <n v="16646258"/>
    <n v="15917570"/>
    <n v="1300000"/>
    <n v="17217570"/>
    <n v="26869880"/>
    <n v="27095771"/>
    <m/>
    <m/>
    <m/>
    <m/>
    <n v="0"/>
    <m/>
    <m/>
    <n v="0"/>
    <m/>
    <m/>
    <m/>
    <m/>
    <m/>
    <m/>
    <n v="26869880"/>
    <n v="27095771"/>
  </r>
  <r>
    <x v="0"/>
    <x v="4"/>
    <s v="Non-credit continuing education"/>
    <m/>
    <n v="100812"/>
    <x v="5"/>
    <m/>
    <m/>
    <m/>
    <m/>
    <m/>
    <m/>
    <m/>
    <m/>
    <n v="0"/>
    <m/>
    <m/>
    <n v="0"/>
    <n v="0"/>
    <n v="0"/>
    <m/>
    <m/>
    <m/>
    <m/>
    <n v="0"/>
    <m/>
    <m/>
    <n v="0"/>
    <m/>
    <m/>
    <m/>
    <m/>
    <m/>
    <m/>
    <n v="0"/>
    <n v="0"/>
  </r>
  <r>
    <x v="0"/>
    <x v="4"/>
    <s v="Teacher In-service Center"/>
    <m/>
    <n v="100812"/>
    <x v="5"/>
    <m/>
    <m/>
    <n v="223546"/>
    <n v="214479"/>
    <m/>
    <m/>
    <m/>
    <m/>
    <n v="0"/>
    <m/>
    <m/>
    <n v="0"/>
    <n v="223546"/>
    <n v="214479"/>
    <m/>
    <m/>
    <m/>
    <m/>
    <n v="0"/>
    <m/>
    <m/>
    <n v="0"/>
    <m/>
    <m/>
    <m/>
    <m/>
    <m/>
    <m/>
    <n v="223546"/>
    <n v="214479"/>
  </r>
  <r>
    <x v="0"/>
    <x v="0"/>
    <s v="Gadsden State Community College"/>
    <m/>
    <n v="101240"/>
    <x v="6"/>
    <n v="23081333"/>
    <n v="22256374"/>
    <m/>
    <m/>
    <n v="0"/>
    <n v="700000"/>
    <n v="18087037.780000001"/>
    <n v="1772225.06"/>
    <n v="19859262.84"/>
    <n v="18289191"/>
    <n v="1063810"/>
    <n v="19353001"/>
    <n v="41168370.780000001"/>
    <n v="41245565"/>
    <m/>
    <m/>
    <m/>
    <m/>
    <n v="0"/>
    <m/>
    <m/>
    <n v="0"/>
    <m/>
    <m/>
    <m/>
    <m/>
    <m/>
    <m/>
    <n v="41168370.780000001"/>
    <n v="41245565"/>
  </r>
  <r>
    <x v="0"/>
    <x v="8"/>
    <s v="Special line items for education operations"/>
    <m/>
    <n v="101240"/>
    <x v="6"/>
    <m/>
    <m/>
    <m/>
    <m/>
    <m/>
    <m/>
    <m/>
    <m/>
    <n v="0"/>
    <m/>
    <m/>
    <n v="0"/>
    <n v="0"/>
    <n v="0"/>
    <m/>
    <m/>
    <m/>
    <m/>
    <n v="0"/>
    <m/>
    <m/>
    <n v="0"/>
    <m/>
    <m/>
    <m/>
    <m/>
    <m/>
    <m/>
    <n v="0"/>
    <n v="0"/>
  </r>
  <r>
    <x v="0"/>
    <x v="8"/>
    <s v="Special Population Training"/>
    <m/>
    <n v="101240"/>
    <x v="6"/>
    <m/>
    <m/>
    <m/>
    <n v="150"/>
    <m/>
    <m/>
    <m/>
    <m/>
    <n v="0"/>
    <m/>
    <m/>
    <n v="0"/>
    <n v="0"/>
    <n v="150"/>
    <m/>
    <m/>
    <m/>
    <m/>
    <n v="0"/>
    <m/>
    <m/>
    <n v="0"/>
    <m/>
    <m/>
    <m/>
    <m/>
    <m/>
    <m/>
    <n v="0"/>
    <n v="150"/>
  </r>
  <r>
    <x v="0"/>
    <x v="8"/>
    <s v="Adult Basic Education"/>
    <m/>
    <n v="101240"/>
    <x v="6"/>
    <m/>
    <m/>
    <n v="712169"/>
    <n v="715946"/>
    <m/>
    <m/>
    <m/>
    <m/>
    <n v="0"/>
    <m/>
    <m/>
    <n v="0"/>
    <n v="712169"/>
    <n v="715946"/>
    <m/>
    <m/>
    <m/>
    <m/>
    <n v="0"/>
    <m/>
    <m/>
    <n v="0"/>
    <m/>
    <m/>
    <m/>
    <m/>
    <m/>
    <m/>
    <n v="712169"/>
    <n v="715946"/>
  </r>
  <r>
    <x v="0"/>
    <x v="8"/>
    <s v="Workforce Development"/>
    <m/>
    <n v="101240"/>
    <x v="6"/>
    <m/>
    <m/>
    <n v="150615"/>
    <n v="309608"/>
    <m/>
    <m/>
    <m/>
    <m/>
    <n v="0"/>
    <m/>
    <m/>
    <n v="0"/>
    <n v="150615"/>
    <n v="309608"/>
    <m/>
    <m/>
    <m/>
    <m/>
    <n v="0"/>
    <m/>
    <m/>
    <n v="0"/>
    <m/>
    <m/>
    <m/>
    <m/>
    <m/>
    <m/>
    <n v="150615"/>
    <n v="309608"/>
  </r>
  <r>
    <x v="0"/>
    <x v="0"/>
    <s v="Jefferson State Community College"/>
    <m/>
    <n v="101505"/>
    <x v="6"/>
    <n v="19393724"/>
    <n v="18668724"/>
    <m/>
    <m/>
    <n v="0"/>
    <n v="18238"/>
    <n v="23574987.690000001"/>
    <n v="4752249.3"/>
    <n v="28327236.990000002"/>
    <n v="25034577"/>
    <n v="4621752"/>
    <n v="29656329"/>
    <n v="42968711.689999998"/>
    <n v="43721539"/>
    <m/>
    <m/>
    <m/>
    <m/>
    <n v="0"/>
    <m/>
    <m/>
    <n v="0"/>
    <m/>
    <m/>
    <m/>
    <m/>
    <m/>
    <m/>
    <n v="42968711.689999998"/>
    <n v="43721539"/>
  </r>
  <r>
    <x v="0"/>
    <x v="8"/>
    <s v="Special Population Training"/>
    <m/>
    <n v="101505"/>
    <x v="6"/>
    <m/>
    <m/>
    <m/>
    <n v="27250"/>
    <m/>
    <m/>
    <m/>
    <m/>
    <n v="0"/>
    <m/>
    <m/>
    <n v="0"/>
    <n v="0"/>
    <n v="27250"/>
    <m/>
    <m/>
    <m/>
    <m/>
    <n v="0"/>
    <m/>
    <m/>
    <n v="0"/>
    <m/>
    <m/>
    <m/>
    <m/>
    <m/>
    <m/>
    <n v="0"/>
    <n v="27250"/>
  </r>
  <r>
    <x v="0"/>
    <x v="8"/>
    <s v="Adult Basic Education"/>
    <m/>
    <n v="101505"/>
    <x v="6"/>
    <m/>
    <m/>
    <n v="659647"/>
    <n v="719745"/>
    <m/>
    <m/>
    <m/>
    <m/>
    <n v="0"/>
    <m/>
    <m/>
    <n v="0"/>
    <n v="659647"/>
    <n v="719745"/>
    <m/>
    <m/>
    <m/>
    <m/>
    <n v="0"/>
    <m/>
    <m/>
    <n v="0"/>
    <m/>
    <m/>
    <m/>
    <m/>
    <m/>
    <m/>
    <n v="659647"/>
    <n v="719745"/>
  </r>
  <r>
    <x v="0"/>
    <x v="8"/>
    <s v="Workforce Development"/>
    <m/>
    <n v="101505"/>
    <x v="6"/>
    <m/>
    <m/>
    <n v="261063"/>
    <n v="304587"/>
    <m/>
    <m/>
    <m/>
    <m/>
    <n v="0"/>
    <m/>
    <m/>
    <n v="0"/>
    <n v="261063"/>
    <n v="304587"/>
    <m/>
    <m/>
    <m/>
    <m/>
    <n v="0"/>
    <m/>
    <m/>
    <n v="0"/>
    <m/>
    <m/>
    <m/>
    <m/>
    <m/>
    <m/>
    <n v="261063"/>
    <n v="304587"/>
  </r>
  <r>
    <x v="0"/>
    <x v="3"/>
    <s v="Community or public service units"/>
    <m/>
    <n v="101505"/>
    <x v="6"/>
    <m/>
    <m/>
    <m/>
    <m/>
    <m/>
    <m/>
    <m/>
    <m/>
    <n v="0"/>
    <m/>
    <m/>
    <n v="0"/>
    <n v="0"/>
    <n v="0"/>
    <m/>
    <m/>
    <m/>
    <m/>
    <n v="0"/>
    <m/>
    <m/>
    <n v="0"/>
    <m/>
    <m/>
    <m/>
    <m/>
    <m/>
    <m/>
    <n v="0"/>
    <n v="0"/>
  </r>
  <r>
    <x v="0"/>
    <x v="3"/>
    <s v="Ctr for Labor Ed &amp; Res"/>
    <m/>
    <n v="101505"/>
    <x v="6"/>
    <m/>
    <m/>
    <m/>
    <m/>
    <m/>
    <m/>
    <m/>
    <m/>
    <n v="0"/>
    <m/>
    <m/>
    <n v="0"/>
    <n v="0"/>
    <n v="0"/>
    <m/>
    <m/>
    <m/>
    <m/>
    <n v="0"/>
    <m/>
    <m/>
    <n v="0"/>
    <m/>
    <m/>
    <m/>
    <m/>
    <m/>
    <m/>
    <n v="0"/>
    <n v="0"/>
  </r>
  <r>
    <x v="0"/>
    <x v="3"/>
    <s v="Predator Avoidance Prm"/>
    <m/>
    <n v="101505"/>
    <x v="6"/>
    <m/>
    <m/>
    <m/>
    <m/>
    <m/>
    <m/>
    <m/>
    <m/>
    <n v="0"/>
    <m/>
    <m/>
    <n v="0"/>
    <n v="0"/>
    <n v="0"/>
    <m/>
    <m/>
    <m/>
    <m/>
    <n v="0"/>
    <m/>
    <m/>
    <n v="0"/>
    <m/>
    <m/>
    <m/>
    <m/>
    <m/>
    <m/>
    <n v="0"/>
    <n v="0"/>
  </r>
  <r>
    <x v="0"/>
    <x v="0"/>
    <s v="John C. Calhoun State Community College "/>
    <m/>
    <n v="101514"/>
    <x v="6"/>
    <n v="20617533"/>
    <n v="21027062"/>
    <m/>
    <m/>
    <m/>
    <m/>
    <n v="31797248.140000001"/>
    <n v="2952377.5"/>
    <n v="34749625.640000001"/>
    <n v="30727885"/>
    <n v="2688590"/>
    <n v="33416475"/>
    <n v="52414781.140000001"/>
    <n v="51754947"/>
    <m/>
    <m/>
    <m/>
    <m/>
    <n v="0"/>
    <m/>
    <m/>
    <n v="0"/>
    <m/>
    <m/>
    <m/>
    <m/>
    <m/>
    <m/>
    <n v="52414781.140000001"/>
    <n v="51754947"/>
  </r>
  <r>
    <x v="0"/>
    <x v="8"/>
    <s v="Special line items for education operations"/>
    <m/>
    <n v="101514"/>
    <x v="6"/>
    <m/>
    <m/>
    <m/>
    <m/>
    <m/>
    <m/>
    <m/>
    <m/>
    <n v="0"/>
    <m/>
    <m/>
    <n v="0"/>
    <n v="0"/>
    <n v="0"/>
    <m/>
    <m/>
    <m/>
    <m/>
    <n v="0"/>
    <m/>
    <m/>
    <n v="0"/>
    <m/>
    <m/>
    <m/>
    <m/>
    <m/>
    <m/>
    <n v="0"/>
    <n v="0"/>
  </r>
  <r>
    <x v="0"/>
    <x v="8"/>
    <s v="Special Population Training"/>
    <m/>
    <n v="101514"/>
    <x v="6"/>
    <m/>
    <m/>
    <n v="158656"/>
    <n v="97900"/>
    <m/>
    <m/>
    <m/>
    <m/>
    <n v="0"/>
    <m/>
    <m/>
    <n v="0"/>
    <n v="158656"/>
    <n v="97900"/>
    <m/>
    <m/>
    <m/>
    <m/>
    <n v="0"/>
    <m/>
    <m/>
    <n v="0"/>
    <m/>
    <m/>
    <m/>
    <m/>
    <m/>
    <m/>
    <n v="158656"/>
    <n v="97900"/>
  </r>
  <r>
    <x v="0"/>
    <x v="8"/>
    <s v="Adult Basic Education"/>
    <m/>
    <n v="101514"/>
    <x v="6"/>
    <m/>
    <m/>
    <n v="840039"/>
    <n v="1258377"/>
    <m/>
    <m/>
    <m/>
    <m/>
    <n v="0"/>
    <m/>
    <m/>
    <n v="0"/>
    <n v="840039"/>
    <n v="1258377"/>
    <m/>
    <m/>
    <m/>
    <m/>
    <n v="0"/>
    <m/>
    <m/>
    <n v="0"/>
    <m/>
    <m/>
    <m/>
    <m/>
    <m/>
    <m/>
    <n v="840039"/>
    <n v="1258377"/>
  </r>
  <r>
    <x v="0"/>
    <x v="8"/>
    <s v="Workforce Development"/>
    <m/>
    <n v="101514"/>
    <x v="6"/>
    <m/>
    <m/>
    <n v="229180"/>
    <n v="250672"/>
    <m/>
    <m/>
    <m/>
    <m/>
    <n v="0"/>
    <m/>
    <m/>
    <n v="0"/>
    <n v="229180"/>
    <n v="250672"/>
    <m/>
    <m/>
    <m/>
    <m/>
    <n v="0"/>
    <m/>
    <m/>
    <n v="0"/>
    <m/>
    <m/>
    <m/>
    <m/>
    <m/>
    <m/>
    <n v="229180"/>
    <n v="250672"/>
  </r>
  <r>
    <x v="0"/>
    <x v="0"/>
    <s v="Wallace Community College - Hanceville"/>
    <s v="Met the criteria for Two-Year 2 in 2012-13."/>
    <n v="101295"/>
    <x v="6"/>
    <n v="15652701"/>
    <n v="15769713"/>
    <m/>
    <m/>
    <m/>
    <m/>
    <n v="18263090.559999999"/>
    <n v="2509130.79"/>
    <n v="20772221.349999998"/>
    <n v="16510344"/>
    <n v="3252158"/>
    <n v="19762502"/>
    <n v="33915791.560000002"/>
    <n v="32280057"/>
    <m/>
    <m/>
    <m/>
    <m/>
    <n v="0"/>
    <m/>
    <m/>
    <n v="0"/>
    <m/>
    <m/>
    <m/>
    <m/>
    <m/>
    <m/>
    <n v="33915791.560000002"/>
    <n v="32280057"/>
  </r>
  <r>
    <x v="0"/>
    <x v="8"/>
    <s v="Special line items for education operations"/>
    <m/>
    <n v="101295"/>
    <x v="6"/>
    <m/>
    <m/>
    <m/>
    <m/>
    <m/>
    <m/>
    <m/>
    <m/>
    <n v="0"/>
    <m/>
    <m/>
    <n v="0"/>
    <n v="0"/>
    <n v="0"/>
    <m/>
    <m/>
    <m/>
    <m/>
    <n v="0"/>
    <m/>
    <m/>
    <n v="0"/>
    <m/>
    <m/>
    <m/>
    <m/>
    <m/>
    <m/>
    <n v="0"/>
    <n v="0"/>
  </r>
  <r>
    <x v="0"/>
    <x v="8"/>
    <s v="Special Population Training"/>
    <m/>
    <n v="101295"/>
    <x v="6"/>
    <m/>
    <m/>
    <n v="87000"/>
    <n v="217757"/>
    <m/>
    <m/>
    <m/>
    <m/>
    <n v="0"/>
    <m/>
    <m/>
    <n v="0"/>
    <n v="87000"/>
    <n v="217757"/>
    <m/>
    <m/>
    <m/>
    <m/>
    <n v="0"/>
    <m/>
    <m/>
    <n v="0"/>
    <m/>
    <m/>
    <m/>
    <m/>
    <m/>
    <m/>
    <n v="87000"/>
    <n v="217757"/>
  </r>
  <r>
    <x v="0"/>
    <x v="8"/>
    <s v="Adult Basic Education"/>
    <m/>
    <n v="101295"/>
    <x v="6"/>
    <m/>
    <m/>
    <n v="370215"/>
    <n v="421444"/>
    <m/>
    <m/>
    <m/>
    <m/>
    <n v="0"/>
    <m/>
    <m/>
    <n v="0"/>
    <n v="370215"/>
    <n v="421444"/>
    <m/>
    <m/>
    <m/>
    <m/>
    <n v="0"/>
    <m/>
    <m/>
    <n v="0"/>
    <m/>
    <m/>
    <m/>
    <m/>
    <m/>
    <m/>
    <n v="370215"/>
    <n v="421444"/>
  </r>
  <r>
    <x v="0"/>
    <x v="8"/>
    <s v="Workforce Development"/>
    <m/>
    <n v="101295"/>
    <x v="6"/>
    <m/>
    <m/>
    <n v="426438"/>
    <n v="261847"/>
    <m/>
    <m/>
    <m/>
    <m/>
    <n v="0"/>
    <m/>
    <m/>
    <n v="0"/>
    <n v="426438"/>
    <n v="261847"/>
    <m/>
    <m/>
    <m/>
    <m/>
    <n v="0"/>
    <m/>
    <m/>
    <n v="0"/>
    <m/>
    <m/>
    <m/>
    <m/>
    <m/>
    <m/>
    <n v="426438"/>
    <n v="261847"/>
  </r>
  <r>
    <x v="0"/>
    <x v="0"/>
    <s v="Bevill State Community College"/>
    <m/>
    <n v="102429"/>
    <x v="7"/>
    <n v="16131988"/>
    <n v="15406988"/>
    <m/>
    <m/>
    <m/>
    <m/>
    <n v="11154141.390000001"/>
    <n v="1849236.5"/>
    <n v="13003377.890000001"/>
    <n v="11869968"/>
    <n v="1630315"/>
    <n v="13500283"/>
    <n v="27286129.390000001"/>
    <n v="27276956"/>
    <m/>
    <m/>
    <m/>
    <m/>
    <n v="0"/>
    <m/>
    <m/>
    <n v="0"/>
    <m/>
    <m/>
    <m/>
    <m/>
    <m/>
    <m/>
    <n v="27286129.390000001"/>
    <n v="27276956"/>
  </r>
  <r>
    <x v="0"/>
    <x v="8"/>
    <s v="Special line items for education operations"/>
    <m/>
    <n v="102429"/>
    <x v="7"/>
    <m/>
    <m/>
    <m/>
    <m/>
    <m/>
    <m/>
    <m/>
    <m/>
    <n v="0"/>
    <m/>
    <m/>
    <n v="0"/>
    <n v="0"/>
    <n v="0"/>
    <m/>
    <m/>
    <m/>
    <m/>
    <n v="0"/>
    <m/>
    <m/>
    <n v="0"/>
    <m/>
    <m/>
    <m/>
    <m/>
    <m/>
    <m/>
    <n v="0"/>
    <n v="0"/>
  </r>
  <r>
    <x v="0"/>
    <x v="8"/>
    <s v="Special Population Training"/>
    <m/>
    <n v="102429"/>
    <x v="7"/>
    <m/>
    <m/>
    <n v="364552"/>
    <n v="391046"/>
    <m/>
    <m/>
    <m/>
    <m/>
    <n v="0"/>
    <m/>
    <m/>
    <n v="0"/>
    <n v="364552"/>
    <n v="391046"/>
    <m/>
    <m/>
    <m/>
    <m/>
    <n v="0"/>
    <m/>
    <m/>
    <n v="0"/>
    <m/>
    <m/>
    <m/>
    <m/>
    <m/>
    <m/>
    <n v="364552"/>
    <n v="391046"/>
  </r>
  <r>
    <x v="0"/>
    <x v="8"/>
    <s v="Adult Basic Education"/>
    <m/>
    <n v="102429"/>
    <x v="7"/>
    <m/>
    <m/>
    <n v="452860"/>
    <n v="520159"/>
    <m/>
    <m/>
    <m/>
    <m/>
    <n v="0"/>
    <m/>
    <m/>
    <n v="0"/>
    <n v="452860"/>
    <n v="520159"/>
    <m/>
    <m/>
    <m/>
    <m/>
    <n v="0"/>
    <m/>
    <m/>
    <n v="0"/>
    <m/>
    <m/>
    <m/>
    <m/>
    <m/>
    <m/>
    <n v="452860"/>
    <n v="520159"/>
  </r>
  <r>
    <x v="0"/>
    <x v="8"/>
    <s v="Workforce Development"/>
    <m/>
    <n v="102429"/>
    <x v="7"/>
    <m/>
    <m/>
    <n v="235564"/>
    <n v="128196"/>
    <m/>
    <m/>
    <m/>
    <m/>
    <n v="0"/>
    <m/>
    <m/>
    <n v="0"/>
    <n v="235564"/>
    <n v="128196"/>
    <m/>
    <m/>
    <m/>
    <m/>
    <n v="0"/>
    <m/>
    <m/>
    <n v="0"/>
    <m/>
    <m/>
    <m/>
    <m/>
    <m/>
    <m/>
    <n v="235564"/>
    <n v="128196"/>
  </r>
  <r>
    <x v="0"/>
    <x v="0"/>
    <s v="Bishop State Community College"/>
    <m/>
    <n v="102030"/>
    <x v="7"/>
    <n v="14552792"/>
    <n v="13787792"/>
    <m/>
    <m/>
    <n v="157164"/>
    <n v="40000"/>
    <n v="11016194.810000001"/>
    <n v="1262525.54"/>
    <n v="12278720.350000001"/>
    <n v="11314146"/>
    <n v="593973"/>
    <n v="11908119"/>
    <n v="25726150.810000002"/>
    <n v="25141938"/>
    <m/>
    <m/>
    <m/>
    <m/>
    <n v="0"/>
    <m/>
    <m/>
    <n v="0"/>
    <m/>
    <m/>
    <m/>
    <m/>
    <m/>
    <m/>
    <n v="25726150.810000002"/>
    <n v="25141938"/>
  </r>
  <r>
    <x v="0"/>
    <x v="8"/>
    <s v="Special line items for education operations"/>
    <m/>
    <n v="102030"/>
    <x v="7"/>
    <m/>
    <m/>
    <m/>
    <m/>
    <m/>
    <m/>
    <m/>
    <m/>
    <n v="0"/>
    <m/>
    <m/>
    <n v="0"/>
    <n v="0"/>
    <n v="0"/>
    <m/>
    <m/>
    <m/>
    <m/>
    <n v="0"/>
    <m/>
    <m/>
    <n v="0"/>
    <m/>
    <m/>
    <m/>
    <m/>
    <m/>
    <m/>
    <n v="0"/>
    <n v="0"/>
  </r>
  <r>
    <x v="0"/>
    <x v="8"/>
    <s v="Special Population Training"/>
    <m/>
    <n v="102030"/>
    <x v="7"/>
    <m/>
    <m/>
    <n v="158842"/>
    <n v="227693"/>
    <m/>
    <m/>
    <m/>
    <m/>
    <n v="0"/>
    <m/>
    <m/>
    <n v="0"/>
    <n v="158842"/>
    <n v="227693"/>
    <m/>
    <m/>
    <m/>
    <m/>
    <n v="0"/>
    <m/>
    <m/>
    <n v="0"/>
    <m/>
    <m/>
    <m/>
    <m/>
    <m/>
    <m/>
    <n v="158842"/>
    <n v="227693"/>
  </r>
  <r>
    <x v="0"/>
    <x v="8"/>
    <s v="Adult Basic Education"/>
    <m/>
    <n v="102030"/>
    <x v="7"/>
    <m/>
    <m/>
    <n v="440106"/>
    <n v="493423"/>
    <m/>
    <m/>
    <m/>
    <m/>
    <n v="0"/>
    <m/>
    <m/>
    <n v="0"/>
    <n v="440106"/>
    <n v="493423"/>
    <m/>
    <m/>
    <m/>
    <m/>
    <n v="0"/>
    <m/>
    <m/>
    <n v="0"/>
    <m/>
    <m/>
    <m/>
    <m/>
    <m/>
    <m/>
    <n v="440106"/>
    <n v="493423"/>
  </r>
  <r>
    <x v="0"/>
    <x v="8"/>
    <s v="Workforce Development"/>
    <m/>
    <n v="102030"/>
    <x v="7"/>
    <m/>
    <m/>
    <n v="59000"/>
    <m/>
    <m/>
    <m/>
    <m/>
    <m/>
    <n v="0"/>
    <m/>
    <m/>
    <n v="0"/>
    <n v="59000"/>
    <n v="0"/>
    <m/>
    <m/>
    <m/>
    <m/>
    <n v="0"/>
    <m/>
    <m/>
    <n v="0"/>
    <m/>
    <m/>
    <m/>
    <m/>
    <m/>
    <m/>
    <n v="59000"/>
    <n v="0"/>
  </r>
  <r>
    <x v="0"/>
    <x v="0"/>
    <s v="Central Alabama Community College"/>
    <s v="Met the criteria for Two-Year 3 in 2012-13."/>
    <n v="100760"/>
    <x v="7"/>
    <n v="8351820"/>
    <n v="7916684"/>
    <m/>
    <m/>
    <m/>
    <m/>
    <n v="6720806.9100000001"/>
    <n v="670326.89"/>
    <n v="7391133.7999999998"/>
    <n v="7189139"/>
    <n v="665920"/>
    <n v="7855059"/>
    <n v="15072626.91"/>
    <n v="15105823"/>
    <m/>
    <m/>
    <m/>
    <m/>
    <n v="0"/>
    <m/>
    <m/>
    <n v="0"/>
    <m/>
    <m/>
    <m/>
    <m/>
    <m/>
    <m/>
    <n v="15072626.91"/>
    <n v="15105823"/>
  </r>
  <r>
    <x v="0"/>
    <x v="8"/>
    <s v="Special line items for education operations"/>
    <m/>
    <n v="100760"/>
    <x v="7"/>
    <m/>
    <m/>
    <m/>
    <m/>
    <m/>
    <m/>
    <m/>
    <m/>
    <n v="0"/>
    <m/>
    <m/>
    <n v="0"/>
    <n v="0"/>
    <n v="0"/>
    <m/>
    <m/>
    <m/>
    <m/>
    <n v="0"/>
    <m/>
    <m/>
    <n v="0"/>
    <m/>
    <m/>
    <m/>
    <m/>
    <m/>
    <m/>
    <n v="0"/>
    <n v="0"/>
  </r>
  <r>
    <x v="0"/>
    <x v="8"/>
    <s v="Special Population Training"/>
    <m/>
    <n v="100760"/>
    <x v="7"/>
    <m/>
    <m/>
    <n v="95183"/>
    <n v="67244"/>
    <m/>
    <m/>
    <m/>
    <m/>
    <n v="0"/>
    <m/>
    <m/>
    <n v="0"/>
    <n v="95183"/>
    <n v="67244"/>
    <m/>
    <m/>
    <m/>
    <m/>
    <n v="0"/>
    <m/>
    <m/>
    <n v="0"/>
    <m/>
    <m/>
    <m/>
    <m/>
    <m/>
    <m/>
    <n v="95183"/>
    <n v="67244"/>
  </r>
  <r>
    <x v="0"/>
    <x v="8"/>
    <s v="Adult Basic Education"/>
    <m/>
    <n v="100760"/>
    <x v="7"/>
    <m/>
    <m/>
    <n v="499348"/>
    <n v="535850"/>
    <m/>
    <m/>
    <m/>
    <m/>
    <n v="0"/>
    <m/>
    <m/>
    <n v="0"/>
    <n v="499348"/>
    <n v="535850"/>
    <m/>
    <m/>
    <m/>
    <m/>
    <n v="0"/>
    <m/>
    <m/>
    <n v="0"/>
    <m/>
    <m/>
    <m/>
    <m/>
    <m/>
    <m/>
    <n v="499348"/>
    <n v="535850"/>
  </r>
  <r>
    <x v="0"/>
    <x v="8"/>
    <s v="Workforce Development"/>
    <m/>
    <n v="100760"/>
    <x v="7"/>
    <m/>
    <m/>
    <n v="71665"/>
    <n v="29716"/>
    <m/>
    <m/>
    <m/>
    <m/>
    <n v="0"/>
    <m/>
    <m/>
    <n v="0"/>
    <n v="71665"/>
    <n v="29716"/>
    <m/>
    <m/>
    <m/>
    <m/>
    <n v="0"/>
    <m/>
    <m/>
    <n v="0"/>
    <m/>
    <m/>
    <m/>
    <m/>
    <m/>
    <m/>
    <n v="71665"/>
    <n v="29716"/>
  </r>
  <r>
    <x v="0"/>
    <x v="0"/>
    <s v="Enterprise State Community College"/>
    <m/>
    <n v="101143"/>
    <x v="7"/>
    <n v="8537913"/>
    <n v="9232576"/>
    <m/>
    <m/>
    <m/>
    <m/>
    <n v="9961243.1799999997"/>
    <n v="653356.65"/>
    <n v="10614599.83"/>
    <n v="10434342"/>
    <n v="456508"/>
    <n v="10890850"/>
    <n v="18499156.18"/>
    <n v="19666918"/>
    <m/>
    <m/>
    <m/>
    <m/>
    <n v="0"/>
    <m/>
    <m/>
    <n v="0"/>
    <m/>
    <m/>
    <m/>
    <m/>
    <m/>
    <m/>
    <n v="18499156.18"/>
    <n v="19666918"/>
  </r>
  <r>
    <x v="0"/>
    <x v="8"/>
    <s v="Special line items for education operations"/>
    <m/>
    <n v="101143"/>
    <x v="7"/>
    <m/>
    <m/>
    <m/>
    <m/>
    <m/>
    <m/>
    <m/>
    <m/>
    <n v="0"/>
    <m/>
    <m/>
    <n v="0"/>
    <n v="0"/>
    <n v="0"/>
    <m/>
    <m/>
    <m/>
    <m/>
    <n v="0"/>
    <m/>
    <m/>
    <n v="0"/>
    <m/>
    <m/>
    <m/>
    <m/>
    <m/>
    <m/>
    <n v="0"/>
    <n v="0"/>
  </r>
  <r>
    <x v="0"/>
    <x v="8"/>
    <s v="Special Population Training"/>
    <m/>
    <n v="101143"/>
    <x v="7"/>
    <m/>
    <m/>
    <n v="729568"/>
    <n v="469340"/>
    <m/>
    <m/>
    <m/>
    <m/>
    <n v="0"/>
    <m/>
    <m/>
    <n v="0"/>
    <n v="729568"/>
    <n v="469340"/>
    <m/>
    <m/>
    <m/>
    <m/>
    <n v="0"/>
    <m/>
    <m/>
    <n v="0"/>
    <m/>
    <m/>
    <m/>
    <m/>
    <m/>
    <m/>
    <n v="729568"/>
    <n v="469340"/>
  </r>
  <r>
    <x v="0"/>
    <x v="8"/>
    <s v="Adult Basic Education"/>
    <m/>
    <n v="101143"/>
    <x v="7"/>
    <m/>
    <m/>
    <n v="389909"/>
    <n v="404732"/>
    <m/>
    <m/>
    <m/>
    <m/>
    <n v="0"/>
    <m/>
    <m/>
    <n v="0"/>
    <n v="389909"/>
    <n v="404732"/>
    <m/>
    <m/>
    <m/>
    <m/>
    <n v="0"/>
    <m/>
    <m/>
    <n v="0"/>
    <m/>
    <m/>
    <m/>
    <m/>
    <m/>
    <m/>
    <n v="389909"/>
    <n v="404732"/>
  </r>
  <r>
    <x v="0"/>
    <x v="8"/>
    <s v="Workforce Development"/>
    <m/>
    <n v="101143"/>
    <x v="7"/>
    <m/>
    <m/>
    <n v="64250"/>
    <n v="7300"/>
    <m/>
    <m/>
    <m/>
    <m/>
    <n v="0"/>
    <m/>
    <m/>
    <n v="0"/>
    <n v="64250"/>
    <n v="7300"/>
    <m/>
    <m/>
    <m/>
    <m/>
    <n v="0"/>
    <m/>
    <m/>
    <n v="0"/>
    <m/>
    <m/>
    <m/>
    <m/>
    <m/>
    <m/>
    <n v="64250"/>
    <n v="7300"/>
  </r>
  <r>
    <x v="0"/>
    <x v="0"/>
    <s v="George C. Wallace Community College - Dothan"/>
    <m/>
    <n v="101286"/>
    <x v="7"/>
    <n v="14995784"/>
    <n v="14339505"/>
    <m/>
    <m/>
    <m/>
    <m/>
    <n v="13953457.76"/>
    <n v="840957.51"/>
    <n v="14794415.27"/>
    <n v="12888025"/>
    <n v="833905"/>
    <n v="13721930"/>
    <n v="28949241.759999998"/>
    <n v="27227530"/>
    <m/>
    <m/>
    <m/>
    <m/>
    <n v="0"/>
    <m/>
    <m/>
    <n v="0"/>
    <m/>
    <m/>
    <m/>
    <m/>
    <m/>
    <m/>
    <n v="28949241.759999998"/>
    <n v="27227530"/>
  </r>
  <r>
    <x v="0"/>
    <x v="8"/>
    <s v="Special line items for education operations"/>
    <m/>
    <n v="101286"/>
    <x v="7"/>
    <m/>
    <m/>
    <m/>
    <m/>
    <m/>
    <m/>
    <m/>
    <m/>
    <n v="0"/>
    <m/>
    <m/>
    <n v="0"/>
    <n v="0"/>
    <n v="0"/>
    <m/>
    <m/>
    <m/>
    <m/>
    <n v="0"/>
    <m/>
    <m/>
    <n v="0"/>
    <m/>
    <m/>
    <m/>
    <m/>
    <m/>
    <m/>
    <n v="0"/>
    <n v="0"/>
  </r>
  <r>
    <x v="0"/>
    <x v="8"/>
    <s v="Special Population Training"/>
    <m/>
    <n v="101286"/>
    <x v="7"/>
    <m/>
    <m/>
    <n v="142842"/>
    <n v="169790"/>
    <m/>
    <m/>
    <m/>
    <m/>
    <n v="0"/>
    <m/>
    <m/>
    <n v="0"/>
    <n v="142842"/>
    <n v="169790"/>
    <m/>
    <m/>
    <m/>
    <m/>
    <n v="0"/>
    <m/>
    <m/>
    <n v="0"/>
    <m/>
    <m/>
    <m/>
    <m/>
    <m/>
    <m/>
    <n v="142842"/>
    <n v="169790"/>
  </r>
  <r>
    <x v="0"/>
    <x v="8"/>
    <s v="Adult Basic Education"/>
    <m/>
    <n v="101286"/>
    <x v="7"/>
    <m/>
    <m/>
    <n v="601781"/>
    <n v="570587"/>
    <m/>
    <m/>
    <m/>
    <m/>
    <n v="0"/>
    <m/>
    <m/>
    <n v="0"/>
    <n v="601781"/>
    <n v="570587"/>
    <m/>
    <m/>
    <m/>
    <m/>
    <n v="0"/>
    <m/>
    <m/>
    <n v="0"/>
    <m/>
    <m/>
    <m/>
    <m/>
    <m/>
    <m/>
    <n v="601781"/>
    <n v="570587"/>
  </r>
  <r>
    <x v="0"/>
    <x v="8"/>
    <s v="Workforce Development"/>
    <m/>
    <n v="101286"/>
    <x v="7"/>
    <m/>
    <m/>
    <n v="258907"/>
    <n v="61750"/>
    <m/>
    <m/>
    <m/>
    <m/>
    <n v="0"/>
    <m/>
    <m/>
    <n v="0"/>
    <n v="258907"/>
    <n v="61750"/>
    <m/>
    <m/>
    <m/>
    <m/>
    <n v="0"/>
    <m/>
    <m/>
    <n v="0"/>
    <m/>
    <m/>
    <m/>
    <m/>
    <m/>
    <m/>
    <n v="258907"/>
    <n v="61750"/>
  </r>
  <r>
    <x v="0"/>
    <x v="0"/>
    <s v="James H. Faulkner State Community College"/>
    <m/>
    <n v="101161"/>
    <x v="7"/>
    <n v="9939843"/>
    <n v="10387507"/>
    <m/>
    <m/>
    <n v="1277347"/>
    <n v="600000"/>
    <n v="14785607.25"/>
    <n v="2051836.01"/>
    <n v="16837443.260000002"/>
    <n v="12804614"/>
    <n v="2087962"/>
    <n v="14892576"/>
    <n v="26002797.25"/>
    <n v="23792121"/>
    <m/>
    <m/>
    <m/>
    <m/>
    <n v="0"/>
    <m/>
    <m/>
    <n v="0"/>
    <m/>
    <m/>
    <m/>
    <m/>
    <m/>
    <m/>
    <n v="26002797.25"/>
    <n v="23792121"/>
  </r>
  <r>
    <x v="0"/>
    <x v="8"/>
    <s v="Special line items for education operations"/>
    <m/>
    <n v="101161"/>
    <x v="7"/>
    <m/>
    <m/>
    <m/>
    <m/>
    <m/>
    <m/>
    <m/>
    <m/>
    <n v="0"/>
    <m/>
    <m/>
    <n v="0"/>
    <n v="0"/>
    <n v="0"/>
    <m/>
    <m/>
    <m/>
    <m/>
    <n v="0"/>
    <m/>
    <m/>
    <n v="0"/>
    <m/>
    <m/>
    <m/>
    <m/>
    <m/>
    <m/>
    <n v="0"/>
    <n v="0"/>
  </r>
  <r>
    <x v="0"/>
    <x v="8"/>
    <s v="Special Population Training"/>
    <m/>
    <n v="101161"/>
    <x v="7"/>
    <m/>
    <m/>
    <n v="36000"/>
    <n v="41980"/>
    <m/>
    <m/>
    <m/>
    <m/>
    <n v="0"/>
    <m/>
    <m/>
    <n v="0"/>
    <n v="36000"/>
    <n v="41980"/>
    <m/>
    <m/>
    <m/>
    <m/>
    <n v="0"/>
    <m/>
    <m/>
    <n v="0"/>
    <m/>
    <m/>
    <m/>
    <m/>
    <m/>
    <m/>
    <n v="36000"/>
    <n v="41980"/>
  </r>
  <r>
    <x v="0"/>
    <x v="8"/>
    <s v="Adult Basic Education"/>
    <m/>
    <n v="101161"/>
    <x v="7"/>
    <m/>
    <m/>
    <n v="351398"/>
    <n v="507531"/>
    <m/>
    <m/>
    <m/>
    <m/>
    <n v="0"/>
    <m/>
    <m/>
    <n v="0"/>
    <n v="351398"/>
    <n v="507531"/>
    <m/>
    <m/>
    <m/>
    <m/>
    <n v="0"/>
    <m/>
    <m/>
    <n v="0"/>
    <m/>
    <m/>
    <m/>
    <m/>
    <m/>
    <m/>
    <n v="351398"/>
    <n v="507531"/>
  </r>
  <r>
    <x v="0"/>
    <x v="8"/>
    <s v="Workforce Development"/>
    <m/>
    <n v="101161"/>
    <x v="7"/>
    <m/>
    <m/>
    <n v="208556"/>
    <n v="178369"/>
    <m/>
    <m/>
    <m/>
    <m/>
    <n v="0"/>
    <m/>
    <m/>
    <n v="0"/>
    <n v="208556"/>
    <n v="178369"/>
    <m/>
    <m/>
    <m/>
    <m/>
    <n v="0"/>
    <m/>
    <m/>
    <n v="0"/>
    <m/>
    <m/>
    <m/>
    <m/>
    <m/>
    <m/>
    <n v="208556"/>
    <n v="178369"/>
  </r>
  <r>
    <x v="0"/>
    <x v="0"/>
    <s v="Lawson State Community College "/>
    <m/>
    <n v="101569"/>
    <x v="7"/>
    <n v="14620741"/>
    <n v="13938149"/>
    <m/>
    <m/>
    <n v="10000"/>
    <n v="54000"/>
    <n v="14791770.01"/>
    <n v="1104265.07"/>
    <n v="15896035.08"/>
    <n v="12375219"/>
    <n v="1093669"/>
    <n v="13468888"/>
    <n v="29422511.009999998"/>
    <n v="26367368"/>
    <m/>
    <m/>
    <m/>
    <m/>
    <n v="0"/>
    <m/>
    <m/>
    <n v="0"/>
    <m/>
    <m/>
    <m/>
    <m/>
    <m/>
    <m/>
    <n v="29422511.009999998"/>
    <n v="26367368"/>
  </r>
  <r>
    <x v="0"/>
    <x v="8"/>
    <s v="Special line items for education operations"/>
    <m/>
    <n v="101569"/>
    <x v="7"/>
    <m/>
    <m/>
    <m/>
    <m/>
    <m/>
    <m/>
    <m/>
    <m/>
    <n v="0"/>
    <m/>
    <m/>
    <n v="0"/>
    <n v="0"/>
    <n v="0"/>
    <m/>
    <m/>
    <m/>
    <m/>
    <n v="0"/>
    <m/>
    <m/>
    <n v="0"/>
    <m/>
    <m/>
    <m/>
    <m/>
    <m/>
    <m/>
    <n v="0"/>
    <n v="0"/>
  </r>
  <r>
    <x v="0"/>
    <x v="8"/>
    <s v="Special Population Training"/>
    <m/>
    <n v="101569"/>
    <x v="7"/>
    <m/>
    <m/>
    <n v="194191"/>
    <n v="123000"/>
    <m/>
    <m/>
    <m/>
    <m/>
    <n v="0"/>
    <m/>
    <m/>
    <n v="0"/>
    <n v="194191"/>
    <n v="123000"/>
    <m/>
    <m/>
    <m/>
    <m/>
    <n v="0"/>
    <m/>
    <m/>
    <n v="0"/>
    <m/>
    <m/>
    <m/>
    <m/>
    <m/>
    <m/>
    <n v="194191"/>
    <n v="123000"/>
  </r>
  <r>
    <x v="0"/>
    <x v="8"/>
    <s v="Adult Basic Education"/>
    <m/>
    <n v="101569"/>
    <x v="7"/>
    <m/>
    <m/>
    <n v="468883"/>
    <n v="561986"/>
    <m/>
    <m/>
    <m/>
    <m/>
    <n v="0"/>
    <m/>
    <m/>
    <n v="0"/>
    <n v="468883"/>
    <n v="561986"/>
    <m/>
    <m/>
    <m/>
    <m/>
    <n v="0"/>
    <m/>
    <m/>
    <n v="0"/>
    <m/>
    <m/>
    <m/>
    <m/>
    <m/>
    <m/>
    <n v="468883"/>
    <n v="561986"/>
  </r>
  <r>
    <x v="0"/>
    <x v="8"/>
    <s v="Workforce Development"/>
    <m/>
    <n v="101569"/>
    <x v="7"/>
    <m/>
    <m/>
    <n v="78400"/>
    <n v="13230"/>
    <m/>
    <m/>
    <m/>
    <m/>
    <n v="0"/>
    <m/>
    <m/>
    <n v="0"/>
    <n v="78400"/>
    <n v="13230"/>
    <m/>
    <m/>
    <m/>
    <m/>
    <n v="0"/>
    <m/>
    <m/>
    <n v="0"/>
    <m/>
    <m/>
    <m/>
    <m/>
    <m/>
    <m/>
    <n v="78400"/>
    <n v="13230"/>
  </r>
  <r>
    <x v="0"/>
    <x v="0"/>
    <s v="Northeast Alabama State Community College "/>
    <m/>
    <n v="101897"/>
    <x v="7"/>
    <n v="6255160"/>
    <n v="6702824"/>
    <m/>
    <m/>
    <m/>
    <m/>
    <n v="9605612.4800000004"/>
    <n v="563592.76"/>
    <n v="10169205.24"/>
    <n v="10112498"/>
    <n v="785018"/>
    <n v="10897516"/>
    <n v="15860772.48"/>
    <n v="16815322"/>
    <m/>
    <m/>
    <m/>
    <m/>
    <n v="0"/>
    <m/>
    <m/>
    <n v="0"/>
    <m/>
    <m/>
    <m/>
    <m/>
    <m/>
    <m/>
    <n v="15860772.48"/>
    <n v="16815322"/>
  </r>
  <r>
    <x v="0"/>
    <x v="8"/>
    <s v="Special line items for education operations"/>
    <m/>
    <n v="101897"/>
    <x v="7"/>
    <m/>
    <m/>
    <m/>
    <m/>
    <m/>
    <m/>
    <m/>
    <m/>
    <n v="0"/>
    <m/>
    <m/>
    <n v="0"/>
    <n v="0"/>
    <n v="0"/>
    <m/>
    <m/>
    <m/>
    <m/>
    <n v="0"/>
    <m/>
    <m/>
    <n v="0"/>
    <m/>
    <m/>
    <m/>
    <m/>
    <m/>
    <m/>
    <n v="0"/>
    <n v="0"/>
  </r>
  <r>
    <x v="0"/>
    <x v="8"/>
    <s v="Special Population Training"/>
    <m/>
    <n v="101897"/>
    <x v="7"/>
    <m/>
    <m/>
    <n v="25000"/>
    <n v="168653"/>
    <m/>
    <m/>
    <m/>
    <m/>
    <n v="0"/>
    <m/>
    <m/>
    <n v="0"/>
    <n v="25000"/>
    <n v="168653"/>
    <m/>
    <m/>
    <m/>
    <m/>
    <n v="0"/>
    <m/>
    <m/>
    <n v="0"/>
    <m/>
    <m/>
    <m/>
    <m/>
    <m/>
    <m/>
    <n v="25000"/>
    <n v="168653"/>
  </r>
  <r>
    <x v="0"/>
    <x v="8"/>
    <s v="Adult Basic Education"/>
    <m/>
    <n v="101897"/>
    <x v="7"/>
    <m/>
    <m/>
    <n v="779704"/>
    <n v="1309960"/>
    <m/>
    <m/>
    <m/>
    <m/>
    <n v="0"/>
    <m/>
    <m/>
    <n v="0"/>
    <n v="779704"/>
    <n v="1309960"/>
    <m/>
    <m/>
    <m/>
    <m/>
    <n v="0"/>
    <m/>
    <m/>
    <n v="0"/>
    <m/>
    <m/>
    <m/>
    <m/>
    <m/>
    <m/>
    <n v="779704"/>
    <n v="1309960"/>
  </r>
  <r>
    <x v="0"/>
    <x v="8"/>
    <s v="Workforce Development"/>
    <m/>
    <n v="101897"/>
    <x v="7"/>
    <m/>
    <m/>
    <n v="332524"/>
    <n v="30938"/>
    <m/>
    <m/>
    <m/>
    <m/>
    <n v="0"/>
    <m/>
    <m/>
    <n v="0"/>
    <n v="332524"/>
    <n v="30938"/>
    <m/>
    <m/>
    <m/>
    <m/>
    <n v="0"/>
    <m/>
    <m/>
    <n v="0"/>
    <m/>
    <m/>
    <m/>
    <m/>
    <m/>
    <m/>
    <n v="332524"/>
    <n v="30938"/>
  </r>
  <r>
    <x v="0"/>
    <x v="0"/>
    <s v="Northwest-Shoals Community College "/>
    <m/>
    <n v="101736"/>
    <x v="7"/>
    <n v="11483948"/>
    <n v="10995547"/>
    <m/>
    <m/>
    <m/>
    <m/>
    <n v="11038906.859999999"/>
    <n v="513186"/>
    <n v="11552092.859999999"/>
    <n v="11066933"/>
    <n v="516795"/>
    <n v="11583728"/>
    <n v="22522854.859999999"/>
    <n v="22062480"/>
    <m/>
    <m/>
    <m/>
    <m/>
    <n v="0"/>
    <m/>
    <m/>
    <n v="0"/>
    <m/>
    <m/>
    <m/>
    <m/>
    <m/>
    <m/>
    <n v="22522854.859999999"/>
    <n v="22062480"/>
  </r>
  <r>
    <x v="0"/>
    <x v="8"/>
    <s v="Special line items for education operations"/>
    <m/>
    <n v="101736"/>
    <x v="7"/>
    <m/>
    <m/>
    <m/>
    <m/>
    <m/>
    <m/>
    <m/>
    <m/>
    <n v="0"/>
    <m/>
    <m/>
    <n v="0"/>
    <n v="0"/>
    <n v="0"/>
    <m/>
    <m/>
    <m/>
    <m/>
    <n v="0"/>
    <m/>
    <m/>
    <n v="0"/>
    <m/>
    <m/>
    <m/>
    <m/>
    <m/>
    <m/>
    <n v="0"/>
    <n v="0"/>
  </r>
  <r>
    <x v="0"/>
    <x v="8"/>
    <s v="Special Population Training"/>
    <m/>
    <n v="101736"/>
    <x v="7"/>
    <m/>
    <m/>
    <n v="536923"/>
    <n v="293520"/>
    <m/>
    <m/>
    <m/>
    <m/>
    <n v="0"/>
    <m/>
    <m/>
    <n v="0"/>
    <n v="536923"/>
    <n v="293520"/>
    <m/>
    <m/>
    <m/>
    <m/>
    <n v="0"/>
    <m/>
    <m/>
    <n v="0"/>
    <m/>
    <m/>
    <m/>
    <m/>
    <m/>
    <m/>
    <n v="536923"/>
    <n v="293520"/>
  </r>
  <r>
    <x v="0"/>
    <x v="8"/>
    <s v="Adult Basic Education"/>
    <m/>
    <n v="101736"/>
    <x v="7"/>
    <m/>
    <m/>
    <n v="516206"/>
    <n v="498523"/>
    <m/>
    <m/>
    <m/>
    <m/>
    <n v="0"/>
    <m/>
    <m/>
    <n v="0"/>
    <n v="516206"/>
    <n v="498523"/>
    <m/>
    <m/>
    <m/>
    <m/>
    <n v="0"/>
    <m/>
    <m/>
    <n v="0"/>
    <m/>
    <m/>
    <m/>
    <m/>
    <m/>
    <m/>
    <n v="516206"/>
    <n v="498523"/>
  </r>
  <r>
    <x v="0"/>
    <x v="8"/>
    <s v="Workforce Development"/>
    <m/>
    <n v="101736"/>
    <x v="7"/>
    <m/>
    <m/>
    <n v="85342"/>
    <n v="63500"/>
    <m/>
    <m/>
    <m/>
    <m/>
    <n v="0"/>
    <m/>
    <m/>
    <n v="0"/>
    <n v="85342"/>
    <n v="63500"/>
    <m/>
    <m/>
    <m/>
    <m/>
    <n v="0"/>
    <m/>
    <m/>
    <n v="0"/>
    <m/>
    <m/>
    <m/>
    <m/>
    <m/>
    <m/>
    <n v="85342"/>
    <n v="63500"/>
  </r>
  <r>
    <x v="0"/>
    <x v="0"/>
    <s v="Shelton State Community College"/>
    <m/>
    <n v="102067"/>
    <x v="7"/>
    <n v="17434896"/>
    <n v="18009332"/>
    <m/>
    <m/>
    <m/>
    <m/>
    <n v="8309910.7599999998"/>
    <n v="9482977.5999999996"/>
    <n v="17792888.359999999"/>
    <n v="18144076"/>
    <m/>
    <n v="18144076"/>
    <n v="25744806.759999998"/>
    <n v="36153408"/>
    <m/>
    <m/>
    <m/>
    <m/>
    <n v="0"/>
    <m/>
    <m/>
    <n v="0"/>
    <m/>
    <m/>
    <m/>
    <m/>
    <m/>
    <m/>
    <n v="25744806.759999998"/>
    <n v="36153408"/>
  </r>
  <r>
    <x v="0"/>
    <x v="3"/>
    <s v="Community or public service units"/>
    <m/>
    <n v="102067"/>
    <x v="7"/>
    <m/>
    <m/>
    <m/>
    <m/>
    <m/>
    <m/>
    <m/>
    <m/>
    <n v="0"/>
    <m/>
    <m/>
    <n v="0"/>
    <n v="0"/>
    <n v="0"/>
    <m/>
    <m/>
    <m/>
    <m/>
    <n v="0"/>
    <m/>
    <m/>
    <n v="0"/>
    <m/>
    <m/>
    <m/>
    <m/>
    <m/>
    <m/>
    <n v="0"/>
    <n v="0"/>
  </r>
  <r>
    <x v="0"/>
    <x v="3"/>
    <s v="Poison Control Center"/>
    <m/>
    <n v="102067"/>
    <x v="7"/>
    <m/>
    <m/>
    <n v="1030346"/>
    <m/>
    <m/>
    <m/>
    <m/>
    <m/>
    <n v="0"/>
    <m/>
    <m/>
    <n v="0"/>
    <n v="1030346"/>
    <n v="0"/>
    <m/>
    <m/>
    <m/>
    <m/>
    <n v="0"/>
    <m/>
    <m/>
    <n v="0"/>
    <m/>
    <m/>
    <m/>
    <m/>
    <m/>
    <m/>
    <n v="1030346"/>
    <n v="0"/>
  </r>
  <r>
    <x v="0"/>
    <x v="3"/>
    <s v="Partnership Preservation Of Labor Ed"/>
    <m/>
    <n v="102067"/>
    <x v="7"/>
    <m/>
    <m/>
    <m/>
    <m/>
    <m/>
    <m/>
    <m/>
    <m/>
    <n v="0"/>
    <m/>
    <m/>
    <n v="0"/>
    <n v="0"/>
    <n v="0"/>
    <m/>
    <m/>
    <m/>
    <m/>
    <n v="0"/>
    <m/>
    <m/>
    <n v="0"/>
    <m/>
    <m/>
    <m/>
    <m/>
    <m/>
    <m/>
    <n v="0"/>
    <n v="0"/>
  </r>
  <r>
    <x v="0"/>
    <x v="8"/>
    <s v="Special line items for education operations"/>
    <m/>
    <n v="102067"/>
    <x v="7"/>
    <m/>
    <m/>
    <m/>
    <m/>
    <m/>
    <m/>
    <m/>
    <m/>
    <n v="0"/>
    <m/>
    <m/>
    <n v="0"/>
    <n v="0"/>
    <n v="0"/>
    <m/>
    <m/>
    <m/>
    <m/>
    <n v="0"/>
    <m/>
    <m/>
    <n v="0"/>
    <m/>
    <m/>
    <m/>
    <m/>
    <m/>
    <m/>
    <n v="0"/>
    <n v="0"/>
  </r>
  <r>
    <x v="0"/>
    <x v="8"/>
    <s v="Special Population Training"/>
    <m/>
    <n v="102067"/>
    <x v="7"/>
    <m/>
    <m/>
    <n v="187136"/>
    <n v="132819"/>
    <m/>
    <m/>
    <m/>
    <m/>
    <n v="0"/>
    <m/>
    <m/>
    <n v="0"/>
    <n v="187136"/>
    <n v="132819"/>
    <m/>
    <m/>
    <m/>
    <m/>
    <n v="0"/>
    <m/>
    <m/>
    <n v="0"/>
    <m/>
    <m/>
    <m/>
    <m/>
    <m/>
    <m/>
    <n v="187136"/>
    <n v="132819"/>
  </r>
  <r>
    <x v="0"/>
    <x v="8"/>
    <s v="Adult Basic Education"/>
    <m/>
    <n v="102067"/>
    <x v="7"/>
    <m/>
    <m/>
    <n v="615434"/>
    <n v="551688"/>
    <m/>
    <m/>
    <m/>
    <m/>
    <n v="0"/>
    <m/>
    <m/>
    <n v="0"/>
    <n v="615434"/>
    <n v="551688"/>
    <m/>
    <m/>
    <m/>
    <m/>
    <n v="0"/>
    <m/>
    <m/>
    <n v="0"/>
    <m/>
    <m/>
    <m/>
    <m/>
    <m/>
    <m/>
    <n v="615434"/>
    <n v="551688"/>
  </r>
  <r>
    <x v="0"/>
    <x v="8"/>
    <s v="Workforce Development"/>
    <m/>
    <n v="102067"/>
    <x v="7"/>
    <m/>
    <m/>
    <n v="87488"/>
    <n v="84100"/>
    <m/>
    <m/>
    <m/>
    <m/>
    <n v="0"/>
    <m/>
    <m/>
    <n v="0"/>
    <n v="87488"/>
    <n v="84100"/>
    <m/>
    <m/>
    <m/>
    <m/>
    <n v="0"/>
    <m/>
    <m/>
    <n v="0"/>
    <m/>
    <m/>
    <m/>
    <m/>
    <m/>
    <m/>
    <n v="87488"/>
    <n v="84100"/>
  </r>
  <r>
    <x v="0"/>
    <x v="0"/>
    <s v="Southern Union State Community College"/>
    <m/>
    <n v="251260"/>
    <x v="7"/>
    <n v="13625005"/>
    <n v="13474260"/>
    <m/>
    <m/>
    <m/>
    <m/>
    <n v="14233053.42"/>
    <n v="2214256.2599999998"/>
    <n v="16447309.68"/>
    <n v="14294770"/>
    <n v="2218736"/>
    <n v="16513506"/>
    <n v="27858058.420000002"/>
    <n v="27769030"/>
    <m/>
    <m/>
    <m/>
    <m/>
    <n v="0"/>
    <m/>
    <m/>
    <n v="0"/>
    <m/>
    <m/>
    <m/>
    <m/>
    <m/>
    <m/>
    <n v="27858058.420000002"/>
    <n v="27769030"/>
  </r>
  <r>
    <x v="0"/>
    <x v="8"/>
    <s v="Special line items for education operations"/>
    <m/>
    <n v="251260"/>
    <x v="7"/>
    <m/>
    <m/>
    <m/>
    <m/>
    <m/>
    <m/>
    <m/>
    <m/>
    <n v="0"/>
    <m/>
    <m/>
    <n v="0"/>
    <n v="0"/>
    <n v="0"/>
    <m/>
    <m/>
    <m/>
    <m/>
    <n v="0"/>
    <m/>
    <m/>
    <n v="0"/>
    <m/>
    <m/>
    <m/>
    <m/>
    <m/>
    <m/>
    <n v="0"/>
    <n v="0"/>
  </r>
  <r>
    <x v="0"/>
    <x v="8"/>
    <s v="Special Population Training"/>
    <m/>
    <n v="251260"/>
    <x v="7"/>
    <m/>
    <m/>
    <n v="257812"/>
    <n v="29712"/>
    <m/>
    <m/>
    <m/>
    <m/>
    <n v="0"/>
    <m/>
    <m/>
    <n v="0"/>
    <n v="257812"/>
    <n v="29712"/>
    <m/>
    <m/>
    <m/>
    <m/>
    <n v="0"/>
    <m/>
    <m/>
    <n v="0"/>
    <m/>
    <m/>
    <m/>
    <m/>
    <m/>
    <m/>
    <n v="257812"/>
    <n v="29712"/>
  </r>
  <r>
    <x v="0"/>
    <x v="8"/>
    <s v="Adult Basic Education"/>
    <m/>
    <n v="251260"/>
    <x v="7"/>
    <m/>
    <m/>
    <n v="252015"/>
    <n v="635432"/>
    <m/>
    <m/>
    <m/>
    <m/>
    <n v="0"/>
    <m/>
    <m/>
    <n v="0"/>
    <n v="252015"/>
    <n v="635432"/>
    <m/>
    <m/>
    <m/>
    <m/>
    <n v="0"/>
    <m/>
    <m/>
    <n v="0"/>
    <m/>
    <m/>
    <m/>
    <m/>
    <m/>
    <m/>
    <n v="252015"/>
    <n v="635432"/>
  </r>
  <r>
    <x v="0"/>
    <x v="8"/>
    <s v="Workforce Development"/>
    <m/>
    <n v="251260"/>
    <x v="7"/>
    <m/>
    <m/>
    <n v="45906"/>
    <n v="11851"/>
    <m/>
    <m/>
    <m/>
    <m/>
    <n v="0"/>
    <m/>
    <m/>
    <n v="0"/>
    <n v="45906"/>
    <n v="11851"/>
    <m/>
    <m/>
    <m/>
    <m/>
    <n v="0"/>
    <m/>
    <m/>
    <n v="0"/>
    <m/>
    <m/>
    <m/>
    <m/>
    <m/>
    <m/>
    <n v="45906"/>
    <n v="11851"/>
  </r>
  <r>
    <x v="0"/>
    <x v="0"/>
    <s v="Alabama Southern Community College"/>
    <m/>
    <n v="101949"/>
    <x v="8"/>
    <n v="6573719"/>
    <n v="6062326"/>
    <m/>
    <m/>
    <n v="5000"/>
    <m/>
    <n v="4794516.5999999996"/>
    <n v="217585"/>
    <n v="5012101.5999999996"/>
    <n v="4793324"/>
    <n v="217993"/>
    <n v="5011317"/>
    <n v="11373235.6"/>
    <n v="10855650"/>
    <m/>
    <m/>
    <m/>
    <m/>
    <n v="0"/>
    <m/>
    <m/>
    <n v="0"/>
    <m/>
    <m/>
    <m/>
    <m/>
    <m/>
    <m/>
    <n v="11373235.6"/>
    <n v="10855650"/>
  </r>
  <r>
    <x v="0"/>
    <x v="8"/>
    <s v="Special line items for education operations"/>
    <m/>
    <n v="101949"/>
    <x v="8"/>
    <m/>
    <m/>
    <m/>
    <m/>
    <m/>
    <m/>
    <m/>
    <m/>
    <n v="0"/>
    <m/>
    <m/>
    <n v="0"/>
    <n v="0"/>
    <n v="0"/>
    <m/>
    <m/>
    <m/>
    <m/>
    <n v="0"/>
    <m/>
    <m/>
    <n v="0"/>
    <m/>
    <m/>
    <m/>
    <m/>
    <m/>
    <m/>
    <n v="0"/>
    <n v="0"/>
  </r>
  <r>
    <x v="0"/>
    <x v="8"/>
    <s v="Special Population Training"/>
    <m/>
    <n v="101949"/>
    <x v="8"/>
    <m/>
    <m/>
    <n v="812085"/>
    <n v="17669"/>
    <m/>
    <m/>
    <m/>
    <m/>
    <n v="0"/>
    <m/>
    <m/>
    <n v="0"/>
    <n v="812085"/>
    <n v="17669"/>
    <m/>
    <m/>
    <m/>
    <m/>
    <n v="0"/>
    <m/>
    <m/>
    <n v="0"/>
    <m/>
    <m/>
    <m/>
    <m/>
    <m/>
    <m/>
    <n v="812085"/>
    <n v="17669"/>
  </r>
  <r>
    <x v="0"/>
    <x v="8"/>
    <s v="Adult Basic Education"/>
    <m/>
    <n v="101949"/>
    <x v="8"/>
    <m/>
    <m/>
    <n v="366318"/>
    <n v="336009"/>
    <m/>
    <m/>
    <m/>
    <m/>
    <n v="0"/>
    <m/>
    <m/>
    <n v="0"/>
    <n v="366318"/>
    <n v="336009"/>
    <m/>
    <m/>
    <m/>
    <m/>
    <n v="0"/>
    <m/>
    <m/>
    <n v="0"/>
    <m/>
    <m/>
    <m/>
    <m/>
    <m/>
    <m/>
    <n v="366318"/>
    <n v="336009"/>
  </r>
  <r>
    <x v="0"/>
    <x v="8"/>
    <s v="Workforce Development"/>
    <m/>
    <n v="101949"/>
    <x v="8"/>
    <m/>
    <m/>
    <n v="178607"/>
    <n v="61183"/>
    <m/>
    <m/>
    <m/>
    <m/>
    <n v="0"/>
    <m/>
    <m/>
    <n v="0"/>
    <n v="178607"/>
    <n v="61183"/>
    <m/>
    <m/>
    <m/>
    <m/>
    <n v="0"/>
    <m/>
    <m/>
    <n v="0"/>
    <m/>
    <m/>
    <m/>
    <m/>
    <m/>
    <m/>
    <n v="178607"/>
    <n v="61183"/>
  </r>
  <r>
    <x v="0"/>
    <x v="0"/>
    <s v="Chattahoochee Valley State Community College "/>
    <m/>
    <n v="101028"/>
    <x v="8"/>
    <n v="5322990"/>
    <n v="5346548"/>
    <m/>
    <m/>
    <m/>
    <m/>
    <n v="5198158.57"/>
    <n v="614638"/>
    <n v="5812796.5700000003"/>
    <n v="5479102"/>
    <n v="614638"/>
    <n v="6093740"/>
    <n v="10521148.57"/>
    <n v="10825650"/>
    <m/>
    <m/>
    <m/>
    <m/>
    <n v="0"/>
    <m/>
    <m/>
    <n v="0"/>
    <m/>
    <m/>
    <m/>
    <m/>
    <m/>
    <m/>
    <n v="10521148.57"/>
    <n v="10825650"/>
  </r>
  <r>
    <x v="0"/>
    <x v="8"/>
    <s v="Special line items for education operations"/>
    <m/>
    <n v="101028"/>
    <x v="8"/>
    <m/>
    <m/>
    <m/>
    <m/>
    <m/>
    <m/>
    <m/>
    <m/>
    <n v="0"/>
    <m/>
    <m/>
    <n v="0"/>
    <n v="0"/>
    <n v="0"/>
    <m/>
    <m/>
    <m/>
    <m/>
    <n v="0"/>
    <m/>
    <m/>
    <n v="0"/>
    <m/>
    <m/>
    <m/>
    <m/>
    <m/>
    <m/>
    <n v="0"/>
    <n v="0"/>
  </r>
  <r>
    <x v="0"/>
    <x v="8"/>
    <s v="Special Population Training"/>
    <m/>
    <n v="101028"/>
    <x v="8"/>
    <m/>
    <m/>
    <n v="64761"/>
    <n v="152822"/>
    <m/>
    <m/>
    <m/>
    <m/>
    <n v="0"/>
    <m/>
    <m/>
    <n v="0"/>
    <n v="64761"/>
    <n v="152822"/>
    <m/>
    <m/>
    <m/>
    <m/>
    <n v="0"/>
    <m/>
    <m/>
    <n v="0"/>
    <m/>
    <m/>
    <m/>
    <m/>
    <m/>
    <m/>
    <n v="64761"/>
    <n v="152822"/>
  </r>
  <r>
    <x v="0"/>
    <x v="8"/>
    <s v="Adult Basic Education"/>
    <m/>
    <n v="101028"/>
    <x v="8"/>
    <m/>
    <m/>
    <n v="138526"/>
    <n v="183654"/>
    <m/>
    <m/>
    <m/>
    <m/>
    <n v="0"/>
    <m/>
    <m/>
    <n v="0"/>
    <n v="138526"/>
    <n v="183654"/>
    <m/>
    <m/>
    <m/>
    <m/>
    <n v="0"/>
    <m/>
    <m/>
    <n v="0"/>
    <m/>
    <m/>
    <m/>
    <m/>
    <m/>
    <m/>
    <n v="138526"/>
    <n v="183654"/>
  </r>
  <r>
    <x v="0"/>
    <x v="8"/>
    <s v="Workforce Development"/>
    <m/>
    <n v="101028"/>
    <x v="8"/>
    <m/>
    <m/>
    <n v="110911"/>
    <n v="30510"/>
    <m/>
    <m/>
    <m/>
    <m/>
    <n v="0"/>
    <m/>
    <m/>
    <n v="0"/>
    <n v="110911"/>
    <n v="30510"/>
    <m/>
    <m/>
    <m/>
    <m/>
    <n v="0"/>
    <m/>
    <m/>
    <n v="0"/>
    <m/>
    <m/>
    <m/>
    <m/>
    <m/>
    <m/>
    <n v="110911"/>
    <n v="30510"/>
  </r>
  <r>
    <x v="0"/>
    <x v="0"/>
    <s v="George Corley Wallace State Community College - Selma"/>
    <m/>
    <n v="101301"/>
    <x v="8"/>
    <n v="8400096"/>
    <n v="7675096"/>
    <m/>
    <m/>
    <m/>
    <m/>
    <n v="6481035.3300000001"/>
    <m/>
    <n v="6481035.3300000001"/>
    <n v="6863869"/>
    <m/>
    <n v="6863869"/>
    <n v="14881131.33"/>
    <n v="14538965"/>
    <m/>
    <m/>
    <m/>
    <m/>
    <n v="0"/>
    <m/>
    <m/>
    <n v="0"/>
    <m/>
    <m/>
    <m/>
    <m/>
    <m/>
    <m/>
    <n v="14881131.33"/>
    <n v="14538965"/>
  </r>
  <r>
    <x v="0"/>
    <x v="8"/>
    <s v="Special line items for education operations"/>
    <m/>
    <n v="101301"/>
    <x v="8"/>
    <m/>
    <m/>
    <m/>
    <m/>
    <m/>
    <m/>
    <m/>
    <m/>
    <n v="0"/>
    <m/>
    <m/>
    <n v="0"/>
    <n v="0"/>
    <n v="0"/>
    <m/>
    <m/>
    <m/>
    <m/>
    <n v="0"/>
    <m/>
    <m/>
    <n v="0"/>
    <m/>
    <m/>
    <m/>
    <m/>
    <m/>
    <m/>
    <n v="0"/>
    <n v="0"/>
  </r>
  <r>
    <x v="0"/>
    <x v="8"/>
    <s v="Special Population Training"/>
    <m/>
    <n v="101301"/>
    <x v="8"/>
    <m/>
    <m/>
    <n v="50000"/>
    <n v="152196"/>
    <m/>
    <m/>
    <m/>
    <m/>
    <n v="0"/>
    <m/>
    <m/>
    <n v="0"/>
    <n v="50000"/>
    <n v="152196"/>
    <m/>
    <m/>
    <m/>
    <m/>
    <n v="0"/>
    <m/>
    <m/>
    <n v="0"/>
    <m/>
    <m/>
    <m/>
    <m/>
    <m/>
    <m/>
    <n v="50000"/>
    <n v="152196"/>
  </r>
  <r>
    <x v="0"/>
    <x v="8"/>
    <s v="Adult Basic Education"/>
    <m/>
    <n v="101301"/>
    <x v="8"/>
    <m/>
    <m/>
    <n v="208831"/>
    <n v="216219"/>
    <m/>
    <m/>
    <m/>
    <m/>
    <n v="0"/>
    <m/>
    <m/>
    <n v="0"/>
    <n v="208831"/>
    <n v="216219"/>
    <m/>
    <m/>
    <m/>
    <m/>
    <n v="0"/>
    <m/>
    <m/>
    <n v="0"/>
    <m/>
    <m/>
    <m/>
    <m/>
    <m/>
    <m/>
    <n v="208831"/>
    <n v="216219"/>
  </r>
  <r>
    <x v="0"/>
    <x v="8"/>
    <s v="Workforce Development"/>
    <m/>
    <n v="101301"/>
    <x v="8"/>
    <m/>
    <m/>
    <n v="38484"/>
    <n v="10000"/>
    <m/>
    <m/>
    <m/>
    <m/>
    <n v="0"/>
    <m/>
    <m/>
    <n v="0"/>
    <n v="38484"/>
    <n v="10000"/>
    <m/>
    <m/>
    <m/>
    <m/>
    <n v="0"/>
    <m/>
    <m/>
    <n v="0"/>
    <m/>
    <m/>
    <m/>
    <m/>
    <m/>
    <m/>
    <n v="38484"/>
    <n v="10000"/>
  </r>
  <r>
    <x v="0"/>
    <x v="0"/>
    <s v="Jefferson Davis Community College"/>
    <m/>
    <n v="101499"/>
    <x v="8"/>
    <n v="5861094"/>
    <n v="5845241"/>
    <m/>
    <m/>
    <m/>
    <m/>
    <n v="3431106.77"/>
    <n v="176013.69"/>
    <n v="3607120.46"/>
    <n v="3605490"/>
    <n v="172755"/>
    <n v="3778245"/>
    <n v="9292200.7699999996"/>
    <n v="9450731"/>
    <m/>
    <m/>
    <m/>
    <m/>
    <n v="0"/>
    <m/>
    <m/>
    <n v="0"/>
    <m/>
    <m/>
    <m/>
    <m/>
    <m/>
    <m/>
    <n v="9292200.7699999996"/>
    <n v="9450731"/>
  </r>
  <r>
    <x v="0"/>
    <x v="8"/>
    <s v="Special line items for education operations"/>
    <m/>
    <n v="101499"/>
    <x v="8"/>
    <m/>
    <m/>
    <m/>
    <m/>
    <m/>
    <m/>
    <m/>
    <m/>
    <n v="0"/>
    <m/>
    <m/>
    <n v="0"/>
    <n v="0"/>
    <n v="0"/>
    <m/>
    <m/>
    <m/>
    <m/>
    <n v="0"/>
    <m/>
    <m/>
    <n v="0"/>
    <m/>
    <m/>
    <m/>
    <m/>
    <m/>
    <m/>
    <n v="0"/>
    <n v="0"/>
  </r>
  <r>
    <x v="0"/>
    <x v="8"/>
    <s v="Special Population Training"/>
    <m/>
    <n v="101499"/>
    <x v="8"/>
    <m/>
    <m/>
    <n v="253069"/>
    <n v="304677"/>
    <m/>
    <m/>
    <m/>
    <m/>
    <n v="0"/>
    <m/>
    <m/>
    <n v="0"/>
    <n v="253069"/>
    <n v="304677"/>
    <m/>
    <m/>
    <m/>
    <m/>
    <n v="0"/>
    <m/>
    <m/>
    <n v="0"/>
    <m/>
    <m/>
    <m/>
    <m/>
    <m/>
    <m/>
    <n v="253069"/>
    <n v="304677"/>
  </r>
  <r>
    <x v="0"/>
    <x v="8"/>
    <s v="Adult Basic Education"/>
    <m/>
    <n v="101499"/>
    <x v="8"/>
    <m/>
    <m/>
    <n v="240550"/>
    <n v="319529"/>
    <m/>
    <m/>
    <m/>
    <m/>
    <n v="0"/>
    <m/>
    <m/>
    <n v="0"/>
    <n v="240550"/>
    <n v="319529"/>
    <m/>
    <m/>
    <m/>
    <m/>
    <n v="0"/>
    <m/>
    <m/>
    <n v="0"/>
    <m/>
    <m/>
    <m/>
    <m/>
    <m/>
    <m/>
    <n v="240550"/>
    <n v="319529"/>
  </r>
  <r>
    <x v="0"/>
    <x v="8"/>
    <s v="Workforce Development"/>
    <m/>
    <n v="101499"/>
    <x v="8"/>
    <m/>
    <m/>
    <m/>
    <n v="79888"/>
    <m/>
    <m/>
    <m/>
    <m/>
    <n v="0"/>
    <m/>
    <m/>
    <n v="0"/>
    <n v="0"/>
    <n v="79888"/>
    <m/>
    <m/>
    <m/>
    <m/>
    <n v="0"/>
    <m/>
    <m/>
    <n v="0"/>
    <m/>
    <m/>
    <m/>
    <m/>
    <m/>
    <m/>
    <n v="0"/>
    <n v="79888"/>
  </r>
  <r>
    <x v="0"/>
    <x v="0"/>
    <s v="Lurleen B. Wallace Community College "/>
    <m/>
    <n v="101602"/>
    <x v="8"/>
    <n v="6956796"/>
    <n v="6681189"/>
    <m/>
    <m/>
    <m/>
    <n v="199000"/>
    <n v="5415890.7800000003"/>
    <n v="359337.5"/>
    <n v="5775228.2800000003"/>
    <n v="5299968"/>
    <n v="359098"/>
    <n v="5659066"/>
    <n v="12372686.780000001"/>
    <n v="12180157"/>
    <m/>
    <m/>
    <m/>
    <m/>
    <n v="0"/>
    <m/>
    <m/>
    <n v="0"/>
    <m/>
    <m/>
    <m/>
    <m/>
    <m/>
    <m/>
    <n v="12372686.780000001"/>
    <n v="12180157"/>
  </r>
  <r>
    <x v="0"/>
    <x v="8"/>
    <s v="Special line items for education operations"/>
    <m/>
    <n v="101602"/>
    <x v="8"/>
    <m/>
    <m/>
    <m/>
    <m/>
    <m/>
    <m/>
    <m/>
    <m/>
    <n v="0"/>
    <m/>
    <m/>
    <n v="0"/>
    <n v="0"/>
    <n v="0"/>
    <m/>
    <m/>
    <m/>
    <m/>
    <n v="0"/>
    <m/>
    <m/>
    <n v="0"/>
    <m/>
    <m/>
    <m/>
    <m/>
    <m/>
    <m/>
    <n v="0"/>
    <n v="0"/>
  </r>
  <r>
    <x v="0"/>
    <x v="8"/>
    <s v="Special Population Training"/>
    <m/>
    <n v="101602"/>
    <x v="8"/>
    <m/>
    <m/>
    <n v="269905"/>
    <n v="180717"/>
    <m/>
    <m/>
    <m/>
    <m/>
    <n v="0"/>
    <m/>
    <m/>
    <n v="0"/>
    <n v="269905"/>
    <n v="180717"/>
    <m/>
    <m/>
    <m/>
    <m/>
    <n v="0"/>
    <m/>
    <m/>
    <n v="0"/>
    <m/>
    <m/>
    <m/>
    <m/>
    <m/>
    <m/>
    <n v="269905"/>
    <n v="180717"/>
  </r>
  <r>
    <x v="0"/>
    <x v="8"/>
    <s v="Adult Basic Education"/>
    <m/>
    <n v="101602"/>
    <x v="8"/>
    <m/>
    <m/>
    <n v="175136"/>
    <n v="488303"/>
    <m/>
    <m/>
    <m/>
    <m/>
    <n v="0"/>
    <m/>
    <m/>
    <n v="0"/>
    <n v="175136"/>
    <n v="488303"/>
    <m/>
    <m/>
    <m/>
    <m/>
    <n v="0"/>
    <m/>
    <m/>
    <n v="0"/>
    <m/>
    <m/>
    <m/>
    <m/>
    <m/>
    <m/>
    <n v="175136"/>
    <n v="488303"/>
  </r>
  <r>
    <x v="0"/>
    <x v="8"/>
    <s v="Workforce Development"/>
    <m/>
    <n v="101602"/>
    <x v="8"/>
    <m/>
    <m/>
    <n v="45000"/>
    <n v="124316"/>
    <m/>
    <m/>
    <m/>
    <m/>
    <n v="0"/>
    <m/>
    <m/>
    <n v="0"/>
    <n v="45000"/>
    <n v="124316"/>
    <m/>
    <m/>
    <m/>
    <m/>
    <n v="0"/>
    <m/>
    <m/>
    <n v="0"/>
    <m/>
    <m/>
    <m/>
    <m/>
    <m/>
    <m/>
    <n v="45000"/>
    <n v="124316"/>
  </r>
  <r>
    <x v="0"/>
    <x v="0"/>
    <s v="Snead State Community College "/>
    <s v="Met the criteria for Two-Year 2 in 2012-13."/>
    <n v="102076"/>
    <x v="8"/>
    <n v="5861484"/>
    <n v="6205328"/>
    <m/>
    <m/>
    <m/>
    <m/>
    <n v="7600070.9000000004"/>
    <n v="949170.35"/>
    <n v="8549241.25"/>
    <n v="7331616"/>
    <n v="861844"/>
    <n v="8193460"/>
    <n v="13461554.9"/>
    <n v="13536944"/>
    <m/>
    <m/>
    <m/>
    <m/>
    <n v="0"/>
    <m/>
    <m/>
    <n v="0"/>
    <m/>
    <m/>
    <m/>
    <m/>
    <m/>
    <m/>
    <n v="13461554.9"/>
    <n v="13536944"/>
  </r>
  <r>
    <x v="0"/>
    <x v="8"/>
    <s v="Special line items for education operations"/>
    <m/>
    <n v="102076"/>
    <x v="8"/>
    <m/>
    <m/>
    <m/>
    <m/>
    <m/>
    <m/>
    <m/>
    <m/>
    <n v="0"/>
    <m/>
    <m/>
    <n v="0"/>
    <n v="0"/>
    <n v="0"/>
    <m/>
    <m/>
    <m/>
    <m/>
    <n v="0"/>
    <m/>
    <m/>
    <n v="0"/>
    <m/>
    <m/>
    <m/>
    <m/>
    <m/>
    <m/>
    <n v="0"/>
    <n v="0"/>
  </r>
  <r>
    <x v="0"/>
    <x v="8"/>
    <s v="Special Population Training"/>
    <m/>
    <n v="102076"/>
    <x v="8"/>
    <m/>
    <m/>
    <n v="175987"/>
    <n v="135030"/>
    <m/>
    <m/>
    <m/>
    <m/>
    <n v="0"/>
    <m/>
    <m/>
    <n v="0"/>
    <n v="175987"/>
    <n v="135030"/>
    <m/>
    <m/>
    <m/>
    <m/>
    <n v="0"/>
    <m/>
    <m/>
    <n v="0"/>
    <m/>
    <m/>
    <m/>
    <m/>
    <m/>
    <m/>
    <n v="175987"/>
    <n v="135030"/>
  </r>
  <r>
    <x v="0"/>
    <x v="8"/>
    <s v="Workforce Development"/>
    <m/>
    <n v="102076"/>
    <x v="8"/>
    <m/>
    <m/>
    <n v="150154"/>
    <n v="103375"/>
    <m/>
    <m/>
    <m/>
    <m/>
    <n v="0"/>
    <m/>
    <m/>
    <n v="0"/>
    <n v="150154"/>
    <n v="103375"/>
    <m/>
    <m/>
    <m/>
    <m/>
    <n v="0"/>
    <m/>
    <m/>
    <n v="0"/>
    <m/>
    <m/>
    <m/>
    <m/>
    <m/>
    <m/>
    <n v="150154"/>
    <n v="103375"/>
  </r>
  <r>
    <x v="0"/>
    <x v="0"/>
    <s v="Trenholm State Technical College"/>
    <m/>
    <n v="102313"/>
    <x v="9"/>
    <n v="9590348"/>
    <n v="9011348"/>
    <m/>
    <m/>
    <m/>
    <m/>
    <n v="4956514.9400000004"/>
    <n v="542314.04"/>
    <n v="5498828.9800000004"/>
    <n v="5138800"/>
    <n v="508430"/>
    <n v="5647230"/>
    <n v="14546862.940000001"/>
    <n v="14150148"/>
    <m/>
    <m/>
    <m/>
    <m/>
    <n v="0"/>
    <m/>
    <m/>
    <n v="0"/>
    <m/>
    <m/>
    <m/>
    <m/>
    <m/>
    <m/>
    <n v="14546862.940000001"/>
    <n v="14150148"/>
  </r>
  <r>
    <x v="0"/>
    <x v="8"/>
    <s v="Special line items for education operations"/>
    <m/>
    <n v="102313"/>
    <x v="9"/>
    <m/>
    <m/>
    <m/>
    <m/>
    <m/>
    <m/>
    <m/>
    <m/>
    <n v="0"/>
    <m/>
    <m/>
    <n v="0"/>
    <n v="0"/>
    <n v="0"/>
    <m/>
    <m/>
    <m/>
    <m/>
    <n v="0"/>
    <m/>
    <m/>
    <n v="0"/>
    <m/>
    <m/>
    <m/>
    <m/>
    <m/>
    <m/>
    <n v="0"/>
    <n v="0"/>
  </r>
  <r>
    <x v="0"/>
    <x v="8"/>
    <s v="Special Population Training"/>
    <m/>
    <n v="102313"/>
    <x v="9"/>
    <m/>
    <m/>
    <n v="206440"/>
    <n v="84007"/>
    <m/>
    <m/>
    <m/>
    <m/>
    <n v="0"/>
    <m/>
    <m/>
    <n v="0"/>
    <n v="206440"/>
    <n v="84007"/>
    <m/>
    <m/>
    <m/>
    <m/>
    <n v="0"/>
    <m/>
    <m/>
    <n v="0"/>
    <m/>
    <m/>
    <m/>
    <m/>
    <m/>
    <m/>
    <n v="206440"/>
    <n v="84007"/>
  </r>
  <r>
    <x v="0"/>
    <x v="8"/>
    <s v="Adult Basic Education"/>
    <m/>
    <n v="102313"/>
    <x v="9"/>
    <m/>
    <m/>
    <n v="580511"/>
    <n v="507971"/>
    <m/>
    <m/>
    <m/>
    <m/>
    <n v="0"/>
    <m/>
    <m/>
    <n v="0"/>
    <n v="580511"/>
    <n v="507971"/>
    <m/>
    <m/>
    <m/>
    <m/>
    <n v="0"/>
    <m/>
    <m/>
    <n v="0"/>
    <m/>
    <m/>
    <m/>
    <m/>
    <m/>
    <m/>
    <n v="580511"/>
    <n v="507971"/>
  </r>
  <r>
    <x v="0"/>
    <x v="8"/>
    <s v="Workforce Development"/>
    <m/>
    <n v="102313"/>
    <x v="9"/>
    <m/>
    <m/>
    <n v="136859"/>
    <n v="4875"/>
    <m/>
    <m/>
    <m/>
    <m/>
    <n v="0"/>
    <m/>
    <m/>
    <n v="0"/>
    <n v="136859"/>
    <n v="4875"/>
    <m/>
    <m/>
    <m/>
    <m/>
    <n v="0"/>
    <m/>
    <m/>
    <n v="0"/>
    <m/>
    <m/>
    <m/>
    <m/>
    <m/>
    <m/>
    <n v="136859"/>
    <n v="4875"/>
  </r>
  <r>
    <x v="0"/>
    <x v="0"/>
    <s v="J.F. Drake State Technical College "/>
    <m/>
    <n v="101462"/>
    <x v="10"/>
    <n v="4181591"/>
    <n v="4500394"/>
    <m/>
    <m/>
    <m/>
    <m/>
    <n v="3593067.17"/>
    <n v="180000"/>
    <n v="3773067.17"/>
    <n v="4586889"/>
    <n v="292687"/>
    <n v="4879576"/>
    <n v="7774658.1699999999"/>
    <n v="9087283"/>
    <m/>
    <m/>
    <m/>
    <m/>
    <n v="0"/>
    <m/>
    <m/>
    <n v="0"/>
    <m/>
    <m/>
    <m/>
    <m/>
    <m/>
    <m/>
    <n v="7774658.1699999999"/>
    <n v="9087283"/>
  </r>
  <r>
    <x v="0"/>
    <x v="8"/>
    <s v="Special line items for education operations"/>
    <m/>
    <n v="101462"/>
    <x v="10"/>
    <m/>
    <m/>
    <m/>
    <m/>
    <m/>
    <m/>
    <m/>
    <m/>
    <n v="0"/>
    <m/>
    <m/>
    <n v="0"/>
    <n v="0"/>
    <n v="0"/>
    <m/>
    <m/>
    <m/>
    <m/>
    <n v="0"/>
    <m/>
    <m/>
    <n v="0"/>
    <m/>
    <m/>
    <m/>
    <m/>
    <m/>
    <m/>
    <n v="0"/>
    <n v="0"/>
  </r>
  <r>
    <x v="0"/>
    <x v="8"/>
    <s v="Special Population Training"/>
    <m/>
    <n v="101462"/>
    <x v="10"/>
    <m/>
    <m/>
    <n v="166849"/>
    <n v="306787"/>
    <m/>
    <m/>
    <m/>
    <m/>
    <n v="0"/>
    <m/>
    <m/>
    <n v="0"/>
    <n v="166849"/>
    <n v="306787"/>
    <m/>
    <m/>
    <m/>
    <m/>
    <n v="0"/>
    <m/>
    <m/>
    <n v="0"/>
    <m/>
    <m/>
    <m/>
    <m/>
    <m/>
    <m/>
    <n v="166849"/>
    <n v="306787"/>
  </r>
  <r>
    <x v="0"/>
    <x v="8"/>
    <s v="Adult Basic Education"/>
    <m/>
    <n v="101462"/>
    <x v="10"/>
    <m/>
    <m/>
    <n v="144832"/>
    <n v="145654"/>
    <m/>
    <m/>
    <m/>
    <m/>
    <n v="0"/>
    <m/>
    <m/>
    <n v="0"/>
    <n v="144832"/>
    <n v="145654"/>
    <m/>
    <m/>
    <m/>
    <m/>
    <n v="0"/>
    <m/>
    <m/>
    <n v="0"/>
    <m/>
    <m/>
    <m/>
    <m/>
    <m/>
    <m/>
    <n v="144832"/>
    <n v="145654"/>
  </r>
  <r>
    <x v="0"/>
    <x v="8"/>
    <s v="Workforce Development"/>
    <m/>
    <n v="101462"/>
    <x v="10"/>
    <m/>
    <m/>
    <n v="65000"/>
    <m/>
    <m/>
    <m/>
    <m/>
    <m/>
    <n v="0"/>
    <m/>
    <m/>
    <n v="0"/>
    <n v="65000"/>
    <n v="0"/>
    <m/>
    <m/>
    <m/>
    <m/>
    <n v="0"/>
    <m/>
    <m/>
    <n v="0"/>
    <m/>
    <m/>
    <m/>
    <m/>
    <m/>
    <m/>
    <n v="65000"/>
    <n v="0"/>
  </r>
  <r>
    <x v="0"/>
    <x v="0"/>
    <s v="J.F. Ingram State Technical College "/>
    <m/>
    <n v="101471"/>
    <x v="10"/>
    <n v="6449850"/>
    <n v="6590537"/>
    <m/>
    <m/>
    <m/>
    <m/>
    <n v="2313827.21"/>
    <m/>
    <n v="2313827.21"/>
    <n v="2430720"/>
    <m/>
    <n v="2430720"/>
    <n v="8763677.2100000009"/>
    <n v="9021257"/>
    <m/>
    <m/>
    <m/>
    <m/>
    <n v="0"/>
    <m/>
    <m/>
    <n v="0"/>
    <m/>
    <m/>
    <m/>
    <m/>
    <m/>
    <m/>
    <n v="8763677.2100000009"/>
    <n v="9021257"/>
  </r>
  <r>
    <x v="0"/>
    <x v="8"/>
    <s v="Special line items for education operations"/>
    <m/>
    <n v="101471"/>
    <x v="10"/>
    <m/>
    <m/>
    <m/>
    <m/>
    <m/>
    <m/>
    <m/>
    <m/>
    <n v="0"/>
    <m/>
    <m/>
    <n v="0"/>
    <n v="0"/>
    <n v="0"/>
    <m/>
    <m/>
    <m/>
    <m/>
    <n v="0"/>
    <m/>
    <m/>
    <n v="0"/>
    <m/>
    <m/>
    <m/>
    <m/>
    <m/>
    <m/>
    <n v="0"/>
    <n v="0"/>
  </r>
  <r>
    <x v="0"/>
    <x v="8"/>
    <s v="Special Population Training"/>
    <m/>
    <n v="101471"/>
    <x v="10"/>
    <m/>
    <m/>
    <n v="21272"/>
    <n v="88500"/>
    <m/>
    <m/>
    <m/>
    <m/>
    <n v="0"/>
    <m/>
    <m/>
    <n v="0"/>
    <n v="21272"/>
    <n v="88500"/>
    <m/>
    <m/>
    <m/>
    <m/>
    <n v="0"/>
    <m/>
    <m/>
    <n v="0"/>
    <m/>
    <m/>
    <m/>
    <m/>
    <m/>
    <m/>
    <n v="21272"/>
    <n v="88500"/>
  </r>
  <r>
    <x v="0"/>
    <x v="8"/>
    <s v="Adult Basic Education"/>
    <m/>
    <n v="101471"/>
    <x v="10"/>
    <m/>
    <m/>
    <n v="564502"/>
    <n v="495637"/>
    <m/>
    <m/>
    <m/>
    <m/>
    <n v="0"/>
    <m/>
    <m/>
    <n v="0"/>
    <n v="564502"/>
    <n v="495637"/>
    <m/>
    <m/>
    <m/>
    <m/>
    <n v="0"/>
    <m/>
    <m/>
    <n v="0"/>
    <m/>
    <m/>
    <m/>
    <m/>
    <m/>
    <m/>
    <n v="564502"/>
    <n v="495637"/>
  </r>
  <r>
    <x v="0"/>
    <x v="8"/>
    <s v="Workforce Development"/>
    <m/>
    <n v="101471"/>
    <x v="10"/>
    <m/>
    <m/>
    <m/>
    <n v="7908"/>
    <m/>
    <m/>
    <m/>
    <m/>
    <n v="0"/>
    <m/>
    <m/>
    <n v="0"/>
    <n v="0"/>
    <n v="7908"/>
    <m/>
    <m/>
    <m/>
    <m/>
    <n v="0"/>
    <m/>
    <m/>
    <n v="0"/>
    <m/>
    <m/>
    <m/>
    <m/>
    <m/>
    <m/>
    <n v="0"/>
    <n v="7908"/>
  </r>
  <r>
    <x v="0"/>
    <x v="0"/>
    <s v="Reid State Technical College "/>
    <m/>
    <n v="101994"/>
    <x v="10"/>
    <n v="4141837"/>
    <n v="4201032"/>
    <m/>
    <m/>
    <m/>
    <m/>
    <n v="2222479.9700000002"/>
    <n v="249569.38"/>
    <n v="2472049.35"/>
    <n v="2148780"/>
    <n v="249668"/>
    <n v="2398448"/>
    <n v="6364316.9700000007"/>
    <n v="6349812"/>
    <m/>
    <m/>
    <m/>
    <m/>
    <n v="0"/>
    <m/>
    <m/>
    <n v="0"/>
    <m/>
    <m/>
    <m/>
    <m/>
    <m/>
    <m/>
    <n v="6364316.9700000007"/>
    <n v="6349812"/>
  </r>
  <r>
    <x v="0"/>
    <x v="8"/>
    <s v="Special line items for education operations"/>
    <m/>
    <n v="101994"/>
    <x v="10"/>
    <m/>
    <m/>
    <m/>
    <m/>
    <m/>
    <m/>
    <m/>
    <m/>
    <n v="0"/>
    <m/>
    <m/>
    <n v="0"/>
    <n v="0"/>
    <n v="0"/>
    <m/>
    <m/>
    <m/>
    <m/>
    <n v="0"/>
    <m/>
    <m/>
    <n v="0"/>
    <m/>
    <m/>
    <m/>
    <m/>
    <m/>
    <m/>
    <n v="0"/>
    <n v="0"/>
  </r>
  <r>
    <x v="0"/>
    <x v="8"/>
    <s v="Special Population Training"/>
    <m/>
    <n v="101994"/>
    <x v="10"/>
    <m/>
    <m/>
    <n v="113000"/>
    <n v="118029"/>
    <m/>
    <m/>
    <m/>
    <m/>
    <n v="0"/>
    <m/>
    <m/>
    <n v="0"/>
    <n v="113000"/>
    <n v="118029"/>
    <m/>
    <m/>
    <m/>
    <m/>
    <n v="0"/>
    <m/>
    <m/>
    <n v="0"/>
    <m/>
    <m/>
    <m/>
    <m/>
    <m/>
    <m/>
    <n v="113000"/>
    <n v="118029"/>
  </r>
  <r>
    <x v="0"/>
    <x v="8"/>
    <s v="Adult Basic Education"/>
    <m/>
    <n v="101994"/>
    <x v="10"/>
    <m/>
    <m/>
    <n v="158727"/>
    <n v="175699"/>
    <m/>
    <m/>
    <m/>
    <m/>
    <n v="0"/>
    <m/>
    <m/>
    <n v="0"/>
    <n v="158727"/>
    <n v="175699"/>
    <m/>
    <m/>
    <m/>
    <m/>
    <n v="0"/>
    <m/>
    <m/>
    <n v="0"/>
    <m/>
    <m/>
    <m/>
    <m/>
    <m/>
    <m/>
    <n v="158727"/>
    <n v="175699"/>
  </r>
  <r>
    <x v="0"/>
    <x v="8"/>
    <s v="Workforce Development"/>
    <m/>
    <n v="101994"/>
    <x v="10"/>
    <m/>
    <m/>
    <n v="153000"/>
    <m/>
    <m/>
    <m/>
    <m/>
    <m/>
    <n v="0"/>
    <m/>
    <m/>
    <n v="0"/>
    <n v="153000"/>
    <n v="0"/>
    <m/>
    <m/>
    <m/>
    <m/>
    <n v="0"/>
    <m/>
    <m/>
    <n v="0"/>
    <m/>
    <m/>
    <m/>
    <m/>
    <m/>
    <m/>
    <n v="153000"/>
    <n v="0"/>
  </r>
  <r>
    <x v="0"/>
    <x v="9"/>
    <s v="Marion Military Institute"/>
    <m/>
    <n v="101648"/>
    <x v="11"/>
    <m/>
    <m/>
    <m/>
    <m/>
    <m/>
    <m/>
    <m/>
    <m/>
    <n v="0"/>
    <m/>
    <m/>
    <n v="0"/>
    <n v="0"/>
    <n v="0"/>
    <n v="6052192"/>
    <n v="5875936"/>
    <n v="4009393"/>
    <n v="141498"/>
    <n v="4150891"/>
    <n v="3747000"/>
    <n v="177000"/>
    <n v="3924000"/>
    <m/>
    <m/>
    <m/>
    <m/>
    <m/>
    <m/>
    <n v="10061585"/>
    <n v="9622936"/>
  </r>
  <r>
    <x v="0"/>
    <x v="10"/>
    <s v="Educational special purpose funds - to statewide units"/>
    <m/>
    <m/>
    <x v="12"/>
    <m/>
    <m/>
    <m/>
    <m/>
    <m/>
    <m/>
    <m/>
    <m/>
    <n v="0"/>
    <m/>
    <m/>
    <n v="0"/>
    <n v="0"/>
    <n v="0"/>
    <m/>
    <m/>
    <m/>
    <m/>
    <n v="0"/>
    <m/>
    <m/>
    <n v="0"/>
    <m/>
    <m/>
    <m/>
    <m/>
    <m/>
    <m/>
    <n v="0"/>
    <n v="0"/>
  </r>
  <r>
    <x v="0"/>
    <x v="11"/>
    <s v="Research centers/institutes"/>
    <m/>
    <m/>
    <x v="12"/>
    <m/>
    <m/>
    <m/>
    <m/>
    <m/>
    <m/>
    <m/>
    <m/>
    <n v="0"/>
    <m/>
    <m/>
    <n v="0"/>
    <n v="0"/>
    <n v="0"/>
    <m/>
    <m/>
    <m/>
    <m/>
    <n v="0"/>
    <m/>
    <m/>
    <n v="0"/>
    <m/>
    <m/>
    <m/>
    <m/>
    <m/>
    <m/>
    <n v="0"/>
    <n v="0"/>
  </r>
  <r>
    <x v="0"/>
    <x v="11"/>
    <s v="Exprmntl Prog. for the Stimulation of Competitive Rsrch (EPSCOR) Consort."/>
    <m/>
    <m/>
    <x v="12"/>
    <m/>
    <m/>
    <n v="1201924"/>
    <n v="1143088"/>
    <m/>
    <m/>
    <m/>
    <m/>
    <n v="0"/>
    <m/>
    <m/>
    <n v="0"/>
    <n v="1201924"/>
    <n v="1143088"/>
    <m/>
    <m/>
    <m/>
    <m/>
    <n v="0"/>
    <m/>
    <m/>
    <n v="0"/>
    <m/>
    <m/>
    <m/>
    <m/>
    <m/>
    <m/>
    <n v="1201924"/>
    <n v="1143088"/>
  </r>
  <r>
    <x v="0"/>
    <x v="11"/>
    <s v="MESC/Dauphin Isl Sealab/Marine Environmental Sci Consort."/>
    <m/>
    <m/>
    <x v="12"/>
    <m/>
    <m/>
    <n v="3677464"/>
    <n v="3603915"/>
    <m/>
    <m/>
    <m/>
    <m/>
    <n v="0"/>
    <m/>
    <m/>
    <n v="0"/>
    <n v="3677464"/>
    <n v="3603915"/>
    <m/>
    <m/>
    <m/>
    <m/>
    <n v="0"/>
    <m/>
    <m/>
    <n v="0"/>
    <m/>
    <m/>
    <m/>
    <m/>
    <m/>
    <m/>
    <n v="3677464"/>
    <n v="3603915"/>
  </r>
  <r>
    <x v="0"/>
    <x v="12"/>
    <s v="Special line items for education operations"/>
    <m/>
    <m/>
    <x v="12"/>
    <m/>
    <m/>
    <m/>
    <m/>
    <m/>
    <m/>
    <m/>
    <m/>
    <n v="0"/>
    <m/>
    <m/>
    <n v="0"/>
    <n v="0"/>
    <n v="0"/>
    <m/>
    <m/>
    <m/>
    <m/>
    <n v="0"/>
    <m/>
    <m/>
    <n v="0"/>
    <m/>
    <m/>
    <m/>
    <m/>
    <m/>
    <m/>
    <n v="0"/>
    <n v="0"/>
  </r>
  <r>
    <x v="0"/>
    <x v="12"/>
    <s v="Network of Al Academic Libraries (NAAL)"/>
    <m/>
    <m/>
    <x v="12"/>
    <m/>
    <m/>
    <n v="412590"/>
    <n v="301248"/>
    <m/>
    <m/>
    <m/>
    <m/>
    <n v="0"/>
    <m/>
    <m/>
    <n v="0"/>
    <n v="412590"/>
    <n v="301248"/>
    <m/>
    <m/>
    <m/>
    <m/>
    <n v="0"/>
    <m/>
    <m/>
    <n v="0"/>
    <m/>
    <m/>
    <m/>
    <m/>
    <m/>
    <m/>
    <n v="412590"/>
    <n v="301248"/>
  </r>
  <r>
    <x v="0"/>
    <x v="12"/>
    <s v="AL Agricultural LG Alliance"/>
    <m/>
    <m/>
    <x v="12"/>
    <m/>
    <m/>
    <n v="839524"/>
    <n v="922451"/>
    <m/>
    <m/>
    <m/>
    <m/>
    <n v="0"/>
    <m/>
    <m/>
    <n v="0"/>
    <n v="839524"/>
    <n v="922451"/>
    <m/>
    <m/>
    <m/>
    <m/>
    <n v="0"/>
    <m/>
    <m/>
    <n v="0"/>
    <m/>
    <m/>
    <m/>
    <m/>
    <m/>
    <m/>
    <n v="839524"/>
    <n v="922451"/>
  </r>
  <r>
    <x v="0"/>
    <x v="12"/>
    <s v="AL Firefighters' Personnel Standards &amp; Ed Commission’s “Alabama Fire College”"/>
    <m/>
    <m/>
    <x v="12"/>
    <m/>
    <m/>
    <n v="3731064"/>
    <n v="2899521"/>
    <m/>
    <m/>
    <m/>
    <m/>
    <n v="0"/>
    <m/>
    <m/>
    <n v="0"/>
    <n v="3731064"/>
    <n v="2899521"/>
    <m/>
    <m/>
    <m/>
    <m/>
    <n v="0"/>
    <m/>
    <m/>
    <n v="0"/>
    <m/>
    <m/>
    <m/>
    <m/>
    <m/>
    <m/>
    <n v="3731064"/>
    <n v="2899521"/>
  </r>
  <r>
    <x v="0"/>
    <x v="12"/>
    <s v="Adult Basic Education"/>
    <m/>
    <m/>
    <x v="12"/>
    <m/>
    <m/>
    <n v="5187889"/>
    <n v="825132"/>
    <m/>
    <m/>
    <m/>
    <m/>
    <n v="0"/>
    <m/>
    <m/>
    <n v="0"/>
    <n v="5187889"/>
    <n v="825132"/>
    <m/>
    <m/>
    <m/>
    <m/>
    <n v="0"/>
    <m/>
    <m/>
    <n v="0"/>
    <m/>
    <m/>
    <m/>
    <m/>
    <m/>
    <m/>
    <n v="5187889"/>
    <n v="825132"/>
  </r>
  <r>
    <x v="0"/>
    <x v="12"/>
    <s v="Alabama Technology Network"/>
    <m/>
    <m/>
    <x v="12"/>
    <m/>
    <m/>
    <n v="4680370"/>
    <n v="4586762"/>
    <m/>
    <m/>
    <m/>
    <m/>
    <n v="0"/>
    <m/>
    <m/>
    <n v="0"/>
    <n v="4680370"/>
    <n v="4586762"/>
    <m/>
    <m/>
    <m/>
    <m/>
    <n v="0"/>
    <m/>
    <m/>
    <n v="0"/>
    <m/>
    <m/>
    <m/>
    <m/>
    <m/>
    <m/>
    <n v="4680370"/>
    <n v="4586762"/>
  </r>
  <r>
    <x v="0"/>
    <x v="12"/>
    <s v="Special Population Training"/>
    <m/>
    <m/>
    <x v="12"/>
    <m/>
    <m/>
    <n v="261075"/>
    <n v="951980"/>
    <m/>
    <m/>
    <m/>
    <m/>
    <n v="0"/>
    <m/>
    <m/>
    <n v="0"/>
    <n v="261075"/>
    <n v="951980"/>
    <m/>
    <m/>
    <m/>
    <m/>
    <n v="0"/>
    <m/>
    <m/>
    <n v="0"/>
    <m/>
    <m/>
    <m/>
    <m/>
    <m/>
    <m/>
    <n v="261075"/>
    <n v="951980"/>
  </r>
  <r>
    <x v="0"/>
    <x v="12"/>
    <s v="Prison Education - Therapeutic Training"/>
    <m/>
    <m/>
    <x v="12"/>
    <m/>
    <m/>
    <n v="1999898"/>
    <n v="1939901"/>
    <m/>
    <m/>
    <m/>
    <m/>
    <n v="0"/>
    <m/>
    <m/>
    <n v="0"/>
    <n v="1999898"/>
    <n v="1939901"/>
    <m/>
    <m/>
    <m/>
    <m/>
    <n v="0"/>
    <m/>
    <m/>
    <n v="0"/>
    <m/>
    <m/>
    <m/>
    <m/>
    <m/>
    <m/>
    <n v="1999898"/>
    <n v="1939901"/>
  </r>
  <r>
    <x v="0"/>
    <x v="12"/>
    <s v="LifeTech"/>
    <m/>
    <m/>
    <x v="12"/>
    <m/>
    <m/>
    <m/>
    <n v="2300000"/>
    <m/>
    <m/>
    <m/>
    <m/>
    <n v="0"/>
    <m/>
    <m/>
    <n v="0"/>
    <n v="0"/>
    <n v="2300000"/>
    <m/>
    <m/>
    <m/>
    <m/>
    <n v="0"/>
    <m/>
    <m/>
    <n v="0"/>
    <m/>
    <m/>
    <m/>
    <m/>
    <m/>
    <m/>
    <n v="0"/>
    <n v="2300000"/>
  </r>
  <r>
    <x v="0"/>
    <x v="12"/>
    <s v="Workforce Development"/>
    <m/>
    <m/>
    <x v="12"/>
    <m/>
    <m/>
    <n v="1448013"/>
    <n v="559689"/>
    <m/>
    <m/>
    <m/>
    <m/>
    <n v="0"/>
    <m/>
    <m/>
    <n v="0"/>
    <n v="1448013"/>
    <n v="559689"/>
    <m/>
    <m/>
    <m/>
    <m/>
    <n v="0"/>
    <m/>
    <m/>
    <n v="0"/>
    <m/>
    <m/>
    <m/>
    <m/>
    <m/>
    <m/>
    <n v="1448013"/>
    <n v="559689"/>
  </r>
  <r>
    <x v="0"/>
    <x v="12"/>
    <s v="Washington Ctr Internship Pgm"/>
    <m/>
    <m/>
    <x v="12"/>
    <m/>
    <m/>
    <n v="29799"/>
    <n v="23040"/>
    <m/>
    <m/>
    <m/>
    <m/>
    <n v="0"/>
    <m/>
    <m/>
    <n v="0"/>
    <n v="29799"/>
    <n v="23040"/>
    <m/>
    <m/>
    <m/>
    <m/>
    <n v="0"/>
    <m/>
    <m/>
    <n v="0"/>
    <m/>
    <m/>
    <m/>
    <m/>
    <m/>
    <m/>
    <n v="29799"/>
    <n v="23040"/>
  </r>
  <r>
    <x v="0"/>
    <x v="12"/>
    <s v="ESL Program"/>
    <m/>
    <m/>
    <x v="12"/>
    <m/>
    <m/>
    <n v="194000"/>
    <m/>
    <m/>
    <m/>
    <m/>
    <m/>
    <n v="0"/>
    <m/>
    <m/>
    <n v="0"/>
    <n v="194000"/>
    <n v="0"/>
    <m/>
    <m/>
    <m/>
    <m/>
    <n v="0"/>
    <m/>
    <m/>
    <n v="0"/>
    <m/>
    <m/>
    <m/>
    <m/>
    <m/>
    <m/>
    <n v="194000"/>
    <n v="0"/>
  </r>
  <r>
    <x v="0"/>
    <x v="12"/>
    <s v="Mine Safety Training Pgm"/>
    <m/>
    <m/>
    <x v="12"/>
    <m/>
    <m/>
    <n v="237768"/>
    <n v="320635"/>
    <m/>
    <m/>
    <m/>
    <m/>
    <n v="0"/>
    <m/>
    <m/>
    <n v="0"/>
    <n v="237768"/>
    <n v="320635"/>
    <m/>
    <m/>
    <m/>
    <m/>
    <n v="0"/>
    <m/>
    <m/>
    <n v="0"/>
    <m/>
    <m/>
    <m/>
    <m/>
    <m/>
    <m/>
    <n v="237768"/>
    <n v="320635"/>
  </r>
  <r>
    <x v="0"/>
    <x v="12"/>
    <s v="Department of Commerce"/>
    <m/>
    <m/>
    <x v="12"/>
    <m/>
    <m/>
    <n v="35746393"/>
    <m/>
    <m/>
    <m/>
    <m/>
    <m/>
    <n v="0"/>
    <m/>
    <m/>
    <n v="0"/>
    <n v="35746393"/>
    <n v="0"/>
    <m/>
    <m/>
    <m/>
    <m/>
    <n v="0"/>
    <m/>
    <m/>
    <n v="0"/>
    <m/>
    <m/>
    <m/>
    <m/>
    <m/>
    <m/>
    <n v="35746393"/>
    <n v="0"/>
  </r>
  <r>
    <x v="0"/>
    <x v="13"/>
    <s v="Educational special purpose funds - all other"/>
    <m/>
    <m/>
    <x v="12"/>
    <m/>
    <m/>
    <m/>
    <m/>
    <m/>
    <m/>
    <m/>
    <m/>
    <n v="0"/>
    <m/>
    <m/>
    <n v="0"/>
    <n v="0"/>
    <n v="0"/>
    <m/>
    <m/>
    <m/>
    <m/>
    <n v="0"/>
    <m/>
    <m/>
    <n v="0"/>
    <m/>
    <m/>
    <m/>
    <m/>
    <m/>
    <m/>
    <n v="0"/>
    <n v="0"/>
  </r>
  <r>
    <x v="0"/>
    <x v="13"/>
    <s v="Telephone Revolving Fund"/>
    <m/>
    <m/>
    <x v="12"/>
    <m/>
    <m/>
    <n v="109585"/>
    <m/>
    <m/>
    <m/>
    <m/>
    <m/>
    <n v="0"/>
    <m/>
    <m/>
    <n v="0"/>
    <n v="109585"/>
    <n v="0"/>
    <m/>
    <m/>
    <m/>
    <m/>
    <n v="0"/>
    <m/>
    <m/>
    <n v="0"/>
    <m/>
    <m/>
    <m/>
    <m/>
    <m/>
    <m/>
    <n v="109585"/>
    <n v="0"/>
  </r>
  <r>
    <x v="0"/>
    <x v="13"/>
    <s v="Articulation "/>
    <m/>
    <m/>
    <x v="12"/>
    <m/>
    <m/>
    <n v="395808"/>
    <n v="374867"/>
    <m/>
    <m/>
    <m/>
    <m/>
    <n v="0"/>
    <m/>
    <m/>
    <n v="0"/>
    <n v="395808"/>
    <n v="374867"/>
    <m/>
    <m/>
    <m/>
    <m/>
    <n v="0"/>
    <m/>
    <m/>
    <n v="0"/>
    <m/>
    <m/>
    <m/>
    <m/>
    <m/>
    <m/>
    <n v="395808"/>
    <n v="374867"/>
  </r>
  <r>
    <x v="0"/>
    <x v="13"/>
    <s v="Knight v Alabama"/>
    <m/>
    <m/>
    <x v="12"/>
    <m/>
    <m/>
    <n v="1682413"/>
    <n v="1750745"/>
    <m/>
    <m/>
    <m/>
    <m/>
    <n v="0"/>
    <m/>
    <m/>
    <n v="0"/>
    <n v="1682413"/>
    <n v="1750745"/>
    <m/>
    <m/>
    <m/>
    <m/>
    <n v="0"/>
    <m/>
    <m/>
    <n v="0"/>
    <m/>
    <m/>
    <m/>
    <m/>
    <m/>
    <m/>
    <n v="1682413"/>
    <n v="1750745"/>
  </r>
  <r>
    <x v="0"/>
    <x v="13"/>
    <s v="School &amp; University Partnership for Education Renewal "/>
    <m/>
    <m/>
    <x v="12"/>
    <m/>
    <m/>
    <n v="41954"/>
    <n v="40276"/>
    <m/>
    <m/>
    <m/>
    <m/>
    <n v="0"/>
    <m/>
    <m/>
    <n v="0"/>
    <n v="41954"/>
    <n v="40276"/>
    <m/>
    <m/>
    <m/>
    <m/>
    <n v="0"/>
    <m/>
    <m/>
    <n v="0"/>
    <m/>
    <m/>
    <m/>
    <m/>
    <m/>
    <m/>
    <n v="41954"/>
    <n v="40276"/>
  </r>
  <r>
    <x v="0"/>
    <x v="13"/>
    <s v="Soil &amp; Water Conservation"/>
    <m/>
    <m/>
    <x v="12"/>
    <m/>
    <m/>
    <n v="805600"/>
    <m/>
    <m/>
    <m/>
    <m/>
    <m/>
    <n v="0"/>
    <m/>
    <m/>
    <n v="0"/>
    <n v="805600"/>
    <n v="0"/>
    <m/>
    <m/>
    <m/>
    <m/>
    <n v="0"/>
    <m/>
    <m/>
    <n v="0"/>
    <m/>
    <m/>
    <m/>
    <m/>
    <m/>
    <m/>
    <n v="805600"/>
    <n v="0"/>
  </r>
  <r>
    <x v="0"/>
    <x v="13"/>
    <s v="AL Forestry Blackbelt Initiative"/>
    <m/>
    <m/>
    <x v="12"/>
    <m/>
    <m/>
    <n v="200000"/>
    <m/>
    <m/>
    <m/>
    <m/>
    <m/>
    <n v="0"/>
    <m/>
    <m/>
    <n v="0"/>
    <n v="200000"/>
    <n v="0"/>
    <m/>
    <m/>
    <m/>
    <m/>
    <n v="0"/>
    <m/>
    <m/>
    <n v="0"/>
    <m/>
    <m/>
    <m/>
    <m/>
    <m/>
    <m/>
    <n v="200000"/>
    <n v="0"/>
  </r>
  <r>
    <x v="0"/>
    <x v="13"/>
    <s v="Resource Conservation  &amp; Develop Prgm."/>
    <m/>
    <m/>
    <x v="12"/>
    <m/>
    <m/>
    <n v="716400"/>
    <m/>
    <m/>
    <m/>
    <m/>
    <m/>
    <n v="0"/>
    <m/>
    <m/>
    <n v="0"/>
    <n v="716400"/>
    <n v="0"/>
    <m/>
    <m/>
    <m/>
    <m/>
    <n v="0"/>
    <m/>
    <m/>
    <n v="0"/>
    <m/>
    <m/>
    <m/>
    <m/>
    <m/>
    <m/>
    <n v="716400"/>
    <n v="0"/>
  </r>
  <r>
    <x v="0"/>
    <x v="13"/>
    <s v="Alabama Innovation Fund"/>
    <m/>
    <m/>
    <x v="12"/>
    <m/>
    <m/>
    <s v=" "/>
    <m/>
    <m/>
    <m/>
    <m/>
    <m/>
    <n v="0"/>
    <m/>
    <m/>
    <n v="0"/>
    <n v="0"/>
    <n v="0"/>
    <m/>
    <m/>
    <m/>
    <m/>
    <n v="0"/>
    <m/>
    <m/>
    <n v="0"/>
    <m/>
    <m/>
    <m/>
    <m/>
    <m/>
    <m/>
    <n v="0"/>
    <n v="0"/>
  </r>
  <r>
    <x v="0"/>
    <x v="14"/>
    <s v="Statewide System Operations"/>
    <m/>
    <m/>
    <x v="12"/>
    <m/>
    <m/>
    <m/>
    <m/>
    <m/>
    <m/>
    <m/>
    <m/>
    <n v="0"/>
    <m/>
    <m/>
    <n v="0"/>
    <n v="0"/>
    <n v="0"/>
    <m/>
    <m/>
    <m/>
    <m/>
    <n v="0"/>
    <m/>
    <m/>
    <n v="0"/>
    <m/>
    <m/>
    <m/>
    <m/>
    <m/>
    <m/>
    <n v="0"/>
    <n v="0"/>
  </r>
  <r>
    <x v="0"/>
    <x v="15"/>
    <s v="Colleges and universities"/>
    <m/>
    <m/>
    <x v="12"/>
    <m/>
    <m/>
    <m/>
    <m/>
    <m/>
    <m/>
    <m/>
    <m/>
    <n v="0"/>
    <m/>
    <m/>
    <n v="0"/>
    <n v="0"/>
    <n v="0"/>
    <m/>
    <m/>
    <m/>
    <m/>
    <n v="0"/>
    <m/>
    <m/>
    <n v="0"/>
    <m/>
    <m/>
    <m/>
    <m/>
    <m/>
    <m/>
    <n v="0"/>
    <n v="0"/>
  </r>
  <r>
    <x v="0"/>
    <x v="15"/>
    <s v="Commission on Higher Education (CHE) Operations "/>
    <m/>
    <m/>
    <x v="12"/>
    <m/>
    <m/>
    <m/>
    <m/>
    <m/>
    <m/>
    <m/>
    <m/>
    <n v="0"/>
    <m/>
    <m/>
    <n v="0"/>
    <n v="0"/>
    <n v="0"/>
    <n v="3550359"/>
    <n v="2702892"/>
    <m/>
    <m/>
    <n v="0"/>
    <m/>
    <m/>
    <n v="0"/>
    <m/>
    <m/>
    <m/>
    <m/>
    <m/>
    <m/>
    <n v="3550359"/>
    <n v="2702892"/>
  </r>
  <r>
    <x v="0"/>
    <x v="16"/>
    <s v="Two-year system(s), if any"/>
    <m/>
    <m/>
    <x v="12"/>
    <m/>
    <m/>
    <m/>
    <m/>
    <m/>
    <m/>
    <m/>
    <m/>
    <n v="0"/>
    <m/>
    <m/>
    <n v="0"/>
    <n v="0"/>
    <n v="0"/>
    <m/>
    <m/>
    <m/>
    <m/>
    <n v="0"/>
    <m/>
    <m/>
    <n v="0"/>
    <m/>
    <m/>
    <m/>
    <m/>
    <m/>
    <m/>
    <n v="0"/>
    <n v="0"/>
  </r>
  <r>
    <x v="0"/>
    <x v="16"/>
    <s v="Department of Postsecondary Education Operations"/>
    <m/>
    <m/>
    <x v="12"/>
    <m/>
    <m/>
    <m/>
    <m/>
    <m/>
    <m/>
    <m/>
    <m/>
    <n v="0"/>
    <m/>
    <m/>
    <n v="0"/>
    <n v="0"/>
    <n v="0"/>
    <n v="6906612"/>
    <n v="5985567"/>
    <m/>
    <m/>
    <n v="0"/>
    <m/>
    <m/>
    <n v="0"/>
    <m/>
    <m/>
    <m/>
    <m/>
    <m/>
    <m/>
    <n v="6906612"/>
    <n v="5985567"/>
  </r>
  <r>
    <x v="0"/>
    <x v="17"/>
    <s v="National or regional associations, compacts or consortia"/>
    <m/>
    <m/>
    <x v="12"/>
    <m/>
    <m/>
    <m/>
    <m/>
    <m/>
    <m/>
    <m/>
    <m/>
    <n v="0"/>
    <m/>
    <m/>
    <n v="0"/>
    <n v="0"/>
    <n v="0"/>
    <m/>
    <m/>
    <m/>
    <m/>
    <n v="0"/>
    <m/>
    <m/>
    <n v="0"/>
    <m/>
    <m/>
    <m/>
    <m/>
    <m/>
    <m/>
    <n v="0"/>
    <n v="0"/>
  </r>
  <r>
    <x v="0"/>
    <x v="17"/>
    <s v="SREB Membership  *"/>
    <m/>
    <m/>
    <x v="12"/>
    <m/>
    <m/>
    <m/>
    <m/>
    <m/>
    <m/>
    <m/>
    <m/>
    <n v="0"/>
    <m/>
    <m/>
    <n v="0"/>
    <n v="0"/>
    <n v="0"/>
    <n v="201550"/>
    <n v="205000"/>
    <m/>
    <m/>
    <n v="0"/>
    <m/>
    <m/>
    <n v="0"/>
    <m/>
    <m/>
    <m/>
    <m/>
    <m/>
    <m/>
    <n v="201550"/>
    <n v="205000"/>
  </r>
  <r>
    <x v="0"/>
    <x v="17"/>
    <s v="SREB ACHE Administrative Costs"/>
    <m/>
    <m/>
    <x v="12"/>
    <m/>
    <m/>
    <m/>
    <m/>
    <m/>
    <m/>
    <m/>
    <m/>
    <n v="0"/>
    <m/>
    <m/>
    <n v="0"/>
    <n v="0"/>
    <n v="0"/>
    <n v="61287"/>
    <n v="69000"/>
    <m/>
    <m/>
    <n v="0"/>
    <m/>
    <m/>
    <n v="0"/>
    <m/>
    <m/>
    <m/>
    <m/>
    <m/>
    <m/>
    <n v="61287"/>
    <n v="69000"/>
  </r>
  <r>
    <x v="0"/>
    <x v="18"/>
    <s v="Adm. of Statewide Student Aid Progs. (including centralized guaranteed student loans)"/>
    <m/>
    <m/>
    <x v="12"/>
    <m/>
    <m/>
    <m/>
    <m/>
    <m/>
    <m/>
    <m/>
    <m/>
    <n v="0"/>
    <m/>
    <m/>
    <n v="0"/>
    <n v="0"/>
    <n v="0"/>
    <n v="139933"/>
    <n v="158715"/>
    <m/>
    <m/>
    <n v="0"/>
    <m/>
    <m/>
    <n v="0"/>
    <m/>
    <m/>
    <m/>
    <m/>
    <m/>
    <m/>
    <n v="139933"/>
    <n v="158715"/>
  </r>
  <r>
    <x v="0"/>
    <x v="19"/>
    <s v="State Support to Private Colleges Other Than Student Aid"/>
    <m/>
    <m/>
    <x v="12"/>
    <m/>
    <m/>
    <m/>
    <m/>
    <m/>
    <m/>
    <m/>
    <m/>
    <n v="0"/>
    <m/>
    <m/>
    <n v="0"/>
    <n v="0"/>
    <n v="0"/>
    <m/>
    <m/>
    <m/>
    <m/>
    <n v="0"/>
    <m/>
    <m/>
    <n v="0"/>
    <m/>
    <m/>
    <m/>
    <m/>
    <m/>
    <m/>
    <n v="0"/>
    <n v="0"/>
  </r>
  <r>
    <x v="0"/>
    <x v="19"/>
    <s v="AL A&amp;M-Miles College Consortium"/>
    <m/>
    <m/>
    <x v="12"/>
    <m/>
    <m/>
    <m/>
    <m/>
    <m/>
    <m/>
    <m/>
    <m/>
    <n v="0"/>
    <m/>
    <m/>
    <n v="0"/>
    <n v="0"/>
    <n v="0"/>
    <n v="269422"/>
    <n v="258645"/>
    <m/>
    <m/>
    <n v="0"/>
    <m/>
    <m/>
    <n v="0"/>
    <m/>
    <m/>
    <m/>
    <m/>
    <m/>
    <m/>
    <n v="269422"/>
    <n v="258645"/>
  </r>
  <r>
    <x v="0"/>
    <x v="19"/>
    <s v="Talladega College"/>
    <m/>
    <m/>
    <x v="12"/>
    <m/>
    <m/>
    <m/>
    <m/>
    <m/>
    <m/>
    <m/>
    <m/>
    <n v="0"/>
    <m/>
    <m/>
    <n v="0"/>
    <n v="0"/>
    <n v="0"/>
    <n v="622639"/>
    <n v="582997"/>
    <m/>
    <m/>
    <n v="0"/>
    <m/>
    <m/>
    <n v="0"/>
    <m/>
    <m/>
    <m/>
    <m/>
    <m/>
    <m/>
    <n v="622639"/>
    <n v="582997"/>
  </r>
  <r>
    <x v="0"/>
    <x v="19"/>
    <s v="Tuskegee University"/>
    <m/>
    <m/>
    <x v="12"/>
    <m/>
    <m/>
    <m/>
    <m/>
    <m/>
    <m/>
    <m/>
    <m/>
    <n v="0"/>
    <m/>
    <m/>
    <n v="0"/>
    <n v="0"/>
    <n v="0"/>
    <n v="9412870"/>
    <n v="8942227"/>
    <m/>
    <m/>
    <n v="0"/>
    <m/>
    <m/>
    <n v="0"/>
    <m/>
    <m/>
    <m/>
    <m/>
    <m/>
    <m/>
    <n v="9412870"/>
    <n v="8942227"/>
  </r>
  <r>
    <x v="0"/>
    <x v="19"/>
    <s v="AL Agricultural LG Alliance Tuskegee University"/>
    <m/>
    <m/>
    <x v="12"/>
    <m/>
    <m/>
    <m/>
    <m/>
    <m/>
    <m/>
    <m/>
    <m/>
    <n v="0"/>
    <m/>
    <m/>
    <n v="0"/>
    <n v="0"/>
    <n v="0"/>
    <n v="2205658"/>
    <n v="2153416"/>
    <m/>
    <m/>
    <n v="0"/>
    <m/>
    <m/>
    <n v="0"/>
    <m/>
    <m/>
    <m/>
    <m/>
    <m/>
    <m/>
    <n v="2205658"/>
    <n v="2153416"/>
  </r>
  <r>
    <x v="0"/>
    <x v="20"/>
    <s v="Contract Education Programs"/>
    <m/>
    <m/>
    <x v="12"/>
    <m/>
    <m/>
    <m/>
    <m/>
    <m/>
    <m/>
    <m/>
    <m/>
    <n v="0"/>
    <m/>
    <m/>
    <n v="0"/>
    <n v="0"/>
    <n v="0"/>
    <m/>
    <m/>
    <m/>
    <m/>
    <n v="0"/>
    <m/>
    <m/>
    <n v="0"/>
    <m/>
    <m/>
    <m/>
    <m/>
    <m/>
    <m/>
    <n v="0"/>
    <n v="0"/>
  </r>
  <r>
    <x v="0"/>
    <x v="21"/>
    <s v="SREB contract program with private colleges"/>
    <m/>
    <m/>
    <x v="12"/>
    <m/>
    <m/>
    <m/>
    <m/>
    <m/>
    <m/>
    <m/>
    <m/>
    <n v="0"/>
    <m/>
    <m/>
    <n v="0"/>
    <n v="0"/>
    <n v="0"/>
    <m/>
    <m/>
    <m/>
    <m/>
    <n v="0"/>
    <m/>
    <m/>
    <n v="0"/>
    <m/>
    <m/>
    <m/>
    <m/>
    <m/>
    <m/>
    <n v="0"/>
    <n v="0"/>
  </r>
  <r>
    <x v="0"/>
    <x v="21"/>
    <s v="Meharry Medical College (Dentistry &amp; Medicine)"/>
    <m/>
    <m/>
    <x v="12"/>
    <m/>
    <m/>
    <m/>
    <m/>
    <m/>
    <m/>
    <m/>
    <m/>
    <n v="0"/>
    <m/>
    <m/>
    <n v="0"/>
    <n v="0"/>
    <n v="0"/>
    <n v="0"/>
    <m/>
    <m/>
    <m/>
    <n v="0"/>
    <m/>
    <m/>
    <n v="0"/>
    <m/>
    <m/>
    <m/>
    <m/>
    <m/>
    <m/>
    <n v="0"/>
    <n v="0"/>
  </r>
  <r>
    <x v="0"/>
    <x v="22"/>
    <s v="SREB contract program with public colleges"/>
    <m/>
    <m/>
    <x v="12"/>
    <m/>
    <m/>
    <m/>
    <m/>
    <m/>
    <m/>
    <m/>
    <m/>
    <n v="0"/>
    <m/>
    <m/>
    <n v="0"/>
    <n v="0"/>
    <n v="0"/>
    <m/>
    <m/>
    <m/>
    <m/>
    <n v="0"/>
    <m/>
    <m/>
    <n v="0"/>
    <m/>
    <m/>
    <m/>
    <m/>
    <m/>
    <m/>
    <n v="0"/>
    <n v="0"/>
  </r>
  <r>
    <x v="0"/>
    <x v="23"/>
    <s v="Other contract education programs"/>
    <m/>
    <m/>
    <x v="12"/>
    <m/>
    <m/>
    <m/>
    <m/>
    <m/>
    <m/>
    <m/>
    <m/>
    <n v="0"/>
    <m/>
    <m/>
    <n v="0"/>
    <n v="0"/>
    <n v="0"/>
    <n v="0"/>
    <m/>
    <m/>
    <m/>
    <n v="0"/>
    <m/>
    <m/>
    <n v="0"/>
    <m/>
    <m/>
    <m/>
    <m/>
    <m/>
    <m/>
    <n v="0"/>
    <n v="0"/>
  </r>
  <r>
    <x v="0"/>
    <x v="24"/>
    <s v="Statewide Student Financial Aid Programs Administered Off Campus"/>
    <m/>
    <m/>
    <x v="12"/>
    <m/>
    <m/>
    <m/>
    <m/>
    <m/>
    <m/>
    <m/>
    <m/>
    <n v="0"/>
    <m/>
    <m/>
    <n v="0"/>
    <n v="0"/>
    <n v="0"/>
    <m/>
    <m/>
    <m/>
    <m/>
    <n v="0"/>
    <m/>
    <m/>
    <n v="0"/>
    <m/>
    <m/>
    <m/>
    <m/>
    <m/>
    <m/>
    <n v="0"/>
    <n v="0"/>
  </r>
  <r>
    <x v="0"/>
    <x v="25"/>
    <s v="Available to public &amp; private sector students"/>
    <m/>
    <m/>
    <x v="12"/>
    <m/>
    <m/>
    <m/>
    <m/>
    <m/>
    <m/>
    <m/>
    <m/>
    <n v="0"/>
    <m/>
    <m/>
    <n v="0"/>
    <n v="0"/>
    <n v="0"/>
    <m/>
    <m/>
    <m/>
    <m/>
    <n v="0"/>
    <m/>
    <m/>
    <n v="0"/>
    <m/>
    <m/>
    <m/>
    <m/>
    <m/>
    <m/>
    <n v="0"/>
    <n v="0"/>
  </r>
  <r>
    <x v="0"/>
    <x v="25"/>
    <s v="for medical students"/>
    <m/>
    <m/>
    <x v="12"/>
    <m/>
    <m/>
    <m/>
    <m/>
    <m/>
    <m/>
    <m/>
    <m/>
    <n v="0"/>
    <m/>
    <m/>
    <n v="0"/>
    <n v="0"/>
    <n v="0"/>
    <m/>
    <m/>
    <m/>
    <m/>
    <n v="0"/>
    <m/>
    <m/>
    <n v="0"/>
    <m/>
    <m/>
    <m/>
    <m/>
    <m/>
    <m/>
    <n v="0"/>
    <n v="0"/>
  </r>
  <r>
    <x v="0"/>
    <x v="26"/>
    <s v="Need-based"/>
    <m/>
    <m/>
    <x v="12"/>
    <m/>
    <m/>
    <m/>
    <m/>
    <m/>
    <m/>
    <m/>
    <m/>
    <n v="0"/>
    <m/>
    <m/>
    <n v="0"/>
    <n v="0"/>
    <n v="0"/>
    <m/>
    <m/>
    <m/>
    <m/>
    <n v="0"/>
    <m/>
    <m/>
    <n v="0"/>
    <m/>
    <m/>
    <m/>
    <m/>
    <m/>
    <m/>
    <n v="0"/>
    <n v="0"/>
  </r>
  <r>
    <x v="0"/>
    <x v="27"/>
    <s v="Non need-based"/>
    <m/>
    <m/>
    <x v="12"/>
    <m/>
    <m/>
    <m/>
    <m/>
    <m/>
    <m/>
    <m/>
    <m/>
    <n v="0"/>
    <m/>
    <m/>
    <n v="0"/>
    <n v="0"/>
    <n v="0"/>
    <n v="770848"/>
    <n v="740014"/>
    <m/>
    <m/>
    <n v="0"/>
    <m/>
    <m/>
    <n v="0"/>
    <m/>
    <m/>
    <m/>
    <m/>
    <m/>
    <m/>
    <n v="770848"/>
    <n v="740014"/>
  </r>
  <r>
    <x v="0"/>
    <x v="28"/>
    <s v="Amount to public sector students"/>
    <m/>
    <m/>
    <x v="12"/>
    <m/>
    <m/>
    <m/>
    <m/>
    <m/>
    <m/>
    <m/>
    <m/>
    <n v="0"/>
    <m/>
    <m/>
    <n v="0"/>
    <n v="0"/>
    <n v="0"/>
    <m/>
    <m/>
    <m/>
    <m/>
    <n v="0"/>
    <m/>
    <m/>
    <n v="0"/>
    <m/>
    <m/>
    <m/>
    <m/>
    <m/>
    <m/>
    <n v="0"/>
    <n v="0"/>
  </r>
  <r>
    <x v="0"/>
    <x v="29"/>
    <s v="Need-based"/>
    <m/>
    <m/>
    <x v="12"/>
    <m/>
    <m/>
    <m/>
    <m/>
    <m/>
    <m/>
    <m/>
    <m/>
    <n v="0"/>
    <m/>
    <m/>
    <n v="0"/>
    <n v="0"/>
    <n v="0"/>
    <m/>
    <m/>
    <m/>
    <m/>
    <n v="0"/>
    <m/>
    <m/>
    <n v="0"/>
    <m/>
    <m/>
    <m/>
    <m/>
    <m/>
    <m/>
    <n v="0"/>
    <n v="0"/>
  </r>
  <r>
    <x v="0"/>
    <x v="30"/>
    <s v="Non need-based"/>
    <m/>
    <m/>
    <x v="12"/>
    <m/>
    <m/>
    <m/>
    <m/>
    <m/>
    <m/>
    <m/>
    <m/>
    <n v="0"/>
    <m/>
    <m/>
    <n v="0"/>
    <n v="0"/>
    <n v="0"/>
    <m/>
    <m/>
    <m/>
    <m/>
    <n v="0"/>
    <m/>
    <m/>
    <n v="0"/>
    <m/>
    <m/>
    <m/>
    <m/>
    <m/>
    <m/>
    <n v="0"/>
    <n v="0"/>
  </r>
  <r>
    <x v="0"/>
    <x v="31"/>
    <s v="Amount to private sector students"/>
    <m/>
    <m/>
    <x v="12"/>
    <m/>
    <m/>
    <m/>
    <m/>
    <m/>
    <m/>
    <m/>
    <m/>
    <n v="0"/>
    <m/>
    <m/>
    <n v="0"/>
    <n v="0"/>
    <n v="0"/>
    <m/>
    <m/>
    <m/>
    <m/>
    <n v="0"/>
    <m/>
    <m/>
    <n v="0"/>
    <m/>
    <m/>
    <m/>
    <m/>
    <m/>
    <m/>
    <n v="0"/>
    <n v="0"/>
  </r>
  <r>
    <x v="0"/>
    <x v="32"/>
    <s v="Need-based"/>
    <m/>
    <m/>
    <x v="12"/>
    <m/>
    <m/>
    <m/>
    <m/>
    <m/>
    <m/>
    <m/>
    <m/>
    <n v="0"/>
    <m/>
    <m/>
    <n v="0"/>
    <n v="0"/>
    <n v="0"/>
    <m/>
    <m/>
    <m/>
    <m/>
    <n v="0"/>
    <m/>
    <m/>
    <n v="0"/>
    <m/>
    <m/>
    <m/>
    <m/>
    <m/>
    <m/>
    <n v="0"/>
    <n v="0"/>
  </r>
  <r>
    <x v="0"/>
    <x v="33"/>
    <s v="Non need-based"/>
    <m/>
    <m/>
    <x v="12"/>
    <m/>
    <m/>
    <m/>
    <m/>
    <m/>
    <m/>
    <m/>
    <m/>
    <n v="0"/>
    <m/>
    <m/>
    <n v="0"/>
    <n v="0"/>
    <n v="0"/>
    <m/>
    <m/>
    <m/>
    <m/>
    <n v="0"/>
    <m/>
    <m/>
    <n v="0"/>
    <m/>
    <m/>
    <m/>
    <m/>
    <m/>
    <m/>
    <n v="0"/>
    <n v="0"/>
  </r>
  <r>
    <x v="0"/>
    <x v="25"/>
    <s v="for dental students"/>
    <m/>
    <m/>
    <x v="12"/>
    <m/>
    <m/>
    <m/>
    <m/>
    <m/>
    <m/>
    <m/>
    <m/>
    <n v="0"/>
    <m/>
    <m/>
    <n v="0"/>
    <n v="0"/>
    <n v="0"/>
    <m/>
    <m/>
    <m/>
    <m/>
    <n v="0"/>
    <m/>
    <m/>
    <n v="0"/>
    <m/>
    <m/>
    <m/>
    <m/>
    <m/>
    <m/>
    <n v="0"/>
    <n v="0"/>
  </r>
  <r>
    <x v="0"/>
    <x v="26"/>
    <s v="Need-based"/>
    <m/>
    <m/>
    <x v="12"/>
    <m/>
    <m/>
    <m/>
    <m/>
    <m/>
    <m/>
    <m/>
    <m/>
    <n v="0"/>
    <m/>
    <m/>
    <n v="0"/>
    <n v="0"/>
    <n v="0"/>
    <m/>
    <m/>
    <m/>
    <m/>
    <n v="0"/>
    <m/>
    <m/>
    <n v="0"/>
    <m/>
    <m/>
    <m/>
    <m/>
    <m/>
    <m/>
    <n v="0"/>
    <n v="0"/>
  </r>
  <r>
    <x v="0"/>
    <x v="27"/>
    <s v="Non need-based"/>
    <m/>
    <m/>
    <x v="12"/>
    <m/>
    <m/>
    <m/>
    <m/>
    <m/>
    <m/>
    <m/>
    <m/>
    <n v="0"/>
    <m/>
    <m/>
    <n v="0"/>
    <n v="0"/>
    <n v="0"/>
    <n v="199131"/>
    <n v="191166"/>
    <m/>
    <m/>
    <n v="0"/>
    <m/>
    <m/>
    <n v="0"/>
    <m/>
    <m/>
    <m/>
    <m/>
    <m/>
    <m/>
    <n v="199131"/>
    <n v="191166"/>
  </r>
  <r>
    <x v="0"/>
    <x v="28"/>
    <s v="Amount to public sector students"/>
    <m/>
    <m/>
    <x v="12"/>
    <m/>
    <m/>
    <m/>
    <m/>
    <m/>
    <m/>
    <m/>
    <m/>
    <n v="0"/>
    <m/>
    <m/>
    <n v="0"/>
    <n v="0"/>
    <n v="0"/>
    <m/>
    <m/>
    <m/>
    <m/>
    <n v="0"/>
    <m/>
    <m/>
    <n v="0"/>
    <m/>
    <m/>
    <m/>
    <m/>
    <m/>
    <m/>
    <n v="0"/>
    <n v="0"/>
  </r>
  <r>
    <x v="0"/>
    <x v="29"/>
    <s v="Need-based"/>
    <m/>
    <m/>
    <x v="12"/>
    <m/>
    <m/>
    <m/>
    <m/>
    <m/>
    <m/>
    <m/>
    <m/>
    <n v="0"/>
    <m/>
    <m/>
    <n v="0"/>
    <n v="0"/>
    <n v="0"/>
    <m/>
    <m/>
    <m/>
    <m/>
    <n v="0"/>
    <m/>
    <m/>
    <n v="0"/>
    <m/>
    <m/>
    <m/>
    <m/>
    <m/>
    <m/>
    <n v="0"/>
    <n v="0"/>
  </r>
  <r>
    <x v="0"/>
    <x v="30"/>
    <s v="Non need-based"/>
    <m/>
    <m/>
    <x v="12"/>
    <m/>
    <m/>
    <m/>
    <m/>
    <m/>
    <m/>
    <m/>
    <m/>
    <n v="0"/>
    <m/>
    <m/>
    <n v="0"/>
    <n v="0"/>
    <n v="0"/>
    <m/>
    <m/>
    <m/>
    <m/>
    <n v="0"/>
    <m/>
    <m/>
    <n v="0"/>
    <m/>
    <m/>
    <m/>
    <m/>
    <m/>
    <m/>
    <n v="0"/>
    <n v="0"/>
  </r>
  <r>
    <x v="0"/>
    <x v="31"/>
    <s v="Amount to private sector students"/>
    <m/>
    <m/>
    <x v="12"/>
    <m/>
    <m/>
    <m/>
    <m/>
    <m/>
    <m/>
    <m/>
    <m/>
    <n v="0"/>
    <m/>
    <m/>
    <n v="0"/>
    <n v="0"/>
    <n v="0"/>
    <m/>
    <m/>
    <m/>
    <m/>
    <n v="0"/>
    <m/>
    <m/>
    <n v="0"/>
    <m/>
    <m/>
    <m/>
    <m/>
    <m/>
    <m/>
    <n v="0"/>
    <n v="0"/>
  </r>
  <r>
    <x v="0"/>
    <x v="32"/>
    <s v="Need-based"/>
    <m/>
    <m/>
    <x v="12"/>
    <m/>
    <m/>
    <m/>
    <m/>
    <m/>
    <m/>
    <m/>
    <m/>
    <n v="0"/>
    <m/>
    <m/>
    <n v="0"/>
    <n v="0"/>
    <n v="0"/>
    <m/>
    <m/>
    <m/>
    <m/>
    <n v="0"/>
    <m/>
    <m/>
    <n v="0"/>
    <m/>
    <m/>
    <m/>
    <m/>
    <m/>
    <m/>
    <n v="0"/>
    <n v="0"/>
  </r>
  <r>
    <x v="0"/>
    <x v="33"/>
    <s v="Non need-based"/>
    <m/>
    <m/>
    <x v="12"/>
    <m/>
    <m/>
    <m/>
    <m/>
    <m/>
    <m/>
    <m/>
    <m/>
    <n v="0"/>
    <m/>
    <m/>
    <n v="0"/>
    <n v="0"/>
    <n v="0"/>
    <m/>
    <m/>
    <m/>
    <m/>
    <n v="0"/>
    <m/>
    <m/>
    <n v="0"/>
    <m/>
    <m/>
    <m/>
    <m/>
    <m/>
    <m/>
    <n v="0"/>
    <n v="0"/>
  </r>
  <r>
    <x v="0"/>
    <x v="25"/>
    <s v="for optometry students"/>
    <m/>
    <m/>
    <x v="12"/>
    <m/>
    <m/>
    <m/>
    <m/>
    <m/>
    <m/>
    <m/>
    <m/>
    <n v="0"/>
    <m/>
    <m/>
    <n v="0"/>
    <n v="0"/>
    <n v="0"/>
    <m/>
    <m/>
    <m/>
    <m/>
    <n v="0"/>
    <m/>
    <m/>
    <n v="0"/>
    <m/>
    <m/>
    <m/>
    <m/>
    <m/>
    <m/>
    <n v="0"/>
    <n v="0"/>
  </r>
  <r>
    <x v="0"/>
    <x v="26"/>
    <s v="Need-based"/>
    <m/>
    <m/>
    <x v="12"/>
    <m/>
    <m/>
    <m/>
    <m/>
    <m/>
    <m/>
    <m/>
    <m/>
    <n v="0"/>
    <m/>
    <m/>
    <n v="0"/>
    <n v="0"/>
    <n v="0"/>
    <m/>
    <m/>
    <m/>
    <m/>
    <n v="0"/>
    <m/>
    <m/>
    <n v="0"/>
    <m/>
    <m/>
    <m/>
    <m/>
    <m/>
    <m/>
    <n v="0"/>
    <n v="0"/>
  </r>
  <r>
    <x v="0"/>
    <x v="27"/>
    <s v="Non need-based"/>
    <m/>
    <m/>
    <x v="12"/>
    <m/>
    <m/>
    <m/>
    <m/>
    <m/>
    <m/>
    <m/>
    <m/>
    <n v="0"/>
    <m/>
    <m/>
    <n v="0"/>
    <n v="0"/>
    <n v="0"/>
    <n v="111752"/>
    <n v="107282"/>
    <m/>
    <m/>
    <n v="0"/>
    <m/>
    <m/>
    <n v="0"/>
    <m/>
    <m/>
    <m/>
    <m/>
    <m/>
    <m/>
    <n v="111752"/>
    <n v="107282"/>
  </r>
  <r>
    <x v="0"/>
    <x v="28"/>
    <s v="Amount to public sector students"/>
    <m/>
    <m/>
    <x v="12"/>
    <m/>
    <m/>
    <m/>
    <m/>
    <m/>
    <m/>
    <m/>
    <m/>
    <n v="0"/>
    <m/>
    <m/>
    <n v="0"/>
    <n v="0"/>
    <n v="0"/>
    <m/>
    <m/>
    <m/>
    <m/>
    <n v="0"/>
    <m/>
    <m/>
    <n v="0"/>
    <m/>
    <m/>
    <m/>
    <m/>
    <m/>
    <m/>
    <n v="0"/>
    <n v="0"/>
  </r>
  <r>
    <x v="0"/>
    <x v="29"/>
    <s v="Need-based"/>
    <m/>
    <m/>
    <x v="12"/>
    <m/>
    <m/>
    <m/>
    <m/>
    <m/>
    <m/>
    <m/>
    <m/>
    <n v="0"/>
    <m/>
    <m/>
    <n v="0"/>
    <n v="0"/>
    <n v="0"/>
    <m/>
    <m/>
    <m/>
    <m/>
    <n v="0"/>
    <m/>
    <m/>
    <n v="0"/>
    <m/>
    <m/>
    <m/>
    <m/>
    <m/>
    <m/>
    <n v="0"/>
    <n v="0"/>
  </r>
  <r>
    <x v="0"/>
    <x v="30"/>
    <s v="Non need-based"/>
    <m/>
    <m/>
    <x v="12"/>
    <m/>
    <m/>
    <m/>
    <m/>
    <m/>
    <m/>
    <m/>
    <m/>
    <n v="0"/>
    <m/>
    <m/>
    <n v="0"/>
    <n v="0"/>
    <n v="0"/>
    <m/>
    <m/>
    <m/>
    <m/>
    <n v="0"/>
    <m/>
    <m/>
    <n v="0"/>
    <m/>
    <m/>
    <m/>
    <m/>
    <m/>
    <m/>
    <n v="0"/>
    <n v="0"/>
  </r>
  <r>
    <x v="0"/>
    <x v="31"/>
    <s v="Amount to private sector students"/>
    <m/>
    <m/>
    <x v="12"/>
    <m/>
    <m/>
    <m/>
    <m/>
    <m/>
    <m/>
    <m/>
    <m/>
    <n v="0"/>
    <m/>
    <m/>
    <n v="0"/>
    <n v="0"/>
    <n v="0"/>
    <m/>
    <m/>
    <m/>
    <m/>
    <n v="0"/>
    <m/>
    <m/>
    <n v="0"/>
    <m/>
    <m/>
    <m/>
    <m/>
    <m/>
    <m/>
    <n v="0"/>
    <n v="0"/>
  </r>
  <r>
    <x v="0"/>
    <x v="32"/>
    <s v="Need-based"/>
    <m/>
    <m/>
    <x v="12"/>
    <m/>
    <m/>
    <m/>
    <m/>
    <m/>
    <m/>
    <m/>
    <m/>
    <n v="0"/>
    <m/>
    <m/>
    <n v="0"/>
    <n v="0"/>
    <n v="0"/>
    <m/>
    <m/>
    <m/>
    <m/>
    <n v="0"/>
    <m/>
    <m/>
    <n v="0"/>
    <m/>
    <m/>
    <m/>
    <m/>
    <m/>
    <m/>
    <n v="0"/>
    <n v="0"/>
  </r>
  <r>
    <x v="0"/>
    <x v="33"/>
    <s v="Non need-based"/>
    <m/>
    <m/>
    <x v="12"/>
    <m/>
    <m/>
    <m/>
    <m/>
    <m/>
    <m/>
    <m/>
    <m/>
    <n v="0"/>
    <m/>
    <m/>
    <n v="0"/>
    <n v="0"/>
    <n v="0"/>
    <m/>
    <m/>
    <m/>
    <m/>
    <n v="0"/>
    <m/>
    <m/>
    <n v="0"/>
    <m/>
    <m/>
    <m/>
    <m/>
    <m/>
    <m/>
    <n v="0"/>
    <n v="0"/>
  </r>
  <r>
    <x v="0"/>
    <x v="25"/>
    <s v="for chiropractic students"/>
    <m/>
    <m/>
    <x v="12"/>
    <m/>
    <m/>
    <m/>
    <m/>
    <m/>
    <m/>
    <m/>
    <m/>
    <n v="0"/>
    <m/>
    <m/>
    <n v="0"/>
    <n v="0"/>
    <n v="0"/>
    <m/>
    <m/>
    <m/>
    <m/>
    <n v="0"/>
    <m/>
    <m/>
    <n v="0"/>
    <m/>
    <m/>
    <m/>
    <m/>
    <m/>
    <m/>
    <n v="0"/>
    <n v="0"/>
  </r>
  <r>
    <x v="0"/>
    <x v="26"/>
    <s v="Need-based"/>
    <m/>
    <m/>
    <x v="12"/>
    <m/>
    <m/>
    <m/>
    <m/>
    <m/>
    <m/>
    <m/>
    <m/>
    <n v="0"/>
    <m/>
    <m/>
    <n v="0"/>
    <n v="0"/>
    <n v="0"/>
    <m/>
    <m/>
    <m/>
    <m/>
    <n v="0"/>
    <m/>
    <m/>
    <n v="0"/>
    <m/>
    <m/>
    <m/>
    <m/>
    <m/>
    <m/>
    <n v="0"/>
    <n v="0"/>
  </r>
  <r>
    <x v="0"/>
    <x v="27"/>
    <s v="Non need-based"/>
    <m/>
    <m/>
    <x v="12"/>
    <m/>
    <m/>
    <m/>
    <m/>
    <m/>
    <m/>
    <m/>
    <m/>
    <n v="0"/>
    <m/>
    <m/>
    <n v="0"/>
    <n v="0"/>
    <n v="0"/>
    <m/>
    <m/>
    <m/>
    <m/>
    <n v="0"/>
    <m/>
    <m/>
    <n v="0"/>
    <m/>
    <m/>
    <m/>
    <m/>
    <m/>
    <m/>
    <n v="0"/>
    <n v="0"/>
  </r>
  <r>
    <x v="0"/>
    <x v="28"/>
    <s v="Amount to public sector students"/>
    <m/>
    <m/>
    <x v="12"/>
    <m/>
    <m/>
    <m/>
    <m/>
    <m/>
    <m/>
    <m/>
    <m/>
    <n v="0"/>
    <m/>
    <m/>
    <n v="0"/>
    <n v="0"/>
    <n v="0"/>
    <m/>
    <m/>
    <m/>
    <m/>
    <n v="0"/>
    <m/>
    <m/>
    <n v="0"/>
    <m/>
    <m/>
    <m/>
    <m/>
    <m/>
    <m/>
    <n v="0"/>
    <n v="0"/>
  </r>
  <r>
    <x v="0"/>
    <x v="29"/>
    <s v="Need-based"/>
    <m/>
    <m/>
    <x v="12"/>
    <m/>
    <m/>
    <m/>
    <m/>
    <m/>
    <m/>
    <m/>
    <m/>
    <n v="0"/>
    <m/>
    <m/>
    <n v="0"/>
    <n v="0"/>
    <n v="0"/>
    <m/>
    <m/>
    <m/>
    <m/>
    <n v="0"/>
    <m/>
    <m/>
    <n v="0"/>
    <m/>
    <m/>
    <m/>
    <m/>
    <m/>
    <m/>
    <n v="0"/>
    <n v="0"/>
  </r>
  <r>
    <x v="0"/>
    <x v="30"/>
    <s v="Non need-based"/>
    <m/>
    <m/>
    <x v="12"/>
    <m/>
    <m/>
    <m/>
    <m/>
    <m/>
    <m/>
    <m/>
    <m/>
    <n v="0"/>
    <m/>
    <m/>
    <n v="0"/>
    <n v="0"/>
    <n v="0"/>
    <m/>
    <m/>
    <m/>
    <m/>
    <n v="0"/>
    <m/>
    <m/>
    <n v="0"/>
    <m/>
    <m/>
    <m/>
    <m/>
    <m/>
    <m/>
    <n v="0"/>
    <n v="0"/>
  </r>
  <r>
    <x v="0"/>
    <x v="31"/>
    <s v="Amount to private sector students"/>
    <m/>
    <m/>
    <x v="12"/>
    <m/>
    <m/>
    <m/>
    <m/>
    <m/>
    <m/>
    <m/>
    <m/>
    <n v="0"/>
    <m/>
    <m/>
    <n v="0"/>
    <n v="0"/>
    <n v="0"/>
    <m/>
    <m/>
    <m/>
    <m/>
    <n v="0"/>
    <m/>
    <m/>
    <n v="0"/>
    <m/>
    <m/>
    <m/>
    <m/>
    <m/>
    <m/>
    <n v="0"/>
    <n v="0"/>
  </r>
  <r>
    <x v="0"/>
    <x v="32"/>
    <s v="Need-based"/>
    <m/>
    <m/>
    <x v="12"/>
    <m/>
    <m/>
    <m/>
    <m/>
    <m/>
    <m/>
    <m/>
    <m/>
    <n v="0"/>
    <m/>
    <m/>
    <n v="0"/>
    <n v="0"/>
    <n v="0"/>
    <n v="27515"/>
    <m/>
    <m/>
    <m/>
    <n v="0"/>
    <m/>
    <m/>
    <n v="0"/>
    <m/>
    <m/>
    <m/>
    <m/>
    <m/>
    <m/>
    <n v="27515"/>
    <n v="0"/>
  </r>
  <r>
    <x v="0"/>
    <x v="33"/>
    <s v="Non need-based"/>
    <m/>
    <m/>
    <x v="12"/>
    <m/>
    <m/>
    <m/>
    <m/>
    <m/>
    <m/>
    <m/>
    <m/>
    <n v="0"/>
    <m/>
    <m/>
    <n v="0"/>
    <n v="0"/>
    <n v="0"/>
    <m/>
    <m/>
    <m/>
    <m/>
    <n v="0"/>
    <m/>
    <m/>
    <n v="0"/>
    <m/>
    <m/>
    <m/>
    <m/>
    <m/>
    <m/>
    <n v="0"/>
    <n v="0"/>
  </r>
  <r>
    <x v="0"/>
    <x v="25"/>
    <s v="Board of Nursing program"/>
    <m/>
    <m/>
    <x v="12"/>
    <m/>
    <m/>
    <m/>
    <m/>
    <m/>
    <m/>
    <m/>
    <m/>
    <n v="0"/>
    <m/>
    <m/>
    <n v="0"/>
    <n v="0"/>
    <n v="0"/>
    <m/>
    <m/>
    <m/>
    <m/>
    <n v="0"/>
    <m/>
    <m/>
    <n v="0"/>
    <m/>
    <m/>
    <m/>
    <m/>
    <m/>
    <m/>
    <n v="0"/>
    <n v="0"/>
  </r>
  <r>
    <x v="0"/>
    <x v="26"/>
    <s v="Need-based"/>
    <m/>
    <m/>
    <x v="12"/>
    <m/>
    <m/>
    <m/>
    <m/>
    <m/>
    <m/>
    <m/>
    <m/>
    <n v="0"/>
    <m/>
    <m/>
    <n v="0"/>
    <n v="0"/>
    <n v="0"/>
    <m/>
    <m/>
    <m/>
    <m/>
    <n v="0"/>
    <m/>
    <m/>
    <n v="0"/>
    <m/>
    <m/>
    <m/>
    <m/>
    <m/>
    <m/>
    <n v="0"/>
    <n v="0"/>
  </r>
  <r>
    <x v="0"/>
    <x v="27"/>
    <s v="Non need-based"/>
    <m/>
    <m/>
    <x v="12"/>
    <m/>
    <m/>
    <m/>
    <m/>
    <m/>
    <m/>
    <m/>
    <m/>
    <n v="0"/>
    <m/>
    <m/>
    <n v="0"/>
    <n v="0"/>
    <n v="0"/>
    <n v="175265"/>
    <n v="166027"/>
    <m/>
    <m/>
    <n v="0"/>
    <m/>
    <m/>
    <n v="0"/>
    <m/>
    <m/>
    <m/>
    <m/>
    <m/>
    <m/>
    <n v="175265"/>
    <n v="166027"/>
  </r>
  <r>
    <x v="0"/>
    <x v="28"/>
    <s v="Amount to public sector students"/>
    <m/>
    <m/>
    <x v="12"/>
    <m/>
    <m/>
    <m/>
    <m/>
    <m/>
    <m/>
    <m/>
    <m/>
    <n v="0"/>
    <m/>
    <m/>
    <n v="0"/>
    <n v="0"/>
    <n v="0"/>
    <m/>
    <m/>
    <m/>
    <m/>
    <n v="0"/>
    <m/>
    <m/>
    <n v="0"/>
    <m/>
    <m/>
    <m/>
    <m/>
    <m/>
    <m/>
    <n v="0"/>
    <n v="0"/>
  </r>
  <r>
    <x v="0"/>
    <x v="29"/>
    <s v="Need-based"/>
    <m/>
    <m/>
    <x v="12"/>
    <m/>
    <m/>
    <m/>
    <m/>
    <m/>
    <m/>
    <m/>
    <m/>
    <n v="0"/>
    <m/>
    <m/>
    <n v="0"/>
    <n v="0"/>
    <n v="0"/>
    <m/>
    <m/>
    <m/>
    <m/>
    <n v="0"/>
    <m/>
    <m/>
    <n v="0"/>
    <m/>
    <m/>
    <m/>
    <m/>
    <m/>
    <m/>
    <n v="0"/>
    <n v="0"/>
  </r>
  <r>
    <x v="0"/>
    <x v="30"/>
    <s v="Non need-based"/>
    <m/>
    <m/>
    <x v="12"/>
    <m/>
    <m/>
    <m/>
    <m/>
    <m/>
    <m/>
    <m/>
    <m/>
    <n v="0"/>
    <m/>
    <m/>
    <n v="0"/>
    <n v="0"/>
    <n v="0"/>
    <m/>
    <m/>
    <m/>
    <m/>
    <n v="0"/>
    <m/>
    <m/>
    <n v="0"/>
    <m/>
    <m/>
    <m/>
    <m/>
    <m/>
    <m/>
    <n v="0"/>
    <n v="0"/>
  </r>
  <r>
    <x v="0"/>
    <x v="31"/>
    <s v="Amount to private sector students"/>
    <m/>
    <m/>
    <x v="12"/>
    <m/>
    <m/>
    <m/>
    <m/>
    <m/>
    <m/>
    <m/>
    <m/>
    <n v="0"/>
    <m/>
    <m/>
    <n v="0"/>
    <n v="0"/>
    <n v="0"/>
    <m/>
    <m/>
    <m/>
    <m/>
    <n v="0"/>
    <m/>
    <m/>
    <n v="0"/>
    <m/>
    <m/>
    <m/>
    <m/>
    <m/>
    <m/>
    <n v="0"/>
    <n v="0"/>
  </r>
  <r>
    <x v="0"/>
    <x v="32"/>
    <s v="Need-based"/>
    <m/>
    <m/>
    <x v="12"/>
    <m/>
    <m/>
    <m/>
    <m/>
    <m/>
    <m/>
    <m/>
    <m/>
    <n v="0"/>
    <m/>
    <m/>
    <n v="0"/>
    <n v="0"/>
    <n v="0"/>
    <m/>
    <m/>
    <m/>
    <m/>
    <n v="0"/>
    <m/>
    <m/>
    <n v="0"/>
    <m/>
    <m/>
    <m/>
    <m/>
    <m/>
    <m/>
    <n v="0"/>
    <n v="0"/>
  </r>
  <r>
    <x v="0"/>
    <x v="33"/>
    <s v="Non need-based"/>
    <m/>
    <m/>
    <x v="12"/>
    <m/>
    <m/>
    <m/>
    <m/>
    <m/>
    <m/>
    <m/>
    <m/>
    <n v="0"/>
    <m/>
    <m/>
    <n v="0"/>
    <n v="0"/>
    <n v="0"/>
    <m/>
    <m/>
    <m/>
    <m/>
    <n v="0"/>
    <m/>
    <m/>
    <n v="0"/>
    <m/>
    <m/>
    <m/>
    <m/>
    <m/>
    <m/>
    <n v="0"/>
    <n v="0"/>
  </r>
  <r>
    <x v="0"/>
    <x v="25"/>
    <s v="SREB minority doctoral fellows"/>
    <m/>
    <m/>
    <x v="12"/>
    <m/>
    <m/>
    <m/>
    <m/>
    <m/>
    <m/>
    <m/>
    <m/>
    <n v="0"/>
    <m/>
    <m/>
    <n v="0"/>
    <n v="0"/>
    <n v="0"/>
    <m/>
    <m/>
    <m/>
    <m/>
    <n v="0"/>
    <m/>
    <m/>
    <n v="0"/>
    <m/>
    <m/>
    <m/>
    <m/>
    <m/>
    <m/>
    <n v="0"/>
    <n v="0"/>
  </r>
  <r>
    <x v="0"/>
    <x v="28"/>
    <s v="Amount to public sector students"/>
    <m/>
    <m/>
    <x v="12"/>
    <m/>
    <m/>
    <m/>
    <m/>
    <m/>
    <m/>
    <m/>
    <m/>
    <n v="0"/>
    <m/>
    <m/>
    <n v="0"/>
    <n v="0"/>
    <n v="0"/>
    <m/>
    <m/>
    <m/>
    <m/>
    <n v="0"/>
    <m/>
    <m/>
    <n v="0"/>
    <m/>
    <m/>
    <m/>
    <m/>
    <m/>
    <m/>
    <n v="0"/>
    <n v="0"/>
  </r>
  <r>
    <x v="0"/>
    <x v="29"/>
    <s v="Need-based"/>
    <m/>
    <m/>
    <x v="12"/>
    <m/>
    <m/>
    <m/>
    <m/>
    <m/>
    <m/>
    <m/>
    <m/>
    <n v="0"/>
    <m/>
    <m/>
    <n v="0"/>
    <n v="0"/>
    <n v="0"/>
    <m/>
    <m/>
    <m/>
    <m/>
    <n v="0"/>
    <m/>
    <m/>
    <n v="0"/>
    <m/>
    <m/>
    <m/>
    <m/>
    <m/>
    <m/>
    <n v="0"/>
    <n v="0"/>
  </r>
  <r>
    <x v="0"/>
    <x v="30"/>
    <s v="Non need-based"/>
    <m/>
    <m/>
    <x v="12"/>
    <m/>
    <m/>
    <m/>
    <m/>
    <m/>
    <m/>
    <m/>
    <m/>
    <n v="0"/>
    <m/>
    <m/>
    <n v="0"/>
    <n v="0"/>
    <n v="0"/>
    <n v="436225"/>
    <n v="350950"/>
    <m/>
    <m/>
    <n v="0"/>
    <m/>
    <m/>
    <n v="0"/>
    <m/>
    <m/>
    <m/>
    <m/>
    <m/>
    <m/>
    <n v="436225"/>
    <n v="350950"/>
  </r>
  <r>
    <x v="0"/>
    <x v="31"/>
    <s v="Amount to private sector students"/>
    <m/>
    <m/>
    <x v="12"/>
    <m/>
    <m/>
    <m/>
    <m/>
    <m/>
    <m/>
    <m/>
    <m/>
    <n v="0"/>
    <m/>
    <m/>
    <n v="0"/>
    <n v="0"/>
    <n v="0"/>
    <m/>
    <m/>
    <m/>
    <m/>
    <n v="0"/>
    <m/>
    <m/>
    <n v="0"/>
    <m/>
    <m/>
    <m/>
    <m/>
    <m/>
    <m/>
    <n v="0"/>
    <n v="0"/>
  </r>
  <r>
    <x v="0"/>
    <x v="32"/>
    <s v="Need-based"/>
    <m/>
    <m/>
    <x v="12"/>
    <m/>
    <m/>
    <m/>
    <m/>
    <m/>
    <m/>
    <m/>
    <m/>
    <n v="0"/>
    <m/>
    <m/>
    <n v="0"/>
    <n v="0"/>
    <n v="0"/>
    <m/>
    <m/>
    <m/>
    <m/>
    <n v="0"/>
    <m/>
    <m/>
    <n v="0"/>
    <m/>
    <m/>
    <m/>
    <m/>
    <m/>
    <m/>
    <n v="0"/>
    <n v="0"/>
  </r>
  <r>
    <x v="0"/>
    <x v="33"/>
    <s v="Non need-based"/>
    <m/>
    <m/>
    <x v="12"/>
    <m/>
    <m/>
    <m/>
    <m/>
    <m/>
    <m/>
    <m/>
    <m/>
    <n v="0"/>
    <m/>
    <m/>
    <n v="0"/>
    <n v="0"/>
    <n v="0"/>
    <m/>
    <m/>
    <m/>
    <m/>
    <n v="0"/>
    <m/>
    <m/>
    <n v="0"/>
    <m/>
    <m/>
    <m/>
    <m/>
    <m/>
    <m/>
    <n v="0"/>
    <n v="0"/>
  </r>
  <r>
    <x v="0"/>
    <x v="25"/>
    <s v="Alabama Student Assistance Program"/>
    <m/>
    <m/>
    <x v="12"/>
    <m/>
    <m/>
    <m/>
    <m/>
    <m/>
    <m/>
    <m/>
    <m/>
    <n v="0"/>
    <m/>
    <m/>
    <n v="0"/>
    <n v="0"/>
    <n v="0"/>
    <m/>
    <m/>
    <m/>
    <m/>
    <n v="0"/>
    <m/>
    <m/>
    <n v="0"/>
    <m/>
    <m/>
    <m/>
    <m/>
    <m/>
    <m/>
    <n v="0"/>
    <n v="0"/>
  </r>
  <r>
    <x v="0"/>
    <x v="28"/>
    <s v="Amount to public sector students"/>
    <m/>
    <m/>
    <x v="12"/>
    <m/>
    <m/>
    <m/>
    <m/>
    <m/>
    <m/>
    <m/>
    <m/>
    <n v="0"/>
    <m/>
    <m/>
    <n v="0"/>
    <n v="0"/>
    <n v="0"/>
    <m/>
    <m/>
    <m/>
    <m/>
    <n v="0"/>
    <m/>
    <m/>
    <n v="0"/>
    <m/>
    <m/>
    <m/>
    <m/>
    <m/>
    <m/>
    <n v="0"/>
    <n v="0"/>
  </r>
  <r>
    <x v="0"/>
    <x v="29"/>
    <s v="Need-based"/>
    <m/>
    <m/>
    <x v="12"/>
    <m/>
    <m/>
    <m/>
    <m/>
    <m/>
    <m/>
    <m/>
    <m/>
    <n v="0"/>
    <m/>
    <m/>
    <n v="0"/>
    <n v="0"/>
    <n v="0"/>
    <n v="2393280"/>
    <n v="2235370"/>
    <m/>
    <m/>
    <n v="0"/>
    <m/>
    <m/>
    <n v="0"/>
    <m/>
    <m/>
    <m/>
    <m/>
    <m/>
    <m/>
    <n v="2393280"/>
    <n v="2235370"/>
  </r>
  <r>
    <x v="0"/>
    <x v="30"/>
    <s v="Non need-based"/>
    <m/>
    <m/>
    <x v="12"/>
    <m/>
    <m/>
    <m/>
    <m/>
    <m/>
    <m/>
    <m/>
    <m/>
    <n v="0"/>
    <m/>
    <m/>
    <n v="0"/>
    <n v="0"/>
    <n v="0"/>
    <m/>
    <m/>
    <m/>
    <m/>
    <n v="0"/>
    <m/>
    <m/>
    <n v="0"/>
    <m/>
    <m/>
    <m/>
    <m/>
    <m/>
    <m/>
    <n v="0"/>
    <n v="0"/>
  </r>
  <r>
    <x v="0"/>
    <x v="31"/>
    <s v="Amount to private sector students"/>
    <m/>
    <m/>
    <x v="12"/>
    <m/>
    <m/>
    <m/>
    <m/>
    <m/>
    <m/>
    <m/>
    <m/>
    <n v="0"/>
    <m/>
    <m/>
    <n v="0"/>
    <n v="0"/>
    <n v="0"/>
    <m/>
    <m/>
    <m/>
    <m/>
    <n v="0"/>
    <m/>
    <m/>
    <n v="0"/>
    <m/>
    <m/>
    <m/>
    <m/>
    <m/>
    <m/>
    <n v="0"/>
    <n v="0"/>
  </r>
  <r>
    <x v="0"/>
    <x v="32"/>
    <s v="Need-based"/>
    <m/>
    <m/>
    <x v="12"/>
    <m/>
    <m/>
    <m/>
    <m/>
    <m/>
    <m/>
    <m/>
    <m/>
    <n v="0"/>
    <m/>
    <m/>
    <n v="0"/>
    <n v="0"/>
    <n v="0"/>
    <n v="400290"/>
    <n v="395655"/>
    <m/>
    <m/>
    <n v="0"/>
    <m/>
    <m/>
    <n v="0"/>
    <m/>
    <m/>
    <m/>
    <m/>
    <m/>
    <m/>
    <n v="400290"/>
    <n v="395655"/>
  </r>
  <r>
    <x v="0"/>
    <x v="33"/>
    <s v="Non need-based"/>
    <m/>
    <m/>
    <x v="12"/>
    <m/>
    <m/>
    <m/>
    <m/>
    <m/>
    <m/>
    <m/>
    <m/>
    <n v="0"/>
    <m/>
    <m/>
    <n v="0"/>
    <n v="0"/>
    <n v="0"/>
    <m/>
    <m/>
    <m/>
    <m/>
    <n v="0"/>
    <m/>
    <m/>
    <n v="0"/>
    <m/>
    <m/>
    <m/>
    <m/>
    <m/>
    <m/>
    <n v="0"/>
    <n v="0"/>
  </r>
  <r>
    <x v="0"/>
    <x v="25"/>
    <s v="Dependents of blind parents program"/>
    <m/>
    <m/>
    <x v="12"/>
    <m/>
    <m/>
    <m/>
    <m/>
    <m/>
    <m/>
    <m/>
    <m/>
    <n v="0"/>
    <m/>
    <m/>
    <n v="0"/>
    <n v="0"/>
    <n v="0"/>
    <m/>
    <m/>
    <m/>
    <m/>
    <n v="0"/>
    <m/>
    <m/>
    <n v="0"/>
    <m/>
    <m/>
    <m/>
    <m/>
    <m/>
    <m/>
    <n v="0"/>
    <n v="0"/>
  </r>
  <r>
    <x v="0"/>
    <x v="26"/>
    <s v="Need-based"/>
    <m/>
    <m/>
    <x v="12"/>
    <m/>
    <m/>
    <m/>
    <m/>
    <m/>
    <m/>
    <m/>
    <m/>
    <n v="0"/>
    <m/>
    <m/>
    <n v="0"/>
    <n v="0"/>
    <n v="0"/>
    <n v="10832"/>
    <n v="10399"/>
    <m/>
    <m/>
    <n v="0"/>
    <m/>
    <m/>
    <n v="0"/>
    <m/>
    <m/>
    <m/>
    <m/>
    <m/>
    <m/>
    <n v="10832"/>
    <n v="10399"/>
  </r>
  <r>
    <x v="0"/>
    <x v="27"/>
    <s v="Non need-based"/>
    <m/>
    <m/>
    <x v="12"/>
    <m/>
    <m/>
    <m/>
    <m/>
    <m/>
    <m/>
    <m/>
    <m/>
    <n v="0"/>
    <m/>
    <m/>
    <n v="0"/>
    <n v="0"/>
    <n v="0"/>
    <m/>
    <m/>
    <m/>
    <m/>
    <n v="0"/>
    <m/>
    <m/>
    <n v="0"/>
    <m/>
    <m/>
    <m/>
    <m/>
    <m/>
    <m/>
    <n v="0"/>
    <n v="0"/>
  </r>
  <r>
    <x v="0"/>
    <x v="28"/>
    <s v="Amount to public sector students"/>
    <m/>
    <m/>
    <x v="12"/>
    <m/>
    <m/>
    <m/>
    <m/>
    <m/>
    <m/>
    <m/>
    <m/>
    <n v="0"/>
    <m/>
    <m/>
    <n v="0"/>
    <n v="0"/>
    <n v="0"/>
    <m/>
    <m/>
    <m/>
    <m/>
    <n v="0"/>
    <m/>
    <m/>
    <n v="0"/>
    <m/>
    <m/>
    <m/>
    <m/>
    <m/>
    <m/>
    <n v="0"/>
    <n v="0"/>
  </r>
  <r>
    <x v="0"/>
    <x v="29"/>
    <s v="Need-based"/>
    <m/>
    <m/>
    <x v="12"/>
    <m/>
    <m/>
    <m/>
    <m/>
    <m/>
    <m/>
    <m/>
    <m/>
    <n v="0"/>
    <m/>
    <m/>
    <n v="0"/>
    <n v="0"/>
    <n v="0"/>
    <m/>
    <m/>
    <m/>
    <m/>
    <n v="0"/>
    <m/>
    <m/>
    <n v="0"/>
    <m/>
    <m/>
    <m/>
    <m/>
    <m/>
    <m/>
    <n v="0"/>
    <n v="0"/>
  </r>
  <r>
    <x v="0"/>
    <x v="30"/>
    <s v="Non need-based"/>
    <m/>
    <m/>
    <x v="12"/>
    <m/>
    <m/>
    <m/>
    <m/>
    <m/>
    <m/>
    <m/>
    <m/>
    <n v="0"/>
    <m/>
    <m/>
    <n v="0"/>
    <n v="0"/>
    <n v="0"/>
    <m/>
    <m/>
    <m/>
    <m/>
    <n v="0"/>
    <m/>
    <m/>
    <n v="0"/>
    <m/>
    <m/>
    <m/>
    <m/>
    <m/>
    <m/>
    <n v="0"/>
    <n v="0"/>
  </r>
  <r>
    <x v="0"/>
    <x v="31"/>
    <s v="Amount to private sector students"/>
    <m/>
    <m/>
    <x v="12"/>
    <m/>
    <m/>
    <m/>
    <m/>
    <m/>
    <m/>
    <m/>
    <m/>
    <n v="0"/>
    <m/>
    <m/>
    <n v="0"/>
    <n v="0"/>
    <n v="0"/>
    <m/>
    <m/>
    <m/>
    <m/>
    <n v="0"/>
    <m/>
    <m/>
    <n v="0"/>
    <m/>
    <m/>
    <m/>
    <m/>
    <m/>
    <m/>
    <n v="0"/>
    <n v="0"/>
  </r>
  <r>
    <x v="0"/>
    <x v="32"/>
    <s v="Need-based"/>
    <m/>
    <m/>
    <x v="12"/>
    <m/>
    <m/>
    <m/>
    <m/>
    <m/>
    <m/>
    <m/>
    <m/>
    <n v="0"/>
    <m/>
    <m/>
    <n v="0"/>
    <n v="0"/>
    <n v="0"/>
    <m/>
    <m/>
    <m/>
    <m/>
    <n v="0"/>
    <m/>
    <m/>
    <n v="0"/>
    <m/>
    <m/>
    <m/>
    <m/>
    <m/>
    <m/>
    <n v="0"/>
    <n v="0"/>
  </r>
  <r>
    <x v="0"/>
    <x v="33"/>
    <s v="Non need-based"/>
    <m/>
    <m/>
    <x v="12"/>
    <m/>
    <m/>
    <m/>
    <m/>
    <m/>
    <m/>
    <m/>
    <m/>
    <n v="0"/>
    <m/>
    <m/>
    <n v="0"/>
    <n v="0"/>
    <n v="0"/>
    <m/>
    <m/>
    <m/>
    <m/>
    <n v="0"/>
    <m/>
    <m/>
    <n v="0"/>
    <m/>
    <m/>
    <m/>
    <m/>
    <m/>
    <m/>
    <n v="0"/>
    <n v="0"/>
  </r>
  <r>
    <x v="0"/>
    <x v="25"/>
    <s v="Department of Veterans Affairs programs"/>
    <m/>
    <m/>
    <x v="12"/>
    <m/>
    <m/>
    <m/>
    <m/>
    <m/>
    <m/>
    <m/>
    <m/>
    <n v="0"/>
    <m/>
    <m/>
    <n v="0"/>
    <n v="0"/>
    <n v="0"/>
    <m/>
    <m/>
    <m/>
    <m/>
    <n v="0"/>
    <m/>
    <m/>
    <n v="0"/>
    <m/>
    <m/>
    <m/>
    <m/>
    <m/>
    <m/>
    <n v="0"/>
    <n v="0"/>
  </r>
  <r>
    <x v="0"/>
    <x v="28"/>
    <s v="Amount to public sector students"/>
    <m/>
    <m/>
    <x v="12"/>
    <m/>
    <m/>
    <m/>
    <m/>
    <m/>
    <m/>
    <m/>
    <m/>
    <n v="0"/>
    <m/>
    <m/>
    <n v="0"/>
    <n v="0"/>
    <n v="0"/>
    <m/>
    <m/>
    <m/>
    <m/>
    <n v="0"/>
    <m/>
    <m/>
    <n v="0"/>
    <m/>
    <m/>
    <m/>
    <m/>
    <m/>
    <m/>
    <n v="0"/>
    <n v="0"/>
  </r>
  <r>
    <x v="0"/>
    <x v="29"/>
    <s v="Need-based"/>
    <m/>
    <m/>
    <x v="12"/>
    <m/>
    <m/>
    <m/>
    <m/>
    <m/>
    <m/>
    <m/>
    <m/>
    <n v="0"/>
    <m/>
    <m/>
    <n v="0"/>
    <n v="0"/>
    <n v="0"/>
    <m/>
    <m/>
    <m/>
    <m/>
    <n v="0"/>
    <m/>
    <m/>
    <n v="0"/>
    <m/>
    <m/>
    <m/>
    <m/>
    <m/>
    <m/>
    <n v="0"/>
    <n v="0"/>
  </r>
  <r>
    <x v="0"/>
    <x v="30"/>
    <s v="Non need-based"/>
    <m/>
    <m/>
    <x v="12"/>
    <m/>
    <m/>
    <m/>
    <m/>
    <m/>
    <m/>
    <m/>
    <m/>
    <n v="0"/>
    <m/>
    <m/>
    <n v="0"/>
    <n v="0"/>
    <n v="0"/>
    <n v="43520937"/>
    <n v="45762391"/>
    <m/>
    <m/>
    <n v="0"/>
    <m/>
    <m/>
    <n v="0"/>
    <m/>
    <m/>
    <m/>
    <m/>
    <m/>
    <m/>
    <n v="43520937"/>
    <n v="45762391"/>
  </r>
  <r>
    <x v="0"/>
    <x v="31"/>
    <s v="Amount to private sector students"/>
    <m/>
    <m/>
    <x v="12"/>
    <m/>
    <m/>
    <m/>
    <m/>
    <m/>
    <m/>
    <m/>
    <m/>
    <n v="0"/>
    <m/>
    <m/>
    <n v="0"/>
    <n v="0"/>
    <n v="0"/>
    <m/>
    <m/>
    <m/>
    <m/>
    <n v="0"/>
    <m/>
    <m/>
    <n v="0"/>
    <m/>
    <m/>
    <m/>
    <m/>
    <m/>
    <m/>
    <n v="0"/>
    <n v="0"/>
  </r>
  <r>
    <x v="0"/>
    <x v="32"/>
    <s v="Need-based"/>
    <m/>
    <m/>
    <x v="12"/>
    <m/>
    <m/>
    <m/>
    <m/>
    <m/>
    <m/>
    <m/>
    <m/>
    <n v="0"/>
    <m/>
    <m/>
    <n v="0"/>
    <n v="0"/>
    <n v="0"/>
    <m/>
    <m/>
    <m/>
    <m/>
    <n v="0"/>
    <m/>
    <m/>
    <n v="0"/>
    <m/>
    <m/>
    <m/>
    <m/>
    <m/>
    <m/>
    <n v="0"/>
    <n v="0"/>
  </r>
  <r>
    <x v="0"/>
    <x v="33"/>
    <s v="Non need-based"/>
    <m/>
    <m/>
    <x v="12"/>
    <m/>
    <m/>
    <m/>
    <m/>
    <m/>
    <m/>
    <m/>
    <m/>
    <n v="0"/>
    <m/>
    <m/>
    <n v="0"/>
    <n v="0"/>
    <n v="0"/>
    <m/>
    <m/>
    <m/>
    <m/>
    <n v="0"/>
    <m/>
    <m/>
    <n v="0"/>
    <m/>
    <m/>
    <m/>
    <m/>
    <m/>
    <m/>
    <n v="0"/>
    <n v="0"/>
  </r>
  <r>
    <x v="0"/>
    <x v="25"/>
    <s v="Policeman's' scholarships"/>
    <m/>
    <m/>
    <x v="12"/>
    <m/>
    <m/>
    <m/>
    <m/>
    <m/>
    <m/>
    <m/>
    <m/>
    <n v="0"/>
    <m/>
    <m/>
    <n v="0"/>
    <n v="0"/>
    <n v="0"/>
    <m/>
    <m/>
    <m/>
    <m/>
    <n v="0"/>
    <m/>
    <m/>
    <n v="0"/>
    <m/>
    <m/>
    <m/>
    <m/>
    <m/>
    <m/>
    <n v="0"/>
    <n v="0"/>
  </r>
  <r>
    <x v="0"/>
    <x v="28"/>
    <s v="Amount to public sector students"/>
    <m/>
    <m/>
    <x v="12"/>
    <m/>
    <m/>
    <m/>
    <m/>
    <m/>
    <m/>
    <m/>
    <m/>
    <n v="0"/>
    <m/>
    <m/>
    <n v="0"/>
    <n v="0"/>
    <n v="0"/>
    <m/>
    <m/>
    <m/>
    <m/>
    <n v="0"/>
    <m/>
    <m/>
    <n v="0"/>
    <m/>
    <m/>
    <m/>
    <m/>
    <m/>
    <m/>
    <n v="0"/>
    <n v="0"/>
  </r>
  <r>
    <x v="0"/>
    <x v="29"/>
    <s v="Need-based"/>
    <m/>
    <m/>
    <x v="12"/>
    <m/>
    <m/>
    <m/>
    <m/>
    <m/>
    <m/>
    <m/>
    <m/>
    <n v="0"/>
    <m/>
    <m/>
    <n v="0"/>
    <n v="0"/>
    <n v="0"/>
    <m/>
    <m/>
    <m/>
    <m/>
    <n v="0"/>
    <m/>
    <m/>
    <n v="0"/>
    <m/>
    <m/>
    <m/>
    <m/>
    <m/>
    <m/>
    <n v="0"/>
    <n v="0"/>
  </r>
  <r>
    <x v="0"/>
    <x v="30"/>
    <s v="Non need-based"/>
    <m/>
    <m/>
    <x v="12"/>
    <m/>
    <m/>
    <m/>
    <m/>
    <m/>
    <m/>
    <m/>
    <m/>
    <n v="0"/>
    <m/>
    <m/>
    <n v="0"/>
    <n v="0"/>
    <n v="0"/>
    <n v="292932"/>
    <n v="146358"/>
    <m/>
    <m/>
    <n v="0"/>
    <m/>
    <m/>
    <n v="0"/>
    <m/>
    <m/>
    <m/>
    <m/>
    <m/>
    <m/>
    <n v="292932"/>
    <n v="146358"/>
  </r>
  <r>
    <x v="0"/>
    <x v="31"/>
    <s v="Amount to private sector students"/>
    <m/>
    <m/>
    <x v="12"/>
    <m/>
    <m/>
    <m/>
    <m/>
    <m/>
    <m/>
    <m/>
    <m/>
    <n v="0"/>
    <m/>
    <m/>
    <n v="0"/>
    <n v="0"/>
    <n v="0"/>
    <m/>
    <m/>
    <m/>
    <m/>
    <n v="0"/>
    <m/>
    <m/>
    <n v="0"/>
    <m/>
    <m/>
    <m/>
    <m/>
    <m/>
    <m/>
    <n v="0"/>
    <n v="0"/>
  </r>
  <r>
    <x v="0"/>
    <x v="32"/>
    <s v="Need-based"/>
    <m/>
    <m/>
    <x v="12"/>
    <m/>
    <m/>
    <m/>
    <m/>
    <m/>
    <m/>
    <m/>
    <m/>
    <n v="0"/>
    <m/>
    <m/>
    <n v="0"/>
    <n v="0"/>
    <n v="0"/>
    <m/>
    <m/>
    <m/>
    <m/>
    <n v="0"/>
    <m/>
    <m/>
    <n v="0"/>
    <m/>
    <m/>
    <m/>
    <m/>
    <m/>
    <m/>
    <n v="0"/>
    <n v="0"/>
  </r>
  <r>
    <x v="0"/>
    <x v="33"/>
    <s v="Non need-based"/>
    <m/>
    <m/>
    <x v="12"/>
    <m/>
    <m/>
    <m/>
    <m/>
    <m/>
    <m/>
    <m/>
    <m/>
    <n v="0"/>
    <m/>
    <m/>
    <n v="0"/>
    <n v="0"/>
    <n v="0"/>
    <m/>
    <m/>
    <m/>
    <m/>
    <n v="0"/>
    <m/>
    <m/>
    <n v="0"/>
    <m/>
    <m/>
    <m/>
    <m/>
    <m/>
    <m/>
    <n v="0"/>
    <n v="0"/>
  </r>
  <r>
    <x v="0"/>
    <x v="25"/>
    <s v="National Guard Ed Assistance"/>
    <m/>
    <m/>
    <x v="12"/>
    <m/>
    <m/>
    <m/>
    <m/>
    <m/>
    <m/>
    <m/>
    <m/>
    <n v="0"/>
    <m/>
    <m/>
    <n v="0"/>
    <n v="0"/>
    <n v="0"/>
    <m/>
    <m/>
    <m/>
    <m/>
    <n v="0"/>
    <m/>
    <m/>
    <n v="0"/>
    <m/>
    <m/>
    <m/>
    <m/>
    <m/>
    <m/>
    <n v="0"/>
    <n v="0"/>
  </r>
  <r>
    <x v="0"/>
    <x v="28"/>
    <s v="Amount to public sector students"/>
    <m/>
    <m/>
    <x v="12"/>
    <m/>
    <m/>
    <m/>
    <m/>
    <m/>
    <m/>
    <m/>
    <m/>
    <n v="0"/>
    <m/>
    <m/>
    <n v="0"/>
    <n v="0"/>
    <n v="0"/>
    <m/>
    <m/>
    <m/>
    <m/>
    <n v="0"/>
    <m/>
    <m/>
    <n v="0"/>
    <m/>
    <m/>
    <m/>
    <m/>
    <m/>
    <m/>
    <n v="0"/>
    <n v="0"/>
  </r>
  <r>
    <x v="0"/>
    <x v="29"/>
    <s v="Need-based"/>
    <m/>
    <m/>
    <x v="12"/>
    <m/>
    <m/>
    <m/>
    <m/>
    <m/>
    <m/>
    <m/>
    <m/>
    <n v="0"/>
    <m/>
    <m/>
    <n v="0"/>
    <n v="0"/>
    <n v="0"/>
    <m/>
    <m/>
    <m/>
    <m/>
    <n v="0"/>
    <m/>
    <m/>
    <n v="0"/>
    <m/>
    <m/>
    <m/>
    <m/>
    <m/>
    <m/>
    <n v="0"/>
    <n v="0"/>
  </r>
  <r>
    <x v="0"/>
    <x v="30"/>
    <s v="Non need-based"/>
    <m/>
    <m/>
    <x v="12"/>
    <m/>
    <m/>
    <m/>
    <m/>
    <m/>
    <m/>
    <m/>
    <m/>
    <n v="0"/>
    <m/>
    <m/>
    <n v="0"/>
    <n v="0"/>
    <n v="0"/>
    <n v="841551"/>
    <n v="465752"/>
    <m/>
    <m/>
    <n v="0"/>
    <m/>
    <m/>
    <n v="0"/>
    <m/>
    <m/>
    <m/>
    <m/>
    <m/>
    <m/>
    <n v="841551"/>
    <n v="465752"/>
  </r>
  <r>
    <x v="0"/>
    <x v="31"/>
    <s v="Amount to private sector students"/>
    <m/>
    <m/>
    <x v="12"/>
    <m/>
    <m/>
    <m/>
    <m/>
    <m/>
    <m/>
    <m/>
    <m/>
    <n v="0"/>
    <m/>
    <m/>
    <n v="0"/>
    <n v="0"/>
    <n v="0"/>
    <m/>
    <m/>
    <m/>
    <m/>
    <n v="0"/>
    <m/>
    <m/>
    <n v="0"/>
    <m/>
    <m/>
    <m/>
    <m/>
    <m/>
    <m/>
    <n v="0"/>
    <n v="0"/>
  </r>
  <r>
    <x v="0"/>
    <x v="32"/>
    <s v="Need-based"/>
    <m/>
    <m/>
    <x v="12"/>
    <m/>
    <m/>
    <m/>
    <m/>
    <m/>
    <m/>
    <m/>
    <m/>
    <n v="0"/>
    <m/>
    <m/>
    <n v="0"/>
    <n v="0"/>
    <n v="0"/>
    <m/>
    <m/>
    <m/>
    <m/>
    <n v="0"/>
    <m/>
    <m/>
    <n v="0"/>
    <m/>
    <m/>
    <m/>
    <m/>
    <m/>
    <m/>
    <n v="0"/>
    <n v="0"/>
  </r>
  <r>
    <x v="0"/>
    <x v="33"/>
    <s v="Non need-based"/>
    <m/>
    <m/>
    <x v="12"/>
    <m/>
    <m/>
    <m/>
    <m/>
    <m/>
    <m/>
    <m/>
    <m/>
    <n v="0"/>
    <m/>
    <m/>
    <n v="0"/>
    <n v="0"/>
    <n v="0"/>
    <n v="83725"/>
    <n v="81710"/>
    <m/>
    <m/>
    <n v="0"/>
    <m/>
    <m/>
    <n v="0"/>
    <m/>
    <m/>
    <m/>
    <m/>
    <m/>
    <m/>
    <n v="83725"/>
    <n v="81710"/>
  </r>
  <r>
    <x v="0"/>
    <x v="34"/>
    <s v="Limited to public college students only"/>
    <m/>
    <m/>
    <x v="12"/>
    <m/>
    <m/>
    <m/>
    <m/>
    <m/>
    <m/>
    <m/>
    <m/>
    <n v="0"/>
    <m/>
    <m/>
    <n v="0"/>
    <n v="0"/>
    <n v="0"/>
    <m/>
    <m/>
    <m/>
    <m/>
    <n v="0"/>
    <m/>
    <m/>
    <n v="0"/>
    <m/>
    <m/>
    <m/>
    <m/>
    <m/>
    <m/>
    <n v="0"/>
    <n v="0"/>
  </r>
  <r>
    <x v="0"/>
    <x v="25"/>
    <s v="American Legion program"/>
    <m/>
    <m/>
    <x v="12"/>
    <m/>
    <m/>
    <m/>
    <m/>
    <m/>
    <m/>
    <m/>
    <m/>
    <n v="0"/>
    <m/>
    <m/>
    <n v="0"/>
    <n v="0"/>
    <n v="0"/>
    <m/>
    <m/>
    <m/>
    <m/>
    <n v="0"/>
    <m/>
    <m/>
    <n v="0"/>
    <m/>
    <m/>
    <m/>
    <m/>
    <m/>
    <m/>
    <n v="0"/>
    <n v="0"/>
  </r>
  <r>
    <x v="0"/>
    <x v="35"/>
    <s v="Need-based"/>
    <m/>
    <m/>
    <x v="12"/>
    <m/>
    <m/>
    <m/>
    <m/>
    <m/>
    <m/>
    <m/>
    <m/>
    <n v="0"/>
    <m/>
    <m/>
    <n v="0"/>
    <n v="0"/>
    <n v="0"/>
    <m/>
    <m/>
    <m/>
    <m/>
    <n v="0"/>
    <m/>
    <m/>
    <n v="0"/>
    <m/>
    <m/>
    <m/>
    <m/>
    <m/>
    <m/>
    <n v="0"/>
    <n v="0"/>
  </r>
  <r>
    <x v="0"/>
    <x v="36"/>
    <s v="Non need-based"/>
    <m/>
    <m/>
    <x v="12"/>
    <m/>
    <m/>
    <m/>
    <m/>
    <m/>
    <m/>
    <m/>
    <m/>
    <n v="0"/>
    <m/>
    <m/>
    <n v="0"/>
    <n v="0"/>
    <n v="0"/>
    <n v="112500"/>
    <n v="112500"/>
    <m/>
    <m/>
    <n v="0"/>
    <m/>
    <m/>
    <n v="0"/>
    <m/>
    <m/>
    <m/>
    <m/>
    <m/>
    <m/>
    <n v="112500"/>
    <n v="112500"/>
  </r>
  <r>
    <x v="0"/>
    <x v="36"/>
    <s v="Two-Year Transfer Scholarship Program"/>
    <m/>
    <m/>
    <x v="12"/>
    <m/>
    <m/>
    <m/>
    <m/>
    <m/>
    <m/>
    <m/>
    <m/>
    <n v="0"/>
    <m/>
    <m/>
    <n v="0"/>
    <n v="0"/>
    <n v="0"/>
    <m/>
    <m/>
    <m/>
    <m/>
    <n v="0"/>
    <m/>
    <m/>
    <n v="0"/>
    <m/>
    <m/>
    <m/>
    <m/>
    <m/>
    <m/>
    <n v="0"/>
    <n v="0"/>
  </r>
  <r>
    <x v="0"/>
    <x v="36"/>
    <s v="Non need-based"/>
    <m/>
    <m/>
    <x v="12"/>
    <m/>
    <m/>
    <m/>
    <m/>
    <m/>
    <m/>
    <m/>
    <m/>
    <n v="0"/>
    <m/>
    <m/>
    <n v="0"/>
    <n v="0"/>
    <n v="0"/>
    <n v="250544"/>
    <n v="250000"/>
    <m/>
    <m/>
    <n v="0"/>
    <m/>
    <m/>
    <n v="0"/>
    <m/>
    <m/>
    <m/>
    <m/>
    <m/>
    <m/>
    <n v="250544"/>
    <n v="250000"/>
  </r>
  <r>
    <x v="0"/>
    <x v="37"/>
    <s v="Limited to private college students only"/>
    <m/>
    <m/>
    <x v="12"/>
    <m/>
    <m/>
    <m/>
    <m/>
    <m/>
    <m/>
    <m/>
    <m/>
    <n v="0"/>
    <m/>
    <m/>
    <n v="0"/>
    <n v="0"/>
    <n v="0"/>
    <m/>
    <m/>
    <m/>
    <m/>
    <n v="0"/>
    <m/>
    <m/>
    <n v="0"/>
    <m/>
    <m/>
    <m/>
    <m/>
    <m/>
    <m/>
    <n v="0"/>
    <n v="0"/>
  </r>
  <r>
    <x v="0"/>
    <x v="37"/>
    <s v="Alabama Student Grant Program"/>
    <m/>
    <m/>
    <x v="12"/>
    <m/>
    <m/>
    <m/>
    <m/>
    <m/>
    <m/>
    <m/>
    <m/>
    <n v="0"/>
    <m/>
    <m/>
    <n v="0"/>
    <n v="0"/>
    <n v="0"/>
    <m/>
    <m/>
    <m/>
    <m/>
    <n v="0"/>
    <m/>
    <m/>
    <n v="0"/>
    <m/>
    <m/>
    <m/>
    <m/>
    <m/>
    <m/>
    <n v="0"/>
    <n v="0"/>
  </r>
  <r>
    <x v="0"/>
    <x v="38"/>
    <s v="Need-based"/>
    <m/>
    <m/>
    <x v="12"/>
    <m/>
    <m/>
    <m/>
    <m/>
    <m/>
    <m/>
    <m/>
    <m/>
    <n v="0"/>
    <m/>
    <m/>
    <n v="0"/>
    <n v="0"/>
    <n v="0"/>
    <m/>
    <m/>
    <m/>
    <m/>
    <n v="0"/>
    <m/>
    <m/>
    <n v="0"/>
    <m/>
    <m/>
    <m/>
    <m/>
    <m/>
    <m/>
    <n v="0"/>
    <n v="0"/>
  </r>
  <r>
    <x v="0"/>
    <x v="39"/>
    <s v="Non need-based"/>
    <m/>
    <m/>
    <x v="12"/>
    <m/>
    <m/>
    <m/>
    <m/>
    <m/>
    <m/>
    <m/>
    <m/>
    <n v="0"/>
    <m/>
    <m/>
    <n v="0"/>
    <n v="0"/>
    <n v="0"/>
    <n v="1656614"/>
    <n v="1566962"/>
    <m/>
    <m/>
    <n v="0"/>
    <m/>
    <m/>
    <n v="0"/>
    <m/>
    <m/>
    <m/>
    <n v="0"/>
    <m/>
    <m/>
    <n v="1656614"/>
    <n v="1566962"/>
  </r>
  <r>
    <x v="1"/>
    <x v="0"/>
    <s v="University of Arkansas, Fayetteville"/>
    <m/>
    <n v="106397"/>
    <x v="0"/>
    <n v="122747030.43859683"/>
    <n v="122375196"/>
    <m/>
    <m/>
    <m/>
    <m/>
    <n v="180261378"/>
    <m/>
    <n v="180261378"/>
    <n v="193794040"/>
    <m/>
    <n v="193794040"/>
    <n v="303008408.43859684"/>
    <n v="316169236"/>
    <m/>
    <m/>
    <m/>
    <m/>
    <n v="0"/>
    <m/>
    <m/>
    <n v="0"/>
    <m/>
    <m/>
    <m/>
    <m/>
    <m/>
    <m/>
    <n v="303008408.43859684"/>
    <n v="316169236"/>
  </r>
  <r>
    <x v="1"/>
    <x v="40"/>
    <s v="Agricultural cooperative extension"/>
    <m/>
    <n v="106397"/>
    <x v="0"/>
    <m/>
    <m/>
    <m/>
    <m/>
    <m/>
    <m/>
    <m/>
    <m/>
    <n v="0"/>
    <m/>
    <m/>
    <n v="0"/>
    <n v="0"/>
    <n v="0"/>
    <m/>
    <m/>
    <m/>
    <m/>
    <n v="0"/>
    <m/>
    <m/>
    <n v="0"/>
    <m/>
    <m/>
    <m/>
    <m/>
    <m/>
    <m/>
    <n v="0"/>
    <n v="0"/>
  </r>
  <r>
    <x v="1"/>
    <x v="40"/>
    <s v="Univ of Ark. System Divison of Agriculture"/>
    <m/>
    <n v="106397"/>
    <x v="0"/>
    <m/>
    <m/>
    <n v="68108224.360640556"/>
    <n v="68137894"/>
    <m/>
    <m/>
    <m/>
    <m/>
    <n v="0"/>
    <m/>
    <m/>
    <n v="0"/>
    <n v="68108224.360640556"/>
    <n v="68137894"/>
    <m/>
    <m/>
    <m/>
    <m/>
    <n v="0"/>
    <m/>
    <m/>
    <n v="0"/>
    <m/>
    <m/>
    <m/>
    <m/>
    <m/>
    <m/>
    <n v="68108224.360640556"/>
    <n v="68137894"/>
  </r>
  <r>
    <x v="1"/>
    <x v="11"/>
    <s v="Univ of Ark. System Archeological Survey"/>
    <m/>
    <n v="106397"/>
    <x v="0"/>
    <m/>
    <m/>
    <n v="2457816.2426411286"/>
    <n v="2455769"/>
    <m/>
    <m/>
    <m/>
    <m/>
    <n v="0"/>
    <m/>
    <m/>
    <n v="0"/>
    <n v="2457816.2426411286"/>
    <n v="2455769"/>
    <m/>
    <m/>
    <m/>
    <m/>
    <n v="0"/>
    <m/>
    <m/>
    <n v="0"/>
    <m/>
    <m/>
    <m/>
    <m/>
    <m/>
    <m/>
    <n v="2457816.2426411286"/>
    <n v="2455769"/>
  </r>
  <r>
    <x v="1"/>
    <x v="11"/>
    <s v="Univ of Ark. System Criminal Justice Institute"/>
    <m/>
    <n v="106397"/>
    <x v="0"/>
    <m/>
    <m/>
    <n v="1830383.2174755107"/>
    <n v="1825769"/>
    <m/>
    <m/>
    <m/>
    <m/>
    <n v="0"/>
    <m/>
    <m/>
    <n v="0"/>
    <n v="1830383.2174755107"/>
    <n v="1825769"/>
    <m/>
    <m/>
    <m/>
    <m/>
    <n v="0"/>
    <m/>
    <m/>
    <n v="0"/>
    <m/>
    <m/>
    <m/>
    <m/>
    <m/>
    <m/>
    <n v="1830383.2174755107"/>
    <n v="1825769"/>
  </r>
  <r>
    <x v="1"/>
    <x v="3"/>
    <s v="Community or public service units"/>
    <m/>
    <n v="106397"/>
    <x v="0"/>
    <m/>
    <m/>
    <m/>
    <m/>
    <m/>
    <m/>
    <m/>
    <m/>
    <n v="0"/>
    <m/>
    <m/>
    <n v="0"/>
    <n v="0"/>
    <n v="0"/>
    <m/>
    <m/>
    <m/>
    <m/>
    <n v="0"/>
    <m/>
    <m/>
    <n v="0"/>
    <m/>
    <m/>
    <m/>
    <m/>
    <m/>
    <m/>
    <n v="0"/>
    <n v="0"/>
  </r>
  <r>
    <x v="1"/>
    <x v="3"/>
    <s v="Univ. of Ark. System Arkansas School of Mathematics, Sciences and the Arts"/>
    <m/>
    <n v="106397"/>
    <x v="0"/>
    <m/>
    <m/>
    <n v="7987379.2503227545"/>
    <n v="8155438"/>
    <m/>
    <m/>
    <m/>
    <m/>
    <n v="0"/>
    <m/>
    <m/>
    <n v="0"/>
    <n v="7987379.2503227545"/>
    <n v="8155438"/>
    <m/>
    <m/>
    <m/>
    <m/>
    <n v="0"/>
    <m/>
    <m/>
    <n v="0"/>
    <m/>
    <m/>
    <m/>
    <m/>
    <m/>
    <m/>
    <n v="7987379.2503227545"/>
    <n v="8155438"/>
  </r>
  <r>
    <x v="1"/>
    <x v="0"/>
    <s v="Clinton School for Public Service"/>
    <m/>
    <n v="106397"/>
    <x v="0"/>
    <m/>
    <m/>
    <n v="2301202.340173116"/>
    <n v="2295575"/>
    <m/>
    <m/>
    <n v="455427"/>
    <m/>
    <n v="455427"/>
    <n v="595600"/>
    <m/>
    <n v="595600"/>
    <n v="2756629.340173116"/>
    <n v="2891175"/>
    <m/>
    <m/>
    <m/>
    <m/>
    <n v="0"/>
    <m/>
    <m/>
    <n v="0"/>
    <m/>
    <m/>
    <m/>
    <m/>
    <m/>
    <m/>
    <n v="2756629.340173116"/>
    <n v="2891175"/>
  </r>
  <r>
    <x v="1"/>
    <x v="0"/>
    <s v="Arkansas State University"/>
    <m/>
    <n v="106458"/>
    <x v="2"/>
    <n v="60148141.267634168"/>
    <n v="60141168"/>
    <m/>
    <m/>
    <m/>
    <m/>
    <n v="88566132"/>
    <m/>
    <n v="88566132"/>
    <n v="88772741"/>
    <m/>
    <n v="88772741"/>
    <n v="148714273.26763415"/>
    <n v="148913909"/>
    <m/>
    <m/>
    <m/>
    <m/>
    <n v="0"/>
    <m/>
    <m/>
    <n v="0"/>
    <m/>
    <m/>
    <m/>
    <m/>
    <m/>
    <m/>
    <n v="148714273.26763415"/>
    <n v="148913909"/>
  </r>
  <r>
    <x v="1"/>
    <x v="3"/>
    <s v="Community or public service units"/>
    <m/>
    <n v="106458"/>
    <x v="2"/>
    <m/>
    <m/>
    <m/>
    <m/>
    <m/>
    <m/>
    <m/>
    <m/>
    <n v="0"/>
    <m/>
    <m/>
    <n v="0"/>
    <n v="0"/>
    <n v="0"/>
    <m/>
    <m/>
    <m/>
    <m/>
    <n v="0"/>
    <m/>
    <m/>
    <n v="0"/>
    <m/>
    <m/>
    <m/>
    <m/>
    <m/>
    <m/>
    <n v="0"/>
    <n v="0"/>
  </r>
  <r>
    <x v="1"/>
    <x v="0"/>
    <s v="Arkansas Tech University"/>
    <s v="Reclassified: met the criteria for Four-Year 3 in 2010-11, 2011-12 and 2012-13."/>
    <n v="106467"/>
    <x v="2"/>
    <n v="31224929.920327354"/>
    <n v="31134133"/>
    <m/>
    <m/>
    <m/>
    <m/>
    <n v="47858735"/>
    <m/>
    <n v="47858735"/>
    <n v="50527536"/>
    <m/>
    <n v="50527536"/>
    <n v="79083664.92032735"/>
    <n v="81661669"/>
    <m/>
    <m/>
    <m/>
    <m/>
    <n v="0"/>
    <m/>
    <m/>
    <n v="0"/>
    <m/>
    <m/>
    <m/>
    <m/>
    <m/>
    <m/>
    <n v="79083664.92032735"/>
    <n v="81661669"/>
  </r>
  <r>
    <x v="1"/>
    <x v="3"/>
    <s v="Community or public service units"/>
    <m/>
    <n v="106467"/>
    <x v="2"/>
    <m/>
    <m/>
    <m/>
    <m/>
    <m/>
    <m/>
    <m/>
    <m/>
    <n v="0"/>
    <m/>
    <m/>
    <n v="0"/>
    <n v="0"/>
    <n v="0"/>
    <m/>
    <m/>
    <m/>
    <m/>
    <n v="0"/>
    <m/>
    <m/>
    <n v="0"/>
    <m/>
    <m/>
    <m/>
    <m/>
    <m/>
    <m/>
    <n v="0"/>
    <n v="0"/>
  </r>
  <r>
    <x v="1"/>
    <x v="3"/>
    <s v="Arkansas Tech University - Ozark"/>
    <m/>
    <n v="106467"/>
    <x v="2"/>
    <m/>
    <m/>
    <n v="3250602.4170904211"/>
    <n v="3191465"/>
    <m/>
    <m/>
    <n v="2526293"/>
    <m/>
    <n v="2526293"/>
    <n v="3100009"/>
    <m/>
    <n v="3100009"/>
    <n v="5776895.4170904215"/>
    <n v="6291474"/>
    <m/>
    <m/>
    <m/>
    <m/>
    <n v="0"/>
    <m/>
    <m/>
    <n v="0"/>
    <m/>
    <m/>
    <m/>
    <m/>
    <m/>
    <m/>
    <n v="5776895.4170904215"/>
    <n v="6291474"/>
  </r>
  <r>
    <x v="1"/>
    <x v="0"/>
    <s v="University of Arkansas at Little Rock"/>
    <s v="Met the criteria for Four-Year 2 in 2012-13."/>
    <n v="106245"/>
    <x v="2"/>
    <n v="61891892.775382079"/>
    <n v="61489929"/>
    <m/>
    <m/>
    <m/>
    <m/>
    <n v="73272098"/>
    <m/>
    <n v="73272098"/>
    <n v="75016539"/>
    <m/>
    <n v="75016539"/>
    <n v="135163990.77538207"/>
    <n v="136506468"/>
    <m/>
    <m/>
    <m/>
    <m/>
    <n v="0"/>
    <m/>
    <m/>
    <n v="0"/>
    <m/>
    <m/>
    <m/>
    <m/>
    <m/>
    <m/>
    <n v="135163990.77538207"/>
    <n v="136506468"/>
  </r>
  <r>
    <x v="1"/>
    <x v="3"/>
    <s v="Community or public service units"/>
    <m/>
    <n v="106245"/>
    <x v="2"/>
    <m/>
    <m/>
    <m/>
    <m/>
    <m/>
    <m/>
    <m/>
    <m/>
    <n v="0"/>
    <m/>
    <m/>
    <n v="0"/>
    <n v="0"/>
    <n v="0"/>
    <m/>
    <m/>
    <m/>
    <m/>
    <n v="0"/>
    <m/>
    <m/>
    <n v="0"/>
    <m/>
    <m/>
    <m/>
    <m/>
    <m/>
    <m/>
    <n v="0"/>
    <n v="0"/>
  </r>
  <r>
    <x v="1"/>
    <x v="3"/>
    <s v="Research and Public Service Unit"/>
    <m/>
    <n v="106245"/>
    <x v="2"/>
    <m/>
    <m/>
    <n v="3644061.816228203"/>
    <n v="3588916"/>
    <m/>
    <m/>
    <m/>
    <m/>
    <n v="0"/>
    <m/>
    <m/>
    <n v="0"/>
    <n v="3644061.816228203"/>
    <n v="3588916"/>
    <m/>
    <m/>
    <m/>
    <m/>
    <n v="0"/>
    <m/>
    <m/>
    <n v="0"/>
    <m/>
    <m/>
    <m/>
    <m/>
    <m/>
    <m/>
    <n v="3644061.816228203"/>
    <n v="3588916"/>
  </r>
  <r>
    <x v="1"/>
    <x v="0"/>
    <s v="University of Central Arkansas "/>
    <m/>
    <n v="106704"/>
    <x v="2"/>
    <n v="56983090.698775284"/>
    <n v="56822517"/>
    <m/>
    <m/>
    <m/>
    <m/>
    <n v="69777090"/>
    <m/>
    <n v="69777090"/>
    <n v="70905385"/>
    <m/>
    <n v="70905385"/>
    <n v="126760180.69877529"/>
    <n v="127727902"/>
    <m/>
    <m/>
    <m/>
    <m/>
    <n v="0"/>
    <m/>
    <m/>
    <n v="0"/>
    <m/>
    <m/>
    <m/>
    <m/>
    <m/>
    <m/>
    <n v="126760180.69877529"/>
    <n v="127727902"/>
  </r>
  <r>
    <x v="1"/>
    <x v="0"/>
    <s v="Henderson State University "/>
    <m/>
    <n v="107071"/>
    <x v="3"/>
    <n v="20542609.918562263"/>
    <n v="20565446"/>
    <m/>
    <m/>
    <m/>
    <m/>
    <n v="24859557"/>
    <m/>
    <n v="24859557"/>
    <n v="25137681"/>
    <m/>
    <n v="25137681"/>
    <n v="45402166.918562263"/>
    <n v="45703127"/>
    <m/>
    <m/>
    <m/>
    <m/>
    <n v="0"/>
    <m/>
    <m/>
    <n v="0"/>
    <m/>
    <m/>
    <m/>
    <m/>
    <m/>
    <m/>
    <n v="45402166.918562263"/>
    <n v="45703127"/>
  </r>
  <r>
    <x v="1"/>
    <x v="3"/>
    <s v="Community or public service units"/>
    <m/>
    <n v="107071"/>
    <x v="3"/>
    <m/>
    <m/>
    <m/>
    <m/>
    <m/>
    <m/>
    <m/>
    <m/>
    <n v="0"/>
    <m/>
    <m/>
    <n v="0"/>
    <n v="0"/>
    <n v="0"/>
    <m/>
    <m/>
    <m/>
    <m/>
    <n v="0"/>
    <m/>
    <m/>
    <n v="0"/>
    <m/>
    <m/>
    <m/>
    <m/>
    <m/>
    <m/>
    <n v="0"/>
    <n v="0"/>
  </r>
  <r>
    <x v="1"/>
    <x v="3"/>
    <s v="Henderson State Community Education Center "/>
    <s v="Formerly Southwest Arkansas Tech Learning Center."/>
    <n v="107071"/>
    <x v="3"/>
    <m/>
    <m/>
    <n v="210758.74749106026"/>
    <n v="210585"/>
    <m/>
    <m/>
    <m/>
    <m/>
    <n v="0"/>
    <m/>
    <m/>
    <n v="0"/>
    <n v="210758.74749106026"/>
    <n v="210585"/>
    <m/>
    <m/>
    <m/>
    <m/>
    <n v="0"/>
    <m/>
    <m/>
    <n v="0"/>
    <m/>
    <m/>
    <m/>
    <m/>
    <m/>
    <m/>
    <n v="210758.74749106026"/>
    <n v="210585"/>
  </r>
  <r>
    <x v="1"/>
    <x v="0"/>
    <s v="Southern Arkansas University"/>
    <m/>
    <n v="107983"/>
    <x v="3"/>
    <n v="16753830.830211464"/>
    <n v="16668783"/>
    <m/>
    <m/>
    <m/>
    <m/>
    <n v="21357293"/>
    <m/>
    <n v="21357293"/>
    <n v="21501956"/>
    <m/>
    <n v="21501956"/>
    <n v="38111123.830211461"/>
    <n v="38170739"/>
    <m/>
    <m/>
    <m/>
    <m/>
    <n v="0"/>
    <m/>
    <m/>
    <n v="0"/>
    <m/>
    <m/>
    <m/>
    <m/>
    <m/>
    <m/>
    <n v="38111123.830211461"/>
    <n v="38170739"/>
  </r>
  <r>
    <x v="1"/>
    <x v="0"/>
    <s v="University of Arkansas at Monticello"/>
    <m/>
    <n v="106485"/>
    <x v="4"/>
    <n v="14057968.344408568"/>
    <n v="14006506"/>
    <m/>
    <m/>
    <m/>
    <m/>
    <n v="13650730"/>
    <m/>
    <n v="13650730"/>
    <n v="14055761"/>
    <m/>
    <n v="14055761"/>
    <n v="27708698.344408568"/>
    <n v="28062267"/>
    <m/>
    <m/>
    <m/>
    <m/>
    <n v="0"/>
    <m/>
    <m/>
    <n v="0"/>
    <m/>
    <m/>
    <m/>
    <m/>
    <m/>
    <m/>
    <n v="27708698.344408568"/>
    <n v="28062267"/>
  </r>
  <r>
    <x v="1"/>
    <x v="3"/>
    <s v="Community or public service units"/>
    <m/>
    <n v="106485"/>
    <x v="4"/>
    <m/>
    <m/>
    <m/>
    <m/>
    <m/>
    <m/>
    <m/>
    <m/>
    <n v="0"/>
    <m/>
    <m/>
    <n v="0"/>
    <n v="0"/>
    <n v="0"/>
    <m/>
    <m/>
    <m/>
    <m/>
    <n v="0"/>
    <m/>
    <m/>
    <n v="0"/>
    <m/>
    <m/>
    <m/>
    <m/>
    <m/>
    <m/>
    <n v="0"/>
    <n v="0"/>
  </r>
  <r>
    <x v="1"/>
    <x v="3"/>
    <s v="UAM College of Technology-McGehee"/>
    <m/>
    <n v="106485"/>
    <x v="4"/>
    <m/>
    <m/>
    <n v="2396181.5790635324"/>
    <n v="2432423"/>
    <m/>
    <m/>
    <n v="1041889"/>
    <m/>
    <n v="1041889"/>
    <n v="1059541"/>
    <m/>
    <n v="1059541"/>
    <n v="3438070.5790635324"/>
    <n v="3491964"/>
    <m/>
    <m/>
    <m/>
    <m/>
    <n v="0"/>
    <m/>
    <m/>
    <n v="0"/>
    <m/>
    <m/>
    <m/>
    <m/>
    <m/>
    <m/>
    <n v="3438070.5790635324"/>
    <n v="3491964"/>
  </r>
  <r>
    <x v="1"/>
    <x v="3"/>
    <s v="UAM College of Technology-Crossett "/>
    <m/>
    <n v="106485"/>
    <x v="4"/>
    <m/>
    <m/>
    <n v="1784166.8687440697"/>
    <n v="1813008"/>
    <m/>
    <m/>
    <n v="812722"/>
    <m/>
    <n v="812722"/>
    <n v="930333"/>
    <m/>
    <n v="930333"/>
    <n v="2596888.8687440697"/>
    <n v="2743341"/>
    <m/>
    <m/>
    <m/>
    <m/>
    <n v="0"/>
    <m/>
    <m/>
    <n v="0"/>
    <m/>
    <m/>
    <m/>
    <m/>
    <m/>
    <m/>
    <n v="2596888.8687440697"/>
    <n v="2743341"/>
  </r>
  <r>
    <x v="1"/>
    <x v="0"/>
    <s v="University of Arkansas at Fort Smith"/>
    <m/>
    <n v="108092"/>
    <x v="5"/>
    <n v="23283420.960357379"/>
    <n v="23266845"/>
    <m/>
    <m/>
    <n v="5658795"/>
    <n v="5600000"/>
    <n v="30392284"/>
    <m/>
    <n v="30392284"/>
    <n v="30711408"/>
    <m/>
    <n v="30711408"/>
    <n v="59334499.960357383"/>
    <n v="59578253"/>
    <m/>
    <m/>
    <m/>
    <m/>
    <n v="0"/>
    <m/>
    <m/>
    <n v="0"/>
    <m/>
    <m/>
    <m/>
    <m/>
    <m/>
    <m/>
    <n v="59334499.960357383"/>
    <n v="59578253"/>
  </r>
  <r>
    <x v="1"/>
    <x v="0"/>
    <s v="University of Arkansas at Pine Bluff"/>
    <s v="Met the criteria for Four-Year 5 in 2012-13."/>
    <n v="106412"/>
    <x v="5"/>
    <n v="27105842"/>
    <n v="27056360"/>
    <m/>
    <m/>
    <m/>
    <m/>
    <n v="18913371"/>
    <m/>
    <n v="18913371"/>
    <n v="17410400"/>
    <m/>
    <n v="17410400"/>
    <n v="46019213"/>
    <n v="44466760"/>
    <m/>
    <m/>
    <m/>
    <m/>
    <n v="0"/>
    <m/>
    <m/>
    <n v="0"/>
    <m/>
    <m/>
    <m/>
    <m/>
    <m/>
    <m/>
    <n v="46019213"/>
    <n v="44466760"/>
  </r>
  <r>
    <x v="1"/>
    <x v="0"/>
    <s v="Northwest Arkansas Community College "/>
    <m/>
    <n v="367459"/>
    <x v="6"/>
    <n v="11035375.518250328"/>
    <n v="11066006"/>
    <m/>
    <m/>
    <n v="5546518"/>
    <n v="5500000"/>
    <n v="22024112.219999999"/>
    <m/>
    <n v="22024112.219999999"/>
    <n v="23422856"/>
    <m/>
    <n v="23422856"/>
    <n v="38606005.73825033"/>
    <n v="39988862"/>
    <m/>
    <m/>
    <m/>
    <m/>
    <n v="0"/>
    <m/>
    <m/>
    <n v="0"/>
    <m/>
    <m/>
    <m/>
    <m/>
    <m/>
    <m/>
    <n v="38606005.73825033"/>
    <n v="39988862"/>
  </r>
  <r>
    <x v="1"/>
    <x v="0"/>
    <s v="Pulaski Technical College"/>
    <m/>
    <n v="107664"/>
    <x v="6"/>
    <n v="16792755.035210952"/>
    <n v="16737684"/>
    <m/>
    <m/>
    <m/>
    <m/>
    <n v="28854453"/>
    <m/>
    <n v="28854453"/>
    <n v="29787525"/>
    <m/>
    <n v="29787525"/>
    <n v="45647208.035210952"/>
    <n v="46525209"/>
    <m/>
    <m/>
    <m/>
    <m/>
    <n v="0"/>
    <m/>
    <m/>
    <n v="0"/>
    <m/>
    <m/>
    <m/>
    <m/>
    <m/>
    <m/>
    <n v="45647208.035210952"/>
    <n v="46525209"/>
  </r>
  <r>
    <x v="1"/>
    <x v="0"/>
    <s v="Arkansas State University-Beebe"/>
    <m/>
    <n v="106449"/>
    <x v="7"/>
    <n v="14222973.968620261"/>
    <n v="14268131"/>
    <m/>
    <m/>
    <n v="1835847"/>
    <n v="1800000"/>
    <n v="10567525"/>
    <m/>
    <n v="10567525"/>
    <n v="10616228"/>
    <m/>
    <n v="10616228"/>
    <n v="26626345.968620263"/>
    <n v="26684359"/>
    <m/>
    <m/>
    <m/>
    <m/>
    <n v="0"/>
    <m/>
    <m/>
    <n v="0"/>
    <m/>
    <m/>
    <m/>
    <m/>
    <m/>
    <m/>
    <n v="26626345.968620263"/>
    <n v="26684359"/>
  </r>
  <r>
    <x v="1"/>
    <x v="0"/>
    <s v="National Park Community College"/>
    <m/>
    <n v="106980"/>
    <x v="7"/>
    <n v="10732211.704703866"/>
    <n v="10724382"/>
    <m/>
    <m/>
    <m/>
    <m/>
    <n v="7775995"/>
    <m/>
    <n v="7775995"/>
    <n v="7339026"/>
    <m/>
    <n v="7339026"/>
    <n v="18508206.704703867"/>
    <n v="18063408"/>
    <m/>
    <m/>
    <m/>
    <m/>
    <n v="0"/>
    <m/>
    <m/>
    <n v="0"/>
    <m/>
    <m/>
    <m/>
    <m/>
    <m/>
    <m/>
    <n v="18508206.704703867"/>
    <n v="18063408"/>
  </r>
  <r>
    <x v="1"/>
    <x v="0"/>
    <s v="Arkansas Northeastern College"/>
    <m/>
    <n v="107327"/>
    <x v="8"/>
    <n v="9954023.9330860935"/>
    <n v="10021476"/>
    <m/>
    <m/>
    <m/>
    <m/>
    <n v="2940564"/>
    <m/>
    <n v="2940564"/>
    <n v="2703220"/>
    <m/>
    <n v="2703220"/>
    <n v="12894587.933086094"/>
    <n v="12724696"/>
    <m/>
    <m/>
    <m/>
    <m/>
    <n v="0"/>
    <m/>
    <m/>
    <n v="0"/>
    <m/>
    <m/>
    <m/>
    <m/>
    <m/>
    <m/>
    <n v="12894587.933086094"/>
    <n v="12724696"/>
  </r>
  <r>
    <x v="1"/>
    <x v="0"/>
    <s v="Arkansas State University Mountain Home"/>
    <m/>
    <n v="420538"/>
    <x v="8"/>
    <n v="4397699.2563876342"/>
    <n v="4408624"/>
    <m/>
    <m/>
    <n v="1338678"/>
    <n v="1300000"/>
    <n v="4084776"/>
    <m/>
    <n v="4084776"/>
    <n v="4212013"/>
    <m/>
    <n v="4212013"/>
    <n v="9821153.2563876342"/>
    <n v="9920637"/>
    <m/>
    <m/>
    <m/>
    <m/>
    <n v="0"/>
    <m/>
    <m/>
    <n v="0"/>
    <m/>
    <m/>
    <m/>
    <m/>
    <m/>
    <m/>
    <n v="9821153.2563876342"/>
    <n v="9920637"/>
  </r>
  <r>
    <x v="1"/>
    <x v="0"/>
    <s v="Arkansas State University-Newport"/>
    <m/>
    <n v="440402"/>
    <x v="8"/>
    <n v="7364179.4453839445"/>
    <n v="7414175"/>
    <m/>
    <m/>
    <n v="962617"/>
    <n v="960000"/>
    <n v="4597038"/>
    <m/>
    <n v="4597038"/>
    <n v="4925264"/>
    <m/>
    <n v="4925264"/>
    <n v="12923834.445383944"/>
    <n v="13299439"/>
    <m/>
    <m/>
    <m/>
    <m/>
    <n v="0"/>
    <m/>
    <m/>
    <n v="0"/>
    <m/>
    <m/>
    <m/>
    <m/>
    <m/>
    <m/>
    <n v="12923834.445383944"/>
    <n v="13299439"/>
  </r>
  <r>
    <x v="1"/>
    <x v="0"/>
    <s v="Black River Technical College"/>
    <m/>
    <n v="106625"/>
    <x v="8"/>
    <n v="8184711.4608785613"/>
    <n v="8301351"/>
    <m/>
    <m/>
    <m/>
    <m/>
    <n v="5719392"/>
    <m/>
    <n v="5719392"/>
    <n v="6421256"/>
    <m/>
    <n v="6421256"/>
    <n v="13904103.460878562"/>
    <n v="14722607"/>
    <m/>
    <m/>
    <m/>
    <m/>
    <n v="0"/>
    <m/>
    <m/>
    <n v="0"/>
    <m/>
    <m/>
    <m/>
    <m/>
    <m/>
    <m/>
    <n v="13904103.460878562"/>
    <n v="14722607"/>
  </r>
  <r>
    <x v="1"/>
    <x v="0"/>
    <s v="College of the Ouachitas"/>
    <m/>
    <n v="107521"/>
    <x v="8"/>
    <n v="4636949.8659326211"/>
    <n v="4687118"/>
    <m/>
    <m/>
    <m/>
    <m/>
    <n v="2566739"/>
    <m/>
    <n v="2566739"/>
    <n v="2364539"/>
    <m/>
    <n v="2364539"/>
    <n v="7203688.8659326211"/>
    <n v="7051657"/>
    <m/>
    <m/>
    <m/>
    <m/>
    <n v="0"/>
    <m/>
    <m/>
    <n v="0"/>
    <m/>
    <m/>
    <m/>
    <m/>
    <m/>
    <m/>
    <n v="7203688.8659326211"/>
    <n v="7051657"/>
  </r>
  <r>
    <x v="1"/>
    <x v="0"/>
    <s v="Cossatot Community College of the University of Arkansas"/>
    <m/>
    <n v="106795"/>
    <x v="8"/>
    <n v="4647603.3796975557"/>
    <n v="4706016"/>
    <m/>
    <m/>
    <n v="1219654"/>
    <n v="1200000"/>
    <n v="2595916"/>
    <m/>
    <n v="2595916"/>
    <n v="2915387"/>
    <m/>
    <n v="2915387"/>
    <n v="8463173.3796975557"/>
    <n v="8821403"/>
    <m/>
    <m/>
    <m/>
    <m/>
    <n v="0"/>
    <m/>
    <m/>
    <n v="0"/>
    <m/>
    <m/>
    <m/>
    <m/>
    <m/>
    <m/>
    <n v="8463173.3796975557"/>
    <n v="8821403"/>
  </r>
  <r>
    <x v="1"/>
    <x v="0"/>
    <s v="East Arkansas Community College "/>
    <m/>
    <n v="106883"/>
    <x v="8"/>
    <n v="6511448"/>
    <n v="6530585"/>
    <m/>
    <m/>
    <m/>
    <m/>
    <n v="2682304"/>
    <m/>
    <n v="2682304"/>
    <n v="2952355"/>
    <m/>
    <n v="2952355"/>
    <n v="9193752"/>
    <n v="9482940"/>
    <m/>
    <m/>
    <m/>
    <m/>
    <n v="0"/>
    <m/>
    <m/>
    <n v="0"/>
    <m/>
    <m/>
    <m/>
    <m/>
    <m/>
    <m/>
    <n v="9193752"/>
    <n v="9482940"/>
  </r>
  <r>
    <x v="1"/>
    <x v="0"/>
    <s v="Mid-South Community College "/>
    <m/>
    <n v="107318"/>
    <x v="8"/>
    <n v="5918898.2188100666"/>
    <n v="6015606"/>
    <m/>
    <m/>
    <n v="82632"/>
    <n v="80000"/>
    <n v="4215332"/>
    <m/>
    <n v="4215332"/>
    <n v="4952909.1399999997"/>
    <m/>
    <n v="4952909.1399999997"/>
    <n v="10216862.218810067"/>
    <n v="11048515.140000001"/>
    <m/>
    <m/>
    <m/>
    <m/>
    <n v="0"/>
    <m/>
    <m/>
    <n v="0"/>
    <m/>
    <m/>
    <m/>
    <m/>
    <m/>
    <m/>
    <n v="10216862.218810067"/>
    <n v="11048515.140000001"/>
  </r>
  <r>
    <x v="1"/>
    <x v="0"/>
    <s v="North Arkansas College"/>
    <m/>
    <n v="107460"/>
    <x v="8"/>
    <n v="8986735.1856301613"/>
    <n v="8981519"/>
    <m/>
    <m/>
    <m/>
    <m/>
    <n v="4404155"/>
    <m/>
    <n v="4404155"/>
    <n v="4700911"/>
    <m/>
    <n v="4700911"/>
    <n v="13390890.185630161"/>
    <n v="13682430"/>
    <m/>
    <m/>
    <m/>
    <m/>
    <n v="0"/>
    <m/>
    <m/>
    <n v="0"/>
    <m/>
    <m/>
    <m/>
    <m/>
    <m/>
    <m/>
    <n v="13390890.185630161"/>
    <n v="13682430"/>
  </r>
  <r>
    <x v="1"/>
    <x v="0"/>
    <s v="Ozarka College "/>
    <m/>
    <n v="107549"/>
    <x v="8"/>
    <n v="4206530.0859962739"/>
    <n v="4264352"/>
    <m/>
    <m/>
    <m/>
    <m/>
    <n v="3892672"/>
    <m/>
    <n v="3892672"/>
    <n v="3855843"/>
    <m/>
    <n v="3855843"/>
    <n v="8099202.0859962739"/>
    <n v="8120195"/>
    <m/>
    <m/>
    <m/>
    <m/>
    <n v="0"/>
    <m/>
    <m/>
    <n v="0"/>
    <m/>
    <m/>
    <m/>
    <m/>
    <m/>
    <m/>
    <n v="8099202.0859962739"/>
    <n v="8120195"/>
  </r>
  <r>
    <x v="1"/>
    <x v="0"/>
    <s v="Phillips Community College of the Univ of Arkansas"/>
    <m/>
    <n v="107619"/>
    <x v="8"/>
    <n v="10263233"/>
    <n v="10317654"/>
    <m/>
    <m/>
    <n v="2023942"/>
    <n v="2000000"/>
    <n v="3825570"/>
    <m/>
    <n v="3825570"/>
    <n v="3096106"/>
    <m/>
    <n v="3096106"/>
    <n v="16112745"/>
    <n v="15413760"/>
    <m/>
    <m/>
    <m/>
    <m/>
    <n v="0"/>
    <m/>
    <m/>
    <n v="0"/>
    <m/>
    <m/>
    <m/>
    <m/>
    <m/>
    <m/>
    <n v="16112745"/>
    <n v="15413760"/>
  </r>
  <r>
    <x v="1"/>
    <x v="0"/>
    <s v="Rich Mountain Community College "/>
    <m/>
    <n v="107743"/>
    <x v="8"/>
    <n v="3419756.6864498239"/>
    <n v="3397250"/>
    <m/>
    <m/>
    <m/>
    <m/>
    <n v="1861211"/>
    <m/>
    <n v="1861211"/>
    <n v="1904418"/>
    <m/>
    <n v="1904418"/>
    <n v="5280967.6864498239"/>
    <n v="5301668"/>
    <m/>
    <m/>
    <m/>
    <m/>
    <n v="0"/>
    <m/>
    <m/>
    <n v="0"/>
    <m/>
    <m/>
    <m/>
    <m/>
    <m/>
    <m/>
    <n v="5280967.6864498239"/>
    <n v="5301668"/>
  </r>
  <r>
    <x v="1"/>
    <x v="0"/>
    <s v="South Arkansas Community College"/>
    <m/>
    <n v="107974"/>
    <x v="8"/>
    <n v="6969347.430759687"/>
    <n v="6964925"/>
    <m/>
    <m/>
    <m/>
    <m/>
    <n v="4595575"/>
    <m/>
    <n v="4595575"/>
    <n v="4449490"/>
    <m/>
    <n v="4449490"/>
    <n v="11564922.430759687"/>
    <n v="11414415"/>
    <m/>
    <m/>
    <m/>
    <m/>
    <n v="0"/>
    <m/>
    <m/>
    <n v="0"/>
    <m/>
    <m/>
    <m/>
    <m/>
    <m/>
    <m/>
    <n v="11564922.430759687"/>
    <n v="11414415"/>
  </r>
  <r>
    <x v="1"/>
    <x v="0"/>
    <s v="Southeast Arkansas College"/>
    <m/>
    <n v="107637"/>
    <x v="8"/>
    <n v="7526695.1957487287"/>
    <n v="7617924"/>
    <m/>
    <m/>
    <m/>
    <m/>
    <n v="4656006"/>
    <m/>
    <n v="4656006"/>
    <n v="4012649"/>
    <m/>
    <n v="4012649"/>
    <n v="12182701.195748728"/>
    <n v="11630573"/>
    <m/>
    <m/>
    <m/>
    <m/>
    <n v="0"/>
    <m/>
    <m/>
    <n v="0"/>
    <m/>
    <m/>
    <m/>
    <m/>
    <m/>
    <m/>
    <n v="12182701.195748728"/>
    <n v="11630573"/>
  </r>
  <r>
    <x v="1"/>
    <x v="0"/>
    <s v="Southern Arkansas University Tech"/>
    <m/>
    <n v="107992"/>
    <x v="8"/>
    <n v="5876733.445511017"/>
    <n v="5839365"/>
    <m/>
    <m/>
    <m/>
    <m/>
    <n v="4620703"/>
    <m/>
    <n v="4620703"/>
    <n v="4566899"/>
    <m/>
    <n v="4566899"/>
    <n v="10497436.445511017"/>
    <n v="10406264"/>
    <m/>
    <m/>
    <m/>
    <m/>
    <n v="0"/>
    <m/>
    <m/>
    <n v="0"/>
    <m/>
    <m/>
    <m/>
    <m/>
    <m/>
    <m/>
    <n v="10497436.445511017"/>
    <n v="10406264"/>
  </r>
  <r>
    <x v="1"/>
    <x v="3"/>
    <s v="Environmental Control Academy &amp; Fire Control Academy"/>
    <m/>
    <n v="107992"/>
    <x v="8"/>
    <m/>
    <m/>
    <n v="2143446"/>
    <n v="2137751"/>
    <m/>
    <m/>
    <n v="607532"/>
    <m/>
    <n v="607532"/>
    <n v="528342"/>
    <m/>
    <n v="528342"/>
    <n v="2750978"/>
    <n v="2666093"/>
    <m/>
    <m/>
    <m/>
    <m/>
    <n v="0"/>
    <m/>
    <m/>
    <n v="0"/>
    <m/>
    <m/>
    <m/>
    <m/>
    <m/>
    <m/>
    <n v="2750978"/>
    <n v="2666093"/>
  </r>
  <r>
    <x v="1"/>
    <x v="0"/>
    <s v="University of Arkansas Community College at Batesville"/>
    <m/>
    <n v="106999"/>
    <x v="8"/>
    <n v="4915421.71191689"/>
    <n v="4919947"/>
    <m/>
    <m/>
    <n v="1271172"/>
    <n v="1200000"/>
    <n v="4733197"/>
    <m/>
    <n v="4733197"/>
    <n v="3313275"/>
    <m/>
    <n v="3313275"/>
    <n v="10919790.71191689"/>
    <n v="9433222"/>
    <m/>
    <m/>
    <m/>
    <m/>
    <n v="0"/>
    <m/>
    <m/>
    <n v="0"/>
    <m/>
    <m/>
    <m/>
    <m/>
    <m/>
    <m/>
    <n v="10919790.71191689"/>
    <n v="9433222"/>
  </r>
  <r>
    <x v="1"/>
    <x v="0"/>
    <s v="University of Arkansas Community College at Hope"/>
    <m/>
    <n v="107725"/>
    <x v="8"/>
    <n v="6340227.5739074955"/>
    <n v="6456823"/>
    <m/>
    <m/>
    <n v="1147689"/>
    <n v="1100000"/>
    <n v="2294716"/>
    <m/>
    <n v="2294716"/>
    <n v="2571363"/>
    <m/>
    <n v="2571363"/>
    <n v="9782632.5739074945"/>
    <n v="10128186"/>
    <m/>
    <m/>
    <m/>
    <m/>
    <n v="0"/>
    <m/>
    <m/>
    <n v="0"/>
    <m/>
    <m/>
    <m/>
    <m/>
    <m/>
    <m/>
    <n v="9782632.5739074945"/>
    <n v="10128186"/>
  </r>
  <r>
    <x v="1"/>
    <x v="0"/>
    <s v="University of Arkansas Community College at Morrilton"/>
    <m/>
    <n v="107585"/>
    <x v="8"/>
    <n v="6068165.8460974721"/>
    <n v="6082071"/>
    <m/>
    <m/>
    <n v="873633.99"/>
    <n v="870000"/>
    <n v="6463759"/>
    <m/>
    <n v="6463759"/>
    <n v="5871745"/>
    <m/>
    <n v="5871745"/>
    <n v="13405558.836097471"/>
    <n v="12823816"/>
    <m/>
    <m/>
    <m/>
    <m/>
    <n v="0"/>
    <m/>
    <m/>
    <n v="0"/>
    <m/>
    <m/>
    <m/>
    <m/>
    <m/>
    <m/>
    <n v="13405558.836097471"/>
    <n v="12823816"/>
  </r>
  <r>
    <x v="1"/>
    <x v="41"/>
    <s v="University of Arkansas for Medical Sciences"/>
    <m/>
    <n v="106263"/>
    <x v="11"/>
    <m/>
    <m/>
    <m/>
    <m/>
    <m/>
    <m/>
    <m/>
    <m/>
    <n v="0"/>
    <m/>
    <m/>
    <n v="0"/>
    <n v="0"/>
    <n v="0"/>
    <m/>
    <m/>
    <m/>
    <m/>
    <n v="0"/>
    <m/>
    <m/>
    <n v="0"/>
    <n v="113389367"/>
    <n v="113645774"/>
    <n v="25726873"/>
    <m/>
    <n v="32489268"/>
    <m/>
    <n v="139116240"/>
    <n v="146135042"/>
  </r>
  <r>
    <x v="1"/>
    <x v="13"/>
    <s v="All Other State Operating Appropriations Related to Postsecondary Education"/>
    <m/>
    <m/>
    <x v="12"/>
    <m/>
    <m/>
    <m/>
    <m/>
    <m/>
    <m/>
    <m/>
    <m/>
    <n v="0"/>
    <m/>
    <m/>
    <n v="0"/>
    <n v="0"/>
    <n v="0"/>
    <m/>
    <m/>
    <m/>
    <m/>
    <n v="0"/>
    <m/>
    <m/>
    <n v="0"/>
    <m/>
    <m/>
    <m/>
    <m/>
    <m/>
    <m/>
    <n v="0"/>
    <n v="0"/>
  </r>
  <r>
    <x v="1"/>
    <x v="13"/>
    <s v="Y.O.U. Program for At-Risk Youth"/>
    <m/>
    <m/>
    <x v="12"/>
    <m/>
    <m/>
    <n v="0"/>
    <m/>
    <m/>
    <m/>
    <m/>
    <m/>
    <n v="0"/>
    <m/>
    <m/>
    <n v="0"/>
    <n v="0"/>
    <n v="0"/>
    <m/>
    <m/>
    <m/>
    <m/>
    <n v="0"/>
    <m/>
    <m/>
    <n v="0"/>
    <m/>
    <m/>
    <m/>
    <m/>
    <m/>
    <m/>
    <n v="0"/>
    <n v="0"/>
  </r>
  <r>
    <x v="1"/>
    <x v="13"/>
    <s v="Tuition Waiver Adjustments"/>
    <m/>
    <m/>
    <x v="12"/>
    <m/>
    <m/>
    <n v="350000"/>
    <n v="350000"/>
    <m/>
    <m/>
    <m/>
    <m/>
    <n v="0"/>
    <m/>
    <m/>
    <n v="0"/>
    <n v="350000"/>
    <n v="350000"/>
    <m/>
    <m/>
    <m/>
    <m/>
    <n v="0"/>
    <m/>
    <m/>
    <n v="0"/>
    <m/>
    <m/>
    <m/>
    <m/>
    <m/>
    <m/>
    <n v="350000"/>
    <n v="350000"/>
  </r>
  <r>
    <x v="1"/>
    <x v="14"/>
    <s v="Statewide System Operations"/>
    <m/>
    <m/>
    <x v="12"/>
    <m/>
    <m/>
    <m/>
    <m/>
    <m/>
    <m/>
    <m/>
    <m/>
    <n v="0"/>
    <m/>
    <m/>
    <n v="0"/>
    <n v="0"/>
    <n v="0"/>
    <m/>
    <m/>
    <m/>
    <m/>
    <n v="0"/>
    <m/>
    <m/>
    <n v="0"/>
    <m/>
    <m/>
    <m/>
    <m/>
    <m/>
    <m/>
    <n v="0"/>
    <n v="0"/>
  </r>
  <r>
    <x v="1"/>
    <x v="15"/>
    <s v="Colleges and universities"/>
    <m/>
    <m/>
    <x v="12"/>
    <m/>
    <m/>
    <m/>
    <m/>
    <m/>
    <m/>
    <m/>
    <m/>
    <n v="0"/>
    <m/>
    <m/>
    <n v="0"/>
    <n v="0"/>
    <n v="0"/>
    <m/>
    <m/>
    <m/>
    <m/>
    <n v="0"/>
    <m/>
    <m/>
    <n v="0"/>
    <m/>
    <m/>
    <m/>
    <m/>
    <m/>
    <m/>
    <n v="0"/>
    <n v="0"/>
  </r>
  <r>
    <x v="1"/>
    <x v="15"/>
    <s v="Higher Education Coordinating Board"/>
    <m/>
    <m/>
    <x v="12"/>
    <m/>
    <m/>
    <m/>
    <m/>
    <m/>
    <m/>
    <m/>
    <m/>
    <n v="0"/>
    <m/>
    <m/>
    <n v="0"/>
    <n v="0"/>
    <n v="0"/>
    <n v="4097411"/>
    <n v="3958998"/>
    <m/>
    <m/>
    <n v="0"/>
    <m/>
    <m/>
    <n v="0"/>
    <m/>
    <m/>
    <m/>
    <m/>
    <m/>
    <m/>
    <n v="4097411"/>
    <n v="3958998"/>
  </r>
  <r>
    <x v="1"/>
    <x v="15"/>
    <s v="Univ. of Ark System Office"/>
    <m/>
    <m/>
    <x v="12"/>
    <m/>
    <m/>
    <m/>
    <m/>
    <m/>
    <m/>
    <m/>
    <m/>
    <n v="0"/>
    <m/>
    <m/>
    <n v="0"/>
    <n v="0"/>
    <n v="0"/>
    <n v="3685410"/>
    <n v="3670984"/>
    <m/>
    <m/>
    <n v="0"/>
    <m/>
    <m/>
    <n v="0"/>
    <m/>
    <m/>
    <m/>
    <m/>
    <m/>
    <m/>
    <n v="3685410"/>
    <n v="3670984"/>
  </r>
  <r>
    <x v="1"/>
    <x v="15"/>
    <s v="Arkansas State University System Office"/>
    <m/>
    <m/>
    <x v="12"/>
    <m/>
    <m/>
    <m/>
    <m/>
    <m/>
    <m/>
    <m/>
    <m/>
    <n v="0"/>
    <m/>
    <m/>
    <n v="0"/>
    <n v="0"/>
    <n v="0"/>
    <n v="2391872"/>
    <n v="2362680"/>
    <m/>
    <m/>
    <n v="0"/>
    <m/>
    <m/>
    <n v="0"/>
    <m/>
    <m/>
    <m/>
    <m/>
    <m/>
    <m/>
    <n v="2391872"/>
    <n v="2362680"/>
  </r>
  <r>
    <x v="1"/>
    <x v="17"/>
    <s v="National or regional associations, compacts or consortia"/>
    <m/>
    <m/>
    <x v="12"/>
    <m/>
    <m/>
    <m/>
    <m/>
    <m/>
    <m/>
    <m/>
    <m/>
    <n v="0"/>
    <m/>
    <m/>
    <n v="0"/>
    <n v="0"/>
    <n v="0"/>
    <m/>
    <m/>
    <m/>
    <m/>
    <n v="0"/>
    <m/>
    <m/>
    <n v="0"/>
    <m/>
    <m/>
    <m/>
    <m/>
    <m/>
    <m/>
    <n v="0"/>
    <n v="0"/>
  </r>
  <r>
    <x v="1"/>
    <x v="17"/>
    <s v="SREB Membership"/>
    <m/>
    <m/>
    <x v="12"/>
    <m/>
    <m/>
    <m/>
    <m/>
    <m/>
    <m/>
    <m/>
    <m/>
    <n v="0"/>
    <m/>
    <m/>
    <n v="0"/>
    <n v="0"/>
    <n v="0"/>
    <m/>
    <m/>
    <m/>
    <m/>
    <n v="0"/>
    <m/>
    <m/>
    <n v="0"/>
    <m/>
    <m/>
    <m/>
    <m/>
    <m/>
    <m/>
    <n v="0"/>
    <n v="0"/>
  </r>
  <r>
    <x v="1"/>
    <x v="18"/>
    <s v="Adm. of Statewide Student Aid Progs. (incldng centralized guaranteed student loans)"/>
    <m/>
    <m/>
    <x v="12"/>
    <m/>
    <m/>
    <m/>
    <m/>
    <m/>
    <m/>
    <m/>
    <m/>
    <n v="0"/>
    <m/>
    <m/>
    <n v="0"/>
    <n v="0"/>
    <n v="0"/>
    <m/>
    <m/>
    <m/>
    <m/>
    <n v="0"/>
    <m/>
    <m/>
    <n v="0"/>
    <m/>
    <m/>
    <m/>
    <m/>
    <m/>
    <m/>
    <n v="0"/>
    <n v="0"/>
  </r>
  <r>
    <x v="1"/>
    <x v="19"/>
    <s v="State Support to Private Colleges Other Than Student Aid"/>
    <m/>
    <m/>
    <x v="12"/>
    <m/>
    <m/>
    <m/>
    <m/>
    <m/>
    <m/>
    <m/>
    <m/>
    <n v="0"/>
    <m/>
    <m/>
    <n v="0"/>
    <n v="0"/>
    <n v="0"/>
    <m/>
    <m/>
    <m/>
    <m/>
    <n v="0"/>
    <m/>
    <m/>
    <n v="0"/>
    <m/>
    <m/>
    <m/>
    <m/>
    <m/>
    <m/>
    <n v="0"/>
    <n v="0"/>
  </r>
  <r>
    <x v="1"/>
    <x v="20"/>
    <s v="Contract Education Programs"/>
    <m/>
    <m/>
    <x v="12"/>
    <m/>
    <m/>
    <m/>
    <m/>
    <m/>
    <m/>
    <m/>
    <m/>
    <n v="0"/>
    <m/>
    <m/>
    <n v="0"/>
    <n v="0"/>
    <n v="0"/>
    <m/>
    <m/>
    <m/>
    <m/>
    <n v="0"/>
    <m/>
    <m/>
    <n v="0"/>
    <m/>
    <m/>
    <m/>
    <m/>
    <m/>
    <m/>
    <n v="0"/>
    <n v="0"/>
  </r>
  <r>
    <x v="1"/>
    <x v="21"/>
    <s v="SREB contract program with private colleges"/>
    <m/>
    <m/>
    <x v="12"/>
    <m/>
    <m/>
    <m/>
    <m/>
    <m/>
    <m/>
    <m/>
    <m/>
    <n v="0"/>
    <m/>
    <m/>
    <n v="0"/>
    <n v="0"/>
    <n v="0"/>
    <m/>
    <m/>
    <m/>
    <m/>
    <n v="0"/>
    <m/>
    <m/>
    <n v="0"/>
    <m/>
    <m/>
    <m/>
    <m/>
    <m/>
    <m/>
    <n v="0"/>
    <n v="0"/>
  </r>
  <r>
    <x v="1"/>
    <x v="21"/>
    <s v="Ohio College of Podiatric Medicine"/>
    <m/>
    <m/>
    <x v="12"/>
    <m/>
    <m/>
    <m/>
    <m/>
    <m/>
    <m/>
    <m/>
    <m/>
    <n v="0"/>
    <m/>
    <m/>
    <n v="0"/>
    <n v="0"/>
    <n v="0"/>
    <n v="29400"/>
    <n v="40400"/>
    <m/>
    <m/>
    <n v="0"/>
    <m/>
    <m/>
    <n v="0"/>
    <m/>
    <m/>
    <m/>
    <m/>
    <m/>
    <m/>
    <n v="29400"/>
    <n v="40400"/>
  </r>
  <r>
    <x v="1"/>
    <x v="21"/>
    <s v="Meharry Medical College (Dentistry)"/>
    <m/>
    <m/>
    <x v="12"/>
    <m/>
    <m/>
    <m/>
    <m/>
    <m/>
    <m/>
    <m/>
    <m/>
    <n v="0"/>
    <m/>
    <m/>
    <n v="0"/>
    <n v="0"/>
    <n v="0"/>
    <n v="49200"/>
    <n v="67600"/>
    <m/>
    <m/>
    <n v="0"/>
    <m/>
    <m/>
    <n v="0"/>
    <m/>
    <m/>
    <m/>
    <m/>
    <m/>
    <m/>
    <n v="49200"/>
    <n v="67600"/>
  </r>
  <r>
    <x v="1"/>
    <x v="21"/>
    <s v="Rosalind Franklin University"/>
    <m/>
    <m/>
    <x v="12"/>
    <m/>
    <m/>
    <m/>
    <m/>
    <m/>
    <m/>
    <m/>
    <m/>
    <n v="0"/>
    <m/>
    <m/>
    <n v="0"/>
    <n v="0"/>
    <n v="0"/>
    <n v="0"/>
    <n v="10100"/>
    <m/>
    <m/>
    <n v="0"/>
    <m/>
    <m/>
    <n v="0"/>
    <m/>
    <m/>
    <m/>
    <m/>
    <m/>
    <m/>
    <n v="0"/>
    <n v="10100"/>
  </r>
  <r>
    <x v="1"/>
    <x v="21"/>
    <s v="Southern College of Optometry"/>
    <m/>
    <m/>
    <x v="12"/>
    <m/>
    <m/>
    <m/>
    <m/>
    <m/>
    <m/>
    <m/>
    <m/>
    <n v="0"/>
    <m/>
    <m/>
    <n v="0"/>
    <n v="0"/>
    <n v="0"/>
    <n v="286000"/>
    <n v="296000"/>
    <m/>
    <m/>
    <n v="0"/>
    <m/>
    <m/>
    <n v="0"/>
    <m/>
    <m/>
    <m/>
    <m/>
    <m/>
    <m/>
    <n v="286000"/>
    <n v="296000"/>
  </r>
  <r>
    <x v="1"/>
    <x v="21"/>
    <s v="Virginia College of Osteopathic Medicine"/>
    <m/>
    <m/>
    <x v="12"/>
    <m/>
    <m/>
    <m/>
    <m/>
    <m/>
    <m/>
    <m/>
    <m/>
    <n v="0"/>
    <m/>
    <m/>
    <n v="0"/>
    <n v="0"/>
    <n v="0"/>
    <n v="43600"/>
    <n v="14800"/>
    <m/>
    <m/>
    <n v="0"/>
    <m/>
    <m/>
    <n v="0"/>
    <m/>
    <m/>
    <m/>
    <m/>
    <m/>
    <m/>
    <n v="43600"/>
    <n v="14800"/>
  </r>
  <r>
    <x v="1"/>
    <x v="21"/>
    <s v="Southeastern University College of Osteopathic Medicine (NOVA)"/>
    <m/>
    <m/>
    <x v="12"/>
    <m/>
    <m/>
    <m/>
    <m/>
    <m/>
    <m/>
    <m/>
    <m/>
    <n v="0"/>
    <m/>
    <m/>
    <n v="0"/>
    <n v="0"/>
    <n v="0"/>
    <n v="0"/>
    <m/>
    <m/>
    <m/>
    <n v="0"/>
    <m/>
    <m/>
    <n v="0"/>
    <m/>
    <m/>
    <m/>
    <m/>
    <m/>
    <m/>
    <n v="0"/>
    <n v="0"/>
  </r>
  <r>
    <x v="1"/>
    <x v="22"/>
    <s v="SREB contract program with public colleges"/>
    <m/>
    <m/>
    <x v="12"/>
    <m/>
    <m/>
    <m/>
    <m/>
    <m/>
    <m/>
    <m/>
    <m/>
    <n v="0"/>
    <m/>
    <m/>
    <n v="0"/>
    <n v="0"/>
    <n v="0"/>
    <n v="0"/>
    <m/>
    <m/>
    <m/>
    <n v="0"/>
    <m/>
    <m/>
    <n v="0"/>
    <m/>
    <m/>
    <m/>
    <m/>
    <m/>
    <m/>
    <n v="0"/>
    <n v="0"/>
  </r>
  <r>
    <x v="1"/>
    <x v="22"/>
    <s v="Louisiana State Univ. Medical Center (Dentistry)"/>
    <m/>
    <m/>
    <x v="12"/>
    <m/>
    <m/>
    <m/>
    <m/>
    <m/>
    <m/>
    <m/>
    <m/>
    <n v="0"/>
    <m/>
    <m/>
    <n v="0"/>
    <n v="0"/>
    <n v="0"/>
    <n v="196800"/>
    <n v="185900"/>
    <m/>
    <m/>
    <n v="0"/>
    <m/>
    <m/>
    <n v="0"/>
    <m/>
    <m/>
    <m/>
    <m/>
    <m/>
    <m/>
    <n v="196800"/>
    <n v="185900"/>
  </r>
  <r>
    <x v="1"/>
    <x v="22"/>
    <s v="Mississippi State University (Veterinary Medicine)"/>
    <m/>
    <m/>
    <x v="12"/>
    <m/>
    <m/>
    <m/>
    <m/>
    <m/>
    <m/>
    <m/>
    <m/>
    <n v="0"/>
    <m/>
    <m/>
    <n v="0"/>
    <n v="0"/>
    <n v="0"/>
    <n v="25000"/>
    <n v="0"/>
    <m/>
    <m/>
    <n v="0"/>
    <m/>
    <m/>
    <n v="0"/>
    <m/>
    <m/>
    <m/>
    <m/>
    <m/>
    <m/>
    <n v="25000"/>
    <n v="0"/>
  </r>
  <r>
    <x v="1"/>
    <x v="22"/>
    <s v="Oklahoma State University (Osteopathic Medicine)"/>
    <m/>
    <m/>
    <x v="12"/>
    <m/>
    <m/>
    <m/>
    <m/>
    <m/>
    <m/>
    <m/>
    <m/>
    <n v="0"/>
    <m/>
    <m/>
    <n v="0"/>
    <n v="0"/>
    <n v="0"/>
    <n v="28600"/>
    <n v="29600"/>
    <m/>
    <m/>
    <n v="0"/>
    <m/>
    <m/>
    <n v="0"/>
    <m/>
    <m/>
    <m/>
    <m/>
    <m/>
    <m/>
    <n v="28600"/>
    <n v="29600"/>
  </r>
  <r>
    <x v="1"/>
    <x v="22"/>
    <s v="University of Tennessee (Dentistry)"/>
    <m/>
    <m/>
    <x v="12"/>
    <m/>
    <m/>
    <m/>
    <m/>
    <m/>
    <m/>
    <m/>
    <m/>
    <n v="0"/>
    <m/>
    <m/>
    <n v="0"/>
    <n v="0"/>
    <n v="0"/>
    <n v="1410400"/>
    <n v="1495650"/>
    <m/>
    <m/>
    <n v="0"/>
    <m/>
    <m/>
    <n v="0"/>
    <m/>
    <m/>
    <m/>
    <m/>
    <m/>
    <m/>
    <n v="1410400"/>
    <n v="1495650"/>
  </r>
  <r>
    <x v="1"/>
    <x v="22"/>
    <s v="University of Oklahoma (Dentistry)"/>
    <m/>
    <m/>
    <x v="12"/>
    <m/>
    <m/>
    <m/>
    <m/>
    <m/>
    <m/>
    <m/>
    <m/>
    <n v="0"/>
    <m/>
    <m/>
    <n v="0"/>
    <n v="0"/>
    <n v="0"/>
    <n v="49200"/>
    <n v="67600"/>
    <m/>
    <m/>
    <n v="0"/>
    <m/>
    <m/>
    <n v="0"/>
    <m/>
    <m/>
    <m/>
    <m/>
    <m/>
    <m/>
    <n v="49200"/>
    <n v="67600"/>
  </r>
  <r>
    <x v="1"/>
    <x v="22"/>
    <s v="Baylor College of Medicine-Texas A&amp;M (Dentistry)"/>
    <m/>
    <m/>
    <x v="12"/>
    <m/>
    <m/>
    <m/>
    <m/>
    <m/>
    <m/>
    <m/>
    <m/>
    <n v="0"/>
    <m/>
    <m/>
    <n v="0"/>
    <n v="0"/>
    <n v="0"/>
    <n v="65600"/>
    <n v="67600"/>
    <m/>
    <m/>
    <n v="0"/>
    <m/>
    <m/>
    <n v="0"/>
    <m/>
    <m/>
    <m/>
    <m/>
    <m/>
    <m/>
    <n v="65600"/>
    <n v="67600"/>
  </r>
  <r>
    <x v="1"/>
    <x v="22"/>
    <s v="Louisiana State University (Veterinary Medicine)"/>
    <m/>
    <m/>
    <x v="12"/>
    <m/>
    <m/>
    <m/>
    <m/>
    <m/>
    <m/>
    <m/>
    <m/>
    <n v="0"/>
    <m/>
    <m/>
    <n v="0"/>
    <n v="0"/>
    <n v="0"/>
    <n v="925000"/>
    <n v="890100"/>
    <m/>
    <m/>
    <n v="0"/>
    <m/>
    <m/>
    <n v="0"/>
    <m/>
    <m/>
    <m/>
    <m/>
    <m/>
    <m/>
    <n v="925000"/>
    <n v="890100"/>
  </r>
  <r>
    <x v="1"/>
    <x v="22"/>
    <s v="Northeastern University (Optometry)"/>
    <m/>
    <m/>
    <x v="12"/>
    <m/>
    <m/>
    <m/>
    <m/>
    <m/>
    <m/>
    <m/>
    <m/>
    <n v="0"/>
    <m/>
    <m/>
    <n v="0"/>
    <n v="0"/>
    <n v="0"/>
    <n v="85800"/>
    <n v="88800"/>
    <m/>
    <m/>
    <n v="0"/>
    <m/>
    <m/>
    <n v="0"/>
    <m/>
    <m/>
    <m/>
    <m/>
    <m/>
    <m/>
    <n v="85800"/>
    <n v="88800"/>
  </r>
  <r>
    <x v="1"/>
    <x v="22"/>
    <s v="University of Louisville (Dentistry)"/>
    <m/>
    <m/>
    <x v="12"/>
    <m/>
    <m/>
    <m/>
    <m/>
    <m/>
    <m/>
    <m/>
    <m/>
    <n v="0"/>
    <m/>
    <m/>
    <n v="0"/>
    <n v="0"/>
    <n v="0"/>
    <n v="65600"/>
    <n v="67600"/>
    <m/>
    <m/>
    <n v="0"/>
    <m/>
    <m/>
    <n v="0"/>
    <m/>
    <m/>
    <m/>
    <m/>
    <m/>
    <m/>
    <n v="65600"/>
    <n v="67600"/>
  </r>
  <r>
    <x v="1"/>
    <x v="23"/>
    <s v="Other contract education programs"/>
    <m/>
    <m/>
    <x v="12"/>
    <m/>
    <m/>
    <m/>
    <m/>
    <m/>
    <m/>
    <m/>
    <m/>
    <n v="0"/>
    <m/>
    <m/>
    <n v="0"/>
    <n v="0"/>
    <n v="0"/>
    <n v="0"/>
    <m/>
    <m/>
    <m/>
    <n v="0"/>
    <m/>
    <m/>
    <n v="0"/>
    <m/>
    <m/>
    <m/>
    <m/>
    <m/>
    <m/>
    <n v="0"/>
    <n v="0"/>
  </r>
  <r>
    <x v="1"/>
    <x v="24"/>
    <s v="Statewide Student Financial Aid Programs Administered Off Campus"/>
    <m/>
    <m/>
    <x v="12"/>
    <m/>
    <m/>
    <m/>
    <m/>
    <m/>
    <m/>
    <m/>
    <m/>
    <n v="0"/>
    <m/>
    <m/>
    <n v="0"/>
    <n v="0"/>
    <n v="0"/>
    <m/>
    <m/>
    <m/>
    <m/>
    <n v="0"/>
    <m/>
    <m/>
    <n v="0"/>
    <m/>
    <m/>
    <m/>
    <m/>
    <m/>
    <m/>
    <n v="0"/>
    <n v="0"/>
  </r>
  <r>
    <x v="1"/>
    <x v="25"/>
    <s v="Available to public &amp; private sector students"/>
    <m/>
    <m/>
    <x v="12"/>
    <m/>
    <m/>
    <m/>
    <m/>
    <m/>
    <m/>
    <m/>
    <m/>
    <n v="0"/>
    <m/>
    <m/>
    <n v="0"/>
    <n v="0"/>
    <n v="0"/>
    <m/>
    <m/>
    <m/>
    <m/>
    <n v="0"/>
    <m/>
    <m/>
    <n v="0"/>
    <m/>
    <m/>
    <m/>
    <m/>
    <m/>
    <m/>
    <n v="0"/>
    <n v="0"/>
  </r>
  <r>
    <x v="1"/>
    <x v="25"/>
    <s v="Governor's Scholars"/>
    <m/>
    <m/>
    <x v="12"/>
    <m/>
    <m/>
    <m/>
    <m/>
    <m/>
    <m/>
    <m/>
    <m/>
    <n v="0"/>
    <m/>
    <m/>
    <n v="0"/>
    <n v="0"/>
    <n v="0"/>
    <m/>
    <m/>
    <m/>
    <m/>
    <n v="0"/>
    <m/>
    <m/>
    <n v="0"/>
    <m/>
    <m/>
    <m/>
    <m/>
    <m/>
    <m/>
    <n v="0"/>
    <n v="0"/>
  </r>
  <r>
    <x v="1"/>
    <x v="28"/>
    <s v="Amount to public sector students"/>
    <m/>
    <m/>
    <x v="12"/>
    <m/>
    <m/>
    <m/>
    <m/>
    <m/>
    <m/>
    <m/>
    <m/>
    <n v="0"/>
    <m/>
    <m/>
    <n v="0"/>
    <n v="0"/>
    <n v="0"/>
    <m/>
    <m/>
    <m/>
    <m/>
    <n v="0"/>
    <m/>
    <m/>
    <n v="0"/>
    <m/>
    <m/>
    <m/>
    <m/>
    <m/>
    <m/>
    <n v="0"/>
    <n v="0"/>
  </r>
  <r>
    <x v="1"/>
    <x v="29"/>
    <s v="Need-based"/>
    <m/>
    <m/>
    <x v="12"/>
    <m/>
    <m/>
    <m/>
    <m/>
    <m/>
    <m/>
    <m/>
    <m/>
    <n v="0"/>
    <m/>
    <m/>
    <n v="0"/>
    <n v="0"/>
    <n v="0"/>
    <m/>
    <m/>
    <m/>
    <m/>
    <n v="0"/>
    <m/>
    <m/>
    <n v="0"/>
    <m/>
    <m/>
    <m/>
    <m/>
    <m/>
    <m/>
    <n v="0"/>
    <n v="0"/>
  </r>
  <r>
    <x v="1"/>
    <x v="30"/>
    <s v="Non need-based"/>
    <m/>
    <m/>
    <x v="12"/>
    <m/>
    <m/>
    <m/>
    <m/>
    <m/>
    <m/>
    <m/>
    <m/>
    <n v="0"/>
    <m/>
    <m/>
    <n v="0"/>
    <n v="0"/>
    <n v="0"/>
    <n v="7885000"/>
    <n v="8220000"/>
    <m/>
    <m/>
    <n v="0"/>
    <m/>
    <m/>
    <n v="0"/>
    <m/>
    <m/>
    <m/>
    <m/>
    <m/>
    <m/>
    <n v="7885000"/>
    <n v="8220000"/>
  </r>
  <r>
    <x v="1"/>
    <x v="31"/>
    <s v="Amount to private sector students"/>
    <m/>
    <m/>
    <x v="12"/>
    <m/>
    <m/>
    <m/>
    <m/>
    <m/>
    <m/>
    <m/>
    <m/>
    <n v="0"/>
    <m/>
    <m/>
    <n v="0"/>
    <n v="0"/>
    <n v="0"/>
    <m/>
    <m/>
    <m/>
    <m/>
    <n v="0"/>
    <m/>
    <m/>
    <n v="0"/>
    <m/>
    <m/>
    <m/>
    <m/>
    <m/>
    <m/>
    <n v="0"/>
    <n v="0"/>
  </r>
  <r>
    <x v="1"/>
    <x v="32"/>
    <s v="Need-based"/>
    <m/>
    <m/>
    <x v="12"/>
    <m/>
    <m/>
    <m/>
    <m/>
    <m/>
    <m/>
    <m/>
    <m/>
    <n v="0"/>
    <m/>
    <m/>
    <n v="0"/>
    <n v="0"/>
    <n v="0"/>
    <m/>
    <m/>
    <m/>
    <m/>
    <n v="0"/>
    <m/>
    <m/>
    <n v="0"/>
    <m/>
    <m/>
    <m/>
    <m/>
    <m/>
    <m/>
    <n v="0"/>
    <n v="0"/>
  </r>
  <r>
    <x v="1"/>
    <x v="33"/>
    <s v="Non need-based"/>
    <m/>
    <m/>
    <x v="12"/>
    <m/>
    <m/>
    <m/>
    <m/>
    <m/>
    <m/>
    <m/>
    <m/>
    <n v="0"/>
    <m/>
    <m/>
    <n v="0"/>
    <n v="0"/>
    <n v="0"/>
    <n v="3770000"/>
    <n v="3820000"/>
    <m/>
    <m/>
    <n v="0"/>
    <m/>
    <m/>
    <n v="0"/>
    <m/>
    <m/>
    <m/>
    <m/>
    <m/>
    <m/>
    <n v="3770000"/>
    <n v="3820000"/>
  </r>
  <r>
    <x v="1"/>
    <x v="25"/>
    <s v="Arkansas Academic Challenge Scholarship"/>
    <m/>
    <m/>
    <x v="12"/>
    <m/>
    <m/>
    <m/>
    <m/>
    <m/>
    <m/>
    <m/>
    <m/>
    <n v="0"/>
    <m/>
    <m/>
    <n v="0"/>
    <n v="0"/>
    <n v="0"/>
    <m/>
    <m/>
    <m/>
    <m/>
    <n v="0"/>
    <m/>
    <m/>
    <n v="0"/>
    <m/>
    <m/>
    <m/>
    <m/>
    <m/>
    <m/>
    <n v="0"/>
    <n v="0"/>
  </r>
  <r>
    <x v="1"/>
    <x v="28"/>
    <s v="Amount to public sector students"/>
    <m/>
    <m/>
    <x v="12"/>
    <m/>
    <m/>
    <m/>
    <m/>
    <m/>
    <m/>
    <m/>
    <m/>
    <n v="0"/>
    <m/>
    <m/>
    <n v="0"/>
    <n v="0"/>
    <n v="0"/>
    <m/>
    <m/>
    <m/>
    <m/>
    <n v="0"/>
    <m/>
    <m/>
    <n v="0"/>
    <m/>
    <m/>
    <m/>
    <m/>
    <m/>
    <m/>
    <n v="0"/>
    <n v="0"/>
  </r>
  <r>
    <x v="1"/>
    <x v="29"/>
    <s v="Need-based"/>
    <m/>
    <m/>
    <x v="12"/>
    <m/>
    <m/>
    <m/>
    <m/>
    <m/>
    <m/>
    <m/>
    <m/>
    <n v="0"/>
    <m/>
    <m/>
    <n v="0"/>
    <n v="0"/>
    <n v="0"/>
    <m/>
    <m/>
    <m/>
    <m/>
    <n v="0"/>
    <m/>
    <m/>
    <n v="0"/>
    <m/>
    <m/>
    <m/>
    <m/>
    <m/>
    <m/>
    <n v="0"/>
    <n v="0"/>
  </r>
  <r>
    <x v="1"/>
    <x v="30"/>
    <s v="Non need-based"/>
    <m/>
    <m/>
    <x v="12"/>
    <m/>
    <m/>
    <m/>
    <m/>
    <m/>
    <m/>
    <m/>
    <m/>
    <n v="0"/>
    <m/>
    <m/>
    <n v="0"/>
    <n v="0"/>
    <n v="0"/>
    <n v="115000000"/>
    <n v="119500000"/>
    <m/>
    <m/>
    <n v="0"/>
    <m/>
    <m/>
    <n v="0"/>
    <m/>
    <m/>
    <m/>
    <m/>
    <m/>
    <m/>
    <n v="115000000"/>
    <n v="119500000"/>
  </r>
  <r>
    <x v="1"/>
    <x v="31"/>
    <s v="Amount to private sector students"/>
    <m/>
    <m/>
    <x v="12"/>
    <m/>
    <m/>
    <m/>
    <m/>
    <m/>
    <m/>
    <m/>
    <m/>
    <n v="0"/>
    <m/>
    <m/>
    <n v="0"/>
    <n v="0"/>
    <n v="0"/>
    <m/>
    <m/>
    <m/>
    <m/>
    <n v="0"/>
    <m/>
    <m/>
    <n v="0"/>
    <m/>
    <m/>
    <m/>
    <m/>
    <m/>
    <m/>
    <n v="0"/>
    <n v="0"/>
  </r>
  <r>
    <x v="1"/>
    <x v="32"/>
    <s v="Need-based"/>
    <m/>
    <m/>
    <x v="12"/>
    <m/>
    <m/>
    <m/>
    <m/>
    <m/>
    <m/>
    <m/>
    <m/>
    <n v="0"/>
    <m/>
    <m/>
    <n v="0"/>
    <n v="0"/>
    <n v="0"/>
    <m/>
    <m/>
    <m/>
    <m/>
    <n v="0"/>
    <m/>
    <m/>
    <n v="0"/>
    <m/>
    <m/>
    <m/>
    <m/>
    <m/>
    <m/>
    <n v="0"/>
    <n v="0"/>
  </r>
  <r>
    <x v="1"/>
    <x v="33"/>
    <s v="Non need-based"/>
    <m/>
    <m/>
    <x v="12"/>
    <m/>
    <m/>
    <m/>
    <m/>
    <m/>
    <m/>
    <m/>
    <m/>
    <n v="0"/>
    <m/>
    <m/>
    <n v="0"/>
    <n v="0"/>
    <n v="0"/>
    <n v="14200000"/>
    <n v="14500000"/>
    <m/>
    <m/>
    <n v="0"/>
    <m/>
    <m/>
    <n v="0"/>
    <m/>
    <m/>
    <m/>
    <m/>
    <m/>
    <m/>
    <n v="14200000"/>
    <n v="14500000"/>
  </r>
  <r>
    <x v="1"/>
    <x v="25"/>
    <s v="Higher Education Opportunities Grant (GO! Opportunities Grant)"/>
    <m/>
    <m/>
    <x v="12"/>
    <m/>
    <m/>
    <m/>
    <m/>
    <m/>
    <m/>
    <m/>
    <m/>
    <n v="0"/>
    <m/>
    <m/>
    <n v="0"/>
    <n v="0"/>
    <n v="0"/>
    <m/>
    <m/>
    <m/>
    <m/>
    <n v="0"/>
    <m/>
    <m/>
    <n v="0"/>
    <m/>
    <m/>
    <m/>
    <m/>
    <m/>
    <m/>
    <n v="0"/>
    <n v="0"/>
  </r>
  <r>
    <x v="1"/>
    <x v="28"/>
    <s v="Amount to public sector students"/>
    <m/>
    <m/>
    <x v="12"/>
    <m/>
    <m/>
    <m/>
    <m/>
    <m/>
    <m/>
    <m/>
    <m/>
    <n v="0"/>
    <m/>
    <m/>
    <n v="0"/>
    <n v="0"/>
    <n v="0"/>
    <m/>
    <m/>
    <m/>
    <m/>
    <n v="0"/>
    <m/>
    <m/>
    <n v="0"/>
    <m/>
    <m/>
    <m/>
    <m/>
    <m/>
    <m/>
    <n v="0"/>
    <n v="0"/>
  </r>
  <r>
    <x v="1"/>
    <x v="29"/>
    <s v="Need-based"/>
    <m/>
    <m/>
    <x v="12"/>
    <m/>
    <m/>
    <m/>
    <m/>
    <m/>
    <m/>
    <m/>
    <m/>
    <n v="0"/>
    <m/>
    <m/>
    <n v="0"/>
    <n v="0"/>
    <n v="0"/>
    <n v="5100000"/>
    <n v="5600000"/>
    <m/>
    <m/>
    <n v="0"/>
    <m/>
    <m/>
    <n v="0"/>
    <m/>
    <m/>
    <m/>
    <m/>
    <m/>
    <m/>
    <n v="5100000"/>
    <n v="5600000"/>
  </r>
  <r>
    <x v="1"/>
    <x v="30"/>
    <s v="Non need-based"/>
    <m/>
    <m/>
    <x v="12"/>
    <m/>
    <m/>
    <m/>
    <m/>
    <m/>
    <m/>
    <m/>
    <m/>
    <n v="0"/>
    <m/>
    <m/>
    <n v="0"/>
    <n v="0"/>
    <n v="0"/>
    <m/>
    <m/>
    <m/>
    <m/>
    <n v="0"/>
    <m/>
    <m/>
    <n v="0"/>
    <m/>
    <m/>
    <m/>
    <m/>
    <m/>
    <m/>
    <n v="0"/>
    <n v="0"/>
  </r>
  <r>
    <x v="1"/>
    <x v="31"/>
    <s v="Amount to private sector students"/>
    <m/>
    <m/>
    <x v="12"/>
    <m/>
    <m/>
    <m/>
    <m/>
    <m/>
    <m/>
    <m/>
    <m/>
    <n v="0"/>
    <m/>
    <m/>
    <n v="0"/>
    <n v="0"/>
    <n v="0"/>
    <m/>
    <m/>
    <m/>
    <m/>
    <n v="0"/>
    <m/>
    <m/>
    <n v="0"/>
    <m/>
    <m/>
    <m/>
    <m/>
    <m/>
    <m/>
    <n v="0"/>
    <n v="0"/>
  </r>
  <r>
    <x v="1"/>
    <x v="32"/>
    <s v="Need-based"/>
    <m/>
    <m/>
    <x v="12"/>
    <m/>
    <m/>
    <m/>
    <m/>
    <m/>
    <m/>
    <m/>
    <m/>
    <n v="0"/>
    <m/>
    <m/>
    <n v="0"/>
    <n v="0"/>
    <n v="0"/>
    <n v="417000"/>
    <n v="407000"/>
    <m/>
    <m/>
    <n v="0"/>
    <m/>
    <m/>
    <n v="0"/>
    <m/>
    <m/>
    <m/>
    <m/>
    <m/>
    <m/>
    <n v="417000"/>
    <n v="407000"/>
  </r>
  <r>
    <x v="1"/>
    <x v="33"/>
    <s v="Non need-based"/>
    <m/>
    <m/>
    <x v="12"/>
    <m/>
    <m/>
    <m/>
    <m/>
    <m/>
    <m/>
    <m/>
    <m/>
    <n v="0"/>
    <m/>
    <m/>
    <n v="0"/>
    <n v="0"/>
    <n v="0"/>
    <m/>
    <m/>
    <m/>
    <m/>
    <n v="0"/>
    <m/>
    <m/>
    <n v="0"/>
    <m/>
    <m/>
    <m/>
    <m/>
    <m/>
    <m/>
    <n v="0"/>
    <n v="0"/>
  </r>
  <r>
    <x v="1"/>
    <x v="25"/>
    <s v="Teacher Opportunity Program"/>
    <m/>
    <m/>
    <x v="12"/>
    <m/>
    <m/>
    <m/>
    <m/>
    <m/>
    <m/>
    <m/>
    <m/>
    <n v="0"/>
    <m/>
    <m/>
    <n v="0"/>
    <n v="0"/>
    <n v="0"/>
    <m/>
    <m/>
    <m/>
    <m/>
    <n v="0"/>
    <m/>
    <m/>
    <n v="0"/>
    <m/>
    <m/>
    <m/>
    <m/>
    <m/>
    <m/>
    <n v="0"/>
    <n v="0"/>
  </r>
  <r>
    <x v="1"/>
    <x v="28"/>
    <s v="Amount to public sector students"/>
    <m/>
    <m/>
    <x v="12"/>
    <m/>
    <m/>
    <m/>
    <m/>
    <m/>
    <m/>
    <m/>
    <m/>
    <n v="0"/>
    <m/>
    <m/>
    <n v="0"/>
    <n v="0"/>
    <n v="0"/>
    <m/>
    <m/>
    <m/>
    <m/>
    <n v="0"/>
    <m/>
    <m/>
    <n v="0"/>
    <m/>
    <m/>
    <m/>
    <m/>
    <m/>
    <m/>
    <n v="0"/>
    <n v="0"/>
  </r>
  <r>
    <x v="1"/>
    <x v="29"/>
    <s v="Need-based"/>
    <m/>
    <m/>
    <x v="12"/>
    <m/>
    <m/>
    <m/>
    <m/>
    <m/>
    <m/>
    <m/>
    <m/>
    <n v="0"/>
    <m/>
    <m/>
    <n v="0"/>
    <n v="0"/>
    <n v="0"/>
    <m/>
    <m/>
    <m/>
    <m/>
    <n v="0"/>
    <m/>
    <m/>
    <n v="0"/>
    <m/>
    <m/>
    <m/>
    <m/>
    <m/>
    <m/>
    <n v="0"/>
    <n v="0"/>
  </r>
  <r>
    <x v="1"/>
    <x v="30"/>
    <s v="Non need-based"/>
    <m/>
    <m/>
    <x v="12"/>
    <m/>
    <m/>
    <m/>
    <m/>
    <m/>
    <m/>
    <m/>
    <m/>
    <n v="0"/>
    <m/>
    <m/>
    <n v="0"/>
    <n v="0"/>
    <n v="0"/>
    <n v="20000"/>
    <n v="900000"/>
    <m/>
    <m/>
    <n v="0"/>
    <m/>
    <m/>
    <n v="0"/>
    <m/>
    <m/>
    <m/>
    <m/>
    <m/>
    <m/>
    <n v="20000"/>
    <n v="900000"/>
  </r>
  <r>
    <x v="1"/>
    <x v="31"/>
    <s v="Amount to private sector students"/>
    <m/>
    <m/>
    <x v="12"/>
    <m/>
    <m/>
    <m/>
    <m/>
    <m/>
    <m/>
    <m/>
    <m/>
    <n v="0"/>
    <m/>
    <m/>
    <n v="0"/>
    <n v="0"/>
    <n v="0"/>
    <m/>
    <m/>
    <m/>
    <m/>
    <n v="0"/>
    <m/>
    <m/>
    <n v="0"/>
    <m/>
    <m/>
    <m/>
    <m/>
    <m/>
    <m/>
    <n v="0"/>
    <n v="0"/>
  </r>
  <r>
    <x v="1"/>
    <x v="32"/>
    <s v="Need-based"/>
    <m/>
    <m/>
    <x v="12"/>
    <m/>
    <m/>
    <m/>
    <m/>
    <m/>
    <m/>
    <m/>
    <m/>
    <n v="0"/>
    <m/>
    <m/>
    <n v="0"/>
    <n v="0"/>
    <n v="0"/>
    <m/>
    <m/>
    <m/>
    <m/>
    <n v="0"/>
    <m/>
    <m/>
    <n v="0"/>
    <m/>
    <m/>
    <m/>
    <m/>
    <m/>
    <m/>
    <n v="0"/>
    <n v="0"/>
  </r>
  <r>
    <x v="1"/>
    <x v="33"/>
    <s v="Non need-based"/>
    <m/>
    <m/>
    <x v="12"/>
    <m/>
    <m/>
    <m/>
    <m/>
    <m/>
    <m/>
    <m/>
    <m/>
    <n v="0"/>
    <m/>
    <m/>
    <n v="0"/>
    <n v="0"/>
    <n v="0"/>
    <n v="0"/>
    <n v="100000"/>
    <m/>
    <m/>
    <n v="0"/>
    <m/>
    <m/>
    <n v="0"/>
    <m/>
    <m/>
    <m/>
    <m/>
    <m/>
    <m/>
    <n v="0"/>
    <n v="100000"/>
  </r>
  <r>
    <x v="1"/>
    <x v="25"/>
    <s v="Second Effort Scholarships"/>
    <m/>
    <m/>
    <x v="12"/>
    <m/>
    <m/>
    <m/>
    <m/>
    <m/>
    <m/>
    <m/>
    <m/>
    <n v="0"/>
    <m/>
    <m/>
    <n v="0"/>
    <n v="0"/>
    <n v="0"/>
    <m/>
    <m/>
    <m/>
    <m/>
    <n v="0"/>
    <m/>
    <m/>
    <n v="0"/>
    <m/>
    <m/>
    <m/>
    <m/>
    <m/>
    <m/>
    <n v="0"/>
    <n v="0"/>
  </r>
  <r>
    <x v="1"/>
    <x v="28"/>
    <s v="Amount to public sector students"/>
    <m/>
    <m/>
    <x v="12"/>
    <m/>
    <m/>
    <m/>
    <m/>
    <m/>
    <m/>
    <m/>
    <m/>
    <n v="0"/>
    <m/>
    <m/>
    <n v="0"/>
    <n v="0"/>
    <n v="0"/>
    <m/>
    <m/>
    <m/>
    <m/>
    <n v="0"/>
    <m/>
    <m/>
    <n v="0"/>
    <m/>
    <m/>
    <m/>
    <m/>
    <m/>
    <m/>
    <n v="0"/>
    <n v="0"/>
  </r>
  <r>
    <x v="1"/>
    <x v="29"/>
    <s v="Need-based"/>
    <m/>
    <m/>
    <x v="12"/>
    <m/>
    <m/>
    <m/>
    <m/>
    <m/>
    <m/>
    <m/>
    <m/>
    <n v="0"/>
    <m/>
    <m/>
    <n v="0"/>
    <n v="0"/>
    <n v="0"/>
    <m/>
    <m/>
    <m/>
    <m/>
    <n v="0"/>
    <m/>
    <m/>
    <n v="0"/>
    <m/>
    <m/>
    <m/>
    <m/>
    <m/>
    <m/>
    <n v="0"/>
    <n v="0"/>
  </r>
  <r>
    <x v="1"/>
    <x v="30"/>
    <s v="Non need-based"/>
    <m/>
    <m/>
    <x v="12"/>
    <m/>
    <m/>
    <m/>
    <m/>
    <m/>
    <m/>
    <m/>
    <m/>
    <n v="0"/>
    <m/>
    <m/>
    <n v="0"/>
    <n v="0"/>
    <n v="0"/>
    <n v="15000"/>
    <n v="11000"/>
    <m/>
    <m/>
    <n v="0"/>
    <m/>
    <m/>
    <n v="0"/>
    <m/>
    <m/>
    <m/>
    <m/>
    <m/>
    <m/>
    <n v="15000"/>
    <n v="11000"/>
  </r>
  <r>
    <x v="1"/>
    <x v="31"/>
    <s v="Amount to private sector students"/>
    <m/>
    <m/>
    <x v="12"/>
    <m/>
    <m/>
    <m/>
    <m/>
    <m/>
    <m/>
    <m/>
    <m/>
    <n v="0"/>
    <m/>
    <m/>
    <n v="0"/>
    <n v="0"/>
    <n v="0"/>
    <m/>
    <m/>
    <m/>
    <m/>
    <n v="0"/>
    <m/>
    <m/>
    <n v="0"/>
    <m/>
    <m/>
    <m/>
    <m/>
    <m/>
    <m/>
    <n v="0"/>
    <n v="0"/>
  </r>
  <r>
    <x v="1"/>
    <x v="32"/>
    <s v="Need-based"/>
    <m/>
    <m/>
    <x v="12"/>
    <m/>
    <m/>
    <m/>
    <m/>
    <m/>
    <m/>
    <m/>
    <m/>
    <n v="0"/>
    <m/>
    <m/>
    <n v="0"/>
    <n v="0"/>
    <n v="0"/>
    <m/>
    <m/>
    <m/>
    <m/>
    <n v="0"/>
    <m/>
    <m/>
    <n v="0"/>
    <m/>
    <m/>
    <m/>
    <m/>
    <m/>
    <m/>
    <n v="0"/>
    <n v="0"/>
  </r>
  <r>
    <x v="1"/>
    <x v="33"/>
    <s v="Non need-based"/>
    <m/>
    <m/>
    <x v="12"/>
    <m/>
    <m/>
    <m/>
    <m/>
    <m/>
    <m/>
    <m/>
    <m/>
    <n v="0"/>
    <m/>
    <m/>
    <n v="0"/>
    <n v="0"/>
    <n v="0"/>
    <m/>
    <m/>
    <m/>
    <m/>
    <n v="0"/>
    <m/>
    <m/>
    <n v="0"/>
    <m/>
    <m/>
    <m/>
    <m/>
    <m/>
    <m/>
    <n v="0"/>
    <n v="0"/>
  </r>
  <r>
    <x v="1"/>
    <x v="25"/>
    <s v="MIA/KIA Dependents' Scholarship"/>
    <m/>
    <m/>
    <x v="12"/>
    <m/>
    <m/>
    <m/>
    <m/>
    <m/>
    <m/>
    <m/>
    <m/>
    <n v="0"/>
    <m/>
    <m/>
    <n v="0"/>
    <n v="0"/>
    <n v="0"/>
    <m/>
    <m/>
    <m/>
    <m/>
    <n v="0"/>
    <m/>
    <m/>
    <n v="0"/>
    <m/>
    <m/>
    <m/>
    <m/>
    <m/>
    <m/>
    <n v="0"/>
    <n v="0"/>
  </r>
  <r>
    <x v="1"/>
    <x v="28"/>
    <s v="Amount to public sector students"/>
    <m/>
    <m/>
    <x v="12"/>
    <m/>
    <m/>
    <m/>
    <m/>
    <m/>
    <m/>
    <m/>
    <m/>
    <n v="0"/>
    <m/>
    <m/>
    <n v="0"/>
    <n v="0"/>
    <n v="0"/>
    <m/>
    <m/>
    <m/>
    <m/>
    <n v="0"/>
    <m/>
    <m/>
    <n v="0"/>
    <m/>
    <m/>
    <m/>
    <m/>
    <m/>
    <m/>
    <n v="0"/>
    <n v="0"/>
  </r>
  <r>
    <x v="1"/>
    <x v="29"/>
    <s v="Need-based"/>
    <m/>
    <m/>
    <x v="12"/>
    <m/>
    <m/>
    <m/>
    <m/>
    <m/>
    <m/>
    <m/>
    <m/>
    <n v="0"/>
    <m/>
    <m/>
    <n v="0"/>
    <n v="0"/>
    <n v="0"/>
    <m/>
    <m/>
    <m/>
    <m/>
    <n v="0"/>
    <m/>
    <m/>
    <n v="0"/>
    <m/>
    <m/>
    <m/>
    <m/>
    <m/>
    <m/>
    <n v="0"/>
    <n v="0"/>
  </r>
  <r>
    <x v="1"/>
    <x v="30"/>
    <s v="Non need-based"/>
    <m/>
    <m/>
    <x v="12"/>
    <m/>
    <m/>
    <m/>
    <m/>
    <m/>
    <m/>
    <m/>
    <m/>
    <n v="0"/>
    <m/>
    <m/>
    <n v="0"/>
    <n v="0"/>
    <n v="0"/>
    <n v="158378"/>
    <n v="208511"/>
    <m/>
    <m/>
    <n v="0"/>
    <m/>
    <m/>
    <n v="0"/>
    <m/>
    <m/>
    <m/>
    <m/>
    <m/>
    <m/>
    <n v="158378"/>
    <n v="208511"/>
  </r>
  <r>
    <x v="1"/>
    <x v="31"/>
    <s v="Amount to private sector students"/>
    <m/>
    <m/>
    <x v="12"/>
    <m/>
    <m/>
    <m/>
    <m/>
    <m/>
    <m/>
    <m/>
    <m/>
    <n v="0"/>
    <m/>
    <m/>
    <n v="0"/>
    <n v="0"/>
    <n v="0"/>
    <m/>
    <m/>
    <m/>
    <m/>
    <n v="0"/>
    <m/>
    <m/>
    <n v="0"/>
    <m/>
    <m/>
    <m/>
    <m/>
    <m/>
    <m/>
    <n v="0"/>
    <n v="0"/>
  </r>
  <r>
    <x v="1"/>
    <x v="32"/>
    <s v="Need-based"/>
    <m/>
    <m/>
    <x v="12"/>
    <m/>
    <m/>
    <m/>
    <m/>
    <m/>
    <m/>
    <m/>
    <m/>
    <n v="0"/>
    <m/>
    <m/>
    <n v="0"/>
    <n v="0"/>
    <n v="0"/>
    <m/>
    <m/>
    <m/>
    <m/>
    <n v="0"/>
    <m/>
    <m/>
    <n v="0"/>
    <m/>
    <m/>
    <m/>
    <m/>
    <m/>
    <m/>
    <n v="0"/>
    <n v="0"/>
  </r>
  <r>
    <x v="1"/>
    <x v="33"/>
    <s v="Non need-based"/>
    <m/>
    <m/>
    <x v="12"/>
    <m/>
    <m/>
    <m/>
    <m/>
    <m/>
    <m/>
    <m/>
    <m/>
    <n v="0"/>
    <m/>
    <m/>
    <n v="0"/>
    <n v="0"/>
    <n v="0"/>
    <m/>
    <m/>
    <m/>
    <m/>
    <n v="0"/>
    <m/>
    <m/>
    <n v="0"/>
    <m/>
    <m/>
    <m/>
    <m/>
    <m/>
    <m/>
    <n v="0"/>
    <n v="0"/>
  </r>
  <r>
    <x v="1"/>
    <x v="25"/>
    <s v="National Guard Scholarships"/>
    <m/>
    <m/>
    <x v="12"/>
    <m/>
    <m/>
    <m/>
    <m/>
    <m/>
    <m/>
    <m/>
    <m/>
    <n v="0"/>
    <m/>
    <m/>
    <n v="0"/>
    <n v="0"/>
    <n v="0"/>
    <m/>
    <m/>
    <m/>
    <m/>
    <n v="0"/>
    <m/>
    <m/>
    <n v="0"/>
    <m/>
    <m/>
    <m/>
    <m/>
    <m/>
    <m/>
    <n v="0"/>
    <n v="0"/>
  </r>
  <r>
    <x v="1"/>
    <x v="28"/>
    <s v="Amount to public sector students"/>
    <m/>
    <m/>
    <x v="12"/>
    <m/>
    <m/>
    <m/>
    <m/>
    <m/>
    <m/>
    <m/>
    <m/>
    <n v="0"/>
    <m/>
    <m/>
    <n v="0"/>
    <n v="0"/>
    <n v="0"/>
    <m/>
    <m/>
    <m/>
    <m/>
    <n v="0"/>
    <m/>
    <m/>
    <n v="0"/>
    <m/>
    <m/>
    <m/>
    <m/>
    <m/>
    <m/>
    <n v="0"/>
    <n v="0"/>
  </r>
  <r>
    <x v="1"/>
    <x v="29"/>
    <s v="Need-based"/>
    <m/>
    <m/>
    <x v="12"/>
    <m/>
    <m/>
    <m/>
    <m/>
    <m/>
    <m/>
    <m/>
    <m/>
    <n v="0"/>
    <m/>
    <m/>
    <n v="0"/>
    <n v="0"/>
    <n v="0"/>
    <m/>
    <m/>
    <m/>
    <m/>
    <n v="0"/>
    <m/>
    <m/>
    <n v="0"/>
    <m/>
    <m/>
    <m/>
    <m/>
    <m/>
    <m/>
    <n v="0"/>
    <n v="0"/>
  </r>
  <r>
    <x v="1"/>
    <x v="30"/>
    <s v="Non need-based"/>
    <m/>
    <m/>
    <x v="12"/>
    <m/>
    <m/>
    <m/>
    <m/>
    <m/>
    <m/>
    <m/>
    <m/>
    <n v="0"/>
    <m/>
    <m/>
    <n v="0"/>
    <n v="0"/>
    <n v="0"/>
    <n v="1216250"/>
    <n v="1393737"/>
    <m/>
    <m/>
    <n v="0"/>
    <m/>
    <m/>
    <n v="0"/>
    <m/>
    <m/>
    <m/>
    <m/>
    <m/>
    <m/>
    <n v="1216250"/>
    <n v="1393737"/>
  </r>
  <r>
    <x v="1"/>
    <x v="31"/>
    <s v="Amount to private sector students"/>
    <m/>
    <m/>
    <x v="12"/>
    <m/>
    <m/>
    <m/>
    <m/>
    <m/>
    <m/>
    <m/>
    <m/>
    <n v="0"/>
    <m/>
    <m/>
    <n v="0"/>
    <n v="0"/>
    <n v="0"/>
    <m/>
    <m/>
    <m/>
    <m/>
    <n v="0"/>
    <m/>
    <m/>
    <n v="0"/>
    <m/>
    <m/>
    <m/>
    <m/>
    <m/>
    <m/>
    <n v="0"/>
    <n v="0"/>
  </r>
  <r>
    <x v="1"/>
    <x v="32"/>
    <s v="Need-based"/>
    <m/>
    <m/>
    <x v="12"/>
    <m/>
    <m/>
    <m/>
    <m/>
    <m/>
    <m/>
    <m/>
    <m/>
    <n v="0"/>
    <m/>
    <m/>
    <n v="0"/>
    <n v="0"/>
    <n v="0"/>
    <m/>
    <m/>
    <m/>
    <m/>
    <n v="0"/>
    <m/>
    <m/>
    <n v="0"/>
    <m/>
    <m/>
    <m/>
    <m/>
    <m/>
    <m/>
    <n v="0"/>
    <n v="0"/>
  </r>
  <r>
    <x v="1"/>
    <x v="33"/>
    <s v="Non need-based"/>
    <m/>
    <m/>
    <x v="12"/>
    <m/>
    <m/>
    <m/>
    <m/>
    <m/>
    <m/>
    <m/>
    <m/>
    <n v="0"/>
    <m/>
    <m/>
    <n v="0"/>
    <n v="0"/>
    <n v="0"/>
    <n v="52500"/>
    <n v="35000"/>
    <m/>
    <m/>
    <n v="0"/>
    <m/>
    <m/>
    <n v="0"/>
    <m/>
    <m/>
    <m/>
    <m/>
    <m/>
    <m/>
    <n v="52500"/>
    <n v="35000"/>
  </r>
  <r>
    <x v="1"/>
    <x v="25"/>
    <s v="Junior/Senior Minority Scholarships"/>
    <m/>
    <m/>
    <x v="12"/>
    <m/>
    <m/>
    <m/>
    <m/>
    <m/>
    <m/>
    <m/>
    <m/>
    <n v="0"/>
    <m/>
    <m/>
    <n v="0"/>
    <n v="0"/>
    <n v="0"/>
    <m/>
    <m/>
    <m/>
    <m/>
    <n v="0"/>
    <m/>
    <m/>
    <n v="0"/>
    <m/>
    <m/>
    <m/>
    <m/>
    <m/>
    <m/>
    <n v="0"/>
    <n v="0"/>
  </r>
  <r>
    <x v="1"/>
    <x v="28"/>
    <s v="Amount to public sector students"/>
    <m/>
    <m/>
    <x v="12"/>
    <m/>
    <m/>
    <m/>
    <m/>
    <m/>
    <m/>
    <m/>
    <m/>
    <n v="0"/>
    <m/>
    <m/>
    <n v="0"/>
    <n v="0"/>
    <n v="0"/>
    <m/>
    <n v="0"/>
    <m/>
    <m/>
    <n v="0"/>
    <m/>
    <m/>
    <n v="0"/>
    <m/>
    <m/>
    <m/>
    <m/>
    <m/>
    <m/>
    <n v="0"/>
    <n v="0"/>
  </r>
  <r>
    <x v="1"/>
    <x v="29"/>
    <s v="Need-based"/>
    <m/>
    <m/>
    <x v="12"/>
    <m/>
    <m/>
    <m/>
    <m/>
    <m/>
    <m/>
    <m/>
    <m/>
    <n v="0"/>
    <m/>
    <m/>
    <n v="0"/>
    <n v="0"/>
    <n v="0"/>
    <m/>
    <m/>
    <m/>
    <m/>
    <n v="0"/>
    <m/>
    <m/>
    <n v="0"/>
    <m/>
    <m/>
    <m/>
    <m/>
    <m/>
    <m/>
    <n v="0"/>
    <n v="0"/>
  </r>
  <r>
    <x v="1"/>
    <x v="30"/>
    <s v="Non need-based"/>
    <m/>
    <m/>
    <x v="12"/>
    <m/>
    <m/>
    <m/>
    <m/>
    <m/>
    <m/>
    <m/>
    <m/>
    <n v="0"/>
    <m/>
    <m/>
    <n v="0"/>
    <n v="0"/>
    <n v="0"/>
    <n v="0"/>
    <m/>
    <m/>
    <m/>
    <n v="0"/>
    <m/>
    <m/>
    <n v="0"/>
    <m/>
    <m/>
    <m/>
    <m/>
    <m/>
    <m/>
    <n v="0"/>
    <n v="0"/>
  </r>
  <r>
    <x v="1"/>
    <x v="31"/>
    <s v="Amount to private sector students"/>
    <m/>
    <m/>
    <x v="12"/>
    <m/>
    <m/>
    <m/>
    <m/>
    <m/>
    <m/>
    <m/>
    <m/>
    <n v="0"/>
    <m/>
    <m/>
    <n v="0"/>
    <n v="0"/>
    <n v="0"/>
    <m/>
    <m/>
    <m/>
    <m/>
    <n v="0"/>
    <m/>
    <m/>
    <n v="0"/>
    <m/>
    <m/>
    <m/>
    <m/>
    <m/>
    <m/>
    <n v="0"/>
    <n v="0"/>
  </r>
  <r>
    <x v="1"/>
    <x v="32"/>
    <s v="Need-based"/>
    <m/>
    <m/>
    <x v="12"/>
    <m/>
    <m/>
    <m/>
    <m/>
    <m/>
    <m/>
    <m/>
    <m/>
    <n v="0"/>
    <m/>
    <m/>
    <n v="0"/>
    <n v="0"/>
    <n v="0"/>
    <m/>
    <m/>
    <m/>
    <m/>
    <n v="0"/>
    <m/>
    <m/>
    <n v="0"/>
    <m/>
    <m/>
    <m/>
    <m/>
    <m/>
    <m/>
    <n v="0"/>
    <n v="0"/>
  </r>
  <r>
    <x v="1"/>
    <x v="33"/>
    <s v="Non need-based"/>
    <m/>
    <m/>
    <x v="12"/>
    <m/>
    <m/>
    <m/>
    <m/>
    <m/>
    <m/>
    <m/>
    <m/>
    <n v="0"/>
    <m/>
    <m/>
    <n v="0"/>
    <n v="0"/>
    <n v="0"/>
    <n v="0"/>
    <m/>
    <m/>
    <m/>
    <n v="0"/>
    <m/>
    <m/>
    <n v="0"/>
    <m/>
    <m/>
    <m/>
    <m/>
    <m/>
    <m/>
    <n v="0"/>
    <n v="0"/>
  </r>
  <r>
    <x v="1"/>
    <x v="25"/>
    <s v="Minority Master's Fellows Program"/>
    <m/>
    <m/>
    <x v="12"/>
    <m/>
    <m/>
    <m/>
    <m/>
    <m/>
    <m/>
    <m/>
    <m/>
    <n v="0"/>
    <m/>
    <m/>
    <n v="0"/>
    <n v="0"/>
    <n v="0"/>
    <m/>
    <m/>
    <m/>
    <m/>
    <n v="0"/>
    <m/>
    <m/>
    <n v="0"/>
    <m/>
    <m/>
    <m/>
    <m/>
    <m/>
    <m/>
    <n v="0"/>
    <n v="0"/>
  </r>
  <r>
    <x v="1"/>
    <x v="28"/>
    <s v="Amount to public sector students"/>
    <m/>
    <m/>
    <x v="12"/>
    <m/>
    <m/>
    <m/>
    <m/>
    <m/>
    <m/>
    <m/>
    <m/>
    <n v="0"/>
    <m/>
    <m/>
    <n v="0"/>
    <n v="0"/>
    <n v="0"/>
    <m/>
    <m/>
    <m/>
    <m/>
    <n v="0"/>
    <m/>
    <m/>
    <n v="0"/>
    <m/>
    <m/>
    <m/>
    <m/>
    <m/>
    <m/>
    <n v="0"/>
    <n v="0"/>
  </r>
  <r>
    <x v="1"/>
    <x v="29"/>
    <s v="Need-based"/>
    <m/>
    <m/>
    <x v="12"/>
    <m/>
    <m/>
    <m/>
    <m/>
    <m/>
    <m/>
    <m/>
    <m/>
    <n v="0"/>
    <m/>
    <m/>
    <n v="0"/>
    <n v="0"/>
    <n v="0"/>
    <m/>
    <m/>
    <m/>
    <m/>
    <n v="0"/>
    <m/>
    <m/>
    <n v="0"/>
    <m/>
    <m/>
    <m/>
    <m/>
    <m/>
    <m/>
    <n v="0"/>
    <n v="0"/>
  </r>
  <r>
    <x v="1"/>
    <x v="30"/>
    <s v="Non need-based"/>
    <m/>
    <m/>
    <x v="12"/>
    <m/>
    <m/>
    <m/>
    <m/>
    <m/>
    <m/>
    <m/>
    <m/>
    <n v="0"/>
    <m/>
    <m/>
    <n v="0"/>
    <n v="0"/>
    <n v="0"/>
    <n v="0"/>
    <m/>
    <m/>
    <m/>
    <n v="0"/>
    <m/>
    <m/>
    <n v="0"/>
    <m/>
    <m/>
    <m/>
    <m/>
    <m/>
    <m/>
    <n v="0"/>
    <n v="0"/>
  </r>
  <r>
    <x v="1"/>
    <x v="31"/>
    <s v="Amount to private sector students"/>
    <m/>
    <m/>
    <x v="12"/>
    <m/>
    <m/>
    <m/>
    <m/>
    <m/>
    <m/>
    <m/>
    <m/>
    <n v="0"/>
    <m/>
    <m/>
    <n v="0"/>
    <n v="0"/>
    <n v="0"/>
    <m/>
    <m/>
    <m/>
    <m/>
    <n v="0"/>
    <m/>
    <m/>
    <n v="0"/>
    <m/>
    <m/>
    <m/>
    <m/>
    <m/>
    <m/>
    <n v="0"/>
    <n v="0"/>
  </r>
  <r>
    <x v="1"/>
    <x v="32"/>
    <s v="Need-based"/>
    <m/>
    <m/>
    <x v="12"/>
    <m/>
    <m/>
    <m/>
    <m/>
    <m/>
    <m/>
    <m/>
    <m/>
    <n v="0"/>
    <m/>
    <m/>
    <n v="0"/>
    <n v="0"/>
    <n v="0"/>
    <m/>
    <m/>
    <m/>
    <m/>
    <n v="0"/>
    <m/>
    <m/>
    <n v="0"/>
    <m/>
    <m/>
    <m/>
    <m/>
    <m/>
    <m/>
    <n v="0"/>
    <n v="0"/>
  </r>
  <r>
    <x v="1"/>
    <x v="33"/>
    <s v="Non need-based"/>
    <m/>
    <m/>
    <x v="12"/>
    <m/>
    <m/>
    <m/>
    <m/>
    <m/>
    <m/>
    <m/>
    <m/>
    <n v="0"/>
    <m/>
    <m/>
    <n v="0"/>
    <n v="0"/>
    <n v="0"/>
    <n v="0"/>
    <m/>
    <m/>
    <m/>
    <n v="0"/>
    <m/>
    <m/>
    <n v="0"/>
    <m/>
    <m/>
    <m/>
    <m/>
    <m/>
    <m/>
    <n v="0"/>
    <n v="0"/>
  </r>
  <r>
    <x v="1"/>
    <x v="25"/>
    <s v="SREB Doctoral Scholars Program"/>
    <m/>
    <m/>
    <x v="12"/>
    <m/>
    <m/>
    <m/>
    <m/>
    <m/>
    <m/>
    <m/>
    <m/>
    <n v="0"/>
    <m/>
    <m/>
    <n v="0"/>
    <n v="0"/>
    <n v="0"/>
    <m/>
    <m/>
    <m/>
    <m/>
    <n v="0"/>
    <m/>
    <m/>
    <n v="0"/>
    <m/>
    <m/>
    <m/>
    <m/>
    <m/>
    <m/>
    <n v="0"/>
    <n v="0"/>
  </r>
  <r>
    <x v="1"/>
    <x v="26"/>
    <s v="Need-based"/>
    <m/>
    <m/>
    <x v="12"/>
    <m/>
    <m/>
    <m/>
    <m/>
    <m/>
    <m/>
    <m/>
    <m/>
    <n v="0"/>
    <m/>
    <m/>
    <n v="0"/>
    <n v="0"/>
    <n v="0"/>
    <m/>
    <m/>
    <m/>
    <m/>
    <n v="0"/>
    <m/>
    <m/>
    <n v="0"/>
    <m/>
    <m/>
    <m/>
    <m/>
    <m/>
    <m/>
    <n v="0"/>
    <n v="0"/>
  </r>
  <r>
    <x v="1"/>
    <x v="27"/>
    <s v="Non need-based"/>
    <m/>
    <m/>
    <x v="12"/>
    <m/>
    <m/>
    <m/>
    <m/>
    <m/>
    <m/>
    <m/>
    <m/>
    <n v="0"/>
    <m/>
    <m/>
    <n v="0"/>
    <n v="0"/>
    <n v="0"/>
    <n v="200000"/>
    <n v="200000"/>
    <m/>
    <m/>
    <n v="0"/>
    <m/>
    <m/>
    <n v="0"/>
    <m/>
    <m/>
    <m/>
    <m/>
    <m/>
    <m/>
    <n v="200000"/>
    <n v="200000"/>
  </r>
  <r>
    <x v="1"/>
    <x v="28"/>
    <s v="Amount to public sector students"/>
    <m/>
    <m/>
    <x v="12"/>
    <m/>
    <m/>
    <m/>
    <m/>
    <m/>
    <m/>
    <m/>
    <m/>
    <n v="0"/>
    <m/>
    <m/>
    <n v="0"/>
    <n v="0"/>
    <n v="0"/>
    <m/>
    <m/>
    <m/>
    <m/>
    <n v="0"/>
    <m/>
    <m/>
    <n v="0"/>
    <m/>
    <m/>
    <m/>
    <m/>
    <m/>
    <m/>
    <n v="0"/>
    <n v="0"/>
  </r>
  <r>
    <x v="1"/>
    <x v="29"/>
    <s v="Need-based"/>
    <m/>
    <m/>
    <x v="12"/>
    <m/>
    <m/>
    <m/>
    <m/>
    <m/>
    <m/>
    <m/>
    <m/>
    <n v="0"/>
    <m/>
    <m/>
    <n v="0"/>
    <n v="0"/>
    <n v="0"/>
    <m/>
    <m/>
    <m/>
    <m/>
    <n v="0"/>
    <m/>
    <m/>
    <n v="0"/>
    <m/>
    <m/>
    <m/>
    <m/>
    <m/>
    <m/>
    <n v="0"/>
    <n v="0"/>
  </r>
  <r>
    <x v="1"/>
    <x v="30"/>
    <s v="Non need-based"/>
    <m/>
    <m/>
    <x v="12"/>
    <m/>
    <m/>
    <m/>
    <m/>
    <m/>
    <m/>
    <m/>
    <m/>
    <n v="0"/>
    <m/>
    <m/>
    <n v="0"/>
    <n v="0"/>
    <n v="0"/>
    <m/>
    <m/>
    <m/>
    <m/>
    <n v="0"/>
    <m/>
    <m/>
    <n v="0"/>
    <m/>
    <m/>
    <m/>
    <m/>
    <m/>
    <m/>
    <n v="0"/>
    <n v="0"/>
  </r>
  <r>
    <x v="1"/>
    <x v="31"/>
    <s v="Amount to private sector students"/>
    <m/>
    <m/>
    <x v="12"/>
    <m/>
    <m/>
    <m/>
    <m/>
    <m/>
    <m/>
    <m/>
    <m/>
    <n v="0"/>
    <m/>
    <m/>
    <n v="0"/>
    <n v="0"/>
    <n v="0"/>
    <m/>
    <m/>
    <m/>
    <m/>
    <n v="0"/>
    <m/>
    <m/>
    <n v="0"/>
    <m/>
    <m/>
    <m/>
    <m/>
    <m/>
    <m/>
    <n v="0"/>
    <n v="0"/>
  </r>
  <r>
    <x v="1"/>
    <x v="32"/>
    <s v="Need-based"/>
    <m/>
    <m/>
    <x v="12"/>
    <m/>
    <m/>
    <m/>
    <m/>
    <m/>
    <m/>
    <m/>
    <m/>
    <n v="0"/>
    <m/>
    <m/>
    <n v="0"/>
    <n v="0"/>
    <n v="0"/>
    <m/>
    <m/>
    <m/>
    <m/>
    <n v="0"/>
    <m/>
    <m/>
    <n v="0"/>
    <m/>
    <m/>
    <m/>
    <m/>
    <m/>
    <m/>
    <n v="0"/>
    <n v="0"/>
  </r>
  <r>
    <x v="1"/>
    <x v="33"/>
    <s v="Non need-based"/>
    <m/>
    <m/>
    <x v="12"/>
    <m/>
    <m/>
    <m/>
    <m/>
    <m/>
    <m/>
    <m/>
    <m/>
    <n v="0"/>
    <m/>
    <m/>
    <n v="0"/>
    <n v="0"/>
    <n v="0"/>
    <m/>
    <m/>
    <m/>
    <m/>
    <n v="0"/>
    <m/>
    <m/>
    <n v="0"/>
    <m/>
    <m/>
    <m/>
    <m/>
    <m/>
    <m/>
    <n v="0"/>
    <n v="0"/>
  </r>
  <r>
    <x v="1"/>
    <x v="25"/>
    <s v="Geographical Critical Needs Teacher Scholarship"/>
    <m/>
    <m/>
    <x v="12"/>
    <m/>
    <m/>
    <m/>
    <m/>
    <m/>
    <m/>
    <m/>
    <m/>
    <n v="0"/>
    <m/>
    <m/>
    <n v="0"/>
    <n v="0"/>
    <n v="0"/>
    <m/>
    <m/>
    <m/>
    <m/>
    <n v="0"/>
    <m/>
    <m/>
    <n v="0"/>
    <m/>
    <m/>
    <m/>
    <m/>
    <m/>
    <m/>
    <n v="0"/>
    <n v="0"/>
  </r>
  <r>
    <x v="1"/>
    <x v="28"/>
    <s v="Amount to public sector students"/>
    <m/>
    <m/>
    <x v="12"/>
    <m/>
    <m/>
    <m/>
    <m/>
    <m/>
    <m/>
    <m/>
    <m/>
    <n v="0"/>
    <m/>
    <m/>
    <n v="0"/>
    <n v="0"/>
    <n v="0"/>
    <m/>
    <m/>
    <m/>
    <m/>
    <n v="0"/>
    <m/>
    <m/>
    <n v="0"/>
    <m/>
    <m/>
    <m/>
    <m/>
    <m/>
    <m/>
    <n v="0"/>
    <n v="0"/>
  </r>
  <r>
    <x v="1"/>
    <x v="29"/>
    <s v="Need-based"/>
    <m/>
    <m/>
    <x v="12"/>
    <m/>
    <m/>
    <m/>
    <m/>
    <m/>
    <m/>
    <m/>
    <m/>
    <n v="0"/>
    <m/>
    <m/>
    <n v="0"/>
    <n v="0"/>
    <n v="0"/>
    <m/>
    <m/>
    <m/>
    <m/>
    <n v="0"/>
    <m/>
    <m/>
    <n v="0"/>
    <m/>
    <m/>
    <m/>
    <m/>
    <m/>
    <m/>
    <n v="0"/>
    <n v="0"/>
  </r>
  <r>
    <x v="1"/>
    <x v="30"/>
    <s v="Non need-based"/>
    <m/>
    <m/>
    <x v="12"/>
    <m/>
    <m/>
    <m/>
    <m/>
    <m/>
    <m/>
    <m/>
    <m/>
    <n v="0"/>
    <m/>
    <m/>
    <n v="0"/>
    <n v="0"/>
    <n v="0"/>
    <n v="82000"/>
    <n v="40000"/>
    <m/>
    <m/>
    <n v="0"/>
    <m/>
    <m/>
    <n v="0"/>
    <m/>
    <m/>
    <m/>
    <m/>
    <m/>
    <m/>
    <n v="82000"/>
    <n v="40000"/>
  </r>
  <r>
    <x v="1"/>
    <x v="31"/>
    <s v="Amount to private sector students"/>
    <m/>
    <m/>
    <x v="12"/>
    <m/>
    <m/>
    <m/>
    <m/>
    <m/>
    <m/>
    <m/>
    <m/>
    <n v="0"/>
    <m/>
    <m/>
    <n v="0"/>
    <n v="0"/>
    <n v="0"/>
    <m/>
    <m/>
    <m/>
    <m/>
    <n v="0"/>
    <m/>
    <m/>
    <n v="0"/>
    <m/>
    <m/>
    <m/>
    <m/>
    <m/>
    <m/>
    <n v="0"/>
    <n v="0"/>
  </r>
  <r>
    <x v="1"/>
    <x v="32"/>
    <s v="Need-based"/>
    <m/>
    <m/>
    <x v="12"/>
    <m/>
    <m/>
    <m/>
    <m/>
    <m/>
    <m/>
    <m/>
    <m/>
    <n v="0"/>
    <m/>
    <m/>
    <n v="0"/>
    <n v="0"/>
    <n v="0"/>
    <m/>
    <m/>
    <m/>
    <m/>
    <n v="0"/>
    <m/>
    <m/>
    <n v="0"/>
    <m/>
    <m/>
    <m/>
    <m/>
    <m/>
    <m/>
    <n v="0"/>
    <n v="0"/>
  </r>
  <r>
    <x v="1"/>
    <x v="33"/>
    <s v="Non need-based"/>
    <m/>
    <m/>
    <x v="12"/>
    <m/>
    <m/>
    <m/>
    <m/>
    <m/>
    <m/>
    <m/>
    <m/>
    <n v="0"/>
    <m/>
    <m/>
    <n v="0"/>
    <n v="0"/>
    <n v="0"/>
    <n v="4000"/>
    <n v="0"/>
    <m/>
    <m/>
    <n v="0"/>
    <m/>
    <m/>
    <n v="0"/>
    <m/>
    <m/>
    <m/>
    <m/>
    <m/>
    <m/>
    <n v="4000"/>
    <n v="0"/>
  </r>
  <r>
    <x v="1"/>
    <x v="25"/>
    <s v="Workforce Improvement Grant"/>
    <m/>
    <m/>
    <x v="12"/>
    <m/>
    <m/>
    <m/>
    <m/>
    <m/>
    <m/>
    <m/>
    <m/>
    <n v="0"/>
    <m/>
    <m/>
    <n v="0"/>
    <n v="0"/>
    <n v="0"/>
    <m/>
    <m/>
    <m/>
    <m/>
    <n v="0"/>
    <m/>
    <m/>
    <n v="0"/>
    <m/>
    <m/>
    <m/>
    <m/>
    <m/>
    <m/>
    <n v="0"/>
    <n v="0"/>
  </r>
  <r>
    <x v="1"/>
    <x v="28"/>
    <s v="Amount to public sector students"/>
    <m/>
    <m/>
    <x v="12"/>
    <m/>
    <m/>
    <m/>
    <m/>
    <m/>
    <m/>
    <m/>
    <m/>
    <n v="0"/>
    <m/>
    <m/>
    <n v="0"/>
    <n v="0"/>
    <n v="0"/>
    <m/>
    <m/>
    <m/>
    <m/>
    <n v="0"/>
    <m/>
    <m/>
    <n v="0"/>
    <m/>
    <m/>
    <m/>
    <m/>
    <m/>
    <m/>
    <n v="0"/>
    <n v="0"/>
  </r>
  <r>
    <x v="1"/>
    <x v="29"/>
    <s v="Need-based"/>
    <m/>
    <m/>
    <x v="12"/>
    <m/>
    <m/>
    <m/>
    <m/>
    <m/>
    <m/>
    <m/>
    <m/>
    <n v="0"/>
    <m/>
    <m/>
    <n v="0"/>
    <n v="0"/>
    <n v="0"/>
    <n v="3400000"/>
    <n v="3610000"/>
    <m/>
    <m/>
    <n v="0"/>
    <m/>
    <m/>
    <n v="0"/>
    <m/>
    <m/>
    <m/>
    <m/>
    <m/>
    <m/>
    <n v="3400000"/>
    <n v="3610000"/>
  </r>
  <r>
    <x v="1"/>
    <x v="30"/>
    <s v="Non need-based"/>
    <m/>
    <m/>
    <x v="12"/>
    <m/>
    <m/>
    <m/>
    <m/>
    <m/>
    <m/>
    <m/>
    <m/>
    <n v="0"/>
    <m/>
    <m/>
    <n v="0"/>
    <n v="0"/>
    <n v="0"/>
    <m/>
    <m/>
    <m/>
    <m/>
    <n v="0"/>
    <m/>
    <m/>
    <n v="0"/>
    <m/>
    <m/>
    <m/>
    <m/>
    <m/>
    <m/>
    <n v="0"/>
    <n v="0"/>
  </r>
  <r>
    <x v="1"/>
    <x v="31"/>
    <s v="Amount to private sector students"/>
    <m/>
    <s v=" "/>
    <x v="12"/>
    <m/>
    <m/>
    <m/>
    <m/>
    <m/>
    <m/>
    <m/>
    <m/>
    <n v="0"/>
    <m/>
    <m/>
    <n v="0"/>
    <n v="0"/>
    <n v="0"/>
    <m/>
    <m/>
    <m/>
    <m/>
    <n v="0"/>
    <m/>
    <m/>
    <n v="0"/>
    <m/>
    <m/>
    <m/>
    <m/>
    <m/>
    <m/>
    <n v="0"/>
    <n v="0"/>
  </r>
  <r>
    <x v="1"/>
    <x v="32"/>
    <s v="Need-based"/>
    <m/>
    <m/>
    <x v="12"/>
    <m/>
    <m/>
    <m/>
    <m/>
    <m/>
    <m/>
    <m/>
    <m/>
    <n v="0"/>
    <m/>
    <m/>
    <n v="0"/>
    <n v="0"/>
    <n v="0"/>
    <n v="90000"/>
    <n v="190000"/>
    <m/>
    <m/>
    <n v="0"/>
    <m/>
    <m/>
    <n v="0"/>
    <m/>
    <m/>
    <m/>
    <m/>
    <m/>
    <m/>
    <n v="90000"/>
    <n v="190000"/>
  </r>
  <r>
    <x v="1"/>
    <x v="33"/>
    <s v="Non need-based"/>
    <m/>
    <m/>
    <x v="12"/>
    <m/>
    <m/>
    <m/>
    <m/>
    <m/>
    <m/>
    <m/>
    <m/>
    <n v="0"/>
    <m/>
    <m/>
    <n v="0"/>
    <n v="0"/>
    <n v="0"/>
    <m/>
    <m/>
    <m/>
    <m/>
    <n v="0"/>
    <m/>
    <m/>
    <n v="0"/>
    <m/>
    <m/>
    <m/>
    <m/>
    <m/>
    <m/>
    <n v="0"/>
    <n v="0"/>
  </r>
  <r>
    <x v="1"/>
    <x v="25"/>
    <s v="State Teacher Assistance Resource"/>
    <m/>
    <m/>
    <x v="12"/>
    <m/>
    <m/>
    <m/>
    <m/>
    <m/>
    <m/>
    <m/>
    <m/>
    <n v="0"/>
    <m/>
    <m/>
    <n v="0"/>
    <n v="0"/>
    <n v="0"/>
    <m/>
    <m/>
    <m/>
    <m/>
    <n v="0"/>
    <m/>
    <m/>
    <n v="0"/>
    <m/>
    <m/>
    <m/>
    <m/>
    <m/>
    <m/>
    <n v="0"/>
    <n v="0"/>
  </r>
  <r>
    <x v="1"/>
    <x v="28"/>
    <s v="Amount to public sector students"/>
    <m/>
    <m/>
    <x v="12"/>
    <m/>
    <m/>
    <m/>
    <m/>
    <m/>
    <m/>
    <m/>
    <m/>
    <n v="0"/>
    <m/>
    <m/>
    <n v="0"/>
    <n v="0"/>
    <n v="0"/>
    <m/>
    <m/>
    <m/>
    <m/>
    <n v="0"/>
    <m/>
    <m/>
    <n v="0"/>
    <m/>
    <m/>
    <m/>
    <m/>
    <m/>
    <m/>
    <n v="0"/>
    <n v="0"/>
  </r>
  <r>
    <x v="1"/>
    <x v="29"/>
    <s v="Need-based"/>
    <m/>
    <m/>
    <x v="12"/>
    <m/>
    <m/>
    <m/>
    <m/>
    <m/>
    <m/>
    <m/>
    <m/>
    <n v="0"/>
    <m/>
    <m/>
    <n v="0"/>
    <n v="0"/>
    <n v="0"/>
    <m/>
    <m/>
    <m/>
    <m/>
    <n v="0"/>
    <m/>
    <m/>
    <n v="0"/>
    <m/>
    <m/>
    <m/>
    <m/>
    <m/>
    <m/>
    <n v="0"/>
    <n v="0"/>
  </r>
  <r>
    <x v="1"/>
    <x v="30"/>
    <s v="Non need-based"/>
    <m/>
    <m/>
    <x v="12"/>
    <m/>
    <m/>
    <m/>
    <m/>
    <m/>
    <m/>
    <m/>
    <m/>
    <n v="0"/>
    <m/>
    <m/>
    <n v="0"/>
    <n v="0"/>
    <n v="0"/>
    <n v="0"/>
    <m/>
    <m/>
    <m/>
    <n v="0"/>
    <m/>
    <m/>
    <n v="0"/>
    <m/>
    <m/>
    <m/>
    <m/>
    <m/>
    <m/>
    <n v="0"/>
    <n v="0"/>
  </r>
  <r>
    <x v="1"/>
    <x v="31"/>
    <s v="Amount to private sector students"/>
    <m/>
    <m/>
    <x v="12"/>
    <m/>
    <m/>
    <m/>
    <m/>
    <m/>
    <m/>
    <m/>
    <m/>
    <n v="0"/>
    <m/>
    <m/>
    <n v="0"/>
    <n v="0"/>
    <n v="0"/>
    <m/>
    <m/>
    <m/>
    <m/>
    <n v="0"/>
    <m/>
    <m/>
    <n v="0"/>
    <m/>
    <m/>
    <m/>
    <m/>
    <m/>
    <m/>
    <n v="0"/>
    <n v="0"/>
  </r>
  <r>
    <x v="1"/>
    <x v="32"/>
    <s v="Need-based"/>
    <m/>
    <m/>
    <x v="12"/>
    <m/>
    <m/>
    <m/>
    <m/>
    <m/>
    <m/>
    <m/>
    <m/>
    <n v="0"/>
    <m/>
    <m/>
    <n v="0"/>
    <n v="0"/>
    <n v="0"/>
    <m/>
    <m/>
    <m/>
    <m/>
    <n v="0"/>
    <m/>
    <m/>
    <n v="0"/>
    <m/>
    <m/>
    <m/>
    <m/>
    <m/>
    <m/>
    <n v="0"/>
    <n v="0"/>
  </r>
  <r>
    <x v="1"/>
    <x v="33"/>
    <s v="Non need-based"/>
    <m/>
    <m/>
    <x v="12"/>
    <m/>
    <m/>
    <m/>
    <m/>
    <m/>
    <m/>
    <m/>
    <m/>
    <n v="0"/>
    <m/>
    <m/>
    <n v="0"/>
    <n v="0"/>
    <n v="0"/>
    <n v="0"/>
    <m/>
    <m/>
    <m/>
    <n v="0"/>
    <m/>
    <m/>
    <n v="0"/>
    <m/>
    <m/>
    <m/>
    <m/>
    <m/>
    <m/>
    <n v="0"/>
    <n v="0"/>
  </r>
  <r>
    <x v="1"/>
    <x v="34"/>
    <s v="Limited to public college students only"/>
    <m/>
    <m/>
    <x v="12"/>
    <m/>
    <m/>
    <m/>
    <m/>
    <m/>
    <m/>
    <m/>
    <m/>
    <n v="0"/>
    <m/>
    <m/>
    <n v="0"/>
    <n v="0"/>
    <n v="0"/>
    <m/>
    <m/>
    <m/>
    <m/>
    <n v="0"/>
    <m/>
    <m/>
    <n v="0"/>
    <m/>
    <m/>
    <m/>
    <m/>
    <m/>
    <m/>
    <n v="0"/>
    <n v="0"/>
  </r>
  <r>
    <x v="1"/>
    <x v="34"/>
    <s v="Surviving Chidren of Law Enforcement Offs."/>
    <m/>
    <m/>
    <x v="12"/>
    <m/>
    <m/>
    <m/>
    <m/>
    <m/>
    <m/>
    <m/>
    <m/>
    <n v="0"/>
    <m/>
    <m/>
    <n v="0"/>
    <n v="0"/>
    <n v="0"/>
    <m/>
    <m/>
    <m/>
    <m/>
    <n v="0"/>
    <m/>
    <m/>
    <n v="0"/>
    <m/>
    <m/>
    <m/>
    <m/>
    <m/>
    <m/>
    <n v="0"/>
    <n v="0"/>
  </r>
  <r>
    <x v="1"/>
    <x v="35"/>
    <s v="Need-based"/>
    <m/>
    <m/>
    <x v="12"/>
    <m/>
    <m/>
    <m/>
    <m/>
    <m/>
    <m/>
    <m/>
    <m/>
    <n v="0"/>
    <m/>
    <m/>
    <n v="0"/>
    <n v="0"/>
    <n v="0"/>
    <m/>
    <m/>
    <m/>
    <m/>
    <n v="0"/>
    <m/>
    <m/>
    <n v="0"/>
    <m/>
    <m/>
    <m/>
    <m/>
    <m/>
    <m/>
    <n v="0"/>
    <n v="0"/>
  </r>
  <r>
    <x v="1"/>
    <x v="36"/>
    <s v="Non need-based"/>
    <m/>
    <m/>
    <x v="12"/>
    <m/>
    <m/>
    <m/>
    <m/>
    <m/>
    <m/>
    <m/>
    <m/>
    <n v="0"/>
    <m/>
    <m/>
    <n v="0"/>
    <n v="0"/>
    <n v="0"/>
    <n v="260165"/>
    <n v="276823"/>
    <m/>
    <m/>
    <n v="0"/>
    <m/>
    <m/>
    <n v="0"/>
    <m/>
    <m/>
    <m/>
    <m/>
    <m/>
    <m/>
    <n v="260165"/>
    <n v="276823"/>
  </r>
  <r>
    <x v="2"/>
    <x v="0"/>
    <s v="University of Delaware"/>
    <m/>
    <n v="130943"/>
    <x v="0"/>
    <n v="113279900"/>
    <n v="114274900"/>
    <m/>
    <m/>
    <m/>
    <m/>
    <n v="461765329"/>
    <m/>
    <n v="461765329"/>
    <n v="482645088"/>
    <n v="0"/>
    <n v="482645088"/>
    <n v="575045229"/>
    <n v="596919988"/>
    <m/>
    <m/>
    <m/>
    <m/>
    <n v="0"/>
    <m/>
    <m/>
    <n v="0"/>
    <m/>
    <m/>
    <m/>
    <m/>
    <m/>
    <m/>
    <n v="575045229"/>
    <n v="596919988"/>
  </r>
  <r>
    <x v="2"/>
    <x v="3"/>
    <s v="Community/Public Service"/>
    <m/>
    <n v="130943"/>
    <x v="0"/>
    <m/>
    <m/>
    <m/>
    <m/>
    <m/>
    <m/>
    <m/>
    <m/>
    <n v="0"/>
    <m/>
    <m/>
    <n v="0"/>
    <n v="0"/>
    <n v="0"/>
    <m/>
    <m/>
    <m/>
    <m/>
    <n v="0"/>
    <m/>
    <m/>
    <n v="0"/>
    <m/>
    <m/>
    <m/>
    <m/>
    <m/>
    <m/>
    <n v="0"/>
    <n v="0"/>
  </r>
  <r>
    <x v="2"/>
    <x v="3"/>
    <s v="The College School"/>
    <m/>
    <n v="130943"/>
    <x v="0"/>
    <m/>
    <m/>
    <n v="78000"/>
    <n v="95000"/>
    <m/>
    <m/>
    <m/>
    <m/>
    <n v="0"/>
    <m/>
    <m/>
    <n v="0"/>
    <n v="78000"/>
    <n v="95000"/>
    <m/>
    <m/>
    <m/>
    <m/>
    <n v="0"/>
    <m/>
    <m/>
    <n v="0"/>
    <m/>
    <m/>
    <m/>
    <m/>
    <m/>
    <m/>
    <n v="78000"/>
    <n v="95000"/>
  </r>
  <r>
    <x v="2"/>
    <x v="5"/>
    <s v="Agricultural cooperative extension"/>
    <m/>
    <n v="130943"/>
    <x v="0"/>
    <m/>
    <m/>
    <n v="1957710"/>
    <n v="2308076"/>
    <m/>
    <m/>
    <m/>
    <m/>
    <n v="0"/>
    <m/>
    <m/>
    <n v="0"/>
    <n v="1957710"/>
    <n v="2308076"/>
    <m/>
    <m/>
    <m/>
    <m/>
    <n v="0"/>
    <m/>
    <m/>
    <n v="0"/>
    <m/>
    <m/>
    <m/>
    <m/>
    <m/>
    <m/>
    <n v="1957710"/>
    <n v="2308076"/>
  </r>
  <r>
    <x v="2"/>
    <x v="6"/>
    <s v="Agricultural experiment stations"/>
    <m/>
    <n v="130943"/>
    <x v="0"/>
    <m/>
    <m/>
    <n v="2234390"/>
    <n v="2602724"/>
    <m/>
    <m/>
    <m/>
    <m/>
    <n v="0"/>
    <m/>
    <m/>
    <n v="0"/>
    <n v="2234390"/>
    <n v="2602724"/>
    <m/>
    <m/>
    <m/>
    <m/>
    <n v="0"/>
    <m/>
    <m/>
    <n v="0"/>
    <m/>
    <m/>
    <m/>
    <m/>
    <m/>
    <m/>
    <n v="2234390"/>
    <n v="2602724"/>
  </r>
  <r>
    <x v="2"/>
    <x v="7"/>
    <s v="Research centers/institutes"/>
    <m/>
    <n v="130943"/>
    <x v="0"/>
    <m/>
    <m/>
    <m/>
    <m/>
    <m/>
    <m/>
    <m/>
    <m/>
    <n v="0"/>
    <m/>
    <m/>
    <n v="0"/>
    <n v="0"/>
    <n v="0"/>
    <m/>
    <m/>
    <m/>
    <m/>
    <n v="0"/>
    <m/>
    <m/>
    <n v="0"/>
    <m/>
    <m/>
    <m/>
    <m/>
    <m/>
    <m/>
    <n v="0"/>
    <n v="0"/>
  </r>
  <r>
    <x v="2"/>
    <x v="7"/>
    <s v="Delaware Biotech Institute Operating Funds"/>
    <m/>
    <n v="130943"/>
    <x v="0"/>
    <m/>
    <m/>
    <n v="497100"/>
    <n v="502900"/>
    <m/>
    <m/>
    <m/>
    <m/>
    <n v="0"/>
    <m/>
    <m/>
    <n v="0"/>
    <n v="497100"/>
    <n v="502900"/>
    <m/>
    <m/>
    <m/>
    <m/>
    <n v="0"/>
    <m/>
    <m/>
    <n v="0"/>
    <m/>
    <m/>
    <m/>
    <m/>
    <m/>
    <m/>
    <n v="497100"/>
    <n v="502900"/>
  </r>
  <r>
    <x v="2"/>
    <x v="7"/>
    <s v="Sea Grant"/>
    <m/>
    <n v="130943"/>
    <x v="0"/>
    <m/>
    <m/>
    <n v="475100"/>
    <n v="617500"/>
    <m/>
    <m/>
    <m/>
    <m/>
    <n v="0"/>
    <m/>
    <m/>
    <n v="0"/>
    <n v="475100"/>
    <n v="617500"/>
    <m/>
    <m/>
    <m/>
    <m/>
    <n v="0"/>
    <m/>
    <m/>
    <n v="0"/>
    <m/>
    <m/>
    <m/>
    <m/>
    <m/>
    <m/>
    <n v="475100"/>
    <n v="617500"/>
  </r>
  <r>
    <x v="2"/>
    <x v="7"/>
    <s v="Urban Agent"/>
    <m/>
    <n v="130943"/>
    <x v="0"/>
    <m/>
    <m/>
    <n v="115300"/>
    <n v="115300"/>
    <m/>
    <m/>
    <m/>
    <m/>
    <n v="0"/>
    <m/>
    <m/>
    <n v="0"/>
    <n v="115300"/>
    <n v="115300"/>
    <m/>
    <m/>
    <m/>
    <m/>
    <n v="0"/>
    <m/>
    <m/>
    <n v="0"/>
    <m/>
    <m/>
    <m/>
    <m/>
    <m/>
    <m/>
    <n v="115300"/>
    <n v="115300"/>
  </r>
  <r>
    <x v="2"/>
    <x v="7"/>
    <s v="Public Service &amp; Applied Research Projects"/>
    <m/>
    <n v="130943"/>
    <x v="0"/>
    <m/>
    <m/>
    <n v="385000"/>
    <n v="256600"/>
    <m/>
    <m/>
    <m/>
    <m/>
    <n v="0"/>
    <m/>
    <m/>
    <n v="0"/>
    <n v="385000"/>
    <n v="256600"/>
    <m/>
    <m/>
    <m/>
    <m/>
    <n v="0"/>
    <m/>
    <m/>
    <n v="0"/>
    <m/>
    <m/>
    <m/>
    <m/>
    <m/>
    <m/>
    <n v="385000"/>
    <n v="256600"/>
  </r>
  <r>
    <x v="2"/>
    <x v="7"/>
    <s v="Local Government Research &amp; Assistance"/>
    <m/>
    <n v="130943"/>
    <x v="0"/>
    <m/>
    <m/>
    <n v="202900"/>
    <n v="202900"/>
    <m/>
    <m/>
    <m/>
    <m/>
    <n v="0"/>
    <m/>
    <m/>
    <n v="0"/>
    <n v="202900"/>
    <n v="202900"/>
    <m/>
    <m/>
    <m/>
    <m/>
    <n v="0"/>
    <m/>
    <m/>
    <n v="0"/>
    <m/>
    <m/>
    <m/>
    <m/>
    <m/>
    <m/>
    <n v="202900"/>
    <n v="202900"/>
  </r>
  <r>
    <x v="2"/>
    <x v="7"/>
    <s v="Research on School Finance"/>
    <m/>
    <n v="130943"/>
    <x v="0"/>
    <m/>
    <m/>
    <n v="76900"/>
    <n v="76900"/>
    <m/>
    <m/>
    <m/>
    <m/>
    <n v="0"/>
    <m/>
    <m/>
    <n v="0"/>
    <n v="76900"/>
    <n v="76900"/>
    <m/>
    <m/>
    <m/>
    <m/>
    <n v="0"/>
    <m/>
    <m/>
    <n v="0"/>
    <m/>
    <m/>
    <m/>
    <m/>
    <m/>
    <m/>
    <n v="76900"/>
    <n v="76900"/>
  </r>
  <r>
    <x v="2"/>
    <x v="7"/>
    <s v="Delaware Education Research &amp; Development Center"/>
    <m/>
    <n v="130943"/>
    <x v="0"/>
    <m/>
    <m/>
    <n v="199800"/>
    <n v="239700"/>
    <m/>
    <m/>
    <m/>
    <m/>
    <n v="0"/>
    <m/>
    <m/>
    <n v="0"/>
    <n v="199800"/>
    <n v="239700"/>
    <m/>
    <m/>
    <m/>
    <m/>
    <n v="0"/>
    <m/>
    <m/>
    <n v="0"/>
    <m/>
    <m/>
    <m/>
    <m/>
    <m/>
    <m/>
    <n v="199800"/>
    <n v="239700"/>
  </r>
  <r>
    <x v="2"/>
    <x v="7"/>
    <s v="Geological Survey"/>
    <m/>
    <n v="130943"/>
    <x v="0"/>
    <m/>
    <m/>
    <n v="1677800"/>
    <n v="1739500"/>
    <m/>
    <m/>
    <m/>
    <m/>
    <n v="0"/>
    <m/>
    <m/>
    <n v="0"/>
    <n v="1677800"/>
    <n v="1739500"/>
    <m/>
    <m/>
    <m/>
    <m/>
    <n v="0"/>
    <m/>
    <m/>
    <n v="0"/>
    <m/>
    <m/>
    <m/>
    <m/>
    <m/>
    <m/>
    <n v="1677800"/>
    <n v="1739500"/>
  </r>
  <r>
    <x v="2"/>
    <x v="0"/>
    <s v="Delaware State University"/>
    <s v="Reclassified: met the criteria for Four-Year 3 in 2010-11, 2011-12 and 2012-13."/>
    <n v="130934"/>
    <x v="2"/>
    <n v="32196000"/>
    <n v="32773400"/>
    <m/>
    <m/>
    <m/>
    <m/>
    <n v="44587874"/>
    <n v="3459473"/>
    <n v="48047347"/>
    <n v="43477739"/>
    <n v="1495622"/>
    <n v="44973361"/>
    <n v="76783874"/>
    <n v="76251139"/>
    <m/>
    <m/>
    <m/>
    <m/>
    <n v="0"/>
    <m/>
    <m/>
    <n v="0"/>
    <m/>
    <m/>
    <m/>
    <m/>
    <m/>
    <m/>
    <n v="76783874"/>
    <n v="76251139"/>
  </r>
  <r>
    <x v="2"/>
    <x v="0"/>
    <s v="Delaware Technical and Community College--Stanton-Wilmington"/>
    <m/>
    <n v="130916"/>
    <x v="6"/>
    <n v="29102300"/>
    <n v="29204100"/>
    <m/>
    <m/>
    <m/>
    <m/>
    <n v="20265900"/>
    <m/>
    <n v="20265900"/>
    <n v="22955100"/>
    <m/>
    <n v="22955100"/>
    <n v="49368200"/>
    <n v="52159200"/>
    <m/>
    <m/>
    <m/>
    <m/>
    <n v="0"/>
    <m/>
    <m/>
    <n v="0"/>
    <m/>
    <m/>
    <m/>
    <m/>
    <m/>
    <m/>
    <n v="49368200"/>
    <n v="52159200"/>
  </r>
  <r>
    <x v="2"/>
    <x v="0"/>
    <s v="Delaware Technical and Community College--Owens"/>
    <m/>
    <n v="130891"/>
    <x v="7"/>
    <n v="17203100"/>
    <n v="17254100"/>
    <m/>
    <m/>
    <m/>
    <m/>
    <n v="11949000"/>
    <m/>
    <n v="11949000"/>
    <n v="14560700"/>
    <m/>
    <n v="14560700"/>
    <n v="29152100"/>
    <n v="31814800"/>
    <m/>
    <m/>
    <m/>
    <m/>
    <n v="0"/>
    <m/>
    <m/>
    <n v="0"/>
    <m/>
    <m/>
    <m/>
    <m/>
    <m/>
    <m/>
    <n v="29152100"/>
    <n v="31814800"/>
  </r>
  <r>
    <x v="2"/>
    <x v="0"/>
    <s v="Delaware Technical and Community College--Terry"/>
    <m/>
    <n v="130907"/>
    <x v="8"/>
    <n v="11044900"/>
    <n v="11095800"/>
    <m/>
    <m/>
    <m/>
    <m/>
    <n v="8277600"/>
    <m/>
    <n v="8277600"/>
    <n v="9695700"/>
    <m/>
    <n v="9695700"/>
    <n v="19322500"/>
    <n v="20791500"/>
    <m/>
    <m/>
    <m/>
    <m/>
    <n v="0"/>
    <m/>
    <m/>
    <n v="0"/>
    <m/>
    <m/>
    <m/>
    <m/>
    <m/>
    <m/>
    <n v="19322500"/>
    <n v="20791500"/>
  </r>
  <r>
    <x v="2"/>
    <x v="13"/>
    <s v="Educational special-purpose funds-- all other"/>
    <m/>
    <m/>
    <x v="12"/>
    <m/>
    <m/>
    <m/>
    <m/>
    <m/>
    <m/>
    <m/>
    <m/>
    <n v="0"/>
    <m/>
    <m/>
    <n v="0"/>
    <n v="0"/>
    <n v="0"/>
    <m/>
    <m/>
    <m/>
    <m/>
    <n v="0"/>
    <m/>
    <m/>
    <n v="0"/>
    <m/>
    <m/>
    <m/>
    <m/>
    <m/>
    <m/>
    <n v="0"/>
    <n v="0"/>
  </r>
  <r>
    <x v="2"/>
    <x v="13"/>
    <s v="Matching Funds Minority Engineering Recruitment"/>
    <m/>
    <m/>
    <x v="12"/>
    <m/>
    <m/>
    <m/>
    <m/>
    <m/>
    <m/>
    <m/>
    <m/>
    <n v="0"/>
    <m/>
    <m/>
    <n v="0"/>
    <n v="0"/>
    <n v="0"/>
    <m/>
    <m/>
    <m/>
    <m/>
    <n v="0"/>
    <m/>
    <m/>
    <n v="0"/>
    <m/>
    <m/>
    <m/>
    <m/>
    <m/>
    <m/>
    <n v="0"/>
    <n v="0"/>
  </r>
  <r>
    <x v="2"/>
    <x v="13"/>
    <s v="Matching Funds; Advancement of Minorities in Engineering"/>
    <m/>
    <m/>
    <x v="12"/>
    <m/>
    <m/>
    <m/>
    <m/>
    <m/>
    <m/>
    <m/>
    <m/>
    <n v="0"/>
    <m/>
    <m/>
    <n v="0"/>
    <n v="0"/>
    <n v="0"/>
    <m/>
    <m/>
    <m/>
    <m/>
    <n v="0"/>
    <m/>
    <m/>
    <n v="0"/>
    <m/>
    <m/>
    <m/>
    <m/>
    <m/>
    <m/>
    <n v="0"/>
    <n v="0"/>
  </r>
  <r>
    <x v="2"/>
    <x v="13"/>
    <s v="Associate in Arts Program (joint Del. Tech - UD program administered by Del Tech)"/>
    <m/>
    <m/>
    <x v="12"/>
    <m/>
    <m/>
    <n v="1918000"/>
    <n v="1918000"/>
    <m/>
    <m/>
    <m/>
    <m/>
    <n v="0"/>
    <m/>
    <m/>
    <n v="0"/>
    <n v="1918000"/>
    <n v="1918000"/>
    <m/>
    <m/>
    <m/>
    <m/>
    <n v="0"/>
    <m/>
    <m/>
    <n v="0"/>
    <m/>
    <m/>
    <m/>
    <m/>
    <m/>
    <m/>
    <n v="1918000"/>
    <n v="1918000"/>
  </r>
  <r>
    <x v="2"/>
    <x v="14"/>
    <s v="Statewide system operations"/>
    <m/>
    <m/>
    <x v="12"/>
    <m/>
    <m/>
    <m/>
    <m/>
    <m/>
    <m/>
    <m/>
    <m/>
    <n v="0"/>
    <m/>
    <m/>
    <n v="0"/>
    <n v="0"/>
    <n v="0"/>
    <m/>
    <m/>
    <m/>
    <m/>
    <n v="0"/>
    <m/>
    <m/>
    <n v="0"/>
    <m/>
    <m/>
    <m/>
    <m/>
    <m/>
    <m/>
    <n v="0"/>
    <n v="0"/>
  </r>
  <r>
    <x v="2"/>
    <x v="15"/>
    <s v="Colleges and universities"/>
    <m/>
    <m/>
    <x v="12"/>
    <m/>
    <m/>
    <m/>
    <m/>
    <m/>
    <m/>
    <m/>
    <m/>
    <n v="0"/>
    <m/>
    <m/>
    <n v="0"/>
    <n v="0"/>
    <n v="0"/>
    <m/>
    <m/>
    <m/>
    <m/>
    <n v="0"/>
    <m/>
    <m/>
    <n v="0"/>
    <m/>
    <m/>
    <m/>
    <m/>
    <m/>
    <m/>
    <n v="0"/>
    <n v="0"/>
  </r>
  <r>
    <x v="2"/>
    <x v="15"/>
    <s v="DE Higher Education Commission"/>
    <m/>
    <m/>
    <x v="12"/>
    <m/>
    <m/>
    <m/>
    <m/>
    <m/>
    <m/>
    <m/>
    <m/>
    <n v="0"/>
    <m/>
    <m/>
    <n v="0"/>
    <n v="0"/>
    <n v="0"/>
    <n v="881500"/>
    <n v="887800"/>
    <m/>
    <m/>
    <n v="0"/>
    <m/>
    <m/>
    <n v="0"/>
    <m/>
    <m/>
    <m/>
    <m/>
    <m/>
    <m/>
    <n v="881500"/>
    <n v="887800"/>
  </r>
  <r>
    <x v="2"/>
    <x v="16"/>
    <s v="Two-year system(s), if any"/>
    <m/>
    <m/>
    <x v="12"/>
    <m/>
    <m/>
    <m/>
    <m/>
    <m/>
    <m/>
    <m/>
    <m/>
    <n v="0"/>
    <m/>
    <m/>
    <n v="0"/>
    <n v="0"/>
    <n v="0"/>
    <m/>
    <m/>
    <m/>
    <m/>
    <n v="0"/>
    <m/>
    <m/>
    <n v="0"/>
    <m/>
    <m/>
    <m/>
    <m/>
    <m/>
    <m/>
    <n v="0"/>
    <n v="0"/>
  </r>
  <r>
    <x v="2"/>
    <x v="16"/>
    <s v="Delaware Tech College System Office"/>
    <m/>
    <m/>
    <x v="12"/>
    <m/>
    <m/>
    <m/>
    <m/>
    <m/>
    <m/>
    <m/>
    <m/>
    <n v="0"/>
    <m/>
    <m/>
    <n v="0"/>
    <n v="0"/>
    <n v="0"/>
    <n v="10067500"/>
    <n v="11580800"/>
    <m/>
    <m/>
    <n v="0"/>
    <m/>
    <m/>
    <n v="0"/>
    <m/>
    <m/>
    <m/>
    <m/>
    <m/>
    <m/>
    <n v="10067500"/>
    <n v="11580800"/>
  </r>
  <r>
    <x v="2"/>
    <x v="17"/>
    <s v="National or regional associations, compacts or consortia"/>
    <m/>
    <m/>
    <x v="12"/>
    <m/>
    <m/>
    <m/>
    <m/>
    <m/>
    <m/>
    <m/>
    <m/>
    <n v="0"/>
    <m/>
    <m/>
    <n v="0"/>
    <n v="0"/>
    <n v="0"/>
    <m/>
    <m/>
    <m/>
    <m/>
    <n v="0"/>
    <m/>
    <m/>
    <n v="0"/>
    <m/>
    <m/>
    <m/>
    <m/>
    <m/>
    <m/>
    <n v="0"/>
    <n v="0"/>
  </r>
  <r>
    <x v="2"/>
    <x v="17"/>
    <s v="SREB"/>
    <m/>
    <m/>
    <x v="12"/>
    <m/>
    <m/>
    <m/>
    <m/>
    <m/>
    <m/>
    <m/>
    <m/>
    <n v="0"/>
    <m/>
    <m/>
    <n v="0"/>
    <n v="0"/>
    <n v="0"/>
    <n v="193550"/>
    <n v="193550"/>
    <m/>
    <m/>
    <n v="0"/>
    <m/>
    <m/>
    <n v="0"/>
    <m/>
    <m/>
    <m/>
    <m/>
    <m/>
    <m/>
    <n v="193550"/>
    <n v="193550"/>
  </r>
  <r>
    <x v="2"/>
    <x v="18"/>
    <s v="Adm. of Statewide Student Aid Programs (including centralized guaranteed student loans)"/>
    <m/>
    <m/>
    <x v="12"/>
    <m/>
    <m/>
    <m/>
    <m/>
    <m/>
    <m/>
    <m/>
    <m/>
    <n v="0"/>
    <m/>
    <m/>
    <n v="0"/>
    <n v="0"/>
    <n v="0"/>
    <m/>
    <m/>
    <m/>
    <m/>
    <n v="0"/>
    <m/>
    <m/>
    <n v="0"/>
    <m/>
    <m/>
    <m/>
    <m/>
    <m/>
    <m/>
    <n v="0"/>
    <n v="0"/>
  </r>
  <r>
    <x v="2"/>
    <x v="19"/>
    <s v="Support to private colleges other than student financial aid"/>
    <m/>
    <m/>
    <x v="12"/>
    <m/>
    <m/>
    <m/>
    <m/>
    <m/>
    <m/>
    <m/>
    <m/>
    <n v="0"/>
    <m/>
    <m/>
    <n v="0"/>
    <n v="0"/>
    <n v="0"/>
    <m/>
    <m/>
    <m/>
    <m/>
    <n v="0"/>
    <m/>
    <m/>
    <n v="0"/>
    <m/>
    <m/>
    <m/>
    <m/>
    <m/>
    <m/>
    <n v="0"/>
    <n v="0"/>
  </r>
  <r>
    <x v="2"/>
    <x v="20"/>
    <s v="Contract education programs"/>
    <m/>
    <m/>
    <x v="12"/>
    <m/>
    <m/>
    <m/>
    <m/>
    <m/>
    <m/>
    <m/>
    <m/>
    <n v="0"/>
    <m/>
    <m/>
    <n v="0"/>
    <n v="0"/>
    <n v="0"/>
    <m/>
    <m/>
    <m/>
    <m/>
    <n v="0"/>
    <m/>
    <m/>
    <n v="0"/>
    <m/>
    <m/>
    <m/>
    <m/>
    <m/>
    <m/>
    <n v="0"/>
    <n v="0"/>
  </r>
  <r>
    <x v="2"/>
    <x v="21"/>
    <s v="SREB contract program with private colleges"/>
    <m/>
    <m/>
    <x v="12"/>
    <m/>
    <m/>
    <m/>
    <m/>
    <m/>
    <m/>
    <m/>
    <m/>
    <n v="0"/>
    <m/>
    <m/>
    <n v="0"/>
    <n v="0"/>
    <n v="0"/>
    <m/>
    <m/>
    <m/>
    <m/>
    <n v="0"/>
    <m/>
    <m/>
    <n v="0"/>
    <m/>
    <m/>
    <m/>
    <m/>
    <m/>
    <m/>
    <n v="0"/>
    <n v="0"/>
  </r>
  <r>
    <x v="2"/>
    <x v="21"/>
    <s v="Del Institute for Medical Ed &amp; Rsch (DIMER)"/>
    <m/>
    <m/>
    <x v="12"/>
    <m/>
    <m/>
    <m/>
    <m/>
    <m/>
    <m/>
    <m/>
    <m/>
    <n v="0"/>
    <m/>
    <m/>
    <n v="0"/>
    <n v="0"/>
    <n v="0"/>
    <n v="1650000"/>
    <n v="2130000"/>
    <m/>
    <m/>
    <n v="0"/>
    <m/>
    <m/>
    <n v="0"/>
    <m/>
    <m/>
    <m/>
    <m/>
    <m/>
    <m/>
    <n v="1650000"/>
    <n v="2130000"/>
  </r>
  <r>
    <x v="2"/>
    <x v="22"/>
    <s v="SREB contract program with public colleges"/>
    <m/>
    <m/>
    <x v="12"/>
    <m/>
    <m/>
    <m/>
    <m/>
    <m/>
    <m/>
    <m/>
    <m/>
    <n v="0"/>
    <m/>
    <m/>
    <n v="0"/>
    <n v="0"/>
    <n v="0"/>
    <m/>
    <m/>
    <m/>
    <m/>
    <n v="0"/>
    <m/>
    <m/>
    <n v="0"/>
    <m/>
    <m/>
    <m/>
    <m/>
    <m/>
    <m/>
    <n v="0"/>
    <n v="0"/>
  </r>
  <r>
    <x v="2"/>
    <x v="22"/>
    <s v="Del Institute for Vet Medical Education (DIVME)"/>
    <m/>
    <m/>
    <x v="12"/>
    <m/>
    <m/>
    <m/>
    <m/>
    <m/>
    <m/>
    <m/>
    <m/>
    <n v="0"/>
    <m/>
    <m/>
    <n v="0"/>
    <n v="0"/>
    <n v="0"/>
    <n v="300000"/>
    <n v="309600"/>
    <m/>
    <m/>
    <n v="0"/>
    <m/>
    <m/>
    <n v="0"/>
    <m/>
    <m/>
    <m/>
    <m/>
    <m/>
    <m/>
    <n v="300000"/>
    <n v="309600"/>
  </r>
  <r>
    <x v="2"/>
    <x v="22"/>
    <s v="Del Institute for Dental Ed &amp; Rsch (DIDER)"/>
    <m/>
    <m/>
    <x v="12"/>
    <m/>
    <m/>
    <m/>
    <m/>
    <m/>
    <m/>
    <m/>
    <m/>
    <n v="0"/>
    <m/>
    <m/>
    <n v="0"/>
    <n v="0"/>
    <n v="0"/>
    <n v="500500"/>
    <n v="488000"/>
    <m/>
    <m/>
    <n v="0"/>
    <m/>
    <m/>
    <n v="0"/>
    <m/>
    <m/>
    <m/>
    <m/>
    <m/>
    <m/>
    <n v="500500"/>
    <n v="488000"/>
  </r>
  <r>
    <x v="2"/>
    <x v="23"/>
    <s v="Other contract education programs"/>
    <m/>
    <m/>
    <x v="12"/>
    <m/>
    <m/>
    <m/>
    <m/>
    <m/>
    <m/>
    <m/>
    <m/>
    <n v="0"/>
    <m/>
    <m/>
    <n v="0"/>
    <n v="0"/>
    <n v="0"/>
    <m/>
    <m/>
    <m/>
    <m/>
    <n v="0"/>
    <m/>
    <m/>
    <n v="0"/>
    <m/>
    <m/>
    <m/>
    <m/>
    <m/>
    <m/>
    <n v="0"/>
    <n v="0"/>
  </r>
  <r>
    <x v="2"/>
    <x v="24"/>
    <s v="Statewide student financial aid programs administered off campus"/>
    <m/>
    <m/>
    <x v="12"/>
    <m/>
    <m/>
    <m/>
    <m/>
    <m/>
    <m/>
    <m/>
    <m/>
    <n v="0"/>
    <m/>
    <m/>
    <n v="0"/>
    <n v="0"/>
    <n v="0"/>
    <m/>
    <m/>
    <m/>
    <m/>
    <n v="0"/>
    <m/>
    <m/>
    <n v="0"/>
    <m/>
    <m/>
    <m/>
    <m/>
    <m/>
    <m/>
    <n v="0"/>
    <n v="0"/>
  </r>
  <r>
    <x v="2"/>
    <x v="25"/>
    <s v="Available to public &amp; private sector students"/>
    <m/>
    <m/>
    <x v="12"/>
    <m/>
    <m/>
    <m/>
    <m/>
    <m/>
    <m/>
    <m/>
    <m/>
    <n v="0"/>
    <m/>
    <m/>
    <n v="0"/>
    <n v="0"/>
    <n v="0"/>
    <m/>
    <m/>
    <m/>
    <m/>
    <n v="0"/>
    <m/>
    <m/>
    <n v="0"/>
    <m/>
    <m/>
    <m/>
    <m/>
    <m/>
    <m/>
    <n v="0"/>
    <n v="0"/>
  </r>
  <r>
    <x v="2"/>
    <x v="25"/>
    <s v="Scholarship Incentive Program"/>
    <m/>
    <m/>
    <x v="12"/>
    <m/>
    <m/>
    <m/>
    <m/>
    <m/>
    <m/>
    <m/>
    <m/>
    <n v="0"/>
    <m/>
    <m/>
    <n v="0"/>
    <n v="0"/>
    <n v="0"/>
    <n v="1208383"/>
    <n v="1275277"/>
    <m/>
    <m/>
    <n v="0"/>
    <m/>
    <m/>
    <n v="0"/>
    <m/>
    <m/>
    <m/>
    <m/>
    <m/>
    <m/>
    <n v="1208383"/>
    <n v="1275277"/>
  </r>
  <r>
    <x v="2"/>
    <x v="28"/>
    <s v="To public sector students"/>
    <m/>
    <m/>
    <x v="12"/>
    <m/>
    <m/>
    <m/>
    <m/>
    <m/>
    <m/>
    <m/>
    <m/>
    <n v="0"/>
    <m/>
    <m/>
    <n v="0"/>
    <n v="0"/>
    <n v="0"/>
    <m/>
    <m/>
    <m/>
    <m/>
    <n v="0"/>
    <m/>
    <m/>
    <n v="0"/>
    <m/>
    <m/>
    <m/>
    <m/>
    <m/>
    <m/>
    <n v="0"/>
    <n v="0"/>
  </r>
  <r>
    <x v="2"/>
    <x v="29"/>
    <s v="Need-based"/>
    <m/>
    <m/>
    <x v="12"/>
    <m/>
    <m/>
    <m/>
    <m/>
    <m/>
    <m/>
    <m/>
    <m/>
    <n v="0"/>
    <m/>
    <m/>
    <n v="0"/>
    <n v="0"/>
    <n v="0"/>
    <m/>
    <m/>
    <m/>
    <m/>
    <n v="0"/>
    <m/>
    <m/>
    <n v="0"/>
    <m/>
    <m/>
    <m/>
    <m/>
    <m/>
    <m/>
    <n v="0"/>
    <n v="0"/>
  </r>
  <r>
    <x v="2"/>
    <x v="30"/>
    <s v="Non need-based"/>
    <m/>
    <m/>
    <x v="12"/>
    <m/>
    <m/>
    <m/>
    <m/>
    <m/>
    <m/>
    <m/>
    <m/>
    <n v="0"/>
    <m/>
    <m/>
    <n v="0"/>
    <n v="0"/>
    <n v="0"/>
    <m/>
    <m/>
    <m/>
    <m/>
    <n v="0"/>
    <m/>
    <m/>
    <n v="0"/>
    <m/>
    <m/>
    <m/>
    <m/>
    <m/>
    <m/>
    <n v="0"/>
    <n v="0"/>
  </r>
  <r>
    <x v="2"/>
    <x v="31"/>
    <s v="To private sector students"/>
    <m/>
    <m/>
    <x v="12"/>
    <m/>
    <m/>
    <m/>
    <m/>
    <m/>
    <m/>
    <m/>
    <m/>
    <n v="0"/>
    <m/>
    <m/>
    <n v="0"/>
    <n v="0"/>
    <n v="0"/>
    <m/>
    <m/>
    <m/>
    <m/>
    <n v="0"/>
    <m/>
    <m/>
    <n v="0"/>
    <m/>
    <m/>
    <m/>
    <m/>
    <m/>
    <m/>
    <n v="0"/>
    <n v="0"/>
  </r>
  <r>
    <x v="2"/>
    <x v="32"/>
    <s v="Need-based"/>
    <m/>
    <m/>
    <x v="12"/>
    <m/>
    <m/>
    <m/>
    <m/>
    <m/>
    <m/>
    <m/>
    <m/>
    <n v="0"/>
    <m/>
    <m/>
    <n v="0"/>
    <n v="0"/>
    <n v="0"/>
    <m/>
    <m/>
    <m/>
    <m/>
    <n v="0"/>
    <m/>
    <m/>
    <n v="0"/>
    <m/>
    <m/>
    <m/>
    <m/>
    <m/>
    <m/>
    <n v="0"/>
    <n v="0"/>
  </r>
  <r>
    <x v="2"/>
    <x v="33"/>
    <s v="Non need-based"/>
    <m/>
    <m/>
    <x v="12"/>
    <m/>
    <m/>
    <m/>
    <m/>
    <m/>
    <m/>
    <m/>
    <m/>
    <n v="0"/>
    <m/>
    <m/>
    <n v="0"/>
    <n v="0"/>
    <n v="0"/>
    <m/>
    <m/>
    <m/>
    <m/>
    <n v="0"/>
    <m/>
    <m/>
    <n v="0"/>
    <m/>
    <m/>
    <m/>
    <m/>
    <m/>
    <m/>
    <n v="0"/>
    <n v="0"/>
  </r>
  <r>
    <x v="2"/>
    <x v="25"/>
    <s v="Diamond State Scholarship"/>
    <m/>
    <m/>
    <x v="12"/>
    <m/>
    <m/>
    <m/>
    <m/>
    <m/>
    <m/>
    <m/>
    <m/>
    <n v="0"/>
    <m/>
    <m/>
    <n v="0"/>
    <n v="0"/>
    <n v="0"/>
    <m/>
    <m/>
    <m/>
    <m/>
    <n v="0"/>
    <m/>
    <m/>
    <n v="0"/>
    <m/>
    <m/>
    <m/>
    <m/>
    <m/>
    <m/>
    <n v="0"/>
    <n v="0"/>
  </r>
  <r>
    <x v="2"/>
    <x v="28"/>
    <s v="To public sector students"/>
    <m/>
    <m/>
    <x v="12"/>
    <m/>
    <m/>
    <m/>
    <m/>
    <m/>
    <m/>
    <m/>
    <m/>
    <n v="0"/>
    <m/>
    <m/>
    <n v="0"/>
    <n v="0"/>
    <n v="0"/>
    <m/>
    <m/>
    <m/>
    <m/>
    <n v="0"/>
    <m/>
    <m/>
    <n v="0"/>
    <m/>
    <m/>
    <m/>
    <m/>
    <m/>
    <m/>
    <n v="0"/>
    <n v="0"/>
  </r>
  <r>
    <x v="2"/>
    <x v="29"/>
    <s v="Need-based"/>
    <m/>
    <m/>
    <x v="12"/>
    <m/>
    <m/>
    <m/>
    <m/>
    <m/>
    <m/>
    <m/>
    <m/>
    <n v="0"/>
    <m/>
    <m/>
    <n v="0"/>
    <n v="0"/>
    <n v="0"/>
    <m/>
    <m/>
    <m/>
    <m/>
    <n v="0"/>
    <m/>
    <m/>
    <n v="0"/>
    <m/>
    <m/>
    <m/>
    <m/>
    <m/>
    <m/>
    <n v="0"/>
    <n v="0"/>
  </r>
  <r>
    <x v="2"/>
    <x v="30"/>
    <s v="Non need-based"/>
    <m/>
    <m/>
    <x v="12"/>
    <m/>
    <m/>
    <m/>
    <m/>
    <m/>
    <m/>
    <m/>
    <m/>
    <n v="0"/>
    <m/>
    <m/>
    <n v="0"/>
    <n v="0"/>
    <n v="0"/>
    <n v="138124"/>
    <n v="151874"/>
    <m/>
    <m/>
    <n v="0"/>
    <m/>
    <m/>
    <n v="0"/>
    <m/>
    <m/>
    <m/>
    <m/>
    <m/>
    <m/>
    <n v="138124"/>
    <n v="151874"/>
  </r>
  <r>
    <x v="2"/>
    <x v="31"/>
    <s v="To private sector students"/>
    <m/>
    <m/>
    <x v="12"/>
    <m/>
    <m/>
    <m/>
    <m/>
    <m/>
    <m/>
    <m/>
    <m/>
    <n v="0"/>
    <m/>
    <m/>
    <n v="0"/>
    <n v="0"/>
    <n v="0"/>
    <m/>
    <m/>
    <m/>
    <m/>
    <n v="0"/>
    <m/>
    <m/>
    <n v="0"/>
    <m/>
    <m/>
    <m/>
    <m/>
    <m/>
    <m/>
    <n v="0"/>
    <n v="0"/>
  </r>
  <r>
    <x v="2"/>
    <x v="32"/>
    <s v="Need-based"/>
    <m/>
    <m/>
    <x v="12"/>
    <m/>
    <m/>
    <m/>
    <m/>
    <m/>
    <m/>
    <m/>
    <m/>
    <n v="0"/>
    <m/>
    <m/>
    <n v="0"/>
    <n v="0"/>
    <n v="0"/>
    <m/>
    <m/>
    <m/>
    <m/>
    <n v="0"/>
    <m/>
    <m/>
    <n v="0"/>
    <m/>
    <m/>
    <m/>
    <m/>
    <m/>
    <m/>
    <n v="0"/>
    <n v="0"/>
  </r>
  <r>
    <x v="2"/>
    <x v="33"/>
    <s v="Non need-based"/>
    <m/>
    <m/>
    <x v="12"/>
    <m/>
    <m/>
    <m/>
    <m/>
    <m/>
    <m/>
    <m/>
    <m/>
    <n v="0"/>
    <m/>
    <m/>
    <n v="0"/>
    <n v="0"/>
    <n v="0"/>
    <n v="86867"/>
    <n v="90618"/>
    <m/>
    <m/>
    <n v="0"/>
    <m/>
    <m/>
    <n v="0"/>
    <m/>
    <m/>
    <m/>
    <m/>
    <m/>
    <m/>
    <n v="86867"/>
    <n v="90618"/>
  </r>
  <r>
    <x v="2"/>
    <x v="25"/>
    <s v="Ed Benefits for Children of Deceased Vets &amp; Others"/>
    <m/>
    <m/>
    <x v="12"/>
    <m/>
    <m/>
    <m/>
    <m/>
    <m/>
    <m/>
    <m/>
    <m/>
    <n v="0"/>
    <m/>
    <m/>
    <n v="0"/>
    <n v="0"/>
    <n v="0"/>
    <m/>
    <m/>
    <m/>
    <m/>
    <n v="0"/>
    <m/>
    <m/>
    <n v="0"/>
    <m/>
    <m/>
    <m/>
    <m/>
    <m/>
    <m/>
    <n v="0"/>
    <n v="0"/>
  </r>
  <r>
    <x v="2"/>
    <x v="28"/>
    <s v="To public sector students"/>
    <m/>
    <m/>
    <x v="12"/>
    <m/>
    <m/>
    <m/>
    <m/>
    <m/>
    <m/>
    <m/>
    <m/>
    <n v="0"/>
    <m/>
    <m/>
    <n v="0"/>
    <n v="0"/>
    <n v="0"/>
    <m/>
    <m/>
    <m/>
    <m/>
    <n v="0"/>
    <m/>
    <m/>
    <n v="0"/>
    <m/>
    <m/>
    <m/>
    <m/>
    <m/>
    <m/>
    <n v="0"/>
    <n v="0"/>
  </r>
  <r>
    <x v="2"/>
    <x v="29"/>
    <s v="Need-based"/>
    <m/>
    <m/>
    <x v="12"/>
    <m/>
    <m/>
    <m/>
    <m/>
    <m/>
    <m/>
    <m/>
    <m/>
    <n v="0"/>
    <m/>
    <m/>
    <n v="0"/>
    <n v="0"/>
    <n v="0"/>
    <m/>
    <m/>
    <m/>
    <m/>
    <n v="0"/>
    <m/>
    <m/>
    <n v="0"/>
    <m/>
    <m/>
    <m/>
    <m/>
    <m/>
    <m/>
    <n v="0"/>
    <n v="0"/>
  </r>
  <r>
    <x v="2"/>
    <x v="30"/>
    <s v="Non need-based"/>
    <m/>
    <m/>
    <x v="12"/>
    <m/>
    <m/>
    <m/>
    <m/>
    <m/>
    <m/>
    <m/>
    <m/>
    <n v="0"/>
    <m/>
    <m/>
    <n v="0"/>
    <n v="0"/>
    <n v="0"/>
    <n v="57710"/>
    <n v="40690"/>
    <m/>
    <m/>
    <n v="0"/>
    <m/>
    <m/>
    <n v="0"/>
    <m/>
    <m/>
    <m/>
    <m/>
    <m/>
    <m/>
    <n v="57710"/>
    <n v="40690"/>
  </r>
  <r>
    <x v="2"/>
    <x v="31"/>
    <s v="To private sector students"/>
    <m/>
    <m/>
    <x v="12"/>
    <m/>
    <m/>
    <m/>
    <m/>
    <m/>
    <m/>
    <m/>
    <m/>
    <n v="0"/>
    <m/>
    <m/>
    <n v="0"/>
    <n v="0"/>
    <n v="0"/>
    <m/>
    <m/>
    <m/>
    <m/>
    <n v="0"/>
    <m/>
    <m/>
    <n v="0"/>
    <m/>
    <m/>
    <m/>
    <m/>
    <m/>
    <m/>
    <n v="0"/>
    <n v="0"/>
  </r>
  <r>
    <x v="2"/>
    <x v="32"/>
    <s v="Need-based"/>
    <m/>
    <m/>
    <x v="12"/>
    <m/>
    <m/>
    <m/>
    <m/>
    <m/>
    <m/>
    <m/>
    <m/>
    <n v="0"/>
    <m/>
    <m/>
    <n v="0"/>
    <n v="0"/>
    <n v="0"/>
    <m/>
    <m/>
    <m/>
    <m/>
    <n v="0"/>
    <m/>
    <m/>
    <n v="0"/>
    <m/>
    <m/>
    <m/>
    <m/>
    <m/>
    <m/>
    <n v="0"/>
    <n v="0"/>
  </r>
  <r>
    <x v="2"/>
    <x v="33"/>
    <s v="Non need-based"/>
    <m/>
    <m/>
    <x v="12"/>
    <m/>
    <m/>
    <m/>
    <m/>
    <m/>
    <m/>
    <m/>
    <m/>
    <n v="0"/>
    <m/>
    <m/>
    <n v="0"/>
    <n v="0"/>
    <n v="0"/>
    <n v="7948"/>
    <n v="0"/>
    <m/>
    <m/>
    <n v="0"/>
    <m/>
    <m/>
    <n v="0"/>
    <m/>
    <m/>
    <m/>
    <m/>
    <m/>
    <m/>
    <n v="7948"/>
    <n v="0"/>
  </r>
  <r>
    <x v="2"/>
    <x v="25"/>
    <s v="Christa McAuliffe Teacher Scholarship Loan"/>
    <m/>
    <m/>
    <x v="12"/>
    <m/>
    <m/>
    <m/>
    <m/>
    <m/>
    <m/>
    <m/>
    <m/>
    <n v="0"/>
    <m/>
    <m/>
    <n v="0"/>
    <n v="0"/>
    <n v="0"/>
    <m/>
    <m/>
    <m/>
    <m/>
    <n v="0"/>
    <m/>
    <m/>
    <n v="0"/>
    <m/>
    <m/>
    <m/>
    <m/>
    <m/>
    <m/>
    <n v="0"/>
    <n v="0"/>
  </r>
  <r>
    <x v="2"/>
    <x v="28"/>
    <s v="To public sector students"/>
    <m/>
    <m/>
    <x v="12"/>
    <m/>
    <m/>
    <m/>
    <m/>
    <m/>
    <m/>
    <m/>
    <m/>
    <n v="0"/>
    <m/>
    <m/>
    <n v="0"/>
    <n v="0"/>
    <n v="0"/>
    <m/>
    <m/>
    <m/>
    <m/>
    <n v="0"/>
    <m/>
    <m/>
    <n v="0"/>
    <m/>
    <m/>
    <m/>
    <m/>
    <m/>
    <m/>
    <n v="0"/>
    <n v="0"/>
  </r>
  <r>
    <x v="2"/>
    <x v="29"/>
    <s v="Need-based"/>
    <m/>
    <m/>
    <x v="12"/>
    <m/>
    <m/>
    <m/>
    <m/>
    <m/>
    <m/>
    <m/>
    <m/>
    <n v="0"/>
    <m/>
    <m/>
    <n v="0"/>
    <n v="0"/>
    <n v="0"/>
    <m/>
    <m/>
    <m/>
    <m/>
    <n v="0"/>
    <m/>
    <m/>
    <n v="0"/>
    <m/>
    <m/>
    <m/>
    <m/>
    <m/>
    <m/>
    <n v="0"/>
    <n v="0"/>
  </r>
  <r>
    <x v="2"/>
    <x v="30"/>
    <s v="Non need-based"/>
    <m/>
    <m/>
    <x v="12"/>
    <m/>
    <m/>
    <m/>
    <m/>
    <m/>
    <m/>
    <m/>
    <m/>
    <n v="0"/>
    <m/>
    <m/>
    <n v="0"/>
    <n v="0"/>
    <n v="0"/>
    <n v="87500"/>
    <n v="90000"/>
    <m/>
    <m/>
    <n v="0"/>
    <m/>
    <m/>
    <n v="0"/>
    <m/>
    <m/>
    <m/>
    <m/>
    <m/>
    <m/>
    <n v="87500"/>
    <n v="90000"/>
  </r>
  <r>
    <x v="2"/>
    <x v="31"/>
    <s v="To private sector students"/>
    <m/>
    <m/>
    <x v="12"/>
    <m/>
    <m/>
    <m/>
    <m/>
    <m/>
    <m/>
    <m/>
    <m/>
    <n v="0"/>
    <m/>
    <m/>
    <n v="0"/>
    <n v="0"/>
    <n v="0"/>
    <m/>
    <m/>
    <m/>
    <m/>
    <n v="0"/>
    <m/>
    <m/>
    <n v="0"/>
    <m/>
    <m/>
    <m/>
    <m/>
    <m/>
    <m/>
    <n v="0"/>
    <n v="0"/>
  </r>
  <r>
    <x v="2"/>
    <x v="32"/>
    <s v="Need-based"/>
    <m/>
    <m/>
    <x v="12"/>
    <m/>
    <m/>
    <m/>
    <m/>
    <m/>
    <m/>
    <m/>
    <m/>
    <n v="0"/>
    <m/>
    <m/>
    <n v="0"/>
    <n v="0"/>
    <n v="0"/>
    <m/>
    <m/>
    <m/>
    <m/>
    <n v="0"/>
    <m/>
    <m/>
    <n v="0"/>
    <m/>
    <m/>
    <m/>
    <m/>
    <m/>
    <m/>
    <n v="0"/>
    <n v="0"/>
  </r>
  <r>
    <x v="2"/>
    <x v="33"/>
    <s v="Non need-based"/>
    <m/>
    <m/>
    <x v="12"/>
    <m/>
    <m/>
    <m/>
    <m/>
    <m/>
    <m/>
    <m/>
    <m/>
    <n v="0"/>
    <m/>
    <m/>
    <n v="0"/>
    <n v="0"/>
    <n v="0"/>
    <n v="35000"/>
    <n v="30000"/>
    <m/>
    <m/>
    <n v="0"/>
    <m/>
    <m/>
    <n v="0"/>
    <m/>
    <m/>
    <m/>
    <m/>
    <m/>
    <m/>
    <n v="35000"/>
    <n v="30000"/>
  </r>
  <r>
    <x v="2"/>
    <x v="25"/>
    <s v="Librarian and Archivist Incentive Program"/>
    <m/>
    <m/>
    <x v="12"/>
    <m/>
    <m/>
    <m/>
    <m/>
    <m/>
    <m/>
    <m/>
    <m/>
    <n v="0"/>
    <m/>
    <m/>
    <n v="0"/>
    <n v="0"/>
    <n v="0"/>
    <m/>
    <m/>
    <m/>
    <m/>
    <n v="0"/>
    <m/>
    <m/>
    <n v="0"/>
    <m/>
    <m/>
    <m/>
    <m/>
    <m/>
    <m/>
    <n v="0"/>
    <n v="0"/>
  </r>
  <r>
    <x v="2"/>
    <x v="28"/>
    <s v="To public sector students"/>
    <m/>
    <m/>
    <x v="12"/>
    <m/>
    <m/>
    <m/>
    <m/>
    <m/>
    <m/>
    <m/>
    <m/>
    <n v="0"/>
    <m/>
    <m/>
    <n v="0"/>
    <n v="0"/>
    <n v="0"/>
    <m/>
    <m/>
    <m/>
    <m/>
    <n v="0"/>
    <m/>
    <m/>
    <n v="0"/>
    <m/>
    <m/>
    <m/>
    <m/>
    <m/>
    <m/>
    <n v="0"/>
    <n v="0"/>
  </r>
  <r>
    <x v="2"/>
    <x v="29"/>
    <s v="Need-based"/>
    <m/>
    <m/>
    <x v="12"/>
    <m/>
    <m/>
    <m/>
    <m/>
    <m/>
    <m/>
    <m/>
    <m/>
    <n v="0"/>
    <m/>
    <m/>
    <n v="0"/>
    <n v="0"/>
    <n v="0"/>
    <m/>
    <m/>
    <m/>
    <m/>
    <n v="0"/>
    <m/>
    <m/>
    <n v="0"/>
    <m/>
    <m/>
    <m/>
    <m/>
    <m/>
    <m/>
    <n v="0"/>
    <n v="0"/>
  </r>
  <r>
    <x v="2"/>
    <x v="30"/>
    <s v="Non need-based"/>
    <m/>
    <m/>
    <x v="12"/>
    <m/>
    <m/>
    <m/>
    <m/>
    <m/>
    <m/>
    <m/>
    <m/>
    <n v="0"/>
    <m/>
    <m/>
    <n v="0"/>
    <n v="0"/>
    <n v="0"/>
    <n v="63159"/>
    <n v="24250"/>
    <m/>
    <m/>
    <n v="0"/>
    <m/>
    <m/>
    <n v="0"/>
    <m/>
    <m/>
    <m/>
    <m/>
    <m/>
    <m/>
    <n v="63159"/>
    <n v="24250"/>
  </r>
  <r>
    <x v="2"/>
    <x v="31"/>
    <s v="To private sector students"/>
    <m/>
    <m/>
    <x v="12"/>
    <m/>
    <m/>
    <m/>
    <m/>
    <m/>
    <m/>
    <m/>
    <m/>
    <n v="0"/>
    <m/>
    <m/>
    <n v="0"/>
    <n v="0"/>
    <n v="0"/>
    <m/>
    <m/>
    <m/>
    <m/>
    <n v="0"/>
    <m/>
    <m/>
    <n v="0"/>
    <m/>
    <m/>
    <m/>
    <m/>
    <m/>
    <m/>
    <n v="0"/>
    <n v="0"/>
  </r>
  <r>
    <x v="2"/>
    <x v="32"/>
    <s v="Need-based"/>
    <m/>
    <m/>
    <x v="12"/>
    <m/>
    <m/>
    <m/>
    <m/>
    <m/>
    <m/>
    <m/>
    <m/>
    <n v="0"/>
    <m/>
    <m/>
    <n v="0"/>
    <n v="0"/>
    <n v="0"/>
    <m/>
    <m/>
    <m/>
    <m/>
    <n v="0"/>
    <m/>
    <m/>
    <n v="0"/>
    <m/>
    <m/>
    <m/>
    <m/>
    <m/>
    <m/>
    <n v="0"/>
    <n v="0"/>
  </r>
  <r>
    <x v="2"/>
    <x v="33"/>
    <s v="Non need-based"/>
    <m/>
    <m/>
    <x v="12"/>
    <m/>
    <m/>
    <m/>
    <m/>
    <m/>
    <m/>
    <m/>
    <m/>
    <n v="0"/>
    <m/>
    <m/>
    <n v="0"/>
    <n v="0"/>
    <n v="0"/>
    <n v="102588"/>
    <n v="93394"/>
    <m/>
    <m/>
    <n v="0"/>
    <m/>
    <m/>
    <n v="0"/>
    <m/>
    <m/>
    <m/>
    <m/>
    <m/>
    <m/>
    <n v="102588"/>
    <n v="93394"/>
  </r>
  <r>
    <x v="2"/>
    <x v="25"/>
    <s v="Delaware Nursing Incentive Program"/>
    <m/>
    <m/>
    <x v="12"/>
    <m/>
    <m/>
    <m/>
    <m/>
    <m/>
    <m/>
    <m/>
    <m/>
    <n v="0"/>
    <m/>
    <m/>
    <n v="0"/>
    <n v="0"/>
    <n v="0"/>
    <m/>
    <m/>
    <m/>
    <m/>
    <n v="0"/>
    <m/>
    <m/>
    <n v="0"/>
    <m/>
    <m/>
    <m/>
    <m/>
    <m/>
    <m/>
    <n v="0"/>
    <n v="0"/>
  </r>
  <r>
    <x v="2"/>
    <x v="28"/>
    <s v="To public sector students"/>
    <m/>
    <m/>
    <x v="12"/>
    <m/>
    <m/>
    <m/>
    <m/>
    <m/>
    <m/>
    <m/>
    <m/>
    <n v="0"/>
    <m/>
    <m/>
    <n v="0"/>
    <n v="0"/>
    <n v="0"/>
    <m/>
    <m/>
    <m/>
    <m/>
    <n v="0"/>
    <m/>
    <m/>
    <n v="0"/>
    <m/>
    <m/>
    <m/>
    <m/>
    <m/>
    <m/>
    <n v="0"/>
    <n v="0"/>
  </r>
  <r>
    <x v="2"/>
    <x v="29"/>
    <s v="Need-based"/>
    <m/>
    <m/>
    <x v="12"/>
    <m/>
    <m/>
    <m/>
    <m/>
    <m/>
    <m/>
    <m/>
    <m/>
    <n v="0"/>
    <m/>
    <m/>
    <n v="0"/>
    <n v="0"/>
    <n v="0"/>
    <m/>
    <m/>
    <m/>
    <m/>
    <n v="0"/>
    <m/>
    <m/>
    <n v="0"/>
    <m/>
    <m/>
    <m/>
    <m/>
    <m/>
    <m/>
    <n v="0"/>
    <n v="0"/>
  </r>
  <r>
    <x v="2"/>
    <x v="30"/>
    <s v="Non need-based"/>
    <m/>
    <m/>
    <x v="12"/>
    <m/>
    <m/>
    <m/>
    <m/>
    <m/>
    <m/>
    <m/>
    <m/>
    <n v="0"/>
    <m/>
    <m/>
    <n v="0"/>
    <n v="0"/>
    <n v="0"/>
    <n v="57903"/>
    <n v="63750"/>
    <m/>
    <m/>
    <n v="0"/>
    <m/>
    <m/>
    <n v="0"/>
    <m/>
    <m/>
    <m/>
    <m/>
    <m/>
    <m/>
    <n v="57903"/>
    <n v="63750"/>
  </r>
  <r>
    <x v="2"/>
    <x v="31"/>
    <s v="To private sector students"/>
    <m/>
    <m/>
    <x v="12"/>
    <m/>
    <m/>
    <m/>
    <m/>
    <m/>
    <m/>
    <m/>
    <m/>
    <n v="0"/>
    <m/>
    <m/>
    <n v="0"/>
    <n v="0"/>
    <n v="0"/>
    <m/>
    <m/>
    <m/>
    <m/>
    <n v="0"/>
    <m/>
    <m/>
    <n v="0"/>
    <m/>
    <m/>
    <m/>
    <m/>
    <m/>
    <m/>
    <n v="0"/>
    <n v="0"/>
  </r>
  <r>
    <x v="2"/>
    <x v="32"/>
    <s v="Need-based"/>
    <m/>
    <m/>
    <x v="12"/>
    <m/>
    <m/>
    <m/>
    <m/>
    <m/>
    <m/>
    <m/>
    <m/>
    <n v="0"/>
    <m/>
    <m/>
    <n v="0"/>
    <n v="0"/>
    <n v="0"/>
    <m/>
    <m/>
    <m/>
    <m/>
    <n v="0"/>
    <m/>
    <m/>
    <n v="0"/>
    <m/>
    <m/>
    <m/>
    <m/>
    <m/>
    <m/>
    <n v="0"/>
    <n v="0"/>
  </r>
  <r>
    <x v="2"/>
    <x v="33"/>
    <s v="Non need-based"/>
    <m/>
    <m/>
    <x v="12"/>
    <m/>
    <m/>
    <m/>
    <m/>
    <m/>
    <m/>
    <m/>
    <m/>
    <n v="0"/>
    <m/>
    <m/>
    <n v="0"/>
    <n v="0"/>
    <n v="0"/>
    <n v="19129"/>
    <n v="42123"/>
    <m/>
    <m/>
    <n v="0"/>
    <m/>
    <m/>
    <n v="0"/>
    <m/>
    <m/>
    <m/>
    <m/>
    <m/>
    <m/>
    <n v="19129"/>
    <n v="42123"/>
  </r>
  <r>
    <x v="2"/>
    <x v="25"/>
    <s v="B. Bradford Barnes Memorial Scholarship"/>
    <m/>
    <m/>
    <x v="12"/>
    <m/>
    <m/>
    <m/>
    <m/>
    <m/>
    <m/>
    <m/>
    <m/>
    <n v="0"/>
    <m/>
    <m/>
    <n v="0"/>
    <n v="0"/>
    <n v="0"/>
    <m/>
    <m/>
    <m/>
    <m/>
    <n v="0"/>
    <m/>
    <m/>
    <n v="0"/>
    <m/>
    <m/>
    <m/>
    <m/>
    <m/>
    <m/>
    <n v="0"/>
    <n v="0"/>
  </r>
  <r>
    <x v="2"/>
    <x v="28"/>
    <s v="To public sector students"/>
    <m/>
    <m/>
    <x v="12"/>
    <m/>
    <m/>
    <m/>
    <m/>
    <m/>
    <m/>
    <m/>
    <m/>
    <n v="0"/>
    <m/>
    <m/>
    <n v="0"/>
    <n v="0"/>
    <n v="0"/>
    <m/>
    <m/>
    <m/>
    <m/>
    <n v="0"/>
    <m/>
    <m/>
    <n v="0"/>
    <m/>
    <m/>
    <m/>
    <m/>
    <m/>
    <m/>
    <n v="0"/>
    <n v="0"/>
  </r>
  <r>
    <x v="2"/>
    <x v="29"/>
    <s v="Need-based"/>
    <m/>
    <m/>
    <x v="12"/>
    <m/>
    <m/>
    <m/>
    <m/>
    <m/>
    <m/>
    <m/>
    <m/>
    <n v="0"/>
    <m/>
    <m/>
    <n v="0"/>
    <n v="0"/>
    <n v="0"/>
    <m/>
    <m/>
    <m/>
    <m/>
    <n v="0"/>
    <m/>
    <m/>
    <n v="0"/>
    <m/>
    <m/>
    <m/>
    <m/>
    <m/>
    <m/>
    <n v="0"/>
    <n v="0"/>
  </r>
  <r>
    <x v="2"/>
    <x v="30"/>
    <s v="Non need-based"/>
    <m/>
    <m/>
    <x v="12"/>
    <m/>
    <m/>
    <m/>
    <m/>
    <m/>
    <m/>
    <m/>
    <m/>
    <n v="0"/>
    <m/>
    <m/>
    <n v="0"/>
    <n v="0"/>
    <n v="0"/>
    <n v="95723"/>
    <n v="95630"/>
    <m/>
    <m/>
    <n v="0"/>
    <m/>
    <m/>
    <n v="0"/>
    <m/>
    <m/>
    <m/>
    <m/>
    <m/>
    <m/>
    <n v="95723"/>
    <n v="95630"/>
  </r>
  <r>
    <x v="2"/>
    <x v="31"/>
    <s v="To private sector students"/>
    <m/>
    <m/>
    <x v="12"/>
    <m/>
    <m/>
    <m/>
    <m/>
    <m/>
    <m/>
    <m/>
    <m/>
    <n v="0"/>
    <m/>
    <m/>
    <n v="0"/>
    <n v="0"/>
    <n v="0"/>
    <m/>
    <m/>
    <m/>
    <m/>
    <n v="0"/>
    <m/>
    <m/>
    <n v="0"/>
    <m/>
    <m/>
    <m/>
    <m/>
    <m/>
    <m/>
    <n v="0"/>
    <n v="0"/>
  </r>
  <r>
    <x v="2"/>
    <x v="32"/>
    <s v="Need-based"/>
    <m/>
    <m/>
    <x v="12"/>
    <m/>
    <m/>
    <m/>
    <m/>
    <m/>
    <m/>
    <m/>
    <m/>
    <n v="0"/>
    <m/>
    <m/>
    <n v="0"/>
    <n v="0"/>
    <n v="0"/>
    <m/>
    <m/>
    <m/>
    <m/>
    <n v="0"/>
    <m/>
    <m/>
    <n v="0"/>
    <m/>
    <m/>
    <m/>
    <m/>
    <m/>
    <m/>
    <n v="0"/>
    <n v="0"/>
  </r>
  <r>
    <x v="2"/>
    <x v="33"/>
    <s v="Non need-based"/>
    <m/>
    <m/>
    <x v="12"/>
    <m/>
    <m/>
    <m/>
    <m/>
    <m/>
    <m/>
    <m/>
    <m/>
    <n v="0"/>
    <m/>
    <m/>
    <n v="0"/>
    <n v="0"/>
    <n v="0"/>
    <m/>
    <m/>
    <m/>
    <m/>
    <n v="0"/>
    <m/>
    <m/>
    <n v="0"/>
    <m/>
    <m/>
    <m/>
    <m/>
    <m/>
    <m/>
    <n v="0"/>
    <n v="0"/>
  </r>
  <r>
    <x v="2"/>
    <x v="25"/>
    <s v="Speech/Language Pathologist Incentive Program"/>
    <m/>
    <m/>
    <x v="12"/>
    <m/>
    <m/>
    <m/>
    <m/>
    <m/>
    <m/>
    <m/>
    <m/>
    <n v="0"/>
    <m/>
    <m/>
    <n v="0"/>
    <n v="0"/>
    <n v="0"/>
    <m/>
    <m/>
    <m/>
    <m/>
    <n v="0"/>
    <m/>
    <m/>
    <n v="0"/>
    <m/>
    <m/>
    <m/>
    <m/>
    <m/>
    <m/>
    <n v="0"/>
    <n v="0"/>
  </r>
  <r>
    <x v="2"/>
    <x v="28"/>
    <s v="To public sector students"/>
    <m/>
    <m/>
    <x v="12"/>
    <m/>
    <m/>
    <m/>
    <m/>
    <m/>
    <m/>
    <m/>
    <m/>
    <n v="0"/>
    <m/>
    <m/>
    <n v="0"/>
    <n v="0"/>
    <n v="0"/>
    <m/>
    <m/>
    <m/>
    <m/>
    <n v="0"/>
    <m/>
    <m/>
    <n v="0"/>
    <m/>
    <m/>
    <m/>
    <m/>
    <m/>
    <m/>
    <n v="0"/>
    <n v="0"/>
  </r>
  <r>
    <x v="2"/>
    <x v="29"/>
    <s v="Need-based"/>
    <m/>
    <m/>
    <x v="12"/>
    <m/>
    <m/>
    <m/>
    <m/>
    <m/>
    <m/>
    <m/>
    <m/>
    <n v="0"/>
    <m/>
    <m/>
    <n v="0"/>
    <n v="0"/>
    <n v="0"/>
    <m/>
    <m/>
    <m/>
    <m/>
    <n v="0"/>
    <m/>
    <m/>
    <n v="0"/>
    <m/>
    <m/>
    <m/>
    <m/>
    <m/>
    <m/>
    <n v="0"/>
    <n v="0"/>
  </r>
  <r>
    <x v="2"/>
    <x v="30"/>
    <s v="Non need-based"/>
    <m/>
    <m/>
    <x v="12"/>
    <m/>
    <m/>
    <m/>
    <m/>
    <m/>
    <m/>
    <m/>
    <m/>
    <n v="0"/>
    <m/>
    <m/>
    <n v="0"/>
    <n v="0"/>
    <n v="0"/>
    <n v="15000"/>
    <n v="17500"/>
    <m/>
    <m/>
    <n v="0"/>
    <m/>
    <m/>
    <n v="0"/>
    <m/>
    <m/>
    <m/>
    <m/>
    <m/>
    <m/>
    <n v="15000"/>
    <n v="17500"/>
  </r>
  <r>
    <x v="2"/>
    <x v="31"/>
    <s v="To private sector students"/>
    <m/>
    <m/>
    <x v="12"/>
    <m/>
    <m/>
    <m/>
    <m/>
    <m/>
    <m/>
    <m/>
    <m/>
    <n v="0"/>
    <m/>
    <m/>
    <n v="0"/>
    <n v="0"/>
    <n v="0"/>
    <m/>
    <m/>
    <m/>
    <m/>
    <n v="0"/>
    <m/>
    <m/>
    <n v="0"/>
    <m/>
    <m/>
    <m/>
    <m/>
    <m/>
    <m/>
    <n v="0"/>
    <n v="0"/>
  </r>
  <r>
    <x v="2"/>
    <x v="32"/>
    <s v="Need-based"/>
    <m/>
    <m/>
    <x v="12"/>
    <m/>
    <m/>
    <m/>
    <m/>
    <m/>
    <m/>
    <m/>
    <m/>
    <n v="0"/>
    <m/>
    <m/>
    <n v="0"/>
    <n v="0"/>
    <n v="0"/>
    <m/>
    <m/>
    <m/>
    <m/>
    <n v="0"/>
    <m/>
    <m/>
    <n v="0"/>
    <m/>
    <m/>
    <m/>
    <m/>
    <m/>
    <m/>
    <n v="0"/>
    <n v="0"/>
  </r>
  <r>
    <x v="2"/>
    <x v="33"/>
    <s v="Non need-based"/>
    <m/>
    <m/>
    <x v="12"/>
    <m/>
    <m/>
    <m/>
    <m/>
    <m/>
    <m/>
    <m/>
    <m/>
    <n v="0"/>
    <m/>
    <m/>
    <n v="0"/>
    <n v="0"/>
    <n v="0"/>
    <n v="10000"/>
    <n v="15000"/>
    <m/>
    <m/>
    <n v="0"/>
    <m/>
    <m/>
    <n v="0"/>
    <m/>
    <m/>
    <m/>
    <m/>
    <m/>
    <m/>
    <n v="10000"/>
    <n v="15000"/>
  </r>
  <r>
    <x v="2"/>
    <x v="25"/>
    <s v="Herman M. Holloway, Sr. Memorial Scholarship"/>
    <m/>
    <m/>
    <x v="12"/>
    <m/>
    <m/>
    <m/>
    <m/>
    <m/>
    <m/>
    <m/>
    <m/>
    <n v="0"/>
    <m/>
    <m/>
    <n v="0"/>
    <n v="0"/>
    <n v="0"/>
    <m/>
    <m/>
    <m/>
    <m/>
    <n v="0"/>
    <m/>
    <m/>
    <n v="0"/>
    <m/>
    <m/>
    <m/>
    <m/>
    <m/>
    <m/>
    <n v="0"/>
    <n v="0"/>
  </r>
  <r>
    <x v="2"/>
    <x v="28"/>
    <s v="To public sector students"/>
    <m/>
    <m/>
    <x v="12"/>
    <m/>
    <m/>
    <m/>
    <m/>
    <m/>
    <m/>
    <m/>
    <m/>
    <n v="0"/>
    <m/>
    <m/>
    <n v="0"/>
    <n v="0"/>
    <n v="0"/>
    <m/>
    <m/>
    <m/>
    <m/>
    <n v="0"/>
    <m/>
    <m/>
    <n v="0"/>
    <m/>
    <m/>
    <m/>
    <m/>
    <m/>
    <m/>
    <n v="0"/>
    <n v="0"/>
  </r>
  <r>
    <x v="2"/>
    <x v="29"/>
    <s v="Need-based"/>
    <m/>
    <m/>
    <x v="12"/>
    <m/>
    <m/>
    <m/>
    <m/>
    <m/>
    <m/>
    <m/>
    <m/>
    <n v="0"/>
    <m/>
    <m/>
    <n v="0"/>
    <n v="0"/>
    <n v="0"/>
    <m/>
    <m/>
    <m/>
    <m/>
    <n v="0"/>
    <m/>
    <m/>
    <n v="0"/>
    <m/>
    <m/>
    <m/>
    <m/>
    <m/>
    <m/>
    <n v="0"/>
    <n v="0"/>
  </r>
  <r>
    <x v="2"/>
    <x v="30"/>
    <s v="Non need-based"/>
    <m/>
    <m/>
    <x v="12"/>
    <m/>
    <m/>
    <m/>
    <m/>
    <m/>
    <m/>
    <m/>
    <m/>
    <n v="0"/>
    <m/>
    <m/>
    <n v="0"/>
    <n v="0"/>
    <n v="0"/>
    <n v="75876"/>
    <n v="51176"/>
    <m/>
    <m/>
    <n v="0"/>
    <m/>
    <m/>
    <n v="0"/>
    <m/>
    <m/>
    <m/>
    <m/>
    <m/>
    <m/>
    <n v="75876"/>
    <n v="51176"/>
  </r>
  <r>
    <x v="2"/>
    <x v="31"/>
    <s v="To private sector students"/>
    <m/>
    <m/>
    <x v="12"/>
    <m/>
    <m/>
    <m/>
    <m/>
    <m/>
    <m/>
    <m/>
    <m/>
    <n v="0"/>
    <m/>
    <m/>
    <n v="0"/>
    <n v="0"/>
    <n v="0"/>
    <m/>
    <m/>
    <m/>
    <m/>
    <n v="0"/>
    <m/>
    <m/>
    <n v="0"/>
    <m/>
    <m/>
    <m/>
    <m/>
    <m/>
    <m/>
    <n v="0"/>
    <n v="0"/>
  </r>
  <r>
    <x v="2"/>
    <x v="32"/>
    <s v="Need-based"/>
    <m/>
    <m/>
    <x v="12"/>
    <m/>
    <m/>
    <m/>
    <m/>
    <m/>
    <m/>
    <m/>
    <m/>
    <n v="0"/>
    <m/>
    <m/>
    <n v="0"/>
    <n v="0"/>
    <n v="0"/>
    <m/>
    <m/>
    <m/>
    <m/>
    <n v="0"/>
    <m/>
    <m/>
    <n v="0"/>
    <m/>
    <m/>
    <m/>
    <m/>
    <m/>
    <m/>
    <n v="0"/>
    <n v="0"/>
  </r>
  <r>
    <x v="2"/>
    <x v="33"/>
    <s v="Non need-based"/>
    <m/>
    <m/>
    <x v="12"/>
    <m/>
    <m/>
    <m/>
    <m/>
    <m/>
    <m/>
    <m/>
    <m/>
    <n v="0"/>
    <m/>
    <m/>
    <n v="0"/>
    <n v="0"/>
    <n v="0"/>
    <m/>
    <m/>
    <m/>
    <m/>
    <n v="0"/>
    <m/>
    <m/>
    <n v="0"/>
    <m/>
    <m/>
    <m/>
    <m/>
    <m/>
    <m/>
    <n v="0"/>
    <n v="0"/>
  </r>
  <r>
    <x v="2"/>
    <x v="25"/>
    <s v="Legislative Essay Scholarship"/>
    <m/>
    <m/>
    <x v="12"/>
    <m/>
    <m/>
    <m/>
    <m/>
    <m/>
    <m/>
    <m/>
    <m/>
    <n v="0"/>
    <m/>
    <m/>
    <n v="0"/>
    <n v="0"/>
    <n v="0"/>
    <m/>
    <m/>
    <m/>
    <m/>
    <n v="0"/>
    <m/>
    <m/>
    <n v="0"/>
    <m/>
    <m/>
    <m/>
    <m/>
    <m/>
    <m/>
    <n v="0"/>
    <n v="0"/>
  </r>
  <r>
    <x v="2"/>
    <x v="28"/>
    <s v="To public sector students"/>
    <m/>
    <m/>
    <x v="12"/>
    <m/>
    <m/>
    <m/>
    <m/>
    <m/>
    <m/>
    <m/>
    <m/>
    <n v="0"/>
    <m/>
    <m/>
    <n v="0"/>
    <n v="0"/>
    <n v="0"/>
    <m/>
    <m/>
    <m/>
    <m/>
    <n v="0"/>
    <m/>
    <m/>
    <n v="0"/>
    <m/>
    <m/>
    <m/>
    <m/>
    <m/>
    <m/>
    <n v="0"/>
    <n v="0"/>
  </r>
  <r>
    <x v="2"/>
    <x v="29"/>
    <s v="Need-based"/>
    <m/>
    <m/>
    <x v="12"/>
    <m/>
    <m/>
    <m/>
    <m/>
    <m/>
    <m/>
    <m/>
    <m/>
    <n v="0"/>
    <m/>
    <m/>
    <n v="0"/>
    <n v="0"/>
    <n v="0"/>
    <m/>
    <m/>
    <m/>
    <m/>
    <n v="0"/>
    <m/>
    <m/>
    <n v="0"/>
    <m/>
    <m/>
    <m/>
    <m/>
    <m/>
    <m/>
    <n v="0"/>
    <n v="0"/>
  </r>
  <r>
    <x v="2"/>
    <x v="30"/>
    <s v="Non need-based"/>
    <m/>
    <m/>
    <x v="12"/>
    <m/>
    <m/>
    <m/>
    <m/>
    <m/>
    <m/>
    <m/>
    <m/>
    <n v="0"/>
    <m/>
    <m/>
    <n v="0"/>
    <n v="0"/>
    <n v="0"/>
    <n v="0"/>
    <m/>
    <m/>
    <m/>
    <n v="0"/>
    <m/>
    <m/>
    <n v="0"/>
    <m/>
    <m/>
    <m/>
    <m/>
    <m/>
    <m/>
    <n v="0"/>
    <n v="0"/>
  </r>
  <r>
    <x v="2"/>
    <x v="31"/>
    <s v="To private sector students"/>
    <m/>
    <m/>
    <x v="12"/>
    <m/>
    <m/>
    <m/>
    <m/>
    <m/>
    <m/>
    <m/>
    <m/>
    <n v="0"/>
    <m/>
    <m/>
    <n v="0"/>
    <n v="0"/>
    <n v="0"/>
    <m/>
    <m/>
    <m/>
    <m/>
    <n v="0"/>
    <m/>
    <m/>
    <n v="0"/>
    <m/>
    <m/>
    <m/>
    <m/>
    <m/>
    <m/>
    <n v="0"/>
    <n v="0"/>
  </r>
  <r>
    <x v="2"/>
    <x v="32"/>
    <s v="Need-based"/>
    <m/>
    <m/>
    <x v="12"/>
    <m/>
    <m/>
    <m/>
    <m/>
    <m/>
    <m/>
    <m/>
    <m/>
    <n v="0"/>
    <m/>
    <m/>
    <n v="0"/>
    <n v="0"/>
    <n v="0"/>
    <m/>
    <m/>
    <m/>
    <m/>
    <n v="0"/>
    <m/>
    <m/>
    <n v="0"/>
    <m/>
    <m/>
    <m/>
    <m/>
    <m/>
    <m/>
    <n v="0"/>
    <n v="0"/>
  </r>
  <r>
    <x v="2"/>
    <x v="33"/>
    <s v="Non need-based"/>
    <m/>
    <m/>
    <x v="12"/>
    <m/>
    <m/>
    <m/>
    <m/>
    <m/>
    <m/>
    <m/>
    <m/>
    <n v="0"/>
    <m/>
    <m/>
    <n v="0"/>
    <n v="0"/>
    <n v="0"/>
    <n v="0"/>
    <m/>
    <m/>
    <m/>
    <n v="0"/>
    <m/>
    <m/>
    <n v="0"/>
    <m/>
    <m/>
    <m/>
    <m/>
    <m/>
    <m/>
    <n v="0"/>
    <n v="0"/>
  </r>
  <r>
    <x v="2"/>
    <x v="25"/>
    <s v="Charles L. Hebner Memorial Scholarship"/>
    <m/>
    <m/>
    <x v="12"/>
    <m/>
    <m/>
    <m/>
    <m/>
    <m/>
    <m/>
    <m/>
    <m/>
    <n v="0"/>
    <m/>
    <m/>
    <n v="0"/>
    <n v="0"/>
    <n v="0"/>
    <m/>
    <m/>
    <m/>
    <m/>
    <n v="0"/>
    <m/>
    <m/>
    <n v="0"/>
    <m/>
    <m/>
    <m/>
    <m/>
    <m/>
    <m/>
    <n v="0"/>
    <n v="0"/>
  </r>
  <r>
    <x v="2"/>
    <x v="28"/>
    <s v="To public sector students"/>
    <m/>
    <m/>
    <x v="12"/>
    <m/>
    <m/>
    <m/>
    <m/>
    <m/>
    <m/>
    <m/>
    <m/>
    <n v="0"/>
    <m/>
    <m/>
    <n v="0"/>
    <n v="0"/>
    <n v="0"/>
    <m/>
    <m/>
    <m/>
    <m/>
    <n v="0"/>
    <m/>
    <m/>
    <n v="0"/>
    <m/>
    <m/>
    <m/>
    <m/>
    <m/>
    <m/>
    <n v="0"/>
    <n v="0"/>
  </r>
  <r>
    <x v="2"/>
    <x v="29"/>
    <s v="Need-based"/>
    <m/>
    <m/>
    <x v="12"/>
    <m/>
    <m/>
    <m/>
    <m/>
    <m/>
    <m/>
    <m/>
    <m/>
    <n v="0"/>
    <m/>
    <m/>
    <n v="0"/>
    <n v="0"/>
    <n v="0"/>
    <m/>
    <m/>
    <m/>
    <m/>
    <n v="0"/>
    <m/>
    <m/>
    <n v="0"/>
    <m/>
    <m/>
    <m/>
    <m/>
    <m/>
    <m/>
    <n v="0"/>
    <n v="0"/>
  </r>
  <r>
    <x v="2"/>
    <x v="30"/>
    <s v="Non need-based"/>
    <m/>
    <m/>
    <x v="12"/>
    <m/>
    <m/>
    <m/>
    <m/>
    <m/>
    <m/>
    <m/>
    <m/>
    <n v="0"/>
    <m/>
    <m/>
    <n v="0"/>
    <n v="0"/>
    <n v="0"/>
    <n v="138326"/>
    <n v="131247"/>
    <m/>
    <m/>
    <n v="0"/>
    <m/>
    <m/>
    <n v="0"/>
    <m/>
    <m/>
    <m/>
    <m/>
    <m/>
    <m/>
    <n v="138326"/>
    <n v="131247"/>
  </r>
  <r>
    <x v="2"/>
    <x v="31"/>
    <s v="To private sector students"/>
    <m/>
    <m/>
    <x v="12"/>
    <m/>
    <m/>
    <m/>
    <m/>
    <m/>
    <m/>
    <m/>
    <m/>
    <n v="0"/>
    <m/>
    <m/>
    <n v="0"/>
    <n v="0"/>
    <n v="0"/>
    <m/>
    <m/>
    <m/>
    <m/>
    <n v="0"/>
    <m/>
    <m/>
    <n v="0"/>
    <m/>
    <m/>
    <m/>
    <m/>
    <m/>
    <m/>
    <n v="0"/>
    <n v="0"/>
  </r>
  <r>
    <x v="2"/>
    <x v="32"/>
    <s v="Need-based"/>
    <m/>
    <m/>
    <x v="12"/>
    <m/>
    <m/>
    <m/>
    <m/>
    <m/>
    <m/>
    <m/>
    <m/>
    <n v="0"/>
    <m/>
    <m/>
    <n v="0"/>
    <n v="0"/>
    <n v="0"/>
    <m/>
    <m/>
    <m/>
    <m/>
    <n v="0"/>
    <m/>
    <m/>
    <n v="0"/>
    <m/>
    <m/>
    <m/>
    <m/>
    <m/>
    <m/>
    <n v="0"/>
    <n v="0"/>
  </r>
  <r>
    <x v="2"/>
    <x v="33"/>
    <s v="Non need-based"/>
    <m/>
    <m/>
    <x v="12"/>
    <m/>
    <m/>
    <m/>
    <m/>
    <m/>
    <m/>
    <m/>
    <m/>
    <n v="0"/>
    <m/>
    <m/>
    <n v="0"/>
    <n v="0"/>
    <n v="0"/>
    <m/>
    <m/>
    <m/>
    <m/>
    <n v="0"/>
    <m/>
    <m/>
    <n v="0"/>
    <m/>
    <m/>
    <m/>
    <m/>
    <m/>
    <m/>
    <n v="0"/>
    <n v="0"/>
  </r>
  <r>
    <x v="2"/>
    <x v="25"/>
    <s v="Gov's Ed Grants for Working  Adults"/>
    <m/>
    <m/>
    <x v="12"/>
    <m/>
    <m/>
    <m/>
    <m/>
    <m/>
    <m/>
    <m/>
    <m/>
    <n v="0"/>
    <m/>
    <m/>
    <n v="0"/>
    <n v="0"/>
    <n v="0"/>
    <m/>
    <m/>
    <m/>
    <m/>
    <n v="0"/>
    <m/>
    <m/>
    <n v="0"/>
    <m/>
    <m/>
    <m/>
    <m/>
    <m/>
    <m/>
    <n v="0"/>
    <n v="0"/>
  </r>
  <r>
    <x v="2"/>
    <x v="28"/>
    <s v="To public sector students"/>
    <m/>
    <m/>
    <x v="12"/>
    <m/>
    <m/>
    <m/>
    <m/>
    <m/>
    <m/>
    <m/>
    <m/>
    <n v="0"/>
    <m/>
    <m/>
    <n v="0"/>
    <n v="0"/>
    <n v="0"/>
    <m/>
    <m/>
    <m/>
    <m/>
    <n v="0"/>
    <m/>
    <m/>
    <n v="0"/>
    <m/>
    <m/>
    <m/>
    <m/>
    <m/>
    <m/>
    <n v="0"/>
    <n v="0"/>
  </r>
  <r>
    <x v="2"/>
    <x v="29"/>
    <s v="Need-based"/>
    <m/>
    <m/>
    <x v="12"/>
    <m/>
    <m/>
    <m/>
    <m/>
    <m/>
    <m/>
    <m/>
    <m/>
    <n v="0"/>
    <m/>
    <m/>
    <n v="0"/>
    <n v="0"/>
    <n v="0"/>
    <n v="55306"/>
    <n v="83105"/>
    <m/>
    <m/>
    <n v="0"/>
    <m/>
    <m/>
    <n v="0"/>
    <m/>
    <m/>
    <m/>
    <m/>
    <m/>
    <m/>
    <n v="55306"/>
    <n v="83105"/>
  </r>
  <r>
    <x v="2"/>
    <x v="30"/>
    <s v="Non need-based"/>
    <m/>
    <m/>
    <x v="12"/>
    <m/>
    <m/>
    <m/>
    <m/>
    <m/>
    <m/>
    <m/>
    <m/>
    <n v="0"/>
    <m/>
    <m/>
    <n v="0"/>
    <n v="0"/>
    <n v="0"/>
    <m/>
    <m/>
    <m/>
    <m/>
    <n v="0"/>
    <m/>
    <m/>
    <n v="0"/>
    <m/>
    <m/>
    <m/>
    <m/>
    <m/>
    <m/>
    <n v="0"/>
    <n v="0"/>
  </r>
  <r>
    <x v="2"/>
    <x v="31"/>
    <s v="To private sector students"/>
    <m/>
    <m/>
    <x v="12"/>
    <m/>
    <m/>
    <m/>
    <m/>
    <m/>
    <m/>
    <m/>
    <m/>
    <n v="0"/>
    <m/>
    <m/>
    <n v="0"/>
    <n v="0"/>
    <n v="0"/>
    <m/>
    <m/>
    <m/>
    <m/>
    <n v="0"/>
    <m/>
    <m/>
    <n v="0"/>
    <m/>
    <m/>
    <m/>
    <m/>
    <m/>
    <m/>
    <n v="0"/>
    <n v="0"/>
  </r>
  <r>
    <x v="2"/>
    <x v="32"/>
    <s v="Need-based"/>
    <m/>
    <m/>
    <x v="12"/>
    <m/>
    <m/>
    <m/>
    <m/>
    <m/>
    <m/>
    <m/>
    <m/>
    <n v="0"/>
    <m/>
    <m/>
    <n v="0"/>
    <n v="0"/>
    <n v="0"/>
    <n v="1784"/>
    <n v="1241"/>
    <m/>
    <m/>
    <n v="0"/>
    <m/>
    <m/>
    <n v="0"/>
    <m/>
    <m/>
    <m/>
    <m/>
    <m/>
    <m/>
    <n v="1784"/>
    <n v="1241"/>
  </r>
  <r>
    <x v="2"/>
    <x v="33"/>
    <s v="Non need-based"/>
    <m/>
    <m/>
    <x v="12"/>
    <m/>
    <m/>
    <m/>
    <m/>
    <m/>
    <m/>
    <m/>
    <m/>
    <n v="0"/>
    <m/>
    <m/>
    <n v="0"/>
    <n v="0"/>
    <n v="0"/>
    <m/>
    <m/>
    <m/>
    <m/>
    <n v="0"/>
    <m/>
    <m/>
    <n v="0"/>
    <m/>
    <m/>
    <m/>
    <m/>
    <m/>
    <m/>
    <n v="0"/>
    <n v="0"/>
  </r>
  <r>
    <x v="2"/>
    <x v="25"/>
    <s v="Governor's Education Grants for Unemployed Adults"/>
    <m/>
    <m/>
    <x v="12"/>
    <m/>
    <m/>
    <m/>
    <m/>
    <m/>
    <m/>
    <m/>
    <m/>
    <n v="0"/>
    <m/>
    <m/>
    <n v="0"/>
    <n v="0"/>
    <n v="0"/>
    <m/>
    <m/>
    <m/>
    <m/>
    <n v="0"/>
    <m/>
    <m/>
    <n v="0"/>
    <m/>
    <m/>
    <m/>
    <m/>
    <m/>
    <m/>
    <n v="0"/>
    <n v="0"/>
  </r>
  <r>
    <x v="2"/>
    <x v="28"/>
    <s v="To public sector students"/>
    <m/>
    <m/>
    <x v="12"/>
    <m/>
    <m/>
    <m/>
    <m/>
    <m/>
    <m/>
    <m/>
    <m/>
    <n v="0"/>
    <m/>
    <m/>
    <n v="0"/>
    <n v="0"/>
    <n v="0"/>
    <m/>
    <m/>
    <m/>
    <m/>
    <n v="0"/>
    <m/>
    <m/>
    <n v="0"/>
    <m/>
    <m/>
    <m/>
    <m/>
    <m/>
    <m/>
    <n v="0"/>
    <n v="0"/>
  </r>
  <r>
    <x v="2"/>
    <x v="29"/>
    <s v="Need-based"/>
    <m/>
    <m/>
    <x v="12"/>
    <m/>
    <m/>
    <m/>
    <m/>
    <m/>
    <m/>
    <m/>
    <m/>
    <n v="0"/>
    <m/>
    <m/>
    <n v="0"/>
    <n v="0"/>
    <n v="0"/>
    <n v="88551"/>
    <n v="82937"/>
    <m/>
    <m/>
    <n v="0"/>
    <m/>
    <m/>
    <n v="0"/>
    <m/>
    <m/>
    <m/>
    <m/>
    <m/>
    <m/>
    <n v="88551"/>
    <n v="82937"/>
  </r>
  <r>
    <x v="2"/>
    <x v="30"/>
    <s v="Non need-based"/>
    <m/>
    <m/>
    <x v="12"/>
    <m/>
    <m/>
    <m/>
    <m/>
    <m/>
    <m/>
    <m/>
    <m/>
    <n v="0"/>
    <m/>
    <m/>
    <n v="0"/>
    <n v="0"/>
    <n v="0"/>
    <m/>
    <m/>
    <m/>
    <m/>
    <n v="0"/>
    <m/>
    <m/>
    <n v="0"/>
    <m/>
    <m/>
    <m/>
    <m/>
    <m/>
    <m/>
    <n v="0"/>
    <n v="0"/>
  </r>
  <r>
    <x v="2"/>
    <x v="31"/>
    <s v="To private sector students"/>
    <m/>
    <m/>
    <x v="12"/>
    <m/>
    <m/>
    <m/>
    <m/>
    <m/>
    <m/>
    <m/>
    <m/>
    <n v="0"/>
    <m/>
    <m/>
    <n v="0"/>
    <n v="0"/>
    <n v="0"/>
    <m/>
    <m/>
    <m/>
    <m/>
    <n v="0"/>
    <m/>
    <m/>
    <n v="0"/>
    <m/>
    <m/>
    <m/>
    <m/>
    <m/>
    <m/>
    <n v="0"/>
    <n v="0"/>
  </r>
  <r>
    <x v="2"/>
    <x v="32"/>
    <s v="Need-based"/>
    <m/>
    <m/>
    <x v="12"/>
    <m/>
    <m/>
    <m/>
    <m/>
    <m/>
    <m/>
    <m/>
    <m/>
    <n v="0"/>
    <m/>
    <m/>
    <n v="0"/>
    <n v="0"/>
    <n v="0"/>
    <n v="1501"/>
    <n v="0"/>
    <m/>
    <m/>
    <n v="0"/>
    <m/>
    <m/>
    <n v="0"/>
    <m/>
    <m/>
    <m/>
    <m/>
    <m/>
    <m/>
    <n v="1501"/>
    <n v="0"/>
  </r>
  <r>
    <x v="2"/>
    <x v="33"/>
    <s v="Non need-based"/>
    <m/>
    <m/>
    <x v="12"/>
    <m/>
    <m/>
    <m/>
    <m/>
    <m/>
    <m/>
    <m/>
    <m/>
    <n v="0"/>
    <m/>
    <m/>
    <n v="0"/>
    <n v="0"/>
    <n v="0"/>
    <m/>
    <m/>
    <m/>
    <m/>
    <n v="0"/>
    <m/>
    <m/>
    <n v="0"/>
    <m/>
    <m/>
    <m/>
    <m/>
    <m/>
    <m/>
    <n v="0"/>
    <n v="0"/>
  </r>
  <r>
    <x v="2"/>
    <x v="25"/>
    <s v="Del. Institute for Med. Ed. &amp; Research"/>
    <m/>
    <m/>
    <x v="12"/>
    <m/>
    <m/>
    <m/>
    <m/>
    <m/>
    <m/>
    <m/>
    <m/>
    <n v="0"/>
    <m/>
    <m/>
    <n v="0"/>
    <n v="0"/>
    <n v="0"/>
    <m/>
    <m/>
    <m/>
    <m/>
    <n v="0"/>
    <m/>
    <m/>
    <n v="0"/>
    <m/>
    <m/>
    <m/>
    <m/>
    <m/>
    <m/>
    <n v="0"/>
    <n v="0"/>
  </r>
  <r>
    <x v="2"/>
    <x v="28"/>
    <s v="To public sector students"/>
    <m/>
    <m/>
    <x v="12"/>
    <m/>
    <m/>
    <m/>
    <m/>
    <m/>
    <m/>
    <m/>
    <m/>
    <n v="0"/>
    <m/>
    <m/>
    <n v="0"/>
    <n v="0"/>
    <n v="0"/>
    <m/>
    <m/>
    <m/>
    <m/>
    <n v="0"/>
    <m/>
    <m/>
    <n v="0"/>
    <m/>
    <m/>
    <m/>
    <m/>
    <m/>
    <m/>
    <n v="0"/>
    <n v="0"/>
  </r>
  <r>
    <x v="2"/>
    <x v="29"/>
    <s v="Need-based"/>
    <m/>
    <m/>
    <x v="12"/>
    <m/>
    <m/>
    <m/>
    <m/>
    <m/>
    <m/>
    <m/>
    <m/>
    <n v="0"/>
    <m/>
    <m/>
    <n v="0"/>
    <n v="0"/>
    <n v="0"/>
    <m/>
    <m/>
    <m/>
    <m/>
    <n v="0"/>
    <m/>
    <m/>
    <n v="0"/>
    <m/>
    <m/>
    <m/>
    <m/>
    <m/>
    <m/>
    <n v="0"/>
    <n v="0"/>
  </r>
  <r>
    <x v="2"/>
    <x v="30"/>
    <s v="Non need-based"/>
    <m/>
    <m/>
    <x v="12"/>
    <m/>
    <m/>
    <m/>
    <m/>
    <m/>
    <m/>
    <m/>
    <m/>
    <n v="0"/>
    <m/>
    <m/>
    <n v="0"/>
    <n v="0"/>
    <n v="0"/>
    <m/>
    <m/>
    <m/>
    <m/>
    <n v="0"/>
    <m/>
    <m/>
    <n v="0"/>
    <m/>
    <m/>
    <m/>
    <m/>
    <m/>
    <m/>
    <n v="0"/>
    <n v="0"/>
  </r>
  <r>
    <x v="2"/>
    <x v="31"/>
    <s v="To private sector students"/>
    <m/>
    <m/>
    <x v="12"/>
    <m/>
    <m/>
    <m/>
    <m/>
    <m/>
    <m/>
    <m/>
    <m/>
    <n v="0"/>
    <m/>
    <m/>
    <n v="0"/>
    <n v="0"/>
    <n v="0"/>
    <m/>
    <m/>
    <m/>
    <m/>
    <n v="0"/>
    <m/>
    <m/>
    <n v="0"/>
    <m/>
    <m/>
    <m/>
    <m/>
    <m/>
    <m/>
    <n v="0"/>
    <n v="0"/>
  </r>
  <r>
    <x v="2"/>
    <x v="32"/>
    <s v="Need-based"/>
    <m/>
    <m/>
    <x v="12"/>
    <m/>
    <m/>
    <m/>
    <m/>
    <m/>
    <m/>
    <m/>
    <m/>
    <n v="0"/>
    <m/>
    <m/>
    <n v="0"/>
    <n v="0"/>
    <n v="0"/>
    <n v="366000"/>
    <n v="366000"/>
    <m/>
    <m/>
    <n v="0"/>
    <m/>
    <m/>
    <n v="0"/>
    <m/>
    <m/>
    <m/>
    <m/>
    <m/>
    <m/>
    <n v="366000"/>
    <n v="366000"/>
  </r>
  <r>
    <x v="2"/>
    <x v="33"/>
    <s v="Non need-based"/>
    <m/>
    <m/>
    <x v="12"/>
    <m/>
    <m/>
    <m/>
    <m/>
    <m/>
    <m/>
    <m/>
    <m/>
    <n v="0"/>
    <m/>
    <m/>
    <n v="0"/>
    <n v="0"/>
    <n v="0"/>
    <n v="114000"/>
    <n v="114000"/>
    <m/>
    <m/>
    <n v="0"/>
    <m/>
    <m/>
    <n v="0"/>
    <m/>
    <m/>
    <m/>
    <m/>
    <m/>
    <m/>
    <n v="114000"/>
    <n v="114000"/>
  </r>
  <r>
    <x v="2"/>
    <x v="25"/>
    <s v="Ivy D.F. Davis Memorial Scholarship"/>
    <m/>
    <m/>
    <x v="12"/>
    <m/>
    <m/>
    <m/>
    <m/>
    <m/>
    <m/>
    <m/>
    <m/>
    <n v="0"/>
    <m/>
    <m/>
    <n v="0"/>
    <n v="0"/>
    <n v="0"/>
    <m/>
    <m/>
    <m/>
    <m/>
    <n v="0"/>
    <m/>
    <m/>
    <n v="0"/>
    <m/>
    <m/>
    <m/>
    <m/>
    <m/>
    <m/>
    <n v="0"/>
    <n v="0"/>
  </r>
  <r>
    <x v="2"/>
    <x v="28"/>
    <s v="To public sector students"/>
    <m/>
    <m/>
    <x v="12"/>
    <m/>
    <m/>
    <m/>
    <m/>
    <m/>
    <m/>
    <m/>
    <m/>
    <n v="0"/>
    <m/>
    <m/>
    <n v="0"/>
    <n v="0"/>
    <n v="0"/>
    <m/>
    <m/>
    <m/>
    <m/>
    <n v="0"/>
    <m/>
    <m/>
    <n v="0"/>
    <m/>
    <m/>
    <m/>
    <m/>
    <m/>
    <m/>
    <n v="0"/>
    <n v="0"/>
  </r>
  <r>
    <x v="2"/>
    <x v="29"/>
    <s v="Need-based"/>
    <m/>
    <m/>
    <x v="12"/>
    <m/>
    <m/>
    <m/>
    <m/>
    <m/>
    <m/>
    <m/>
    <m/>
    <n v="0"/>
    <m/>
    <m/>
    <n v="0"/>
    <n v="0"/>
    <n v="0"/>
    <n v="80000"/>
    <n v="80000"/>
    <m/>
    <m/>
    <n v="0"/>
    <m/>
    <m/>
    <n v="0"/>
    <m/>
    <m/>
    <m/>
    <m/>
    <m/>
    <m/>
    <n v="80000"/>
    <n v="80000"/>
  </r>
  <r>
    <x v="2"/>
    <x v="30"/>
    <s v="Non need-based"/>
    <m/>
    <m/>
    <x v="12"/>
    <m/>
    <m/>
    <m/>
    <m/>
    <m/>
    <m/>
    <m/>
    <m/>
    <n v="0"/>
    <m/>
    <m/>
    <n v="0"/>
    <n v="0"/>
    <n v="0"/>
    <m/>
    <m/>
    <m/>
    <m/>
    <n v="0"/>
    <m/>
    <m/>
    <n v="0"/>
    <m/>
    <m/>
    <m/>
    <m/>
    <m/>
    <m/>
    <n v="0"/>
    <n v="0"/>
  </r>
  <r>
    <x v="2"/>
    <x v="31"/>
    <s v="To private sector students"/>
    <m/>
    <m/>
    <x v="12"/>
    <m/>
    <m/>
    <m/>
    <m/>
    <m/>
    <m/>
    <m/>
    <m/>
    <n v="0"/>
    <m/>
    <m/>
    <n v="0"/>
    <n v="0"/>
    <n v="0"/>
    <m/>
    <m/>
    <m/>
    <m/>
    <n v="0"/>
    <m/>
    <m/>
    <n v="0"/>
    <m/>
    <m/>
    <m/>
    <m/>
    <m/>
    <m/>
    <n v="0"/>
    <n v="0"/>
  </r>
  <r>
    <x v="2"/>
    <x v="32"/>
    <s v="Need-based"/>
    <m/>
    <m/>
    <x v="12"/>
    <m/>
    <m/>
    <m/>
    <m/>
    <m/>
    <m/>
    <m/>
    <m/>
    <n v="0"/>
    <m/>
    <m/>
    <n v="0"/>
    <n v="0"/>
    <n v="0"/>
    <n v="20000"/>
    <n v="20000"/>
    <m/>
    <m/>
    <n v="0"/>
    <m/>
    <m/>
    <n v="0"/>
    <m/>
    <m/>
    <m/>
    <m/>
    <m/>
    <m/>
    <n v="20000"/>
    <n v="20000"/>
  </r>
  <r>
    <x v="2"/>
    <x v="33"/>
    <s v="Non need-based"/>
    <m/>
    <m/>
    <x v="12"/>
    <m/>
    <m/>
    <m/>
    <m/>
    <m/>
    <m/>
    <m/>
    <m/>
    <n v="0"/>
    <m/>
    <m/>
    <n v="0"/>
    <n v="0"/>
    <n v="0"/>
    <m/>
    <m/>
    <m/>
    <m/>
    <n v="0"/>
    <m/>
    <m/>
    <n v="0"/>
    <m/>
    <m/>
    <m/>
    <m/>
    <m/>
    <m/>
    <n v="0"/>
    <n v="0"/>
  </r>
  <r>
    <x v="2"/>
    <x v="25"/>
    <s v="Michael C. Ferguson Achievement Scholarship"/>
    <m/>
    <m/>
    <x v="12"/>
    <m/>
    <m/>
    <m/>
    <m/>
    <m/>
    <m/>
    <m/>
    <m/>
    <n v="0"/>
    <m/>
    <m/>
    <n v="0"/>
    <n v="0"/>
    <n v="0"/>
    <m/>
    <m/>
    <m/>
    <m/>
    <n v="0"/>
    <m/>
    <m/>
    <n v="0"/>
    <m/>
    <m/>
    <m/>
    <m/>
    <m/>
    <m/>
    <n v="0"/>
    <n v="0"/>
  </r>
  <r>
    <x v="2"/>
    <x v="28"/>
    <s v="To public sector students"/>
    <m/>
    <m/>
    <x v="12"/>
    <m/>
    <m/>
    <m/>
    <m/>
    <m/>
    <m/>
    <m/>
    <m/>
    <n v="0"/>
    <m/>
    <m/>
    <n v="0"/>
    <n v="0"/>
    <n v="0"/>
    <m/>
    <m/>
    <m/>
    <m/>
    <n v="0"/>
    <m/>
    <m/>
    <n v="0"/>
    <m/>
    <m/>
    <m/>
    <m/>
    <m/>
    <m/>
    <n v="0"/>
    <n v="0"/>
  </r>
  <r>
    <x v="2"/>
    <x v="29"/>
    <s v="Need-based"/>
    <m/>
    <m/>
    <x v="12"/>
    <m/>
    <m/>
    <m/>
    <m/>
    <m/>
    <m/>
    <m/>
    <m/>
    <n v="0"/>
    <m/>
    <m/>
    <n v="0"/>
    <n v="0"/>
    <n v="0"/>
    <m/>
    <m/>
    <m/>
    <m/>
    <n v="0"/>
    <m/>
    <m/>
    <n v="0"/>
    <m/>
    <m/>
    <m/>
    <m/>
    <m/>
    <m/>
    <n v="0"/>
    <n v="0"/>
  </r>
  <r>
    <x v="2"/>
    <x v="30"/>
    <s v="Non need-based"/>
    <m/>
    <m/>
    <x v="12"/>
    <m/>
    <m/>
    <m/>
    <m/>
    <m/>
    <m/>
    <m/>
    <m/>
    <n v="0"/>
    <m/>
    <m/>
    <n v="0"/>
    <n v="0"/>
    <n v="0"/>
    <n v="224500"/>
    <n v="176650"/>
    <m/>
    <m/>
    <n v="0"/>
    <m/>
    <m/>
    <n v="0"/>
    <m/>
    <m/>
    <m/>
    <m/>
    <m/>
    <m/>
    <n v="224500"/>
    <n v="176650"/>
  </r>
  <r>
    <x v="2"/>
    <x v="31"/>
    <s v="To private sector students"/>
    <m/>
    <m/>
    <x v="12"/>
    <m/>
    <m/>
    <m/>
    <m/>
    <m/>
    <m/>
    <m/>
    <m/>
    <n v="0"/>
    <m/>
    <m/>
    <n v="0"/>
    <n v="0"/>
    <n v="0"/>
    <m/>
    <m/>
    <m/>
    <m/>
    <n v="0"/>
    <m/>
    <m/>
    <n v="0"/>
    <m/>
    <m/>
    <m/>
    <m/>
    <m/>
    <m/>
    <n v="0"/>
    <n v="0"/>
  </r>
  <r>
    <x v="2"/>
    <x v="32"/>
    <s v="Need-based"/>
    <m/>
    <m/>
    <x v="12"/>
    <m/>
    <m/>
    <m/>
    <m/>
    <m/>
    <m/>
    <m/>
    <m/>
    <n v="0"/>
    <m/>
    <m/>
    <n v="0"/>
    <n v="0"/>
    <n v="0"/>
    <m/>
    <m/>
    <m/>
    <m/>
    <n v="0"/>
    <m/>
    <m/>
    <n v="0"/>
    <m/>
    <m/>
    <m/>
    <m/>
    <m/>
    <m/>
    <n v="0"/>
    <n v="0"/>
  </r>
  <r>
    <x v="2"/>
    <x v="33"/>
    <s v="Non need-based"/>
    <m/>
    <m/>
    <x v="12"/>
    <m/>
    <m/>
    <m/>
    <m/>
    <m/>
    <m/>
    <m/>
    <m/>
    <n v="0"/>
    <m/>
    <m/>
    <n v="0"/>
    <n v="0"/>
    <n v="0"/>
    <n v="136500"/>
    <n v="158500"/>
    <m/>
    <m/>
    <n v="0"/>
    <m/>
    <m/>
    <n v="0"/>
    <m/>
    <m/>
    <m/>
    <m/>
    <m/>
    <m/>
    <n v="136500"/>
    <n v="158500"/>
  </r>
  <r>
    <x v="2"/>
    <x v="25"/>
    <s v="Delaware Optometric Institutional Aid"/>
    <m/>
    <m/>
    <x v="12"/>
    <m/>
    <m/>
    <m/>
    <m/>
    <m/>
    <m/>
    <m/>
    <m/>
    <n v="0"/>
    <m/>
    <m/>
    <n v="0"/>
    <n v="0"/>
    <n v="0"/>
    <m/>
    <m/>
    <m/>
    <m/>
    <n v="0"/>
    <m/>
    <m/>
    <n v="0"/>
    <m/>
    <m/>
    <m/>
    <m/>
    <m/>
    <m/>
    <n v="0"/>
    <n v="0"/>
  </r>
  <r>
    <x v="2"/>
    <x v="28"/>
    <s v="To public sector students"/>
    <m/>
    <m/>
    <x v="12"/>
    <m/>
    <m/>
    <m/>
    <m/>
    <m/>
    <m/>
    <m/>
    <m/>
    <n v="0"/>
    <m/>
    <m/>
    <n v="0"/>
    <n v="0"/>
    <n v="0"/>
    <m/>
    <m/>
    <m/>
    <m/>
    <n v="0"/>
    <m/>
    <m/>
    <n v="0"/>
    <m/>
    <m/>
    <m/>
    <m/>
    <m/>
    <m/>
    <n v="0"/>
    <n v="0"/>
  </r>
  <r>
    <x v="2"/>
    <x v="29"/>
    <s v="Need-based"/>
    <m/>
    <m/>
    <x v="12"/>
    <m/>
    <m/>
    <m/>
    <m/>
    <m/>
    <m/>
    <m/>
    <m/>
    <n v="0"/>
    <m/>
    <m/>
    <n v="0"/>
    <n v="0"/>
    <n v="0"/>
    <m/>
    <m/>
    <m/>
    <m/>
    <n v="0"/>
    <m/>
    <m/>
    <n v="0"/>
    <m/>
    <m/>
    <m/>
    <m/>
    <m/>
    <m/>
    <n v="0"/>
    <n v="0"/>
  </r>
  <r>
    <x v="2"/>
    <x v="30"/>
    <s v="Non need-based"/>
    <m/>
    <m/>
    <x v="12"/>
    <m/>
    <m/>
    <m/>
    <m/>
    <m/>
    <m/>
    <m/>
    <m/>
    <n v="0"/>
    <m/>
    <m/>
    <n v="0"/>
    <n v="0"/>
    <n v="0"/>
    <m/>
    <m/>
    <m/>
    <m/>
    <n v="0"/>
    <m/>
    <m/>
    <n v="0"/>
    <m/>
    <m/>
    <m/>
    <m/>
    <m/>
    <m/>
    <n v="0"/>
    <n v="0"/>
  </r>
  <r>
    <x v="2"/>
    <x v="31"/>
    <s v="To private sector students"/>
    <m/>
    <m/>
    <x v="12"/>
    <m/>
    <m/>
    <m/>
    <m/>
    <m/>
    <m/>
    <m/>
    <m/>
    <n v="0"/>
    <m/>
    <m/>
    <n v="0"/>
    <n v="0"/>
    <n v="0"/>
    <m/>
    <m/>
    <m/>
    <m/>
    <n v="0"/>
    <m/>
    <m/>
    <n v="0"/>
    <m/>
    <m/>
    <m/>
    <m/>
    <m/>
    <m/>
    <n v="0"/>
    <n v="0"/>
  </r>
  <r>
    <x v="2"/>
    <x v="32"/>
    <s v="Need-based"/>
    <m/>
    <m/>
    <x v="12"/>
    <m/>
    <m/>
    <m/>
    <m/>
    <m/>
    <m/>
    <m/>
    <m/>
    <n v="0"/>
    <m/>
    <m/>
    <n v="0"/>
    <n v="0"/>
    <n v="0"/>
    <m/>
    <m/>
    <m/>
    <m/>
    <n v="0"/>
    <m/>
    <m/>
    <n v="0"/>
    <m/>
    <m/>
    <m/>
    <m/>
    <m/>
    <m/>
    <n v="0"/>
    <n v="0"/>
  </r>
  <r>
    <x v="2"/>
    <x v="33"/>
    <s v="Non need-based"/>
    <m/>
    <m/>
    <x v="12"/>
    <m/>
    <m/>
    <m/>
    <m/>
    <m/>
    <m/>
    <m/>
    <m/>
    <n v="0"/>
    <m/>
    <m/>
    <n v="0"/>
    <n v="0"/>
    <n v="0"/>
    <n v="20000"/>
    <n v="16000"/>
    <m/>
    <m/>
    <n v="0"/>
    <m/>
    <m/>
    <n v="0"/>
    <m/>
    <m/>
    <m/>
    <m/>
    <m/>
    <m/>
    <n v="20000"/>
    <n v="16000"/>
  </r>
  <r>
    <x v="2"/>
    <x v="25"/>
    <s v="Critical Need Scholarship"/>
    <m/>
    <m/>
    <x v="12"/>
    <m/>
    <m/>
    <m/>
    <m/>
    <m/>
    <m/>
    <m/>
    <m/>
    <n v="0"/>
    <m/>
    <m/>
    <n v="0"/>
    <n v="0"/>
    <n v="0"/>
    <m/>
    <m/>
    <m/>
    <m/>
    <n v="0"/>
    <m/>
    <m/>
    <n v="0"/>
    <m/>
    <m/>
    <m/>
    <m/>
    <m/>
    <m/>
    <n v="0"/>
    <n v="0"/>
  </r>
  <r>
    <x v="2"/>
    <x v="28"/>
    <s v="To public sector students"/>
    <m/>
    <m/>
    <x v="12"/>
    <m/>
    <m/>
    <m/>
    <m/>
    <m/>
    <m/>
    <m/>
    <m/>
    <n v="0"/>
    <m/>
    <m/>
    <n v="0"/>
    <n v="0"/>
    <n v="0"/>
    <m/>
    <m/>
    <m/>
    <m/>
    <n v="0"/>
    <m/>
    <m/>
    <n v="0"/>
    <m/>
    <m/>
    <m/>
    <m/>
    <m/>
    <m/>
    <n v="0"/>
    <n v="0"/>
  </r>
  <r>
    <x v="2"/>
    <x v="29"/>
    <s v="Need-based"/>
    <m/>
    <m/>
    <x v="12"/>
    <m/>
    <m/>
    <m/>
    <m/>
    <m/>
    <m/>
    <m/>
    <m/>
    <n v="0"/>
    <m/>
    <m/>
    <n v="0"/>
    <n v="0"/>
    <n v="0"/>
    <m/>
    <m/>
    <m/>
    <m/>
    <n v="0"/>
    <m/>
    <m/>
    <n v="0"/>
    <m/>
    <m/>
    <m/>
    <m/>
    <m/>
    <m/>
    <n v="0"/>
    <n v="0"/>
  </r>
  <r>
    <x v="2"/>
    <x v="30"/>
    <s v="Non need-based"/>
    <m/>
    <m/>
    <x v="12"/>
    <m/>
    <m/>
    <m/>
    <m/>
    <m/>
    <m/>
    <m/>
    <m/>
    <n v="0"/>
    <m/>
    <m/>
    <n v="0"/>
    <n v="0"/>
    <n v="0"/>
    <n v="139850"/>
    <n v="137028"/>
    <m/>
    <m/>
    <n v="0"/>
    <m/>
    <m/>
    <n v="0"/>
    <m/>
    <m/>
    <m/>
    <m/>
    <m/>
    <m/>
    <n v="139850"/>
    <n v="137028"/>
  </r>
  <r>
    <x v="2"/>
    <x v="31"/>
    <s v="To private sector students"/>
    <m/>
    <m/>
    <x v="12"/>
    <m/>
    <m/>
    <m/>
    <m/>
    <m/>
    <m/>
    <m/>
    <m/>
    <n v="0"/>
    <m/>
    <m/>
    <n v="0"/>
    <n v="0"/>
    <n v="0"/>
    <m/>
    <m/>
    <m/>
    <m/>
    <n v="0"/>
    <m/>
    <m/>
    <n v="0"/>
    <m/>
    <m/>
    <m/>
    <m/>
    <m/>
    <m/>
    <n v="0"/>
    <n v="0"/>
  </r>
  <r>
    <x v="2"/>
    <x v="32"/>
    <s v="Need-based"/>
    <m/>
    <m/>
    <x v="12"/>
    <m/>
    <m/>
    <m/>
    <m/>
    <m/>
    <m/>
    <m/>
    <m/>
    <n v="0"/>
    <m/>
    <m/>
    <n v="0"/>
    <n v="0"/>
    <n v="0"/>
    <m/>
    <m/>
    <m/>
    <m/>
    <n v="0"/>
    <m/>
    <m/>
    <n v="0"/>
    <m/>
    <m/>
    <m/>
    <m/>
    <m/>
    <m/>
    <n v="0"/>
    <n v="0"/>
  </r>
  <r>
    <x v="2"/>
    <x v="33"/>
    <s v="Non need-based"/>
    <m/>
    <m/>
    <x v="12"/>
    <m/>
    <m/>
    <m/>
    <m/>
    <m/>
    <m/>
    <m/>
    <m/>
    <n v="0"/>
    <m/>
    <m/>
    <n v="0"/>
    <n v="0"/>
    <n v="0"/>
    <n v="40689"/>
    <n v="32308"/>
    <m/>
    <m/>
    <n v="0"/>
    <m/>
    <m/>
    <n v="0"/>
    <m/>
    <m/>
    <m/>
    <m/>
    <m/>
    <m/>
    <n v="40689"/>
    <n v="32308"/>
  </r>
  <r>
    <x v="2"/>
    <x v="25"/>
    <s v="DE State Loan Repayment Program/Physicians &amp; Dentists"/>
    <m/>
    <m/>
    <x v="12"/>
    <m/>
    <m/>
    <m/>
    <m/>
    <m/>
    <m/>
    <m/>
    <m/>
    <n v="0"/>
    <m/>
    <m/>
    <n v="0"/>
    <n v="0"/>
    <n v="0"/>
    <n v="252772"/>
    <n v="251919"/>
    <m/>
    <m/>
    <n v="0"/>
    <m/>
    <m/>
    <n v="0"/>
    <m/>
    <m/>
    <m/>
    <m/>
    <m/>
    <m/>
    <n v="252772"/>
    <n v="251919"/>
  </r>
  <r>
    <x v="2"/>
    <x v="26"/>
    <s v="Need-based"/>
    <m/>
    <m/>
    <x v="12"/>
    <m/>
    <m/>
    <m/>
    <m/>
    <m/>
    <m/>
    <m/>
    <m/>
    <n v="0"/>
    <m/>
    <m/>
    <n v="0"/>
    <n v="0"/>
    <n v="0"/>
    <m/>
    <m/>
    <m/>
    <m/>
    <n v="0"/>
    <m/>
    <m/>
    <n v="0"/>
    <m/>
    <m/>
    <m/>
    <m/>
    <m/>
    <m/>
    <n v="0"/>
    <n v="0"/>
  </r>
  <r>
    <x v="2"/>
    <x v="27"/>
    <s v="Non need-based"/>
    <m/>
    <m/>
    <x v="12"/>
    <m/>
    <m/>
    <m/>
    <m/>
    <m/>
    <m/>
    <m/>
    <m/>
    <n v="0"/>
    <m/>
    <m/>
    <n v="0"/>
    <n v="0"/>
    <n v="0"/>
    <m/>
    <m/>
    <m/>
    <m/>
    <n v="0"/>
    <m/>
    <m/>
    <n v="0"/>
    <m/>
    <m/>
    <m/>
    <m/>
    <m/>
    <m/>
    <n v="0"/>
    <n v="0"/>
  </r>
  <r>
    <x v="2"/>
    <x v="28"/>
    <s v="To public sector students"/>
    <m/>
    <m/>
    <x v="12"/>
    <m/>
    <m/>
    <m/>
    <m/>
    <m/>
    <m/>
    <m/>
    <m/>
    <n v="0"/>
    <m/>
    <m/>
    <n v="0"/>
    <n v="0"/>
    <n v="0"/>
    <m/>
    <m/>
    <m/>
    <m/>
    <n v="0"/>
    <m/>
    <m/>
    <n v="0"/>
    <m/>
    <m/>
    <m/>
    <m/>
    <m/>
    <m/>
    <n v="0"/>
    <n v="0"/>
  </r>
  <r>
    <x v="2"/>
    <x v="29"/>
    <s v="Need-based"/>
    <m/>
    <m/>
    <x v="12"/>
    <m/>
    <m/>
    <m/>
    <m/>
    <m/>
    <m/>
    <m/>
    <m/>
    <n v="0"/>
    <m/>
    <m/>
    <n v="0"/>
    <n v="0"/>
    <n v="0"/>
    <m/>
    <m/>
    <m/>
    <m/>
    <n v="0"/>
    <m/>
    <m/>
    <n v="0"/>
    <m/>
    <m/>
    <m/>
    <m/>
    <m/>
    <m/>
    <n v="0"/>
    <n v="0"/>
  </r>
  <r>
    <x v="2"/>
    <x v="30"/>
    <s v="Non need-based"/>
    <m/>
    <m/>
    <x v="12"/>
    <m/>
    <m/>
    <m/>
    <m/>
    <m/>
    <m/>
    <m/>
    <m/>
    <n v="0"/>
    <m/>
    <m/>
    <n v="0"/>
    <n v="0"/>
    <n v="0"/>
    <m/>
    <m/>
    <m/>
    <m/>
    <n v="0"/>
    <m/>
    <m/>
    <n v="0"/>
    <m/>
    <m/>
    <m/>
    <m/>
    <m/>
    <m/>
    <n v="0"/>
    <n v="0"/>
  </r>
  <r>
    <x v="2"/>
    <x v="31"/>
    <s v="To private sector students"/>
    <m/>
    <m/>
    <x v="12"/>
    <m/>
    <m/>
    <m/>
    <m/>
    <m/>
    <m/>
    <m/>
    <m/>
    <n v="0"/>
    <m/>
    <m/>
    <n v="0"/>
    <n v="0"/>
    <n v="0"/>
    <m/>
    <m/>
    <m/>
    <m/>
    <n v="0"/>
    <m/>
    <m/>
    <n v="0"/>
    <m/>
    <m/>
    <m/>
    <m/>
    <m/>
    <m/>
    <n v="0"/>
    <n v="0"/>
  </r>
  <r>
    <x v="2"/>
    <x v="32"/>
    <s v="Need-based"/>
    <m/>
    <m/>
    <x v="12"/>
    <m/>
    <m/>
    <m/>
    <m/>
    <m/>
    <m/>
    <m/>
    <m/>
    <n v="0"/>
    <m/>
    <m/>
    <n v="0"/>
    <n v="0"/>
    <n v="0"/>
    <m/>
    <m/>
    <m/>
    <m/>
    <n v="0"/>
    <m/>
    <m/>
    <n v="0"/>
    <m/>
    <m/>
    <m/>
    <m/>
    <m/>
    <m/>
    <n v="0"/>
    <n v="0"/>
  </r>
  <r>
    <x v="2"/>
    <x v="33"/>
    <s v="Non need-based"/>
    <m/>
    <m/>
    <x v="12"/>
    <m/>
    <m/>
    <m/>
    <m/>
    <m/>
    <m/>
    <m/>
    <m/>
    <n v="0"/>
    <m/>
    <m/>
    <n v="0"/>
    <n v="0"/>
    <n v="0"/>
    <m/>
    <m/>
    <m/>
    <m/>
    <n v="0"/>
    <m/>
    <m/>
    <n v="0"/>
    <m/>
    <m/>
    <m/>
    <m/>
    <m/>
    <m/>
    <n v="0"/>
    <n v="0"/>
  </r>
  <r>
    <x v="2"/>
    <x v="25"/>
    <s v="DE Institute for Dental Education &amp; Research Scholarships"/>
    <m/>
    <m/>
    <x v="12"/>
    <m/>
    <m/>
    <m/>
    <m/>
    <m/>
    <m/>
    <m/>
    <m/>
    <n v="0"/>
    <m/>
    <m/>
    <n v="0"/>
    <n v="0"/>
    <n v="0"/>
    <m/>
    <m/>
    <m/>
    <m/>
    <n v="0"/>
    <m/>
    <m/>
    <n v="0"/>
    <m/>
    <m/>
    <m/>
    <m/>
    <m/>
    <m/>
    <n v="0"/>
    <n v="0"/>
  </r>
  <r>
    <x v="2"/>
    <x v="26"/>
    <s v="Need-based"/>
    <m/>
    <m/>
    <x v="12"/>
    <m/>
    <m/>
    <m/>
    <m/>
    <m/>
    <m/>
    <m/>
    <m/>
    <n v="0"/>
    <m/>
    <m/>
    <n v="0"/>
    <n v="0"/>
    <n v="0"/>
    <n v="7500"/>
    <n v="7500"/>
    <m/>
    <m/>
    <n v="0"/>
    <m/>
    <m/>
    <n v="0"/>
    <m/>
    <m/>
    <m/>
    <m/>
    <m/>
    <m/>
    <n v="7500"/>
    <n v="7500"/>
  </r>
  <r>
    <x v="2"/>
    <x v="27"/>
    <s v="Non need-based"/>
    <m/>
    <m/>
    <x v="12"/>
    <m/>
    <m/>
    <m/>
    <m/>
    <m/>
    <m/>
    <m/>
    <m/>
    <n v="0"/>
    <m/>
    <m/>
    <n v="0"/>
    <n v="0"/>
    <n v="0"/>
    <n v="20000"/>
    <n v="20000"/>
    <m/>
    <m/>
    <n v="0"/>
    <m/>
    <m/>
    <n v="0"/>
    <m/>
    <m/>
    <m/>
    <m/>
    <m/>
    <m/>
    <n v="20000"/>
    <n v="20000"/>
  </r>
  <r>
    <x v="2"/>
    <x v="28"/>
    <s v="To public sector students"/>
    <m/>
    <m/>
    <x v="12"/>
    <m/>
    <m/>
    <m/>
    <m/>
    <m/>
    <m/>
    <m/>
    <m/>
    <n v="0"/>
    <m/>
    <m/>
    <n v="0"/>
    <n v="0"/>
    <n v="0"/>
    <m/>
    <m/>
    <m/>
    <m/>
    <n v="0"/>
    <m/>
    <m/>
    <n v="0"/>
    <m/>
    <m/>
    <m/>
    <m/>
    <m/>
    <m/>
    <n v="0"/>
    <n v="0"/>
  </r>
  <r>
    <x v="2"/>
    <x v="29"/>
    <s v="Need-based"/>
    <m/>
    <m/>
    <x v="12"/>
    <m/>
    <m/>
    <m/>
    <m/>
    <m/>
    <m/>
    <m/>
    <m/>
    <n v="0"/>
    <m/>
    <m/>
    <n v="0"/>
    <n v="0"/>
    <n v="0"/>
    <m/>
    <m/>
    <m/>
    <m/>
    <n v="0"/>
    <m/>
    <m/>
    <n v="0"/>
    <m/>
    <m/>
    <m/>
    <m/>
    <m/>
    <m/>
    <n v="0"/>
    <n v="0"/>
  </r>
  <r>
    <x v="2"/>
    <x v="30"/>
    <s v="Non need-based"/>
    <m/>
    <m/>
    <x v="12"/>
    <m/>
    <m/>
    <m/>
    <m/>
    <m/>
    <m/>
    <m/>
    <m/>
    <n v="0"/>
    <m/>
    <m/>
    <n v="0"/>
    <n v="0"/>
    <n v="0"/>
    <m/>
    <m/>
    <m/>
    <m/>
    <n v="0"/>
    <m/>
    <m/>
    <n v="0"/>
    <m/>
    <m/>
    <m/>
    <m/>
    <m/>
    <m/>
    <n v="0"/>
    <n v="0"/>
  </r>
  <r>
    <x v="2"/>
    <x v="31"/>
    <s v="To private sector students"/>
    <m/>
    <m/>
    <x v="12"/>
    <m/>
    <m/>
    <m/>
    <m/>
    <m/>
    <m/>
    <m/>
    <m/>
    <n v="0"/>
    <m/>
    <m/>
    <n v="0"/>
    <n v="0"/>
    <n v="0"/>
    <m/>
    <m/>
    <m/>
    <m/>
    <n v="0"/>
    <m/>
    <m/>
    <n v="0"/>
    <m/>
    <m/>
    <m/>
    <m/>
    <m/>
    <m/>
    <n v="0"/>
    <n v="0"/>
  </r>
  <r>
    <x v="2"/>
    <x v="32"/>
    <s v="Need-based"/>
    <m/>
    <m/>
    <x v="12"/>
    <m/>
    <m/>
    <m/>
    <m/>
    <m/>
    <m/>
    <m/>
    <m/>
    <n v="0"/>
    <m/>
    <m/>
    <n v="0"/>
    <n v="0"/>
    <n v="0"/>
    <m/>
    <m/>
    <m/>
    <m/>
    <n v="0"/>
    <m/>
    <m/>
    <n v="0"/>
    <m/>
    <m/>
    <m/>
    <m/>
    <m/>
    <m/>
    <n v="0"/>
    <n v="0"/>
  </r>
  <r>
    <x v="2"/>
    <x v="33"/>
    <s v="Non need-based"/>
    <m/>
    <m/>
    <x v="12"/>
    <m/>
    <m/>
    <m/>
    <m/>
    <m/>
    <m/>
    <m/>
    <m/>
    <n v="0"/>
    <m/>
    <m/>
    <n v="0"/>
    <n v="0"/>
    <n v="0"/>
    <m/>
    <m/>
    <m/>
    <m/>
    <n v="0"/>
    <m/>
    <m/>
    <n v="0"/>
    <m/>
    <m/>
    <m/>
    <m/>
    <m/>
    <m/>
    <n v="0"/>
    <n v="0"/>
  </r>
  <r>
    <x v="2"/>
    <x v="25"/>
    <s v="Inspire Scholarship"/>
    <m/>
    <m/>
    <x v="12"/>
    <m/>
    <m/>
    <m/>
    <m/>
    <m/>
    <m/>
    <m/>
    <m/>
    <n v="0"/>
    <m/>
    <m/>
    <n v="0"/>
    <n v="0"/>
    <n v="0"/>
    <m/>
    <m/>
    <m/>
    <m/>
    <n v="0"/>
    <m/>
    <m/>
    <n v="0"/>
    <m/>
    <m/>
    <m/>
    <m/>
    <m/>
    <m/>
    <n v="0"/>
    <n v="0"/>
  </r>
  <r>
    <x v="2"/>
    <x v="26"/>
    <s v="Need-based"/>
    <m/>
    <m/>
    <x v="12"/>
    <m/>
    <m/>
    <m/>
    <m/>
    <m/>
    <m/>
    <m/>
    <m/>
    <n v="0"/>
    <m/>
    <m/>
    <n v="0"/>
    <n v="0"/>
    <n v="0"/>
    <m/>
    <m/>
    <m/>
    <m/>
    <n v="0"/>
    <m/>
    <m/>
    <n v="0"/>
    <m/>
    <m/>
    <m/>
    <m/>
    <m/>
    <m/>
    <n v="0"/>
    <n v="0"/>
  </r>
  <r>
    <x v="2"/>
    <x v="27"/>
    <s v="Non need-based"/>
    <m/>
    <m/>
    <x v="12"/>
    <m/>
    <m/>
    <m/>
    <m/>
    <m/>
    <m/>
    <m/>
    <m/>
    <n v="0"/>
    <m/>
    <m/>
    <n v="0"/>
    <n v="0"/>
    <n v="0"/>
    <n v="920656"/>
    <n v="1311924"/>
    <m/>
    <m/>
    <n v="0"/>
    <m/>
    <m/>
    <n v="0"/>
    <m/>
    <m/>
    <m/>
    <m/>
    <m/>
    <m/>
    <n v="920656"/>
    <n v="1311924"/>
  </r>
  <r>
    <x v="2"/>
    <x v="28"/>
    <s v="To public sector students"/>
    <m/>
    <m/>
    <x v="12"/>
    <m/>
    <m/>
    <m/>
    <m/>
    <m/>
    <m/>
    <m/>
    <m/>
    <n v="0"/>
    <m/>
    <m/>
    <n v="0"/>
    <n v="0"/>
    <n v="0"/>
    <m/>
    <m/>
    <m/>
    <m/>
    <n v="0"/>
    <m/>
    <m/>
    <n v="0"/>
    <m/>
    <m/>
    <m/>
    <m/>
    <m/>
    <m/>
    <n v="0"/>
    <n v="0"/>
  </r>
  <r>
    <x v="2"/>
    <x v="29"/>
    <s v="Need-based"/>
    <m/>
    <m/>
    <x v="12"/>
    <m/>
    <m/>
    <m/>
    <m/>
    <m/>
    <m/>
    <m/>
    <m/>
    <n v="0"/>
    <m/>
    <m/>
    <n v="0"/>
    <n v="0"/>
    <n v="0"/>
    <m/>
    <m/>
    <m/>
    <m/>
    <n v="0"/>
    <m/>
    <m/>
    <n v="0"/>
    <m/>
    <m/>
    <m/>
    <m/>
    <m/>
    <m/>
    <n v="0"/>
    <n v="0"/>
  </r>
  <r>
    <x v="2"/>
    <x v="30"/>
    <s v="Non need-based"/>
    <m/>
    <m/>
    <x v="12"/>
    <m/>
    <m/>
    <m/>
    <m/>
    <m/>
    <m/>
    <m/>
    <m/>
    <n v="0"/>
    <m/>
    <m/>
    <n v="0"/>
    <n v="0"/>
    <n v="0"/>
    <m/>
    <m/>
    <m/>
    <m/>
    <n v="0"/>
    <m/>
    <m/>
    <n v="0"/>
    <m/>
    <m/>
    <m/>
    <m/>
    <m/>
    <m/>
    <n v="0"/>
    <n v="0"/>
  </r>
  <r>
    <x v="2"/>
    <x v="31"/>
    <s v="To private sector students"/>
    <m/>
    <m/>
    <x v="12"/>
    <m/>
    <m/>
    <m/>
    <m/>
    <m/>
    <m/>
    <m/>
    <m/>
    <n v="0"/>
    <m/>
    <m/>
    <n v="0"/>
    <n v="0"/>
    <n v="0"/>
    <m/>
    <m/>
    <m/>
    <m/>
    <n v="0"/>
    <m/>
    <m/>
    <n v="0"/>
    <m/>
    <m/>
    <m/>
    <m/>
    <m/>
    <m/>
    <n v="0"/>
    <n v="0"/>
  </r>
  <r>
    <x v="2"/>
    <x v="32"/>
    <s v="Need-based"/>
    <m/>
    <m/>
    <x v="12"/>
    <m/>
    <m/>
    <m/>
    <m/>
    <m/>
    <m/>
    <m/>
    <m/>
    <n v="0"/>
    <m/>
    <m/>
    <n v="0"/>
    <n v="0"/>
    <n v="0"/>
    <m/>
    <m/>
    <m/>
    <m/>
    <n v="0"/>
    <m/>
    <m/>
    <n v="0"/>
    <m/>
    <m/>
    <m/>
    <m/>
    <m/>
    <m/>
    <n v="0"/>
    <n v="0"/>
  </r>
  <r>
    <x v="2"/>
    <x v="33"/>
    <s v="Non need-based"/>
    <m/>
    <m/>
    <x v="12"/>
    <m/>
    <m/>
    <m/>
    <m/>
    <m/>
    <m/>
    <m/>
    <m/>
    <n v="0"/>
    <m/>
    <m/>
    <n v="0"/>
    <n v="0"/>
    <n v="0"/>
    <m/>
    <m/>
    <m/>
    <m/>
    <n v="0"/>
    <m/>
    <m/>
    <n v="0"/>
    <m/>
    <m/>
    <m/>
    <m/>
    <m/>
    <m/>
    <n v="0"/>
    <n v="0"/>
  </r>
  <r>
    <x v="2"/>
    <x v="34"/>
    <s v="Limited to public college students"/>
    <m/>
    <m/>
    <x v="12"/>
    <m/>
    <m/>
    <m/>
    <m/>
    <m/>
    <m/>
    <m/>
    <m/>
    <n v="0"/>
    <m/>
    <m/>
    <n v="0"/>
    <n v="0"/>
    <n v="0"/>
    <m/>
    <m/>
    <m/>
    <m/>
    <n v="0"/>
    <m/>
    <m/>
    <n v="0"/>
    <m/>
    <m/>
    <m/>
    <m/>
    <m/>
    <m/>
    <n v="0"/>
    <n v="0"/>
  </r>
  <r>
    <x v="2"/>
    <x v="35"/>
    <s v="Need-based"/>
    <m/>
    <m/>
    <x v="12"/>
    <m/>
    <m/>
    <m/>
    <m/>
    <m/>
    <m/>
    <m/>
    <m/>
    <n v="0"/>
    <m/>
    <m/>
    <n v="0"/>
    <n v="0"/>
    <n v="0"/>
    <m/>
    <m/>
    <m/>
    <m/>
    <n v="0"/>
    <m/>
    <m/>
    <n v="0"/>
    <m/>
    <m/>
    <m/>
    <m/>
    <m/>
    <m/>
    <n v="0"/>
    <n v="0"/>
  </r>
  <r>
    <x v="2"/>
    <x v="36"/>
    <s v="Non need-based"/>
    <m/>
    <m/>
    <x v="12"/>
    <m/>
    <m/>
    <m/>
    <m/>
    <m/>
    <m/>
    <m/>
    <m/>
    <n v="0"/>
    <m/>
    <m/>
    <n v="0"/>
    <n v="0"/>
    <n v="0"/>
    <m/>
    <m/>
    <m/>
    <m/>
    <n v="0"/>
    <m/>
    <m/>
    <n v="0"/>
    <m/>
    <m/>
    <m/>
    <m/>
    <m/>
    <m/>
    <n v="0"/>
    <n v="0"/>
  </r>
  <r>
    <x v="2"/>
    <x v="37"/>
    <s v="Limited to private college students"/>
    <m/>
    <m/>
    <x v="12"/>
    <m/>
    <m/>
    <m/>
    <m/>
    <m/>
    <m/>
    <m/>
    <m/>
    <n v="0"/>
    <m/>
    <m/>
    <n v="0"/>
    <n v="0"/>
    <n v="0"/>
    <m/>
    <m/>
    <m/>
    <m/>
    <n v="0"/>
    <m/>
    <m/>
    <n v="0"/>
    <m/>
    <m/>
    <m/>
    <m/>
    <m/>
    <m/>
    <n v="0"/>
    <n v="0"/>
  </r>
  <r>
    <x v="2"/>
    <x v="38"/>
    <s v="Need-based"/>
    <m/>
    <m/>
    <x v="12"/>
    <m/>
    <m/>
    <m/>
    <m/>
    <m/>
    <m/>
    <m/>
    <m/>
    <n v="0"/>
    <m/>
    <m/>
    <n v="0"/>
    <n v="0"/>
    <n v="0"/>
    <m/>
    <m/>
    <m/>
    <m/>
    <n v="0"/>
    <m/>
    <m/>
    <n v="0"/>
    <m/>
    <m/>
    <m/>
    <m/>
    <m/>
    <m/>
    <n v="0"/>
    <n v="0"/>
  </r>
  <r>
    <x v="2"/>
    <x v="39"/>
    <s v="Non need-based"/>
    <m/>
    <m/>
    <x v="12"/>
    <m/>
    <m/>
    <m/>
    <m/>
    <m/>
    <m/>
    <m/>
    <m/>
    <n v="0"/>
    <m/>
    <m/>
    <n v="0"/>
    <n v="0"/>
    <n v="0"/>
    <m/>
    <m/>
    <m/>
    <m/>
    <n v="0"/>
    <m/>
    <m/>
    <n v="0"/>
    <m/>
    <m/>
    <m/>
    <m/>
    <m/>
    <m/>
    <n v="0"/>
    <n v="0"/>
  </r>
  <r>
    <x v="3"/>
    <x v="0"/>
    <s v="Florida International University"/>
    <m/>
    <n v="133951"/>
    <x v="0"/>
    <n v="166174391"/>
    <n v="139540019"/>
    <m/>
    <m/>
    <m/>
    <m/>
    <n v="177941467"/>
    <n v="3439080"/>
    <n v="181380547"/>
    <n v="261154535.21599999"/>
    <n v="3285281.784"/>
    <n v="264439817"/>
    <n v="344115858"/>
    <n v="400694554.21599996"/>
    <m/>
    <m/>
    <m/>
    <m/>
    <n v="0"/>
    <m/>
    <m/>
    <n v="0"/>
    <m/>
    <m/>
    <m/>
    <m/>
    <m/>
    <m/>
    <n v="344115858"/>
    <n v="400694554.21599996"/>
  </r>
  <r>
    <x v="3"/>
    <x v="0"/>
    <s v="Student Financial Aid"/>
    <m/>
    <n v="133951"/>
    <x v="0"/>
    <m/>
    <m/>
    <n v="540666"/>
    <n v="540666"/>
    <m/>
    <m/>
    <m/>
    <m/>
    <n v="0"/>
    <m/>
    <m/>
    <n v="0"/>
    <n v="540666"/>
    <n v="540666"/>
    <m/>
    <m/>
    <m/>
    <m/>
    <n v="0"/>
    <m/>
    <m/>
    <n v="0"/>
    <m/>
    <m/>
    <m/>
    <m/>
    <m/>
    <m/>
    <n v="540666"/>
    <n v="540666"/>
  </r>
  <r>
    <x v="3"/>
    <x v="0"/>
    <s v="Risk Management/Casualty Insurance"/>
    <m/>
    <n v="133951"/>
    <x v="0"/>
    <m/>
    <m/>
    <n v="2068882"/>
    <n v="2341466"/>
    <m/>
    <m/>
    <m/>
    <m/>
    <n v="0"/>
    <m/>
    <m/>
    <n v="0"/>
    <n v="2068882"/>
    <n v="2341466"/>
    <m/>
    <m/>
    <m/>
    <m/>
    <n v="0"/>
    <m/>
    <m/>
    <n v="0"/>
    <n v="20867"/>
    <n v="25447"/>
    <m/>
    <m/>
    <m/>
    <m/>
    <n v="2089749"/>
    <n v="2366913"/>
  </r>
  <r>
    <x v="3"/>
    <x v="1"/>
    <s v="Medical School"/>
    <m/>
    <n v="133951"/>
    <x v="0"/>
    <m/>
    <m/>
    <m/>
    <m/>
    <m/>
    <m/>
    <m/>
    <m/>
    <n v="0"/>
    <m/>
    <m/>
    <n v="0"/>
    <n v="0"/>
    <n v="0"/>
    <m/>
    <m/>
    <m/>
    <m/>
    <n v="0"/>
    <m/>
    <m/>
    <n v="0"/>
    <n v="26293035"/>
    <n v="26902957"/>
    <n v="4711544"/>
    <m/>
    <n v="9497901"/>
    <m/>
    <n v="31004579"/>
    <n v="36400858"/>
  </r>
  <r>
    <x v="3"/>
    <x v="7"/>
    <s v="Research centers/institutes"/>
    <m/>
    <n v="137351"/>
    <x v="0"/>
    <m/>
    <m/>
    <m/>
    <m/>
    <m/>
    <m/>
    <m/>
    <m/>
    <n v="0"/>
    <m/>
    <m/>
    <n v="0"/>
    <n v="0"/>
    <n v="0"/>
    <m/>
    <m/>
    <m/>
    <m/>
    <n v="0"/>
    <m/>
    <m/>
    <n v="0"/>
    <m/>
    <m/>
    <m/>
    <m/>
    <m/>
    <m/>
    <n v="0"/>
    <n v="0"/>
  </r>
  <r>
    <x v="3"/>
    <x v="0"/>
    <s v="Florida State University "/>
    <m/>
    <n v="134097"/>
    <x v="0"/>
    <n v="246734565"/>
    <n v="185286972"/>
    <m/>
    <m/>
    <m/>
    <m/>
    <n v="182826677"/>
    <n v="3665556"/>
    <n v="186492233"/>
    <n v="211436025.39120001"/>
    <n v="3501629.6088"/>
    <n v="214937655"/>
    <n v="429561242"/>
    <n v="396722997.39120001"/>
    <m/>
    <m/>
    <m/>
    <m/>
    <n v="0"/>
    <m/>
    <m/>
    <n v="0"/>
    <m/>
    <m/>
    <m/>
    <m/>
    <m/>
    <m/>
    <n v="429561242"/>
    <n v="396722997.39120001"/>
  </r>
  <r>
    <x v="3"/>
    <x v="0"/>
    <s v="Student Financial Aid"/>
    <m/>
    <n v="134097"/>
    <x v="0"/>
    <m/>
    <m/>
    <n v="1467667"/>
    <n v="1467667"/>
    <m/>
    <m/>
    <m/>
    <m/>
    <n v="0"/>
    <m/>
    <m/>
    <n v="0"/>
    <n v="1467667"/>
    <n v="1467667"/>
    <m/>
    <m/>
    <m/>
    <m/>
    <n v="0"/>
    <m/>
    <m/>
    <n v="0"/>
    <m/>
    <m/>
    <m/>
    <m/>
    <m/>
    <m/>
    <n v="1467667"/>
    <n v="1467667"/>
  </r>
  <r>
    <x v="3"/>
    <x v="0"/>
    <s v="Risk Management/Casualty Insurance"/>
    <m/>
    <n v="134097"/>
    <x v="0"/>
    <m/>
    <m/>
    <n v="2386285"/>
    <n v="1866409"/>
    <m/>
    <m/>
    <m/>
    <m/>
    <n v="0"/>
    <m/>
    <m/>
    <n v="0"/>
    <n v="2386285"/>
    <n v="1866409"/>
    <m/>
    <m/>
    <m/>
    <m/>
    <n v="0"/>
    <m/>
    <m/>
    <n v="0"/>
    <n v="57093"/>
    <n v="60964"/>
    <m/>
    <m/>
    <m/>
    <m/>
    <n v="2443378"/>
    <n v="1927373"/>
  </r>
  <r>
    <x v="3"/>
    <x v="1"/>
    <s v="Medical School"/>
    <m/>
    <n v="134097"/>
    <x v="0"/>
    <m/>
    <m/>
    <m/>
    <m/>
    <m/>
    <m/>
    <m/>
    <m/>
    <n v="0"/>
    <m/>
    <m/>
    <n v="0"/>
    <n v="0"/>
    <n v="0"/>
    <m/>
    <m/>
    <m/>
    <m/>
    <n v="0"/>
    <m/>
    <m/>
    <n v="0"/>
    <n v="34605108"/>
    <n v="33235065"/>
    <n v="10863626"/>
    <m/>
    <n v="11572716"/>
    <m/>
    <n v="45468734"/>
    <n v="44807781"/>
  </r>
  <r>
    <x v="3"/>
    <x v="1"/>
    <s v="College of Medicine Autism Program"/>
    <m/>
    <n v="134097"/>
    <x v="0"/>
    <m/>
    <m/>
    <m/>
    <m/>
    <m/>
    <m/>
    <m/>
    <m/>
    <n v="0"/>
    <m/>
    <m/>
    <n v="0"/>
    <n v="0"/>
    <n v="0"/>
    <m/>
    <m/>
    <m/>
    <m/>
    <n v="0"/>
    <m/>
    <m/>
    <n v="0"/>
    <n v="700693"/>
    <n v="770762"/>
    <m/>
    <m/>
    <m/>
    <m/>
    <n v="700693"/>
    <n v="770762"/>
  </r>
  <r>
    <x v="3"/>
    <x v="3"/>
    <s v="Community or public service units"/>
    <m/>
    <n v="134097"/>
    <x v="0"/>
    <m/>
    <m/>
    <n v="396525"/>
    <n v="396525"/>
    <m/>
    <m/>
    <m/>
    <m/>
    <n v="0"/>
    <m/>
    <m/>
    <n v="0"/>
    <n v="396525"/>
    <n v="396525"/>
    <m/>
    <m/>
    <m/>
    <m/>
    <n v="0"/>
    <m/>
    <m/>
    <n v="0"/>
    <m/>
    <m/>
    <m/>
    <m/>
    <m/>
    <m/>
    <n v="396525"/>
    <n v="396525"/>
  </r>
  <r>
    <x v="3"/>
    <x v="3"/>
    <s v="Off-Campus Volunteers"/>
    <m/>
    <n v="134097"/>
    <x v="0"/>
    <m/>
    <m/>
    <m/>
    <m/>
    <m/>
    <m/>
    <m/>
    <m/>
    <n v="0"/>
    <m/>
    <m/>
    <n v="0"/>
    <n v="0"/>
    <n v="0"/>
    <m/>
    <m/>
    <m/>
    <m/>
    <n v="0"/>
    <m/>
    <m/>
    <n v="0"/>
    <m/>
    <m/>
    <m/>
    <m/>
    <m/>
    <m/>
    <n v="0"/>
    <n v="0"/>
  </r>
  <r>
    <x v="3"/>
    <x v="3"/>
    <s v="Developmental Research School"/>
    <m/>
    <n v="134097"/>
    <x v="0"/>
    <m/>
    <m/>
    <n v="14284200"/>
    <n v="14622183"/>
    <m/>
    <m/>
    <m/>
    <m/>
    <n v="0"/>
    <m/>
    <m/>
    <n v="0"/>
    <n v="14284200"/>
    <n v="14622183"/>
    <m/>
    <m/>
    <m/>
    <m/>
    <n v="0"/>
    <m/>
    <m/>
    <n v="0"/>
    <m/>
    <m/>
    <m/>
    <m/>
    <m/>
    <m/>
    <n v="14284200"/>
    <n v="14622183"/>
  </r>
  <r>
    <x v="3"/>
    <x v="7"/>
    <s v="Research centers/institutes"/>
    <m/>
    <n v="134097"/>
    <x v="0"/>
    <m/>
    <m/>
    <m/>
    <m/>
    <m/>
    <m/>
    <m/>
    <m/>
    <n v="0"/>
    <m/>
    <m/>
    <n v="0"/>
    <n v="0"/>
    <n v="0"/>
    <m/>
    <m/>
    <m/>
    <m/>
    <n v="0"/>
    <m/>
    <m/>
    <n v="0"/>
    <m/>
    <m/>
    <m/>
    <m/>
    <m/>
    <m/>
    <n v="0"/>
    <n v="0"/>
  </r>
  <r>
    <x v="3"/>
    <x v="0"/>
    <s v="University of Central Florida "/>
    <m/>
    <n v="132903"/>
    <x v="0"/>
    <n v="220318452"/>
    <n v="166366286"/>
    <m/>
    <m/>
    <m/>
    <m/>
    <n v="219467112"/>
    <n v="5147436"/>
    <n v="224614548"/>
    <n v="259522578.1672"/>
    <n v="4917238.8328"/>
    <n v="264439817"/>
    <n v="439785564"/>
    <n v="425888864.16719997"/>
    <m/>
    <m/>
    <m/>
    <m/>
    <n v="0"/>
    <m/>
    <m/>
    <n v="0"/>
    <m/>
    <m/>
    <m/>
    <m/>
    <m/>
    <m/>
    <n v="439785564"/>
    <n v="425888864.16719997"/>
  </r>
  <r>
    <x v="3"/>
    <x v="0"/>
    <s v="Student Financial Aid"/>
    <m/>
    <n v="132903"/>
    <x v="0"/>
    <m/>
    <m/>
    <n v="858405"/>
    <n v="858405"/>
    <m/>
    <m/>
    <m/>
    <m/>
    <n v="0"/>
    <m/>
    <m/>
    <n v="0"/>
    <n v="858405"/>
    <n v="858405"/>
    <m/>
    <m/>
    <m/>
    <m/>
    <n v="0"/>
    <m/>
    <m/>
    <n v="0"/>
    <m/>
    <m/>
    <m/>
    <m/>
    <m/>
    <m/>
    <n v="858405"/>
    <n v="858405"/>
  </r>
  <r>
    <x v="3"/>
    <x v="0"/>
    <s v="Risk Management/Casualty Insurance"/>
    <m/>
    <n v="132903"/>
    <x v="0"/>
    <m/>
    <m/>
    <n v="1998087"/>
    <n v="2002312"/>
    <m/>
    <m/>
    <m/>
    <m/>
    <n v="0"/>
    <m/>
    <m/>
    <n v="0"/>
    <n v="1998087"/>
    <n v="2002312"/>
    <m/>
    <m/>
    <m/>
    <m/>
    <n v="0"/>
    <m/>
    <m/>
    <n v="0"/>
    <m/>
    <m/>
    <m/>
    <m/>
    <m/>
    <m/>
    <n v="1998087"/>
    <n v="2002312"/>
  </r>
  <r>
    <x v="3"/>
    <x v="1"/>
    <s v="Medical School"/>
    <m/>
    <n v="132903"/>
    <x v="0"/>
    <m/>
    <m/>
    <m/>
    <m/>
    <m/>
    <m/>
    <m/>
    <m/>
    <n v="0"/>
    <m/>
    <m/>
    <n v="0"/>
    <n v="0"/>
    <n v="0"/>
    <m/>
    <m/>
    <m/>
    <m/>
    <n v="0"/>
    <m/>
    <m/>
    <n v="0"/>
    <n v="22184003"/>
    <n v="22963376"/>
    <n v="4729709"/>
    <m/>
    <n v="8180191"/>
    <m/>
    <n v="26913712"/>
    <n v="31143567"/>
  </r>
  <r>
    <x v="3"/>
    <x v="3"/>
    <s v="Community or public service units"/>
    <m/>
    <n v="132903"/>
    <x v="0"/>
    <m/>
    <m/>
    <m/>
    <m/>
    <m/>
    <m/>
    <m/>
    <m/>
    <n v="0"/>
    <m/>
    <m/>
    <n v="0"/>
    <n v="0"/>
    <n v="0"/>
    <m/>
    <m/>
    <m/>
    <m/>
    <n v="0"/>
    <m/>
    <m/>
    <n v="0"/>
    <m/>
    <m/>
    <m/>
    <m/>
    <m/>
    <m/>
    <n v="0"/>
    <n v="0"/>
  </r>
  <r>
    <x v="3"/>
    <x v="3"/>
    <s v="Autism Program"/>
    <m/>
    <n v="132903"/>
    <x v="0"/>
    <m/>
    <m/>
    <n v="747284"/>
    <n v="822012"/>
    <m/>
    <m/>
    <m/>
    <m/>
    <n v="0"/>
    <m/>
    <m/>
    <n v="0"/>
    <n v="747284"/>
    <n v="822012"/>
    <m/>
    <m/>
    <m/>
    <m/>
    <n v="0"/>
    <m/>
    <m/>
    <n v="0"/>
    <m/>
    <m/>
    <m/>
    <m/>
    <m/>
    <m/>
    <n v="747284"/>
    <n v="822012"/>
  </r>
  <r>
    <x v="3"/>
    <x v="7"/>
    <s v="Research centers/institutes"/>
    <m/>
    <n v="132903"/>
    <x v="0"/>
    <m/>
    <m/>
    <m/>
    <m/>
    <m/>
    <m/>
    <m/>
    <m/>
    <n v="0"/>
    <m/>
    <m/>
    <n v="0"/>
    <n v="0"/>
    <n v="0"/>
    <m/>
    <m/>
    <m/>
    <m/>
    <n v="0"/>
    <m/>
    <m/>
    <n v="0"/>
    <m/>
    <m/>
    <m/>
    <m/>
    <m/>
    <m/>
    <n v="0"/>
    <n v="0"/>
  </r>
  <r>
    <x v="3"/>
    <x v="0"/>
    <s v="University of Florida"/>
    <m/>
    <n v="134130"/>
    <x v="0"/>
    <n v="280368799"/>
    <n v="173830194"/>
    <m/>
    <m/>
    <m/>
    <m/>
    <n v="287908329"/>
    <n v="4185612"/>
    <n v="292093941"/>
    <n v="318801731.68239999"/>
    <n v="3998428.3176000002"/>
    <n v="322800160"/>
    <n v="568277128"/>
    <n v="492631925.68239999"/>
    <m/>
    <m/>
    <m/>
    <m/>
    <n v="0"/>
    <m/>
    <m/>
    <n v="0"/>
    <m/>
    <m/>
    <m/>
    <m/>
    <m/>
    <m/>
    <n v="568277128"/>
    <n v="492631925.68239999"/>
  </r>
  <r>
    <x v="3"/>
    <x v="0"/>
    <s v="Student Financial Aid"/>
    <m/>
    <n v="134130"/>
    <x v="0"/>
    <m/>
    <m/>
    <n v="1737381"/>
    <n v="1737381"/>
    <m/>
    <m/>
    <m/>
    <m/>
    <n v="0"/>
    <m/>
    <m/>
    <n v="0"/>
    <n v="1737381"/>
    <n v="1737381"/>
    <m/>
    <m/>
    <m/>
    <m/>
    <n v="0"/>
    <m/>
    <m/>
    <n v="0"/>
    <m/>
    <m/>
    <m/>
    <m/>
    <m/>
    <m/>
    <n v="1737381"/>
    <n v="1737381"/>
  </r>
  <r>
    <x v="3"/>
    <x v="0"/>
    <s v="Risk Management/Casualty Insurance"/>
    <m/>
    <n v="134130"/>
    <x v="0"/>
    <m/>
    <m/>
    <n v="3699724"/>
    <n v="4180872"/>
    <m/>
    <m/>
    <m/>
    <m/>
    <n v="0"/>
    <m/>
    <m/>
    <n v="0"/>
    <n v="3699724"/>
    <n v="4180872"/>
    <m/>
    <m/>
    <m/>
    <m/>
    <n v="0"/>
    <m/>
    <m/>
    <n v="0"/>
    <n v="1366903"/>
    <n v="1245416"/>
    <m/>
    <m/>
    <m/>
    <m/>
    <n v="5066627"/>
    <n v="5426288"/>
  </r>
  <r>
    <x v="3"/>
    <x v="1"/>
    <s v="Medical School"/>
    <m/>
    <n v="134130"/>
    <x v="0"/>
    <m/>
    <m/>
    <m/>
    <m/>
    <m/>
    <m/>
    <m/>
    <m/>
    <n v="0"/>
    <m/>
    <m/>
    <n v="0"/>
    <n v="0"/>
    <n v="0"/>
    <m/>
    <m/>
    <m/>
    <m/>
    <n v="0"/>
    <m/>
    <m/>
    <n v="0"/>
    <n v="100278182"/>
    <n v="137456457"/>
    <n v="34618985"/>
    <m/>
    <n v="38463434"/>
    <m/>
    <n v="134897167"/>
    <n v="175919891"/>
  </r>
  <r>
    <x v="3"/>
    <x v="1"/>
    <s v="College of Medicine Autism Program"/>
    <m/>
    <n v="134130"/>
    <x v="0"/>
    <m/>
    <m/>
    <m/>
    <m/>
    <m/>
    <m/>
    <m/>
    <m/>
    <n v="0"/>
    <m/>
    <m/>
    <n v="0"/>
    <n v="0"/>
    <n v="0"/>
    <m/>
    <m/>
    <m/>
    <m/>
    <n v="0"/>
    <m/>
    <m/>
    <n v="0"/>
    <n v="605129"/>
    <n v="665642"/>
    <m/>
    <m/>
    <m/>
    <m/>
    <n v="605129"/>
    <n v="665642"/>
  </r>
  <r>
    <x v="3"/>
    <x v="1"/>
    <s v="Jacksonville Autism Program"/>
    <m/>
    <n v="134130"/>
    <x v="0"/>
    <m/>
    <m/>
    <m/>
    <m/>
    <m/>
    <m/>
    <m/>
    <m/>
    <n v="0"/>
    <m/>
    <m/>
    <n v="0"/>
    <n v="0"/>
    <n v="0"/>
    <m/>
    <m/>
    <m/>
    <m/>
    <n v="0"/>
    <m/>
    <m/>
    <n v="0"/>
    <n v="630609"/>
    <n v="693670"/>
    <m/>
    <m/>
    <m/>
    <m/>
    <n v="630609"/>
    <n v="693670"/>
  </r>
  <r>
    <x v="3"/>
    <x v="3"/>
    <s v="Community or public service units"/>
    <m/>
    <n v="134130"/>
    <x v="0"/>
    <m/>
    <m/>
    <n v="396525"/>
    <n v="396525"/>
    <m/>
    <m/>
    <m/>
    <m/>
    <n v="0"/>
    <m/>
    <m/>
    <n v="0"/>
    <n v="396525"/>
    <n v="396525"/>
    <m/>
    <m/>
    <m/>
    <m/>
    <n v="0"/>
    <m/>
    <m/>
    <n v="0"/>
    <n v="396526"/>
    <n v="396526"/>
    <m/>
    <m/>
    <m/>
    <m/>
    <n v="793051"/>
    <n v="793051"/>
  </r>
  <r>
    <x v="3"/>
    <x v="3"/>
    <s v="Developmental Research School"/>
    <m/>
    <n v="134130"/>
    <x v="0"/>
    <m/>
    <m/>
    <n v="7213479"/>
    <n v="7317553"/>
    <m/>
    <m/>
    <m/>
    <m/>
    <n v="0"/>
    <m/>
    <m/>
    <n v="0"/>
    <n v="7213479"/>
    <n v="7317553"/>
    <m/>
    <m/>
    <m/>
    <m/>
    <n v="0"/>
    <m/>
    <m/>
    <n v="0"/>
    <m/>
    <m/>
    <m/>
    <m/>
    <m/>
    <m/>
    <n v="7213479"/>
    <n v="7317553"/>
  </r>
  <r>
    <x v="3"/>
    <x v="5"/>
    <s v="Agricultural cooperative extension"/>
    <m/>
    <n v="134130"/>
    <x v="0"/>
    <m/>
    <m/>
    <n v="118952794"/>
    <n v="123458686"/>
    <m/>
    <m/>
    <m/>
    <m/>
    <n v="0"/>
    <m/>
    <m/>
    <n v="0"/>
    <n v="118952794"/>
    <n v="123458686"/>
    <m/>
    <m/>
    <m/>
    <m/>
    <n v="0"/>
    <m/>
    <m/>
    <n v="0"/>
    <m/>
    <m/>
    <m/>
    <m/>
    <m/>
    <m/>
    <n v="118952794"/>
    <n v="123458686"/>
  </r>
  <r>
    <x v="3"/>
    <x v="7"/>
    <s v="Research centers/institutes"/>
    <m/>
    <n v="134130"/>
    <x v="0"/>
    <m/>
    <m/>
    <m/>
    <m/>
    <m/>
    <m/>
    <m/>
    <m/>
    <n v="0"/>
    <m/>
    <m/>
    <n v="0"/>
    <n v="0"/>
    <n v="0"/>
    <m/>
    <m/>
    <m/>
    <m/>
    <n v="0"/>
    <m/>
    <m/>
    <n v="0"/>
    <m/>
    <m/>
    <m/>
    <m/>
    <m/>
    <m/>
    <n v="0"/>
    <n v="0"/>
  </r>
  <r>
    <x v="3"/>
    <x v="0"/>
    <s v="University of South Florida "/>
    <m/>
    <n v="137351"/>
    <x v="0"/>
    <n v="238610750"/>
    <n v="178339485"/>
    <m/>
    <m/>
    <m/>
    <m/>
    <n v="140759487"/>
    <n v="4409292"/>
    <n v="145168779"/>
    <n v="184647930.8184"/>
    <n v="4212105.1815999998"/>
    <n v="188860036"/>
    <n v="379370237"/>
    <n v="362987415.81840003"/>
    <m/>
    <m/>
    <m/>
    <m/>
    <n v="0"/>
    <m/>
    <m/>
    <n v="0"/>
    <m/>
    <m/>
    <m/>
    <m/>
    <m/>
    <m/>
    <n v="379370237"/>
    <n v="362987415.81840003"/>
  </r>
  <r>
    <x v="3"/>
    <x v="0"/>
    <s v="Student Financial Aid"/>
    <m/>
    <n v="137351"/>
    <x v="0"/>
    <m/>
    <m/>
    <n v="851368"/>
    <n v="801368"/>
    <m/>
    <m/>
    <m/>
    <m/>
    <n v="0"/>
    <m/>
    <m/>
    <n v="0"/>
    <n v="851368"/>
    <n v="801368"/>
    <m/>
    <m/>
    <m/>
    <m/>
    <n v="0"/>
    <m/>
    <m/>
    <n v="0"/>
    <m/>
    <m/>
    <m/>
    <m/>
    <m/>
    <m/>
    <n v="851368"/>
    <n v="801368"/>
  </r>
  <r>
    <x v="3"/>
    <x v="0"/>
    <s v="Risk Management/Casualty Insurance"/>
    <m/>
    <n v="137351"/>
    <x v="0"/>
    <m/>
    <m/>
    <n v="2692747"/>
    <n v="2833975"/>
    <m/>
    <m/>
    <m/>
    <m/>
    <n v="0"/>
    <m/>
    <m/>
    <n v="0"/>
    <n v="2692747"/>
    <n v="2833975"/>
    <m/>
    <m/>
    <m/>
    <m/>
    <n v="0"/>
    <m/>
    <m/>
    <n v="0"/>
    <n v="330538"/>
    <n v="435115"/>
    <m/>
    <m/>
    <m/>
    <m/>
    <n v="3023285"/>
    <n v="3269090"/>
  </r>
  <r>
    <x v="3"/>
    <x v="1"/>
    <s v="Medical School"/>
    <m/>
    <n v="137351"/>
    <x v="0"/>
    <m/>
    <m/>
    <m/>
    <m/>
    <m/>
    <m/>
    <m/>
    <m/>
    <n v="0"/>
    <m/>
    <m/>
    <n v="0"/>
    <n v="0"/>
    <n v="0"/>
    <m/>
    <m/>
    <m/>
    <m/>
    <n v="0"/>
    <m/>
    <m/>
    <n v="0"/>
    <n v="63047433"/>
    <n v="59594991"/>
    <n v="46431688"/>
    <m/>
    <n v="49914781"/>
    <m/>
    <n v="109479121"/>
    <n v="109509772"/>
  </r>
  <r>
    <x v="3"/>
    <x v="7"/>
    <s v="Research centers/institutes"/>
    <m/>
    <n v="137351"/>
    <x v="0"/>
    <m/>
    <m/>
    <n v="396525"/>
    <n v="396525"/>
    <m/>
    <m/>
    <m/>
    <m/>
    <n v="0"/>
    <m/>
    <m/>
    <n v="0"/>
    <n v="396525"/>
    <n v="396525"/>
    <m/>
    <m/>
    <m/>
    <m/>
    <n v="0"/>
    <m/>
    <m/>
    <n v="0"/>
    <m/>
    <m/>
    <m/>
    <m/>
    <m/>
    <m/>
    <n v="396525"/>
    <n v="396525"/>
  </r>
  <r>
    <x v="3"/>
    <x v="7"/>
    <s v="Phosphate research"/>
    <m/>
    <n v="137351"/>
    <x v="0"/>
    <m/>
    <m/>
    <n v="7316106"/>
    <n v="0"/>
    <m/>
    <m/>
    <m/>
    <m/>
    <n v="0"/>
    <m/>
    <m/>
    <n v="0"/>
    <n v="7316106"/>
    <n v="0"/>
    <m/>
    <m/>
    <m/>
    <m/>
    <n v="0"/>
    <m/>
    <m/>
    <n v="0"/>
    <m/>
    <m/>
    <m/>
    <m/>
    <m/>
    <m/>
    <n v="7316106"/>
    <n v="0"/>
  </r>
  <r>
    <x v="3"/>
    <x v="8"/>
    <s v="Special line items for education operations"/>
    <m/>
    <n v="137351"/>
    <x v="0"/>
    <m/>
    <m/>
    <m/>
    <m/>
    <m/>
    <m/>
    <m/>
    <m/>
    <n v="0"/>
    <m/>
    <m/>
    <n v="0"/>
    <n v="0"/>
    <n v="0"/>
    <m/>
    <m/>
    <m/>
    <m/>
    <n v="0"/>
    <m/>
    <m/>
    <n v="0"/>
    <m/>
    <m/>
    <m/>
    <m/>
    <m/>
    <m/>
    <n v="0"/>
    <n v="0"/>
  </r>
  <r>
    <x v="3"/>
    <x v="8"/>
    <s v="Mental Health Institute Autism Program"/>
    <m/>
    <n v="137351"/>
    <x v="0"/>
    <m/>
    <m/>
    <m/>
    <m/>
    <m/>
    <m/>
    <m/>
    <m/>
    <n v="0"/>
    <m/>
    <m/>
    <n v="0"/>
    <n v="0"/>
    <n v="0"/>
    <m/>
    <m/>
    <m/>
    <m/>
    <n v="0"/>
    <m/>
    <m/>
    <n v="0"/>
    <n v="872630"/>
    <n v="959893"/>
    <m/>
    <m/>
    <m/>
    <m/>
    <n v="872630"/>
    <n v="959893"/>
  </r>
  <r>
    <x v="3"/>
    <x v="0"/>
    <s v="Florida Atlantic University "/>
    <s v="Met the criteria for Four-Year 1 in 2012-13."/>
    <n v="133669"/>
    <x v="1"/>
    <n v="142349358"/>
    <n v="103852331"/>
    <m/>
    <m/>
    <m/>
    <m/>
    <n v="94603484"/>
    <n v="2264760"/>
    <n v="96868244"/>
    <n v="114182180.752"/>
    <n v="2163478.2480000001"/>
    <n v="116345659"/>
    <n v="236952842"/>
    <n v="218034511.752"/>
    <m/>
    <m/>
    <m/>
    <m/>
    <n v="0"/>
    <m/>
    <m/>
    <n v="0"/>
    <m/>
    <m/>
    <m/>
    <m/>
    <m/>
    <m/>
    <n v="236952842"/>
    <n v="218034511.752"/>
  </r>
  <r>
    <x v="3"/>
    <x v="8"/>
    <s v="Student Financial Aid"/>
    <m/>
    <n v="133669"/>
    <x v="1"/>
    <m/>
    <m/>
    <n v="399658"/>
    <n v="399658"/>
    <m/>
    <m/>
    <m/>
    <m/>
    <n v="0"/>
    <m/>
    <m/>
    <n v="0"/>
    <n v="399658"/>
    <n v="399658"/>
    <m/>
    <m/>
    <m/>
    <m/>
    <n v="0"/>
    <m/>
    <m/>
    <n v="0"/>
    <m/>
    <m/>
    <m/>
    <m/>
    <m/>
    <m/>
    <n v="399658"/>
    <n v="399658"/>
  </r>
  <r>
    <x v="3"/>
    <x v="8"/>
    <s v="Risk Management/Casualty Insurance"/>
    <m/>
    <n v="133669"/>
    <x v="1"/>
    <m/>
    <m/>
    <n v="1915023"/>
    <n v="1555218"/>
    <m/>
    <m/>
    <m/>
    <m/>
    <n v="0"/>
    <m/>
    <m/>
    <n v="0"/>
    <n v="1915023"/>
    <n v="1555218"/>
    <m/>
    <m/>
    <m/>
    <m/>
    <n v="0"/>
    <m/>
    <m/>
    <n v="0"/>
    <m/>
    <m/>
    <m/>
    <m/>
    <m/>
    <m/>
    <n v="1915023"/>
    <n v="1555218"/>
  </r>
  <r>
    <x v="3"/>
    <x v="1"/>
    <s v="Medical School"/>
    <m/>
    <n v="133669"/>
    <x v="1"/>
    <m/>
    <m/>
    <m/>
    <m/>
    <m/>
    <m/>
    <m/>
    <m/>
    <n v="0"/>
    <m/>
    <m/>
    <n v="0"/>
    <n v="0"/>
    <n v="0"/>
    <m/>
    <m/>
    <m/>
    <m/>
    <n v="0"/>
    <m/>
    <m/>
    <n v="0"/>
    <m/>
    <n v="12778503"/>
    <m/>
    <m/>
    <n v="4196880"/>
    <m/>
    <n v="0"/>
    <n v="16975383"/>
  </r>
  <r>
    <x v="3"/>
    <x v="8"/>
    <s v="Special line items for education operations"/>
    <m/>
    <n v="133669"/>
    <x v="1"/>
    <m/>
    <m/>
    <m/>
    <m/>
    <m/>
    <m/>
    <m/>
    <m/>
    <n v="0"/>
    <m/>
    <m/>
    <n v="0"/>
    <n v="0"/>
    <n v="0"/>
    <m/>
    <m/>
    <m/>
    <m/>
    <n v="0"/>
    <m/>
    <m/>
    <n v="0"/>
    <m/>
    <m/>
    <m/>
    <m/>
    <m/>
    <m/>
    <n v="0"/>
    <n v="0"/>
  </r>
  <r>
    <x v="3"/>
    <x v="8"/>
    <s v="Autism Program"/>
    <m/>
    <n v="133669"/>
    <x v="1"/>
    <m/>
    <m/>
    <n v="473254"/>
    <n v="520579"/>
    <m/>
    <m/>
    <m/>
    <m/>
    <n v="0"/>
    <m/>
    <m/>
    <n v="0"/>
    <n v="473254"/>
    <n v="520579"/>
    <m/>
    <m/>
    <m/>
    <m/>
    <n v="0"/>
    <m/>
    <m/>
    <n v="0"/>
    <m/>
    <m/>
    <m/>
    <m/>
    <m/>
    <m/>
    <n v="473254"/>
    <n v="520579"/>
  </r>
  <r>
    <x v="3"/>
    <x v="3"/>
    <s v="Community or public service units"/>
    <m/>
    <n v="133669"/>
    <x v="1"/>
    <m/>
    <m/>
    <m/>
    <m/>
    <m/>
    <m/>
    <m/>
    <m/>
    <n v="0"/>
    <m/>
    <m/>
    <n v="0"/>
    <n v="0"/>
    <n v="0"/>
    <m/>
    <m/>
    <m/>
    <m/>
    <n v="0"/>
    <m/>
    <m/>
    <n v="0"/>
    <m/>
    <m/>
    <m/>
    <m/>
    <m/>
    <m/>
    <n v="0"/>
    <n v="0"/>
  </r>
  <r>
    <x v="3"/>
    <x v="3"/>
    <s v="Developmental Research School"/>
    <m/>
    <n v="133669"/>
    <x v="1"/>
    <m/>
    <m/>
    <n v="12791786"/>
    <n v="13920039"/>
    <m/>
    <m/>
    <m/>
    <m/>
    <n v="0"/>
    <m/>
    <m/>
    <n v="0"/>
    <n v="12791786"/>
    <n v="13920039"/>
    <m/>
    <m/>
    <m/>
    <m/>
    <n v="0"/>
    <m/>
    <m/>
    <n v="0"/>
    <m/>
    <m/>
    <m/>
    <m/>
    <m/>
    <m/>
    <n v="12791786"/>
    <n v="13920039"/>
  </r>
  <r>
    <x v="3"/>
    <x v="7"/>
    <s v="Research centers/institutes"/>
    <m/>
    <n v="133669"/>
    <x v="1"/>
    <m/>
    <m/>
    <m/>
    <m/>
    <m/>
    <m/>
    <m/>
    <m/>
    <n v="0"/>
    <m/>
    <m/>
    <n v="0"/>
    <n v="0"/>
    <n v="0"/>
    <m/>
    <m/>
    <m/>
    <m/>
    <n v="0"/>
    <m/>
    <m/>
    <n v="0"/>
    <m/>
    <m/>
    <m/>
    <m/>
    <m/>
    <m/>
    <n v="0"/>
    <n v="0"/>
  </r>
  <r>
    <x v="3"/>
    <x v="0"/>
    <s v="Florida Agricultural &amp; Mechanical University "/>
    <s v="Met the criteria for Four-Year 2 in 2011-12 and 2012-13."/>
    <n v="133650"/>
    <x v="2"/>
    <n v="95914909"/>
    <n v="76237712"/>
    <m/>
    <m/>
    <m/>
    <m/>
    <n v="62741167"/>
    <n v="1350468"/>
    <n v="64091635"/>
    <n v="70716476.933599994"/>
    <n v="1290074.0664000001"/>
    <n v="72006551"/>
    <n v="158656076"/>
    <n v="146954188.93360001"/>
    <m/>
    <m/>
    <m/>
    <m/>
    <n v="0"/>
    <m/>
    <m/>
    <n v="0"/>
    <m/>
    <m/>
    <m/>
    <m/>
    <m/>
    <m/>
    <n v="158656076"/>
    <n v="146954188.93360001"/>
  </r>
  <r>
    <x v="3"/>
    <x v="0"/>
    <s v="Student Financial Aid"/>
    <m/>
    <n v="133650"/>
    <x v="2"/>
    <m/>
    <m/>
    <n v="624417"/>
    <n v="624417"/>
    <m/>
    <m/>
    <m/>
    <m/>
    <n v="0"/>
    <m/>
    <m/>
    <n v="0"/>
    <n v="624417"/>
    <n v="624417"/>
    <m/>
    <m/>
    <m/>
    <m/>
    <n v="0"/>
    <m/>
    <m/>
    <n v="0"/>
    <m/>
    <m/>
    <m/>
    <m/>
    <m/>
    <m/>
    <n v="624417"/>
    <n v="624417"/>
  </r>
  <r>
    <x v="3"/>
    <x v="0"/>
    <s v="Risk Management/Casualty Insurance"/>
    <m/>
    <n v="133650"/>
    <x v="2"/>
    <m/>
    <m/>
    <n v="1282968"/>
    <n v="1172091"/>
    <m/>
    <m/>
    <m/>
    <m/>
    <n v="0"/>
    <m/>
    <m/>
    <n v="0"/>
    <n v="1282968"/>
    <n v="1172091"/>
    <m/>
    <m/>
    <m/>
    <m/>
    <n v="0"/>
    <m/>
    <m/>
    <n v="0"/>
    <m/>
    <m/>
    <m/>
    <m/>
    <m/>
    <m/>
    <n v="1282968"/>
    <n v="1172091"/>
  </r>
  <r>
    <x v="3"/>
    <x v="3"/>
    <s v="Community or public service units"/>
    <m/>
    <n v="133650"/>
    <x v="2"/>
    <m/>
    <m/>
    <m/>
    <m/>
    <m/>
    <m/>
    <m/>
    <m/>
    <n v="0"/>
    <m/>
    <m/>
    <n v="0"/>
    <n v="0"/>
    <n v="0"/>
    <m/>
    <m/>
    <m/>
    <m/>
    <n v="0"/>
    <m/>
    <m/>
    <n v="0"/>
    <m/>
    <m/>
    <m/>
    <m/>
    <m/>
    <m/>
    <n v="0"/>
    <n v="0"/>
  </r>
  <r>
    <x v="3"/>
    <x v="3"/>
    <s v="Developmental Research School"/>
    <m/>
    <n v="133650"/>
    <x v="2"/>
    <m/>
    <m/>
    <n v="3408002"/>
    <n v="3277272"/>
    <m/>
    <m/>
    <m/>
    <m/>
    <n v="0"/>
    <m/>
    <m/>
    <n v="0"/>
    <n v="3408002"/>
    <n v="3277272"/>
    <m/>
    <m/>
    <m/>
    <m/>
    <n v="0"/>
    <m/>
    <m/>
    <n v="0"/>
    <m/>
    <m/>
    <m/>
    <m/>
    <m/>
    <m/>
    <n v="3408002"/>
    <n v="3277272"/>
  </r>
  <r>
    <x v="3"/>
    <x v="0"/>
    <s v="University of North Florida"/>
    <m/>
    <n v="136172"/>
    <x v="2"/>
    <n v="70279845"/>
    <n v="65063094"/>
    <m/>
    <m/>
    <m/>
    <m/>
    <n v="62046514"/>
    <n v="1392408"/>
    <n v="63438922"/>
    <n v="66996490.521600001"/>
    <n v="1330138.4783999999"/>
    <n v="68326629"/>
    <n v="132326359"/>
    <n v="132059584.52160001"/>
    <m/>
    <m/>
    <m/>
    <m/>
    <n v="0"/>
    <m/>
    <m/>
    <n v="0"/>
    <m/>
    <m/>
    <m/>
    <m/>
    <m/>
    <m/>
    <n v="132326359"/>
    <n v="132059584.52160001"/>
  </r>
  <r>
    <x v="3"/>
    <x v="0"/>
    <s v="Student Financial Aid"/>
    <m/>
    <n v="136172"/>
    <x v="2"/>
    <m/>
    <m/>
    <n v="200570"/>
    <n v="200570"/>
    <m/>
    <m/>
    <m/>
    <m/>
    <n v="0"/>
    <m/>
    <m/>
    <n v="0"/>
    <n v="200570"/>
    <n v="200570"/>
    <m/>
    <m/>
    <m/>
    <m/>
    <n v="0"/>
    <m/>
    <m/>
    <n v="0"/>
    <m/>
    <m/>
    <m/>
    <m/>
    <m/>
    <m/>
    <n v="200570"/>
    <n v="200570"/>
  </r>
  <r>
    <x v="3"/>
    <x v="0"/>
    <s v="Risk Management/Casualty Insurance"/>
    <m/>
    <n v="136172"/>
    <x v="2"/>
    <m/>
    <m/>
    <n v="679431"/>
    <n v="904133"/>
    <m/>
    <m/>
    <m/>
    <m/>
    <n v="0"/>
    <m/>
    <m/>
    <n v="0"/>
    <n v="679431"/>
    <n v="904133"/>
    <m/>
    <m/>
    <m/>
    <m/>
    <n v="0"/>
    <m/>
    <m/>
    <n v="0"/>
    <m/>
    <m/>
    <m/>
    <m/>
    <m/>
    <m/>
    <n v="679431"/>
    <n v="904133"/>
  </r>
  <r>
    <x v="3"/>
    <x v="0"/>
    <s v="University of West Florida"/>
    <m/>
    <n v="138354"/>
    <x v="2"/>
    <n v="52126120"/>
    <n v="40727501"/>
    <m/>
    <m/>
    <m/>
    <m/>
    <n v="39588691"/>
    <n v="975804"/>
    <n v="40564495"/>
    <n v="51104257.680799998"/>
    <n v="932165.31920000003"/>
    <n v="52036423"/>
    <n v="91714811"/>
    <n v="91831758.680799991"/>
    <m/>
    <m/>
    <m/>
    <m/>
    <n v="0"/>
    <m/>
    <m/>
    <n v="0"/>
    <m/>
    <m/>
    <m/>
    <m/>
    <m/>
    <m/>
    <n v="91714811"/>
    <n v="91831758.680799991"/>
  </r>
  <r>
    <x v="3"/>
    <x v="0"/>
    <s v="Student Financial Aid"/>
    <m/>
    <n v="138354"/>
    <x v="2"/>
    <m/>
    <m/>
    <n v="157766"/>
    <n v="157766"/>
    <m/>
    <m/>
    <m/>
    <m/>
    <n v="0"/>
    <m/>
    <m/>
    <n v="0"/>
    <n v="157766"/>
    <n v="157766"/>
    <m/>
    <m/>
    <m/>
    <m/>
    <n v="0"/>
    <m/>
    <m/>
    <n v="0"/>
    <m/>
    <m/>
    <m/>
    <m/>
    <m/>
    <m/>
    <n v="157766"/>
    <n v="157766"/>
  </r>
  <r>
    <x v="3"/>
    <x v="0"/>
    <s v="Risk Management/Casualty Insurance"/>
    <m/>
    <n v="138354"/>
    <x v="2"/>
    <m/>
    <m/>
    <n v="633644"/>
    <n v="706795"/>
    <m/>
    <m/>
    <m/>
    <m/>
    <n v="0"/>
    <m/>
    <m/>
    <n v="0"/>
    <n v="633644"/>
    <n v="706795"/>
    <m/>
    <m/>
    <m/>
    <m/>
    <n v="0"/>
    <m/>
    <m/>
    <n v="0"/>
    <m/>
    <m/>
    <m/>
    <m/>
    <m/>
    <m/>
    <n v="633644"/>
    <n v="706795"/>
  </r>
  <r>
    <x v="3"/>
    <x v="0"/>
    <s v="Florida Gulf Coast University"/>
    <m/>
    <n v="433660"/>
    <x v="3"/>
    <n v="45029405"/>
    <n v="41540677"/>
    <m/>
    <m/>
    <m/>
    <m/>
    <n v="49755202"/>
    <n v="1023336"/>
    <n v="50778538"/>
    <n v="59772181.347199999"/>
    <n v="977571.65280000004"/>
    <n v="60749753"/>
    <n v="94784607"/>
    <n v="101312858.34720001"/>
    <m/>
    <m/>
    <m/>
    <m/>
    <n v="0"/>
    <m/>
    <m/>
    <n v="0"/>
    <m/>
    <m/>
    <m/>
    <m/>
    <m/>
    <m/>
    <n v="94784607"/>
    <n v="101312858.34720001"/>
  </r>
  <r>
    <x v="3"/>
    <x v="0"/>
    <s v="Student Financial Aid"/>
    <m/>
    <n v="433660"/>
    <x v="3"/>
    <m/>
    <m/>
    <n v="98073"/>
    <n v="98073"/>
    <m/>
    <m/>
    <m/>
    <m/>
    <n v="0"/>
    <m/>
    <m/>
    <n v="0"/>
    <n v="98073"/>
    <n v="98073"/>
    <m/>
    <m/>
    <m/>
    <m/>
    <n v="0"/>
    <m/>
    <m/>
    <n v="0"/>
    <m/>
    <m/>
    <m/>
    <m/>
    <m/>
    <m/>
    <n v="98073"/>
    <n v="98073"/>
  </r>
  <r>
    <x v="3"/>
    <x v="0"/>
    <s v="Risk Management/Casualty Insurance"/>
    <m/>
    <n v="433660"/>
    <x v="3"/>
    <m/>
    <m/>
    <n v="704425"/>
    <n v="600862"/>
    <m/>
    <m/>
    <m/>
    <m/>
    <n v="0"/>
    <m/>
    <m/>
    <n v="0"/>
    <n v="704425"/>
    <n v="600862"/>
    <m/>
    <m/>
    <m/>
    <m/>
    <n v="0"/>
    <m/>
    <m/>
    <n v="0"/>
    <m/>
    <m/>
    <m/>
    <m/>
    <m/>
    <m/>
    <n v="704425"/>
    <n v="600862"/>
  </r>
  <r>
    <x v="3"/>
    <x v="0"/>
    <s v="New College of Florida"/>
    <m/>
    <n v="262129"/>
    <x v="5"/>
    <n v="14466412"/>
    <n v="13839920"/>
    <m/>
    <m/>
    <m/>
    <m/>
    <n v="5429802"/>
    <n v="106248"/>
    <n v="5536050"/>
    <n v="6100592.4896"/>
    <n v="101496.5104"/>
    <n v="6202089"/>
    <n v="19896214"/>
    <n v="19940512.489599999"/>
    <m/>
    <m/>
    <m/>
    <m/>
    <n v="0"/>
    <m/>
    <m/>
    <n v="0"/>
    <m/>
    <m/>
    <m/>
    <m/>
    <m/>
    <m/>
    <n v="19896214"/>
    <n v="19940512.489599999"/>
  </r>
  <r>
    <x v="3"/>
    <x v="0"/>
    <s v="Student Financial Aid"/>
    <m/>
    <n v="262129"/>
    <x v="5"/>
    <m/>
    <m/>
    <n v="200570"/>
    <n v="204407"/>
    <m/>
    <m/>
    <m/>
    <m/>
    <n v="0"/>
    <m/>
    <m/>
    <n v="0"/>
    <n v="200570"/>
    <n v="204407"/>
    <m/>
    <m/>
    <m/>
    <m/>
    <n v="0"/>
    <m/>
    <m/>
    <n v="0"/>
    <m/>
    <m/>
    <m/>
    <m/>
    <m/>
    <m/>
    <n v="200570"/>
    <n v="204407"/>
  </r>
  <r>
    <x v="3"/>
    <x v="0"/>
    <s v="Risk Management/Casualty Insurance"/>
    <m/>
    <n v="262129"/>
    <x v="5"/>
    <m/>
    <m/>
    <n v="357806"/>
    <n v="285717"/>
    <m/>
    <m/>
    <m/>
    <m/>
    <n v="0"/>
    <m/>
    <m/>
    <n v="0"/>
    <n v="357806"/>
    <n v="285717"/>
    <m/>
    <m/>
    <m/>
    <m/>
    <n v="0"/>
    <m/>
    <m/>
    <n v="0"/>
    <m/>
    <m/>
    <m/>
    <m/>
    <m/>
    <m/>
    <n v="357806"/>
    <n v="285717"/>
  </r>
  <r>
    <x v="3"/>
    <x v="0"/>
    <s v="Florida Polytech University"/>
    <m/>
    <s v="????"/>
    <x v="13"/>
    <n v="0"/>
    <n v="22411504"/>
    <m/>
    <m/>
    <m/>
    <m/>
    <m/>
    <m/>
    <n v="0"/>
    <n v="6028073"/>
    <n v="0"/>
    <n v="6028073"/>
    <n v="0"/>
    <n v="28439577"/>
    <m/>
    <m/>
    <m/>
    <m/>
    <n v="0"/>
    <m/>
    <m/>
    <n v="0"/>
    <m/>
    <m/>
    <m/>
    <m/>
    <m/>
    <m/>
    <n v="0"/>
    <n v="28439577"/>
  </r>
  <r>
    <x v="3"/>
    <x v="8"/>
    <s v="Student Financial Aid"/>
    <m/>
    <s v="????"/>
    <x v="13"/>
    <m/>
    <m/>
    <m/>
    <n v="50000"/>
    <m/>
    <m/>
    <m/>
    <m/>
    <n v="0"/>
    <m/>
    <m/>
    <n v="0"/>
    <n v="0"/>
    <n v="50000"/>
    <m/>
    <m/>
    <m/>
    <m/>
    <n v="0"/>
    <m/>
    <m/>
    <n v="0"/>
    <m/>
    <m/>
    <m/>
    <m/>
    <m/>
    <m/>
    <n v="0"/>
    <n v="50000"/>
  </r>
  <r>
    <x v="3"/>
    <x v="8"/>
    <s v="Risk Management/Casualty Insurance"/>
    <m/>
    <s v="????"/>
    <x v="13"/>
    <m/>
    <m/>
    <m/>
    <m/>
    <m/>
    <m/>
    <m/>
    <m/>
    <n v="0"/>
    <m/>
    <m/>
    <n v="0"/>
    <n v="0"/>
    <n v="0"/>
    <m/>
    <m/>
    <m/>
    <m/>
    <n v="0"/>
    <m/>
    <m/>
    <n v="0"/>
    <m/>
    <m/>
    <m/>
    <m/>
    <m/>
    <m/>
    <n v="0"/>
    <n v="0"/>
  </r>
  <r>
    <x v="3"/>
    <x v="7"/>
    <s v="Phosphate research"/>
    <m/>
    <s v="????"/>
    <x v="13"/>
    <m/>
    <m/>
    <m/>
    <n v="5037035"/>
    <m/>
    <m/>
    <m/>
    <m/>
    <n v="0"/>
    <m/>
    <m/>
    <n v="0"/>
    <n v="0"/>
    <n v="5037035"/>
    <m/>
    <m/>
    <m/>
    <m/>
    <n v="0"/>
    <m/>
    <m/>
    <n v="0"/>
    <m/>
    <m/>
    <m/>
    <m/>
    <m/>
    <m/>
    <n v="0"/>
    <n v="5037035"/>
  </r>
  <r>
    <x v="3"/>
    <x v="13"/>
    <s v="Education special purpose funds -all other"/>
    <m/>
    <m/>
    <x v="12"/>
    <m/>
    <m/>
    <m/>
    <m/>
    <m/>
    <m/>
    <m/>
    <m/>
    <n v="0"/>
    <m/>
    <m/>
    <n v="0"/>
    <n v="0"/>
    <n v="0"/>
    <m/>
    <m/>
    <m/>
    <m/>
    <n v="0"/>
    <m/>
    <m/>
    <n v="0"/>
    <m/>
    <m/>
    <m/>
    <m/>
    <m/>
    <m/>
    <n v="0"/>
    <n v="0"/>
  </r>
  <r>
    <x v="3"/>
    <x v="42"/>
    <s v="Community or public service units"/>
    <m/>
    <m/>
    <x v="12"/>
    <m/>
    <m/>
    <m/>
    <m/>
    <m/>
    <m/>
    <m/>
    <m/>
    <n v="0"/>
    <m/>
    <m/>
    <n v="0"/>
    <n v="0"/>
    <n v="0"/>
    <m/>
    <m/>
    <m/>
    <m/>
    <n v="0"/>
    <m/>
    <m/>
    <n v="0"/>
    <m/>
    <m/>
    <m/>
    <m/>
    <m/>
    <m/>
    <n v="0"/>
    <n v="0"/>
  </r>
  <r>
    <x v="3"/>
    <x v="11"/>
    <s v="Research centers/institutes"/>
    <m/>
    <m/>
    <x v="12"/>
    <m/>
    <m/>
    <m/>
    <m/>
    <m/>
    <m/>
    <m/>
    <m/>
    <n v="0"/>
    <m/>
    <m/>
    <n v="0"/>
    <n v="0"/>
    <n v="0"/>
    <m/>
    <m/>
    <m/>
    <m/>
    <n v="0"/>
    <m/>
    <m/>
    <n v="0"/>
    <m/>
    <m/>
    <m/>
    <m/>
    <m/>
    <m/>
    <n v="0"/>
    <n v="0"/>
  </r>
  <r>
    <x v="3"/>
    <x v="11"/>
    <s v="Moffitt Cancer Center"/>
    <m/>
    <m/>
    <x v="12"/>
    <m/>
    <m/>
    <n v="9583007"/>
    <n v="10576930"/>
    <m/>
    <m/>
    <m/>
    <m/>
    <n v="0"/>
    <m/>
    <m/>
    <n v="0"/>
    <n v="9583007"/>
    <n v="10576930"/>
    <m/>
    <m/>
    <m/>
    <m/>
    <n v="0"/>
    <m/>
    <m/>
    <n v="0"/>
    <m/>
    <m/>
    <m/>
    <m/>
    <m/>
    <m/>
    <n v="9583007"/>
    <n v="10576930"/>
  </r>
  <r>
    <x v="3"/>
    <x v="11"/>
    <s v="Institute for Human and Machine Cognition "/>
    <m/>
    <m/>
    <x v="12"/>
    <m/>
    <m/>
    <n v="1457864"/>
    <n v="2739184"/>
    <m/>
    <m/>
    <m/>
    <m/>
    <n v="0"/>
    <m/>
    <m/>
    <n v="0"/>
    <n v="1457864"/>
    <n v="2739184"/>
    <m/>
    <m/>
    <m/>
    <m/>
    <n v="0"/>
    <m/>
    <m/>
    <n v="0"/>
    <m/>
    <m/>
    <m/>
    <m/>
    <m/>
    <m/>
    <n v="1457864"/>
    <n v="2739184"/>
  </r>
  <r>
    <x v="3"/>
    <x v="12"/>
    <s v="Special line items for education operations"/>
    <m/>
    <m/>
    <x v="12"/>
    <m/>
    <m/>
    <m/>
    <m/>
    <m/>
    <m/>
    <m/>
    <m/>
    <n v="0"/>
    <m/>
    <m/>
    <n v="0"/>
    <n v="0"/>
    <n v="0"/>
    <m/>
    <m/>
    <m/>
    <m/>
    <n v="0"/>
    <m/>
    <m/>
    <n v="0"/>
    <m/>
    <m/>
    <m/>
    <m/>
    <m/>
    <m/>
    <n v="0"/>
    <n v="0"/>
  </r>
  <r>
    <x v="3"/>
    <x v="12"/>
    <s v="Distance Learning Consortium"/>
    <m/>
    <m/>
    <x v="12"/>
    <m/>
    <m/>
    <n v="573859"/>
    <m/>
    <m/>
    <m/>
    <m/>
    <m/>
    <n v="0"/>
    <m/>
    <m/>
    <n v="0"/>
    <n v="573859"/>
    <n v="0"/>
    <m/>
    <m/>
    <m/>
    <m/>
    <n v="0"/>
    <m/>
    <m/>
    <n v="0"/>
    <m/>
    <m/>
    <m/>
    <m/>
    <m/>
    <m/>
    <n v="573859"/>
    <n v="0"/>
  </r>
  <r>
    <x v="3"/>
    <x v="14"/>
    <s v="Statewide System Operations"/>
    <m/>
    <m/>
    <x v="12"/>
    <m/>
    <m/>
    <m/>
    <m/>
    <m/>
    <m/>
    <m/>
    <m/>
    <n v="0"/>
    <m/>
    <m/>
    <n v="0"/>
    <n v="0"/>
    <n v="0"/>
    <m/>
    <m/>
    <m/>
    <m/>
    <n v="0"/>
    <m/>
    <m/>
    <n v="0"/>
    <m/>
    <m/>
    <m/>
    <m/>
    <m/>
    <m/>
    <n v="0"/>
    <n v="0"/>
  </r>
  <r>
    <x v="3"/>
    <x v="15"/>
    <s v="Colleges and universities"/>
    <m/>
    <m/>
    <x v="12"/>
    <m/>
    <m/>
    <m/>
    <m/>
    <m/>
    <m/>
    <m/>
    <m/>
    <n v="0"/>
    <m/>
    <m/>
    <n v="0"/>
    <n v="0"/>
    <n v="0"/>
    <m/>
    <m/>
    <m/>
    <m/>
    <n v="0"/>
    <m/>
    <m/>
    <n v="0"/>
    <m/>
    <m/>
    <m/>
    <m/>
    <m/>
    <m/>
    <n v="0"/>
    <n v="0"/>
  </r>
  <r>
    <x v="3"/>
    <x v="15"/>
    <s v="FL. Board of Governors"/>
    <m/>
    <m/>
    <x v="12"/>
    <m/>
    <m/>
    <m/>
    <m/>
    <m/>
    <m/>
    <m/>
    <m/>
    <n v="0"/>
    <m/>
    <m/>
    <n v="0"/>
    <n v="0"/>
    <n v="0"/>
    <n v="5519188"/>
    <n v="6310587"/>
    <m/>
    <m/>
    <n v="0"/>
    <m/>
    <m/>
    <n v="0"/>
    <m/>
    <m/>
    <m/>
    <m/>
    <m/>
    <m/>
    <n v="5519188"/>
    <n v="6310587"/>
  </r>
  <r>
    <x v="3"/>
    <x v="17"/>
    <s v="National or regional associations, compacts or consortia"/>
    <m/>
    <m/>
    <x v="12"/>
    <m/>
    <m/>
    <m/>
    <m/>
    <m/>
    <m/>
    <m/>
    <m/>
    <n v="0"/>
    <m/>
    <m/>
    <n v="0"/>
    <n v="0"/>
    <n v="0"/>
    <m/>
    <m/>
    <m/>
    <m/>
    <n v="0"/>
    <m/>
    <m/>
    <n v="0"/>
    <m/>
    <m/>
    <m/>
    <m/>
    <m/>
    <m/>
    <n v="0"/>
    <n v="0"/>
  </r>
  <r>
    <x v="3"/>
    <x v="17"/>
    <s v="SREB membership"/>
    <m/>
    <m/>
    <x v="12"/>
    <m/>
    <m/>
    <m/>
    <m/>
    <m/>
    <m/>
    <m/>
    <m/>
    <n v="0"/>
    <m/>
    <m/>
    <n v="0"/>
    <n v="0"/>
    <n v="0"/>
    <n v="193550"/>
    <n v="206550"/>
    <m/>
    <m/>
    <n v="0"/>
    <m/>
    <m/>
    <n v="0"/>
    <m/>
    <m/>
    <m/>
    <m/>
    <m/>
    <m/>
    <n v="193550"/>
    <n v="206550"/>
  </r>
  <r>
    <x v="3"/>
    <x v="18"/>
    <s v="Adm. of Statewide Student Aid Progs. (incldng centralized guaranteed student loans)"/>
    <m/>
    <m/>
    <x v="12"/>
    <m/>
    <m/>
    <m/>
    <m/>
    <m/>
    <m/>
    <m/>
    <m/>
    <n v="0"/>
    <m/>
    <m/>
    <n v="0"/>
    <n v="0"/>
    <n v="0"/>
    <m/>
    <m/>
    <m/>
    <m/>
    <n v="0"/>
    <m/>
    <m/>
    <n v="0"/>
    <m/>
    <m/>
    <m/>
    <m/>
    <m/>
    <m/>
    <n v="0"/>
    <n v="0"/>
  </r>
  <r>
    <x v="3"/>
    <x v="19"/>
    <s v="State Support to Private Colleges Other Than Student Aid"/>
    <m/>
    <m/>
    <x v="12"/>
    <m/>
    <m/>
    <m/>
    <m/>
    <m/>
    <m/>
    <m/>
    <m/>
    <n v="0"/>
    <m/>
    <m/>
    <n v="0"/>
    <n v="0"/>
    <n v="0"/>
    <m/>
    <m/>
    <m/>
    <m/>
    <n v="0"/>
    <m/>
    <m/>
    <n v="0"/>
    <m/>
    <m/>
    <m/>
    <m/>
    <m/>
    <m/>
    <n v="0"/>
    <n v="0"/>
  </r>
  <r>
    <x v="3"/>
    <x v="19"/>
    <s v="1st Accredited Medical School Support for Univ Miami"/>
    <m/>
    <m/>
    <x v="12"/>
    <m/>
    <m/>
    <m/>
    <m/>
    <m/>
    <m/>
    <m/>
    <m/>
    <n v="0"/>
    <m/>
    <m/>
    <n v="0"/>
    <n v="0"/>
    <n v="0"/>
    <n v="5835409"/>
    <m/>
    <m/>
    <m/>
    <n v="0"/>
    <m/>
    <m/>
    <n v="0"/>
    <m/>
    <m/>
    <m/>
    <m/>
    <m/>
    <m/>
    <n v="5835409"/>
    <n v="0"/>
  </r>
  <r>
    <x v="3"/>
    <x v="19"/>
    <s v="Regional Diabetes Center at Univ of Miami"/>
    <m/>
    <m/>
    <x v="12"/>
    <m/>
    <m/>
    <m/>
    <m/>
    <m/>
    <m/>
    <m/>
    <m/>
    <n v="0"/>
    <m/>
    <m/>
    <n v="0"/>
    <n v="0"/>
    <n v="0"/>
    <n v="305015"/>
    <m/>
    <m/>
    <m/>
    <n v="0"/>
    <m/>
    <m/>
    <n v="0"/>
    <m/>
    <m/>
    <m/>
    <m/>
    <m/>
    <m/>
    <n v="305015"/>
    <n v="0"/>
  </r>
  <r>
    <x v="3"/>
    <x v="19"/>
    <s v="Autism Program at Univ Miami"/>
    <m/>
    <m/>
    <x v="12"/>
    <m/>
    <m/>
    <m/>
    <m/>
    <m/>
    <m/>
    <m/>
    <m/>
    <n v="0"/>
    <m/>
    <m/>
    <n v="0"/>
    <n v="0"/>
    <n v="0"/>
    <n v="945826"/>
    <n v="1040409"/>
    <m/>
    <m/>
    <n v="0"/>
    <m/>
    <m/>
    <n v="0"/>
    <m/>
    <m/>
    <m/>
    <m/>
    <m/>
    <m/>
    <n v="945826"/>
    <n v="1040409"/>
  </r>
  <r>
    <x v="3"/>
    <x v="19"/>
    <s v="Nova SE Univ-health programs (osteopathy, pharmacy, optometry)"/>
    <m/>
    <m/>
    <x v="12"/>
    <m/>
    <m/>
    <m/>
    <m/>
    <m/>
    <m/>
    <m/>
    <m/>
    <n v="0"/>
    <m/>
    <m/>
    <n v="0"/>
    <n v="0"/>
    <n v="0"/>
    <n v="4260832"/>
    <m/>
    <m/>
    <m/>
    <n v="0"/>
    <m/>
    <m/>
    <n v="0"/>
    <m/>
    <m/>
    <m/>
    <m/>
    <m/>
    <m/>
    <n v="4260832"/>
    <n v="0"/>
  </r>
  <r>
    <x v="3"/>
    <x v="19"/>
    <s v="Bethune-Cookman"/>
    <m/>
    <m/>
    <x v="12"/>
    <m/>
    <m/>
    <m/>
    <m/>
    <m/>
    <m/>
    <m/>
    <m/>
    <n v="0"/>
    <m/>
    <m/>
    <n v="0"/>
    <n v="0"/>
    <n v="0"/>
    <n v="3242702"/>
    <n v="3460111"/>
    <m/>
    <m/>
    <n v="0"/>
    <m/>
    <m/>
    <n v="0"/>
    <m/>
    <m/>
    <m/>
    <m/>
    <m/>
    <m/>
    <n v="3242702"/>
    <n v="3460111"/>
  </r>
  <r>
    <x v="3"/>
    <x v="19"/>
    <s v="Edwards Waters College"/>
    <m/>
    <m/>
    <x v="12"/>
    <m/>
    <m/>
    <m/>
    <m/>
    <m/>
    <m/>
    <m/>
    <m/>
    <n v="0"/>
    <m/>
    <m/>
    <n v="0"/>
    <n v="0"/>
    <n v="0"/>
    <n v="2576766"/>
    <n v="2749526"/>
    <m/>
    <m/>
    <n v="0"/>
    <m/>
    <m/>
    <n v="0"/>
    <m/>
    <m/>
    <m/>
    <m/>
    <m/>
    <m/>
    <n v="2576766"/>
    <n v="2749526"/>
  </r>
  <r>
    <x v="3"/>
    <x v="19"/>
    <s v="Fl Memorial College"/>
    <m/>
    <m/>
    <x v="12"/>
    <m/>
    <m/>
    <m/>
    <m/>
    <m/>
    <m/>
    <m/>
    <m/>
    <n v="0"/>
    <m/>
    <m/>
    <n v="0"/>
    <n v="0"/>
    <n v="0"/>
    <n v="2841536"/>
    <n v="3032048"/>
    <m/>
    <m/>
    <n v="0"/>
    <m/>
    <m/>
    <n v="0"/>
    <m/>
    <m/>
    <m/>
    <m/>
    <m/>
    <m/>
    <n v="2841536"/>
    <n v="3032048"/>
  </r>
  <r>
    <x v="3"/>
    <x v="19"/>
    <s v="Library resources for HBCU's"/>
    <m/>
    <m/>
    <x v="12"/>
    <m/>
    <m/>
    <m/>
    <m/>
    <m/>
    <m/>
    <m/>
    <m/>
    <n v="0"/>
    <m/>
    <m/>
    <n v="0"/>
    <n v="0"/>
    <n v="0"/>
    <n v="112327"/>
    <n v="119858"/>
    <m/>
    <m/>
    <n v="0"/>
    <m/>
    <m/>
    <n v="0"/>
    <m/>
    <m/>
    <m/>
    <m/>
    <m/>
    <m/>
    <n v="112327"/>
    <n v="119858"/>
  </r>
  <r>
    <x v="3"/>
    <x v="20"/>
    <s v="Contract Education Programs"/>
    <m/>
    <m/>
    <x v="12"/>
    <m/>
    <m/>
    <m/>
    <m/>
    <m/>
    <m/>
    <m/>
    <m/>
    <n v="0"/>
    <m/>
    <m/>
    <n v="0"/>
    <n v="0"/>
    <n v="0"/>
    <m/>
    <m/>
    <m/>
    <m/>
    <n v="0"/>
    <m/>
    <m/>
    <n v="0"/>
    <m/>
    <m/>
    <m/>
    <m/>
    <m/>
    <m/>
    <n v="0"/>
    <n v="0"/>
  </r>
  <r>
    <x v="3"/>
    <x v="21"/>
    <s v="SREB contract program with private colleges"/>
    <m/>
    <m/>
    <x v="12"/>
    <m/>
    <m/>
    <m/>
    <m/>
    <m/>
    <m/>
    <m/>
    <m/>
    <n v="0"/>
    <m/>
    <m/>
    <n v="0"/>
    <n v="0"/>
    <n v="0"/>
    <m/>
    <m/>
    <m/>
    <m/>
    <n v="0"/>
    <m/>
    <m/>
    <n v="0"/>
    <m/>
    <m/>
    <m/>
    <m/>
    <m/>
    <m/>
    <n v="0"/>
    <n v="0"/>
  </r>
  <r>
    <x v="3"/>
    <x v="22"/>
    <s v="SREB contract program with public colleges"/>
    <m/>
    <m/>
    <x v="12"/>
    <m/>
    <m/>
    <m/>
    <m/>
    <m/>
    <m/>
    <m/>
    <m/>
    <n v="0"/>
    <m/>
    <m/>
    <n v="0"/>
    <n v="0"/>
    <n v="0"/>
    <m/>
    <m/>
    <m/>
    <m/>
    <n v="0"/>
    <m/>
    <m/>
    <n v="0"/>
    <m/>
    <m/>
    <m/>
    <m/>
    <m/>
    <m/>
    <n v="0"/>
    <n v="0"/>
  </r>
  <r>
    <x v="3"/>
    <x v="23"/>
    <s v="Other contract education programs"/>
    <m/>
    <m/>
    <x v="12"/>
    <m/>
    <m/>
    <m/>
    <m/>
    <m/>
    <m/>
    <m/>
    <m/>
    <n v="0"/>
    <m/>
    <m/>
    <n v="0"/>
    <n v="0"/>
    <n v="0"/>
    <m/>
    <m/>
    <m/>
    <m/>
    <n v="0"/>
    <m/>
    <m/>
    <n v="0"/>
    <m/>
    <m/>
    <m/>
    <m/>
    <m/>
    <m/>
    <n v="0"/>
    <n v="0"/>
  </r>
  <r>
    <x v="3"/>
    <x v="23"/>
    <s v="University of Miami academic program contracts"/>
    <m/>
    <m/>
    <x v="12"/>
    <m/>
    <m/>
    <m/>
    <m/>
    <m/>
    <m/>
    <m/>
    <m/>
    <n v="0"/>
    <m/>
    <m/>
    <n v="0"/>
    <n v="0"/>
    <n v="0"/>
    <n v="299782"/>
    <n v="100000"/>
    <m/>
    <m/>
    <n v="0"/>
    <m/>
    <m/>
    <n v="0"/>
    <m/>
    <m/>
    <m/>
    <m/>
    <m/>
    <m/>
    <n v="299782"/>
    <n v="100000"/>
  </r>
  <r>
    <x v="3"/>
    <x v="23"/>
    <s v="Nova SE Univ academic program contracts"/>
    <m/>
    <m/>
    <x v="12"/>
    <m/>
    <m/>
    <m/>
    <m/>
    <m/>
    <m/>
    <m/>
    <m/>
    <n v="0"/>
    <m/>
    <m/>
    <n v="0"/>
    <n v="0"/>
    <n v="0"/>
    <n v="47246"/>
    <n v="39214"/>
    <m/>
    <m/>
    <n v="0"/>
    <m/>
    <m/>
    <n v="0"/>
    <m/>
    <m/>
    <m/>
    <m/>
    <m/>
    <m/>
    <n v="47246"/>
    <n v="39214"/>
  </r>
  <r>
    <x v="3"/>
    <x v="23"/>
    <s v="FL Inst. Of Technology"/>
    <m/>
    <m/>
    <x v="12"/>
    <m/>
    <m/>
    <m/>
    <m/>
    <m/>
    <m/>
    <m/>
    <m/>
    <n v="0"/>
    <m/>
    <m/>
    <n v="0"/>
    <n v="0"/>
    <n v="0"/>
    <n v="155131"/>
    <n v="1000000"/>
    <m/>
    <m/>
    <n v="0"/>
    <m/>
    <m/>
    <n v="0"/>
    <m/>
    <m/>
    <m/>
    <m/>
    <m/>
    <m/>
    <n v="155131"/>
    <n v="1000000"/>
  </r>
  <r>
    <x v="3"/>
    <x v="23"/>
    <s v="Barry University"/>
    <m/>
    <m/>
    <x v="12"/>
    <m/>
    <m/>
    <m/>
    <m/>
    <m/>
    <m/>
    <m/>
    <m/>
    <n v="0"/>
    <m/>
    <m/>
    <n v="0"/>
    <n v="0"/>
    <n v="0"/>
    <n v="84215"/>
    <n v="523520"/>
    <m/>
    <m/>
    <n v="0"/>
    <m/>
    <m/>
    <n v="0"/>
    <m/>
    <m/>
    <m/>
    <m/>
    <m/>
    <m/>
    <n v="84215"/>
    <n v="523520"/>
  </r>
  <r>
    <x v="3"/>
    <x v="23"/>
    <s v="Le Comm/Florida Health Programs"/>
    <m/>
    <m/>
    <x v="12"/>
    <m/>
    <m/>
    <m/>
    <m/>
    <m/>
    <m/>
    <m/>
    <m/>
    <n v="0"/>
    <m/>
    <m/>
    <n v="0"/>
    <n v="0"/>
    <n v="0"/>
    <n v="925500"/>
    <n v="1018050"/>
    <m/>
    <m/>
    <n v="0"/>
    <m/>
    <m/>
    <n v="0"/>
    <m/>
    <m/>
    <m/>
    <m/>
    <m/>
    <m/>
    <n v="925500"/>
    <n v="1018050"/>
  </r>
  <r>
    <x v="3"/>
    <x v="24"/>
    <s v="Statewide Student Financial Aid Programs Administered Off Campus"/>
    <m/>
    <m/>
    <x v="12"/>
    <m/>
    <m/>
    <m/>
    <m/>
    <m/>
    <m/>
    <m/>
    <m/>
    <n v="0"/>
    <m/>
    <m/>
    <n v="0"/>
    <n v="0"/>
    <n v="0"/>
    <m/>
    <m/>
    <m/>
    <m/>
    <n v="0"/>
    <m/>
    <m/>
    <n v="0"/>
    <m/>
    <m/>
    <m/>
    <m/>
    <m/>
    <m/>
    <n v="0"/>
    <n v="0"/>
  </r>
  <r>
    <x v="3"/>
    <x v="25"/>
    <s v="Available to public &amp; private sector students"/>
    <m/>
    <m/>
    <x v="12"/>
    <m/>
    <m/>
    <m/>
    <m/>
    <m/>
    <m/>
    <m/>
    <m/>
    <n v="0"/>
    <m/>
    <m/>
    <n v="0"/>
    <n v="0"/>
    <n v="0"/>
    <m/>
    <m/>
    <m/>
    <m/>
    <n v="0"/>
    <m/>
    <m/>
    <n v="0"/>
    <m/>
    <m/>
    <m/>
    <m/>
    <m/>
    <m/>
    <n v="0"/>
    <n v="0"/>
  </r>
  <r>
    <x v="3"/>
    <x v="25"/>
    <s v="Bright Futures Scholarships"/>
    <m/>
    <m/>
    <x v="12"/>
    <m/>
    <m/>
    <m/>
    <m/>
    <m/>
    <m/>
    <m/>
    <m/>
    <n v="0"/>
    <m/>
    <m/>
    <n v="0"/>
    <n v="0"/>
    <n v="0"/>
    <m/>
    <m/>
    <m/>
    <m/>
    <n v="0"/>
    <m/>
    <m/>
    <n v="0"/>
    <m/>
    <m/>
    <m/>
    <m/>
    <m/>
    <m/>
    <n v="0"/>
    <n v="0"/>
  </r>
  <r>
    <x v="3"/>
    <x v="26"/>
    <s v="Need-based"/>
    <m/>
    <m/>
    <x v="12"/>
    <m/>
    <m/>
    <m/>
    <m/>
    <m/>
    <m/>
    <m/>
    <m/>
    <n v="0"/>
    <m/>
    <m/>
    <n v="0"/>
    <n v="0"/>
    <n v="0"/>
    <m/>
    <m/>
    <m/>
    <m/>
    <n v="0"/>
    <m/>
    <m/>
    <n v="0"/>
    <m/>
    <m/>
    <m/>
    <m/>
    <m/>
    <m/>
    <n v="0"/>
    <n v="0"/>
  </r>
  <r>
    <x v="3"/>
    <x v="27"/>
    <s v="Non need-based"/>
    <m/>
    <m/>
    <x v="12"/>
    <m/>
    <m/>
    <m/>
    <m/>
    <m/>
    <m/>
    <m/>
    <m/>
    <n v="0"/>
    <m/>
    <m/>
    <n v="0"/>
    <n v="0"/>
    <n v="0"/>
    <n v="350000000"/>
    <n v="329408935"/>
    <m/>
    <m/>
    <n v="0"/>
    <m/>
    <m/>
    <n v="0"/>
    <m/>
    <m/>
    <m/>
    <m/>
    <m/>
    <m/>
    <n v="350000000"/>
    <n v="329408935"/>
  </r>
  <r>
    <x v="3"/>
    <x v="28"/>
    <s v="Amount to public sector students"/>
    <m/>
    <m/>
    <x v="12"/>
    <m/>
    <m/>
    <m/>
    <m/>
    <m/>
    <m/>
    <m/>
    <m/>
    <n v="0"/>
    <m/>
    <m/>
    <n v="0"/>
    <n v="0"/>
    <n v="0"/>
    <m/>
    <m/>
    <m/>
    <m/>
    <n v="0"/>
    <m/>
    <m/>
    <n v="0"/>
    <m/>
    <m/>
    <m/>
    <m/>
    <m/>
    <m/>
    <n v="0"/>
    <n v="0"/>
  </r>
  <r>
    <x v="3"/>
    <x v="29"/>
    <s v="Need-based"/>
    <m/>
    <m/>
    <x v="12"/>
    <m/>
    <m/>
    <m/>
    <m/>
    <m/>
    <m/>
    <m/>
    <m/>
    <n v="0"/>
    <m/>
    <m/>
    <n v="0"/>
    <n v="0"/>
    <n v="0"/>
    <m/>
    <m/>
    <m/>
    <m/>
    <n v="0"/>
    <m/>
    <m/>
    <n v="0"/>
    <m/>
    <m/>
    <m/>
    <m/>
    <m/>
    <m/>
    <n v="0"/>
    <n v="0"/>
  </r>
  <r>
    <x v="3"/>
    <x v="30"/>
    <s v="Non need-based"/>
    <m/>
    <m/>
    <x v="12"/>
    <m/>
    <m/>
    <m/>
    <m/>
    <m/>
    <m/>
    <m/>
    <m/>
    <n v="0"/>
    <m/>
    <m/>
    <n v="0"/>
    <n v="0"/>
    <n v="0"/>
    <m/>
    <m/>
    <m/>
    <m/>
    <n v="0"/>
    <m/>
    <m/>
    <n v="0"/>
    <m/>
    <m/>
    <m/>
    <m/>
    <m/>
    <m/>
    <n v="0"/>
    <n v="0"/>
  </r>
  <r>
    <x v="3"/>
    <x v="31"/>
    <s v="Amount to private sector students"/>
    <m/>
    <m/>
    <x v="12"/>
    <m/>
    <m/>
    <m/>
    <m/>
    <m/>
    <m/>
    <m/>
    <m/>
    <n v="0"/>
    <m/>
    <m/>
    <n v="0"/>
    <n v="0"/>
    <n v="0"/>
    <m/>
    <m/>
    <m/>
    <m/>
    <n v="0"/>
    <m/>
    <m/>
    <n v="0"/>
    <m/>
    <m/>
    <m/>
    <m/>
    <m/>
    <m/>
    <n v="0"/>
    <n v="0"/>
  </r>
  <r>
    <x v="3"/>
    <x v="32"/>
    <s v="Need-based"/>
    <m/>
    <m/>
    <x v="12"/>
    <m/>
    <m/>
    <m/>
    <m/>
    <m/>
    <m/>
    <m/>
    <m/>
    <n v="0"/>
    <m/>
    <m/>
    <n v="0"/>
    <n v="0"/>
    <n v="0"/>
    <m/>
    <m/>
    <m/>
    <m/>
    <n v="0"/>
    <m/>
    <m/>
    <n v="0"/>
    <m/>
    <m/>
    <m/>
    <m/>
    <m/>
    <m/>
    <n v="0"/>
    <n v="0"/>
  </r>
  <r>
    <x v="3"/>
    <x v="33"/>
    <s v="Non need-based"/>
    <m/>
    <m/>
    <x v="12"/>
    <m/>
    <m/>
    <m/>
    <m/>
    <m/>
    <m/>
    <m/>
    <m/>
    <n v="0"/>
    <m/>
    <m/>
    <n v="0"/>
    <n v="0"/>
    <n v="0"/>
    <m/>
    <m/>
    <m/>
    <m/>
    <n v="0"/>
    <m/>
    <m/>
    <n v="0"/>
    <m/>
    <m/>
    <m/>
    <m/>
    <m/>
    <m/>
    <n v="0"/>
    <n v="0"/>
  </r>
  <r>
    <x v="3"/>
    <x v="25"/>
    <s v="Children of deceased/disabled Veterans"/>
    <m/>
    <m/>
    <x v="12"/>
    <m/>
    <m/>
    <m/>
    <m/>
    <m/>
    <m/>
    <m/>
    <m/>
    <n v="0"/>
    <m/>
    <m/>
    <n v="0"/>
    <n v="0"/>
    <n v="0"/>
    <m/>
    <m/>
    <m/>
    <m/>
    <n v="0"/>
    <m/>
    <m/>
    <n v="0"/>
    <m/>
    <m/>
    <m/>
    <m/>
    <m/>
    <m/>
    <n v="0"/>
    <n v="0"/>
  </r>
  <r>
    <x v="3"/>
    <x v="26"/>
    <s v="Need-based"/>
    <m/>
    <m/>
    <x v="12"/>
    <m/>
    <m/>
    <m/>
    <m/>
    <m/>
    <m/>
    <m/>
    <m/>
    <n v="0"/>
    <m/>
    <m/>
    <n v="0"/>
    <n v="0"/>
    <n v="0"/>
    <m/>
    <m/>
    <m/>
    <m/>
    <n v="0"/>
    <m/>
    <m/>
    <n v="0"/>
    <m/>
    <m/>
    <m/>
    <m/>
    <m/>
    <m/>
    <n v="0"/>
    <n v="0"/>
  </r>
  <r>
    <x v="3"/>
    <x v="27"/>
    <s v="Non need-based"/>
    <m/>
    <m/>
    <x v="12"/>
    <m/>
    <m/>
    <m/>
    <m/>
    <m/>
    <m/>
    <m/>
    <m/>
    <n v="0"/>
    <m/>
    <m/>
    <n v="0"/>
    <n v="0"/>
    <n v="0"/>
    <n v="2442776"/>
    <n v="2895907"/>
    <m/>
    <m/>
    <n v="0"/>
    <m/>
    <m/>
    <n v="0"/>
    <m/>
    <m/>
    <m/>
    <m/>
    <m/>
    <m/>
    <n v="2442776"/>
    <n v="2895907"/>
  </r>
  <r>
    <x v="3"/>
    <x v="28"/>
    <s v="Amount to public sector students"/>
    <m/>
    <m/>
    <x v="12"/>
    <m/>
    <m/>
    <m/>
    <m/>
    <m/>
    <m/>
    <m/>
    <m/>
    <n v="0"/>
    <m/>
    <m/>
    <n v="0"/>
    <n v="0"/>
    <n v="0"/>
    <m/>
    <m/>
    <m/>
    <m/>
    <n v="0"/>
    <m/>
    <m/>
    <n v="0"/>
    <m/>
    <m/>
    <m/>
    <m/>
    <m/>
    <m/>
    <n v="0"/>
    <n v="0"/>
  </r>
  <r>
    <x v="3"/>
    <x v="29"/>
    <s v="Need-based"/>
    <m/>
    <m/>
    <x v="12"/>
    <m/>
    <m/>
    <m/>
    <m/>
    <m/>
    <m/>
    <m/>
    <m/>
    <n v="0"/>
    <m/>
    <m/>
    <n v="0"/>
    <n v="0"/>
    <n v="0"/>
    <m/>
    <m/>
    <m/>
    <m/>
    <n v="0"/>
    <m/>
    <m/>
    <n v="0"/>
    <m/>
    <m/>
    <m/>
    <m/>
    <m/>
    <m/>
    <n v="0"/>
    <n v="0"/>
  </r>
  <r>
    <x v="3"/>
    <x v="30"/>
    <s v="Non need-based"/>
    <m/>
    <m/>
    <x v="12"/>
    <m/>
    <m/>
    <m/>
    <m/>
    <m/>
    <m/>
    <m/>
    <m/>
    <n v="0"/>
    <m/>
    <m/>
    <n v="0"/>
    <n v="0"/>
    <n v="0"/>
    <m/>
    <m/>
    <m/>
    <m/>
    <n v="0"/>
    <m/>
    <m/>
    <n v="0"/>
    <m/>
    <m/>
    <m/>
    <m/>
    <m/>
    <m/>
    <n v="0"/>
    <n v="0"/>
  </r>
  <r>
    <x v="3"/>
    <x v="31"/>
    <s v="Amount to private sector students"/>
    <m/>
    <m/>
    <x v="12"/>
    <m/>
    <m/>
    <m/>
    <m/>
    <m/>
    <m/>
    <m/>
    <m/>
    <n v="0"/>
    <m/>
    <m/>
    <n v="0"/>
    <n v="0"/>
    <n v="0"/>
    <m/>
    <m/>
    <m/>
    <m/>
    <n v="0"/>
    <m/>
    <m/>
    <n v="0"/>
    <m/>
    <m/>
    <m/>
    <m/>
    <m/>
    <m/>
    <n v="0"/>
    <n v="0"/>
  </r>
  <r>
    <x v="3"/>
    <x v="32"/>
    <s v="Need-based"/>
    <m/>
    <m/>
    <x v="12"/>
    <m/>
    <m/>
    <m/>
    <m/>
    <m/>
    <m/>
    <m/>
    <m/>
    <n v="0"/>
    <m/>
    <m/>
    <n v="0"/>
    <n v="0"/>
    <n v="0"/>
    <m/>
    <m/>
    <m/>
    <m/>
    <n v="0"/>
    <m/>
    <m/>
    <n v="0"/>
    <m/>
    <m/>
    <m/>
    <m/>
    <m/>
    <m/>
    <n v="0"/>
    <n v="0"/>
  </r>
  <r>
    <x v="3"/>
    <x v="33"/>
    <s v="Non need-based"/>
    <m/>
    <m/>
    <x v="12"/>
    <m/>
    <m/>
    <m/>
    <m/>
    <m/>
    <m/>
    <m/>
    <m/>
    <n v="0"/>
    <m/>
    <m/>
    <n v="0"/>
    <n v="0"/>
    <n v="0"/>
    <m/>
    <m/>
    <m/>
    <m/>
    <n v="0"/>
    <m/>
    <m/>
    <n v="0"/>
    <m/>
    <m/>
    <m/>
    <m/>
    <m/>
    <m/>
    <n v="0"/>
    <n v="0"/>
  </r>
  <r>
    <x v="3"/>
    <x v="25"/>
    <s v="Florida Work Experience"/>
    <m/>
    <m/>
    <x v="12"/>
    <m/>
    <m/>
    <m/>
    <m/>
    <m/>
    <m/>
    <m/>
    <m/>
    <n v="0"/>
    <m/>
    <m/>
    <n v="0"/>
    <n v="0"/>
    <n v="0"/>
    <m/>
    <m/>
    <m/>
    <m/>
    <n v="0"/>
    <m/>
    <m/>
    <n v="0"/>
    <m/>
    <m/>
    <m/>
    <m/>
    <m/>
    <m/>
    <n v="0"/>
    <n v="0"/>
  </r>
  <r>
    <x v="3"/>
    <x v="26"/>
    <s v="Need-based"/>
    <m/>
    <m/>
    <x v="12"/>
    <m/>
    <m/>
    <m/>
    <m/>
    <m/>
    <m/>
    <m/>
    <m/>
    <n v="0"/>
    <m/>
    <m/>
    <n v="0"/>
    <n v="0"/>
    <n v="0"/>
    <n v="1569922"/>
    <n v="1569922"/>
    <m/>
    <m/>
    <n v="0"/>
    <m/>
    <m/>
    <n v="0"/>
    <m/>
    <m/>
    <m/>
    <m/>
    <m/>
    <m/>
    <n v="1569922"/>
    <n v="1569922"/>
  </r>
  <r>
    <x v="3"/>
    <x v="27"/>
    <s v="Non need-based"/>
    <m/>
    <m/>
    <x v="12"/>
    <m/>
    <m/>
    <m/>
    <m/>
    <m/>
    <m/>
    <m/>
    <m/>
    <n v="0"/>
    <m/>
    <m/>
    <n v="0"/>
    <n v="0"/>
    <n v="0"/>
    <m/>
    <m/>
    <m/>
    <m/>
    <n v="0"/>
    <m/>
    <m/>
    <n v="0"/>
    <m/>
    <m/>
    <m/>
    <m/>
    <m/>
    <m/>
    <n v="0"/>
    <n v="0"/>
  </r>
  <r>
    <x v="3"/>
    <x v="28"/>
    <s v="Amount to public sector students"/>
    <m/>
    <m/>
    <x v="12"/>
    <m/>
    <m/>
    <m/>
    <m/>
    <m/>
    <m/>
    <m/>
    <m/>
    <n v="0"/>
    <m/>
    <m/>
    <n v="0"/>
    <n v="0"/>
    <n v="0"/>
    <m/>
    <m/>
    <m/>
    <m/>
    <n v="0"/>
    <m/>
    <m/>
    <n v="0"/>
    <m/>
    <m/>
    <m/>
    <m/>
    <m/>
    <m/>
    <n v="0"/>
    <n v="0"/>
  </r>
  <r>
    <x v="3"/>
    <x v="29"/>
    <s v="Need-based"/>
    <m/>
    <m/>
    <x v="12"/>
    <m/>
    <m/>
    <m/>
    <m/>
    <m/>
    <m/>
    <m/>
    <m/>
    <n v="0"/>
    <m/>
    <m/>
    <n v="0"/>
    <n v="0"/>
    <n v="0"/>
    <m/>
    <m/>
    <m/>
    <m/>
    <n v="0"/>
    <m/>
    <m/>
    <n v="0"/>
    <m/>
    <m/>
    <m/>
    <m/>
    <m/>
    <m/>
    <n v="0"/>
    <n v="0"/>
  </r>
  <r>
    <x v="3"/>
    <x v="30"/>
    <s v="Non need-based"/>
    <m/>
    <m/>
    <x v="12"/>
    <m/>
    <m/>
    <m/>
    <m/>
    <m/>
    <m/>
    <m/>
    <m/>
    <n v="0"/>
    <m/>
    <m/>
    <n v="0"/>
    <n v="0"/>
    <n v="0"/>
    <m/>
    <m/>
    <m/>
    <m/>
    <n v="0"/>
    <m/>
    <m/>
    <n v="0"/>
    <m/>
    <m/>
    <m/>
    <m/>
    <m/>
    <m/>
    <n v="0"/>
    <n v="0"/>
  </r>
  <r>
    <x v="3"/>
    <x v="31"/>
    <s v="Amount to private sector students"/>
    <m/>
    <m/>
    <x v="12"/>
    <m/>
    <m/>
    <m/>
    <m/>
    <m/>
    <m/>
    <m/>
    <m/>
    <n v="0"/>
    <m/>
    <m/>
    <n v="0"/>
    <n v="0"/>
    <n v="0"/>
    <m/>
    <m/>
    <m/>
    <m/>
    <n v="0"/>
    <m/>
    <m/>
    <n v="0"/>
    <m/>
    <m/>
    <m/>
    <m/>
    <m/>
    <m/>
    <n v="0"/>
    <n v="0"/>
  </r>
  <r>
    <x v="3"/>
    <x v="32"/>
    <s v="Need-based"/>
    <m/>
    <m/>
    <x v="12"/>
    <m/>
    <m/>
    <m/>
    <m/>
    <m/>
    <m/>
    <m/>
    <m/>
    <n v="0"/>
    <m/>
    <m/>
    <n v="0"/>
    <n v="0"/>
    <n v="0"/>
    <m/>
    <m/>
    <m/>
    <m/>
    <n v="0"/>
    <m/>
    <m/>
    <n v="0"/>
    <m/>
    <m/>
    <m/>
    <m/>
    <m/>
    <m/>
    <n v="0"/>
    <n v="0"/>
  </r>
  <r>
    <x v="3"/>
    <x v="33"/>
    <s v="Non need-based"/>
    <m/>
    <m/>
    <x v="12"/>
    <m/>
    <m/>
    <m/>
    <m/>
    <m/>
    <m/>
    <m/>
    <m/>
    <n v="0"/>
    <m/>
    <m/>
    <n v="0"/>
    <n v="0"/>
    <n v="0"/>
    <m/>
    <m/>
    <m/>
    <m/>
    <n v="0"/>
    <m/>
    <m/>
    <n v="0"/>
    <m/>
    <m/>
    <m/>
    <m/>
    <m/>
    <m/>
    <n v="0"/>
    <n v="0"/>
  </r>
  <r>
    <x v="3"/>
    <x v="25"/>
    <s v="Jose Marti Scholarship Challenge Grant"/>
    <m/>
    <m/>
    <x v="12"/>
    <m/>
    <m/>
    <m/>
    <m/>
    <m/>
    <m/>
    <m/>
    <m/>
    <n v="0"/>
    <m/>
    <m/>
    <n v="0"/>
    <n v="0"/>
    <n v="0"/>
    <m/>
    <m/>
    <m/>
    <m/>
    <n v="0"/>
    <m/>
    <m/>
    <n v="0"/>
    <m/>
    <m/>
    <m/>
    <m/>
    <m/>
    <m/>
    <n v="0"/>
    <n v="0"/>
  </r>
  <r>
    <x v="3"/>
    <x v="26"/>
    <s v="Need-based"/>
    <m/>
    <m/>
    <x v="12"/>
    <m/>
    <m/>
    <m/>
    <m/>
    <m/>
    <m/>
    <m/>
    <m/>
    <n v="0"/>
    <m/>
    <m/>
    <n v="0"/>
    <n v="0"/>
    <n v="0"/>
    <n v="55000"/>
    <n v="49500"/>
    <m/>
    <m/>
    <n v="0"/>
    <m/>
    <m/>
    <n v="0"/>
    <m/>
    <m/>
    <m/>
    <m/>
    <m/>
    <m/>
    <n v="55000"/>
    <n v="49500"/>
  </r>
  <r>
    <x v="3"/>
    <x v="27"/>
    <s v="Non need-based"/>
    <m/>
    <m/>
    <x v="12"/>
    <m/>
    <m/>
    <m/>
    <m/>
    <m/>
    <m/>
    <m/>
    <m/>
    <n v="0"/>
    <m/>
    <m/>
    <n v="0"/>
    <n v="0"/>
    <n v="0"/>
    <m/>
    <m/>
    <m/>
    <m/>
    <n v="0"/>
    <m/>
    <m/>
    <n v="0"/>
    <m/>
    <m/>
    <m/>
    <m/>
    <m/>
    <m/>
    <n v="0"/>
    <n v="0"/>
  </r>
  <r>
    <x v="3"/>
    <x v="28"/>
    <s v="Amount to public sector students"/>
    <m/>
    <m/>
    <x v="12"/>
    <m/>
    <m/>
    <m/>
    <m/>
    <m/>
    <m/>
    <m/>
    <m/>
    <n v="0"/>
    <m/>
    <m/>
    <n v="0"/>
    <n v="0"/>
    <n v="0"/>
    <m/>
    <m/>
    <m/>
    <m/>
    <n v="0"/>
    <m/>
    <m/>
    <n v="0"/>
    <m/>
    <m/>
    <m/>
    <m/>
    <m/>
    <m/>
    <n v="0"/>
    <n v="0"/>
  </r>
  <r>
    <x v="3"/>
    <x v="29"/>
    <s v="Need-based"/>
    <m/>
    <m/>
    <x v="12"/>
    <m/>
    <m/>
    <m/>
    <m/>
    <m/>
    <m/>
    <m/>
    <m/>
    <n v="0"/>
    <m/>
    <m/>
    <n v="0"/>
    <n v="0"/>
    <n v="0"/>
    <m/>
    <m/>
    <m/>
    <m/>
    <n v="0"/>
    <m/>
    <m/>
    <n v="0"/>
    <m/>
    <m/>
    <m/>
    <m/>
    <m/>
    <m/>
    <n v="0"/>
    <n v="0"/>
  </r>
  <r>
    <x v="3"/>
    <x v="30"/>
    <s v="Non need-based"/>
    <m/>
    <m/>
    <x v="12"/>
    <m/>
    <m/>
    <m/>
    <m/>
    <m/>
    <m/>
    <m/>
    <m/>
    <n v="0"/>
    <m/>
    <m/>
    <n v="0"/>
    <n v="0"/>
    <n v="0"/>
    <m/>
    <m/>
    <m/>
    <m/>
    <n v="0"/>
    <m/>
    <m/>
    <n v="0"/>
    <m/>
    <m/>
    <m/>
    <m/>
    <m/>
    <m/>
    <n v="0"/>
    <n v="0"/>
  </r>
  <r>
    <x v="3"/>
    <x v="31"/>
    <s v="Amount to private sector students"/>
    <m/>
    <m/>
    <x v="12"/>
    <m/>
    <m/>
    <m/>
    <m/>
    <m/>
    <m/>
    <m/>
    <m/>
    <n v="0"/>
    <m/>
    <m/>
    <n v="0"/>
    <n v="0"/>
    <n v="0"/>
    <m/>
    <m/>
    <m/>
    <m/>
    <n v="0"/>
    <m/>
    <m/>
    <n v="0"/>
    <m/>
    <m/>
    <m/>
    <m/>
    <m/>
    <m/>
    <n v="0"/>
    <n v="0"/>
  </r>
  <r>
    <x v="3"/>
    <x v="32"/>
    <s v="Need-based"/>
    <m/>
    <m/>
    <x v="12"/>
    <m/>
    <m/>
    <m/>
    <m/>
    <m/>
    <m/>
    <m/>
    <m/>
    <n v="0"/>
    <m/>
    <m/>
    <n v="0"/>
    <n v="0"/>
    <n v="0"/>
    <m/>
    <m/>
    <m/>
    <m/>
    <n v="0"/>
    <m/>
    <m/>
    <n v="0"/>
    <m/>
    <m/>
    <m/>
    <m/>
    <m/>
    <m/>
    <n v="0"/>
    <n v="0"/>
  </r>
  <r>
    <x v="3"/>
    <x v="33"/>
    <s v="Non need-based"/>
    <m/>
    <m/>
    <x v="12"/>
    <m/>
    <m/>
    <m/>
    <m/>
    <m/>
    <m/>
    <m/>
    <m/>
    <n v="0"/>
    <m/>
    <m/>
    <n v="0"/>
    <n v="0"/>
    <n v="0"/>
    <m/>
    <m/>
    <m/>
    <m/>
    <n v="0"/>
    <m/>
    <m/>
    <n v="0"/>
    <m/>
    <m/>
    <m/>
    <m/>
    <m/>
    <m/>
    <n v="0"/>
    <n v="0"/>
  </r>
  <r>
    <x v="3"/>
    <x v="25"/>
    <s v="Prepaid Tuition Scholarships"/>
    <m/>
    <m/>
    <x v="12"/>
    <m/>
    <m/>
    <m/>
    <m/>
    <m/>
    <m/>
    <m/>
    <m/>
    <n v="0"/>
    <m/>
    <m/>
    <n v="0"/>
    <n v="0"/>
    <n v="0"/>
    <m/>
    <m/>
    <m/>
    <m/>
    <n v="0"/>
    <m/>
    <m/>
    <n v="0"/>
    <m/>
    <m/>
    <m/>
    <m/>
    <m/>
    <m/>
    <n v="0"/>
    <n v="0"/>
  </r>
  <r>
    <x v="3"/>
    <x v="26"/>
    <s v="Need-based"/>
    <m/>
    <m/>
    <x v="12"/>
    <m/>
    <m/>
    <m/>
    <m/>
    <m/>
    <m/>
    <m/>
    <m/>
    <n v="0"/>
    <m/>
    <m/>
    <n v="0"/>
    <n v="0"/>
    <n v="0"/>
    <n v="4618528"/>
    <n v="7000000"/>
    <m/>
    <m/>
    <n v="0"/>
    <m/>
    <m/>
    <n v="0"/>
    <m/>
    <m/>
    <m/>
    <m/>
    <m/>
    <m/>
    <n v="4618528"/>
    <n v="7000000"/>
  </r>
  <r>
    <x v="3"/>
    <x v="27"/>
    <s v="Non need-based"/>
    <m/>
    <m/>
    <x v="12"/>
    <m/>
    <m/>
    <m/>
    <m/>
    <m/>
    <m/>
    <m/>
    <m/>
    <n v="0"/>
    <m/>
    <m/>
    <n v="0"/>
    <n v="0"/>
    <n v="0"/>
    <m/>
    <m/>
    <m/>
    <m/>
    <n v="0"/>
    <m/>
    <m/>
    <n v="0"/>
    <m/>
    <m/>
    <m/>
    <m/>
    <m/>
    <m/>
    <n v="0"/>
    <n v="0"/>
  </r>
  <r>
    <x v="3"/>
    <x v="28"/>
    <s v="Amount to public sector students"/>
    <m/>
    <m/>
    <x v="12"/>
    <m/>
    <m/>
    <m/>
    <m/>
    <m/>
    <m/>
    <m/>
    <m/>
    <n v="0"/>
    <m/>
    <m/>
    <n v="0"/>
    <n v="0"/>
    <n v="0"/>
    <m/>
    <m/>
    <m/>
    <m/>
    <n v="0"/>
    <m/>
    <m/>
    <n v="0"/>
    <m/>
    <m/>
    <m/>
    <m/>
    <m/>
    <m/>
    <n v="0"/>
    <n v="0"/>
  </r>
  <r>
    <x v="3"/>
    <x v="29"/>
    <s v="Need-based"/>
    <m/>
    <m/>
    <x v="12"/>
    <m/>
    <m/>
    <m/>
    <m/>
    <m/>
    <m/>
    <m/>
    <m/>
    <n v="0"/>
    <m/>
    <m/>
    <n v="0"/>
    <n v="0"/>
    <n v="0"/>
    <m/>
    <m/>
    <m/>
    <m/>
    <n v="0"/>
    <m/>
    <m/>
    <n v="0"/>
    <m/>
    <m/>
    <m/>
    <m/>
    <m/>
    <m/>
    <n v="0"/>
    <n v="0"/>
  </r>
  <r>
    <x v="3"/>
    <x v="30"/>
    <s v="Non need-based"/>
    <m/>
    <m/>
    <x v="12"/>
    <m/>
    <m/>
    <m/>
    <m/>
    <m/>
    <m/>
    <m/>
    <m/>
    <n v="0"/>
    <m/>
    <m/>
    <n v="0"/>
    <n v="0"/>
    <n v="0"/>
    <m/>
    <m/>
    <m/>
    <m/>
    <n v="0"/>
    <m/>
    <m/>
    <n v="0"/>
    <m/>
    <m/>
    <m/>
    <m/>
    <m/>
    <m/>
    <n v="0"/>
    <n v="0"/>
  </r>
  <r>
    <x v="3"/>
    <x v="31"/>
    <s v="Amount to private sector students"/>
    <m/>
    <m/>
    <x v="12"/>
    <m/>
    <m/>
    <m/>
    <m/>
    <m/>
    <m/>
    <m/>
    <m/>
    <n v="0"/>
    <m/>
    <m/>
    <n v="0"/>
    <n v="0"/>
    <n v="0"/>
    <m/>
    <m/>
    <m/>
    <m/>
    <n v="0"/>
    <m/>
    <m/>
    <n v="0"/>
    <m/>
    <m/>
    <m/>
    <m/>
    <m/>
    <m/>
    <n v="0"/>
    <n v="0"/>
  </r>
  <r>
    <x v="3"/>
    <x v="32"/>
    <s v="Need-based"/>
    <m/>
    <m/>
    <x v="12"/>
    <m/>
    <m/>
    <m/>
    <m/>
    <m/>
    <m/>
    <m/>
    <m/>
    <n v="0"/>
    <m/>
    <m/>
    <n v="0"/>
    <n v="0"/>
    <n v="0"/>
    <m/>
    <m/>
    <m/>
    <m/>
    <n v="0"/>
    <m/>
    <m/>
    <n v="0"/>
    <m/>
    <m/>
    <m/>
    <m/>
    <m/>
    <m/>
    <n v="0"/>
    <n v="0"/>
  </r>
  <r>
    <x v="3"/>
    <x v="33"/>
    <s v="Non need-based"/>
    <m/>
    <m/>
    <x v="12"/>
    <m/>
    <m/>
    <m/>
    <m/>
    <m/>
    <m/>
    <m/>
    <m/>
    <n v="0"/>
    <m/>
    <m/>
    <n v="0"/>
    <n v="0"/>
    <n v="0"/>
    <m/>
    <m/>
    <m/>
    <m/>
    <n v="0"/>
    <m/>
    <m/>
    <n v="0"/>
    <m/>
    <m/>
    <m/>
    <m/>
    <m/>
    <m/>
    <n v="0"/>
    <n v="0"/>
  </r>
  <r>
    <x v="3"/>
    <x v="34"/>
    <s v="Limited to public college students"/>
    <m/>
    <m/>
    <x v="12"/>
    <m/>
    <m/>
    <m/>
    <m/>
    <m/>
    <m/>
    <m/>
    <m/>
    <n v="0"/>
    <m/>
    <m/>
    <n v="0"/>
    <n v="0"/>
    <n v="0"/>
    <m/>
    <m/>
    <m/>
    <m/>
    <n v="0"/>
    <m/>
    <m/>
    <n v="0"/>
    <m/>
    <m/>
    <m/>
    <m/>
    <m/>
    <m/>
    <n v="0"/>
    <n v="0"/>
  </r>
  <r>
    <x v="3"/>
    <x v="34"/>
    <s v="Florida Student Assistance - Public - Full &amp; Part-time"/>
    <m/>
    <m/>
    <x v="12"/>
    <m/>
    <m/>
    <m/>
    <m/>
    <m/>
    <m/>
    <m/>
    <m/>
    <n v="0"/>
    <m/>
    <m/>
    <n v="0"/>
    <n v="0"/>
    <n v="0"/>
    <m/>
    <m/>
    <m/>
    <m/>
    <n v="0"/>
    <m/>
    <m/>
    <n v="0"/>
    <m/>
    <m/>
    <m/>
    <m/>
    <m/>
    <m/>
    <n v="0"/>
    <n v="0"/>
  </r>
  <r>
    <x v="3"/>
    <x v="35"/>
    <s v="Need-based"/>
    <m/>
    <m/>
    <x v="12"/>
    <m/>
    <m/>
    <m/>
    <m/>
    <m/>
    <m/>
    <m/>
    <m/>
    <n v="0"/>
    <m/>
    <m/>
    <n v="0"/>
    <n v="0"/>
    <n v="0"/>
    <n v="100404923"/>
    <n v="104703724"/>
    <m/>
    <m/>
    <n v="0"/>
    <m/>
    <m/>
    <n v="0"/>
    <m/>
    <m/>
    <m/>
    <m/>
    <m/>
    <m/>
    <n v="100404923"/>
    <n v="104703724"/>
  </r>
  <r>
    <x v="3"/>
    <x v="36"/>
    <s v="Non need-based"/>
    <m/>
    <m/>
    <x v="12"/>
    <m/>
    <m/>
    <m/>
    <m/>
    <m/>
    <m/>
    <m/>
    <m/>
    <n v="0"/>
    <m/>
    <m/>
    <n v="0"/>
    <n v="0"/>
    <n v="0"/>
    <m/>
    <m/>
    <m/>
    <m/>
    <n v="0"/>
    <m/>
    <m/>
    <n v="0"/>
    <m/>
    <m/>
    <m/>
    <m/>
    <m/>
    <m/>
    <n v="0"/>
    <n v="0"/>
  </r>
  <r>
    <x v="3"/>
    <x v="34"/>
    <s v="Minority Teachers Scholarships"/>
    <m/>
    <m/>
    <x v="12"/>
    <m/>
    <m/>
    <m/>
    <m/>
    <m/>
    <m/>
    <m/>
    <m/>
    <n v="0"/>
    <m/>
    <m/>
    <n v="0"/>
    <n v="0"/>
    <n v="0"/>
    <m/>
    <m/>
    <m/>
    <m/>
    <n v="0"/>
    <m/>
    <m/>
    <n v="0"/>
    <m/>
    <m/>
    <m/>
    <m/>
    <m/>
    <m/>
    <n v="0"/>
    <n v="0"/>
  </r>
  <r>
    <x v="3"/>
    <x v="35"/>
    <s v="Need-based"/>
    <m/>
    <m/>
    <x v="12"/>
    <m/>
    <m/>
    <m/>
    <m/>
    <m/>
    <m/>
    <m/>
    <m/>
    <n v="0"/>
    <m/>
    <m/>
    <n v="0"/>
    <n v="0"/>
    <n v="0"/>
    <m/>
    <m/>
    <m/>
    <m/>
    <n v="0"/>
    <m/>
    <m/>
    <n v="0"/>
    <m/>
    <m/>
    <m/>
    <m/>
    <m/>
    <m/>
    <n v="0"/>
    <n v="0"/>
  </r>
  <r>
    <x v="3"/>
    <x v="36"/>
    <s v="Non need-based"/>
    <m/>
    <m/>
    <x v="12"/>
    <m/>
    <m/>
    <m/>
    <m/>
    <m/>
    <m/>
    <m/>
    <m/>
    <n v="0"/>
    <m/>
    <m/>
    <n v="0"/>
    <n v="0"/>
    <n v="0"/>
    <n v="985468"/>
    <n v="885468"/>
    <m/>
    <m/>
    <n v="0"/>
    <m/>
    <m/>
    <n v="0"/>
    <m/>
    <m/>
    <m/>
    <m/>
    <m/>
    <m/>
    <n v="985468"/>
    <n v="885468"/>
  </r>
  <r>
    <x v="3"/>
    <x v="34"/>
    <s v="Rosewood Family Scholarships"/>
    <m/>
    <m/>
    <x v="12"/>
    <m/>
    <m/>
    <m/>
    <m/>
    <m/>
    <m/>
    <m/>
    <m/>
    <n v="0"/>
    <m/>
    <m/>
    <n v="0"/>
    <n v="0"/>
    <n v="0"/>
    <m/>
    <m/>
    <m/>
    <m/>
    <n v="0"/>
    <m/>
    <m/>
    <n v="0"/>
    <m/>
    <m/>
    <m/>
    <m/>
    <m/>
    <m/>
    <n v="0"/>
    <n v="0"/>
  </r>
  <r>
    <x v="3"/>
    <x v="35"/>
    <s v="Need-based"/>
    <m/>
    <m/>
    <x v="12"/>
    <m/>
    <m/>
    <m/>
    <m/>
    <m/>
    <m/>
    <m/>
    <m/>
    <n v="0"/>
    <m/>
    <m/>
    <n v="0"/>
    <n v="0"/>
    <n v="0"/>
    <m/>
    <m/>
    <m/>
    <m/>
    <n v="0"/>
    <m/>
    <m/>
    <n v="0"/>
    <m/>
    <m/>
    <m/>
    <m/>
    <m/>
    <m/>
    <n v="0"/>
    <n v="0"/>
  </r>
  <r>
    <x v="3"/>
    <x v="36"/>
    <s v="Non need-based"/>
    <m/>
    <m/>
    <x v="12"/>
    <m/>
    <m/>
    <m/>
    <m/>
    <m/>
    <m/>
    <m/>
    <m/>
    <n v="0"/>
    <m/>
    <m/>
    <n v="0"/>
    <n v="0"/>
    <n v="0"/>
    <n v="60000"/>
    <n v="60000"/>
    <m/>
    <m/>
    <n v="0"/>
    <m/>
    <m/>
    <n v="0"/>
    <m/>
    <m/>
    <m/>
    <m/>
    <m/>
    <m/>
    <n v="60000"/>
    <n v="60000"/>
  </r>
  <r>
    <x v="3"/>
    <x v="37"/>
    <s v="Limited to private college students"/>
    <m/>
    <m/>
    <x v="12"/>
    <m/>
    <m/>
    <m/>
    <m/>
    <m/>
    <m/>
    <m/>
    <m/>
    <n v="0"/>
    <m/>
    <m/>
    <n v="0"/>
    <n v="0"/>
    <n v="0"/>
    <m/>
    <m/>
    <m/>
    <m/>
    <n v="0"/>
    <m/>
    <m/>
    <n v="0"/>
    <m/>
    <m/>
    <m/>
    <m/>
    <m/>
    <m/>
    <n v="0"/>
    <n v="0"/>
  </r>
  <r>
    <x v="3"/>
    <x v="37"/>
    <s v="Florida Resident Access Grant"/>
    <m/>
    <m/>
    <x v="12"/>
    <m/>
    <m/>
    <m/>
    <m/>
    <m/>
    <m/>
    <m/>
    <m/>
    <n v="0"/>
    <m/>
    <m/>
    <n v="0"/>
    <n v="0"/>
    <n v="0"/>
    <m/>
    <m/>
    <m/>
    <m/>
    <n v="0"/>
    <m/>
    <m/>
    <n v="0"/>
    <m/>
    <m/>
    <m/>
    <m/>
    <m/>
    <m/>
    <n v="0"/>
    <n v="0"/>
  </r>
  <r>
    <x v="3"/>
    <x v="38"/>
    <s v="Need-based"/>
    <m/>
    <m/>
    <x v="12"/>
    <m/>
    <m/>
    <m/>
    <m/>
    <m/>
    <m/>
    <m/>
    <m/>
    <n v="0"/>
    <m/>
    <m/>
    <n v="0"/>
    <n v="0"/>
    <n v="0"/>
    <m/>
    <m/>
    <m/>
    <m/>
    <n v="0"/>
    <m/>
    <m/>
    <n v="0"/>
    <m/>
    <m/>
    <m/>
    <m/>
    <m/>
    <m/>
    <n v="0"/>
    <n v="0"/>
  </r>
  <r>
    <x v="3"/>
    <x v="39"/>
    <s v="Non need-based"/>
    <m/>
    <m/>
    <x v="12"/>
    <m/>
    <m/>
    <m/>
    <m/>
    <m/>
    <m/>
    <m/>
    <m/>
    <n v="0"/>
    <m/>
    <m/>
    <n v="0"/>
    <n v="0"/>
    <n v="0"/>
    <n v="80761255"/>
    <n v="78958406"/>
    <m/>
    <m/>
    <n v="0"/>
    <m/>
    <m/>
    <n v="0"/>
    <m/>
    <m/>
    <m/>
    <m/>
    <m/>
    <m/>
    <n v="80761255"/>
    <n v="78958406"/>
  </r>
  <r>
    <x v="3"/>
    <x v="37"/>
    <s v="Access to Better Learning and Education"/>
    <m/>
    <m/>
    <x v="12"/>
    <m/>
    <m/>
    <m/>
    <m/>
    <m/>
    <m/>
    <m/>
    <m/>
    <n v="0"/>
    <m/>
    <m/>
    <n v="0"/>
    <n v="0"/>
    <n v="0"/>
    <m/>
    <m/>
    <m/>
    <m/>
    <n v="0"/>
    <m/>
    <m/>
    <n v="0"/>
    <m/>
    <m/>
    <m/>
    <m/>
    <m/>
    <m/>
    <n v="0"/>
    <n v="0"/>
  </r>
  <r>
    <x v="3"/>
    <x v="38"/>
    <s v="Need-based"/>
    <m/>
    <m/>
    <x v="12"/>
    <m/>
    <m/>
    <m/>
    <m/>
    <m/>
    <m/>
    <m/>
    <m/>
    <n v="0"/>
    <m/>
    <m/>
    <n v="0"/>
    <n v="0"/>
    <n v="0"/>
    <m/>
    <m/>
    <m/>
    <m/>
    <n v="0"/>
    <m/>
    <m/>
    <n v="0"/>
    <m/>
    <m/>
    <m/>
    <m/>
    <m/>
    <m/>
    <n v="0"/>
    <n v="0"/>
  </r>
  <r>
    <x v="3"/>
    <x v="39"/>
    <s v="Non need-based"/>
    <m/>
    <m/>
    <x v="12"/>
    <m/>
    <m/>
    <m/>
    <m/>
    <m/>
    <m/>
    <m/>
    <m/>
    <n v="0"/>
    <m/>
    <m/>
    <n v="0"/>
    <n v="0"/>
    <n v="0"/>
    <n v="2419439"/>
    <n v="2310231"/>
    <m/>
    <m/>
    <n v="0"/>
    <m/>
    <m/>
    <n v="0"/>
    <m/>
    <m/>
    <m/>
    <m/>
    <m/>
    <m/>
    <n v="2419439"/>
    <n v="2310231"/>
  </r>
  <r>
    <x v="3"/>
    <x v="37"/>
    <s v="Postsecondary Student Assistance Grant"/>
    <m/>
    <m/>
    <x v="12"/>
    <m/>
    <m/>
    <m/>
    <m/>
    <m/>
    <m/>
    <m/>
    <m/>
    <n v="0"/>
    <m/>
    <m/>
    <n v="0"/>
    <n v="0"/>
    <n v="0"/>
    <m/>
    <m/>
    <m/>
    <m/>
    <n v="0"/>
    <m/>
    <m/>
    <n v="0"/>
    <m/>
    <m/>
    <m/>
    <m/>
    <m/>
    <m/>
    <n v="0"/>
    <n v="0"/>
  </r>
  <r>
    <x v="3"/>
    <x v="38"/>
    <s v="Need-based"/>
    <m/>
    <m/>
    <x v="12"/>
    <m/>
    <m/>
    <m/>
    <m/>
    <m/>
    <m/>
    <m/>
    <m/>
    <n v="0"/>
    <m/>
    <m/>
    <n v="0"/>
    <n v="0"/>
    <n v="0"/>
    <n v="11268807"/>
    <n v="9281150"/>
    <m/>
    <m/>
    <n v="0"/>
    <m/>
    <m/>
    <n v="0"/>
    <m/>
    <m/>
    <m/>
    <m/>
    <m/>
    <m/>
    <n v="11268807"/>
    <n v="9281150"/>
  </r>
  <r>
    <x v="3"/>
    <x v="39"/>
    <s v="Non need-based"/>
    <m/>
    <m/>
    <x v="12"/>
    <m/>
    <m/>
    <m/>
    <m/>
    <m/>
    <m/>
    <m/>
    <m/>
    <n v="0"/>
    <m/>
    <m/>
    <n v="0"/>
    <n v="0"/>
    <n v="0"/>
    <m/>
    <m/>
    <m/>
    <m/>
    <n v="0"/>
    <m/>
    <m/>
    <n v="0"/>
    <m/>
    <m/>
    <m/>
    <m/>
    <m/>
    <m/>
    <n v="0"/>
    <n v="0"/>
  </r>
  <r>
    <x v="3"/>
    <x v="37"/>
    <s v="Private Student Assistance Grants"/>
    <m/>
    <m/>
    <x v="12"/>
    <m/>
    <m/>
    <m/>
    <m/>
    <m/>
    <m/>
    <m/>
    <m/>
    <n v="0"/>
    <m/>
    <m/>
    <n v="0"/>
    <n v="0"/>
    <n v="0"/>
    <m/>
    <m/>
    <m/>
    <m/>
    <n v="0"/>
    <m/>
    <m/>
    <n v="0"/>
    <m/>
    <m/>
    <m/>
    <m/>
    <m/>
    <m/>
    <n v="0"/>
    <n v="0"/>
  </r>
  <r>
    <x v="3"/>
    <x v="38"/>
    <s v="Need-based"/>
    <m/>
    <m/>
    <x v="12"/>
    <m/>
    <m/>
    <m/>
    <m/>
    <m/>
    <m/>
    <m/>
    <m/>
    <n v="0"/>
    <m/>
    <m/>
    <n v="0"/>
    <n v="0"/>
    <n v="0"/>
    <n v="16166037"/>
    <n v="12941343"/>
    <m/>
    <m/>
    <n v="0"/>
    <m/>
    <m/>
    <n v="0"/>
    <m/>
    <m/>
    <m/>
    <m/>
    <m/>
    <m/>
    <n v="16166037"/>
    <n v="12941343"/>
  </r>
  <r>
    <x v="3"/>
    <x v="39"/>
    <s v="Non need-based"/>
    <m/>
    <m/>
    <x v="12"/>
    <m/>
    <m/>
    <m/>
    <m/>
    <m/>
    <m/>
    <m/>
    <m/>
    <n v="0"/>
    <m/>
    <m/>
    <n v="0"/>
    <n v="0"/>
    <n v="0"/>
    <m/>
    <m/>
    <m/>
    <m/>
    <n v="0"/>
    <m/>
    <m/>
    <n v="0"/>
    <m/>
    <m/>
    <m/>
    <m/>
    <m/>
    <m/>
    <n v="0"/>
    <n v="0"/>
  </r>
  <r>
    <x v="3"/>
    <x v="37"/>
    <s v="Mary McCleod Bethune Scholarship"/>
    <m/>
    <m/>
    <x v="12"/>
    <m/>
    <m/>
    <m/>
    <m/>
    <m/>
    <m/>
    <m/>
    <m/>
    <n v="0"/>
    <m/>
    <m/>
    <n v="0"/>
    <n v="0"/>
    <n v="0"/>
    <m/>
    <m/>
    <m/>
    <m/>
    <n v="0"/>
    <m/>
    <m/>
    <n v="0"/>
    <m/>
    <m/>
    <m/>
    <m/>
    <m/>
    <m/>
    <n v="0"/>
    <n v="0"/>
  </r>
  <r>
    <x v="3"/>
    <x v="38"/>
    <s v="Need-based"/>
    <m/>
    <m/>
    <x v="12"/>
    <m/>
    <m/>
    <m/>
    <m/>
    <m/>
    <m/>
    <m/>
    <m/>
    <n v="0"/>
    <m/>
    <m/>
    <n v="0"/>
    <n v="0"/>
    <n v="0"/>
    <n v="178708"/>
    <n v="160837"/>
    <m/>
    <m/>
    <n v="0"/>
    <m/>
    <m/>
    <n v="0"/>
    <m/>
    <m/>
    <m/>
    <m/>
    <m/>
    <m/>
    <n v="178708"/>
    <n v="160837"/>
  </r>
  <r>
    <x v="3"/>
    <x v="39"/>
    <s v="Non need-based"/>
    <m/>
    <m/>
    <x v="12"/>
    <m/>
    <m/>
    <m/>
    <m/>
    <m/>
    <m/>
    <m/>
    <m/>
    <n v="0"/>
    <m/>
    <m/>
    <n v="0"/>
    <n v="0"/>
    <n v="0"/>
    <m/>
    <m/>
    <m/>
    <m/>
    <n v="0"/>
    <m/>
    <m/>
    <n v="0"/>
    <m/>
    <m/>
    <m/>
    <m/>
    <m/>
    <m/>
    <n v="0"/>
    <n v="0"/>
  </r>
  <r>
    <x v="3"/>
    <x v="0"/>
    <s v="Chipola College "/>
    <m/>
    <n v="133021"/>
    <x v="14"/>
    <n v="9630183"/>
    <n v="10947554"/>
    <m/>
    <m/>
    <m/>
    <m/>
    <n v="3540125.5599999991"/>
    <m/>
    <n v="3540125.5599999991"/>
    <n v="3410542"/>
    <m/>
    <n v="3410542"/>
    <n v="13170308.559999999"/>
    <n v="14358096"/>
    <m/>
    <m/>
    <m/>
    <m/>
    <n v="0"/>
    <m/>
    <m/>
    <n v="0"/>
    <m/>
    <m/>
    <m/>
    <m/>
    <m/>
    <m/>
    <n v="13170308.559999999"/>
    <n v="14358096"/>
  </r>
  <r>
    <x v="3"/>
    <x v="0"/>
    <s v="Daytona State College "/>
    <m/>
    <n v="133386"/>
    <x v="14"/>
    <n v="48759287"/>
    <n v="58374712"/>
    <m/>
    <m/>
    <m/>
    <m/>
    <n v="32143619.549999997"/>
    <m/>
    <n v="32143619.549999997"/>
    <n v="28349816"/>
    <m/>
    <n v="28349816"/>
    <n v="80902906.549999997"/>
    <n v="86724528"/>
    <m/>
    <m/>
    <m/>
    <m/>
    <n v="0"/>
    <m/>
    <m/>
    <n v="0"/>
    <m/>
    <m/>
    <m/>
    <m/>
    <m/>
    <m/>
    <n v="80902906.549999997"/>
    <n v="86724528"/>
  </r>
  <r>
    <x v="3"/>
    <x v="0"/>
    <s v="Edison State College "/>
    <m/>
    <n v="133508"/>
    <x v="14"/>
    <n v="25076290"/>
    <n v="25144443"/>
    <m/>
    <m/>
    <m/>
    <m/>
    <n v="29033405.510000005"/>
    <m/>
    <n v="29033405.510000005"/>
    <n v="25980764"/>
    <m/>
    <n v="25980764"/>
    <n v="54109695.510000005"/>
    <n v="51125207"/>
    <m/>
    <m/>
    <m/>
    <m/>
    <n v="0"/>
    <m/>
    <m/>
    <n v="0"/>
    <m/>
    <m/>
    <m/>
    <m/>
    <m/>
    <m/>
    <n v="54109695.510000005"/>
    <n v="51125207"/>
  </r>
  <r>
    <x v="3"/>
    <x v="0"/>
    <s v="Florida State College at Jacksonville"/>
    <m/>
    <n v="133702"/>
    <x v="14"/>
    <n v="73756443"/>
    <n v="73722608"/>
    <m/>
    <m/>
    <m/>
    <m/>
    <n v="58866527.360000014"/>
    <m/>
    <n v="58866527.360000014"/>
    <n v="54737765"/>
    <m/>
    <n v="54737765"/>
    <n v="132622970.36000001"/>
    <n v="128460373"/>
    <m/>
    <m/>
    <m/>
    <m/>
    <n v="0"/>
    <m/>
    <m/>
    <n v="0"/>
    <m/>
    <m/>
    <m/>
    <m/>
    <m/>
    <m/>
    <n v="132622970.36000001"/>
    <n v="128460373"/>
  </r>
  <r>
    <x v="3"/>
    <x v="0"/>
    <s v="Indian River State College "/>
    <m/>
    <n v="134608"/>
    <x v="14"/>
    <n v="43771529"/>
    <n v="44177840"/>
    <m/>
    <m/>
    <m/>
    <m/>
    <n v="28504155.500000007"/>
    <m/>
    <n v="28504155.500000007"/>
    <n v="29456824"/>
    <m/>
    <n v="29456824"/>
    <n v="72275684.5"/>
    <n v="73634664"/>
    <m/>
    <m/>
    <m/>
    <m/>
    <n v="0"/>
    <m/>
    <m/>
    <n v="0"/>
    <m/>
    <m/>
    <m/>
    <m/>
    <m/>
    <m/>
    <n v="72275684.5"/>
    <n v="73634664"/>
  </r>
  <r>
    <x v="3"/>
    <x v="0"/>
    <s v="Miami Dade College "/>
    <m/>
    <n v="135717"/>
    <x v="14"/>
    <n v="164082616"/>
    <n v="166268487"/>
    <m/>
    <m/>
    <m/>
    <m/>
    <n v="146246877.29999998"/>
    <m/>
    <n v="146246877.29999998"/>
    <n v="152600745"/>
    <m/>
    <n v="152600745"/>
    <n v="310329493.29999995"/>
    <n v="318869232"/>
    <m/>
    <m/>
    <m/>
    <m/>
    <n v="0"/>
    <m/>
    <m/>
    <n v="0"/>
    <m/>
    <m/>
    <m/>
    <m/>
    <m/>
    <m/>
    <n v="310329493.29999995"/>
    <n v="318869232"/>
  </r>
  <r>
    <x v="3"/>
    <x v="0"/>
    <s v="Northwest Florida State College"/>
    <m/>
    <n v="136233"/>
    <x v="14"/>
    <n v="17648593"/>
    <n v="18216303"/>
    <m/>
    <m/>
    <m/>
    <m/>
    <n v="12605924.270000001"/>
    <m/>
    <n v="12605924.270000001"/>
    <n v="12421689"/>
    <m/>
    <n v="12421689"/>
    <n v="30254517.270000003"/>
    <n v="30637992"/>
    <m/>
    <m/>
    <m/>
    <m/>
    <n v="0"/>
    <m/>
    <m/>
    <n v="0"/>
    <m/>
    <m/>
    <m/>
    <m/>
    <m/>
    <m/>
    <n v="30254517.270000003"/>
    <n v="30637992"/>
  </r>
  <r>
    <x v="3"/>
    <x v="0"/>
    <s v="St. Petersburg College "/>
    <m/>
    <n v="137078"/>
    <x v="14"/>
    <n v="62461446"/>
    <n v="63234353"/>
    <m/>
    <m/>
    <m/>
    <m/>
    <n v="58571549.850000001"/>
    <m/>
    <n v="58571549.850000001"/>
    <n v="56870943"/>
    <m/>
    <n v="56870943"/>
    <n v="121032995.84999999"/>
    <n v="120105296"/>
    <m/>
    <m/>
    <m/>
    <m/>
    <n v="0"/>
    <m/>
    <m/>
    <n v="0"/>
    <m/>
    <m/>
    <m/>
    <m/>
    <m/>
    <m/>
    <n v="121032995.84999999"/>
    <n v="120105296"/>
  </r>
  <r>
    <x v="3"/>
    <x v="0"/>
    <s v="Brevard Community College "/>
    <m/>
    <n v="132693"/>
    <x v="6"/>
    <n v="36241664"/>
    <n v="43456704"/>
    <m/>
    <m/>
    <m/>
    <m/>
    <n v="27249796.52"/>
    <m/>
    <n v="27249796.52"/>
    <n v="26976606"/>
    <m/>
    <n v="26976606"/>
    <n v="63491460.519999996"/>
    <n v="70433310"/>
    <m/>
    <m/>
    <m/>
    <m/>
    <n v="0"/>
    <m/>
    <m/>
    <n v="0"/>
    <m/>
    <m/>
    <m/>
    <m/>
    <m/>
    <m/>
    <n v="63491460.519999996"/>
    <n v="70433310"/>
  </r>
  <r>
    <x v="3"/>
    <x v="0"/>
    <s v="Broward College "/>
    <s v="Met the criteria for Two-Year with Bachelor's in 2011-12 and 2012-13."/>
    <n v="132709"/>
    <x v="6"/>
    <n v="69960622"/>
    <n v="71006946"/>
    <m/>
    <m/>
    <m/>
    <m/>
    <n v="77850681.170000002"/>
    <m/>
    <n v="77850681.170000002"/>
    <n v="74728669"/>
    <m/>
    <n v="74728669"/>
    <n v="147811303.17000002"/>
    <n v="145735615"/>
    <m/>
    <m/>
    <m/>
    <m/>
    <n v="0"/>
    <m/>
    <m/>
    <n v="0"/>
    <m/>
    <m/>
    <m/>
    <m/>
    <m/>
    <m/>
    <n v="147811303.17000002"/>
    <n v="145735615"/>
  </r>
  <r>
    <x v="3"/>
    <x v="0"/>
    <s v="College of Central Florida"/>
    <m/>
    <n v="132851"/>
    <x v="6"/>
    <n v="19645816"/>
    <n v="19726352"/>
    <m/>
    <m/>
    <m/>
    <m/>
    <n v="16000238.509999998"/>
    <m/>
    <n v="16000238.509999998"/>
    <n v="15507394"/>
    <m/>
    <n v="15507394"/>
    <n v="35646054.509999998"/>
    <n v="35233746"/>
    <m/>
    <m/>
    <m/>
    <m/>
    <n v="0"/>
    <m/>
    <m/>
    <n v="0"/>
    <m/>
    <m/>
    <m/>
    <m/>
    <m/>
    <m/>
    <n v="35646054.509999998"/>
    <n v="35233746"/>
  </r>
  <r>
    <x v="3"/>
    <x v="0"/>
    <s v="Hillsborough Community College "/>
    <m/>
    <n v="134495"/>
    <x v="6"/>
    <n v="48291678"/>
    <n v="48259745"/>
    <m/>
    <m/>
    <m/>
    <m/>
    <n v="54218831.949999996"/>
    <m/>
    <n v="54218831.949999996"/>
    <n v="51452590"/>
    <m/>
    <n v="51452590"/>
    <n v="102510509.94999999"/>
    <n v="99712335"/>
    <m/>
    <m/>
    <m/>
    <m/>
    <n v="0"/>
    <m/>
    <m/>
    <n v="0"/>
    <m/>
    <m/>
    <m/>
    <m/>
    <m/>
    <m/>
    <n v="102510509.94999999"/>
    <n v="99712335"/>
  </r>
  <r>
    <x v="3"/>
    <x v="0"/>
    <s v="State College of Florida, Manatee-Sarasota"/>
    <s v="Met the criteria for Two-Year with Bachelor's in 2011-12 and 2012-13."/>
    <n v="136358"/>
    <x v="6"/>
    <n v="21437541"/>
    <n v="21420707"/>
    <m/>
    <m/>
    <m/>
    <m/>
    <n v="21030549.050000001"/>
    <m/>
    <n v="21030549.050000001"/>
    <n v="20498752"/>
    <m/>
    <n v="20498752"/>
    <n v="42468090.049999997"/>
    <n v="41919459"/>
    <m/>
    <m/>
    <m/>
    <m/>
    <n v="0"/>
    <m/>
    <m/>
    <n v="0"/>
    <m/>
    <m/>
    <m/>
    <m/>
    <m/>
    <m/>
    <n v="42468090.049999997"/>
    <n v="41919459"/>
  </r>
  <r>
    <x v="3"/>
    <x v="0"/>
    <s v="Palm Beach State College "/>
    <m/>
    <n v="136400"/>
    <x v="6"/>
    <n v="50340614"/>
    <n v="50996885"/>
    <m/>
    <m/>
    <m/>
    <m/>
    <n v="51202988.890000001"/>
    <m/>
    <n v="51202988.890000001"/>
    <n v="50636787"/>
    <m/>
    <n v="50636787"/>
    <n v="101543602.89"/>
    <n v="101633672"/>
    <m/>
    <m/>
    <m/>
    <m/>
    <n v="0"/>
    <m/>
    <m/>
    <n v="0"/>
    <m/>
    <m/>
    <m/>
    <m/>
    <m/>
    <m/>
    <n v="101543602.89"/>
    <n v="101633672"/>
  </r>
  <r>
    <x v="3"/>
    <x v="0"/>
    <s v="Pasco-Hernando Community College "/>
    <s v="Met the criteria for Two-Year with Bachelor's in 2012-13."/>
    <n v="136473"/>
    <x v="6"/>
    <n v="19482824"/>
    <n v="19523024"/>
    <m/>
    <m/>
    <m/>
    <m/>
    <n v="16190952.920000002"/>
    <m/>
    <n v="16190952.920000002"/>
    <n v="15322778"/>
    <m/>
    <n v="15322778"/>
    <n v="35673776.920000002"/>
    <n v="34845802"/>
    <m/>
    <m/>
    <m/>
    <m/>
    <n v="0"/>
    <m/>
    <m/>
    <n v="0"/>
    <m/>
    <m/>
    <m/>
    <m/>
    <m/>
    <m/>
    <n v="35673776.920000002"/>
    <n v="34845802"/>
  </r>
  <r>
    <x v="3"/>
    <x v="0"/>
    <s v="Pensacola State College "/>
    <s v="Met the criteria for Two-Year with Bachelor's in 2011-12 and 2012-13."/>
    <n v="136516"/>
    <x v="6"/>
    <n v="33031989"/>
    <n v="33239464"/>
    <m/>
    <m/>
    <m/>
    <m/>
    <n v="19623199.859999996"/>
    <m/>
    <n v="19623199.859999996"/>
    <n v="20062747"/>
    <m/>
    <n v="20062747"/>
    <n v="52655188.859999999"/>
    <n v="53302211"/>
    <m/>
    <m/>
    <m/>
    <m/>
    <n v="0"/>
    <m/>
    <m/>
    <n v="0"/>
    <m/>
    <m/>
    <m/>
    <m/>
    <m/>
    <m/>
    <n v="52655188.859999999"/>
    <n v="53302211"/>
  </r>
  <r>
    <x v="3"/>
    <x v="0"/>
    <s v="Polk State College "/>
    <s v="Met the criteria for Two-Year with Bachelor's in 2012-13."/>
    <n v="137096"/>
    <x v="6"/>
    <n v="24559666"/>
    <n v="27551462"/>
    <m/>
    <m/>
    <m/>
    <m/>
    <n v="17748222.98"/>
    <m/>
    <n v="17748222.98"/>
    <n v="18730169"/>
    <m/>
    <n v="18730169"/>
    <n v="42307888.980000004"/>
    <n v="46281631"/>
    <m/>
    <m/>
    <m/>
    <m/>
    <n v="0"/>
    <m/>
    <m/>
    <n v="0"/>
    <m/>
    <m/>
    <m/>
    <m/>
    <m/>
    <m/>
    <n v="42307888.980000004"/>
    <n v="46281631"/>
  </r>
  <r>
    <x v="3"/>
    <x v="0"/>
    <s v="Santa Fe College "/>
    <s v="Met the criteria for Two-Year with Bachelor's in 2012-13."/>
    <n v="137209"/>
    <x v="6"/>
    <n v="33960514"/>
    <n v="34154347"/>
    <m/>
    <m/>
    <m/>
    <m/>
    <n v="32233245.73"/>
    <m/>
    <n v="32233245.73"/>
    <n v="30513303"/>
    <m/>
    <n v="30513303"/>
    <n v="66193759.730000004"/>
    <n v="64667650"/>
    <m/>
    <m/>
    <m/>
    <m/>
    <n v="0"/>
    <m/>
    <m/>
    <n v="0"/>
    <m/>
    <m/>
    <m/>
    <m/>
    <m/>
    <m/>
    <n v="66193759.730000004"/>
    <n v="64667650"/>
  </r>
  <r>
    <x v="3"/>
    <x v="0"/>
    <s v="Seminole State College of Florida"/>
    <s v="Met the criteria for Two-Year with Bachelor's in 2011-12 and 2012-13."/>
    <n v="135391"/>
    <x v="6"/>
    <n v="35656276"/>
    <n v="37140315"/>
    <m/>
    <m/>
    <m/>
    <m/>
    <n v="37554913.850000001"/>
    <m/>
    <n v="37554913.850000001"/>
    <n v="36215337"/>
    <m/>
    <n v="36215337"/>
    <n v="73211189.849999994"/>
    <n v="73355652"/>
    <m/>
    <m/>
    <m/>
    <m/>
    <n v="0"/>
    <m/>
    <m/>
    <n v="0"/>
    <m/>
    <m/>
    <m/>
    <m/>
    <m/>
    <m/>
    <n v="73211189.849999994"/>
    <n v="73355652"/>
  </r>
  <r>
    <x v="3"/>
    <x v="0"/>
    <s v="Tallahassee Community College "/>
    <m/>
    <n v="137759"/>
    <x v="6"/>
    <n v="28076842"/>
    <n v="28120971"/>
    <m/>
    <m/>
    <m/>
    <m/>
    <n v="31425481.189999998"/>
    <m/>
    <n v="31425481.189999998"/>
    <n v="28592596"/>
    <m/>
    <n v="28592596"/>
    <n v="59502323.189999998"/>
    <n v="56713567"/>
    <m/>
    <m/>
    <m/>
    <m/>
    <n v="0"/>
    <m/>
    <m/>
    <n v="0"/>
    <m/>
    <m/>
    <m/>
    <m/>
    <m/>
    <m/>
    <n v="59502323.189999998"/>
    <n v="56713567"/>
  </r>
  <r>
    <x v="3"/>
    <x v="0"/>
    <s v="Valencia Community College "/>
    <m/>
    <n v="138187"/>
    <x v="6"/>
    <n v="60586013"/>
    <n v="68997892"/>
    <m/>
    <m/>
    <m/>
    <m/>
    <n v="79593208.140000015"/>
    <m/>
    <n v="79593208.140000015"/>
    <n v="79769443"/>
    <m/>
    <n v="79769443"/>
    <n v="140179221.14000002"/>
    <n v="148767335"/>
    <m/>
    <m/>
    <m/>
    <m/>
    <n v="0"/>
    <m/>
    <m/>
    <n v="0"/>
    <m/>
    <m/>
    <m/>
    <m/>
    <m/>
    <m/>
    <n v="140179221.14000002"/>
    <n v="148767335"/>
  </r>
  <r>
    <x v="3"/>
    <x v="0"/>
    <s v="Gulf Coast Community College "/>
    <m/>
    <n v="135160"/>
    <x v="7"/>
    <n v="17554669"/>
    <n v="21221035"/>
    <m/>
    <m/>
    <m/>
    <m/>
    <n v="10264189.479999999"/>
    <m/>
    <n v="10264189.479999999"/>
    <n v="9497757"/>
    <m/>
    <n v="9497757"/>
    <n v="27818858.479999997"/>
    <n v="30718792"/>
    <m/>
    <m/>
    <m/>
    <m/>
    <n v="0"/>
    <m/>
    <m/>
    <n v="0"/>
    <m/>
    <m/>
    <m/>
    <m/>
    <m/>
    <m/>
    <n v="27818858.479999997"/>
    <n v="30718792"/>
  </r>
  <r>
    <x v="3"/>
    <x v="0"/>
    <s v="Florida Gateway College"/>
    <s v="Met the criteria for Two-Year with Bachelor's in 2012-13."/>
    <n v="134343"/>
    <x v="7"/>
    <n v="12298829"/>
    <n v="12305029"/>
    <m/>
    <m/>
    <m/>
    <m/>
    <n v="4819578.6100000003"/>
    <m/>
    <n v="4819578.6100000003"/>
    <n v="4458426"/>
    <m/>
    <n v="4458426"/>
    <n v="17118407.609999999"/>
    <n v="16763455"/>
    <m/>
    <m/>
    <m/>
    <m/>
    <n v="0"/>
    <m/>
    <m/>
    <n v="0"/>
    <m/>
    <m/>
    <m/>
    <m/>
    <m/>
    <m/>
    <n v="17118407.609999999"/>
    <n v="16763455"/>
  </r>
  <r>
    <x v="3"/>
    <x v="0"/>
    <s v="Lake-Sumter Community College "/>
    <m/>
    <n v="135188"/>
    <x v="7"/>
    <n v="10786791"/>
    <n v="10932043"/>
    <m/>
    <m/>
    <m/>
    <m/>
    <n v="6900187.9800000004"/>
    <m/>
    <n v="6900187.9800000004"/>
    <n v="6623549"/>
    <m/>
    <n v="6623549"/>
    <n v="17686978.98"/>
    <n v="17555592"/>
    <m/>
    <m/>
    <m/>
    <m/>
    <n v="0"/>
    <m/>
    <m/>
    <n v="0"/>
    <m/>
    <m/>
    <m/>
    <m/>
    <m/>
    <m/>
    <n v="17686978.98"/>
    <n v="17555592"/>
  </r>
  <r>
    <x v="3"/>
    <x v="0"/>
    <s v="St. Johns River Community College "/>
    <m/>
    <n v="137315"/>
    <x v="7"/>
    <n v="16545091"/>
    <n v="16561820"/>
    <m/>
    <m/>
    <m/>
    <m/>
    <n v="11270082"/>
    <m/>
    <n v="11270082"/>
    <n v="10680162"/>
    <m/>
    <n v="10680162"/>
    <n v="27815173"/>
    <n v="27241982"/>
    <m/>
    <m/>
    <m/>
    <m/>
    <n v="0"/>
    <m/>
    <m/>
    <n v="0"/>
    <m/>
    <m/>
    <m/>
    <m/>
    <m/>
    <m/>
    <n v="27815173"/>
    <n v="27241982"/>
  </r>
  <r>
    <x v="3"/>
    <x v="0"/>
    <s v="South Florida Community College "/>
    <s v="Met the criteria for Two-Year with Bachelor's in 2011-12 and 2012-13."/>
    <n v="137281"/>
    <x v="7"/>
    <n v="15119308"/>
    <n v="15152285"/>
    <m/>
    <m/>
    <m/>
    <m/>
    <n v="3955891.0899999994"/>
    <m/>
    <n v="3955891.0899999994"/>
    <n v="3917638"/>
    <m/>
    <n v="3917638"/>
    <n v="19075199.09"/>
    <n v="19069923"/>
    <m/>
    <m/>
    <m/>
    <m/>
    <n v="0"/>
    <m/>
    <m/>
    <n v="0"/>
    <m/>
    <m/>
    <m/>
    <m/>
    <m/>
    <m/>
    <n v="19075199.09"/>
    <n v="19069923"/>
  </r>
  <r>
    <x v="3"/>
    <x v="0"/>
    <s v="Florida Keys Community College "/>
    <m/>
    <n v="133960"/>
    <x v="8"/>
    <n v="5778779"/>
    <n v="5780527"/>
    <m/>
    <m/>
    <m/>
    <m/>
    <n v="2604491.96"/>
    <m/>
    <n v="2604491.96"/>
    <n v="2557346"/>
    <m/>
    <n v="2557346"/>
    <n v="8383270.96"/>
    <n v="8337873"/>
    <m/>
    <m/>
    <m/>
    <m/>
    <n v="0"/>
    <m/>
    <m/>
    <n v="0"/>
    <m/>
    <m/>
    <m/>
    <m/>
    <m/>
    <m/>
    <n v="8383270.96"/>
    <n v="8337873"/>
  </r>
  <r>
    <x v="3"/>
    <x v="0"/>
    <s v="North Florida Community College "/>
    <m/>
    <n v="136145"/>
    <x v="8"/>
    <n v="6132612"/>
    <n v="6156421"/>
    <m/>
    <m/>
    <m/>
    <m/>
    <n v="1905998.2400000002"/>
    <m/>
    <n v="1905998.2400000002"/>
    <n v="1926709"/>
    <m/>
    <n v="1926709"/>
    <n v="8038610.2400000002"/>
    <n v="8083130"/>
    <m/>
    <m/>
    <m/>
    <m/>
    <n v="0"/>
    <m/>
    <m/>
    <n v="0"/>
    <m/>
    <m/>
    <m/>
    <m/>
    <m/>
    <m/>
    <n v="8038610.2400000002"/>
    <n v="8083130"/>
  </r>
  <r>
    <x v="3"/>
    <x v="14"/>
    <s v="Statewide System Operations"/>
    <m/>
    <m/>
    <x v="12"/>
    <m/>
    <m/>
    <m/>
    <m/>
    <m/>
    <m/>
    <m/>
    <m/>
    <n v="0"/>
    <m/>
    <m/>
    <n v="0"/>
    <n v="0"/>
    <n v="0"/>
    <m/>
    <m/>
    <m/>
    <m/>
    <n v="0"/>
    <m/>
    <m/>
    <n v="0"/>
    <m/>
    <m/>
    <m/>
    <m/>
    <m/>
    <m/>
    <n v="0"/>
    <n v="0"/>
  </r>
  <r>
    <x v="3"/>
    <x v="16"/>
    <s v="Division of Florida Colleges Central Office "/>
    <m/>
    <m/>
    <x v="12"/>
    <m/>
    <m/>
    <m/>
    <m/>
    <m/>
    <m/>
    <m/>
    <m/>
    <n v="0"/>
    <m/>
    <m/>
    <n v="0"/>
    <n v="0"/>
    <n v="0"/>
    <n v="2212317"/>
    <n v="1621007.0699999996"/>
    <m/>
    <m/>
    <n v="0"/>
    <m/>
    <m/>
    <n v="0"/>
    <m/>
    <m/>
    <m/>
    <m/>
    <m/>
    <m/>
    <n v="2212317"/>
    <n v="1621007.0699999996"/>
  </r>
  <r>
    <x v="4"/>
    <x v="0"/>
    <s v="Georgia State University "/>
    <m/>
    <n v="139940"/>
    <x v="0"/>
    <n v="165058638"/>
    <n v="176080213"/>
    <m/>
    <m/>
    <m/>
    <m/>
    <n v="239462215"/>
    <m/>
    <n v="239462215"/>
    <n v="244981169"/>
    <m/>
    <n v="244981169"/>
    <n v="404520853"/>
    <n v="421061382"/>
    <m/>
    <m/>
    <m/>
    <m/>
    <n v="0"/>
    <m/>
    <m/>
    <n v="0"/>
    <m/>
    <m/>
    <m/>
    <m/>
    <m/>
    <m/>
    <n v="404520853"/>
    <n v="421061382"/>
  </r>
  <r>
    <x v="4"/>
    <x v="0"/>
    <s v="University of Georgia"/>
    <m/>
    <n v="139959"/>
    <x v="0"/>
    <n v="281128761"/>
    <n v="277759311"/>
    <m/>
    <m/>
    <m/>
    <m/>
    <n v="314170032"/>
    <m/>
    <n v="314170032"/>
    <n v="343413098"/>
    <m/>
    <n v="343413098"/>
    <n v="595298793"/>
    <n v="621172409"/>
    <m/>
    <m/>
    <m/>
    <m/>
    <n v="0"/>
    <m/>
    <m/>
    <n v="0"/>
    <m/>
    <m/>
    <m/>
    <m/>
    <m/>
    <m/>
    <n v="595298793"/>
    <n v="621172409"/>
  </r>
  <r>
    <x v="4"/>
    <x v="1"/>
    <s v="Heatlh Professions Education"/>
    <m/>
    <n v="139959"/>
    <x v="0"/>
    <m/>
    <m/>
    <m/>
    <m/>
    <m/>
    <m/>
    <m/>
    <m/>
    <n v="0"/>
    <m/>
    <m/>
    <n v="0"/>
    <n v="0"/>
    <n v="0"/>
    <m/>
    <m/>
    <m/>
    <m/>
    <n v="0"/>
    <m/>
    <m/>
    <n v="0"/>
    <m/>
    <m/>
    <m/>
    <m/>
    <m/>
    <m/>
    <n v="0"/>
    <n v="0"/>
  </r>
  <r>
    <x v="4"/>
    <x v="1"/>
    <s v="College of Veterinary Medicine"/>
    <m/>
    <n v="139959"/>
    <x v="0"/>
    <m/>
    <m/>
    <m/>
    <m/>
    <m/>
    <m/>
    <m/>
    <m/>
    <n v="0"/>
    <m/>
    <m/>
    <n v="0"/>
    <n v="0"/>
    <n v="0"/>
    <m/>
    <m/>
    <m/>
    <m/>
    <n v="0"/>
    <m/>
    <m/>
    <n v="0"/>
    <n v="12782480"/>
    <n v="13056883"/>
    <n v="6604500"/>
    <m/>
    <n v="6810336"/>
    <m/>
    <n v="19386980"/>
    <n v="19867219"/>
  </r>
  <r>
    <x v="4"/>
    <x v="1"/>
    <s v="Vet Med Teaching Hospital"/>
    <m/>
    <n v="139959"/>
    <x v="0"/>
    <m/>
    <m/>
    <m/>
    <m/>
    <m/>
    <m/>
    <m/>
    <m/>
    <n v="0"/>
    <m/>
    <m/>
    <n v="0"/>
    <n v="0"/>
    <n v="0"/>
    <m/>
    <m/>
    <m/>
    <m/>
    <n v="0"/>
    <m/>
    <m/>
    <n v="0"/>
    <n v="425099"/>
    <n v="416168"/>
    <m/>
    <m/>
    <m/>
    <m/>
    <n v="425099"/>
    <n v="416168"/>
  </r>
  <r>
    <x v="4"/>
    <x v="3"/>
    <s v="Public Service Units"/>
    <m/>
    <n v="139959"/>
    <x v="0"/>
    <m/>
    <m/>
    <m/>
    <m/>
    <m/>
    <m/>
    <m/>
    <m/>
    <n v="0"/>
    <m/>
    <m/>
    <n v="0"/>
    <n v="0"/>
    <n v="0"/>
    <m/>
    <m/>
    <m/>
    <m/>
    <n v="0"/>
    <m/>
    <m/>
    <n v="0"/>
    <m/>
    <m/>
    <m/>
    <m/>
    <m/>
    <m/>
    <n v="0"/>
    <n v="0"/>
  </r>
  <r>
    <x v="4"/>
    <x v="5"/>
    <s v="Ag Cooperative Extension Service"/>
    <m/>
    <n v="139959"/>
    <x v="0"/>
    <m/>
    <m/>
    <n v="28226579"/>
    <n v="28583815"/>
    <m/>
    <m/>
    <m/>
    <m/>
    <n v="0"/>
    <m/>
    <m/>
    <n v="0"/>
    <n v="28226579"/>
    <n v="28583815"/>
    <m/>
    <m/>
    <m/>
    <m/>
    <n v="0"/>
    <m/>
    <m/>
    <n v="0"/>
    <m/>
    <m/>
    <m/>
    <m/>
    <m/>
    <m/>
    <n v="28226579"/>
    <n v="28583815"/>
  </r>
  <r>
    <x v="4"/>
    <x v="6"/>
    <s v="Ag Experiment Stations"/>
    <m/>
    <n v="139959"/>
    <x v="0"/>
    <m/>
    <m/>
    <n v="33844114"/>
    <n v="34053795"/>
    <m/>
    <m/>
    <m/>
    <m/>
    <n v="0"/>
    <m/>
    <m/>
    <n v="0"/>
    <n v="33844114"/>
    <n v="34053795"/>
    <m/>
    <m/>
    <m/>
    <m/>
    <n v="0"/>
    <m/>
    <m/>
    <n v="0"/>
    <m/>
    <m/>
    <m/>
    <m/>
    <m/>
    <m/>
    <n v="33844114"/>
    <n v="34053795"/>
  </r>
  <r>
    <x v="4"/>
    <x v="7"/>
    <s v="Research Units"/>
    <m/>
    <n v="139959"/>
    <x v="0"/>
    <m/>
    <m/>
    <m/>
    <m/>
    <m/>
    <m/>
    <m/>
    <m/>
    <n v="0"/>
    <m/>
    <m/>
    <n v="0"/>
    <n v="0"/>
    <n v="0"/>
    <m/>
    <m/>
    <m/>
    <m/>
    <n v="0"/>
    <m/>
    <m/>
    <n v="0"/>
    <m/>
    <m/>
    <m/>
    <m/>
    <m/>
    <m/>
    <n v="0"/>
    <n v="0"/>
  </r>
  <r>
    <x v="4"/>
    <x v="7"/>
    <s v="Marine Extension Service"/>
    <m/>
    <n v="139959"/>
    <x v="0"/>
    <m/>
    <m/>
    <n v="1180737"/>
    <n v="1163147"/>
    <m/>
    <m/>
    <m/>
    <m/>
    <n v="0"/>
    <m/>
    <m/>
    <n v="0"/>
    <n v="1180737"/>
    <n v="1163147"/>
    <m/>
    <m/>
    <m/>
    <m/>
    <n v="0"/>
    <m/>
    <m/>
    <n v="0"/>
    <m/>
    <m/>
    <m/>
    <m/>
    <m/>
    <m/>
    <n v="1180737"/>
    <n v="1163147"/>
  </r>
  <r>
    <x v="4"/>
    <x v="7"/>
    <s v="Vet Med Exp Station"/>
    <m/>
    <n v="139959"/>
    <x v="0"/>
    <m/>
    <m/>
    <n v="2519490"/>
    <n v="2470069"/>
    <m/>
    <m/>
    <m/>
    <m/>
    <n v="0"/>
    <m/>
    <m/>
    <n v="0"/>
    <n v="2519490"/>
    <n v="2470069"/>
    <m/>
    <m/>
    <m/>
    <m/>
    <n v="0"/>
    <m/>
    <m/>
    <n v="0"/>
    <m/>
    <m/>
    <m/>
    <m/>
    <m/>
    <m/>
    <n v="2519490"/>
    <n v="2470069"/>
  </r>
  <r>
    <x v="4"/>
    <x v="7"/>
    <s v="Marine Institute"/>
    <m/>
    <n v="139959"/>
    <x v="0"/>
    <m/>
    <m/>
    <n v="704136"/>
    <n v="707566"/>
    <m/>
    <m/>
    <m/>
    <m/>
    <n v="0"/>
    <m/>
    <m/>
    <n v="0"/>
    <n v="704136"/>
    <n v="707566"/>
    <m/>
    <m/>
    <m/>
    <m/>
    <n v="0"/>
    <m/>
    <m/>
    <n v="0"/>
    <m/>
    <m/>
    <m/>
    <m/>
    <m/>
    <m/>
    <n v="704136"/>
    <n v="707566"/>
  </r>
  <r>
    <x v="4"/>
    <x v="7"/>
    <s v="Forest Research"/>
    <m/>
    <n v="139959"/>
    <x v="0"/>
    <m/>
    <m/>
    <n v="3020803"/>
    <n v="2990232"/>
    <m/>
    <m/>
    <m/>
    <m/>
    <n v="0"/>
    <m/>
    <m/>
    <n v="0"/>
    <n v="3020803"/>
    <n v="2990232"/>
    <m/>
    <m/>
    <m/>
    <m/>
    <n v="0"/>
    <m/>
    <m/>
    <n v="0"/>
    <m/>
    <m/>
    <m/>
    <m/>
    <m/>
    <m/>
    <n v="3020803"/>
    <n v="2990232"/>
  </r>
  <r>
    <x v="4"/>
    <x v="0"/>
    <s v="Georgia Institute of Technology"/>
    <m/>
    <n v="139755"/>
    <x v="1"/>
    <n v="193661405"/>
    <n v="194313067"/>
    <m/>
    <m/>
    <m/>
    <m/>
    <n v="275945288"/>
    <m/>
    <n v="275945288"/>
    <n v="313900000"/>
    <m/>
    <n v="313900000"/>
    <n v="469606693"/>
    <n v="508213067"/>
    <m/>
    <m/>
    <m/>
    <m/>
    <n v="0"/>
    <m/>
    <m/>
    <n v="0"/>
    <m/>
    <m/>
    <m/>
    <m/>
    <m/>
    <m/>
    <n v="469606693"/>
    <n v="508213067"/>
  </r>
  <r>
    <x v="4"/>
    <x v="3"/>
    <s v="Public Service Units"/>
    <m/>
    <n v="139755"/>
    <x v="1"/>
    <m/>
    <m/>
    <m/>
    <m/>
    <m/>
    <m/>
    <m/>
    <m/>
    <n v="0"/>
    <m/>
    <m/>
    <n v="0"/>
    <n v="0"/>
    <n v="0"/>
    <m/>
    <m/>
    <m/>
    <m/>
    <n v="0"/>
    <m/>
    <m/>
    <n v="0"/>
    <m/>
    <m/>
    <m/>
    <m/>
    <m/>
    <m/>
    <n v="0"/>
    <n v="0"/>
  </r>
  <r>
    <x v="4"/>
    <x v="3"/>
    <s v="Advanced Technology Development Center"/>
    <m/>
    <n v="139755"/>
    <x v="1"/>
    <m/>
    <m/>
    <n v="7333901"/>
    <n v="7154177"/>
    <m/>
    <m/>
    <m/>
    <m/>
    <n v="0"/>
    <m/>
    <m/>
    <n v="0"/>
    <n v="7333901"/>
    <n v="7154177"/>
    <m/>
    <m/>
    <m/>
    <m/>
    <n v="0"/>
    <m/>
    <m/>
    <n v="0"/>
    <m/>
    <m/>
    <m/>
    <m/>
    <m/>
    <m/>
    <n v="7333901"/>
    <n v="7154177"/>
  </r>
  <r>
    <x v="4"/>
    <x v="7"/>
    <s v="Research Units"/>
    <m/>
    <n v="139755"/>
    <x v="1"/>
    <m/>
    <m/>
    <m/>
    <m/>
    <m/>
    <m/>
    <m/>
    <m/>
    <n v="0"/>
    <m/>
    <m/>
    <n v="0"/>
    <n v="0"/>
    <n v="0"/>
    <m/>
    <m/>
    <m/>
    <m/>
    <n v="0"/>
    <m/>
    <m/>
    <n v="0"/>
    <m/>
    <m/>
    <m/>
    <m/>
    <m/>
    <m/>
    <n v="0"/>
    <n v="0"/>
  </r>
  <r>
    <x v="4"/>
    <x v="43"/>
    <s v="Eng Experiment Station (Ga. Tech. Resch Inst.)"/>
    <m/>
    <n v="139755"/>
    <x v="1"/>
    <m/>
    <m/>
    <n v="5607909"/>
    <n v="5569382"/>
    <m/>
    <m/>
    <m/>
    <m/>
    <n v="0"/>
    <m/>
    <m/>
    <n v="0"/>
    <n v="5607909"/>
    <n v="5569382"/>
    <m/>
    <m/>
    <m/>
    <m/>
    <n v="0"/>
    <m/>
    <m/>
    <n v="0"/>
    <m/>
    <m/>
    <m/>
    <m/>
    <m/>
    <m/>
    <n v="5607909"/>
    <n v="5569382"/>
  </r>
  <r>
    <x v="4"/>
    <x v="0"/>
    <s v="Georgia Southern University"/>
    <m/>
    <n v="139931"/>
    <x v="2"/>
    <n v="72870222"/>
    <n v="76205063"/>
    <m/>
    <m/>
    <m/>
    <m/>
    <n v="103757030"/>
    <m/>
    <n v="103757030"/>
    <n v="116800684"/>
    <m/>
    <n v="116800684"/>
    <n v="176627252"/>
    <n v="193005747"/>
    <m/>
    <m/>
    <m/>
    <m/>
    <n v="0"/>
    <m/>
    <m/>
    <n v="0"/>
    <m/>
    <m/>
    <m/>
    <m/>
    <m/>
    <m/>
    <n v="176627252"/>
    <n v="193005747"/>
  </r>
  <r>
    <x v="4"/>
    <x v="0"/>
    <s v="University of West Georgia"/>
    <m/>
    <n v="141334"/>
    <x v="2"/>
    <n v="38153243"/>
    <n v="44558082"/>
    <m/>
    <m/>
    <m/>
    <m/>
    <n v="59715044"/>
    <m/>
    <n v="59715044"/>
    <n v="63921592"/>
    <m/>
    <n v="63921592"/>
    <n v="97868287"/>
    <n v="108479674"/>
    <m/>
    <m/>
    <m/>
    <m/>
    <n v="0"/>
    <m/>
    <m/>
    <n v="0"/>
    <m/>
    <m/>
    <m/>
    <m/>
    <m/>
    <m/>
    <n v="97868287"/>
    <n v="108479674"/>
  </r>
  <r>
    <x v="4"/>
    <x v="0"/>
    <s v="Valdosta State University"/>
    <m/>
    <n v="141264"/>
    <x v="2"/>
    <n v="43612773"/>
    <n v="45016305"/>
    <m/>
    <m/>
    <m/>
    <m/>
    <n v="67364997"/>
    <m/>
    <n v="67364997"/>
    <n v="66446203"/>
    <m/>
    <n v="66446203"/>
    <n v="110977770"/>
    <n v="111462508"/>
    <m/>
    <m/>
    <m/>
    <m/>
    <n v="0"/>
    <m/>
    <m/>
    <n v="0"/>
    <m/>
    <m/>
    <m/>
    <m/>
    <m/>
    <m/>
    <n v="110977770"/>
    <n v="111462508"/>
  </r>
  <r>
    <x v="4"/>
    <x v="0"/>
    <s v="Albany State University "/>
    <m/>
    <n v="138716"/>
    <x v="3"/>
    <n v="17469156"/>
    <n v="19154146"/>
    <m/>
    <m/>
    <m/>
    <m/>
    <n v="22175412"/>
    <m/>
    <n v="22175412"/>
    <n v="21582704"/>
    <m/>
    <n v="21582704"/>
    <n v="39644568"/>
    <n v="40736850"/>
    <m/>
    <m/>
    <m/>
    <m/>
    <n v="0"/>
    <m/>
    <m/>
    <n v="0"/>
    <m/>
    <m/>
    <m/>
    <m/>
    <m/>
    <m/>
    <n v="39644568"/>
    <n v="40736850"/>
  </r>
  <r>
    <x v="4"/>
    <x v="0"/>
    <s v="Armstrong Atlantic State University"/>
    <m/>
    <n v="138789"/>
    <x v="3"/>
    <n v="26051486"/>
    <n v="26682356"/>
    <m/>
    <m/>
    <m/>
    <m/>
    <n v="36620097"/>
    <m/>
    <n v="36620097"/>
    <n v="36429364"/>
    <m/>
    <n v="36429364"/>
    <n v="62671583"/>
    <n v="63111720"/>
    <m/>
    <m/>
    <m/>
    <m/>
    <n v="0"/>
    <m/>
    <m/>
    <n v="0"/>
    <m/>
    <m/>
    <m/>
    <m/>
    <m/>
    <m/>
    <n v="62671583"/>
    <n v="63111720"/>
  </r>
  <r>
    <x v="4"/>
    <x v="0"/>
    <s v="Augusta State University"/>
    <s v="Reclassified: met the criteria for Four-Year 4 in 2010-11, 2011-12, and 2012-13."/>
    <n v="138983"/>
    <x v="3"/>
    <n v="23257122"/>
    <n v="23027222"/>
    <m/>
    <m/>
    <m/>
    <m/>
    <n v="30370912"/>
    <m/>
    <n v="30370912"/>
    <n v="29011748"/>
    <m/>
    <n v="29011748"/>
    <n v="53628034"/>
    <n v="52038970"/>
    <m/>
    <m/>
    <m/>
    <m/>
    <n v="0"/>
    <m/>
    <m/>
    <n v="0"/>
    <m/>
    <m/>
    <m/>
    <m/>
    <m/>
    <m/>
    <n v="53628034"/>
    <n v="52038970"/>
  </r>
  <r>
    <x v="4"/>
    <x v="0"/>
    <s v="Columbus State University"/>
    <m/>
    <n v="139366"/>
    <x v="3"/>
    <n v="30035629"/>
    <n v="30845110"/>
    <m/>
    <m/>
    <m/>
    <m/>
    <n v="43478290"/>
    <m/>
    <n v="43478290"/>
    <n v="41843565"/>
    <m/>
    <n v="41843565"/>
    <n v="73513919"/>
    <n v="72688675"/>
    <m/>
    <m/>
    <m/>
    <m/>
    <n v="0"/>
    <m/>
    <m/>
    <n v="0"/>
    <m/>
    <m/>
    <m/>
    <m/>
    <m/>
    <m/>
    <n v="73513919"/>
    <n v="72688675"/>
  </r>
  <r>
    <x v="4"/>
    <x v="0"/>
    <s v="Georgia College and State University"/>
    <m/>
    <n v="139861"/>
    <x v="3"/>
    <n v="27229253"/>
    <n v="27240350"/>
    <m/>
    <m/>
    <m/>
    <m/>
    <n v="46081629"/>
    <m/>
    <n v="46081629"/>
    <n v="47271105"/>
    <m/>
    <n v="47271105"/>
    <n v="73310882"/>
    <n v="74511455"/>
    <m/>
    <m/>
    <m/>
    <m/>
    <n v="0"/>
    <m/>
    <m/>
    <n v="0"/>
    <m/>
    <m/>
    <m/>
    <m/>
    <m/>
    <m/>
    <n v="73310882"/>
    <n v="74511455"/>
  </r>
  <r>
    <x v="4"/>
    <x v="0"/>
    <s v="Kennesaw State University"/>
    <s v="Met the criteria for Four-Year 3 in 2011-12 and 2012-13."/>
    <n v="140164"/>
    <x v="3"/>
    <n v="73079254"/>
    <n v="75897167"/>
    <m/>
    <m/>
    <m/>
    <m/>
    <n v="132151402"/>
    <m/>
    <n v="132151402"/>
    <n v="133826316"/>
    <m/>
    <n v="133826316"/>
    <n v="205230656"/>
    <n v="209723483"/>
    <m/>
    <m/>
    <m/>
    <m/>
    <n v="0"/>
    <m/>
    <m/>
    <n v="0"/>
    <m/>
    <m/>
    <m/>
    <m/>
    <m/>
    <m/>
    <n v="205230656"/>
    <n v="209723483"/>
  </r>
  <r>
    <x v="4"/>
    <x v="0"/>
    <s v="North Georgia College and State University"/>
    <s v="Reclassified: met the criteria for Four-Year 4 in 2010-11, 2011-12, and 2012-13."/>
    <n v="140669"/>
    <x v="3"/>
    <n v="20639078"/>
    <n v="21569437"/>
    <m/>
    <m/>
    <m/>
    <m/>
    <n v="33870637"/>
    <m/>
    <n v="33870637"/>
    <n v="34906877"/>
    <m/>
    <n v="34906877"/>
    <n v="54509715"/>
    <n v="56476314"/>
    <m/>
    <m/>
    <m/>
    <m/>
    <n v="0"/>
    <m/>
    <m/>
    <n v="0"/>
    <m/>
    <m/>
    <m/>
    <m/>
    <m/>
    <m/>
    <n v="54509715"/>
    <n v="56476314"/>
  </r>
  <r>
    <x v="4"/>
    <x v="0"/>
    <s v="Clayton State University"/>
    <s v="Met the criteria for Four-Year 4 in 2012-13."/>
    <n v="139311"/>
    <x v="4"/>
    <n v="21540947"/>
    <n v="21899158"/>
    <m/>
    <m/>
    <m/>
    <m/>
    <n v="29942382"/>
    <m/>
    <n v="29942382"/>
    <n v="32409471"/>
    <m/>
    <n v="32409471"/>
    <n v="51483329"/>
    <n v="54308629"/>
    <m/>
    <m/>
    <m/>
    <m/>
    <n v="0"/>
    <m/>
    <m/>
    <n v="0"/>
    <m/>
    <m/>
    <m/>
    <m/>
    <m/>
    <m/>
    <n v="51483329"/>
    <n v="54308629"/>
  </r>
  <r>
    <x v="4"/>
    <x v="0"/>
    <s v="Fort Valley State University"/>
    <m/>
    <n v="139719"/>
    <x v="4"/>
    <n v="19915988"/>
    <n v="21800724"/>
    <m/>
    <m/>
    <m/>
    <m/>
    <n v="19261362"/>
    <m/>
    <n v="19261362"/>
    <n v="15290285"/>
    <m/>
    <n v="15290285"/>
    <n v="39177350"/>
    <n v="37091009"/>
    <m/>
    <m/>
    <m/>
    <m/>
    <n v="0"/>
    <m/>
    <m/>
    <n v="0"/>
    <m/>
    <m/>
    <m/>
    <m/>
    <m/>
    <m/>
    <n v="39177350"/>
    <n v="37091009"/>
  </r>
  <r>
    <x v="4"/>
    <x v="0"/>
    <s v="Georgia Southwestern State University"/>
    <m/>
    <n v="139764"/>
    <x v="4"/>
    <n v="10885568"/>
    <n v="11085293"/>
    <m/>
    <m/>
    <m/>
    <m/>
    <n v="18243161"/>
    <m/>
    <n v="18243161"/>
    <n v="13476330"/>
    <m/>
    <n v="13476330"/>
    <n v="29128729"/>
    <n v="24561623"/>
    <m/>
    <m/>
    <m/>
    <m/>
    <n v="0"/>
    <m/>
    <m/>
    <n v="0"/>
    <m/>
    <m/>
    <m/>
    <m/>
    <m/>
    <m/>
    <n v="29128729"/>
    <n v="24561623"/>
  </r>
  <r>
    <x v="4"/>
    <x v="0"/>
    <s v="Savannah State University"/>
    <m/>
    <n v="140960"/>
    <x v="4"/>
    <n v="16765878"/>
    <n v="17273383"/>
    <m/>
    <m/>
    <m/>
    <m/>
    <n v="21197391"/>
    <m/>
    <n v="21197391"/>
    <n v="23165111"/>
    <m/>
    <n v="23165111"/>
    <n v="37963269"/>
    <n v="40438494"/>
    <m/>
    <m/>
    <m/>
    <m/>
    <n v="0"/>
    <m/>
    <m/>
    <n v="0"/>
    <m/>
    <m/>
    <m/>
    <m/>
    <m/>
    <m/>
    <n v="37963269"/>
    <n v="40438494"/>
  </r>
  <r>
    <x v="4"/>
    <x v="9"/>
    <s v="Georgia Gwinnett College"/>
    <m/>
    <n v="447689"/>
    <x v="5"/>
    <n v="32912433"/>
    <n v="34786134"/>
    <m/>
    <m/>
    <m/>
    <m/>
    <n v="28709643"/>
    <m/>
    <n v="28709643"/>
    <n v="34359112"/>
    <m/>
    <n v="34359112"/>
    <n v="61622076"/>
    <n v="69145246"/>
    <m/>
    <m/>
    <m/>
    <m/>
    <n v="0"/>
    <m/>
    <m/>
    <n v="0"/>
    <m/>
    <m/>
    <m/>
    <m/>
    <m/>
    <m/>
    <n v="61622076"/>
    <n v="69145246"/>
  </r>
  <r>
    <x v="4"/>
    <x v="0"/>
    <s v="Macon State College "/>
    <m/>
    <n v="140322"/>
    <x v="5"/>
    <n v="17379780"/>
    <n v="17742324"/>
    <m/>
    <m/>
    <m/>
    <m/>
    <n v="18092760"/>
    <m/>
    <n v="18092760"/>
    <n v="16451619"/>
    <m/>
    <n v="16451619"/>
    <n v="35472540"/>
    <n v="34193943"/>
    <m/>
    <m/>
    <m/>
    <m/>
    <n v="0"/>
    <m/>
    <m/>
    <n v="0"/>
    <m/>
    <m/>
    <m/>
    <m/>
    <m/>
    <m/>
    <n v="35472540"/>
    <n v="34193943"/>
  </r>
  <r>
    <x v="4"/>
    <x v="0"/>
    <s v="Dalton State College "/>
    <s v="Met the criteria for Four-Year 6 in 2011-12 and 2012-13."/>
    <n v="139463"/>
    <x v="14"/>
    <n v="12881146"/>
    <n v="13269964"/>
    <m/>
    <m/>
    <m/>
    <m/>
    <n v="13462075"/>
    <m/>
    <n v="13462075"/>
    <n v="13784628"/>
    <m/>
    <n v="13784628"/>
    <n v="26343221"/>
    <n v="27054592"/>
    <m/>
    <m/>
    <m/>
    <m/>
    <n v="0"/>
    <m/>
    <m/>
    <n v="0"/>
    <m/>
    <m/>
    <m/>
    <m/>
    <m/>
    <m/>
    <n v="26343221"/>
    <n v="27054592"/>
  </r>
  <r>
    <x v="4"/>
    <x v="0"/>
    <s v="Gainesville State College "/>
    <m/>
    <n v="139773"/>
    <x v="14"/>
    <n v="18758683"/>
    <n v="19411063"/>
    <m/>
    <m/>
    <m/>
    <m/>
    <n v="24681289"/>
    <m/>
    <n v="24681289"/>
    <n v="23172230"/>
    <m/>
    <n v="23172230"/>
    <n v="43439972"/>
    <n v="42583293"/>
    <m/>
    <m/>
    <m/>
    <m/>
    <n v="0"/>
    <m/>
    <m/>
    <n v="0"/>
    <m/>
    <m/>
    <m/>
    <m/>
    <m/>
    <m/>
    <n v="43439972"/>
    <n v="42583293"/>
  </r>
  <r>
    <x v="4"/>
    <x v="0"/>
    <s v="Gordon College "/>
    <m/>
    <n v="139968"/>
    <x v="14"/>
    <n v="10142602"/>
    <n v="11376859"/>
    <m/>
    <m/>
    <m/>
    <m/>
    <n v="13169621"/>
    <m/>
    <n v="13169621"/>
    <n v="11377566"/>
    <m/>
    <n v="11377566"/>
    <n v="23312223"/>
    <n v="22754425"/>
    <m/>
    <m/>
    <m/>
    <m/>
    <n v="0"/>
    <m/>
    <m/>
    <n v="0"/>
    <m/>
    <m/>
    <m/>
    <m/>
    <m/>
    <m/>
    <n v="23312223"/>
    <n v="22754425"/>
  </r>
  <r>
    <x v="4"/>
    <x v="0"/>
    <s v="Georgia Perimeter College "/>
    <m/>
    <n v="244437"/>
    <x v="6"/>
    <n v="59821322"/>
    <n v="45018238"/>
    <m/>
    <m/>
    <m/>
    <m/>
    <n v="74083364"/>
    <m/>
    <n v="74083364"/>
    <n v="63274289"/>
    <m/>
    <n v="63274289"/>
    <n v="133904686"/>
    <n v="108292527"/>
    <m/>
    <m/>
    <m/>
    <m/>
    <n v="0"/>
    <m/>
    <m/>
    <n v="0"/>
    <m/>
    <m/>
    <m/>
    <m/>
    <m/>
    <m/>
    <n v="133904686"/>
    <n v="108292527"/>
  </r>
  <r>
    <x v="4"/>
    <x v="0"/>
    <s v="Abraham Baldwin Agricultural College "/>
    <s v="Met the criteria for Two-Year with Bachelor's in 2011-12 and 2012-13. "/>
    <n v="138558"/>
    <x v="7"/>
    <n v="12641924"/>
    <n v="12439122"/>
    <m/>
    <m/>
    <m/>
    <m/>
    <n v="9418552"/>
    <m/>
    <n v="9418552"/>
    <n v="9309859"/>
    <m/>
    <n v="9309859"/>
    <n v="22060476"/>
    <n v="21748981"/>
    <m/>
    <m/>
    <m/>
    <m/>
    <n v="0"/>
    <m/>
    <m/>
    <n v="0"/>
    <m/>
    <m/>
    <m/>
    <m/>
    <m/>
    <m/>
    <n v="22060476"/>
    <n v="21748981"/>
  </r>
  <r>
    <x v="4"/>
    <x v="0"/>
    <s v="Atlanta Metropolitan College"/>
    <m/>
    <n v="138901"/>
    <x v="7"/>
    <n v="7200067"/>
    <n v="8228293"/>
    <m/>
    <m/>
    <m/>
    <m/>
    <n v="7700527"/>
    <m/>
    <n v="7700527"/>
    <n v="8560224"/>
    <m/>
    <n v="8560224"/>
    <n v="14900594"/>
    <n v="16788517"/>
    <m/>
    <m/>
    <m/>
    <m/>
    <n v="0"/>
    <m/>
    <m/>
    <n v="0"/>
    <m/>
    <m/>
    <m/>
    <m/>
    <m/>
    <m/>
    <n v="14900594"/>
    <n v="16788517"/>
  </r>
  <r>
    <x v="4"/>
    <x v="0"/>
    <s v="Bainbridge College "/>
    <m/>
    <n v="139010"/>
    <x v="7"/>
    <n v="8020634"/>
    <n v="8815059"/>
    <m/>
    <m/>
    <m/>
    <m/>
    <n v="11024818"/>
    <m/>
    <n v="11024818"/>
    <n v="8227330"/>
    <m/>
    <n v="8227330"/>
    <n v="19045452"/>
    <n v="17042389"/>
    <m/>
    <m/>
    <m/>
    <m/>
    <n v="0"/>
    <m/>
    <m/>
    <n v="0"/>
    <m/>
    <m/>
    <m/>
    <m/>
    <m/>
    <m/>
    <n v="19045452"/>
    <n v="17042389"/>
  </r>
  <r>
    <x v="4"/>
    <x v="0"/>
    <s v="College of Coastal Georgia"/>
    <s v="Met the criteria for Two-Year with Bachelor's in 2011-12 and 2012-13. "/>
    <n v="139250"/>
    <x v="7"/>
    <n v="12153995"/>
    <n v="12868032"/>
    <m/>
    <m/>
    <m/>
    <m/>
    <n v="9482134"/>
    <m/>
    <n v="9482134"/>
    <n v="9105000"/>
    <m/>
    <n v="9105000"/>
    <n v="21636129"/>
    <n v="21973032"/>
    <m/>
    <m/>
    <m/>
    <m/>
    <n v="0"/>
    <m/>
    <m/>
    <n v="0"/>
    <m/>
    <m/>
    <m/>
    <m/>
    <m/>
    <m/>
    <n v="21636129"/>
    <n v="21973032"/>
  </r>
  <r>
    <x v="4"/>
    <x v="0"/>
    <s v="Darton College "/>
    <m/>
    <n v="138691"/>
    <x v="7"/>
    <n v="13279661"/>
    <n v="14155641"/>
    <m/>
    <m/>
    <m/>
    <m/>
    <n v="16043114"/>
    <m/>
    <n v="16043114"/>
    <n v="15995000"/>
    <m/>
    <n v="15995000"/>
    <n v="29322775"/>
    <n v="30150641"/>
    <m/>
    <m/>
    <m/>
    <m/>
    <n v="0"/>
    <m/>
    <m/>
    <n v="0"/>
    <m/>
    <m/>
    <m/>
    <m/>
    <m/>
    <m/>
    <n v="29322775"/>
    <n v="30150641"/>
  </r>
  <r>
    <x v="4"/>
    <x v="0"/>
    <s v="East Georgia College"/>
    <m/>
    <n v="139621"/>
    <x v="7"/>
    <n v="5868008"/>
    <n v="6487311"/>
    <m/>
    <m/>
    <m/>
    <m/>
    <n v="9245842"/>
    <m/>
    <n v="9245842"/>
    <n v="8160421"/>
    <m/>
    <n v="8160421"/>
    <n v="15113850"/>
    <n v="14647732"/>
    <m/>
    <m/>
    <m/>
    <m/>
    <n v="0"/>
    <m/>
    <m/>
    <n v="0"/>
    <m/>
    <m/>
    <m/>
    <m/>
    <m/>
    <m/>
    <n v="15113850"/>
    <n v="14647732"/>
  </r>
  <r>
    <x v="4"/>
    <x v="0"/>
    <s v="Georgia Highlands College "/>
    <m/>
    <n v="139700"/>
    <x v="7"/>
    <n v="12883159"/>
    <n v="13435434"/>
    <m/>
    <m/>
    <m/>
    <m/>
    <n v="14460032"/>
    <m/>
    <n v="14460032"/>
    <n v="13565110"/>
    <m/>
    <n v="13565110"/>
    <n v="27343191"/>
    <n v="27000544"/>
    <m/>
    <m/>
    <m/>
    <m/>
    <n v="0"/>
    <m/>
    <m/>
    <n v="0"/>
    <m/>
    <m/>
    <m/>
    <m/>
    <m/>
    <m/>
    <n v="27343191"/>
    <n v="27000544"/>
  </r>
  <r>
    <x v="4"/>
    <x v="0"/>
    <s v="Middle Georgia College "/>
    <s v="Met the criteria for Two-Year with Bachelor's in 2011-12 and 2012-13. "/>
    <n v="140483"/>
    <x v="7"/>
    <n v="14530659"/>
    <n v="14633601"/>
    <m/>
    <m/>
    <m/>
    <m/>
    <n v="9591781"/>
    <m/>
    <n v="9591781"/>
    <n v="9475377"/>
    <m/>
    <n v="9475377"/>
    <n v="24122440"/>
    <n v="24108978"/>
    <m/>
    <m/>
    <m/>
    <m/>
    <n v="0"/>
    <m/>
    <m/>
    <n v="0"/>
    <m/>
    <m/>
    <m/>
    <m/>
    <m/>
    <m/>
    <n v="24122440"/>
    <n v="24108978"/>
  </r>
  <r>
    <x v="4"/>
    <x v="0"/>
    <s v="South Georgia College "/>
    <m/>
    <n v="140997"/>
    <x v="8"/>
    <n v="6330350"/>
    <n v="6672445"/>
    <m/>
    <m/>
    <m/>
    <m/>
    <n v="5665754"/>
    <m/>
    <n v="5665754"/>
    <n v="5985930"/>
    <m/>
    <n v="5985930"/>
    <n v="11996104"/>
    <n v="12658375"/>
    <m/>
    <m/>
    <m/>
    <m/>
    <n v="0"/>
    <m/>
    <m/>
    <n v="0"/>
    <m/>
    <m/>
    <m/>
    <m/>
    <m/>
    <m/>
    <n v="11996104"/>
    <n v="12658375"/>
  </r>
  <r>
    <x v="4"/>
    <x v="0"/>
    <s v="Waycross College "/>
    <m/>
    <n v="141307"/>
    <x v="8"/>
    <n v="3350895"/>
    <n v="3463392"/>
    <m/>
    <m/>
    <m/>
    <m/>
    <n v="2537745"/>
    <m/>
    <n v="2537745"/>
    <n v="2017483"/>
    <m/>
    <n v="2017483"/>
    <n v="5888640"/>
    <n v="5480875"/>
    <m/>
    <m/>
    <m/>
    <m/>
    <n v="0"/>
    <m/>
    <m/>
    <n v="0"/>
    <m/>
    <m/>
    <m/>
    <m/>
    <m/>
    <m/>
    <n v="5888640"/>
    <n v="5480875"/>
  </r>
  <r>
    <x v="4"/>
    <x v="41"/>
    <s v="Georgia Health Sciences University "/>
    <m/>
    <n v="140401"/>
    <x v="11"/>
    <m/>
    <m/>
    <m/>
    <m/>
    <m/>
    <m/>
    <m/>
    <m/>
    <n v="0"/>
    <m/>
    <m/>
    <n v="0"/>
    <n v="0"/>
    <n v="0"/>
    <m/>
    <m/>
    <m/>
    <m/>
    <n v="0"/>
    <m/>
    <m/>
    <n v="0"/>
    <n v="129395734"/>
    <n v="139082087"/>
    <n v="45250258"/>
    <m/>
    <n v="45964716"/>
    <m/>
    <n v="174645992"/>
    <n v="185046803"/>
  </r>
  <r>
    <x v="4"/>
    <x v="41"/>
    <s v="Talmadge Memorial Hospital"/>
    <m/>
    <n v="140401"/>
    <x v="11"/>
    <m/>
    <m/>
    <m/>
    <m/>
    <m/>
    <m/>
    <m/>
    <m/>
    <n v="0"/>
    <m/>
    <m/>
    <n v="0"/>
    <n v="0"/>
    <n v="0"/>
    <m/>
    <m/>
    <m/>
    <m/>
    <n v="0"/>
    <m/>
    <m/>
    <n v="0"/>
    <n v="28589189"/>
    <n v="28297463"/>
    <m/>
    <m/>
    <m/>
    <m/>
    <n v="28589189"/>
    <n v="28297463"/>
  </r>
  <r>
    <x v="4"/>
    <x v="9"/>
    <s v="Southern Polytechnic State University"/>
    <m/>
    <n v="141097"/>
    <x v="11"/>
    <m/>
    <m/>
    <m/>
    <m/>
    <m/>
    <m/>
    <m/>
    <m/>
    <n v="0"/>
    <m/>
    <m/>
    <n v="0"/>
    <n v="0"/>
    <n v="0"/>
    <n v="19124425"/>
    <n v="19678891"/>
    <n v="34082390"/>
    <m/>
    <n v="34082390"/>
    <n v="34765683"/>
    <m/>
    <n v="34765683"/>
    <m/>
    <m/>
    <m/>
    <m/>
    <m/>
    <m/>
    <n v="53206815"/>
    <n v="54444574"/>
  </r>
  <r>
    <x v="4"/>
    <x v="10"/>
    <s v="Statewide Special-Purpose Units"/>
    <m/>
    <m/>
    <x v="12"/>
    <m/>
    <m/>
    <m/>
    <m/>
    <m/>
    <m/>
    <m/>
    <m/>
    <n v="0"/>
    <m/>
    <m/>
    <n v="0"/>
    <n v="0"/>
    <n v="0"/>
    <m/>
    <m/>
    <m/>
    <m/>
    <n v="0"/>
    <m/>
    <m/>
    <n v="0"/>
    <m/>
    <m/>
    <m/>
    <m/>
    <m/>
    <m/>
    <n v="0"/>
    <n v="0"/>
  </r>
  <r>
    <x v="4"/>
    <x v="11"/>
    <s v="Research centers/institutes"/>
    <m/>
    <m/>
    <x v="12"/>
    <m/>
    <m/>
    <m/>
    <m/>
    <m/>
    <m/>
    <m/>
    <m/>
    <n v="0"/>
    <m/>
    <m/>
    <n v="0"/>
    <n v="0"/>
    <n v="0"/>
    <m/>
    <m/>
    <m/>
    <m/>
    <n v="0"/>
    <m/>
    <m/>
    <n v="0"/>
    <m/>
    <m/>
    <m/>
    <m/>
    <m/>
    <m/>
    <n v="0"/>
    <n v="0"/>
  </r>
  <r>
    <x v="4"/>
    <x v="11"/>
    <s v="Skidaway Inst of Oceanography"/>
    <m/>
    <m/>
    <x v="12"/>
    <m/>
    <m/>
    <n v="2058862"/>
    <n v="2393134"/>
    <m/>
    <m/>
    <m/>
    <m/>
    <n v="0"/>
    <m/>
    <m/>
    <n v="0"/>
    <n v="2058862"/>
    <n v="2393134"/>
    <m/>
    <m/>
    <m/>
    <m/>
    <n v="0"/>
    <m/>
    <m/>
    <n v="0"/>
    <m/>
    <m/>
    <m/>
    <m/>
    <m/>
    <m/>
    <n v="2058862"/>
    <n v="2393134"/>
  </r>
  <r>
    <x v="4"/>
    <x v="13"/>
    <s v="Education special purpose funds -all other"/>
    <m/>
    <m/>
    <x v="12"/>
    <m/>
    <m/>
    <m/>
    <m/>
    <m/>
    <m/>
    <m/>
    <m/>
    <n v="0"/>
    <m/>
    <m/>
    <n v="0"/>
    <n v="0"/>
    <n v="0"/>
    <m/>
    <m/>
    <m/>
    <m/>
    <n v="0"/>
    <m/>
    <m/>
    <n v="0"/>
    <m/>
    <m/>
    <m/>
    <m/>
    <m/>
    <m/>
    <n v="0"/>
    <n v="0"/>
  </r>
  <r>
    <x v="4"/>
    <x v="13"/>
    <s v="Residence Instruction Reserve"/>
    <m/>
    <m/>
    <x v="12"/>
    <m/>
    <m/>
    <n v="0"/>
    <n v="2534532"/>
    <m/>
    <m/>
    <m/>
    <m/>
    <n v="0"/>
    <m/>
    <m/>
    <n v="0"/>
    <n v="0"/>
    <n v="2534532"/>
    <m/>
    <m/>
    <m/>
    <m/>
    <n v="0"/>
    <m/>
    <m/>
    <n v="0"/>
    <m/>
    <m/>
    <m/>
    <m/>
    <m/>
    <m/>
    <n v="0"/>
    <n v="2534532"/>
  </r>
  <r>
    <x v="4"/>
    <x v="13"/>
    <s v="Office of Information and Instructional Technology"/>
    <m/>
    <m/>
    <x v="12"/>
    <m/>
    <m/>
    <n v="31394701"/>
    <n v="27078727"/>
    <m/>
    <m/>
    <m/>
    <m/>
    <n v="0"/>
    <m/>
    <m/>
    <n v="0"/>
    <n v="31394701"/>
    <n v="27078727"/>
    <m/>
    <m/>
    <m/>
    <m/>
    <n v="0"/>
    <m/>
    <m/>
    <n v="0"/>
    <m/>
    <m/>
    <m/>
    <m/>
    <m/>
    <m/>
    <n v="31394701"/>
    <n v="27078727"/>
  </r>
  <r>
    <x v="4"/>
    <x v="13"/>
    <s v="(SHARED SERVICES) University System Regents"/>
    <m/>
    <m/>
    <x v="12"/>
    <m/>
    <m/>
    <n v="8663347"/>
    <n v="8537120"/>
    <m/>
    <m/>
    <m/>
    <m/>
    <n v="0"/>
    <m/>
    <m/>
    <n v="0"/>
    <n v="8663347"/>
    <n v="8537120"/>
    <m/>
    <m/>
    <m/>
    <m/>
    <n v="0"/>
    <m/>
    <m/>
    <n v="0"/>
    <m/>
    <m/>
    <m/>
    <m/>
    <m/>
    <m/>
    <n v="8663347"/>
    <n v="8537120"/>
  </r>
  <r>
    <x v="4"/>
    <x v="13"/>
    <s v="&quot;RCO A&quot;"/>
    <m/>
    <m/>
    <x v="12"/>
    <m/>
    <m/>
    <n v="8991641"/>
    <n v="15521908"/>
    <m/>
    <m/>
    <m/>
    <m/>
    <n v="0"/>
    <m/>
    <m/>
    <n v="0"/>
    <n v="8991641"/>
    <n v="15521908"/>
    <m/>
    <m/>
    <m/>
    <m/>
    <n v="0"/>
    <m/>
    <m/>
    <n v="0"/>
    <m/>
    <m/>
    <m/>
    <m/>
    <m/>
    <m/>
    <n v="8991641"/>
    <n v="15521908"/>
  </r>
  <r>
    <x v="4"/>
    <x v="14"/>
    <s v="Statewide System Operations"/>
    <m/>
    <m/>
    <x v="12"/>
    <m/>
    <m/>
    <m/>
    <m/>
    <m/>
    <m/>
    <m/>
    <m/>
    <n v="0"/>
    <m/>
    <m/>
    <n v="0"/>
    <n v="0"/>
    <n v="0"/>
    <m/>
    <m/>
    <m/>
    <m/>
    <n v="0"/>
    <m/>
    <m/>
    <n v="0"/>
    <m/>
    <m/>
    <m/>
    <m/>
    <m/>
    <m/>
    <n v="0"/>
    <n v="0"/>
  </r>
  <r>
    <x v="4"/>
    <x v="15"/>
    <s v="Colleges and universities"/>
    <m/>
    <m/>
    <x v="12"/>
    <m/>
    <m/>
    <m/>
    <m/>
    <m/>
    <m/>
    <m/>
    <m/>
    <n v="0"/>
    <m/>
    <m/>
    <n v="0"/>
    <n v="0"/>
    <n v="0"/>
    <m/>
    <m/>
    <m/>
    <m/>
    <n v="0"/>
    <m/>
    <m/>
    <n v="0"/>
    <m/>
    <m/>
    <m/>
    <m/>
    <m/>
    <m/>
    <n v="0"/>
    <n v="0"/>
  </r>
  <r>
    <x v="4"/>
    <x v="15"/>
    <s v="&quot;RCO B&quot;"/>
    <m/>
    <m/>
    <x v="12"/>
    <m/>
    <m/>
    <m/>
    <m/>
    <m/>
    <m/>
    <m/>
    <m/>
    <n v="0"/>
    <m/>
    <m/>
    <n v="0"/>
    <n v="0"/>
    <n v="0"/>
    <n v="4395676"/>
    <n v="6890349"/>
    <m/>
    <m/>
    <n v="0"/>
    <m/>
    <m/>
    <n v="0"/>
    <m/>
    <m/>
    <m/>
    <m/>
    <m/>
    <m/>
    <n v="4395676"/>
    <n v="6890349"/>
  </r>
  <r>
    <x v="4"/>
    <x v="17"/>
    <s v="National or regional associations, compacts or consortia"/>
    <m/>
    <m/>
    <x v="12"/>
    <m/>
    <m/>
    <m/>
    <m/>
    <m/>
    <m/>
    <m/>
    <m/>
    <n v="0"/>
    <m/>
    <m/>
    <n v="0"/>
    <n v="0"/>
    <n v="0"/>
    <m/>
    <m/>
    <m/>
    <m/>
    <n v="0"/>
    <m/>
    <m/>
    <n v="0"/>
    <m/>
    <m/>
    <m/>
    <m/>
    <m/>
    <m/>
    <n v="0"/>
    <n v="0"/>
  </r>
  <r>
    <x v="4"/>
    <x v="17"/>
    <s v="SREB membership"/>
    <m/>
    <m/>
    <x v="12"/>
    <m/>
    <m/>
    <m/>
    <m/>
    <m/>
    <m/>
    <m/>
    <m/>
    <n v="0"/>
    <m/>
    <m/>
    <n v="0"/>
    <n v="0"/>
    <n v="0"/>
    <n v="103550"/>
    <n v="193550"/>
    <m/>
    <m/>
    <n v="0"/>
    <m/>
    <m/>
    <n v="0"/>
    <m/>
    <m/>
    <m/>
    <m/>
    <m/>
    <m/>
    <n v="103550"/>
    <n v="193550"/>
  </r>
  <r>
    <x v="4"/>
    <x v="17"/>
    <s v="Doctoral Scholars"/>
    <m/>
    <m/>
    <x v="12"/>
    <m/>
    <m/>
    <m/>
    <m/>
    <m/>
    <m/>
    <m/>
    <m/>
    <n v="0"/>
    <m/>
    <m/>
    <n v="0"/>
    <n v="0"/>
    <n v="0"/>
    <n v="500000"/>
    <n v="500000"/>
    <m/>
    <m/>
    <n v="0"/>
    <m/>
    <m/>
    <n v="0"/>
    <m/>
    <m/>
    <m/>
    <m/>
    <m/>
    <m/>
    <n v="500000"/>
    <n v="500000"/>
  </r>
  <r>
    <x v="4"/>
    <x v="18"/>
    <s v="Adm. of Statewide Student Aid Progs. (incldng centralized guaranteed student loans)"/>
    <m/>
    <m/>
    <x v="12"/>
    <m/>
    <m/>
    <m/>
    <m/>
    <m/>
    <m/>
    <m/>
    <m/>
    <n v="0"/>
    <m/>
    <m/>
    <n v="0"/>
    <n v="0"/>
    <n v="0"/>
    <m/>
    <m/>
    <m/>
    <m/>
    <n v="0"/>
    <m/>
    <m/>
    <n v="0"/>
    <m/>
    <m/>
    <m/>
    <m/>
    <m/>
    <m/>
    <n v="0"/>
    <n v="0"/>
  </r>
  <r>
    <x v="4"/>
    <x v="18"/>
    <s v="Ga Student Finance Commission"/>
    <m/>
    <m/>
    <x v="12"/>
    <m/>
    <m/>
    <m/>
    <m/>
    <m/>
    <m/>
    <m/>
    <m/>
    <n v="0"/>
    <m/>
    <m/>
    <n v="0"/>
    <n v="0"/>
    <n v="0"/>
    <m/>
    <m/>
    <m/>
    <m/>
    <n v="0"/>
    <m/>
    <m/>
    <n v="0"/>
    <m/>
    <m/>
    <m/>
    <m/>
    <m/>
    <m/>
    <n v="0"/>
    <n v="0"/>
  </r>
  <r>
    <x v="4"/>
    <x v="19"/>
    <s v="State Support to Private Colleges Other Than Student Aid"/>
    <m/>
    <m/>
    <x v="12"/>
    <m/>
    <m/>
    <m/>
    <m/>
    <m/>
    <m/>
    <m/>
    <m/>
    <n v="0"/>
    <m/>
    <m/>
    <n v="0"/>
    <n v="0"/>
    <n v="0"/>
    <m/>
    <m/>
    <m/>
    <m/>
    <n v="0"/>
    <m/>
    <m/>
    <n v="0"/>
    <m/>
    <m/>
    <m/>
    <m/>
    <m/>
    <m/>
    <n v="0"/>
    <n v="0"/>
  </r>
  <r>
    <x v="4"/>
    <x v="19"/>
    <s v="Ga Military College"/>
    <m/>
    <m/>
    <x v="12"/>
    <m/>
    <m/>
    <m/>
    <m/>
    <m/>
    <m/>
    <m/>
    <m/>
    <n v="0"/>
    <m/>
    <m/>
    <n v="0"/>
    <n v="0"/>
    <n v="0"/>
    <n v="2270765"/>
    <n v="2269752"/>
    <m/>
    <m/>
    <n v="0"/>
    <m/>
    <m/>
    <n v="0"/>
    <m/>
    <m/>
    <m/>
    <m/>
    <m/>
    <m/>
    <n v="2270765"/>
    <n v="2269752"/>
  </r>
  <r>
    <x v="4"/>
    <x v="19"/>
    <s v="Mercer University (Medicine)"/>
    <m/>
    <m/>
    <x v="12"/>
    <m/>
    <m/>
    <m/>
    <m/>
    <m/>
    <m/>
    <m/>
    <m/>
    <n v="0"/>
    <m/>
    <m/>
    <n v="0"/>
    <n v="0"/>
    <n v="0"/>
    <n v="20169911"/>
    <n v="20969911"/>
    <m/>
    <m/>
    <n v="0"/>
    <m/>
    <m/>
    <n v="0"/>
    <m/>
    <m/>
    <m/>
    <m/>
    <m/>
    <m/>
    <n v="20169911"/>
    <n v="20969911"/>
  </r>
  <r>
    <x v="4"/>
    <x v="19"/>
    <s v="Morehouse School of Medicine"/>
    <m/>
    <m/>
    <x v="12"/>
    <m/>
    <m/>
    <m/>
    <m/>
    <m/>
    <m/>
    <m/>
    <m/>
    <n v="0"/>
    <m/>
    <m/>
    <n v="0"/>
    <n v="0"/>
    <n v="0"/>
    <n v="10671474"/>
    <n v="10671474"/>
    <m/>
    <m/>
    <n v="0"/>
    <m/>
    <m/>
    <n v="0"/>
    <m/>
    <m/>
    <m/>
    <m/>
    <m/>
    <m/>
    <n v="10671474"/>
    <n v="10671474"/>
  </r>
  <r>
    <x v="4"/>
    <x v="20"/>
    <s v="Contract Education Programs"/>
    <m/>
    <m/>
    <x v="12"/>
    <m/>
    <m/>
    <m/>
    <m/>
    <m/>
    <m/>
    <m/>
    <m/>
    <n v="0"/>
    <m/>
    <m/>
    <n v="0"/>
    <n v="0"/>
    <n v="0"/>
    <m/>
    <m/>
    <m/>
    <m/>
    <n v="0"/>
    <m/>
    <m/>
    <n v="0"/>
    <m/>
    <m/>
    <m/>
    <m/>
    <m/>
    <m/>
    <n v="0"/>
    <n v="0"/>
  </r>
  <r>
    <x v="4"/>
    <x v="21"/>
    <s v="SREB contract program with private colleges"/>
    <m/>
    <m/>
    <x v="12"/>
    <m/>
    <m/>
    <m/>
    <m/>
    <m/>
    <m/>
    <m/>
    <m/>
    <n v="0"/>
    <m/>
    <m/>
    <n v="0"/>
    <n v="0"/>
    <n v="0"/>
    <m/>
    <m/>
    <m/>
    <m/>
    <n v="0"/>
    <m/>
    <m/>
    <n v="0"/>
    <m/>
    <m/>
    <m/>
    <m/>
    <m/>
    <m/>
    <n v="0"/>
    <n v="0"/>
  </r>
  <r>
    <x v="4"/>
    <x v="21"/>
    <s v="Georgia Military College"/>
    <m/>
    <m/>
    <x v="12"/>
    <m/>
    <m/>
    <m/>
    <m/>
    <m/>
    <m/>
    <m/>
    <m/>
    <n v="0"/>
    <m/>
    <m/>
    <n v="0"/>
    <n v="0"/>
    <n v="0"/>
    <m/>
    <m/>
    <m/>
    <m/>
    <n v="0"/>
    <m/>
    <m/>
    <n v="0"/>
    <m/>
    <m/>
    <m/>
    <m/>
    <m/>
    <m/>
    <n v="0"/>
    <n v="0"/>
  </r>
  <r>
    <x v="4"/>
    <x v="21"/>
    <s v="Southern College (Optometry)"/>
    <m/>
    <m/>
    <x v="12"/>
    <m/>
    <m/>
    <m/>
    <m/>
    <m/>
    <m/>
    <m/>
    <m/>
    <n v="0"/>
    <m/>
    <m/>
    <n v="0"/>
    <n v="0"/>
    <n v="0"/>
    <n v="343200"/>
    <n v="355400"/>
    <m/>
    <m/>
    <n v="0"/>
    <m/>
    <m/>
    <n v="0"/>
    <m/>
    <m/>
    <m/>
    <m/>
    <m/>
    <m/>
    <n v="343200"/>
    <n v="355400"/>
  </r>
  <r>
    <x v="4"/>
    <x v="21"/>
    <s v="Nova Southeastern University (Osteopathic Medicine)"/>
    <m/>
    <m/>
    <x v="12"/>
    <m/>
    <m/>
    <m/>
    <m/>
    <m/>
    <m/>
    <m/>
    <m/>
    <n v="0"/>
    <m/>
    <m/>
    <n v="0"/>
    <n v="0"/>
    <n v="0"/>
    <n v="14300"/>
    <n v="14800"/>
    <m/>
    <m/>
    <n v="0"/>
    <m/>
    <m/>
    <n v="0"/>
    <m/>
    <m/>
    <m/>
    <m/>
    <m/>
    <m/>
    <n v="14300"/>
    <n v="14800"/>
  </r>
  <r>
    <x v="4"/>
    <x v="22"/>
    <s v="SREB contract program with public colleges"/>
    <m/>
    <m/>
    <x v="12"/>
    <m/>
    <m/>
    <m/>
    <m/>
    <m/>
    <m/>
    <m/>
    <m/>
    <n v="0"/>
    <m/>
    <m/>
    <n v="0"/>
    <n v="0"/>
    <n v="0"/>
    <m/>
    <m/>
    <m/>
    <m/>
    <n v="0"/>
    <m/>
    <m/>
    <n v="0"/>
    <m/>
    <m/>
    <m/>
    <m/>
    <m/>
    <m/>
    <n v="0"/>
    <n v="0"/>
  </r>
  <r>
    <x v="4"/>
    <x v="22"/>
    <s v="University of Alabama at Birmingham (Medicine)"/>
    <m/>
    <m/>
    <x v="12"/>
    <m/>
    <m/>
    <m/>
    <m/>
    <m/>
    <m/>
    <m/>
    <m/>
    <n v="0"/>
    <m/>
    <m/>
    <n v="0"/>
    <n v="0"/>
    <n v="0"/>
    <n v="143000"/>
    <n v="148000"/>
    <m/>
    <m/>
    <n v="0"/>
    <m/>
    <m/>
    <n v="0"/>
    <m/>
    <m/>
    <m/>
    <m/>
    <m/>
    <m/>
    <n v="143000"/>
    <n v="148000"/>
  </r>
  <r>
    <x v="4"/>
    <x v="23"/>
    <s v="Other contracted programs (Med. Student Capitation Grants)"/>
    <m/>
    <m/>
    <x v="12"/>
    <m/>
    <m/>
    <m/>
    <m/>
    <m/>
    <m/>
    <m/>
    <m/>
    <n v="0"/>
    <m/>
    <m/>
    <n v="0"/>
    <n v="0"/>
    <n v="0"/>
    <m/>
    <m/>
    <m/>
    <m/>
    <n v="0"/>
    <m/>
    <m/>
    <n v="0"/>
    <m/>
    <m/>
    <m/>
    <m/>
    <m/>
    <m/>
    <n v="0"/>
    <n v="0"/>
  </r>
  <r>
    <x v="4"/>
    <x v="23"/>
    <s v="Mercer University (Medicine)"/>
    <m/>
    <m/>
    <x v="12"/>
    <m/>
    <m/>
    <m/>
    <m/>
    <m/>
    <m/>
    <m/>
    <m/>
    <n v="0"/>
    <m/>
    <m/>
    <n v="0"/>
    <n v="0"/>
    <n v="0"/>
    <n v="1378953"/>
    <n v="1336343"/>
    <m/>
    <m/>
    <n v="0"/>
    <m/>
    <m/>
    <n v="0"/>
    <m/>
    <m/>
    <m/>
    <m/>
    <m/>
    <m/>
    <n v="1378953"/>
    <n v="1336343"/>
  </r>
  <r>
    <x v="4"/>
    <x v="23"/>
    <s v="Morehouse School of Medicine"/>
    <m/>
    <m/>
    <x v="12"/>
    <m/>
    <m/>
    <m/>
    <m/>
    <m/>
    <m/>
    <m/>
    <m/>
    <n v="0"/>
    <m/>
    <m/>
    <n v="0"/>
    <n v="0"/>
    <n v="0"/>
    <n v="610666"/>
    <n v="591796"/>
    <m/>
    <m/>
    <n v="0"/>
    <m/>
    <m/>
    <n v="0"/>
    <m/>
    <m/>
    <m/>
    <m/>
    <m/>
    <m/>
    <n v="610666"/>
    <n v="591796"/>
  </r>
  <r>
    <x v="4"/>
    <x v="23"/>
    <s v="Emory University (Medicine)"/>
    <m/>
    <m/>
    <x v="12"/>
    <m/>
    <m/>
    <m/>
    <m/>
    <m/>
    <m/>
    <m/>
    <m/>
    <n v="0"/>
    <m/>
    <m/>
    <n v="0"/>
    <n v="0"/>
    <n v="0"/>
    <n v="742017"/>
    <n v="719089"/>
    <m/>
    <m/>
    <n v="0"/>
    <m/>
    <m/>
    <n v="0"/>
    <m/>
    <m/>
    <m/>
    <m/>
    <m/>
    <m/>
    <n v="742017"/>
    <n v="719089"/>
  </r>
  <r>
    <x v="4"/>
    <x v="24"/>
    <s v="Statewide Student Financial Aid Programs Administered Off Campus"/>
    <m/>
    <m/>
    <x v="12"/>
    <m/>
    <m/>
    <m/>
    <m/>
    <m/>
    <m/>
    <m/>
    <m/>
    <n v="0"/>
    <m/>
    <m/>
    <n v="0"/>
    <n v="0"/>
    <n v="0"/>
    <m/>
    <m/>
    <m/>
    <m/>
    <n v="0"/>
    <m/>
    <m/>
    <n v="0"/>
    <m/>
    <m/>
    <m/>
    <m/>
    <m/>
    <m/>
    <n v="0"/>
    <n v="0"/>
  </r>
  <r>
    <x v="4"/>
    <x v="25"/>
    <s v="Available to public &amp; private sector students"/>
    <m/>
    <m/>
    <x v="12"/>
    <m/>
    <m/>
    <m/>
    <m/>
    <m/>
    <m/>
    <m/>
    <m/>
    <n v="0"/>
    <m/>
    <m/>
    <n v="0"/>
    <n v="0"/>
    <n v="0"/>
    <m/>
    <m/>
    <m/>
    <m/>
    <n v="0"/>
    <m/>
    <m/>
    <n v="0"/>
    <m/>
    <m/>
    <m/>
    <m/>
    <m/>
    <m/>
    <n v="0"/>
    <n v="0"/>
  </r>
  <r>
    <x v="4"/>
    <x v="25"/>
    <s v="Public Safety Memorial Grant"/>
    <m/>
    <m/>
    <x v="12"/>
    <m/>
    <m/>
    <m/>
    <m/>
    <m/>
    <m/>
    <m/>
    <m/>
    <n v="0"/>
    <m/>
    <m/>
    <n v="0"/>
    <n v="0"/>
    <n v="0"/>
    <m/>
    <m/>
    <m/>
    <m/>
    <n v="0"/>
    <m/>
    <m/>
    <n v="0"/>
    <m/>
    <m/>
    <m/>
    <m/>
    <m/>
    <m/>
    <n v="0"/>
    <n v="0"/>
  </r>
  <r>
    <x v="4"/>
    <x v="28"/>
    <s v="Amount to public sector students"/>
    <m/>
    <m/>
    <x v="12"/>
    <m/>
    <m/>
    <m/>
    <m/>
    <m/>
    <m/>
    <m/>
    <m/>
    <n v="0"/>
    <m/>
    <m/>
    <n v="0"/>
    <n v="0"/>
    <n v="0"/>
    <m/>
    <m/>
    <m/>
    <m/>
    <n v="0"/>
    <m/>
    <m/>
    <n v="0"/>
    <m/>
    <m/>
    <m/>
    <m/>
    <m/>
    <m/>
    <n v="0"/>
    <n v="0"/>
  </r>
  <r>
    <x v="4"/>
    <x v="29"/>
    <s v="Need-based"/>
    <m/>
    <m/>
    <x v="12"/>
    <m/>
    <m/>
    <m/>
    <m/>
    <m/>
    <m/>
    <m/>
    <m/>
    <n v="0"/>
    <m/>
    <m/>
    <n v="0"/>
    <n v="0"/>
    <n v="0"/>
    <m/>
    <m/>
    <m/>
    <m/>
    <n v="0"/>
    <m/>
    <m/>
    <n v="0"/>
    <m/>
    <m/>
    <m/>
    <m/>
    <m/>
    <m/>
    <n v="0"/>
    <n v="0"/>
  </r>
  <r>
    <x v="4"/>
    <x v="30"/>
    <s v="Non need-based"/>
    <m/>
    <m/>
    <x v="12"/>
    <m/>
    <m/>
    <m/>
    <m/>
    <m/>
    <m/>
    <m/>
    <m/>
    <n v="0"/>
    <m/>
    <m/>
    <n v="0"/>
    <n v="0"/>
    <n v="0"/>
    <n v="376761"/>
    <n v="376761"/>
    <m/>
    <m/>
    <n v="0"/>
    <m/>
    <m/>
    <n v="0"/>
    <m/>
    <m/>
    <m/>
    <m/>
    <m/>
    <m/>
    <n v="376761"/>
    <n v="376761"/>
  </r>
  <r>
    <x v="4"/>
    <x v="31"/>
    <s v="Amount to private sector students"/>
    <m/>
    <m/>
    <x v="12"/>
    <m/>
    <m/>
    <m/>
    <m/>
    <m/>
    <m/>
    <m/>
    <m/>
    <n v="0"/>
    <m/>
    <m/>
    <n v="0"/>
    <n v="0"/>
    <n v="0"/>
    <m/>
    <m/>
    <m/>
    <m/>
    <n v="0"/>
    <m/>
    <m/>
    <n v="0"/>
    <m/>
    <m/>
    <m/>
    <m/>
    <m/>
    <m/>
    <n v="0"/>
    <n v="0"/>
  </r>
  <r>
    <x v="4"/>
    <x v="32"/>
    <s v="Need-based"/>
    <m/>
    <m/>
    <x v="12"/>
    <m/>
    <m/>
    <m/>
    <m/>
    <m/>
    <m/>
    <m/>
    <m/>
    <n v="0"/>
    <m/>
    <m/>
    <n v="0"/>
    <n v="0"/>
    <n v="0"/>
    <m/>
    <m/>
    <m/>
    <m/>
    <n v="0"/>
    <m/>
    <m/>
    <n v="0"/>
    <m/>
    <m/>
    <m/>
    <m/>
    <m/>
    <m/>
    <n v="0"/>
    <n v="0"/>
  </r>
  <r>
    <x v="4"/>
    <x v="33"/>
    <s v="Non need-based"/>
    <m/>
    <m/>
    <x v="12"/>
    <m/>
    <m/>
    <m/>
    <m/>
    <m/>
    <m/>
    <m/>
    <m/>
    <n v="0"/>
    <m/>
    <m/>
    <n v="0"/>
    <n v="0"/>
    <n v="0"/>
    <m/>
    <m/>
    <m/>
    <m/>
    <n v="0"/>
    <m/>
    <m/>
    <n v="0"/>
    <m/>
    <m/>
    <m/>
    <m/>
    <m/>
    <m/>
    <n v="0"/>
    <n v="0"/>
  </r>
  <r>
    <x v="4"/>
    <x v="25"/>
    <s v="Engineer Scholarships"/>
    <m/>
    <m/>
    <x v="12"/>
    <m/>
    <m/>
    <m/>
    <m/>
    <m/>
    <m/>
    <m/>
    <m/>
    <n v="0"/>
    <m/>
    <m/>
    <n v="0"/>
    <n v="0"/>
    <n v="0"/>
    <m/>
    <m/>
    <m/>
    <m/>
    <n v="0"/>
    <m/>
    <m/>
    <n v="0"/>
    <m/>
    <m/>
    <m/>
    <m/>
    <m/>
    <m/>
    <n v="0"/>
    <n v="0"/>
  </r>
  <r>
    <x v="4"/>
    <x v="28"/>
    <s v="Amount to public sector students"/>
    <m/>
    <m/>
    <x v="12"/>
    <m/>
    <m/>
    <m/>
    <m/>
    <m/>
    <m/>
    <m/>
    <m/>
    <n v="0"/>
    <m/>
    <m/>
    <n v="0"/>
    <n v="0"/>
    <n v="0"/>
    <m/>
    <m/>
    <m/>
    <m/>
    <n v="0"/>
    <m/>
    <m/>
    <n v="0"/>
    <m/>
    <m/>
    <m/>
    <m/>
    <m/>
    <m/>
    <n v="0"/>
    <n v="0"/>
  </r>
  <r>
    <x v="4"/>
    <x v="29"/>
    <s v="Need-based"/>
    <m/>
    <m/>
    <x v="12"/>
    <m/>
    <m/>
    <m/>
    <m/>
    <m/>
    <m/>
    <m/>
    <m/>
    <n v="0"/>
    <m/>
    <m/>
    <n v="0"/>
    <n v="0"/>
    <n v="0"/>
    <m/>
    <m/>
    <m/>
    <m/>
    <n v="0"/>
    <m/>
    <m/>
    <n v="0"/>
    <m/>
    <m/>
    <m/>
    <m/>
    <m/>
    <m/>
    <n v="0"/>
    <n v="0"/>
  </r>
  <r>
    <x v="4"/>
    <x v="30"/>
    <s v="Non need-based"/>
    <m/>
    <m/>
    <x v="12"/>
    <m/>
    <m/>
    <m/>
    <m/>
    <m/>
    <m/>
    <m/>
    <m/>
    <n v="0"/>
    <m/>
    <m/>
    <n v="0"/>
    <n v="0"/>
    <n v="0"/>
    <m/>
    <m/>
    <m/>
    <m/>
    <n v="0"/>
    <m/>
    <m/>
    <n v="0"/>
    <m/>
    <m/>
    <m/>
    <m/>
    <m/>
    <m/>
    <n v="0"/>
    <n v="0"/>
  </r>
  <r>
    <x v="4"/>
    <x v="31"/>
    <s v="Amount to private sector students"/>
    <m/>
    <m/>
    <x v="12"/>
    <m/>
    <m/>
    <m/>
    <m/>
    <m/>
    <m/>
    <m/>
    <m/>
    <n v="0"/>
    <m/>
    <m/>
    <n v="0"/>
    <n v="0"/>
    <n v="0"/>
    <m/>
    <m/>
    <m/>
    <m/>
    <n v="0"/>
    <m/>
    <m/>
    <n v="0"/>
    <m/>
    <m/>
    <m/>
    <m/>
    <m/>
    <m/>
    <n v="0"/>
    <n v="0"/>
  </r>
  <r>
    <x v="4"/>
    <x v="32"/>
    <s v="Need-based"/>
    <m/>
    <m/>
    <x v="12"/>
    <m/>
    <m/>
    <m/>
    <m/>
    <m/>
    <m/>
    <m/>
    <m/>
    <n v="0"/>
    <m/>
    <m/>
    <n v="0"/>
    <n v="0"/>
    <n v="0"/>
    <m/>
    <m/>
    <m/>
    <m/>
    <n v="0"/>
    <m/>
    <m/>
    <n v="0"/>
    <m/>
    <m/>
    <m/>
    <m/>
    <m/>
    <m/>
    <n v="0"/>
    <n v="0"/>
  </r>
  <r>
    <x v="4"/>
    <x v="33"/>
    <s v="Non need-based"/>
    <m/>
    <m/>
    <x v="12"/>
    <m/>
    <m/>
    <m/>
    <m/>
    <m/>
    <m/>
    <m/>
    <m/>
    <n v="0"/>
    <m/>
    <m/>
    <n v="0"/>
    <n v="0"/>
    <n v="0"/>
    <n v="570000"/>
    <n v="701750"/>
    <m/>
    <m/>
    <n v="0"/>
    <m/>
    <m/>
    <n v="0"/>
    <m/>
    <m/>
    <m/>
    <m/>
    <m/>
    <m/>
    <n v="570000"/>
    <n v="701750"/>
  </r>
  <r>
    <x v="4"/>
    <x v="34"/>
    <s v="Limited to public college students only"/>
    <m/>
    <m/>
    <x v="12"/>
    <m/>
    <m/>
    <m/>
    <m/>
    <m/>
    <m/>
    <m/>
    <m/>
    <n v="0"/>
    <m/>
    <m/>
    <n v="0"/>
    <n v="0"/>
    <n v="0"/>
    <m/>
    <m/>
    <m/>
    <m/>
    <n v="0"/>
    <m/>
    <m/>
    <n v="0"/>
    <m/>
    <m/>
    <m/>
    <m/>
    <m/>
    <m/>
    <n v="0"/>
    <n v="0"/>
  </r>
  <r>
    <x v="4"/>
    <x v="34"/>
    <s v="HOPE Scholarships"/>
    <m/>
    <m/>
    <x v="12"/>
    <m/>
    <m/>
    <m/>
    <m/>
    <m/>
    <m/>
    <m/>
    <m/>
    <n v="0"/>
    <m/>
    <m/>
    <n v="0"/>
    <n v="0"/>
    <n v="0"/>
    <m/>
    <m/>
    <m/>
    <m/>
    <n v="0"/>
    <m/>
    <m/>
    <n v="0"/>
    <m/>
    <m/>
    <m/>
    <m/>
    <m/>
    <m/>
    <n v="0"/>
    <n v="0"/>
  </r>
  <r>
    <x v="4"/>
    <x v="35"/>
    <s v="Need-based"/>
    <m/>
    <m/>
    <x v="12"/>
    <m/>
    <m/>
    <m/>
    <m/>
    <m/>
    <m/>
    <m/>
    <m/>
    <n v="0"/>
    <m/>
    <m/>
    <n v="0"/>
    <n v="0"/>
    <n v="0"/>
    <m/>
    <m/>
    <m/>
    <m/>
    <n v="0"/>
    <m/>
    <m/>
    <n v="0"/>
    <m/>
    <m/>
    <m/>
    <m/>
    <m/>
    <m/>
    <n v="0"/>
    <n v="0"/>
  </r>
  <r>
    <x v="4"/>
    <x v="36"/>
    <s v="Non need-based"/>
    <m/>
    <m/>
    <x v="12"/>
    <m/>
    <m/>
    <m/>
    <m/>
    <m/>
    <m/>
    <m/>
    <m/>
    <n v="0"/>
    <m/>
    <m/>
    <n v="0"/>
    <n v="0"/>
    <n v="0"/>
    <n v="410638135"/>
    <n v="401800599"/>
    <m/>
    <m/>
    <n v="0"/>
    <m/>
    <m/>
    <n v="0"/>
    <m/>
    <m/>
    <m/>
    <m/>
    <m/>
    <m/>
    <n v="410638135"/>
    <n v="401800599"/>
  </r>
  <r>
    <x v="4"/>
    <x v="37"/>
    <s v="Limited to private college students"/>
    <m/>
    <m/>
    <x v="12"/>
    <m/>
    <m/>
    <m/>
    <m/>
    <m/>
    <m/>
    <m/>
    <m/>
    <n v="0"/>
    <m/>
    <m/>
    <n v="0"/>
    <n v="0"/>
    <n v="0"/>
    <m/>
    <m/>
    <m/>
    <m/>
    <n v="0"/>
    <m/>
    <m/>
    <n v="0"/>
    <m/>
    <m/>
    <m/>
    <m/>
    <m/>
    <m/>
    <n v="0"/>
    <n v="0"/>
  </r>
  <r>
    <x v="4"/>
    <x v="37"/>
    <s v="Georgia Military College Scholarships"/>
    <m/>
    <m/>
    <x v="12"/>
    <m/>
    <m/>
    <m/>
    <m/>
    <m/>
    <m/>
    <m/>
    <m/>
    <n v="0"/>
    <m/>
    <m/>
    <n v="0"/>
    <n v="0"/>
    <n v="0"/>
    <m/>
    <m/>
    <m/>
    <m/>
    <n v="0"/>
    <m/>
    <m/>
    <n v="0"/>
    <m/>
    <m/>
    <m/>
    <m/>
    <m/>
    <m/>
    <n v="0"/>
    <n v="0"/>
  </r>
  <r>
    <x v="4"/>
    <x v="38"/>
    <s v="Need-based"/>
    <m/>
    <m/>
    <x v="12"/>
    <m/>
    <m/>
    <m/>
    <m/>
    <m/>
    <m/>
    <m/>
    <m/>
    <n v="0"/>
    <m/>
    <m/>
    <n v="0"/>
    <n v="0"/>
    <n v="0"/>
    <m/>
    <m/>
    <m/>
    <m/>
    <n v="0"/>
    <m/>
    <m/>
    <n v="0"/>
    <m/>
    <m/>
    <m/>
    <m/>
    <m/>
    <m/>
    <n v="0"/>
    <n v="0"/>
  </r>
  <r>
    <x v="4"/>
    <x v="39"/>
    <s v="Non need-based"/>
    <m/>
    <m/>
    <x v="12"/>
    <m/>
    <m/>
    <m/>
    <m/>
    <m/>
    <m/>
    <m/>
    <m/>
    <n v="0"/>
    <m/>
    <m/>
    <n v="0"/>
    <n v="0"/>
    <n v="0"/>
    <n v="1094862"/>
    <n v="1094862"/>
    <m/>
    <m/>
    <n v="0"/>
    <m/>
    <m/>
    <n v="0"/>
    <m/>
    <m/>
    <m/>
    <m/>
    <m/>
    <m/>
    <n v="1094862"/>
    <n v="1094862"/>
  </r>
  <r>
    <x v="4"/>
    <x v="37"/>
    <s v="HOPE Scholarships"/>
    <m/>
    <m/>
    <x v="12"/>
    <m/>
    <m/>
    <m/>
    <m/>
    <m/>
    <m/>
    <m/>
    <m/>
    <n v="0"/>
    <m/>
    <m/>
    <n v="0"/>
    <n v="0"/>
    <n v="0"/>
    <m/>
    <m/>
    <m/>
    <m/>
    <n v="0"/>
    <m/>
    <m/>
    <n v="0"/>
    <m/>
    <m/>
    <m/>
    <m/>
    <m/>
    <m/>
    <n v="0"/>
    <n v="0"/>
  </r>
  <r>
    <x v="4"/>
    <x v="38"/>
    <s v="Need-based"/>
    <m/>
    <m/>
    <x v="12"/>
    <m/>
    <m/>
    <m/>
    <m/>
    <m/>
    <m/>
    <m/>
    <m/>
    <n v="0"/>
    <m/>
    <m/>
    <n v="0"/>
    <n v="0"/>
    <n v="0"/>
    <m/>
    <m/>
    <m/>
    <m/>
    <n v="0"/>
    <m/>
    <m/>
    <n v="0"/>
    <m/>
    <m/>
    <m/>
    <m/>
    <m/>
    <m/>
    <n v="0"/>
    <n v="0"/>
  </r>
  <r>
    <x v="4"/>
    <x v="39"/>
    <s v="Non need-based"/>
    <m/>
    <m/>
    <x v="12"/>
    <m/>
    <m/>
    <m/>
    <m/>
    <m/>
    <m/>
    <m/>
    <m/>
    <n v="0"/>
    <m/>
    <m/>
    <n v="0"/>
    <n v="0"/>
    <n v="0"/>
    <n v="53426921"/>
    <n v="46030622"/>
    <m/>
    <m/>
    <n v="0"/>
    <m/>
    <m/>
    <n v="0"/>
    <m/>
    <m/>
    <m/>
    <m/>
    <m/>
    <m/>
    <n v="53426921"/>
    <n v="46030622"/>
  </r>
  <r>
    <x v="4"/>
    <x v="0"/>
    <s v="Albany Technical College"/>
    <m/>
    <n v="138682"/>
    <x v="9"/>
    <n v="9054898"/>
    <n v="9685664"/>
    <m/>
    <m/>
    <m/>
    <m/>
    <n v="12599601.16"/>
    <m/>
    <n v="12599601.16"/>
    <n v="12347609.1368"/>
    <m/>
    <n v="12347609.1368"/>
    <n v="21654499.16"/>
    <n v="22033273.136799999"/>
    <m/>
    <m/>
    <m/>
    <m/>
    <n v="0"/>
    <m/>
    <m/>
    <n v="0"/>
    <m/>
    <m/>
    <m/>
    <m/>
    <m/>
    <m/>
    <n v="21654499.16"/>
    <n v="22033273.136799999"/>
  </r>
  <r>
    <x v="4"/>
    <x v="0"/>
    <s v="Altamaha Technical College"/>
    <m/>
    <n v="366447"/>
    <x v="9"/>
    <n v="7153351"/>
    <n v="7082740"/>
    <m/>
    <m/>
    <m/>
    <m/>
    <n v="3703887.02"/>
    <m/>
    <n v="3703887.02"/>
    <n v="3629809.2796"/>
    <m/>
    <n v="3629809.2796"/>
    <n v="10857238.02"/>
    <n v="10712549.2796"/>
    <m/>
    <m/>
    <m/>
    <m/>
    <n v="0"/>
    <m/>
    <m/>
    <n v="0"/>
    <m/>
    <m/>
    <m/>
    <m/>
    <m/>
    <m/>
    <n v="10857238.02"/>
    <n v="10712549.2796"/>
  </r>
  <r>
    <x v="4"/>
    <x v="0"/>
    <s v="Athens Technical College"/>
    <m/>
    <n v="246813"/>
    <x v="9"/>
    <n v="9867456"/>
    <n v="10507606"/>
    <m/>
    <m/>
    <m/>
    <m/>
    <n v="12278947.4"/>
    <m/>
    <n v="12278947.4"/>
    <n v="12033368.452"/>
    <m/>
    <n v="12033368.452"/>
    <n v="22146403.399999999"/>
    <n v="22540974.452"/>
    <m/>
    <m/>
    <m/>
    <m/>
    <n v="0"/>
    <m/>
    <m/>
    <n v="0"/>
    <m/>
    <m/>
    <m/>
    <m/>
    <m/>
    <m/>
    <n v="22146403.399999999"/>
    <n v="22540974.452"/>
  </r>
  <r>
    <x v="4"/>
    <x v="0"/>
    <s v="Atlanta Technical College"/>
    <m/>
    <n v="138840"/>
    <x v="9"/>
    <n v="11768755"/>
    <n v="11895348"/>
    <m/>
    <m/>
    <m/>
    <m/>
    <n v="14052834.880000001"/>
    <m/>
    <n v="14052834.880000001"/>
    <n v="13771778.182400001"/>
    <m/>
    <n v="13771778.182400001"/>
    <n v="25821589.880000003"/>
    <n v="25667126.182400003"/>
    <m/>
    <m/>
    <m/>
    <m/>
    <n v="0"/>
    <m/>
    <m/>
    <n v="0"/>
    <m/>
    <m/>
    <m/>
    <m/>
    <m/>
    <m/>
    <n v="25821589.880000003"/>
    <n v="25667126.182400003"/>
  </r>
  <r>
    <x v="4"/>
    <x v="0"/>
    <s v="Augusta Technical College"/>
    <m/>
    <n v="138956"/>
    <x v="9"/>
    <n v="13492984"/>
    <n v="13229619"/>
    <m/>
    <m/>
    <m/>
    <m/>
    <n v="9782405.2300000004"/>
    <m/>
    <n v="9782405.2300000004"/>
    <n v="9586757.1254000012"/>
    <m/>
    <n v="9586757.1254000012"/>
    <n v="23275389.23"/>
    <n v="22816376.125399999"/>
    <m/>
    <m/>
    <m/>
    <m/>
    <n v="0"/>
    <m/>
    <m/>
    <n v="0"/>
    <m/>
    <m/>
    <m/>
    <m/>
    <m/>
    <m/>
    <n v="23275389.23"/>
    <n v="22816376.125399999"/>
  </r>
  <r>
    <x v="4"/>
    <x v="0"/>
    <s v="Central Georgia Technical College"/>
    <m/>
    <n v="140304"/>
    <x v="9"/>
    <n v="13101718"/>
    <n v="13359885"/>
    <m/>
    <m/>
    <m/>
    <m/>
    <n v="13364401.1"/>
    <m/>
    <n v="13364401.1"/>
    <n v="13097113.078"/>
    <m/>
    <n v="13097113.078"/>
    <n v="26466119.100000001"/>
    <n v="26456998.078000002"/>
    <m/>
    <m/>
    <m/>
    <m/>
    <n v="0"/>
    <m/>
    <m/>
    <n v="0"/>
    <m/>
    <m/>
    <m/>
    <m/>
    <m/>
    <m/>
    <n v="26466119.100000001"/>
    <n v="26456998.078000002"/>
  </r>
  <r>
    <x v="4"/>
    <x v="0"/>
    <s v="Chattahoochee Technical College"/>
    <m/>
    <n v="140331"/>
    <x v="9"/>
    <n v="19639331.969999999"/>
    <n v="19746689"/>
    <m/>
    <m/>
    <m/>
    <m/>
    <n v="26778860.870000001"/>
    <m/>
    <n v="26778860.870000001"/>
    <n v="26243283.652600002"/>
    <m/>
    <n v="26243283.652600002"/>
    <n v="46418192.840000004"/>
    <n v="45989972.652600005"/>
    <m/>
    <m/>
    <m/>
    <m/>
    <n v="0"/>
    <m/>
    <m/>
    <n v="0"/>
    <m/>
    <m/>
    <m/>
    <m/>
    <m/>
    <m/>
    <n v="46418192.840000004"/>
    <n v="45989972.652600005"/>
  </r>
  <r>
    <x v="4"/>
    <x v="0"/>
    <s v="Columbus Technical College"/>
    <m/>
    <n v="139357"/>
    <x v="9"/>
    <n v="9760214.8000000007"/>
    <n v="9692813"/>
    <m/>
    <m/>
    <m/>
    <m/>
    <n v="10226145.720000001"/>
    <m/>
    <n v="10226145.720000001"/>
    <n v="10021622.805600001"/>
    <m/>
    <n v="10021622.805600001"/>
    <n v="19986360.520000003"/>
    <n v="19714435.805600002"/>
    <m/>
    <m/>
    <m/>
    <m/>
    <n v="0"/>
    <m/>
    <m/>
    <n v="0"/>
    <m/>
    <m/>
    <m/>
    <m/>
    <m/>
    <m/>
    <n v="19986360.520000003"/>
    <n v="19714435.805600002"/>
  </r>
  <r>
    <x v="4"/>
    <x v="0"/>
    <s v="Georgia Northwestern Technical College"/>
    <m/>
    <n v="139384"/>
    <x v="9"/>
    <n v="17221856"/>
    <n v="16392622"/>
    <m/>
    <m/>
    <m/>
    <m/>
    <n v="15740848.02"/>
    <m/>
    <n v="15740848.02"/>
    <n v="15426031.059599999"/>
    <m/>
    <n v="15426031.059599999"/>
    <n v="32962704.02"/>
    <n v="31818653.059599999"/>
    <m/>
    <m/>
    <m/>
    <m/>
    <n v="0"/>
    <m/>
    <m/>
    <n v="0"/>
    <m/>
    <m/>
    <m/>
    <m/>
    <m/>
    <m/>
    <n v="32962704.02"/>
    <n v="31818653.059599999"/>
  </r>
  <r>
    <x v="4"/>
    <x v="0"/>
    <s v="Georgia Piedmont Technical College"/>
    <m/>
    <n v="244446"/>
    <x v="9"/>
    <n v="14127634"/>
    <n v="13818687"/>
    <m/>
    <m/>
    <m/>
    <m/>
    <n v="12452619.310000001"/>
    <m/>
    <n v="12452619.310000001"/>
    <n v="12203566.923800001"/>
    <m/>
    <n v="12203566.923800001"/>
    <n v="26580253.310000002"/>
    <n v="26022253.923799999"/>
    <m/>
    <m/>
    <m/>
    <m/>
    <n v="0"/>
    <m/>
    <m/>
    <n v="0"/>
    <m/>
    <m/>
    <m/>
    <m/>
    <m/>
    <m/>
    <n v="26580253.310000002"/>
    <n v="26022253.923799999"/>
  </r>
  <r>
    <x v="4"/>
    <x v="0"/>
    <s v="Gwinnett Technical College"/>
    <m/>
    <n v="140012"/>
    <x v="9"/>
    <n v="12697431"/>
    <n v="13252285"/>
    <m/>
    <m/>
    <m/>
    <m/>
    <n v="19874051.170000002"/>
    <m/>
    <n v="19874051.170000002"/>
    <n v="19476570.146600001"/>
    <m/>
    <n v="19476570.146600001"/>
    <n v="32571482.170000002"/>
    <n v="32728855.146600001"/>
    <m/>
    <m/>
    <m/>
    <m/>
    <n v="0"/>
    <m/>
    <m/>
    <n v="0"/>
    <m/>
    <m/>
    <m/>
    <m/>
    <m/>
    <m/>
    <n v="32571482.170000002"/>
    <n v="32728855.146600001"/>
  </r>
  <r>
    <x v="4"/>
    <x v="0"/>
    <s v="Lanier Technical College"/>
    <m/>
    <n v="140243"/>
    <x v="9"/>
    <n v="9312036"/>
    <n v="9179893"/>
    <m/>
    <m/>
    <m/>
    <m/>
    <n v="7734438.21"/>
    <m/>
    <n v="7734438.21"/>
    <n v="7579749.4457999999"/>
    <m/>
    <n v="7579749.4457999999"/>
    <n v="17046474.210000001"/>
    <n v="16759642.445799999"/>
    <m/>
    <m/>
    <m/>
    <m/>
    <n v="0"/>
    <m/>
    <m/>
    <n v="0"/>
    <m/>
    <m/>
    <m/>
    <m/>
    <m/>
    <m/>
    <n v="17046474.210000001"/>
    <n v="16759642.445799999"/>
  </r>
  <r>
    <x v="4"/>
    <x v="0"/>
    <s v="Middle Georgia Technical College"/>
    <m/>
    <n v="140085"/>
    <x v="9"/>
    <n v="7455675"/>
    <n v="8543050"/>
    <m/>
    <m/>
    <m/>
    <m/>
    <n v="7345463.8899999997"/>
    <m/>
    <n v="7345463.8899999997"/>
    <n v="7198554.6121999994"/>
    <m/>
    <n v="7198554.6121999994"/>
    <n v="14801138.890000001"/>
    <n v="15741604.612199999"/>
    <m/>
    <m/>
    <m/>
    <m/>
    <n v="0"/>
    <m/>
    <m/>
    <n v="0"/>
    <m/>
    <m/>
    <m/>
    <m/>
    <m/>
    <m/>
    <n v="14801138.890000001"/>
    <n v="15741604.612199999"/>
  </r>
  <r>
    <x v="4"/>
    <x v="0"/>
    <s v="Moultrie Technical College"/>
    <m/>
    <n v="140599"/>
    <x v="9"/>
    <n v="6986757"/>
    <n v="7079762"/>
    <m/>
    <m/>
    <m/>
    <m/>
    <n v="6476136.5800000001"/>
    <m/>
    <n v="6476136.5800000001"/>
    <n v="6346613.8483999996"/>
    <m/>
    <n v="6346613.8483999996"/>
    <n v="13462893.58"/>
    <n v="13426375.8484"/>
    <m/>
    <m/>
    <m/>
    <m/>
    <n v="0"/>
    <m/>
    <m/>
    <n v="0"/>
    <m/>
    <m/>
    <m/>
    <m/>
    <m/>
    <m/>
    <n v="13462893.58"/>
    <n v="13426375.8484"/>
  </r>
  <r>
    <x v="4"/>
    <x v="0"/>
    <s v="North Georgia Technical College"/>
    <m/>
    <n v="140678"/>
    <x v="9"/>
    <n v="8103920"/>
    <n v="8342802"/>
    <m/>
    <m/>
    <m/>
    <m/>
    <n v="8460435.1899999995"/>
    <m/>
    <n v="8460435.1899999995"/>
    <n v="8291226.4861999992"/>
    <m/>
    <n v="8291226.4861999992"/>
    <n v="16564355.189999999"/>
    <n v="16634028.486199999"/>
    <m/>
    <m/>
    <m/>
    <m/>
    <n v="0"/>
    <m/>
    <m/>
    <n v="0"/>
    <m/>
    <m/>
    <m/>
    <m/>
    <m/>
    <m/>
    <n v="16564355.189999999"/>
    <n v="16634028.486199999"/>
  </r>
  <r>
    <x v="4"/>
    <x v="0"/>
    <s v="Oconee Fall Line Technical College"/>
    <m/>
    <n v="420431"/>
    <x v="9"/>
    <n v="9907237.1999999993"/>
    <n v="8730762"/>
    <m/>
    <m/>
    <m/>
    <m/>
    <n v="6514163.6399999997"/>
    <m/>
    <n v="6514163.6399999997"/>
    <n v="6383880.3671999993"/>
    <m/>
    <n v="6383880.3671999993"/>
    <n v="16421400.84"/>
    <n v="15114642.367199998"/>
    <m/>
    <m/>
    <m/>
    <m/>
    <n v="0"/>
    <m/>
    <m/>
    <n v="0"/>
    <m/>
    <m/>
    <m/>
    <m/>
    <m/>
    <m/>
    <n v="16421400.84"/>
    <n v="15114642.367199998"/>
  </r>
  <r>
    <x v="4"/>
    <x v="0"/>
    <s v="Ogeechee Technical College"/>
    <m/>
    <n v="366465"/>
    <x v="9"/>
    <n v="6994104"/>
    <n v="6977983"/>
    <m/>
    <m/>
    <m/>
    <m/>
    <n v="6964360.2999999998"/>
    <m/>
    <n v="6964360.2999999998"/>
    <n v="6825073.0939999996"/>
    <m/>
    <n v="6825073.0939999996"/>
    <n v="13958464.300000001"/>
    <n v="13803056.094000001"/>
    <m/>
    <m/>
    <m/>
    <m/>
    <n v="0"/>
    <m/>
    <m/>
    <n v="0"/>
    <m/>
    <m/>
    <m/>
    <m/>
    <m/>
    <m/>
    <n v="13958464.300000001"/>
    <n v="13803056.094000001"/>
  </r>
  <r>
    <x v="4"/>
    <x v="0"/>
    <s v="Okefenokee Technical College"/>
    <m/>
    <n v="248776"/>
    <x v="9"/>
    <n v="5519811"/>
    <n v="5633994"/>
    <m/>
    <m/>
    <m/>
    <m/>
    <n v="3674025.33"/>
    <m/>
    <n v="3674025.33"/>
    <n v="3600544.8234000001"/>
    <m/>
    <n v="3600544.8234000001"/>
    <n v="9193836.3300000001"/>
    <n v="9234538.8234000001"/>
    <m/>
    <m/>
    <m/>
    <m/>
    <n v="0"/>
    <m/>
    <m/>
    <n v="0"/>
    <m/>
    <m/>
    <m/>
    <m/>
    <m/>
    <m/>
    <n v="9193836.3300000001"/>
    <n v="9234538.8234000001"/>
  </r>
  <r>
    <x v="4"/>
    <x v="0"/>
    <s v="Savannah Technical College"/>
    <m/>
    <n v="140942"/>
    <x v="9"/>
    <n v="11042094"/>
    <n v="10962982"/>
    <m/>
    <m/>
    <m/>
    <m/>
    <n v="16243856.050000001"/>
    <m/>
    <n v="16243856.050000001"/>
    <n v="15918978.929"/>
    <m/>
    <n v="15918978.929"/>
    <n v="27285950.050000001"/>
    <n v="26881960.928999998"/>
    <m/>
    <m/>
    <m/>
    <m/>
    <n v="0"/>
    <m/>
    <m/>
    <n v="0"/>
    <m/>
    <m/>
    <m/>
    <m/>
    <m/>
    <m/>
    <n v="27285950.050000001"/>
    <n v="26881960.928999998"/>
  </r>
  <r>
    <x v="4"/>
    <x v="0"/>
    <s v="South Georgia Technical College"/>
    <m/>
    <n v="141006"/>
    <x v="9"/>
    <n v="8019694"/>
    <n v="8122961"/>
    <m/>
    <m/>
    <m/>
    <m/>
    <n v="7053027.7800000003"/>
    <m/>
    <n v="7053027.7800000003"/>
    <n v="6911967.2243999997"/>
    <m/>
    <n v="6911967.2243999997"/>
    <n v="15072721.780000001"/>
    <n v="15034928.224399999"/>
    <m/>
    <m/>
    <m/>
    <m/>
    <n v="0"/>
    <m/>
    <m/>
    <n v="0"/>
    <m/>
    <m/>
    <m/>
    <m/>
    <m/>
    <m/>
    <n v="15072721.780000001"/>
    <n v="15034928.224399999"/>
  </r>
  <r>
    <x v="4"/>
    <x v="0"/>
    <s v="Southeastern Technical College"/>
    <m/>
    <n v="368911"/>
    <x v="9"/>
    <n v="8302895"/>
    <n v="8278035"/>
    <m/>
    <m/>
    <m/>
    <m/>
    <n v="4265136.93"/>
    <m/>
    <n v="4265136.93"/>
    <n v="4179834.1913999994"/>
    <m/>
    <n v="4179834.1913999994"/>
    <n v="12568031.93"/>
    <n v="12457869.191399999"/>
    <m/>
    <m/>
    <m/>
    <m/>
    <n v="0"/>
    <m/>
    <m/>
    <n v="0"/>
    <m/>
    <m/>
    <m/>
    <m/>
    <m/>
    <m/>
    <n v="12568031.93"/>
    <n v="12457869.191399999"/>
  </r>
  <r>
    <x v="4"/>
    <x v="0"/>
    <s v="Southern Crescent Technical College"/>
    <m/>
    <n v="139986"/>
    <x v="9"/>
    <n v="12775154"/>
    <n v="12046189"/>
    <m/>
    <m/>
    <m/>
    <m/>
    <n v="12184216.68"/>
    <m/>
    <n v="12184216.68"/>
    <n v="11940532.3464"/>
    <m/>
    <n v="11940532.3464"/>
    <n v="24959370.68"/>
    <n v="23986721.3464"/>
    <m/>
    <m/>
    <m/>
    <m/>
    <n v="0"/>
    <m/>
    <m/>
    <n v="0"/>
    <m/>
    <m/>
    <m/>
    <m/>
    <m/>
    <m/>
    <n v="24959370.68"/>
    <n v="23986721.3464"/>
  </r>
  <r>
    <x v="4"/>
    <x v="0"/>
    <s v="Southwest Georgia Technical College"/>
    <m/>
    <n v="141158"/>
    <x v="9"/>
    <n v="6898778"/>
    <n v="6921585"/>
    <m/>
    <m/>
    <m/>
    <m/>
    <n v="3824334.01"/>
    <m/>
    <n v="3824334.01"/>
    <n v="3747847.3297999995"/>
    <m/>
    <n v="3747847.3297999995"/>
    <n v="10723112.01"/>
    <n v="10669432.329799999"/>
    <m/>
    <m/>
    <m/>
    <m/>
    <n v="0"/>
    <m/>
    <m/>
    <n v="0"/>
    <m/>
    <m/>
    <m/>
    <m/>
    <m/>
    <m/>
    <n v="10723112.01"/>
    <n v="10669432.329799999"/>
  </r>
  <r>
    <x v="4"/>
    <x v="0"/>
    <s v="West Georgia Technical College"/>
    <m/>
    <n v="139278"/>
    <x v="9"/>
    <n v="15244000.029999999"/>
    <n v="16005726"/>
    <m/>
    <m/>
    <m/>
    <m/>
    <n v="18637904.420000002"/>
    <m/>
    <n v="18637904.420000002"/>
    <n v="18265146.331600003"/>
    <m/>
    <n v="18265146.331600003"/>
    <n v="33881904.450000003"/>
    <n v="34270872.331600003"/>
    <m/>
    <m/>
    <m/>
    <m/>
    <n v="0"/>
    <m/>
    <m/>
    <n v="0"/>
    <m/>
    <m/>
    <m/>
    <m/>
    <m/>
    <m/>
    <n v="33881904.450000003"/>
    <n v="34270872.331600003"/>
  </r>
  <r>
    <x v="4"/>
    <x v="0"/>
    <s v="Wiregrass Georgia Technical College"/>
    <m/>
    <n v="141255"/>
    <x v="9"/>
    <n v="12274928"/>
    <n v="12554891"/>
    <m/>
    <m/>
    <m/>
    <m/>
    <n v="11284556.539999999"/>
    <m/>
    <n v="11284556.539999999"/>
    <n v="11058865.4092"/>
    <m/>
    <n v="11058865.4092"/>
    <n v="23559484.539999999"/>
    <n v="23613756.409199998"/>
    <m/>
    <m/>
    <m/>
    <m/>
    <n v="0"/>
    <m/>
    <m/>
    <n v="0"/>
    <m/>
    <m/>
    <m/>
    <m/>
    <m/>
    <m/>
    <n v="23559484.539999999"/>
    <n v="23613756.409199998"/>
  </r>
  <r>
    <x v="4"/>
    <x v="10"/>
    <s v="Education special purpose funds -statewide units"/>
    <m/>
    <m/>
    <x v="12"/>
    <m/>
    <m/>
    <m/>
    <m/>
    <m/>
    <m/>
    <m/>
    <m/>
    <n v="0"/>
    <m/>
    <m/>
    <n v="0"/>
    <n v="0"/>
    <n v="0"/>
    <m/>
    <m/>
    <m/>
    <m/>
    <n v="0"/>
    <m/>
    <m/>
    <n v="0"/>
    <m/>
    <m/>
    <m/>
    <m/>
    <m/>
    <m/>
    <n v="0"/>
    <n v="0"/>
  </r>
  <r>
    <x v="4"/>
    <x v="42"/>
    <s v="Community or public service units"/>
    <m/>
    <m/>
    <x v="12"/>
    <m/>
    <m/>
    <m/>
    <m/>
    <m/>
    <m/>
    <m/>
    <m/>
    <n v="0"/>
    <m/>
    <m/>
    <n v="0"/>
    <n v="0"/>
    <n v="0"/>
    <m/>
    <m/>
    <m/>
    <m/>
    <n v="0"/>
    <m/>
    <m/>
    <n v="0"/>
    <m/>
    <m/>
    <m/>
    <m/>
    <m/>
    <m/>
    <n v="0"/>
    <n v="0"/>
  </r>
  <r>
    <x v="4"/>
    <x v="13"/>
    <s v="Education special purpose funds -all other"/>
    <m/>
    <s v=" "/>
    <x v="12"/>
    <m/>
    <m/>
    <m/>
    <m/>
    <m/>
    <m/>
    <m/>
    <m/>
    <n v="0"/>
    <m/>
    <m/>
    <n v="0"/>
    <n v="0"/>
    <n v="0"/>
    <m/>
    <m/>
    <m/>
    <m/>
    <n v="0"/>
    <m/>
    <m/>
    <n v="0"/>
    <m/>
    <m/>
    <m/>
    <m/>
    <m/>
    <m/>
    <n v="0"/>
    <n v="0"/>
  </r>
  <r>
    <x v="4"/>
    <x v="13"/>
    <s v="TCSG Technical Divisions at USG Schools"/>
    <m/>
    <m/>
    <x v="12"/>
    <m/>
    <m/>
    <n v="1022310"/>
    <n v="1110036"/>
    <m/>
    <m/>
    <m/>
    <m/>
    <n v="0"/>
    <m/>
    <m/>
    <n v="0"/>
    <n v="1022310"/>
    <n v="1110036"/>
    <m/>
    <m/>
    <m/>
    <m/>
    <n v="0"/>
    <m/>
    <m/>
    <n v="0"/>
    <m/>
    <m/>
    <m/>
    <m/>
    <m/>
    <m/>
    <n v="1022310"/>
    <n v="1110036"/>
  </r>
  <r>
    <x v="4"/>
    <x v="14"/>
    <s v="Statewide System Operations"/>
    <m/>
    <m/>
    <x v="12"/>
    <m/>
    <m/>
    <m/>
    <m/>
    <m/>
    <m/>
    <m/>
    <m/>
    <n v="0"/>
    <m/>
    <m/>
    <n v="0"/>
    <n v="0"/>
    <n v="0"/>
    <m/>
    <m/>
    <m/>
    <m/>
    <n v="0"/>
    <m/>
    <m/>
    <n v="0"/>
    <m/>
    <m/>
    <m/>
    <m/>
    <m/>
    <m/>
    <n v="0"/>
    <n v="0"/>
  </r>
  <r>
    <x v="4"/>
    <x v="16"/>
    <s v="Two-year system(s), if any"/>
    <m/>
    <m/>
    <x v="12"/>
    <m/>
    <m/>
    <m/>
    <m/>
    <m/>
    <m/>
    <m/>
    <m/>
    <n v="0"/>
    <m/>
    <m/>
    <n v="0"/>
    <n v="0"/>
    <n v="0"/>
    <m/>
    <m/>
    <m/>
    <m/>
    <n v="0"/>
    <m/>
    <m/>
    <n v="0"/>
    <m/>
    <m/>
    <m/>
    <m/>
    <m/>
    <m/>
    <n v="0"/>
    <n v="0"/>
  </r>
  <r>
    <x v="4"/>
    <x v="16"/>
    <s v="TCSG Oversight Unit"/>
    <m/>
    <m/>
    <x v="12"/>
    <m/>
    <m/>
    <m/>
    <m/>
    <m/>
    <m/>
    <m/>
    <m/>
    <n v="0"/>
    <m/>
    <m/>
    <n v="0"/>
    <n v="0"/>
    <n v="0"/>
    <n v="14453101"/>
    <n v="19129661"/>
    <m/>
    <m/>
    <n v="0"/>
    <m/>
    <m/>
    <n v="0"/>
    <m/>
    <m/>
    <m/>
    <m/>
    <m/>
    <m/>
    <n v="14453101"/>
    <n v="19129661"/>
  </r>
  <r>
    <x v="5"/>
    <x v="0"/>
    <s v="University of Kentucky"/>
    <m/>
    <n v="157085"/>
    <x v="0"/>
    <n v="160040755"/>
    <n v="164067629"/>
    <m/>
    <m/>
    <m/>
    <m/>
    <n v="308654165.21450114"/>
    <m/>
    <n v="308654165.21450114"/>
    <n v="339101387"/>
    <m/>
    <n v="339101387"/>
    <n v="468694920.21450114"/>
    <n v="503169016"/>
    <m/>
    <m/>
    <m/>
    <m/>
    <n v="0"/>
    <m/>
    <m/>
    <n v="0"/>
    <m/>
    <m/>
    <m/>
    <m/>
    <m/>
    <m/>
    <n v="468694920.21450114"/>
    <n v="503169016"/>
  </r>
  <r>
    <x v="5"/>
    <x v="1"/>
    <s v="Medical School"/>
    <m/>
    <n v="157085"/>
    <x v="0"/>
    <m/>
    <m/>
    <m/>
    <m/>
    <m/>
    <m/>
    <m/>
    <m/>
    <n v="0"/>
    <m/>
    <m/>
    <n v="0"/>
    <n v="0"/>
    <n v="0"/>
    <m/>
    <m/>
    <m/>
    <m/>
    <n v="0"/>
    <m/>
    <m/>
    <n v="0"/>
    <n v="57770300"/>
    <n v="45657300"/>
    <n v="23550234.78549888"/>
    <m/>
    <n v="25446112.678153802"/>
    <m/>
    <n v="81320534.785498887"/>
    <n v="71103412.678153798"/>
  </r>
  <r>
    <x v="5"/>
    <x v="3"/>
    <s v="Public Service Units"/>
    <m/>
    <n v="157085"/>
    <x v="0"/>
    <m/>
    <m/>
    <m/>
    <m/>
    <m/>
    <m/>
    <m/>
    <m/>
    <n v="0"/>
    <m/>
    <m/>
    <n v="0"/>
    <n v="0"/>
    <n v="0"/>
    <m/>
    <m/>
    <m/>
    <m/>
    <n v="0"/>
    <m/>
    <m/>
    <n v="0"/>
    <m/>
    <m/>
    <m/>
    <m/>
    <m/>
    <m/>
    <n v="0"/>
    <n v="0"/>
  </r>
  <r>
    <x v="5"/>
    <x v="3"/>
    <s v="Livestock Disease Diagnostic Laboratory"/>
    <m/>
    <n v="157085"/>
    <x v="0"/>
    <m/>
    <m/>
    <n v="4085700"/>
    <n v="3815400"/>
    <m/>
    <m/>
    <m/>
    <m/>
    <n v="0"/>
    <m/>
    <m/>
    <n v="0"/>
    <n v="4085700"/>
    <n v="3815400"/>
    <m/>
    <m/>
    <m/>
    <m/>
    <n v="0"/>
    <m/>
    <m/>
    <n v="0"/>
    <m/>
    <m/>
    <m/>
    <m/>
    <m/>
    <m/>
    <n v="4085700"/>
    <n v="3815400"/>
  </r>
  <r>
    <x v="5"/>
    <x v="3"/>
    <s v="Agriculture Public Service"/>
    <m/>
    <n v="157085"/>
    <x v="0"/>
    <m/>
    <m/>
    <n v="1880400"/>
    <n v="1613900"/>
    <m/>
    <m/>
    <m/>
    <m/>
    <n v="0"/>
    <m/>
    <m/>
    <n v="0"/>
    <n v="1880400"/>
    <n v="1613900"/>
    <m/>
    <m/>
    <m/>
    <m/>
    <n v="0"/>
    <m/>
    <m/>
    <n v="0"/>
    <m/>
    <m/>
    <m/>
    <m/>
    <m/>
    <m/>
    <n v="1880400"/>
    <n v="1613900"/>
  </r>
  <r>
    <x v="5"/>
    <x v="3"/>
    <s v="Kentucky Geological Survey"/>
    <m/>
    <n v="157085"/>
    <x v="0"/>
    <m/>
    <m/>
    <n v="4159900"/>
    <n v="3910800"/>
    <m/>
    <m/>
    <m/>
    <m/>
    <n v="0"/>
    <m/>
    <m/>
    <n v="0"/>
    <n v="4159900"/>
    <n v="3910800"/>
    <m/>
    <m/>
    <m/>
    <m/>
    <n v="0"/>
    <m/>
    <m/>
    <n v="0"/>
    <m/>
    <m/>
    <m/>
    <m/>
    <m/>
    <m/>
    <n v="4159900"/>
    <n v="3910800"/>
  </r>
  <r>
    <x v="5"/>
    <x v="3"/>
    <s v="University Press"/>
    <m/>
    <n v="157085"/>
    <x v="0"/>
    <m/>
    <m/>
    <n v="645600"/>
    <n v="610600"/>
    <m/>
    <m/>
    <m/>
    <m/>
    <n v="0"/>
    <m/>
    <m/>
    <n v="0"/>
    <n v="645600"/>
    <n v="610600"/>
    <m/>
    <m/>
    <m/>
    <m/>
    <n v="0"/>
    <m/>
    <m/>
    <n v="0"/>
    <m/>
    <m/>
    <m/>
    <m/>
    <m/>
    <m/>
    <n v="645600"/>
    <n v="610600"/>
  </r>
  <r>
    <x v="5"/>
    <x v="3"/>
    <s v="Japanese Saturday School"/>
    <m/>
    <n v="157085"/>
    <x v="0"/>
    <m/>
    <m/>
    <n v="288600"/>
    <n v="272000"/>
    <m/>
    <m/>
    <m/>
    <m/>
    <n v="0"/>
    <m/>
    <m/>
    <n v="0"/>
    <n v="288600"/>
    <n v="272000"/>
    <m/>
    <m/>
    <m/>
    <m/>
    <n v="0"/>
    <m/>
    <m/>
    <n v="0"/>
    <m/>
    <m/>
    <m/>
    <m/>
    <m/>
    <m/>
    <n v="288600"/>
    <n v="272000"/>
  </r>
  <r>
    <x v="5"/>
    <x v="3"/>
    <s v="Rural Health Care"/>
    <m/>
    <n v="157085"/>
    <x v="0"/>
    <m/>
    <m/>
    <n v="97500"/>
    <n v="0"/>
    <m/>
    <m/>
    <m/>
    <m/>
    <n v="0"/>
    <m/>
    <m/>
    <n v="0"/>
    <n v="97500"/>
    <n v="0"/>
    <m/>
    <m/>
    <m/>
    <m/>
    <n v="0"/>
    <m/>
    <m/>
    <n v="0"/>
    <m/>
    <m/>
    <m/>
    <m/>
    <m/>
    <m/>
    <n v="97500"/>
    <n v="0"/>
  </r>
  <r>
    <x v="5"/>
    <x v="5"/>
    <s v="Agricultural cooperative extension"/>
    <m/>
    <n v="157085"/>
    <x v="0"/>
    <m/>
    <m/>
    <n v="32743300"/>
    <n v="31136800"/>
    <m/>
    <m/>
    <m/>
    <m/>
    <n v="0"/>
    <m/>
    <m/>
    <n v="0"/>
    <n v="32743300"/>
    <n v="31136800"/>
    <m/>
    <m/>
    <m/>
    <m/>
    <n v="0"/>
    <m/>
    <m/>
    <n v="0"/>
    <m/>
    <m/>
    <m/>
    <m/>
    <m/>
    <m/>
    <n v="32743300"/>
    <n v="31136800"/>
  </r>
  <r>
    <x v="5"/>
    <x v="5"/>
    <s v="Agricultural experiment stations"/>
    <m/>
    <n v="157085"/>
    <x v="0"/>
    <m/>
    <m/>
    <n v="29475200"/>
    <n v="26944800"/>
    <m/>
    <m/>
    <m/>
    <m/>
    <n v="0"/>
    <m/>
    <m/>
    <n v="0"/>
    <n v="29475200"/>
    <n v="26944800"/>
    <m/>
    <m/>
    <m/>
    <m/>
    <n v="0"/>
    <m/>
    <m/>
    <n v="0"/>
    <m/>
    <m/>
    <m/>
    <m/>
    <m/>
    <m/>
    <n v="29475200"/>
    <n v="26944800"/>
  </r>
  <r>
    <x v="5"/>
    <x v="7"/>
    <s v="Research centers/institutes"/>
    <m/>
    <n v="157085"/>
    <x v="0"/>
    <m/>
    <m/>
    <m/>
    <m/>
    <m/>
    <m/>
    <m/>
    <m/>
    <n v="0"/>
    <m/>
    <m/>
    <n v="0"/>
    <n v="0"/>
    <n v="0"/>
    <m/>
    <m/>
    <m/>
    <m/>
    <n v="0"/>
    <m/>
    <m/>
    <n v="0"/>
    <m/>
    <m/>
    <m/>
    <m/>
    <m/>
    <m/>
    <n v="0"/>
    <n v="0"/>
  </r>
  <r>
    <x v="5"/>
    <x v="7"/>
    <s v="Center for Applied Energy Research"/>
    <m/>
    <n v="157085"/>
    <x v="0"/>
    <m/>
    <m/>
    <n v="4735000"/>
    <n v="4502500"/>
    <m/>
    <m/>
    <m/>
    <m/>
    <n v="0"/>
    <m/>
    <m/>
    <n v="0"/>
    <n v="4735000"/>
    <n v="4502500"/>
    <m/>
    <m/>
    <m/>
    <m/>
    <n v="0"/>
    <m/>
    <m/>
    <n v="0"/>
    <m/>
    <m/>
    <m/>
    <m/>
    <m/>
    <m/>
    <n v="4735000"/>
    <n v="4502500"/>
  </r>
  <r>
    <x v="5"/>
    <x v="7"/>
    <s v="KY Cancer Registry"/>
    <m/>
    <n v="157085"/>
    <x v="0"/>
    <m/>
    <m/>
    <n v="850545"/>
    <n v="785171"/>
    <m/>
    <m/>
    <m/>
    <m/>
    <n v="0"/>
    <m/>
    <m/>
    <n v="0"/>
    <n v="850545"/>
    <n v="785171"/>
    <m/>
    <m/>
    <m/>
    <m/>
    <n v="0"/>
    <m/>
    <m/>
    <n v="0"/>
    <m/>
    <m/>
    <m/>
    <m/>
    <m/>
    <m/>
    <n v="850545"/>
    <n v="785171"/>
  </r>
  <r>
    <x v="5"/>
    <x v="7"/>
    <s v="Rural Health Care"/>
    <m/>
    <n v="157085"/>
    <x v="0"/>
    <m/>
    <m/>
    <n v="557300"/>
    <n v="552400"/>
    <m/>
    <m/>
    <m/>
    <m/>
    <n v="0"/>
    <m/>
    <m/>
    <n v="0"/>
    <n v="557300"/>
    <n v="552400"/>
    <m/>
    <m/>
    <m/>
    <m/>
    <n v="0"/>
    <m/>
    <m/>
    <n v="0"/>
    <m/>
    <m/>
    <m/>
    <m/>
    <m/>
    <m/>
    <n v="557300"/>
    <n v="552400"/>
  </r>
  <r>
    <x v="5"/>
    <x v="0"/>
    <s v="University of Louisville"/>
    <m/>
    <n v="157289"/>
    <x v="0"/>
    <n v="128988000"/>
    <n v="125068000"/>
    <m/>
    <m/>
    <m/>
    <m/>
    <n v="210647726"/>
    <m/>
    <n v="210647726"/>
    <n v="222515267"/>
    <m/>
    <n v="222515267"/>
    <n v="339635726"/>
    <n v="347583267"/>
    <m/>
    <m/>
    <m/>
    <m/>
    <n v="0"/>
    <m/>
    <m/>
    <n v="0"/>
    <m/>
    <m/>
    <m/>
    <m/>
    <m/>
    <m/>
    <n v="339635726"/>
    <n v="347583267"/>
  </r>
  <r>
    <x v="5"/>
    <x v="1"/>
    <s v="Medical School"/>
    <m/>
    <n v="157289"/>
    <x v="0"/>
    <m/>
    <m/>
    <m/>
    <m/>
    <m/>
    <m/>
    <m/>
    <m/>
    <n v="0"/>
    <m/>
    <m/>
    <n v="0"/>
    <n v="0"/>
    <n v="0"/>
    <m/>
    <m/>
    <m/>
    <m/>
    <n v="0"/>
    <m/>
    <m/>
    <n v="0"/>
    <n v="37655000"/>
    <n v="35562000"/>
    <n v="37729700"/>
    <m/>
    <n v="42210740"/>
    <m/>
    <n v="75384700"/>
    <n v="77772740"/>
  </r>
  <r>
    <x v="5"/>
    <x v="3"/>
    <s v="Public Service Units"/>
    <m/>
    <n v="157289"/>
    <x v="0"/>
    <m/>
    <m/>
    <m/>
    <m/>
    <m/>
    <m/>
    <m/>
    <m/>
    <n v="0"/>
    <m/>
    <m/>
    <n v="0"/>
    <n v="0"/>
    <n v="0"/>
    <m/>
    <m/>
    <m/>
    <m/>
    <n v="0"/>
    <m/>
    <m/>
    <n v="0"/>
    <m/>
    <m/>
    <m/>
    <m/>
    <m/>
    <m/>
    <n v="0"/>
    <n v="0"/>
  </r>
  <r>
    <x v="5"/>
    <x v="3"/>
    <s v="Community Cancer Program"/>
    <m/>
    <n v="157289"/>
    <x v="0"/>
    <m/>
    <m/>
    <n v="852700"/>
    <n v="846100"/>
    <m/>
    <m/>
    <m/>
    <m/>
    <n v="0"/>
    <m/>
    <m/>
    <n v="0"/>
    <n v="852700"/>
    <n v="846100"/>
    <m/>
    <m/>
    <m/>
    <m/>
    <n v="0"/>
    <m/>
    <m/>
    <n v="0"/>
    <m/>
    <m/>
    <m/>
    <m/>
    <m/>
    <m/>
    <n v="852700"/>
    <n v="846100"/>
  </r>
  <r>
    <x v="5"/>
    <x v="3"/>
    <s v="State Data Center"/>
    <m/>
    <n v="157289"/>
    <x v="0"/>
    <m/>
    <m/>
    <n v="152300"/>
    <n v="153100"/>
    <m/>
    <m/>
    <m/>
    <m/>
    <n v="0"/>
    <m/>
    <m/>
    <n v="0"/>
    <n v="152300"/>
    <n v="153100"/>
    <m/>
    <m/>
    <m/>
    <m/>
    <n v="0"/>
    <m/>
    <m/>
    <n v="0"/>
    <m/>
    <m/>
    <m/>
    <m/>
    <m/>
    <m/>
    <n v="152300"/>
    <n v="153100"/>
  </r>
  <r>
    <x v="5"/>
    <x v="7"/>
    <s v="Research centers/institutes"/>
    <m/>
    <n v="157289"/>
    <x v="0"/>
    <m/>
    <m/>
    <m/>
    <m/>
    <m/>
    <m/>
    <m/>
    <m/>
    <n v="0"/>
    <m/>
    <m/>
    <n v="0"/>
    <n v="0"/>
    <n v="0"/>
    <m/>
    <m/>
    <m/>
    <m/>
    <n v="0"/>
    <m/>
    <m/>
    <n v="0"/>
    <m/>
    <m/>
    <m/>
    <m/>
    <m/>
    <m/>
    <n v="0"/>
    <n v="0"/>
  </r>
  <r>
    <x v="5"/>
    <x v="0"/>
    <s v="Eastern Kentucky University "/>
    <m/>
    <n v="156620"/>
    <x v="2"/>
    <n v="70823000"/>
    <n v="67673700"/>
    <m/>
    <m/>
    <m/>
    <m/>
    <n v="130059200"/>
    <m/>
    <n v="130059200"/>
    <n v="132387000"/>
    <m/>
    <n v="132387000"/>
    <n v="200882200"/>
    <n v="200060700"/>
    <m/>
    <m/>
    <m/>
    <m/>
    <n v="0"/>
    <m/>
    <m/>
    <n v="0"/>
    <m/>
    <m/>
    <m/>
    <m/>
    <m/>
    <m/>
    <n v="200882200"/>
    <n v="200060700"/>
  </r>
  <r>
    <x v="5"/>
    <x v="0"/>
    <s v="Morehead State University "/>
    <m/>
    <n v="157386"/>
    <x v="2"/>
    <n v="41848900"/>
    <n v="39892600"/>
    <m/>
    <m/>
    <m/>
    <m/>
    <n v="65103700"/>
    <m/>
    <n v="65103700"/>
    <n v="70267400"/>
    <m/>
    <n v="70267400"/>
    <n v="106952600"/>
    <n v="110160000"/>
    <m/>
    <m/>
    <m/>
    <m/>
    <n v="0"/>
    <m/>
    <m/>
    <n v="0"/>
    <m/>
    <m/>
    <m/>
    <m/>
    <m/>
    <m/>
    <n v="106952600"/>
    <n v="110160000"/>
  </r>
  <r>
    <x v="5"/>
    <x v="3"/>
    <s v="Public Service Units"/>
    <m/>
    <n v="157386"/>
    <x v="2"/>
    <m/>
    <m/>
    <m/>
    <m/>
    <m/>
    <m/>
    <m/>
    <m/>
    <n v="0"/>
    <m/>
    <m/>
    <n v="0"/>
    <n v="0"/>
    <n v="0"/>
    <m/>
    <m/>
    <m/>
    <m/>
    <n v="0"/>
    <m/>
    <m/>
    <n v="0"/>
    <m/>
    <m/>
    <m/>
    <m/>
    <m/>
    <m/>
    <n v="0"/>
    <n v="0"/>
  </r>
  <r>
    <x v="5"/>
    <x v="3"/>
    <s v="Appalachian Regional Service"/>
    <m/>
    <n v="157386"/>
    <x v="2"/>
    <m/>
    <m/>
    <n v="982800"/>
    <n v="982800"/>
    <m/>
    <m/>
    <m/>
    <m/>
    <n v="0"/>
    <m/>
    <m/>
    <n v="0"/>
    <n v="982800"/>
    <n v="982800"/>
    <m/>
    <m/>
    <m/>
    <m/>
    <n v="0"/>
    <m/>
    <m/>
    <n v="0"/>
    <m/>
    <m/>
    <m/>
    <m/>
    <m/>
    <m/>
    <n v="982800"/>
    <n v="982800"/>
  </r>
  <r>
    <x v="5"/>
    <x v="7"/>
    <s v="Research centers/institutes"/>
    <m/>
    <n v="157386"/>
    <x v="2"/>
    <m/>
    <m/>
    <m/>
    <m/>
    <m/>
    <m/>
    <m/>
    <m/>
    <n v="0"/>
    <m/>
    <m/>
    <n v="0"/>
    <n v="0"/>
    <n v="0"/>
    <m/>
    <m/>
    <m/>
    <m/>
    <n v="0"/>
    <m/>
    <m/>
    <n v="0"/>
    <m/>
    <m/>
    <m/>
    <m/>
    <m/>
    <m/>
    <n v="0"/>
    <n v="0"/>
  </r>
  <r>
    <x v="5"/>
    <x v="7"/>
    <s v="Institute for Correctional Training/Research"/>
    <m/>
    <n v="157386"/>
    <x v="2"/>
    <m/>
    <m/>
    <n v="141000"/>
    <n v="141000"/>
    <m/>
    <m/>
    <m/>
    <m/>
    <n v="0"/>
    <m/>
    <m/>
    <n v="0"/>
    <n v="141000"/>
    <n v="141000"/>
    <m/>
    <m/>
    <m/>
    <m/>
    <n v="0"/>
    <m/>
    <m/>
    <n v="0"/>
    <m/>
    <m/>
    <m/>
    <m/>
    <m/>
    <m/>
    <n v="141000"/>
    <n v="141000"/>
  </r>
  <r>
    <x v="5"/>
    <x v="0"/>
    <s v="Murray State University "/>
    <m/>
    <n v="157401"/>
    <x v="2"/>
    <n v="47469800"/>
    <n v="45361100"/>
    <m/>
    <m/>
    <m/>
    <m/>
    <n v="93343856"/>
    <m/>
    <n v="93343856"/>
    <n v="101421400"/>
    <m/>
    <n v="101421400"/>
    <n v="140813656"/>
    <n v="146782500"/>
    <m/>
    <m/>
    <m/>
    <m/>
    <n v="0"/>
    <m/>
    <m/>
    <n v="0"/>
    <m/>
    <m/>
    <m/>
    <m/>
    <m/>
    <m/>
    <n v="140813656"/>
    <n v="146782500"/>
  </r>
  <r>
    <x v="5"/>
    <x v="3"/>
    <s v="Community or public service units"/>
    <m/>
    <n v="157401"/>
    <x v="2"/>
    <m/>
    <m/>
    <m/>
    <m/>
    <m/>
    <m/>
    <m/>
    <m/>
    <n v="0"/>
    <m/>
    <m/>
    <n v="0"/>
    <n v="0"/>
    <n v="0"/>
    <m/>
    <m/>
    <m/>
    <m/>
    <n v="0"/>
    <m/>
    <m/>
    <n v="0"/>
    <m/>
    <m/>
    <m/>
    <m/>
    <m/>
    <m/>
    <n v="0"/>
    <n v="0"/>
  </r>
  <r>
    <x v="5"/>
    <x v="3"/>
    <s v="Breathitt Veterinary Clinic"/>
    <m/>
    <n v="157401"/>
    <x v="2"/>
    <m/>
    <m/>
    <n v="2825600"/>
    <n v="2644700"/>
    <m/>
    <m/>
    <m/>
    <m/>
    <n v="0"/>
    <m/>
    <m/>
    <n v="0"/>
    <n v="2825600"/>
    <n v="2644700"/>
    <m/>
    <m/>
    <m/>
    <m/>
    <n v="0"/>
    <m/>
    <m/>
    <n v="0"/>
    <m/>
    <m/>
    <m/>
    <m/>
    <m/>
    <m/>
    <n v="2825600"/>
    <n v="2644700"/>
  </r>
  <r>
    <x v="5"/>
    <x v="0"/>
    <s v="Western Kentucky University "/>
    <m/>
    <n v="157951"/>
    <x v="2"/>
    <n v="73110200"/>
    <n v="69580600"/>
    <m/>
    <m/>
    <m/>
    <m/>
    <n v="167466500"/>
    <m/>
    <n v="167466500"/>
    <n v="175905300"/>
    <m/>
    <n v="175905300"/>
    <n v="240576700"/>
    <n v="245485900"/>
    <m/>
    <m/>
    <m/>
    <m/>
    <n v="0"/>
    <m/>
    <m/>
    <n v="0"/>
    <m/>
    <m/>
    <m/>
    <m/>
    <m/>
    <m/>
    <n v="240576700"/>
    <n v="245485900"/>
  </r>
  <r>
    <x v="5"/>
    <x v="3"/>
    <s v="Community or public service units"/>
    <m/>
    <n v="157951"/>
    <x v="2"/>
    <m/>
    <m/>
    <m/>
    <m/>
    <m/>
    <m/>
    <m/>
    <m/>
    <n v="0"/>
    <m/>
    <m/>
    <n v="0"/>
    <n v="0"/>
    <n v="0"/>
    <m/>
    <m/>
    <m/>
    <m/>
    <n v="0"/>
    <m/>
    <m/>
    <n v="0"/>
    <m/>
    <m/>
    <m/>
    <m/>
    <m/>
    <m/>
    <n v="0"/>
    <n v="0"/>
  </r>
  <r>
    <x v="5"/>
    <x v="3"/>
    <s v="Kentucky Academy for Math and Science"/>
    <m/>
    <n v="157951"/>
    <x v="2"/>
    <m/>
    <m/>
    <n v="2769300"/>
    <n v="2844600"/>
    <m/>
    <m/>
    <m/>
    <m/>
    <n v="0"/>
    <m/>
    <m/>
    <n v="0"/>
    <n v="2769300"/>
    <n v="2844600"/>
    <m/>
    <m/>
    <m/>
    <m/>
    <n v="0"/>
    <m/>
    <m/>
    <n v="0"/>
    <m/>
    <m/>
    <m/>
    <m/>
    <m/>
    <m/>
    <n v="2769300"/>
    <n v="2844600"/>
  </r>
  <r>
    <x v="5"/>
    <x v="0"/>
    <s v="Kentucky State University "/>
    <m/>
    <n v="157058"/>
    <x v="3"/>
    <n v="18581912"/>
    <n v="19176845"/>
    <m/>
    <m/>
    <m/>
    <m/>
    <n v="23476500"/>
    <m/>
    <n v="23476500"/>
    <n v="23476538.410000004"/>
    <m/>
    <n v="23476538.410000004"/>
    <n v="42058412"/>
    <n v="42653383.410000004"/>
    <m/>
    <m/>
    <m/>
    <m/>
    <n v="0"/>
    <m/>
    <m/>
    <n v="0"/>
    <m/>
    <m/>
    <m/>
    <m/>
    <m/>
    <m/>
    <n v="42058412"/>
    <n v="42653383.410000004"/>
  </r>
  <r>
    <x v="5"/>
    <x v="3"/>
    <s v="Public Service Units"/>
    <m/>
    <n v="157058"/>
    <x v="3"/>
    <m/>
    <m/>
    <n v="3150898"/>
    <n v="2117790"/>
    <m/>
    <m/>
    <m/>
    <m/>
    <n v="0"/>
    <m/>
    <m/>
    <n v="0"/>
    <n v="3150898"/>
    <n v="2117790"/>
    <m/>
    <m/>
    <m/>
    <m/>
    <n v="0"/>
    <m/>
    <m/>
    <n v="0"/>
    <m/>
    <m/>
    <m/>
    <m/>
    <m/>
    <m/>
    <n v="3150898"/>
    <n v="2117790"/>
  </r>
  <r>
    <x v="5"/>
    <x v="5"/>
    <s v="Agricultural cooperative extension"/>
    <m/>
    <n v="157058"/>
    <x v="3"/>
    <m/>
    <m/>
    <n v="2927190"/>
    <n v="2242765"/>
    <m/>
    <m/>
    <m/>
    <m/>
    <n v="0"/>
    <m/>
    <m/>
    <n v="0"/>
    <n v="2927190"/>
    <n v="2242765"/>
    <m/>
    <m/>
    <m/>
    <m/>
    <n v="0"/>
    <m/>
    <m/>
    <n v="0"/>
    <m/>
    <m/>
    <m/>
    <m/>
    <m/>
    <m/>
    <n v="2927190"/>
    <n v="2242765"/>
  </r>
  <r>
    <x v="5"/>
    <x v="0"/>
    <s v="Northern Kentucky University "/>
    <s v="Met the criteria for Four-Year 3 in 2012-13."/>
    <n v="157447"/>
    <x v="3"/>
    <n v="47568900"/>
    <n v="45335100"/>
    <m/>
    <m/>
    <m/>
    <m/>
    <n v="131912500"/>
    <m/>
    <n v="131912500"/>
    <n v="137699100"/>
    <m/>
    <n v="137699100"/>
    <n v="179481400"/>
    <n v="183034200"/>
    <m/>
    <m/>
    <m/>
    <m/>
    <n v="0"/>
    <m/>
    <m/>
    <n v="0"/>
    <m/>
    <m/>
    <m/>
    <m/>
    <m/>
    <m/>
    <n v="179481400"/>
    <n v="183034200"/>
  </r>
  <r>
    <x v="5"/>
    <x v="3"/>
    <s v="Community or public service units"/>
    <m/>
    <n v="157447"/>
    <x v="3"/>
    <m/>
    <m/>
    <m/>
    <m/>
    <m/>
    <m/>
    <m/>
    <m/>
    <n v="0"/>
    <m/>
    <m/>
    <n v="0"/>
    <n v="0"/>
    <n v="0"/>
    <m/>
    <m/>
    <m/>
    <m/>
    <n v="0"/>
    <m/>
    <m/>
    <n v="0"/>
    <m/>
    <m/>
    <m/>
    <m/>
    <m/>
    <m/>
    <n v="0"/>
    <n v="0"/>
  </r>
  <r>
    <x v="5"/>
    <x v="3"/>
    <s v="Kentucky Center for Mathamatics"/>
    <m/>
    <n v="157447"/>
    <x v="3"/>
    <m/>
    <m/>
    <n v="1500000"/>
    <n v="1500000"/>
    <m/>
    <m/>
    <m/>
    <m/>
    <n v="0"/>
    <m/>
    <m/>
    <n v="0"/>
    <n v="1500000"/>
    <n v="1500000"/>
    <m/>
    <m/>
    <m/>
    <m/>
    <n v="0"/>
    <m/>
    <m/>
    <n v="0"/>
    <m/>
    <m/>
    <m/>
    <m/>
    <m/>
    <m/>
    <n v="1500000"/>
    <n v="1500000"/>
  </r>
  <r>
    <x v="5"/>
    <x v="0"/>
    <s v="Bluegrass Community and Technical College"/>
    <m/>
    <n v="157173"/>
    <x v="6"/>
    <n v="13080653.448458841"/>
    <n v="11652328.106205866"/>
    <m/>
    <m/>
    <m/>
    <m/>
    <n v="38493853"/>
    <m/>
    <n v="38493853"/>
    <n v="38021000"/>
    <m/>
    <n v="38021000"/>
    <n v="51574506.448458843"/>
    <n v="49673328.106205866"/>
    <m/>
    <m/>
    <m/>
    <m/>
    <n v="0"/>
    <m/>
    <m/>
    <n v="0"/>
    <m/>
    <m/>
    <m/>
    <m/>
    <m/>
    <m/>
    <n v="51574506.448458843"/>
    <n v="49673328.106205866"/>
  </r>
  <r>
    <x v="5"/>
    <x v="0"/>
    <s v="Jefferson Community and Technical College "/>
    <m/>
    <n v="156921"/>
    <x v="6"/>
    <n v="20345729.977126185"/>
    <n v="17732709.179815341"/>
    <m/>
    <m/>
    <m/>
    <m/>
    <n v="36475315"/>
    <m/>
    <n v="36475315"/>
    <n v="35324000"/>
    <m/>
    <n v="35324000"/>
    <n v="56821044.977126181"/>
    <n v="53056709.179815337"/>
    <m/>
    <m/>
    <m/>
    <m/>
    <n v="0"/>
    <m/>
    <m/>
    <n v="0"/>
    <m/>
    <m/>
    <m/>
    <m/>
    <m/>
    <m/>
    <n v="56821044.977126181"/>
    <n v="53056709.179815337"/>
  </r>
  <r>
    <x v="5"/>
    <x v="0"/>
    <s v="Ashland Community and Technical College"/>
    <m/>
    <n v="156231"/>
    <x v="7"/>
    <n v="11318383.534052661"/>
    <n v="9630843.3648285475"/>
    <m/>
    <m/>
    <m/>
    <m/>
    <n v="11249153"/>
    <m/>
    <n v="11249153"/>
    <n v="10619000"/>
    <m/>
    <n v="10619000"/>
    <n v="22567536.534052663"/>
    <n v="20249843.364828549"/>
    <m/>
    <m/>
    <m/>
    <m/>
    <n v="0"/>
    <m/>
    <m/>
    <n v="0"/>
    <m/>
    <m/>
    <m/>
    <m/>
    <m/>
    <m/>
    <n v="22567536.534052663"/>
    <n v="20249843.364828549"/>
  </r>
  <r>
    <x v="5"/>
    <x v="0"/>
    <s v="Big Sandy Community and Technical College "/>
    <m/>
    <n v="157553"/>
    <x v="7"/>
    <n v="13000572.284242855"/>
    <n v="11347267.681598017"/>
    <m/>
    <m/>
    <m/>
    <m/>
    <n v="11136584"/>
    <m/>
    <n v="11136584"/>
    <n v="11162000"/>
    <m/>
    <n v="11162000"/>
    <n v="24137156.284242854"/>
    <n v="22509267.681598015"/>
    <m/>
    <m/>
    <m/>
    <m/>
    <n v="0"/>
    <m/>
    <m/>
    <n v="0"/>
    <m/>
    <m/>
    <m/>
    <m/>
    <m/>
    <m/>
    <n v="24137156.284242854"/>
    <n v="22509267.681598015"/>
  </r>
  <r>
    <x v="5"/>
    <x v="0"/>
    <s v="Elizabethtown Community and Technical College "/>
    <m/>
    <n v="156648"/>
    <x v="7"/>
    <n v="9302317.4995949771"/>
    <n v="9432370.3174933195"/>
    <m/>
    <m/>
    <m/>
    <m/>
    <n v="16373103"/>
    <m/>
    <n v="16373103"/>
    <n v="15900000"/>
    <m/>
    <n v="15900000"/>
    <n v="25675420.499594979"/>
    <n v="25332370.31749332"/>
    <m/>
    <m/>
    <m/>
    <m/>
    <n v="0"/>
    <m/>
    <m/>
    <n v="0"/>
    <m/>
    <m/>
    <m/>
    <m/>
    <m/>
    <m/>
    <n v="25675420.499594979"/>
    <n v="25332370.31749332"/>
  </r>
  <r>
    <x v="5"/>
    <x v="0"/>
    <s v="Hazard Community and Technical College"/>
    <s v="Reclassified: met the criteria for classification as a Two-Year 2 in 2010-11, 2011-12, and 2012-13."/>
    <n v="156790"/>
    <x v="7"/>
    <n v="12868251.30789981"/>
    <n v="13888212.74439593"/>
    <m/>
    <m/>
    <m/>
    <m/>
    <n v="8857612"/>
    <m/>
    <n v="8857612"/>
    <n v="8875000"/>
    <m/>
    <n v="8875000"/>
    <n v="21725863.30789981"/>
    <n v="22763212.74439593"/>
    <m/>
    <m/>
    <m/>
    <m/>
    <n v="0"/>
    <m/>
    <m/>
    <n v="0"/>
    <m/>
    <m/>
    <m/>
    <m/>
    <m/>
    <m/>
    <n v="21725863.30789981"/>
    <n v="22763212.74439593"/>
  </r>
  <r>
    <x v="5"/>
    <x v="0"/>
    <s v="Hopkinsville Community College "/>
    <m/>
    <n v="156860"/>
    <x v="7"/>
    <n v="4968158.6099510277"/>
    <n v="5036559.8616982773"/>
    <m/>
    <m/>
    <m/>
    <m/>
    <n v="10504044"/>
    <m/>
    <n v="10504044"/>
    <n v="9600000"/>
    <m/>
    <n v="9600000"/>
    <n v="15472202.609951027"/>
    <n v="14636559.861698277"/>
    <m/>
    <m/>
    <m/>
    <m/>
    <n v="0"/>
    <m/>
    <m/>
    <n v="0"/>
    <m/>
    <m/>
    <m/>
    <m/>
    <m/>
    <m/>
    <n v="15472202.609951027"/>
    <n v="14636559.861698277"/>
  </r>
  <r>
    <x v="5"/>
    <x v="0"/>
    <s v="Madisonville Community College"/>
    <m/>
    <n v="157304"/>
    <x v="7"/>
    <n v="9342018.3149715066"/>
    <n v="9590413.6700010002"/>
    <m/>
    <m/>
    <m/>
    <m/>
    <n v="8299510"/>
    <m/>
    <n v="8299510"/>
    <n v="8889000"/>
    <m/>
    <n v="8889000"/>
    <n v="17641528.314971507"/>
    <n v="18479413.670001"/>
    <m/>
    <m/>
    <m/>
    <m/>
    <n v="0"/>
    <m/>
    <m/>
    <n v="0"/>
    <m/>
    <m/>
    <m/>
    <m/>
    <m/>
    <m/>
    <n v="17641528.314971507"/>
    <n v="18479413.670001"/>
  </r>
  <r>
    <x v="5"/>
    <x v="0"/>
    <s v="Maysville Community and Technical College "/>
    <m/>
    <n v="157331"/>
    <x v="7"/>
    <n v="7424975.9746125769"/>
    <n v="7627735.7574637495"/>
    <m/>
    <m/>
    <m/>
    <m/>
    <n v="13344472"/>
    <m/>
    <n v="13344472"/>
    <n v="12451000"/>
    <m/>
    <n v="12451000"/>
    <n v="20769447.974612579"/>
    <n v="20078735.757463749"/>
    <m/>
    <m/>
    <m/>
    <m/>
    <n v="0"/>
    <m/>
    <m/>
    <n v="0"/>
    <m/>
    <m/>
    <m/>
    <m/>
    <m/>
    <m/>
    <n v="20769447.974612579"/>
    <n v="20078735.757463749"/>
  </r>
  <r>
    <x v="5"/>
    <x v="0"/>
    <s v="Owensboro Community and Technical College "/>
    <m/>
    <n v="247940"/>
    <x v="7"/>
    <n v="8784342.5527200475"/>
    <n v="7187909.6834307453"/>
    <m/>
    <m/>
    <m/>
    <m/>
    <n v="13091179"/>
    <m/>
    <n v="13091179"/>
    <n v="11793000"/>
    <m/>
    <n v="11793000"/>
    <n v="21875521.552720048"/>
    <n v="18980909.683430746"/>
    <m/>
    <m/>
    <m/>
    <m/>
    <n v="0"/>
    <m/>
    <m/>
    <n v="0"/>
    <m/>
    <m/>
    <m/>
    <m/>
    <m/>
    <m/>
    <n v="21875521.552720048"/>
    <n v="18980909.683430746"/>
  </r>
  <r>
    <x v="5"/>
    <x v="0"/>
    <s v="Somerset Community College "/>
    <m/>
    <n v="157711"/>
    <x v="7"/>
    <n v="14234655.464676738"/>
    <n v="11931660.543196186"/>
    <m/>
    <m/>
    <m/>
    <m/>
    <n v="22136295"/>
    <m/>
    <n v="22136295"/>
    <n v="20260000"/>
    <m/>
    <n v="20260000"/>
    <n v="36370950.464676738"/>
    <n v="32191660.543196186"/>
    <m/>
    <m/>
    <m/>
    <m/>
    <n v="0"/>
    <m/>
    <m/>
    <n v="0"/>
    <m/>
    <m/>
    <m/>
    <m/>
    <m/>
    <m/>
    <n v="36370950.464676738"/>
    <n v="32191660.543196186"/>
  </r>
  <r>
    <x v="5"/>
    <x v="0"/>
    <s v="Southeast Kentucky Community and Technical College"/>
    <m/>
    <n v="157739"/>
    <x v="7"/>
    <n v="12716966.724578233"/>
    <n v="12817438.402599704"/>
    <m/>
    <m/>
    <m/>
    <m/>
    <n v="9618303"/>
    <m/>
    <n v="9618303"/>
    <n v="9712000"/>
    <m/>
    <n v="9712000"/>
    <n v="22335269.724578232"/>
    <n v="22529438.402599704"/>
    <m/>
    <m/>
    <m/>
    <m/>
    <n v="0"/>
    <m/>
    <m/>
    <n v="0"/>
    <m/>
    <m/>
    <m/>
    <m/>
    <m/>
    <m/>
    <n v="22335269.724578232"/>
    <n v="22529438.402599704"/>
  </r>
  <r>
    <x v="5"/>
    <x v="0"/>
    <s v="West Kentucky Community and Technical College"/>
    <m/>
    <n v="157483"/>
    <x v="7"/>
    <n v="12086733.071146073"/>
    <n v="10829032.502444921"/>
    <m/>
    <m/>
    <m/>
    <m/>
    <n v="17215056"/>
    <m/>
    <n v="17215056"/>
    <n v="17524000"/>
    <m/>
    <n v="17524000"/>
    <n v="29301789.071146071"/>
    <n v="28353032.502444923"/>
    <m/>
    <m/>
    <m/>
    <m/>
    <n v="0"/>
    <m/>
    <m/>
    <n v="0"/>
    <m/>
    <m/>
    <m/>
    <m/>
    <m/>
    <m/>
    <n v="29301789.071146071"/>
    <n v="28353032.502444923"/>
  </r>
  <r>
    <x v="5"/>
    <x v="0"/>
    <s v="Henderson Community College "/>
    <m/>
    <n v="156851"/>
    <x v="8"/>
    <n v="6160182.4348335806"/>
    <n v="5161524.3729834203"/>
    <m/>
    <m/>
    <m/>
    <m/>
    <n v="5406194"/>
    <m/>
    <n v="5406194"/>
    <n v="5437000"/>
    <m/>
    <n v="5437000"/>
    <n v="11566376.434833581"/>
    <n v="10598524.37298342"/>
    <m/>
    <m/>
    <m/>
    <m/>
    <n v="0"/>
    <m/>
    <m/>
    <n v="0"/>
    <m/>
    <m/>
    <m/>
    <m/>
    <m/>
    <m/>
    <n v="11566376.434833581"/>
    <n v="10598524.37298342"/>
  </r>
  <r>
    <x v="5"/>
    <x v="0"/>
    <s v="Gateway Community and Technical College"/>
    <m/>
    <n v="157438"/>
    <x v="9"/>
    <n v="9280895.6145717669"/>
    <n v="7851936.7924165074"/>
    <m/>
    <m/>
    <m/>
    <m/>
    <n v="10440984"/>
    <m/>
    <n v="10440984"/>
    <n v="10763000"/>
    <m/>
    <n v="10763000"/>
    <n v="19721879.614571765"/>
    <n v="18614936.792416506"/>
    <m/>
    <m/>
    <m/>
    <m/>
    <n v="0"/>
    <m/>
    <m/>
    <n v="0"/>
    <m/>
    <m/>
    <m/>
    <m/>
    <m/>
    <m/>
    <n v="19721879.614571765"/>
    <n v="18614936.792416506"/>
  </r>
  <r>
    <x v="5"/>
    <x v="0"/>
    <s v="Southcentral Kentucky Community and Technical College"/>
    <m/>
    <n v="156338"/>
    <x v="9"/>
    <n v="6994802.3965631239"/>
    <n v="7380257.0194284655"/>
    <m/>
    <m/>
    <m/>
    <m/>
    <n v="9742411"/>
    <m/>
    <n v="9742411"/>
    <n v="11688000"/>
    <m/>
    <n v="11688000"/>
    <n v="16737213.396563124"/>
    <n v="19068257.019428466"/>
    <m/>
    <m/>
    <m/>
    <m/>
    <n v="0"/>
    <m/>
    <m/>
    <n v="0"/>
    <m/>
    <m/>
    <m/>
    <m/>
    <m/>
    <m/>
    <n v="16737213.396563124"/>
    <n v="19068257.019428466"/>
  </r>
  <r>
    <x v="5"/>
    <x v="42"/>
    <s v="Education special purpose funds -statewide units"/>
    <m/>
    <m/>
    <x v="12"/>
    <m/>
    <m/>
    <m/>
    <m/>
    <m/>
    <m/>
    <m/>
    <m/>
    <n v="0"/>
    <m/>
    <m/>
    <n v="0"/>
    <n v="0"/>
    <n v="0"/>
    <m/>
    <m/>
    <m/>
    <m/>
    <n v="0"/>
    <m/>
    <m/>
    <n v="0"/>
    <m/>
    <m/>
    <m/>
    <m/>
    <m/>
    <m/>
    <n v="0"/>
    <n v="0"/>
  </r>
  <r>
    <x v="5"/>
    <x v="42"/>
    <s v="Public Service Units"/>
    <m/>
    <m/>
    <x v="12"/>
    <m/>
    <m/>
    <m/>
    <m/>
    <m/>
    <m/>
    <m/>
    <m/>
    <n v="0"/>
    <m/>
    <m/>
    <n v="0"/>
    <n v="0"/>
    <n v="0"/>
    <m/>
    <m/>
    <m/>
    <m/>
    <n v="0"/>
    <m/>
    <m/>
    <n v="0"/>
    <m/>
    <m/>
    <m/>
    <m/>
    <m/>
    <m/>
    <n v="0"/>
    <n v="0"/>
  </r>
  <r>
    <x v="5"/>
    <x v="42"/>
    <s v="KY WINS"/>
    <m/>
    <m/>
    <x v="12"/>
    <m/>
    <m/>
    <n v="0"/>
    <n v="5054800"/>
    <m/>
    <m/>
    <m/>
    <m/>
    <n v="0"/>
    <m/>
    <m/>
    <n v="0"/>
    <n v="0"/>
    <n v="5054800"/>
    <m/>
    <m/>
    <m/>
    <m/>
    <n v="0"/>
    <m/>
    <m/>
    <n v="0"/>
    <m/>
    <m/>
    <m/>
    <m/>
    <m/>
    <m/>
    <n v="0"/>
    <n v="5054800"/>
  </r>
  <r>
    <x v="5"/>
    <x v="42"/>
    <s v="Kentucky Coal Academy"/>
    <m/>
    <m/>
    <x v="12"/>
    <m/>
    <m/>
    <n v="0"/>
    <m/>
    <m/>
    <m/>
    <m/>
    <m/>
    <n v="0"/>
    <m/>
    <m/>
    <n v="0"/>
    <n v="0"/>
    <n v="0"/>
    <m/>
    <m/>
    <m/>
    <m/>
    <n v="0"/>
    <m/>
    <m/>
    <n v="0"/>
    <m/>
    <m/>
    <m/>
    <m/>
    <m/>
    <m/>
    <n v="0"/>
    <n v="0"/>
  </r>
  <r>
    <x v="5"/>
    <x v="42"/>
    <s v="University Health Insurance Premium Supplement"/>
    <m/>
    <m/>
    <x v="12"/>
    <m/>
    <m/>
    <n v="900200"/>
    <n v="842600"/>
    <m/>
    <m/>
    <m/>
    <m/>
    <n v="0"/>
    <m/>
    <m/>
    <n v="0"/>
    <n v="900200"/>
    <n v="842600"/>
    <m/>
    <m/>
    <m/>
    <m/>
    <n v="0"/>
    <m/>
    <m/>
    <n v="0"/>
    <m/>
    <m/>
    <m/>
    <m/>
    <m/>
    <m/>
    <n v="900200"/>
    <n v="842600"/>
  </r>
  <r>
    <x v="5"/>
    <x v="42"/>
    <s v="Kentucky Board of Emergency Medical Services"/>
    <m/>
    <m/>
    <x v="12"/>
    <m/>
    <m/>
    <n v="2136400"/>
    <n v="2025800"/>
    <m/>
    <m/>
    <m/>
    <m/>
    <n v="0"/>
    <m/>
    <m/>
    <n v="0"/>
    <n v="2136400"/>
    <n v="2025800"/>
    <m/>
    <m/>
    <m/>
    <m/>
    <n v="0"/>
    <m/>
    <m/>
    <n v="0"/>
    <m/>
    <m/>
    <m/>
    <m/>
    <m/>
    <m/>
    <n v="2136400"/>
    <n v="2025800"/>
  </r>
  <r>
    <x v="5"/>
    <x v="42"/>
    <s v="Fire Commission"/>
    <m/>
    <m/>
    <x v="12"/>
    <m/>
    <m/>
    <n v="2135700"/>
    <n v="2105300"/>
    <m/>
    <m/>
    <m/>
    <m/>
    <n v="0"/>
    <m/>
    <m/>
    <n v="0"/>
    <n v="2135700"/>
    <n v="2105300"/>
    <m/>
    <m/>
    <m/>
    <m/>
    <n v="0"/>
    <m/>
    <m/>
    <n v="0"/>
    <m/>
    <m/>
    <m/>
    <m/>
    <m/>
    <m/>
    <n v="2135700"/>
    <n v="2105300"/>
  </r>
  <r>
    <x v="5"/>
    <x v="13"/>
    <s v="Education special purpose funds — all other"/>
    <m/>
    <m/>
    <x v="12"/>
    <m/>
    <m/>
    <m/>
    <m/>
    <m/>
    <m/>
    <m/>
    <m/>
    <n v="0"/>
    <m/>
    <m/>
    <n v="0"/>
    <n v="0"/>
    <n v="0"/>
    <m/>
    <m/>
    <m/>
    <m/>
    <n v="0"/>
    <m/>
    <m/>
    <n v="0"/>
    <m/>
    <m/>
    <m/>
    <m/>
    <m/>
    <m/>
    <n v="0"/>
    <n v="0"/>
  </r>
  <r>
    <x v="5"/>
    <x v="13"/>
    <s v="(PEPP) Health Programs"/>
    <m/>
    <m/>
    <x v="12"/>
    <m/>
    <m/>
    <n v="290300"/>
    <n v="265100"/>
    <m/>
    <m/>
    <m/>
    <m/>
    <n v="0"/>
    <m/>
    <m/>
    <n v="0"/>
    <n v="290300"/>
    <n v="265100"/>
    <m/>
    <m/>
    <m/>
    <m/>
    <n v="0"/>
    <m/>
    <m/>
    <n v="0"/>
    <m/>
    <m/>
    <m/>
    <m/>
    <m/>
    <m/>
    <n v="290300"/>
    <n v="265100"/>
  </r>
  <r>
    <x v="5"/>
    <x v="13"/>
    <s v="Minority Student Col Prep"/>
    <m/>
    <m/>
    <x v="12"/>
    <m/>
    <m/>
    <n v="202700"/>
    <n v="185200"/>
    <m/>
    <m/>
    <m/>
    <m/>
    <n v="0"/>
    <m/>
    <m/>
    <n v="0"/>
    <n v="202700"/>
    <n v="185200"/>
    <m/>
    <m/>
    <m/>
    <m/>
    <n v="0"/>
    <m/>
    <m/>
    <n v="0"/>
    <m/>
    <m/>
    <m/>
    <m/>
    <m/>
    <m/>
    <n v="202700"/>
    <n v="185200"/>
  </r>
  <r>
    <x v="5"/>
    <x v="13"/>
    <s v="Research Challenge Trust Fund-Lung Cancer Research"/>
    <m/>
    <m/>
    <x v="12"/>
    <m/>
    <m/>
    <n v="4694852"/>
    <n v="4247800"/>
    <m/>
    <m/>
    <m/>
    <m/>
    <n v="0"/>
    <m/>
    <m/>
    <n v="0"/>
    <n v="4694852"/>
    <n v="4247800"/>
    <m/>
    <m/>
    <m/>
    <m/>
    <n v="0"/>
    <m/>
    <m/>
    <n v="0"/>
    <m/>
    <m/>
    <m/>
    <m/>
    <m/>
    <m/>
    <n v="4694852"/>
    <n v="4247800"/>
  </r>
  <r>
    <x v="5"/>
    <x v="13"/>
    <s v="KY Postsecondary Education Network"/>
    <m/>
    <m/>
    <x v="12"/>
    <m/>
    <m/>
    <n v="2998049"/>
    <n v="2413205"/>
    <m/>
    <m/>
    <m/>
    <m/>
    <n v="0"/>
    <m/>
    <m/>
    <n v="0"/>
    <n v="2998049"/>
    <n v="2413205"/>
    <m/>
    <m/>
    <m/>
    <m/>
    <n v="0"/>
    <m/>
    <m/>
    <n v="0"/>
    <m/>
    <m/>
    <m/>
    <m/>
    <m/>
    <m/>
    <n v="2998049"/>
    <n v="2413205"/>
  </r>
  <r>
    <x v="5"/>
    <x v="13"/>
    <s v="Commonweatlh Virtual Univ"/>
    <m/>
    <m/>
    <x v="12"/>
    <m/>
    <m/>
    <n v="2072439"/>
    <n v="1880200"/>
    <m/>
    <m/>
    <m/>
    <m/>
    <n v="0"/>
    <m/>
    <m/>
    <n v="0"/>
    <n v="2072439"/>
    <n v="1880200"/>
    <m/>
    <m/>
    <m/>
    <m/>
    <n v="0"/>
    <m/>
    <m/>
    <n v="0"/>
    <m/>
    <m/>
    <m/>
    <m/>
    <m/>
    <m/>
    <n v="2072439"/>
    <n v="1880200"/>
  </r>
  <r>
    <x v="5"/>
    <x v="13"/>
    <s v="Adult Education Operations"/>
    <m/>
    <m/>
    <x v="12"/>
    <m/>
    <m/>
    <n v="898017"/>
    <n v="940000"/>
    <m/>
    <m/>
    <m/>
    <m/>
    <n v="0"/>
    <m/>
    <m/>
    <n v="0"/>
    <n v="898017"/>
    <n v="940000"/>
    <m/>
    <m/>
    <m/>
    <m/>
    <n v="0"/>
    <m/>
    <m/>
    <n v="0"/>
    <m/>
    <m/>
    <m/>
    <m/>
    <m/>
    <m/>
    <n v="898017"/>
    <n v="940000"/>
  </r>
  <r>
    <x v="5"/>
    <x v="13"/>
    <s v=" Adult Education and Literacy Funding Program"/>
    <m/>
    <m/>
    <x v="12"/>
    <m/>
    <m/>
    <n v="18751568"/>
    <n v="19548600"/>
    <m/>
    <m/>
    <m/>
    <m/>
    <n v="0"/>
    <m/>
    <m/>
    <n v="0"/>
    <n v="18751568"/>
    <n v="19548600"/>
    <m/>
    <m/>
    <m/>
    <m/>
    <n v="0"/>
    <m/>
    <m/>
    <n v="0"/>
    <m/>
    <m/>
    <m/>
    <m/>
    <m/>
    <m/>
    <n v="18751568"/>
    <n v="19548600"/>
  </r>
  <r>
    <x v="5"/>
    <x v="13"/>
    <s v="State Autism Training Center"/>
    <m/>
    <m/>
    <x v="12"/>
    <m/>
    <m/>
    <n v="144900"/>
    <m/>
    <m/>
    <m/>
    <m/>
    <m/>
    <n v="0"/>
    <m/>
    <m/>
    <n v="0"/>
    <n v="144900"/>
    <n v="0"/>
    <m/>
    <m/>
    <m/>
    <m/>
    <n v="0"/>
    <m/>
    <m/>
    <n v="0"/>
    <m/>
    <m/>
    <m/>
    <m/>
    <m/>
    <m/>
    <n v="144900"/>
    <n v="0"/>
  </r>
  <r>
    <x v="5"/>
    <x v="13"/>
    <s v="Science and Technology Trust Fund"/>
    <m/>
    <m/>
    <x v="12"/>
    <m/>
    <m/>
    <n v="6260920"/>
    <n v="5717900"/>
    <m/>
    <m/>
    <m/>
    <m/>
    <n v="0"/>
    <m/>
    <m/>
    <n v="0"/>
    <n v="6260920"/>
    <n v="5717900"/>
    <m/>
    <m/>
    <m/>
    <m/>
    <n v="0"/>
    <m/>
    <m/>
    <n v="0"/>
    <m/>
    <m/>
    <m/>
    <m/>
    <m/>
    <m/>
    <n v="6260920"/>
    <n v="5717900"/>
  </r>
  <r>
    <x v="5"/>
    <x v="14"/>
    <s v="Statewide System Operations"/>
    <m/>
    <m/>
    <x v="12"/>
    <m/>
    <m/>
    <m/>
    <m/>
    <m/>
    <m/>
    <m/>
    <m/>
    <n v="0"/>
    <m/>
    <m/>
    <n v="0"/>
    <n v="0"/>
    <n v="0"/>
    <m/>
    <m/>
    <m/>
    <m/>
    <n v="0"/>
    <m/>
    <m/>
    <n v="0"/>
    <m/>
    <m/>
    <m/>
    <m/>
    <m/>
    <m/>
    <n v="0"/>
    <n v="0"/>
  </r>
  <r>
    <x v="5"/>
    <x v="15"/>
    <s v="Colleges and universities"/>
    <m/>
    <m/>
    <x v="12"/>
    <m/>
    <m/>
    <m/>
    <m/>
    <m/>
    <m/>
    <m/>
    <m/>
    <n v="0"/>
    <m/>
    <m/>
    <n v="0"/>
    <n v="0"/>
    <n v="0"/>
    <m/>
    <m/>
    <m/>
    <m/>
    <n v="0"/>
    <m/>
    <m/>
    <n v="0"/>
    <m/>
    <m/>
    <m/>
    <m/>
    <m/>
    <m/>
    <n v="0"/>
    <n v="0"/>
  </r>
  <r>
    <x v="5"/>
    <x v="15"/>
    <s v=" Ky Council on Postsecondary Education"/>
    <m/>
    <m/>
    <x v="12"/>
    <m/>
    <m/>
    <m/>
    <m/>
    <m/>
    <m/>
    <m/>
    <m/>
    <n v="0"/>
    <m/>
    <m/>
    <n v="0"/>
    <n v="0"/>
    <n v="0"/>
    <n v="5745600"/>
    <n v="6618300"/>
    <m/>
    <m/>
    <n v="0"/>
    <m/>
    <m/>
    <n v="0"/>
    <m/>
    <m/>
    <m/>
    <m/>
    <m/>
    <m/>
    <n v="5745600"/>
    <n v="6618300"/>
  </r>
  <r>
    <x v="5"/>
    <x v="16"/>
    <s v="Two-year system(s), if any"/>
    <m/>
    <m/>
    <x v="12"/>
    <m/>
    <m/>
    <m/>
    <m/>
    <m/>
    <m/>
    <m/>
    <m/>
    <n v="0"/>
    <m/>
    <m/>
    <n v="0"/>
    <n v="0"/>
    <n v="0"/>
    <m/>
    <m/>
    <m/>
    <m/>
    <n v="0"/>
    <m/>
    <m/>
    <n v="0"/>
    <m/>
    <m/>
    <m/>
    <m/>
    <m/>
    <m/>
    <n v="0"/>
    <n v="0"/>
  </r>
  <r>
    <x v="5"/>
    <x v="16"/>
    <s v="Ky Community and Technical College System operations"/>
    <m/>
    <m/>
    <x v="12"/>
    <m/>
    <m/>
    <m/>
    <m/>
    <m/>
    <m/>
    <m/>
    <m/>
    <n v="0"/>
    <m/>
    <m/>
    <n v="0"/>
    <n v="0"/>
    <n v="0"/>
    <n v="23662260.789999992"/>
    <n v="24122000"/>
    <m/>
    <m/>
    <n v="0"/>
    <m/>
    <m/>
    <n v="0"/>
    <m/>
    <m/>
    <m/>
    <m/>
    <m/>
    <m/>
    <n v="23662260.789999992"/>
    <n v="24122000"/>
  </r>
  <r>
    <x v="5"/>
    <x v="17"/>
    <s v="National or regional associations, compacts or consortia"/>
    <m/>
    <m/>
    <x v="12"/>
    <m/>
    <m/>
    <m/>
    <m/>
    <m/>
    <m/>
    <m/>
    <m/>
    <n v="0"/>
    <m/>
    <m/>
    <n v="0"/>
    <n v="0"/>
    <n v="0"/>
    <m/>
    <m/>
    <m/>
    <m/>
    <n v="0"/>
    <m/>
    <m/>
    <n v="0"/>
    <m/>
    <m/>
    <m/>
    <m/>
    <m/>
    <m/>
    <n v="0"/>
    <n v="0"/>
  </r>
  <r>
    <x v="5"/>
    <x v="17"/>
    <s v="SREB (General Operations + Small Grants)"/>
    <m/>
    <m/>
    <x v="12"/>
    <m/>
    <m/>
    <m/>
    <m/>
    <m/>
    <m/>
    <m/>
    <m/>
    <n v="0"/>
    <m/>
    <m/>
    <n v="0"/>
    <n v="0"/>
    <n v="0"/>
    <n v="193550"/>
    <n v="193550"/>
    <m/>
    <m/>
    <n v="0"/>
    <m/>
    <m/>
    <n v="0"/>
    <m/>
    <m/>
    <m/>
    <m/>
    <m/>
    <m/>
    <n v="193550"/>
    <n v="193550"/>
  </r>
  <r>
    <x v="5"/>
    <x v="13"/>
    <s v="SREB Doctoral Scholar Program"/>
    <m/>
    <m/>
    <x v="12"/>
    <m/>
    <m/>
    <n v="78300"/>
    <n v="71500"/>
    <m/>
    <m/>
    <m/>
    <m/>
    <n v="0"/>
    <m/>
    <m/>
    <n v="0"/>
    <n v="78300"/>
    <n v="71500"/>
    <m/>
    <m/>
    <m/>
    <m/>
    <n v="0"/>
    <m/>
    <m/>
    <n v="0"/>
    <m/>
    <m/>
    <m/>
    <m/>
    <m/>
    <m/>
    <n v="78300"/>
    <n v="71500"/>
  </r>
  <r>
    <x v="5"/>
    <x v="18"/>
    <s v="Adm. of Statewide Student Aid Progs. (incldng centralized guaranteed student loans)"/>
    <m/>
    <m/>
    <x v="12"/>
    <m/>
    <m/>
    <m/>
    <m/>
    <m/>
    <m/>
    <m/>
    <m/>
    <n v="0"/>
    <m/>
    <m/>
    <n v="0"/>
    <n v="0"/>
    <n v="0"/>
    <m/>
    <m/>
    <m/>
    <m/>
    <n v="0"/>
    <m/>
    <m/>
    <n v="0"/>
    <m/>
    <m/>
    <m/>
    <m/>
    <m/>
    <m/>
    <n v="0"/>
    <n v="0"/>
  </r>
  <r>
    <x v="5"/>
    <x v="18"/>
    <s v="H. Ed. Asst. Authority"/>
    <m/>
    <m/>
    <x v="12"/>
    <m/>
    <m/>
    <m/>
    <m/>
    <m/>
    <m/>
    <m/>
    <m/>
    <n v="0"/>
    <m/>
    <m/>
    <n v="0"/>
    <n v="0"/>
    <n v="0"/>
    <m/>
    <m/>
    <m/>
    <m/>
    <n v="0"/>
    <m/>
    <m/>
    <n v="0"/>
    <m/>
    <m/>
    <m/>
    <m/>
    <m/>
    <m/>
    <n v="0"/>
    <n v="0"/>
  </r>
  <r>
    <x v="5"/>
    <x v="19"/>
    <s v="State Support to Private Colleges Other Than Student Aid"/>
    <m/>
    <m/>
    <x v="12"/>
    <m/>
    <m/>
    <m/>
    <m/>
    <m/>
    <m/>
    <m/>
    <m/>
    <n v="0"/>
    <m/>
    <m/>
    <n v="0"/>
    <n v="0"/>
    <n v="0"/>
    <m/>
    <m/>
    <m/>
    <m/>
    <n v="0"/>
    <m/>
    <m/>
    <n v="0"/>
    <m/>
    <m/>
    <m/>
    <m/>
    <m/>
    <m/>
    <n v="0"/>
    <n v="0"/>
  </r>
  <r>
    <x v="5"/>
    <x v="20"/>
    <s v="Contract Education Programs"/>
    <m/>
    <m/>
    <x v="12"/>
    <m/>
    <m/>
    <m/>
    <m/>
    <m/>
    <m/>
    <m/>
    <m/>
    <n v="0"/>
    <m/>
    <m/>
    <n v="0"/>
    <n v="0"/>
    <n v="0"/>
    <m/>
    <m/>
    <m/>
    <m/>
    <n v="0"/>
    <m/>
    <m/>
    <n v="0"/>
    <m/>
    <m/>
    <m/>
    <m/>
    <m/>
    <m/>
    <n v="0"/>
    <n v="0"/>
  </r>
  <r>
    <x v="5"/>
    <x v="21"/>
    <s v="SREB contract program with private colleges"/>
    <m/>
    <m/>
    <x v="12"/>
    <m/>
    <m/>
    <m/>
    <m/>
    <m/>
    <m/>
    <m/>
    <m/>
    <n v="0"/>
    <m/>
    <m/>
    <n v="0"/>
    <n v="0"/>
    <n v="0"/>
    <m/>
    <m/>
    <m/>
    <m/>
    <n v="0"/>
    <m/>
    <m/>
    <n v="0"/>
    <m/>
    <m/>
    <m/>
    <m/>
    <m/>
    <m/>
    <n v="0"/>
    <n v="0"/>
  </r>
  <r>
    <x v="5"/>
    <x v="21"/>
    <s v="Tuskegee University (Veterinary Medicine)"/>
    <m/>
    <m/>
    <x v="12"/>
    <m/>
    <m/>
    <m/>
    <m/>
    <m/>
    <m/>
    <m/>
    <m/>
    <n v="0"/>
    <m/>
    <m/>
    <n v="0"/>
    <n v="0"/>
    <n v="0"/>
    <n v="300000"/>
    <n v="309600"/>
    <m/>
    <m/>
    <n v="0"/>
    <m/>
    <m/>
    <n v="0"/>
    <m/>
    <m/>
    <m/>
    <m/>
    <m/>
    <m/>
    <n v="300000"/>
    <n v="309600"/>
  </r>
  <r>
    <x v="5"/>
    <x v="21"/>
    <s v="Southern College of Optometry"/>
    <m/>
    <m/>
    <x v="12"/>
    <m/>
    <m/>
    <m/>
    <m/>
    <m/>
    <m/>
    <m/>
    <m/>
    <n v="0"/>
    <m/>
    <m/>
    <n v="0"/>
    <n v="0"/>
    <n v="0"/>
    <n v="243100"/>
    <n v="296000"/>
    <m/>
    <m/>
    <n v="0"/>
    <m/>
    <m/>
    <n v="0"/>
    <m/>
    <m/>
    <m/>
    <m/>
    <m/>
    <m/>
    <n v="243100"/>
    <n v="296000"/>
  </r>
  <r>
    <x v="5"/>
    <x v="22"/>
    <s v="SREB contract program with public colleges"/>
    <m/>
    <m/>
    <x v="12"/>
    <m/>
    <m/>
    <m/>
    <m/>
    <m/>
    <m/>
    <m/>
    <m/>
    <n v="0"/>
    <m/>
    <m/>
    <n v="0"/>
    <n v="0"/>
    <n v="0"/>
    <m/>
    <m/>
    <m/>
    <m/>
    <n v="0"/>
    <m/>
    <m/>
    <n v="0"/>
    <m/>
    <m/>
    <m/>
    <m/>
    <m/>
    <m/>
    <n v="0"/>
    <n v="0"/>
  </r>
  <r>
    <x v="5"/>
    <x v="22"/>
    <s v="Auburn University (Veterinary Medicine)"/>
    <m/>
    <m/>
    <x v="12"/>
    <m/>
    <m/>
    <m/>
    <m/>
    <m/>
    <m/>
    <m/>
    <m/>
    <n v="0"/>
    <m/>
    <m/>
    <n v="0"/>
    <n v="0"/>
    <n v="0"/>
    <n v="3750000"/>
    <n v="3921600"/>
    <m/>
    <m/>
    <n v="0"/>
    <m/>
    <m/>
    <n v="0"/>
    <m/>
    <m/>
    <m/>
    <m/>
    <m/>
    <m/>
    <n v="3750000"/>
    <n v="3921600"/>
  </r>
  <r>
    <x v="5"/>
    <x v="22"/>
    <s v="University of Alabama at Birmingham (Optometry)"/>
    <m/>
    <m/>
    <x v="12"/>
    <m/>
    <m/>
    <m/>
    <m/>
    <m/>
    <m/>
    <m/>
    <m/>
    <n v="0"/>
    <m/>
    <m/>
    <n v="0"/>
    <n v="0"/>
    <n v="0"/>
    <n v="128700"/>
    <n v="177600"/>
    <m/>
    <m/>
    <n v="0"/>
    <m/>
    <m/>
    <n v="0"/>
    <m/>
    <m/>
    <m/>
    <m/>
    <m/>
    <m/>
    <n v="128700"/>
    <n v="177600"/>
  </r>
  <r>
    <x v="5"/>
    <x v="23"/>
    <s v="Other contract education programs (Indiana University)"/>
    <m/>
    <m/>
    <x v="12"/>
    <m/>
    <m/>
    <m/>
    <m/>
    <m/>
    <m/>
    <m/>
    <m/>
    <n v="0"/>
    <m/>
    <m/>
    <n v="0"/>
    <n v="0"/>
    <n v="0"/>
    <n v="161605.44"/>
    <n v="151200"/>
    <m/>
    <m/>
    <n v="0"/>
    <m/>
    <m/>
    <n v="0"/>
    <m/>
    <m/>
    <m/>
    <m/>
    <m/>
    <m/>
    <n v="161605.44"/>
    <n v="151200"/>
  </r>
  <r>
    <x v="5"/>
    <x v="24"/>
    <s v="Statewide Student Financial Aid Programs Administered Off Campus"/>
    <m/>
    <m/>
    <x v="12"/>
    <m/>
    <m/>
    <m/>
    <m/>
    <m/>
    <m/>
    <m/>
    <m/>
    <n v="0"/>
    <m/>
    <m/>
    <n v="0"/>
    <n v="0"/>
    <n v="0"/>
    <m/>
    <m/>
    <m/>
    <m/>
    <n v="0"/>
    <m/>
    <m/>
    <n v="0"/>
    <m/>
    <m/>
    <m/>
    <m/>
    <m/>
    <m/>
    <n v="0"/>
    <n v="0"/>
  </r>
  <r>
    <x v="5"/>
    <x v="25"/>
    <s v="Available to public &amp; private sector students"/>
    <m/>
    <m/>
    <x v="12"/>
    <m/>
    <m/>
    <m/>
    <m/>
    <m/>
    <m/>
    <m/>
    <m/>
    <n v="0"/>
    <m/>
    <m/>
    <n v="0"/>
    <n v="0"/>
    <n v="0"/>
    <m/>
    <m/>
    <m/>
    <m/>
    <n v="0"/>
    <m/>
    <m/>
    <n v="0"/>
    <m/>
    <m/>
    <m/>
    <m/>
    <m/>
    <m/>
    <n v="0"/>
    <n v="0"/>
  </r>
  <r>
    <x v="5"/>
    <x v="28"/>
    <s v="KEES Kentucky Educational Excellence Scholarship"/>
    <m/>
    <m/>
    <x v="12"/>
    <m/>
    <m/>
    <m/>
    <m/>
    <m/>
    <m/>
    <m/>
    <m/>
    <n v="0"/>
    <m/>
    <m/>
    <n v="0"/>
    <n v="0"/>
    <n v="0"/>
    <m/>
    <m/>
    <m/>
    <m/>
    <n v="0"/>
    <m/>
    <m/>
    <n v="0"/>
    <m/>
    <m/>
    <m/>
    <m/>
    <m/>
    <m/>
    <n v="0"/>
    <n v="0"/>
  </r>
  <r>
    <x v="5"/>
    <x v="28"/>
    <s v="Amount to public sector students"/>
    <m/>
    <m/>
    <x v="12"/>
    <m/>
    <m/>
    <m/>
    <m/>
    <m/>
    <m/>
    <m/>
    <m/>
    <n v="0"/>
    <m/>
    <m/>
    <n v="0"/>
    <n v="0"/>
    <n v="0"/>
    <m/>
    <m/>
    <m/>
    <m/>
    <n v="0"/>
    <m/>
    <m/>
    <n v="0"/>
    <m/>
    <m/>
    <m/>
    <m/>
    <m/>
    <m/>
    <n v="0"/>
    <n v="0"/>
  </r>
  <r>
    <x v="5"/>
    <x v="29"/>
    <s v="Need-based"/>
    <m/>
    <m/>
    <x v="12"/>
    <m/>
    <m/>
    <m/>
    <m/>
    <m/>
    <m/>
    <m/>
    <m/>
    <n v="0"/>
    <m/>
    <m/>
    <n v="0"/>
    <n v="0"/>
    <n v="0"/>
    <m/>
    <m/>
    <m/>
    <m/>
    <n v="0"/>
    <m/>
    <m/>
    <n v="0"/>
    <m/>
    <m/>
    <m/>
    <m/>
    <m/>
    <m/>
    <n v="0"/>
    <n v="0"/>
  </r>
  <r>
    <x v="5"/>
    <x v="30"/>
    <s v="Non need-based"/>
    <m/>
    <m/>
    <x v="12"/>
    <m/>
    <m/>
    <m/>
    <m/>
    <m/>
    <m/>
    <m/>
    <m/>
    <n v="0"/>
    <m/>
    <m/>
    <n v="0"/>
    <n v="0"/>
    <n v="0"/>
    <n v="79995217"/>
    <n v="83358911"/>
    <m/>
    <m/>
    <n v="0"/>
    <m/>
    <m/>
    <n v="0"/>
    <m/>
    <m/>
    <m/>
    <m/>
    <m/>
    <m/>
    <n v="79995217"/>
    <n v="83358911"/>
  </r>
  <r>
    <x v="5"/>
    <x v="31"/>
    <s v="Amount to private sector students"/>
    <m/>
    <m/>
    <x v="12"/>
    <m/>
    <m/>
    <m/>
    <m/>
    <m/>
    <m/>
    <m/>
    <m/>
    <n v="0"/>
    <m/>
    <m/>
    <n v="0"/>
    <n v="0"/>
    <n v="0"/>
    <m/>
    <m/>
    <m/>
    <m/>
    <n v="0"/>
    <m/>
    <m/>
    <n v="0"/>
    <m/>
    <m/>
    <m/>
    <m/>
    <m/>
    <m/>
    <n v="0"/>
    <n v="0"/>
  </r>
  <r>
    <x v="5"/>
    <x v="32"/>
    <s v="Need-based"/>
    <m/>
    <m/>
    <x v="12"/>
    <m/>
    <m/>
    <m/>
    <m/>
    <m/>
    <m/>
    <m/>
    <m/>
    <n v="0"/>
    <m/>
    <m/>
    <n v="0"/>
    <n v="0"/>
    <n v="0"/>
    <m/>
    <m/>
    <m/>
    <m/>
    <n v="0"/>
    <m/>
    <m/>
    <n v="0"/>
    <m/>
    <m/>
    <m/>
    <m/>
    <m/>
    <m/>
    <n v="0"/>
    <n v="0"/>
  </r>
  <r>
    <x v="5"/>
    <x v="33"/>
    <s v="Non need-based"/>
    <m/>
    <m/>
    <x v="12"/>
    <m/>
    <m/>
    <m/>
    <m/>
    <m/>
    <m/>
    <m/>
    <m/>
    <n v="0"/>
    <m/>
    <m/>
    <n v="0"/>
    <n v="0"/>
    <n v="0"/>
    <n v="18168046"/>
    <n v="18512353"/>
    <m/>
    <m/>
    <n v="0"/>
    <m/>
    <m/>
    <n v="0"/>
    <m/>
    <m/>
    <m/>
    <m/>
    <m/>
    <m/>
    <n v="18168046"/>
    <n v="18512353"/>
  </r>
  <r>
    <x v="5"/>
    <x v="25"/>
    <s v="College Access Program(CAP)"/>
    <m/>
    <m/>
    <x v="12"/>
    <m/>
    <m/>
    <m/>
    <m/>
    <m/>
    <m/>
    <m/>
    <m/>
    <n v="0"/>
    <m/>
    <m/>
    <n v="0"/>
    <n v="0"/>
    <n v="0"/>
    <m/>
    <m/>
    <m/>
    <m/>
    <n v="0"/>
    <m/>
    <m/>
    <n v="0"/>
    <m/>
    <m/>
    <m/>
    <m/>
    <m/>
    <m/>
    <n v="0"/>
    <n v="0"/>
  </r>
  <r>
    <x v="5"/>
    <x v="28"/>
    <s v="Amount to public sector students"/>
    <m/>
    <m/>
    <x v="12"/>
    <m/>
    <m/>
    <m/>
    <m/>
    <m/>
    <m/>
    <m/>
    <m/>
    <n v="0"/>
    <m/>
    <m/>
    <n v="0"/>
    <n v="0"/>
    <n v="0"/>
    <m/>
    <m/>
    <m/>
    <m/>
    <n v="0"/>
    <m/>
    <m/>
    <n v="0"/>
    <m/>
    <m/>
    <m/>
    <m/>
    <m/>
    <m/>
    <n v="0"/>
    <n v="0"/>
  </r>
  <r>
    <x v="5"/>
    <x v="29"/>
    <s v="Need-based"/>
    <m/>
    <m/>
    <x v="12"/>
    <m/>
    <m/>
    <m/>
    <m/>
    <m/>
    <m/>
    <m/>
    <m/>
    <n v="0"/>
    <m/>
    <m/>
    <n v="0"/>
    <n v="0"/>
    <n v="0"/>
    <n v="42459199"/>
    <n v="41253823"/>
    <m/>
    <m/>
    <n v="0"/>
    <m/>
    <m/>
    <n v="0"/>
    <m/>
    <m/>
    <m/>
    <m/>
    <m/>
    <m/>
    <n v="42459199"/>
    <n v="41253823"/>
  </r>
  <r>
    <x v="5"/>
    <x v="30"/>
    <s v="Non need-based"/>
    <m/>
    <m/>
    <x v="12"/>
    <m/>
    <m/>
    <m/>
    <m/>
    <m/>
    <m/>
    <m/>
    <m/>
    <n v="0"/>
    <m/>
    <m/>
    <n v="0"/>
    <n v="0"/>
    <n v="0"/>
    <m/>
    <m/>
    <m/>
    <m/>
    <n v="0"/>
    <m/>
    <m/>
    <n v="0"/>
    <m/>
    <m/>
    <m/>
    <m/>
    <m/>
    <m/>
    <n v="0"/>
    <n v="0"/>
  </r>
  <r>
    <x v="5"/>
    <x v="31"/>
    <s v="Amount to private sector students"/>
    <m/>
    <m/>
    <x v="12"/>
    <m/>
    <m/>
    <m/>
    <m/>
    <m/>
    <m/>
    <m/>
    <m/>
    <n v="0"/>
    <m/>
    <m/>
    <n v="0"/>
    <n v="0"/>
    <n v="0"/>
    <m/>
    <m/>
    <m/>
    <m/>
    <n v="0"/>
    <m/>
    <m/>
    <n v="0"/>
    <m/>
    <m/>
    <m/>
    <m/>
    <m/>
    <m/>
    <n v="0"/>
    <n v="0"/>
  </r>
  <r>
    <x v="5"/>
    <x v="32"/>
    <s v="Need-based"/>
    <m/>
    <m/>
    <x v="12"/>
    <m/>
    <m/>
    <m/>
    <m/>
    <m/>
    <m/>
    <m/>
    <m/>
    <n v="0"/>
    <m/>
    <m/>
    <n v="0"/>
    <n v="0"/>
    <n v="0"/>
    <n v="16085900"/>
    <n v="15844234"/>
    <m/>
    <m/>
    <n v="0"/>
    <m/>
    <m/>
    <n v="0"/>
    <m/>
    <m/>
    <m/>
    <m/>
    <m/>
    <m/>
    <n v="16085900"/>
    <n v="15844234"/>
  </r>
  <r>
    <x v="5"/>
    <x v="33"/>
    <s v="Non need-based"/>
    <m/>
    <m/>
    <x v="12"/>
    <m/>
    <m/>
    <m/>
    <m/>
    <m/>
    <m/>
    <m/>
    <m/>
    <n v="0"/>
    <m/>
    <m/>
    <n v="0"/>
    <n v="0"/>
    <n v="0"/>
    <m/>
    <m/>
    <m/>
    <m/>
    <n v="0"/>
    <m/>
    <m/>
    <n v="0"/>
    <m/>
    <m/>
    <m/>
    <m/>
    <m/>
    <m/>
    <n v="0"/>
    <n v="0"/>
  </r>
  <r>
    <x v="5"/>
    <x v="34"/>
    <s v="Limited to public college students only"/>
    <m/>
    <m/>
    <x v="12"/>
    <m/>
    <m/>
    <m/>
    <m/>
    <m/>
    <m/>
    <m/>
    <m/>
    <n v="0"/>
    <m/>
    <m/>
    <n v="0"/>
    <n v="0"/>
    <n v="0"/>
    <m/>
    <m/>
    <m/>
    <m/>
    <n v="0"/>
    <m/>
    <m/>
    <n v="0"/>
    <m/>
    <m/>
    <m/>
    <m/>
    <m/>
    <m/>
    <n v="0"/>
    <n v="0"/>
  </r>
  <r>
    <x v="5"/>
    <x v="37"/>
    <s v="Limited to private college students"/>
    <m/>
    <m/>
    <x v="12"/>
    <m/>
    <m/>
    <m/>
    <m/>
    <m/>
    <m/>
    <m/>
    <m/>
    <n v="0"/>
    <m/>
    <m/>
    <n v="0"/>
    <n v="0"/>
    <n v="0"/>
    <m/>
    <m/>
    <m/>
    <m/>
    <n v="0"/>
    <m/>
    <m/>
    <n v="0"/>
    <m/>
    <m/>
    <m/>
    <m/>
    <m/>
    <m/>
    <n v="0"/>
    <n v="0"/>
  </r>
  <r>
    <x v="5"/>
    <x v="37"/>
    <s v="Kentucky Tuition Grant (KTG)"/>
    <m/>
    <m/>
    <x v="12"/>
    <m/>
    <m/>
    <m/>
    <m/>
    <m/>
    <m/>
    <m/>
    <m/>
    <n v="0"/>
    <m/>
    <m/>
    <n v="0"/>
    <n v="0"/>
    <n v="0"/>
    <m/>
    <m/>
    <m/>
    <m/>
    <n v="0"/>
    <m/>
    <m/>
    <n v="0"/>
    <m/>
    <m/>
    <m/>
    <m/>
    <m/>
    <m/>
    <n v="0"/>
    <n v="0"/>
  </r>
  <r>
    <x v="5"/>
    <x v="38"/>
    <s v="Need-based"/>
    <m/>
    <m/>
    <x v="12"/>
    <m/>
    <m/>
    <m/>
    <m/>
    <m/>
    <m/>
    <m/>
    <m/>
    <n v="0"/>
    <m/>
    <m/>
    <n v="0"/>
    <n v="0"/>
    <n v="0"/>
    <n v="30763025"/>
    <n v="29735109"/>
    <m/>
    <m/>
    <n v="0"/>
    <m/>
    <m/>
    <n v="0"/>
    <m/>
    <m/>
    <m/>
    <m/>
    <m/>
    <m/>
    <n v="30763025"/>
    <n v="29735109"/>
  </r>
  <r>
    <x v="5"/>
    <x v="39"/>
    <s v="Non need-based"/>
    <m/>
    <m/>
    <x v="12"/>
    <m/>
    <m/>
    <m/>
    <m/>
    <m/>
    <m/>
    <m/>
    <m/>
    <n v="0"/>
    <m/>
    <m/>
    <n v="0"/>
    <n v="0"/>
    <n v="0"/>
    <m/>
    <m/>
    <m/>
    <m/>
    <n v="0"/>
    <m/>
    <m/>
    <n v="0"/>
    <m/>
    <m/>
    <m/>
    <m/>
    <m/>
    <m/>
    <n v="0"/>
    <n v="0"/>
  </r>
  <r>
    <x v="5"/>
    <x v="37"/>
    <s v="Pikeville College Osteopathic Medicine Scholarship"/>
    <m/>
    <m/>
    <x v="12"/>
    <m/>
    <m/>
    <m/>
    <m/>
    <m/>
    <m/>
    <m/>
    <m/>
    <n v="0"/>
    <m/>
    <m/>
    <n v="0"/>
    <n v="0"/>
    <n v="0"/>
    <m/>
    <m/>
    <m/>
    <m/>
    <n v="0"/>
    <m/>
    <m/>
    <n v="0"/>
    <m/>
    <m/>
    <m/>
    <m/>
    <m/>
    <m/>
    <n v="0"/>
    <n v="0"/>
  </r>
  <r>
    <x v="5"/>
    <x v="38"/>
    <s v="Need-based"/>
    <m/>
    <m/>
    <x v="12"/>
    <m/>
    <m/>
    <m/>
    <m/>
    <m/>
    <m/>
    <m/>
    <m/>
    <n v="0"/>
    <m/>
    <m/>
    <n v="0"/>
    <n v="0"/>
    <n v="0"/>
    <m/>
    <m/>
    <m/>
    <m/>
    <n v="0"/>
    <m/>
    <m/>
    <n v="0"/>
    <m/>
    <m/>
    <m/>
    <m/>
    <m/>
    <m/>
    <n v="0"/>
    <n v="0"/>
  </r>
  <r>
    <x v="5"/>
    <x v="39"/>
    <s v="Non need-based"/>
    <m/>
    <m/>
    <x v="12"/>
    <m/>
    <m/>
    <m/>
    <m/>
    <m/>
    <m/>
    <m/>
    <m/>
    <n v="0"/>
    <m/>
    <m/>
    <n v="0"/>
    <n v="0"/>
    <n v="0"/>
    <n v="737910"/>
    <n v="660940"/>
    <m/>
    <m/>
    <n v="0"/>
    <m/>
    <m/>
    <n v="0"/>
    <m/>
    <m/>
    <m/>
    <m/>
    <m/>
    <m/>
    <n v="737910"/>
    <n v="660940"/>
  </r>
  <r>
    <x v="6"/>
    <x v="0"/>
    <s v="Louisiana State University and A &amp; M College"/>
    <m/>
    <n v="159391"/>
    <x v="0"/>
    <n v="140285389"/>
    <n v="122012423"/>
    <m/>
    <m/>
    <m/>
    <m/>
    <n v="220911815"/>
    <m/>
    <n v="220911815"/>
    <n v="259378088"/>
    <m/>
    <n v="259378088"/>
    <n v="361197204"/>
    <n v="381390511"/>
    <m/>
    <m/>
    <m/>
    <m/>
    <n v="0"/>
    <m/>
    <m/>
    <n v="0"/>
    <m/>
    <m/>
    <m/>
    <m/>
    <m/>
    <m/>
    <n v="361197204"/>
    <n v="381390511"/>
  </r>
  <r>
    <x v="6"/>
    <x v="12"/>
    <s v="Special line items for education operations"/>
    <m/>
    <n v="159391"/>
    <x v="0"/>
    <m/>
    <m/>
    <m/>
    <m/>
    <m/>
    <m/>
    <m/>
    <m/>
    <n v="0"/>
    <m/>
    <m/>
    <n v="0"/>
    <n v="0"/>
    <n v="0"/>
    <m/>
    <m/>
    <m/>
    <m/>
    <n v="0"/>
    <m/>
    <m/>
    <n v="0"/>
    <m/>
    <m/>
    <m/>
    <m/>
    <m/>
    <m/>
    <n v="0"/>
    <n v="0"/>
  </r>
  <r>
    <x v="6"/>
    <x v="12"/>
    <s v="Paul M. Hebert Law Center"/>
    <m/>
    <n v="159391"/>
    <x v="0"/>
    <n v="6597387"/>
    <n v="5812672"/>
    <m/>
    <m/>
    <m/>
    <m/>
    <n v="15279500"/>
    <m/>
    <n v="15279500"/>
    <n v="17625197"/>
    <m/>
    <n v="17625197"/>
    <n v="21876887"/>
    <n v="23437869"/>
    <m/>
    <m/>
    <m/>
    <m/>
    <n v="0"/>
    <m/>
    <m/>
    <n v="0"/>
    <m/>
    <m/>
    <m/>
    <m/>
    <m/>
    <m/>
    <n v="21876887"/>
    <n v="23437869"/>
  </r>
  <r>
    <x v="6"/>
    <x v="1"/>
    <s v="Health professions education"/>
    <m/>
    <n v="159391"/>
    <x v="0"/>
    <m/>
    <m/>
    <m/>
    <m/>
    <m/>
    <m/>
    <m/>
    <m/>
    <n v="0"/>
    <m/>
    <m/>
    <n v="0"/>
    <n v="0"/>
    <n v="0"/>
    <m/>
    <m/>
    <m/>
    <m/>
    <n v="0"/>
    <m/>
    <m/>
    <n v="0"/>
    <m/>
    <m/>
    <m/>
    <m/>
    <m/>
    <m/>
    <n v="0"/>
    <n v="0"/>
  </r>
  <r>
    <x v="6"/>
    <x v="1"/>
    <s v="Vet School"/>
    <m/>
    <n v="159391"/>
    <x v="0"/>
    <m/>
    <m/>
    <m/>
    <m/>
    <m/>
    <m/>
    <m/>
    <m/>
    <n v="0"/>
    <m/>
    <m/>
    <n v="0"/>
    <n v="0"/>
    <n v="0"/>
    <m/>
    <m/>
    <m/>
    <m/>
    <n v="0"/>
    <m/>
    <m/>
    <n v="0"/>
    <n v="16526629"/>
    <n v="19582008"/>
    <n v="10630263"/>
    <m/>
    <n v="11274295"/>
    <m/>
    <n v="27156892"/>
    <n v="30856303"/>
  </r>
  <r>
    <x v="6"/>
    <x v="5"/>
    <s v="Agricultural Center"/>
    <m/>
    <n v="159391"/>
    <x v="0"/>
    <m/>
    <m/>
    <m/>
    <m/>
    <m/>
    <m/>
    <m/>
    <m/>
    <n v="0"/>
    <m/>
    <m/>
    <n v="0"/>
    <n v="0"/>
    <n v="0"/>
    <m/>
    <m/>
    <m/>
    <m/>
    <n v="0"/>
    <m/>
    <m/>
    <n v="0"/>
    <m/>
    <m/>
    <m/>
    <m/>
    <m/>
    <m/>
    <n v="0"/>
    <n v="0"/>
  </r>
  <r>
    <x v="6"/>
    <x v="5"/>
    <s v="Agricultural cooperative extension"/>
    <m/>
    <n v="159391"/>
    <x v="0"/>
    <m/>
    <m/>
    <n v="25401436"/>
    <n v="24197726"/>
    <m/>
    <m/>
    <m/>
    <m/>
    <n v="0"/>
    <m/>
    <m/>
    <n v="0"/>
    <n v="25401436"/>
    <n v="24197726"/>
    <m/>
    <m/>
    <m/>
    <m/>
    <n v="0"/>
    <m/>
    <m/>
    <n v="0"/>
    <m/>
    <m/>
    <m/>
    <m/>
    <m/>
    <m/>
    <n v="25401436"/>
    <n v="24197726"/>
  </r>
  <r>
    <x v="6"/>
    <x v="6"/>
    <s v="Agricultural experiment stations"/>
    <m/>
    <n v="159391"/>
    <x v="0"/>
    <m/>
    <m/>
    <n v="31898294"/>
    <n v="30331621"/>
    <m/>
    <m/>
    <m/>
    <m/>
    <n v="0"/>
    <m/>
    <m/>
    <n v="0"/>
    <n v="31898294"/>
    <n v="30331621"/>
    <m/>
    <m/>
    <m/>
    <m/>
    <n v="0"/>
    <m/>
    <m/>
    <n v="0"/>
    <m/>
    <m/>
    <m/>
    <m/>
    <m/>
    <m/>
    <n v="31898294"/>
    <n v="30331621"/>
  </r>
  <r>
    <x v="6"/>
    <x v="5"/>
    <s v="Administration"/>
    <m/>
    <n v="159391"/>
    <x v="0"/>
    <m/>
    <m/>
    <n v="16354164"/>
    <n v="15255443"/>
    <m/>
    <m/>
    <m/>
    <m/>
    <n v="0"/>
    <m/>
    <m/>
    <n v="0"/>
    <n v="16354164"/>
    <n v="15255443"/>
    <m/>
    <m/>
    <m/>
    <m/>
    <n v="0"/>
    <m/>
    <m/>
    <n v="0"/>
    <m/>
    <m/>
    <m/>
    <m/>
    <m/>
    <m/>
    <n v="16354164"/>
    <n v="15255443"/>
  </r>
  <r>
    <x v="6"/>
    <x v="0"/>
    <s v="Louisiana Tech University "/>
    <m/>
    <n v="159647"/>
    <x v="1"/>
    <n v="42063063"/>
    <n v="37392451"/>
    <m/>
    <m/>
    <m/>
    <m/>
    <n v="47273000"/>
    <m/>
    <n v="47273000"/>
    <n v="54733000"/>
    <m/>
    <n v="54733000"/>
    <n v="89336063"/>
    <n v="92125451"/>
    <m/>
    <m/>
    <m/>
    <m/>
    <n v="0"/>
    <m/>
    <m/>
    <n v="0"/>
    <m/>
    <m/>
    <m/>
    <m/>
    <m/>
    <m/>
    <n v="89336063"/>
    <n v="92125451"/>
  </r>
  <r>
    <x v="6"/>
    <x v="0"/>
    <s v="University of Louisiana at Lafayette"/>
    <m/>
    <n v="160658"/>
    <x v="1"/>
    <n v="64482327"/>
    <n v="56703542"/>
    <m/>
    <m/>
    <m/>
    <m/>
    <n v="62428722"/>
    <m/>
    <n v="62428722"/>
    <n v="69729300"/>
    <m/>
    <n v="69729300"/>
    <n v="126911049"/>
    <n v="126432842"/>
    <m/>
    <m/>
    <m/>
    <m/>
    <n v="0"/>
    <m/>
    <m/>
    <n v="0"/>
    <m/>
    <m/>
    <m/>
    <m/>
    <m/>
    <m/>
    <n v="126911049"/>
    <n v="126432842"/>
  </r>
  <r>
    <x v="6"/>
    <x v="0"/>
    <s v="University of New Orleans"/>
    <m/>
    <n v="159939"/>
    <x v="1"/>
    <n v="45372415"/>
    <n v="38433113"/>
    <m/>
    <m/>
    <m/>
    <m/>
    <n v="61695878"/>
    <m/>
    <n v="61695878"/>
    <n v="65170399"/>
    <m/>
    <n v="65170399"/>
    <n v="107068293"/>
    <n v="103603512"/>
    <m/>
    <m/>
    <m/>
    <m/>
    <n v="0"/>
    <m/>
    <m/>
    <n v="0"/>
    <m/>
    <m/>
    <m/>
    <m/>
    <m/>
    <m/>
    <n v="107068293"/>
    <n v="103603512"/>
  </r>
  <r>
    <x v="6"/>
    <x v="0"/>
    <s v="Southeastern Louisiana University "/>
    <m/>
    <n v="160612"/>
    <x v="2"/>
    <n v="47505402"/>
    <n v="39301339"/>
    <m/>
    <m/>
    <m/>
    <m/>
    <n v="56347611"/>
    <m/>
    <n v="56347611"/>
    <n v="64947412"/>
    <m/>
    <n v="64947412"/>
    <n v="103853013"/>
    <n v="104248751"/>
    <m/>
    <m/>
    <m/>
    <m/>
    <n v="0"/>
    <m/>
    <m/>
    <n v="0"/>
    <m/>
    <m/>
    <m/>
    <m/>
    <m/>
    <m/>
    <n v="103853013"/>
    <n v="104248751"/>
  </r>
  <r>
    <x v="6"/>
    <x v="0"/>
    <s v="Southern University and A&amp;M College at Baton Rouge "/>
    <s v="Met the criteria for Four-Year 2 in 2012-13."/>
    <n v="160621"/>
    <x v="2"/>
    <n v="31282207"/>
    <n v="29353076"/>
    <m/>
    <m/>
    <m/>
    <m/>
    <n v="34257789"/>
    <m/>
    <n v="34257789"/>
    <n v="37451464"/>
    <m/>
    <n v="37451464"/>
    <n v="65539996"/>
    <n v="66804540"/>
    <m/>
    <m/>
    <m/>
    <m/>
    <n v="0"/>
    <m/>
    <m/>
    <n v="0"/>
    <m/>
    <m/>
    <m/>
    <m/>
    <m/>
    <m/>
    <n v="65539996"/>
    <n v="66804540"/>
  </r>
  <r>
    <x v="6"/>
    <x v="0"/>
    <s v="Law Center"/>
    <m/>
    <n v="160621"/>
    <x v="2"/>
    <n v="4722131"/>
    <n v="4172612"/>
    <m/>
    <m/>
    <m/>
    <m/>
    <n v="7878891"/>
    <m/>
    <n v="7878891"/>
    <n v="8492876"/>
    <m/>
    <n v="8492876"/>
    <n v="12601022"/>
    <n v="12665488"/>
    <m/>
    <m/>
    <m/>
    <m/>
    <n v="0"/>
    <m/>
    <m/>
    <n v="0"/>
    <m/>
    <m/>
    <m/>
    <m/>
    <m/>
    <m/>
    <n v="12601022"/>
    <n v="12665488"/>
  </r>
  <r>
    <x v="6"/>
    <x v="5"/>
    <s v="Agricultural Center"/>
    <m/>
    <n v="160621"/>
    <x v="2"/>
    <m/>
    <m/>
    <m/>
    <m/>
    <m/>
    <m/>
    <m/>
    <m/>
    <n v="0"/>
    <m/>
    <m/>
    <n v="0"/>
    <n v="0"/>
    <n v="0"/>
    <m/>
    <m/>
    <m/>
    <m/>
    <n v="0"/>
    <m/>
    <m/>
    <n v="0"/>
    <m/>
    <m/>
    <m/>
    <m/>
    <m/>
    <m/>
    <n v="0"/>
    <n v="0"/>
  </r>
  <r>
    <x v="6"/>
    <x v="5"/>
    <s v="Agriculture Center"/>
    <m/>
    <n v="160621"/>
    <x v="2"/>
    <m/>
    <m/>
    <n v="4431776"/>
    <n v="4317454"/>
    <m/>
    <m/>
    <m/>
    <m/>
    <n v="0"/>
    <m/>
    <m/>
    <n v="0"/>
    <n v="4431776"/>
    <n v="4317454"/>
    <m/>
    <m/>
    <m/>
    <m/>
    <n v="0"/>
    <m/>
    <m/>
    <n v="0"/>
    <m/>
    <m/>
    <m/>
    <m/>
    <m/>
    <m/>
    <n v="4431776"/>
    <n v="4317454"/>
  </r>
  <r>
    <x v="6"/>
    <x v="0"/>
    <s v="University of Louisiana at Monroe"/>
    <m/>
    <n v="159993"/>
    <x v="2"/>
    <n v="35779202"/>
    <n v="30975353"/>
    <m/>
    <m/>
    <m/>
    <m/>
    <n v="37104070"/>
    <m/>
    <n v="37104070"/>
    <n v="40249575"/>
    <m/>
    <n v="40249575"/>
    <n v="72883272"/>
    <n v="71224928"/>
    <m/>
    <m/>
    <m/>
    <m/>
    <n v="0"/>
    <m/>
    <m/>
    <n v="0"/>
    <m/>
    <m/>
    <m/>
    <m/>
    <m/>
    <m/>
    <n v="72883272"/>
    <n v="71224928"/>
  </r>
  <r>
    <x v="6"/>
    <x v="0"/>
    <s v="Grambling State University"/>
    <m/>
    <n v="159009"/>
    <x v="3"/>
    <n v="18582118"/>
    <n v="16116486"/>
    <m/>
    <m/>
    <m/>
    <m/>
    <n v="31921420"/>
    <m/>
    <n v="31921420"/>
    <n v="35027884"/>
    <m/>
    <n v="35027884"/>
    <n v="50503538"/>
    <n v="51144370"/>
    <m/>
    <m/>
    <m/>
    <m/>
    <n v="0"/>
    <m/>
    <m/>
    <n v="0"/>
    <m/>
    <m/>
    <m/>
    <m/>
    <m/>
    <m/>
    <n v="50503538"/>
    <n v="51144370"/>
  </r>
  <r>
    <x v="6"/>
    <x v="0"/>
    <s v="Louisiana State University in Shreveport"/>
    <m/>
    <n v="159416"/>
    <x v="3"/>
    <n v="11543915"/>
    <n v="9997854"/>
    <m/>
    <m/>
    <m/>
    <m/>
    <n v="17218640"/>
    <m/>
    <n v="17218640"/>
    <n v="18492357"/>
    <m/>
    <n v="18492357"/>
    <n v="28762555"/>
    <n v="28490211"/>
    <m/>
    <m/>
    <m/>
    <m/>
    <n v="0"/>
    <m/>
    <m/>
    <n v="0"/>
    <m/>
    <m/>
    <m/>
    <m/>
    <m/>
    <m/>
    <n v="28762555"/>
    <n v="28490211"/>
  </r>
  <r>
    <x v="6"/>
    <x v="0"/>
    <s v="McNeese State University"/>
    <m/>
    <n v="159717"/>
    <x v="3"/>
    <n v="27415320"/>
    <n v="23142671"/>
    <m/>
    <m/>
    <m/>
    <m/>
    <n v="32100358"/>
    <m/>
    <n v="32100358"/>
    <n v="35670828"/>
    <m/>
    <n v="35670828"/>
    <n v="59515678"/>
    <n v="58813499"/>
    <m/>
    <m/>
    <m/>
    <m/>
    <n v="0"/>
    <m/>
    <m/>
    <n v="0"/>
    <m/>
    <m/>
    <m/>
    <m/>
    <m/>
    <m/>
    <n v="59515678"/>
    <n v="58813499"/>
  </r>
  <r>
    <x v="6"/>
    <x v="0"/>
    <s v="Nicholls State University "/>
    <m/>
    <n v="159966"/>
    <x v="3"/>
    <n v="22278977"/>
    <n v="18346022"/>
    <m/>
    <m/>
    <m/>
    <m/>
    <n v="28239067"/>
    <m/>
    <n v="28239067"/>
    <n v="30237559"/>
    <m/>
    <n v="30237559"/>
    <n v="50518044"/>
    <n v="48583581"/>
    <m/>
    <m/>
    <m/>
    <m/>
    <n v="0"/>
    <m/>
    <m/>
    <n v="0"/>
    <m/>
    <m/>
    <m/>
    <m/>
    <m/>
    <m/>
    <n v="50518044"/>
    <n v="48583581"/>
  </r>
  <r>
    <x v="6"/>
    <x v="0"/>
    <s v="Northwestern State University"/>
    <m/>
    <n v="160038"/>
    <x v="3"/>
    <n v="30588290"/>
    <n v="26115237"/>
    <m/>
    <m/>
    <m/>
    <m/>
    <n v="37794693"/>
    <m/>
    <n v="37794693"/>
    <n v="42812195"/>
    <m/>
    <n v="42812195"/>
    <n v="68382983"/>
    <n v="68927432"/>
    <m/>
    <m/>
    <m/>
    <m/>
    <n v="0"/>
    <m/>
    <m/>
    <n v="0"/>
    <m/>
    <m/>
    <m/>
    <m/>
    <m/>
    <m/>
    <n v="68382983"/>
    <n v="68927432"/>
  </r>
  <r>
    <x v="6"/>
    <x v="0"/>
    <s v="Southern University at New Orleans"/>
    <s v="Met the criteria for Four-Year 5 in 2012-13."/>
    <n v="160630"/>
    <x v="3"/>
    <n v="10054498"/>
    <n v="7978298"/>
    <m/>
    <m/>
    <m/>
    <m/>
    <n v="10314922"/>
    <m/>
    <n v="10314922"/>
    <n v="11097420"/>
    <m/>
    <n v="11097420"/>
    <n v="20369420"/>
    <n v="19075718"/>
    <m/>
    <m/>
    <m/>
    <m/>
    <n v="0"/>
    <m/>
    <m/>
    <n v="0"/>
    <m/>
    <m/>
    <m/>
    <m/>
    <m/>
    <m/>
    <n v="20369420"/>
    <n v="19075718"/>
  </r>
  <r>
    <x v="6"/>
    <x v="0"/>
    <s v="Louisiana State University at Alexandria"/>
    <m/>
    <n v="159382"/>
    <x v="5"/>
    <n v="7948705"/>
    <n v="6620415"/>
    <m/>
    <m/>
    <m/>
    <m/>
    <n v="9589911"/>
    <m/>
    <n v="9589911"/>
    <n v="9115459"/>
    <m/>
    <n v="9115459"/>
    <n v="17538616"/>
    <n v="15735874"/>
    <m/>
    <m/>
    <m/>
    <m/>
    <n v="0"/>
    <m/>
    <m/>
    <n v="0"/>
    <m/>
    <m/>
    <m/>
    <m/>
    <m/>
    <m/>
    <n v="17538616"/>
    <n v="15735874"/>
  </r>
  <r>
    <x v="6"/>
    <x v="0"/>
    <s v="Baton Rouge Community College"/>
    <m/>
    <n v="437103"/>
    <x v="6"/>
    <n v="11838421"/>
    <n v="10059999"/>
    <m/>
    <m/>
    <m/>
    <m/>
    <n v="17537871"/>
    <m/>
    <n v="17537871"/>
    <n v="16970214"/>
    <m/>
    <n v="16970214"/>
    <n v="29376292"/>
    <n v="27030213"/>
    <m/>
    <m/>
    <m/>
    <m/>
    <n v="0"/>
    <m/>
    <m/>
    <n v="0"/>
    <m/>
    <m/>
    <m/>
    <m/>
    <m/>
    <m/>
    <n v="29376292"/>
    <n v="27030213"/>
  </r>
  <r>
    <x v="6"/>
    <x v="0"/>
    <s v="Bossier Parish Community College"/>
    <s v="Reclassified: met the criteria for Two-Year 1 in 2010-11, 2011-12, and 2012-13."/>
    <n v="158431"/>
    <x v="6"/>
    <n v="9606380"/>
    <n v="8266984"/>
    <m/>
    <m/>
    <m/>
    <m/>
    <n v="14927976"/>
    <m/>
    <n v="14927976"/>
    <n v="17667305"/>
    <m/>
    <n v="17667305"/>
    <n v="24534356"/>
    <n v="25934289"/>
    <m/>
    <m/>
    <m/>
    <m/>
    <n v="0"/>
    <m/>
    <m/>
    <n v="0"/>
    <m/>
    <m/>
    <m/>
    <m/>
    <m/>
    <m/>
    <n v="24534356"/>
    <n v="25934289"/>
  </r>
  <r>
    <x v="6"/>
    <x v="0"/>
    <s v="Delgado Community College "/>
    <m/>
    <n v="158662"/>
    <x v="6"/>
    <n v="33671299"/>
    <n v="29250135"/>
    <m/>
    <m/>
    <m/>
    <m/>
    <n v="52900000"/>
    <m/>
    <n v="52900000"/>
    <n v="55578415"/>
    <m/>
    <n v="55578415"/>
    <n v="86571299"/>
    <n v="84828550"/>
    <m/>
    <m/>
    <m/>
    <m/>
    <n v="0"/>
    <m/>
    <m/>
    <n v="0"/>
    <m/>
    <m/>
    <m/>
    <m/>
    <m/>
    <m/>
    <n v="86571299"/>
    <n v="84828550"/>
  </r>
  <r>
    <x v="6"/>
    <x v="0"/>
    <s v="Louisiana State University at Eunice"/>
    <m/>
    <n v="159407"/>
    <x v="7"/>
    <n v="5946061"/>
    <n v="3495054"/>
    <m/>
    <m/>
    <m/>
    <m/>
    <n v="6641485"/>
    <m/>
    <n v="6641485"/>
    <n v="7448837"/>
    <m/>
    <n v="7448837"/>
    <n v="12587546"/>
    <n v="10943891"/>
    <m/>
    <m/>
    <m/>
    <m/>
    <n v="0"/>
    <m/>
    <m/>
    <n v="0"/>
    <m/>
    <m/>
    <m/>
    <m/>
    <m/>
    <m/>
    <n v="12587546"/>
    <n v="10943891"/>
  </r>
  <r>
    <x v="6"/>
    <x v="0"/>
    <s v="South Louisiana Community College"/>
    <s v="Met the criteria for Two-Year 1 in 2012-13."/>
    <n v="434061"/>
    <x v="7"/>
    <n v="5348783"/>
    <n v="14431435"/>
    <m/>
    <m/>
    <m/>
    <m/>
    <n v="8757245"/>
    <m/>
    <n v="8757245"/>
    <n v="13555912"/>
    <m/>
    <n v="13555912"/>
    <n v="14106028"/>
    <n v="27987347"/>
    <m/>
    <m/>
    <m/>
    <m/>
    <n v="0"/>
    <m/>
    <m/>
    <n v="0"/>
    <m/>
    <m/>
    <m/>
    <m/>
    <m/>
    <m/>
    <n v="14106028"/>
    <n v="27987347"/>
  </r>
  <r>
    <x v="6"/>
    <x v="0"/>
    <s v="Louisiana Delta Community College"/>
    <s v="Met the criteria for Two-Year 2 in 2011-12 and 2012-13."/>
    <n v="440624"/>
    <x v="8"/>
    <n v="4547172"/>
    <n v="8463049"/>
    <m/>
    <m/>
    <m/>
    <m/>
    <n v="5904085"/>
    <m/>
    <n v="5904085"/>
    <n v="9493432"/>
    <m/>
    <n v="9493432"/>
    <n v="10451257"/>
    <n v="17956481"/>
    <m/>
    <m/>
    <m/>
    <m/>
    <n v="0"/>
    <m/>
    <m/>
    <n v="0"/>
    <m/>
    <m/>
    <m/>
    <m/>
    <m/>
    <m/>
    <n v="10451257"/>
    <n v="17956481"/>
  </r>
  <r>
    <x v="6"/>
    <x v="0"/>
    <s v="Nunez Community College"/>
    <m/>
    <n v="158884"/>
    <x v="8"/>
    <n v="3756296"/>
    <n v="3324945"/>
    <m/>
    <m/>
    <m/>
    <m/>
    <n v="3837798"/>
    <m/>
    <n v="3837798"/>
    <n v="4200581"/>
    <m/>
    <n v="4200581"/>
    <n v="7594094"/>
    <n v="7525526"/>
    <m/>
    <m/>
    <m/>
    <m/>
    <n v="0"/>
    <m/>
    <m/>
    <n v="0"/>
    <m/>
    <m/>
    <m/>
    <m/>
    <m/>
    <m/>
    <n v="7594094"/>
    <n v="7525526"/>
  </r>
  <r>
    <x v="6"/>
    <x v="0"/>
    <s v="River Parishes Community College"/>
    <m/>
    <n v="436304"/>
    <x v="8"/>
    <n v="3388774"/>
    <n v="3292548"/>
    <m/>
    <m/>
    <m/>
    <m/>
    <n v="4750000"/>
    <m/>
    <n v="4750000"/>
    <n v="4885686"/>
    <m/>
    <n v="4885686"/>
    <n v="8138774"/>
    <n v="8178234"/>
    <m/>
    <m/>
    <m/>
    <m/>
    <n v="0"/>
    <m/>
    <m/>
    <n v="0"/>
    <m/>
    <m/>
    <m/>
    <m/>
    <m/>
    <m/>
    <n v="8138774"/>
    <n v="8178234"/>
  </r>
  <r>
    <x v="6"/>
    <x v="0"/>
    <s v="Southern University in Shreveport"/>
    <s v="Met the criteria for Two-Year 2 in 2011-12 and 2012-13."/>
    <n v="160649"/>
    <x v="8"/>
    <n v="6583528"/>
    <n v="5951073"/>
    <m/>
    <m/>
    <m/>
    <m/>
    <n v="6130579"/>
    <m/>
    <n v="6130579"/>
    <n v="6131429"/>
    <m/>
    <n v="6131429"/>
    <n v="12714107"/>
    <n v="12082502"/>
    <m/>
    <m/>
    <m/>
    <m/>
    <n v="0"/>
    <m/>
    <m/>
    <n v="0"/>
    <m/>
    <m/>
    <m/>
    <m/>
    <m/>
    <m/>
    <n v="12714107"/>
    <n v="12082502"/>
  </r>
  <r>
    <x v="6"/>
    <x v="0"/>
    <s v="Acadiana Technical College"/>
    <m/>
    <n v="159443"/>
    <x v="9"/>
    <n v="11814677"/>
    <n v="0"/>
    <m/>
    <m/>
    <m/>
    <m/>
    <n v="4170000"/>
    <m/>
    <n v="4170000"/>
    <n v="0"/>
    <m/>
    <n v="0"/>
    <n v="15984677"/>
    <n v="0"/>
    <m/>
    <m/>
    <m/>
    <m/>
    <n v="0"/>
    <m/>
    <m/>
    <n v="0"/>
    <m/>
    <m/>
    <m/>
    <m/>
    <m/>
    <m/>
    <n v="15984677"/>
    <n v="0"/>
  </r>
  <r>
    <x v="6"/>
    <x v="0"/>
    <s v="Capital Area Technical College"/>
    <m/>
    <n v="158352"/>
    <x v="9"/>
    <n v="7496688"/>
    <n v="6736654"/>
    <m/>
    <m/>
    <m/>
    <m/>
    <n v="1935000"/>
    <m/>
    <n v="1935000"/>
    <n v="2156123"/>
    <m/>
    <n v="2156123"/>
    <n v="9431688"/>
    <n v="8892777"/>
    <m/>
    <m/>
    <m/>
    <m/>
    <n v="0"/>
    <m/>
    <m/>
    <n v="0"/>
    <m/>
    <m/>
    <m/>
    <m/>
    <m/>
    <m/>
    <n v="9431688"/>
    <n v="8892777"/>
  </r>
  <r>
    <x v="6"/>
    <x v="0"/>
    <s v="Central LA Technical College"/>
    <m/>
    <n v="158088"/>
    <x v="9"/>
    <n v="7258581"/>
    <n v="6307926"/>
    <m/>
    <m/>
    <m/>
    <m/>
    <n v="2165000"/>
    <m/>
    <n v="2165000"/>
    <n v="3622581"/>
    <m/>
    <n v="3622581"/>
    <n v="9423581"/>
    <n v="9930507"/>
    <m/>
    <m/>
    <m/>
    <m/>
    <n v="0"/>
    <m/>
    <m/>
    <n v="0"/>
    <m/>
    <m/>
    <m/>
    <m/>
    <m/>
    <m/>
    <n v="9423581"/>
    <n v="9930507"/>
  </r>
  <r>
    <x v="6"/>
    <x v="0"/>
    <s v="L.E. Fletcher Technical Community College"/>
    <m/>
    <n v="160481"/>
    <x v="9"/>
    <n v="3335630"/>
    <n v="2974394"/>
    <m/>
    <m/>
    <m/>
    <m/>
    <n v="4627587"/>
    <m/>
    <n v="4627587"/>
    <n v="5258138"/>
    <m/>
    <n v="5258138"/>
    <n v="7963217"/>
    <n v="8232532"/>
    <m/>
    <m/>
    <m/>
    <m/>
    <n v="0"/>
    <m/>
    <m/>
    <n v="0"/>
    <m/>
    <m/>
    <m/>
    <m/>
    <m/>
    <m/>
    <n v="7963217"/>
    <n v="8232532"/>
  </r>
  <r>
    <x v="6"/>
    <x v="0"/>
    <s v="Northeast Technical College"/>
    <m/>
    <n v="158769"/>
    <x v="9"/>
    <n v="6112219"/>
    <n v="0"/>
    <m/>
    <m/>
    <m/>
    <m/>
    <n v="1955000"/>
    <m/>
    <n v="1955000"/>
    <n v="0"/>
    <m/>
    <n v="0"/>
    <n v="8067219"/>
    <n v="0"/>
    <m/>
    <m/>
    <m/>
    <m/>
    <n v="0"/>
    <m/>
    <m/>
    <n v="0"/>
    <m/>
    <m/>
    <m/>
    <m/>
    <m/>
    <m/>
    <n v="8067219"/>
    <n v="0"/>
  </r>
  <r>
    <x v="6"/>
    <x v="0"/>
    <s v="Northshore Technical College"/>
    <m/>
    <n v="160667"/>
    <x v="9"/>
    <n v="5826771"/>
    <n v="5088336"/>
    <m/>
    <m/>
    <m/>
    <m/>
    <n v="3197478"/>
    <m/>
    <n v="3197478"/>
    <n v="4592135"/>
    <m/>
    <n v="4592135"/>
    <n v="9024249"/>
    <n v="9680471"/>
    <m/>
    <m/>
    <m/>
    <m/>
    <n v="0"/>
    <m/>
    <m/>
    <n v="0"/>
    <m/>
    <m/>
    <m/>
    <m/>
    <m/>
    <m/>
    <n v="9024249"/>
    <n v="9680471"/>
  </r>
  <r>
    <x v="6"/>
    <x v="0"/>
    <s v="Northwest LA Technical College"/>
    <m/>
    <n v="160010"/>
    <x v="9"/>
    <n v="8539743"/>
    <n v="7425604"/>
    <m/>
    <m/>
    <m/>
    <m/>
    <n v="3075000"/>
    <m/>
    <n v="3075000"/>
    <n v="2904576"/>
    <m/>
    <n v="2904576"/>
    <n v="11614743"/>
    <n v="10330180"/>
    <m/>
    <m/>
    <m/>
    <m/>
    <n v="0"/>
    <m/>
    <m/>
    <n v="0"/>
    <m/>
    <m/>
    <m/>
    <m/>
    <m/>
    <m/>
    <n v="11614743"/>
    <n v="10330180"/>
  </r>
  <r>
    <x v="6"/>
    <x v="0"/>
    <s v="South Central LA Technical College"/>
    <m/>
    <n v="160913"/>
    <x v="9"/>
    <n v="5659017"/>
    <n v="5200772"/>
    <m/>
    <m/>
    <m/>
    <m/>
    <n v="3585000"/>
    <m/>
    <n v="3585000"/>
    <n v="3378827"/>
    <m/>
    <n v="3378827"/>
    <n v="9244017"/>
    <n v="8579599"/>
    <m/>
    <m/>
    <m/>
    <m/>
    <n v="0"/>
    <m/>
    <m/>
    <n v="0"/>
    <m/>
    <m/>
    <m/>
    <m/>
    <m/>
    <m/>
    <n v="9244017"/>
    <n v="8579599"/>
  </r>
  <r>
    <x v="6"/>
    <x v="0"/>
    <s v="Sowela Technical Community College"/>
    <m/>
    <n v="160579"/>
    <x v="9"/>
    <n v="6821306"/>
    <n v="6116270"/>
    <m/>
    <m/>
    <m/>
    <m/>
    <n v="4764451"/>
    <m/>
    <n v="4764451"/>
    <n v="5785517"/>
    <m/>
    <n v="5785517"/>
    <n v="11585757"/>
    <n v="11901787"/>
    <m/>
    <m/>
    <m/>
    <m/>
    <n v="0"/>
    <m/>
    <m/>
    <n v="0"/>
    <m/>
    <m/>
    <m/>
    <m/>
    <m/>
    <m/>
    <n v="11585757"/>
    <n v="11901787"/>
  </r>
  <r>
    <x v="6"/>
    <x v="41"/>
    <s v="Louisiana State University Health Sciences Center—New Orleans"/>
    <m/>
    <n v="159373"/>
    <x v="11"/>
    <m/>
    <m/>
    <m/>
    <m/>
    <m/>
    <m/>
    <m/>
    <m/>
    <n v="0"/>
    <m/>
    <m/>
    <n v="0"/>
    <n v="0"/>
    <n v="0"/>
    <m/>
    <m/>
    <m/>
    <m/>
    <n v="0"/>
    <m/>
    <m/>
    <n v="0"/>
    <n v="93188887"/>
    <n v="95248738"/>
    <n v="29473022"/>
    <n v="33672249"/>
    <m/>
    <m/>
    <n v="122661909"/>
    <n v="95248738"/>
  </r>
  <r>
    <x v="6"/>
    <x v="41"/>
    <s v="Louisiana State University Health Sciences Center — Shreveport"/>
    <m/>
    <n v="435000"/>
    <x v="11"/>
    <m/>
    <m/>
    <m/>
    <m/>
    <m/>
    <m/>
    <m/>
    <m/>
    <n v="0"/>
    <m/>
    <m/>
    <n v="0"/>
    <n v="0"/>
    <n v="0"/>
    <m/>
    <m/>
    <m/>
    <m/>
    <n v="0"/>
    <m/>
    <m/>
    <n v="0"/>
    <n v="55938149"/>
    <n v="60728817"/>
    <n v="9521137"/>
    <n v="11972191"/>
    <m/>
    <m/>
    <n v="65459286"/>
    <n v="60728817"/>
  </r>
  <r>
    <x v="6"/>
    <x v="10"/>
    <s v="Statewide Special-Purpose Units"/>
    <m/>
    <m/>
    <x v="12"/>
    <m/>
    <m/>
    <m/>
    <m/>
    <m/>
    <m/>
    <m/>
    <m/>
    <n v="0"/>
    <m/>
    <m/>
    <n v="0"/>
    <n v="0"/>
    <n v="0"/>
    <m/>
    <m/>
    <m/>
    <m/>
    <n v="0"/>
    <m/>
    <m/>
    <n v="0"/>
    <m/>
    <m/>
    <m/>
    <m/>
    <m/>
    <m/>
    <n v="0"/>
    <n v="0"/>
  </r>
  <r>
    <x v="6"/>
    <x v="42"/>
    <s v="Community or public service units"/>
    <m/>
    <m/>
    <x v="12"/>
    <m/>
    <m/>
    <m/>
    <m/>
    <m/>
    <m/>
    <m/>
    <m/>
    <n v="0"/>
    <m/>
    <m/>
    <n v="0"/>
    <n v="0"/>
    <n v="0"/>
    <m/>
    <m/>
    <m/>
    <m/>
    <n v="0"/>
    <m/>
    <m/>
    <n v="0"/>
    <m/>
    <m/>
    <m/>
    <m/>
    <m/>
    <m/>
    <n v="0"/>
    <n v="0"/>
  </r>
  <r>
    <x v="6"/>
    <x v="42"/>
    <s v="Center for Innovative Teaching and Learning (CITAL)"/>
    <m/>
    <m/>
    <x v="12"/>
    <m/>
    <m/>
    <n v="574431"/>
    <n v="311466"/>
    <m/>
    <m/>
    <m/>
    <m/>
    <n v="0"/>
    <m/>
    <m/>
    <n v="0"/>
    <n v="574431"/>
    <n v="311466"/>
    <m/>
    <m/>
    <m/>
    <m/>
    <n v="0"/>
    <m/>
    <m/>
    <n v="0"/>
    <m/>
    <m/>
    <m/>
    <m/>
    <m/>
    <m/>
    <n v="574431"/>
    <n v="311466"/>
  </r>
  <r>
    <x v="6"/>
    <x v="11"/>
    <s v="LA Universities' Marine Consortium"/>
    <m/>
    <m/>
    <x v="12"/>
    <m/>
    <m/>
    <n v="2518002"/>
    <n v="2439647"/>
    <m/>
    <m/>
    <m/>
    <m/>
    <n v="0"/>
    <m/>
    <m/>
    <n v="0"/>
    <n v="2518002"/>
    <n v="2439647"/>
    <m/>
    <m/>
    <m/>
    <m/>
    <n v="0"/>
    <m/>
    <m/>
    <n v="0"/>
    <m/>
    <m/>
    <m/>
    <m/>
    <m/>
    <m/>
    <n v="2518002"/>
    <n v="2439647"/>
  </r>
  <r>
    <x v="6"/>
    <x v="11"/>
    <s v="Pennington Biomedical Research Center"/>
    <m/>
    <m/>
    <x v="12"/>
    <m/>
    <m/>
    <n v="13085602"/>
    <n v="12454062"/>
    <m/>
    <m/>
    <m/>
    <m/>
    <n v="0"/>
    <m/>
    <m/>
    <n v="0"/>
    <n v="13085602"/>
    <n v="12454062"/>
    <m/>
    <m/>
    <m/>
    <m/>
    <n v="0"/>
    <m/>
    <m/>
    <n v="0"/>
    <m/>
    <m/>
    <m/>
    <m/>
    <m/>
    <m/>
    <n v="13085602"/>
    <n v="12454062"/>
  </r>
  <r>
    <x v="6"/>
    <x v="13"/>
    <s v="Education special purpose funds — all other"/>
    <m/>
    <m/>
    <x v="12"/>
    <m/>
    <m/>
    <m/>
    <m/>
    <m/>
    <m/>
    <m/>
    <m/>
    <n v="0"/>
    <m/>
    <m/>
    <n v="0"/>
    <n v="0"/>
    <n v="0"/>
    <m/>
    <m/>
    <m/>
    <m/>
    <n v="0"/>
    <m/>
    <m/>
    <n v="0"/>
    <m/>
    <m/>
    <m/>
    <m/>
    <m/>
    <m/>
    <n v="0"/>
    <n v="0"/>
  </r>
  <r>
    <x v="6"/>
    <x v="13"/>
    <s v="Health Care WorkForce"/>
    <m/>
    <m/>
    <x v="12"/>
    <m/>
    <m/>
    <n v="2050235"/>
    <n v="1487676"/>
    <m/>
    <m/>
    <m/>
    <m/>
    <n v="0"/>
    <m/>
    <m/>
    <n v="0"/>
    <n v="2050235"/>
    <n v="1487676"/>
    <m/>
    <m/>
    <m/>
    <m/>
    <n v="0"/>
    <m/>
    <m/>
    <n v="0"/>
    <m/>
    <m/>
    <m/>
    <m/>
    <m/>
    <m/>
    <n v="2050235"/>
    <n v="1487676"/>
  </r>
  <r>
    <x v="6"/>
    <x v="13"/>
    <s v="Distance learning"/>
    <m/>
    <m/>
    <x v="12"/>
    <m/>
    <m/>
    <n v="470000"/>
    <n v="354000"/>
    <m/>
    <m/>
    <m/>
    <m/>
    <n v="0"/>
    <m/>
    <m/>
    <n v="0"/>
    <n v="470000"/>
    <n v="354000"/>
    <m/>
    <m/>
    <m/>
    <m/>
    <n v="0"/>
    <m/>
    <m/>
    <n v="0"/>
    <m/>
    <m/>
    <m/>
    <m/>
    <m/>
    <m/>
    <n v="470000"/>
    <n v="354000"/>
  </r>
  <r>
    <x v="6"/>
    <x v="13"/>
    <s v="LA Online Library Network (LOUIS)"/>
    <m/>
    <m/>
    <x v="12"/>
    <m/>
    <m/>
    <n v="1000000"/>
    <n v="500000"/>
    <m/>
    <m/>
    <m/>
    <m/>
    <n v="0"/>
    <m/>
    <m/>
    <n v="0"/>
    <n v="1000000"/>
    <n v="500000"/>
    <m/>
    <m/>
    <m/>
    <m/>
    <n v="0"/>
    <m/>
    <m/>
    <n v="0"/>
    <m/>
    <m/>
    <m/>
    <m/>
    <m/>
    <m/>
    <n v="1000000"/>
    <n v="500000"/>
  </r>
  <r>
    <x v="6"/>
    <x v="13"/>
    <s v="LA Endowment for the Humanities"/>
    <m/>
    <m/>
    <x v="12"/>
    <m/>
    <m/>
    <n v="500000"/>
    <n v="0"/>
    <m/>
    <m/>
    <m/>
    <m/>
    <n v="0"/>
    <m/>
    <m/>
    <n v="0"/>
    <n v="500000"/>
    <n v="0"/>
    <m/>
    <m/>
    <m/>
    <m/>
    <n v="0"/>
    <m/>
    <m/>
    <n v="0"/>
    <m/>
    <m/>
    <m/>
    <m/>
    <m/>
    <m/>
    <n v="500000"/>
    <n v="0"/>
  </r>
  <r>
    <x v="6"/>
    <x v="13"/>
    <s v="Endowed Chairs/Professorships"/>
    <m/>
    <m/>
    <x v="12"/>
    <m/>
    <m/>
    <n v="4780000"/>
    <n v="3200000"/>
    <m/>
    <m/>
    <m/>
    <m/>
    <n v="0"/>
    <m/>
    <m/>
    <n v="0"/>
    <n v="4780000"/>
    <n v="3200000"/>
    <m/>
    <m/>
    <m/>
    <m/>
    <n v="0"/>
    <m/>
    <m/>
    <n v="0"/>
    <m/>
    <m/>
    <m/>
    <m/>
    <m/>
    <m/>
    <n v="4780000"/>
    <n v="3200000"/>
  </r>
  <r>
    <x v="6"/>
    <x v="13"/>
    <s v="Endowed Scholarships"/>
    <m/>
    <m/>
    <x v="12"/>
    <m/>
    <m/>
    <n v="1000000"/>
    <n v="1000000"/>
    <m/>
    <m/>
    <m/>
    <m/>
    <n v="0"/>
    <m/>
    <m/>
    <n v="0"/>
    <n v="1000000"/>
    <n v="1000000"/>
    <m/>
    <m/>
    <m/>
    <m/>
    <n v="0"/>
    <m/>
    <m/>
    <n v="0"/>
    <m/>
    <m/>
    <m/>
    <m/>
    <m/>
    <m/>
    <n v="1000000"/>
    <n v="1000000"/>
  </r>
  <r>
    <x v="6"/>
    <x v="13"/>
    <s v="LONI"/>
    <m/>
    <m/>
    <x v="12"/>
    <m/>
    <m/>
    <n v="4145068"/>
    <n v="3740434"/>
    <m/>
    <m/>
    <m/>
    <m/>
    <n v="0"/>
    <m/>
    <m/>
    <n v="0"/>
    <n v="4145068"/>
    <n v="3740434"/>
    <m/>
    <m/>
    <m/>
    <m/>
    <n v="0"/>
    <m/>
    <m/>
    <n v="0"/>
    <m/>
    <m/>
    <m/>
    <m/>
    <m/>
    <m/>
    <n v="4145068"/>
    <n v="3740434"/>
  </r>
  <r>
    <x v="6"/>
    <x v="13"/>
    <s v="Other Initiatives"/>
    <m/>
    <m/>
    <x v="12"/>
    <m/>
    <m/>
    <n v="318656"/>
    <n v="100000"/>
    <m/>
    <m/>
    <m/>
    <m/>
    <n v="0"/>
    <m/>
    <m/>
    <n v="0"/>
    <n v="318656"/>
    <n v="100000"/>
    <m/>
    <m/>
    <m/>
    <m/>
    <n v="0"/>
    <m/>
    <m/>
    <n v="0"/>
    <m/>
    <m/>
    <m/>
    <m/>
    <m/>
    <m/>
    <n v="318656"/>
    <n v="100000"/>
  </r>
  <r>
    <x v="6"/>
    <x v="13"/>
    <s v="Adult Education"/>
    <m/>
    <m/>
    <x v="12"/>
    <m/>
    <m/>
    <n v="350000"/>
    <n v="350000"/>
    <m/>
    <m/>
    <m/>
    <m/>
    <n v="0"/>
    <m/>
    <m/>
    <n v="0"/>
    <n v="350000"/>
    <n v="350000"/>
    <m/>
    <m/>
    <m/>
    <m/>
    <n v="0"/>
    <m/>
    <m/>
    <n v="0"/>
    <m/>
    <m/>
    <m/>
    <m/>
    <m/>
    <m/>
    <n v="350000"/>
    <n v="350000"/>
  </r>
  <r>
    <x v="6"/>
    <x v="14"/>
    <s v="Statewide System Operations"/>
    <m/>
    <m/>
    <x v="12"/>
    <m/>
    <m/>
    <m/>
    <m/>
    <m/>
    <m/>
    <m/>
    <m/>
    <n v="0"/>
    <m/>
    <m/>
    <n v="0"/>
    <n v="0"/>
    <n v="0"/>
    <m/>
    <m/>
    <m/>
    <m/>
    <n v="0"/>
    <m/>
    <m/>
    <n v="0"/>
    <m/>
    <m/>
    <m/>
    <m/>
    <m/>
    <m/>
    <n v="0"/>
    <n v="0"/>
  </r>
  <r>
    <x v="6"/>
    <x v="15"/>
    <s v="Colleges and universities"/>
    <m/>
    <m/>
    <x v="12"/>
    <m/>
    <m/>
    <m/>
    <m/>
    <m/>
    <m/>
    <m/>
    <m/>
    <n v="0"/>
    <m/>
    <m/>
    <n v="0"/>
    <n v="0"/>
    <n v="0"/>
    <m/>
    <m/>
    <m/>
    <m/>
    <n v="0"/>
    <m/>
    <m/>
    <n v="0"/>
    <m/>
    <m/>
    <m/>
    <m/>
    <m/>
    <m/>
    <n v="0"/>
    <n v="0"/>
  </r>
  <r>
    <x v="6"/>
    <x v="15"/>
    <s v="Board of Regents"/>
    <m/>
    <m/>
    <x v="12"/>
    <m/>
    <m/>
    <m/>
    <m/>
    <m/>
    <m/>
    <m/>
    <m/>
    <n v="0"/>
    <m/>
    <m/>
    <n v="0"/>
    <n v="0"/>
    <n v="0"/>
    <n v="7121699"/>
    <n v="6428372"/>
    <m/>
    <m/>
    <n v="0"/>
    <m/>
    <m/>
    <n v="0"/>
    <m/>
    <m/>
    <m/>
    <m/>
    <m/>
    <m/>
    <n v="7121699"/>
    <n v="6428372"/>
  </r>
  <r>
    <x v="6"/>
    <x v="15"/>
    <s v="Southern University System Office"/>
    <m/>
    <m/>
    <x v="12"/>
    <m/>
    <m/>
    <m/>
    <m/>
    <m/>
    <m/>
    <m/>
    <m/>
    <n v="0"/>
    <m/>
    <m/>
    <n v="0"/>
    <n v="0"/>
    <n v="0"/>
    <n v="2251267"/>
    <n v="2421547"/>
    <m/>
    <m/>
    <n v="0"/>
    <m/>
    <m/>
    <n v="0"/>
    <m/>
    <m/>
    <m/>
    <m/>
    <m/>
    <m/>
    <n v="2251267"/>
    <n v="2421547"/>
  </r>
  <r>
    <x v="6"/>
    <x v="15"/>
    <s v="LA State University System Office"/>
    <m/>
    <m/>
    <x v="12"/>
    <m/>
    <m/>
    <m/>
    <m/>
    <m/>
    <m/>
    <m/>
    <m/>
    <n v="0"/>
    <m/>
    <m/>
    <n v="0"/>
    <n v="0"/>
    <n v="0"/>
    <n v="3990206"/>
    <n v="3495054"/>
    <m/>
    <m/>
    <n v="0"/>
    <m/>
    <m/>
    <n v="0"/>
    <m/>
    <m/>
    <m/>
    <m/>
    <m/>
    <m/>
    <n v="3990206"/>
    <n v="3495054"/>
  </r>
  <r>
    <x v="6"/>
    <x v="15"/>
    <s v="Univ. of LA System Office"/>
    <m/>
    <m/>
    <x v="12"/>
    <m/>
    <m/>
    <m/>
    <m/>
    <m/>
    <m/>
    <m/>
    <m/>
    <n v="0"/>
    <m/>
    <m/>
    <n v="0"/>
    <n v="0"/>
    <n v="0"/>
    <n v="1523297"/>
    <n v="1034112"/>
    <m/>
    <m/>
    <n v="0"/>
    <m/>
    <m/>
    <n v="0"/>
    <m/>
    <m/>
    <m/>
    <m/>
    <m/>
    <m/>
    <n v="1523297"/>
    <n v="1034112"/>
  </r>
  <r>
    <x v="6"/>
    <x v="16"/>
    <s v="Two-year system(s), if any"/>
    <m/>
    <m/>
    <x v="12"/>
    <m/>
    <m/>
    <m/>
    <m/>
    <m/>
    <m/>
    <m/>
    <m/>
    <n v="0"/>
    <m/>
    <m/>
    <n v="0"/>
    <n v="0"/>
    <n v="0"/>
    <m/>
    <m/>
    <m/>
    <m/>
    <n v="0"/>
    <m/>
    <m/>
    <n v="0"/>
    <m/>
    <m/>
    <m/>
    <m/>
    <m/>
    <m/>
    <n v="0"/>
    <n v="0"/>
  </r>
  <r>
    <x v="6"/>
    <x v="16"/>
    <s v="LA Community and Technical College System Office"/>
    <m/>
    <m/>
    <x v="12"/>
    <m/>
    <m/>
    <m/>
    <m/>
    <m/>
    <m/>
    <m/>
    <m/>
    <n v="0"/>
    <m/>
    <m/>
    <n v="0"/>
    <n v="0"/>
    <n v="0"/>
    <n v="17996128"/>
    <n v="17059701"/>
    <m/>
    <m/>
    <n v="0"/>
    <m/>
    <m/>
    <n v="0"/>
    <m/>
    <m/>
    <m/>
    <m/>
    <m/>
    <m/>
    <n v="17996128"/>
    <n v="17059701"/>
  </r>
  <r>
    <x v="6"/>
    <x v="17"/>
    <s v="National or regional associations, compacts or consortia"/>
    <m/>
    <m/>
    <x v="12"/>
    <m/>
    <m/>
    <m/>
    <m/>
    <m/>
    <m/>
    <m/>
    <m/>
    <n v="0"/>
    <m/>
    <m/>
    <n v="0"/>
    <n v="0"/>
    <n v="0"/>
    <m/>
    <m/>
    <m/>
    <m/>
    <n v="0"/>
    <m/>
    <m/>
    <n v="0"/>
    <m/>
    <m/>
    <m/>
    <m/>
    <m/>
    <m/>
    <n v="0"/>
    <n v="0"/>
  </r>
  <r>
    <x v="6"/>
    <x v="17"/>
    <s v="SREB"/>
    <m/>
    <m/>
    <x v="12"/>
    <m/>
    <m/>
    <m/>
    <m/>
    <m/>
    <m/>
    <m/>
    <m/>
    <n v="0"/>
    <m/>
    <m/>
    <n v="0"/>
    <n v="0"/>
    <n v="0"/>
    <m/>
    <m/>
    <m/>
    <m/>
    <n v="0"/>
    <m/>
    <m/>
    <n v="0"/>
    <m/>
    <m/>
    <m/>
    <m/>
    <m/>
    <m/>
    <n v="0"/>
    <n v="0"/>
  </r>
  <r>
    <x v="6"/>
    <x v="18"/>
    <s v="Adm. of Statewide Student Aid Progs. (incldng centralized guaranteed student loans)"/>
    <m/>
    <m/>
    <x v="12"/>
    <m/>
    <m/>
    <m/>
    <m/>
    <m/>
    <m/>
    <m/>
    <m/>
    <n v="0"/>
    <m/>
    <m/>
    <n v="0"/>
    <n v="0"/>
    <n v="0"/>
    <m/>
    <m/>
    <m/>
    <m/>
    <n v="0"/>
    <m/>
    <m/>
    <n v="0"/>
    <m/>
    <m/>
    <m/>
    <m/>
    <m/>
    <m/>
    <n v="0"/>
    <n v="0"/>
  </r>
  <r>
    <x v="6"/>
    <x v="18"/>
    <s v="Louisiana Office of Student Financial Aid (LOSFA)"/>
    <m/>
    <m/>
    <x v="12"/>
    <m/>
    <m/>
    <m/>
    <m/>
    <m/>
    <m/>
    <m/>
    <m/>
    <n v="0"/>
    <m/>
    <m/>
    <n v="0"/>
    <n v="0"/>
    <n v="0"/>
    <n v="1992223"/>
    <n v="2228864"/>
    <m/>
    <m/>
    <n v="0"/>
    <m/>
    <m/>
    <n v="0"/>
    <m/>
    <m/>
    <m/>
    <m/>
    <m/>
    <m/>
    <n v="1992223"/>
    <n v="2228864"/>
  </r>
  <r>
    <x v="6"/>
    <x v="19"/>
    <s v="State Support to Private Colleges Other Than Student Aid (ATI)"/>
    <m/>
    <m/>
    <x v="12"/>
    <m/>
    <m/>
    <m/>
    <m/>
    <m/>
    <m/>
    <m/>
    <m/>
    <n v="0"/>
    <m/>
    <m/>
    <n v="0"/>
    <n v="0"/>
    <n v="0"/>
    <m/>
    <m/>
    <m/>
    <m/>
    <n v="0"/>
    <m/>
    <m/>
    <n v="0"/>
    <m/>
    <m/>
    <m/>
    <m/>
    <m/>
    <m/>
    <n v="0"/>
    <n v="0"/>
  </r>
  <r>
    <x v="6"/>
    <x v="20"/>
    <s v="Contract Education Programs"/>
    <m/>
    <m/>
    <x v="12"/>
    <m/>
    <m/>
    <m/>
    <m/>
    <m/>
    <m/>
    <m/>
    <m/>
    <n v="0"/>
    <m/>
    <m/>
    <n v="0"/>
    <n v="0"/>
    <n v="0"/>
    <m/>
    <m/>
    <m/>
    <m/>
    <n v="0"/>
    <m/>
    <m/>
    <n v="0"/>
    <m/>
    <m/>
    <m/>
    <m/>
    <m/>
    <m/>
    <n v="0"/>
    <n v="0"/>
  </r>
  <r>
    <x v="6"/>
    <x v="21"/>
    <s v="SREB contract program with private colleges"/>
    <m/>
    <m/>
    <x v="12"/>
    <m/>
    <m/>
    <m/>
    <m/>
    <m/>
    <m/>
    <m/>
    <m/>
    <n v="0"/>
    <m/>
    <m/>
    <n v="0"/>
    <n v="0"/>
    <n v="0"/>
    <m/>
    <m/>
    <m/>
    <m/>
    <n v="0"/>
    <m/>
    <m/>
    <n v="0"/>
    <m/>
    <m/>
    <m/>
    <m/>
    <m/>
    <m/>
    <n v="0"/>
    <n v="0"/>
  </r>
  <r>
    <x v="6"/>
    <x v="22"/>
    <s v="SREB contract program with public colleges"/>
    <m/>
    <m/>
    <x v="12"/>
    <m/>
    <m/>
    <m/>
    <m/>
    <m/>
    <m/>
    <m/>
    <m/>
    <n v="0"/>
    <m/>
    <m/>
    <n v="0"/>
    <n v="0"/>
    <n v="0"/>
    <n v="385400"/>
    <n v="380000"/>
    <m/>
    <m/>
    <n v="0"/>
    <m/>
    <m/>
    <n v="0"/>
    <m/>
    <m/>
    <m/>
    <m/>
    <m/>
    <m/>
    <n v="385400"/>
    <n v="380000"/>
  </r>
  <r>
    <x v="6"/>
    <x v="23"/>
    <s v="Other contract education programs"/>
    <m/>
    <m/>
    <x v="12"/>
    <m/>
    <m/>
    <m/>
    <m/>
    <m/>
    <m/>
    <m/>
    <m/>
    <n v="0"/>
    <m/>
    <m/>
    <n v="0"/>
    <n v="0"/>
    <n v="0"/>
    <m/>
    <m/>
    <m/>
    <m/>
    <n v="0"/>
    <m/>
    <m/>
    <n v="0"/>
    <m/>
    <m/>
    <m/>
    <m/>
    <m/>
    <m/>
    <n v="0"/>
    <n v="0"/>
  </r>
  <r>
    <x v="6"/>
    <x v="24"/>
    <s v="Statewide Student Financial Aid Programs Administered Off Campus"/>
    <m/>
    <m/>
    <x v="12"/>
    <m/>
    <m/>
    <m/>
    <m/>
    <m/>
    <m/>
    <m/>
    <m/>
    <n v="0"/>
    <m/>
    <m/>
    <n v="0"/>
    <n v="0"/>
    <n v="0"/>
    <m/>
    <m/>
    <m/>
    <m/>
    <n v="0"/>
    <m/>
    <m/>
    <n v="0"/>
    <m/>
    <m/>
    <m/>
    <m/>
    <m/>
    <m/>
    <n v="0"/>
    <n v="0"/>
  </r>
  <r>
    <x v="6"/>
    <x v="25"/>
    <s v="Available to public &amp; private sector students"/>
    <m/>
    <m/>
    <x v="12"/>
    <m/>
    <m/>
    <m/>
    <m/>
    <m/>
    <m/>
    <m/>
    <m/>
    <n v="0"/>
    <m/>
    <m/>
    <n v="0"/>
    <n v="0"/>
    <n v="0"/>
    <m/>
    <m/>
    <m/>
    <m/>
    <n v="0"/>
    <m/>
    <m/>
    <n v="0"/>
    <m/>
    <m/>
    <m/>
    <m/>
    <m/>
    <m/>
    <n v="0"/>
    <n v="0"/>
  </r>
  <r>
    <x v="6"/>
    <x v="25"/>
    <s v="TOPS,GO GRANT, LEAP"/>
    <m/>
    <m/>
    <x v="12"/>
    <m/>
    <m/>
    <m/>
    <m/>
    <m/>
    <m/>
    <m/>
    <m/>
    <n v="0"/>
    <m/>
    <m/>
    <n v="0"/>
    <n v="0"/>
    <n v="0"/>
    <m/>
    <m/>
    <m/>
    <m/>
    <n v="0"/>
    <m/>
    <m/>
    <n v="0"/>
    <m/>
    <m/>
    <m/>
    <m/>
    <m/>
    <m/>
    <n v="0"/>
    <n v="0"/>
  </r>
  <r>
    <x v="6"/>
    <x v="28"/>
    <s v="Amount to public sector students"/>
    <m/>
    <m/>
    <x v="12"/>
    <m/>
    <m/>
    <m/>
    <m/>
    <m/>
    <m/>
    <m/>
    <m/>
    <n v="0"/>
    <m/>
    <m/>
    <n v="0"/>
    <n v="0"/>
    <n v="0"/>
    <m/>
    <m/>
    <m/>
    <m/>
    <n v="0"/>
    <m/>
    <m/>
    <n v="0"/>
    <m/>
    <m/>
    <m/>
    <m/>
    <m/>
    <m/>
    <n v="0"/>
    <n v="0"/>
  </r>
  <r>
    <x v="6"/>
    <x v="29"/>
    <s v="Need-based"/>
    <m/>
    <m/>
    <x v="12"/>
    <m/>
    <m/>
    <m/>
    <m/>
    <m/>
    <m/>
    <m/>
    <m/>
    <n v="0"/>
    <m/>
    <m/>
    <n v="0"/>
    <n v="0"/>
    <n v="0"/>
    <n v="24469763"/>
    <n v="23823140"/>
    <m/>
    <m/>
    <n v="0"/>
    <m/>
    <m/>
    <n v="0"/>
    <m/>
    <m/>
    <m/>
    <m/>
    <m/>
    <m/>
    <n v="24469763"/>
    <n v="23823140"/>
  </r>
  <r>
    <x v="6"/>
    <x v="30"/>
    <s v="Non need-based"/>
    <m/>
    <m/>
    <x v="12"/>
    <m/>
    <m/>
    <m/>
    <m/>
    <m/>
    <m/>
    <m/>
    <m/>
    <n v="0"/>
    <m/>
    <m/>
    <n v="0"/>
    <n v="0"/>
    <n v="0"/>
    <n v="151778574"/>
    <n v="176903369"/>
    <m/>
    <m/>
    <n v="0"/>
    <m/>
    <m/>
    <n v="0"/>
    <m/>
    <m/>
    <m/>
    <m/>
    <m/>
    <m/>
    <n v="151778574"/>
    <n v="176903369"/>
  </r>
  <r>
    <x v="6"/>
    <x v="31"/>
    <s v="Amount to private sector students"/>
    <m/>
    <m/>
    <x v="12"/>
    <m/>
    <m/>
    <m/>
    <m/>
    <m/>
    <m/>
    <m/>
    <m/>
    <n v="0"/>
    <m/>
    <m/>
    <n v="0"/>
    <n v="0"/>
    <n v="0"/>
    <m/>
    <m/>
    <m/>
    <m/>
    <n v="0"/>
    <m/>
    <m/>
    <n v="0"/>
    <m/>
    <m/>
    <m/>
    <m/>
    <m/>
    <m/>
    <n v="0"/>
    <n v="0"/>
  </r>
  <r>
    <x v="6"/>
    <x v="32"/>
    <s v="Need-based"/>
    <m/>
    <m/>
    <x v="12"/>
    <m/>
    <m/>
    <m/>
    <m/>
    <m/>
    <m/>
    <m/>
    <m/>
    <n v="0"/>
    <m/>
    <m/>
    <n v="0"/>
    <n v="0"/>
    <n v="0"/>
    <n v="2510599"/>
    <n v="2340677"/>
    <m/>
    <m/>
    <n v="0"/>
    <m/>
    <m/>
    <n v="0"/>
    <m/>
    <m/>
    <m/>
    <m/>
    <m/>
    <m/>
    <n v="2510599"/>
    <n v="2340677"/>
  </r>
  <r>
    <x v="6"/>
    <x v="33"/>
    <s v="Non need-based"/>
    <m/>
    <m/>
    <x v="12"/>
    <m/>
    <m/>
    <m/>
    <m/>
    <m/>
    <m/>
    <m/>
    <m/>
    <n v="0"/>
    <m/>
    <m/>
    <n v="0"/>
    <n v="0"/>
    <n v="0"/>
    <n v="12970269"/>
    <n v="14121895"/>
    <m/>
    <m/>
    <n v="0"/>
    <m/>
    <m/>
    <n v="0"/>
    <m/>
    <m/>
    <m/>
    <m/>
    <m/>
    <m/>
    <n v="12970269"/>
    <n v="14121895"/>
  </r>
  <r>
    <x v="6"/>
    <x v="34"/>
    <s v="Limited to public college students only"/>
    <m/>
    <m/>
    <x v="12"/>
    <m/>
    <m/>
    <m/>
    <m/>
    <m/>
    <m/>
    <m/>
    <m/>
    <n v="0"/>
    <m/>
    <m/>
    <n v="0"/>
    <n v="0"/>
    <n v="0"/>
    <m/>
    <m/>
    <m/>
    <m/>
    <n v="0"/>
    <m/>
    <m/>
    <n v="0"/>
    <m/>
    <m/>
    <m/>
    <m/>
    <m/>
    <m/>
    <n v="0"/>
    <n v="0"/>
  </r>
  <r>
    <x v="6"/>
    <x v="34"/>
    <s v="ROCKEFELLER/DUAL ENROLLMENT"/>
    <m/>
    <m/>
    <x v="12"/>
    <m/>
    <m/>
    <m/>
    <m/>
    <m/>
    <m/>
    <m/>
    <m/>
    <n v="0"/>
    <m/>
    <m/>
    <n v="0"/>
    <n v="0"/>
    <n v="0"/>
    <m/>
    <m/>
    <m/>
    <m/>
    <n v="0"/>
    <m/>
    <m/>
    <n v="0"/>
    <m/>
    <m/>
    <m/>
    <m/>
    <m/>
    <m/>
    <n v="0"/>
    <n v="0"/>
  </r>
  <r>
    <x v="6"/>
    <x v="35"/>
    <s v="Need-based"/>
    <m/>
    <m/>
    <x v="12"/>
    <m/>
    <m/>
    <m/>
    <m/>
    <m/>
    <m/>
    <m/>
    <m/>
    <n v="0"/>
    <m/>
    <m/>
    <n v="0"/>
    <n v="0"/>
    <n v="0"/>
    <m/>
    <m/>
    <m/>
    <m/>
    <n v="0"/>
    <m/>
    <m/>
    <n v="0"/>
    <m/>
    <m/>
    <m/>
    <m/>
    <m/>
    <m/>
    <n v="0"/>
    <n v="0"/>
  </r>
  <r>
    <x v="6"/>
    <x v="36"/>
    <s v="Non need-based"/>
    <m/>
    <m/>
    <x v="12"/>
    <m/>
    <m/>
    <m/>
    <m/>
    <m/>
    <m/>
    <m/>
    <m/>
    <n v="0"/>
    <m/>
    <m/>
    <n v="0"/>
    <n v="0"/>
    <n v="0"/>
    <n v="5671000"/>
    <n v="0"/>
    <m/>
    <m/>
    <n v="0"/>
    <m/>
    <m/>
    <n v="0"/>
    <m/>
    <m/>
    <m/>
    <m/>
    <m/>
    <m/>
    <n v="5671000"/>
    <n v="0"/>
  </r>
  <r>
    <x v="6"/>
    <x v="37"/>
    <s v="Limited to private college students only"/>
    <m/>
    <m/>
    <x v="12"/>
    <m/>
    <m/>
    <m/>
    <m/>
    <m/>
    <m/>
    <m/>
    <m/>
    <n v="0"/>
    <m/>
    <m/>
    <n v="0"/>
    <n v="0"/>
    <n v="0"/>
    <m/>
    <m/>
    <m/>
    <m/>
    <n v="0"/>
    <m/>
    <m/>
    <n v="0"/>
    <m/>
    <m/>
    <m/>
    <m/>
    <m/>
    <m/>
    <n v="0"/>
    <n v="0"/>
  </r>
  <r>
    <x v="6"/>
    <x v="38"/>
    <s v="Need-based"/>
    <m/>
    <m/>
    <x v="12"/>
    <m/>
    <m/>
    <m/>
    <m/>
    <m/>
    <m/>
    <m/>
    <m/>
    <n v="0"/>
    <m/>
    <m/>
    <n v="0"/>
    <n v="0"/>
    <n v="0"/>
    <n v="6300"/>
    <n v="0"/>
    <m/>
    <m/>
    <n v="0"/>
    <m/>
    <m/>
    <n v="0"/>
    <m/>
    <m/>
    <m/>
    <m/>
    <m/>
    <m/>
    <n v="6300"/>
    <n v="0"/>
  </r>
  <r>
    <x v="6"/>
    <x v="39"/>
    <s v="Non need-based"/>
    <m/>
    <m/>
    <x v="12"/>
    <m/>
    <m/>
    <m/>
    <m/>
    <m/>
    <m/>
    <m/>
    <m/>
    <n v="0"/>
    <m/>
    <m/>
    <n v="0"/>
    <n v="0"/>
    <n v="0"/>
    <m/>
    <m/>
    <m/>
    <m/>
    <n v="0"/>
    <m/>
    <m/>
    <n v="0"/>
    <m/>
    <m/>
    <m/>
    <m/>
    <m/>
    <m/>
    <n v="0"/>
    <n v="0"/>
  </r>
  <r>
    <x v="7"/>
    <x v="0"/>
    <s v="University of Maryland College Park"/>
    <m/>
    <n v="163286"/>
    <x v="0"/>
    <n v="413391061"/>
    <n v="410197182"/>
    <m/>
    <m/>
    <m/>
    <m/>
    <n v="460070041"/>
    <m/>
    <n v="460070041"/>
    <n v="473762537"/>
    <m/>
    <n v="473762537"/>
    <n v="873461102"/>
    <n v="883959719"/>
    <m/>
    <m/>
    <m/>
    <m/>
    <n v="0"/>
    <m/>
    <m/>
    <n v="0"/>
    <m/>
    <m/>
    <m/>
    <m/>
    <m/>
    <m/>
    <n v="873461102"/>
    <n v="883959719"/>
  </r>
  <r>
    <x v="7"/>
    <x v="4"/>
    <s v="Non-Credit Continuing Education"/>
    <m/>
    <n v="163286"/>
    <x v="0"/>
    <m/>
    <m/>
    <m/>
    <m/>
    <m/>
    <m/>
    <m/>
    <m/>
    <n v="0"/>
    <m/>
    <m/>
    <n v="0"/>
    <n v="0"/>
    <n v="0"/>
    <m/>
    <m/>
    <m/>
    <m/>
    <n v="0"/>
    <m/>
    <m/>
    <n v="0"/>
    <m/>
    <m/>
    <m/>
    <m/>
    <m/>
    <m/>
    <n v="0"/>
    <n v="0"/>
  </r>
  <r>
    <x v="7"/>
    <x v="5"/>
    <s v="Agricultural cooperative extension"/>
    <m/>
    <n v="163286"/>
    <x v="0"/>
    <m/>
    <m/>
    <n v="19400145"/>
    <n v="19443892"/>
    <m/>
    <m/>
    <m/>
    <m/>
    <n v="0"/>
    <m/>
    <m/>
    <n v="0"/>
    <n v="19400145"/>
    <n v="19443892"/>
    <m/>
    <m/>
    <m/>
    <m/>
    <n v="0"/>
    <m/>
    <m/>
    <n v="0"/>
    <m/>
    <m/>
    <m/>
    <m/>
    <m/>
    <m/>
    <n v="19400145"/>
    <n v="19443892"/>
  </r>
  <r>
    <x v="7"/>
    <x v="6"/>
    <s v="Agricultural experiment stations"/>
    <m/>
    <n v="163286"/>
    <x v="0"/>
    <m/>
    <m/>
    <n v="17666584"/>
    <n v="17912363"/>
    <m/>
    <m/>
    <m/>
    <m/>
    <n v="0"/>
    <m/>
    <m/>
    <n v="0"/>
    <n v="17666584"/>
    <n v="17912363"/>
    <m/>
    <m/>
    <m/>
    <m/>
    <n v="0"/>
    <m/>
    <m/>
    <n v="0"/>
    <m/>
    <m/>
    <m/>
    <m/>
    <m/>
    <m/>
    <n v="17666584"/>
    <n v="17912363"/>
  </r>
  <r>
    <x v="7"/>
    <x v="7"/>
    <s v="Research centers/institutes"/>
    <m/>
    <n v="163286"/>
    <x v="0"/>
    <m/>
    <m/>
    <m/>
    <m/>
    <m/>
    <m/>
    <m/>
    <m/>
    <n v="0"/>
    <m/>
    <m/>
    <n v="0"/>
    <n v="0"/>
    <n v="0"/>
    <m/>
    <m/>
    <m/>
    <m/>
    <n v="0"/>
    <m/>
    <m/>
    <n v="0"/>
    <m/>
    <m/>
    <m/>
    <m/>
    <m/>
    <m/>
    <n v="0"/>
    <n v="0"/>
  </r>
  <r>
    <x v="7"/>
    <x v="7"/>
    <s v="Center for Environmental Science"/>
    <m/>
    <n v="163286"/>
    <x v="0"/>
    <m/>
    <m/>
    <n v="19299245"/>
    <n v="19645704"/>
    <m/>
    <m/>
    <m/>
    <m/>
    <n v="0"/>
    <m/>
    <m/>
    <n v="0"/>
    <n v="19299245"/>
    <n v="19645704"/>
    <m/>
    <m/>
    <m/>
    <m/>
    <n v="0"/>
    <m/>
    <m/>
    <n v="0"/>
    <m/>
    <m/>
    <m/>
    <m/>
    <m/>
    <m/>
    <n v="19299245"/>
    <n v="19645704"/>
  </r>
  <r>
    <x v="7"/>
    <x v="0"/>
    <s v="Morgan State University"/>
    <m/>
    <n v="163453"/>
    <x v="1"/>
    <n v="73001828"/>
    <n v="73494626"/>
    <m/>
    <m/>
    <m/>
    <m/>
    <n v="55999907"/>
    <m/>
    <n v="55999907"/>
    <n v="55765780"/>
    <m/>
    <n v="55765780"/>
    <n v="129001735"/>
    <n v="129260406"/>
    <m/>
    <m/>
    <m/>
    <m/>
    <n v="0"/>
    <m/>
    <m/>
    <n v="0"/>
    <m/>
    <m/>
    <m/>
    <m/>
    <m/>
    <m/>
    <n v="129001735"/>
    <n v="129260406"/>
  </r>
  <r>
    <x v="7"/>
    <x v="0"/>
    <s v="University of Maryland, Baltimore County"/>
    <m/>
    <n v="163268"/>
    <x v="1"/>
    <n v="95569552"/>
    <n v="95582802"/>
    <m/>
    <m/>
    <m/>
    <m/>
    <n v="104537595"/>
    <m/>
    <n v="104537595"/>
    <n v="105521183"/>
    <m/>
    <n v="105521183"/>
    <n v="200107147"/>
    <n v="201103985"/>
    <m/>
    <m/>
    <m/>
    <m/>
    <n v="0"/>
    <m/>
    <m/>
    <n v="0"/>
    <m/>
    <m/>
    <m/>
    <m/>
    <m/>
    <m/>
    <n v="200107147"/>
    <n v="201103985"/>
  </r>
  <r>
    <x v="7"/>
    <x v="0"/>
    <s v="Towson University "/>
    <m/>
    <n v="164076"/>
    <x v="2"/>
    <n v="90924480"/>
    <n v="90645750"/>
    <m/>
    <m/>
    <m/>
    <m/>
    <n v="162661691"/>
    <m/>
    <n v="162661691"/>
    <n v="171212937"/>
    <m/>
    <n v="171212937"/>
    <n v="253586171"/>
    <n v="261858687"/>
    <m/>
    <m/>
    <m/>
    <m/>
    <n v="0"/>
    <m/>
    <m/>
    <n v="0"/>
    <m/>
    <m/>
    <m/>
    <m/>
    <m/>
    <m/>
    <n v="253586171"/>
    <n v="261858687"/>
  </r>
  <r>
    <x v="7"/>
    <x v="0"/>
    <s v="Bowie State University "/>
    <m/>
    <n v="162007"/>
    <x v="3"/>
    <n v="35637462"/>
    <n v="35697747"/>
    <m/>
    <m/>
    <m/>
    <m/>
    <n v="32393675"/>
    <m/>
    <n v="32393675"/>
    <n v="33315610"/>
    <m/>
    <n v="33315610"/>
    <n v="68031137"/>
    <n v="69013357"/>
    <m/>
    <m/>
    <m/>
    <m/>
    <n v="0"/>
    <m/>
    <m/>
    <n v="0"/>
    <m/>
    <m/>
    <m/>
    <m/>
    <m/>
    <m/>
    <n v="68031137"/>
    <n v="69013357"/>
  </r>
  <r>
    <x v="7"/>
    <x v="0"/>
    <s v="Frostburg State University "/>
    <m/>
    <n v="162584"/>
    <x v="3"/>
    <n v="33321923"/>
    <n v="33192007"/>
    <m/>
    <m/>
    <m/>
    <m/>
    <n v="32877614"/>
    <m/>
    <n v="32877614"/>
    <n v="33507317"/>
    <m/>
    <n v="33507317"/>
    <n v="66199537"/>
    <n v="66699324"/>
    <m/>
    <m/>
    <m/>
    <m/>
    <n v="0"/>
    <m/>
    <m/>
    <n v="0"/>
    <m/>
    <m/>
    <m/>
    <m/>
    <m/>
    <m/>
    <n v="66199537"/>
    <n v="66699324"/>
  </r>
  <r>
    <x v="7"/>
    <x v="0"/>
    <s v="Salisbury University "/>
    <m/>
    <n v="163851"/>
    <x v="3"/>
    <n v="39596615"/>
    <n v="39474316"/>
    <m/>
    <m/>
    <m/>
    <m/>
    <n v="59735941"/>
    <m/>
    <n v="59735941"/>
    <n v="63138678"/>
    <m/>
    <n v="63138678"/>
    <n v="99332556"/>
    <n v="102612994"/>
    <m/>
    <m/>
    <m/>
    <m/>
    <n v="0"/>
    <m/>
    <m/>
    <n v="0"/>
    <m/>
    <m/>
    <m/>
    <m/>
    <m/>
    <m/>
    <n v="99332556"/>
    <n v="102612994"/>
  </r>
  <r>
    <x v="7"/>
    <x v="0"/>
    <s v="University of Baltimore"/>
    <s v="Met the criteria for Four-Year 3 in 2012-13."/>
    <n v="161873"/>
    <x v="3"/>
    <n v="30321428"/>
    <n v="30041834"/>
    <m/>
    <m/>
    <m/>
    <m/>
    <n v="64084979"/>
    <m/>
    <n v="64084979"/>
    <n v="67234638"/>
    <m/>
    <n v="67234638"/>
    <n v="94406407"/>
    <n v="97276472"/>
    <m/>
    <m/>
    <m/>
    <m/>
    <n v="0"/>
    <m/>
    <m/>
    <n v="0"/>
    <m/>
    <m/>
    <m/>
    <m/>
    <m/>
    <m/>
    <n v="94406407"/>
    <n v="97276472"/>
  </r>
  <r>
    <x v="7"/>
    <x v="0"/>
    <s v="University of Maryland Eastern Shore "/>
    <m/>
    <n v="163338"/>
    <x v="3"/>
    <n v="32112536"/>
    <n v="31978642"/>
    <m/>
    <m/>
    <m/>
    <m/>
    <n v="30532933"/>
    <m/>
    <n v="30532933"/>
    <n v="31855005"/>
    <m/>
    <n v="31855005"/>
    <n v="62645469"/>
    <n v="63833647"/>
    <m/>
    <m/>
    <m/>
    <m/>
    <n v="0"/>
    <m/>
    <m/>
    <n v="0"/>
    <m/>
    <m/>
    <m/>
    <m/>
    <m/>
    <m/>
    <n v="62645469"/>
    <n v="63833647"/>
  </r>
  <r>
    <x v="7"/>
    <x v="0"/>
    <s v="Coppin State University"/>
    <s v="Reclassified: met the criteria for Four-Year 5 in 2010-11, 2011-12, and 2012-13."/>
    <n v="162283"/>
    <x v="4"/>
    <n v="37943492"/>
    <n v="37868454"/>
    <m/>
    <m/>
    <m/>
    <m/>
    <n v="15884694"/>
    <m/>
    <n v="15884694"/>
    <n v="16227546"/>
    <m/>
    <n v="16227546"/>
    <n v="53828186"/>
    <n v="54096000"/>
    <m/>
    <m/>
    <m/>
    <m/>
    <n v="0"/>
    <m/>
    <m/>
    <n v="0"/>
    <m/>
    <m/>
    <m/>
    <m/>
    <m/>
    <m/>
    <n v="53828186"/>
    <n v="54096000"/>
  </r>
  <r>
    <x v="7"/>
    <x v="0"/>
    <s v="Saint Mary's College of Maryland"/>
    <m/>
    <n v="163912"/>
    <x v="5"/>
    <n v="17961643"/>
    <n v="18074321"/>
    <m/>
    <m/>
    <m/>
    <m/>
    <n v="29699912"/>
    <m/>
    <n v="29699912"/>
    <n v="30502480"/>
    <m/>
    <n v="30502480"/>
    <n v="47661555"/>
    <n v="48576801"/>
    <m/>
    <m/>
    <m/>
    <m/>
    <n v="0"/>
    <m/>
    <m/>
    <n v="0"/>
    <m/>
    <m/>
    <m/>
    <m/>
    <m/>
    <m/>
    <n v="47661555"/>
    <n v="48576801"/>
  </r>
  <r>
    <x v="7"/>
    <x v="0"/>
    <s v="Anne Arundel Community College "/>
    <m/>
    <n v="161767"/>
    <x v="6"/>
    <n v="26648864"/>
    <n v="27235329"/>
    <m/>
    <m/>
    <n v="28556400"/>
    <n v="32047700"/>
    <n v="41237429"/>
    <m/>
    <n v="41237429"/>
    <n v="45860000"/>
    <m/>
    <n v="45860000"/>
    <n v="96442693"/>
    <n v="105143029"/>
    <m/>
    <m/>
    <m/>
    <m/>
    <n v="0"/>
    <m/>
    <m/>
    <n v="0"/>
    <m/>
    <m/>
    <m/>
    <m/>
    <m/>
    <m/>
    <n v="96442693"/>
    <n v="105143029"/>
  </r>
  <r>
    <x v="7"/>
    <x v="0"/>
    <s v="College of Southern Maryland"/>
    <m/>
    <n v="162122"/>
    <x v="6"/>
    <n v="10581183"/>
    <n v="10902580"/>
    <m/>
    <m/>
    <n v="16199594"/>
    <n v="16663918"/>
    <n v="28239877"/>
    <m/>
    <n v="28239877"/>
    <n v="29864227"/>
    <m/>
    <n v="29864227"/>
    <n v="55020654"/>
    <n v="57430725"/>
    <m/>
    <m/>
    <m/>
    <m/>
    <n v="0"/>
    <m/>
    <m/>
    <n v="0"/>
    <m/>
    <m/>
    <m/>
    <m/>
    <m/>
    <m/>
    <n v="55020654"/>
    <n v="57430725"/>
  </r>
  <r>
    <x v="7"/>
    <x v="0"/>
    <s v="Community College of Baltimore County"/>
    <m/>
    <n v="434672"/>
    <x v="6"/>
    <n v="33670348"/>
    <n v="34398366"/>
    <m/>
    <m/>
    <n v="38462795"/>
    <n v="38462795"/>
    <n v="81542296"/>
    <m/>
    <n v="81542296"/>
    <n v="85656305"/>
    <m/>
    <n v="85656305"/>
    <n v="153675439"/>
    <n v="158517466"/>
    <m/>
    <m/>
    <m/>
    <m/>
    <n v="0"/>
    <m/>
    <m/>
    <n v="0"/>
    <m/>
    <m/>
    <m/>
    <m/>
    <m/>
    <m/>
    <n v="153675439"/>
    <n v="158517466"/>
  </r>
  <r>
    <x v="7"/>
    <x v="0"/>
    <s v="Howard Community College "/>
    <m/>
    <n v="162779"/>
    <x v="6"/>
    <n v="12290083"/>
    <n v="12584485"/>
    <m/>
    <m/>
    <n v="25951335"/>
    <n v="27093286"/>
    <n v="36142868"/>
    <m/>
    <n v="36142868"/>
    <n v="40434542"/>
    <m/>
    <n v="40434542"/>
    <n v="74384286"/>
    <n v="80112313"/>
    <m/>
    <m/>
    <m/>
    <m/>
    <n v="0"/>
    <m/>
    <m/>
    <n v="0"/>
    <m/>
    <m/>
    <m/>
    <m/>
    <m/>
    <m/>
    <n v="74384286"/>
    <n v="80112313"/>
  </r>
  <r>
    <x v="7"/>
    <x v="0"/>
    <s v="Montgomery College"/>
    <m/>
    <n v="163426"/>
    <x v="6"/>
    <n v="34982472"/>
    <n v="35998553"/>
    <m/>
    <m/>
    <n v="95848755"/>
    <n v="96263605"/>
    <n v="92352650"/>
    <m/>
    <n v="92352650"/>
    <n v="95548152"/>
    <m/>
    <n v="95548152"/>
    <n v="223183877"/>
    <n v="227810310"/>
    <m/>
    <m/>
    <m/>
    <m/>
    <n v="0"/>
    <m/>
    <m/>
    <n v="0"/>
    <m/>
    <m/>
    <m/>
    <m/>
    <m/>
    <m/>
    <n v="223183877"/>
    <n v="227810310"/>
  </r>
  <r>
    <x v="7"/>
    <x v="0"/>
    <s v="Prince George's Community College "/>
    <m/>
    <n v="163657"/>
    <x v="6"/>
    <n v="21484279"/>
    <n v="22013074"/>
    <m/>
    <m/>
    <n v="29245200"/>
    <n v="29545200"/>
    <n v="43332646"/>
    <m/>
    <n v="43332646"/>
    <n v="45317826"/>
    <m/>
    <n v="45317826"/>
    <n v="94062125"/>
    <n v="96876100"/>
    <m/>
    <m/>
    <m/>
    <m/>
    <n v="0"/>
    <m/>
    <m/>
    <n v="0"/>
    <m/>
    <m/>
    <m/>
    <m/>
    <m/>
    <m/>
    <n v="94062125"/>
    <n v="96876100"/>
  </r>
  <r>
    <x v="7"/>
    <x v="0"/>
    <s v="Allegany College of Maryland"/>
    <m/>
    <n v="161688"/>
    <x v="7"/>
    <n v="4702063"/>
    <n v="4773622"/>
    <n v="1023334"/>
    <n v="1013810"/>
    <n v="7425000"/>
    <n v="7425000"/>
    <n v="15098991"/>
    <m/>
    <n v="15098991"/>
    <n v="15172103"/>
    <m/>
    <n v="15172103"/>
    <n v="28249388"/>
    <n v="28384535"/>
    <m/>
    <m/>
    <m/>
    <m/>
    <n v="0"/>
    <m/>
    <m/>
    <n v="0"/>
    <m/>
    <m/>
    <m/>
    <m/>
    <m/>
    <m/>
    <n v="28249388"/>
    <n v="28384535"/>
  </r>
  <r>
    <x v="7"/>
    <x v="0"/>
    <s v="Baltimore City Community College"/>
    <m/>
    <n v="161864"/>
    <x v="7"/>
    <n v="40742671"/>
    <n v="40564700"/>
    <m/>
    <m/>
    <n v="312247"/>
    <n v="125000"/>
    <n v="16466882"/>
    <m/>
    <n v="16466882"/>
    <n v="19413554"/>
    <m/>
    <n v="19413554"/>
    <n v="57521800"/>
    <n v="60103254"/>
    <m/>
    <m/>
    <m/>
    <m/>
    <n v="0"/>
    <m/>
    <m/>
    <n v="0"/>
    <m/>
    <m/>
    <m/>
    <m/>
    <m/>
    <m/>
    <n v="57521800"/>
    <n v="60103254"/>
  </r>
  <r>
    <x v="7"/>
    <x v="0"/>
    <s v="Carroll Community College"/>
    <m/>
    <n v="405872"/>
    <x v="7"/>
    <n v="6697291"/>
    <n v="6851515"/>
    <n v="331668"/>
    <n v="326900"/>
    <n v="8479061"/>
    <n v="8625450"/>
    <n v="12216171"/>
    <m/>
    <n v="12216171"/>
    <n v="12833052"/>
    <m/>
    <n v="12833052"/>
    <n v="27724191"/>
    <n v="28636917"/>
    <m/>
    <m/>
    <m/>
    <m/>
    <n v="0"/>
    <m/>
    <m/>
    <n v="0"/>
    <m/>
    <m/>
    <m/>
    <m/>
    <m/>
    <m/>
    <n v="27724191"/>
    <n v="28636917"/>
  </r>
  <r>
    <x v="7"/>
    <x v="0"/>
    <s v="Frederick Community College "/>
    <m/>
    <n v="162557"/>
    <x v="7"/>
    <n v="7892917"/>
    <n v="8145648"/>
    <m/>
    <m/>
    <n v="13414859"/>
    <n v="14004812"/>
    <n v="17793784"/>
    <m/>
    <n v="17793784"/>
    <n v="19042818"/>
    <m/>
    <n v="19042818"/>
    <n v="39101560"/>
    <n v="41193278"/>
    <m/>
    <m/>
    <m/>
    <m/>
    <n v="0"/>
    <m/>
    <m/>
    <n v="0"/>
    <m/>
    <m/>
    <m/>
    <m/>
    <m/>
    <m/>
    <n v="39101560"/>
    <n v="41193278"/>
  </r>
  <r>
    <x v="7"/>
    <x v="0"/>
    <s v="Hagerstown Community College "/>
    <m/>
    <n v="162690"/>
    <x v="7"/>
    <n v="6812015"/>
    <n v="6965064"/>
    <n v="663634"/>
    <n v="653800"/>
    <n v="8865010"/>
    <n v="8865010"/>
    <n v="15082854"/>
    <m/>
    <n v="15082854"/>
    <n v="16052729"/>
    <m/>
    <n v="16052729"/>
    <n v="31423513"/>
    <n v="32536603"/>
    <m/>
    <m/>
    <m/>
    <m/>
    <n v="0"/>
    <m/>
    <m/>
    <n v="0"/>
    <m/>
    <m/>
    <m/>
    <m/>
    <m/>
    <m/>
    <n v="31423513"/>
    <n v="32536603"/>
  </r>
  <r>
    <x v="7"/>
    <x v="0"/>
    <s v="Harford Community College "/>
    <m/>
    <n v="162706"/>
    <x v="7"/>
    <n v="9719168"/>
    <n v="9990806"/>
    <m/>
    <m/>
    <n v="14961612"/>
    <n v="14961612"/>
    <n v="16768761"/>
    <m/>
    <n v="16768761"/>
    <n v="17467429"/>
    <m/>
    <n v="17467429"/>
    <n v="41449541"/>
    <n v="42419847"/>
    <m/>
    <m/>
    <m/>
    <m/>
    <n v="0"/>
    <m/>
    <m/>
    <n v="0"/>
    <m/>
    <m/>
    <m/>
    <m/>
    <m/>
    <m/>
    <n v="41449541"/>
    <n v="42419847"/>
  </r>
  <r>
    <x v="7"/>
    <x v="0"/>
    <s v="Wor-Wic Community College "/>
    <m/>
    <n v="164313"/>
    <x v="7"/>
    <n v="6590877"/>
    <n v="6784796"/>
    <n v="331667"/>
    <n v="326900"/>
    <n v="4346000"/>
    <n v="4507360"/>
    <n v="11008038"/>
    <m/>
    <n v="11008038"/>
    <n v="11186794"/>
    <m/>
    <n v="11186794"/>
    <n v="22276582"/>
    <n v="22805850"/>
    <m/>
    <m/>
    <m/>
    <m/>
    <n v="0"/>
    <m/>
    <m/>
    <n v="0"/>
    <m/>
    <m/>
    <m/>
    <m/>
    <m/>
    <m/>
    <n v="22276582"/>
    <n v="22805850"/>
  </r>
  <r>
    <x v="7"/>
    <x v="0"/>
    <s v="Cecil Community College "/>
    <m/>
    <n v="162104"/>
    <x v="8"/>
    <n v="4554005"/>
    <n v="4645771"/>
    <n v="331667"/>
    <n v="326900"/>
    <n v="8067706"/>
    <n v="8025308"/>
    <n v="7505048"/>
    <m/>
    <n v="7505048"/>
    <n v="7919325"/>
    <m/>
    <n v="7919325"/>
    <n v="20458426"/>
    <n v="20917304"/>
    <m/>
    <m/>
    <m/>
    <m/>
    <n v="0"/>
    <m/>
    <m/>
    <n v="0"/>
    <m/>
    <m/>
    <m/>
    <m/>
    <m/>
    <m/>
    <n v="20458426"/>
    <n v="20917304"/>
  </r>
  <r>
    <x v="7"/>
    <x v="0"/>
    <s v="Chesapeake College "/>
    <m/>
    <n v="162168"/>
    <x v="8"/>
    <n v="5564701"/>
    <n v="5675851"/>
    <n v="331667"/>
    <n v="326900"/>
    <n v="5885591"/>
    <n v="6126591"/>
    <n v="7810143"/>
    <m/>
    <n v="7810143"/>
    <n v="8082196"/>
    <m/>
    <n v="8082196"/>
    <n v="19592102"/>
    <n v="20211538"/>
    <m/>
    <m/>
    <m/>
    <m/>
    <n v="0"/>
    <m/>
    <m/>
    <n v="0"/>
    <m/>
    <m/>
    <m/>
    <m/>
    <m/>
    <m/>
    <n v="19592102"/>
    <n v="20211538"/>
  </r>
  <r>
    <x v="7"/>
    <x v="0"/>
    <s v="Garrett College "/>
    <m/>
    <n v="162609"/>
    <x v="8"/>
    <n v="2217155"/>
    <n v="2246709"/>
    <n v="903334"/>
    <n v="893800"/>
    <n v="4273000"/>
    <n v="4523000"/>
    <n v="4034551"/>
    <m/>
    <n v="4034551"/>
    <n v="4156050"/>
    <m/>
    <n v="4156050"/>
    <n v="11428040"/>
    <n v="11819559"/>
    <m/>
    <m/>
    <m/>
    <m/>
    <n v="0"/>
    <m/>
    <m/>
    <n v="0"/>
    <m/>
    <m/>
    <m/>
    <m/>
    <m/>
    <m/>
    <n v="11428040"/>
    <n v="11819559"/>
  </r>
  <r>
    <x v="7"/>
    <x v="9"/>
    <s v="University of Maryland University College"/>
    <m/>
    <n v="163204"/>
    <x v="11"/>
    <m/>
    <m/>
    <m/>
    <m/>
    <m/>
    <m/>
    <m/>
    <m/>
    <n v="0"/>
    <m/>
    <m/>
    <n v="0"/>
    <n v="0"/>
    <n v="0"/>
    <n v="32556091"/>
    <n v="33898386"/>
    <n v="337706516"/>
    <m/>
    <n v="337706516"/>
    <n v="350389432"/>
    <m/>
    <n v="350389432"/>
    <m/>
    <m/>
    <m/>
    <m/>
    <m/>
    <m/>
    <n v="370262607"/>
    <n v="384287818"/>
  </r>
  <r>
    <x v="7"/>
    <x v="41"/>
    <s v="University of Maryland at Baltimore"/>
    <m/>
    <n v="163259"/>
    <x v="11"/>
    <m/>
    <m/>
    <m/>
    <m/>
    <m/>
    <m/>
    <m/>
    <m/>
    <n v="0"/>
    <m/>
    <m/>
    <n v="0"/>
    <n v="0"/>
    <n v="0"/>
    <m/>
    <m/>
    <m/>
    <m/>
    <n v="0"/>
    <m/>
    <m/>
    <n v="0"/>
    <n v="184525799"/>
    <n v="183986492"/>
    <n v="112339806"/>
    <m/>
    <n v="116228036"/>
    <m/>
    <n v="296865605"/>
    <n v="300214528"/>
  </r>
  <r>
    <x v="7"/>
    <x v="13"/>
    <s v="Education special purpose funds — all other"/>
    <m/>
    <m/>
    <x v="12"/>
    <m/>
    <m/>
    <m/>
    <m/>
    <m/>
    <m/>
    <m/>
    <m/>
    <n v="0"/>
    <m/>
    <m/>
    <n v="0"/>
    <n v="0"/>
    <n v="0"/>
    <m/>
    <m/>
    <m/>
    <m/>
    <n v="0"/>
    <m/>
    <m/>
    <n v="0"/>
    <m/>
    <m/>
    <m/>
    <m/>
    <m/>
    <m/>
    <n v="0"/>
    <n v="0"/>
  </r>
  <r>
    <x v="7"/>
    <x v="13"/>
    <s v="Community College Statewide Programs"/>
    <m/>
    <m/>
    <x v="12"/>
    <m/>
    <m/>
    <n v="7148463"/>
    <n v="6000000"/>
    <m/>
    <m/>
    <m/>
    <m/>
    <n v="0"/>
    <m/>
    <m/>
    <n v="0"/>
    <n v="7148463"/>
    <n v="6000000"/>
    <m/>
    <m/>
    <m/>
    <m/>
    <n v="0"/>
    <m/>
    <m/>
    <n v="0"/>
    <m/>
    <m/>
    <m/>
    <m/>
    <m/>
    <m/>
    <n v="7148463"/>
    <n v="6000000"/>
  </r>
  <r>
    <x v="7"/>
    <x v="14"/>
    <s v="Statewide System Operations"/>
    <m/>
    <m/>
    <x v="12"/>
    <m/>
    <m/>
    <m/>
    <m/>
    <m/>
    <m/>
    <m/>
    <m/>
    <n v="0"/>
    <m/>
    <m/>
    <n v="0"/>
    <n v="0"/>
    <n v="0"/>
    <m/>
    <m/>
    <m/>
    <m/>
    <n v="0"/>
    <m/>
    <m/>
    <n v="0"/>
    <m/>
    <m/>
    <m/>
    <m/>
    <m/>
    <m/>
    <n v="0"/>
    <n v="0"/>
  </r>
  <r>
    <x v="7"/>
    <x v="15"/>
    <s v="Colleges and universities"/>
    <m/>
    <m/>
    <x v="12"/>
    <m/>
    <m/>
    <m/>
    <m/>
    <m/>
    <m/>
    <m/>
    <m/>
    <n v="0"/>
    <m/>
    <m/>
    <n v="0"/>
    <n v="0"/>
    <n v="0"/>
    <m/>
    <m/>
    <m/>
    <m/>
    <n v="0"/>
    <m/>
    <m/>
    <n v="0"/>
    <m/>
    <m/>
    <m/>
    <m/>
    <m/>
    <m/>
    <n v="0"/>
    <n v="0"/>
  </r>
  <r>
    <x v="7"/>
    <x v="15"/>
    <s v="Univ MD System Adm"/>
    <m/>
    <m/>
    <x v="12"/>
    <m/>
    <m/>
    <m/>
    <m/>
    <m/>
    <m/>
    <m/>
    <m/>
    <n v="0"/>
    <m/>
    <m/>
    <n v="0"/>
    <n v="0"/>
    <n v="0"/>
    <n v="4897753"/>
    <n v="8472327"/>
    <m/>
    <m/>
    <n v="0"/>
    <m/>
    <m/>
    <n v="0"/>
    <m/>
    <m/>
    <m/>
    <m/>
    <m/>
    <m/>
    <n v="4897753"/>
    <n v="8472327"/>
  </r>
  <r>
    <x v="7"/>
    <x v="15"/>
    <s v="Md Commission on Higher Education"/>
    <m/>
    <m/>
    <x v="12"/>
    <m/>
    <m/>
    <m/>
    <m/>
    <m/>
    <m/>
    <m/>
    <m/>
    <n v="0"/>
    <m/>
    <m/>
    <n v="0"/>
    <n v="0"/>
    <n v="0"/>
    <n v="7776677"/>
    <n v="4386488"/>
    <m/>
    <m/>
    <n v="0"/>
    <m/>
    <m/>
    <n v="0"/>
    <m/>
    <m/>
    <m/>
    <m/>
    <m/>
    <m/>
    <n v="7776677"/>
    <n v="4386488"/>
  </r>
  <r>
    <x v="7"/>
    <x v="17"/>
    <s v="National or regional associations, compacts or consortia"/>
    <m/>
    <m/>
    <x v="12"/>
    <m/>
    <m/>
    <m/>
    <m/>
    <m/>
    <m/>
    <m/>
    <m/>
    <n v="0"/>
    <m/>
    <m/>
    <n v="0"/>
    <n v="0"/>
    <n v="0"/>
    <m/>
    <m/>
    <m/>
    <m/>
    <n v="0"/>
    <m/>
    <m/>
    <n v="0"/>
    <m/>
    <m/>
    <m/>
    <m/>
    <m/>
    <m/>
    <n v="0"/>
    <n v="0"/>
  </r>
  <r>
    <x v="7"/>
    <x v="17"/>
    <s v="SREB"/>
    <m/>
    <m/>
    <x v="12"/>
    <m/>
    <m/>
    <m/>
    <m/>
    <m/>
    <m/>
    <m/>
    <m/>
    <n v="0"/>
    <m/>
    <m/>
    <n v="0"/>
    <n v="0"/>
    <n v="0"/>
    <n v="193000"/>
    <m/>
    <m/>
    <m/>
    <n v="0"/>
    <m/>
    <m/>
    <n v="0"/>
    <m/>
    <m/>
    <m/>
    <m/>
    <m/>
    <m/>
    <n v="193000"/>
    <n v="0"/>
  </r>
  <r>
    <x v="7"/>
    <x v="18"/>
    <s v="Adm. of Statewide Student Aid Progs. (incldng centralized guaranteed student loans)"/>
    <m/>
    <m/>
    <x v="12"/>
    <m/>
    <m/>
    <m/>
    <m/>
    <m/>
    <m/>
    <m/>
    <m/>
    <n v="0"/>
    <m/>
    <m/>
    <n v="0"/>
    <n v="0"/>
    <n v="0"/>
    <m/>
    <m/>
    <m/>
    <m/>
    <n v="0"/>
    <m/>
    <m/>
    <n v="0"/>
    <m/>
    <m/>
    <m/>
    <m/>
    <m/>
    <m/>
    <n v="0"/>
    <n v="0"/>
  </r>
  <r>
    <x v="7"/>
    <x v="19"/>
    <s v="State Support to Private Colleges Other Than Student Aid"/>
    <m/>
    <m/>
    <x v="12"/>
    <m/>
    <m/>
    <m/>
    <m/>
    <m/>
    <m/>
    <m/>
    <m/>
    <n v="0"/>
    <m/>
    <m/>
    <n v="0"/>
    <n v="0"/>
    <n v="0"/>
    <n v="38445958"/>
    <n v="38056175"/>
    <m/>
    <m/>
    <n v="0"/>
    <m/>
    <m/>
    <n v="0"/>
    <m/>
    <m/>
    <m/>
    <m/>
    <m/>
    <m/>
    <n v="38445958"/>
    <n v="38056175"/>
  </r>
  <r>
    <x v="7"/>
    <x v="20"/>
    <s v="Contract Education Programs"/>
    <m/>
    <m/>
    <x v="12"/>
    <m/>
    <m/>
    <m/>
    <m/>
    <m/>
    <m/>
    <m/>
    <m/>
    <n v="0"/>
    <m/>
    <m/>
    <n v="0"/>
    <n v="0"/>
    <n v="0"/>
    <m/>
    <m/>
    <m/>
    <m/>
    <n v="0"/>
    <m/>
    <m/>
    <n v="0"/>
    <m/>
    <m/>
    <m/>
    <m/>
    <m/>
    <m/>
    <n v="0"/>
    <n v="0"/>
  </r>
  <r>
    <x v="7"/>
    <x v="21"/>
    <s v="SREB contract program with private colleges"/>
    <m/>
    <m/>
    <x v="12"/>
    <m/>
    <m/>
    <m/>
    <m/>
    <m/>
    <m/>
    <m/>
    <m/>
    <n v="0"/>
    <m/>
    <m/>
    <n v="0"/>
    <n v="0"/>
    <n v="0"/>
    <m/>
    <m/>
    <m/>
    <m/>
    <n v="0"/>
    <m/>
    <m/>
    <n v="0"/>
    <m/>
    <m/>
    <m/>
    <m/>
    <m/>
    <m/>
    <n v="0"/>
    <n v="0"/>
  </r>
  <r>
    <x v="7"/>
    <x v="22"/>
    <s v="SREB contract program with public colleges"/>
    <m/>
    <m/>
    <x v="12"/>
    <m/>
    <m/>
    <m/>
    <m/>
    <m/>
    <m/>
    <m/>
    <m/>
    <n v="0"/>
    <m/>
    <m/>
    <n v="0"/>
    <n v="0"/>
    <n v="0"/>
    <m/>
    <m/>
    <m/>
    <m/>
    <n v="0"/>
    <m/>
    <m/>
    <n v="0"/>
    <m/>
    <m/>
    <m/>
    <m/>
    <m/>
    <m/>
    <n v="0"/>
    <n v="0"/>
  </r>
  <r>
    <x v="7"/>
    <x v="23"/>
    <s v="Other contract education programs"/>
    <m/>
    <m/>
    <x v="12"/>
    <m/>
    <m/>
    <m/>
    <m/>
    <m/>
    <m/>
    <m/>
    <m/>
    <n v="0"/>
    <m/>
    <m/>
    <n v="0"/>
    <n v="0"/>
    <n v="0"/>
    <m/>
    <m/>
    <m/>
    <m/>
    <n v="0"/>
    <m/>
    <m/>
    <n v="0"/>
    <m/>
    <m/>
    <m/>
    <m/>
    <m/>
    <m/>
    <n v="0"/>
    <n v="0"/>
  </r>
  <r>
    <x v="7"/>
    <x v="24"/>
    <s v="Statewide Student Financial Aid Programs Administered Off Campus"/>
    <m/>
    <m/>
    <x v="12"/>
    <m/>
    <m/>
    <m/>
    <m/>
    <m/>
    <m/>
    <m/>
    <m/>
    <n v="0"/>
    <m/>
    <m/>
    <n v="0"/>
    <n v="0"/>
    <n v="0"/>
    <m/>
    <m/>
    <m/>
    <m/>
    <n v="0"/>
    <m/>
    <m/>
    <n v="0"/>
    <m/>
    <m/>
    <m/>
    <m/>
    <m/>
    <m/>
    <n v="0"/>
    <n v="0"/>
  </r>
  <r>
    <x v="7"/>
    <x v="25"/>
    <s v="Available to public &amp; private sector students"/>
    <m/>
    <m/>
    <x v="12"/>
    <m/>
    <m/>
    <m/>
    <m/>
    <m/>
    <m/>
    <m/>
    <m/>
    <n v="0"/>
    <m/>
    <m/>
    <n v="0"/>
    <n v="0"/>
    <n v="0"/>
    <m/>
    <m/>
    <m/>
    <m/>
    <n v="0"/>
    <m/>
    <m/>
    <n v="0"/>
    <m/>
    <m/>
    <m/>
    <m/>
    <m/>
    <m/>
    <n v="0"/>
    <n v="0"/>
  </r>
  <r>
    <x v="7"/>
    <x v="25"/>
    <s v="Campus-Based Educational Assistance Grant"/>
    <m/>
    <m/>
    <x v="12"/>
    <m/>
    <m/>
    <m/>
    <m/>
    <m/>
    <m/>
    <m/>
    <m/>
    <n v="0"/>
    <m/>
    <m/>
    <n v="0"/>
    <n v="0"/>
    <n v="0"/>
    <m/>
    <m/>
    <m/>
    <m/>
    <n v="0"/>
    <m/>
    <m/>
    <n v="0"/>
    <m/>
    <m/>
    <m/>
    <m/>
    <m/>
    <m/>
    <n v="0"/>
    <n v="0"/>
  </r>
  <r>
    <x v="7"/>
    <x v="26"/>
    <s v="Need-based"/>
    <m/>
    <m/>
    <x v="12"/>
    <m/>
    <m/>
    <m/>
    <m/>
    <m/>
    <m/>
    <m/>
    <m/>
    <n v="0"/>
    <m/>
    <m/>
    <n v="0"/>
    <n v="0"/>
    <n v="0"/>
    <m/>
    <m/>
    <m/>
    <m/>
    <n v="0"/>
    <m/>
    <m/>
    <n v="0"/>
    <m/>
    <m/>
    <m/>
    <m/>
    <m/>
    <m/>
    <n v="0"/>
    <n v="0"/>
  </r>
  <r>
    <x v="7"/>
    <x v="27"/>
    <s v="Non need-based"/>
    <m/>
    <m/>
    <x v="12"/>
    <m/>
    <m/>
    <m/>
    <m/>
    <m/>
    <m/>
    <m/>
    <m/>
    <n v="0"/>
    <m/>
    <m/>
    <n v="0"/>
    <n v="0"/>
    <n v="0"/>
    <m/>
    <m/>
    <m/>
    <m/>
    <n v="0"/>
    <m/>
    <m/>
    <n v="0"/>
    <m/>
    <m/>
    <m/>
    <m/>
    <m/>
    <m/>
    <n v="0"/>
    <n v="0"/>
  </r>
  <r>
    <x v="7"/>
    <x v="28"/>
    <s v="Amount to public sector students"/>
    <m/>
    <m/>
    <x v="12"/>
    <m/>
    <m/>
    <m/>
    <m/>
    <m/>
    <m/>
    <m/>
    <m/>
    <n v="0"/>
    <m/>
    <m/>
    <n v="0"/>
    <n v="0"/>
    <n v="0"/>
    <m/>
    <m/>
    <m/>
    <m/>
    <n v="0"/>
    <m/>
    <m/>
    <n v="0"/>
    <m/>
    <m/>
    <m/>
    <m/>
    <m/>
    <m/>
    <n v="0"/>
    <n v="0"/>
  </r>
  <r>
    <x v="7"/>
    <x v="29"/>
    <s v="Need-based"/>
    <m/>
    <m/>
    <x v="12"/>
    <m/>
    <m/>
    <m/>
    <m/>
    <m/>
    <m/>
    <m/>
    <m/>
    <n v="0"/>
    <m/>
    <m/>
    <n v="0"/>
    <n v="0"/>
    <n v="0"/>
    <n v="1503500"/>
    <n v="1025900"/>
    <m/>
    <m/>
    <n v="0"/>
    <m/>
    <m/>
    <n v="0"/>
    <m/>
    <m/>
    <m/>
    <m/>
    <m/>
    <m/>
    <n v="1503500"/>
    <n v="1025900"/>
  </r>
  <r>
    <x v="7"/>
    <x v="27"/>
    <s v="Non need-based"/>
    <m/>
    <m/>
    <x v="12"/>
    <m/>
    <m/>
    <m/>
    <m/>
    <m/>
    <m/>
    <m/>
    <m/>
    <n v="0"/>
    <m/>
    <m/>
    <n v="0"/>
    <n v="0"/>
    <n v="0"/>
    <m/>
    <m/>
    <m/>
    <m/>
    <n v="0"/>
    <m/>
    <m/>
    <n v="0"/>
    <m/>
    <m/>
    <m/>
    <m/>
    <m/>
    <m/>
    <n v="0"/>
    <n v="0"/>
  </r>
  <r>
    <x v="7"/>
    <x v="31"/>
    <s v="Amount to private sector students"/>
    <m/>
    <m/>
    <x v="12"/>
    <m/>
    <m/>
    <m/>
    <m/>
    <m/>
    <m/>
    <m/>
    <m/>
    <n v="0"/>
    <m/>
    <m/>
    <n v="0"/>
    <n v="0"/>
    <n v="0"/>
    <m/>
    <m/>
    <m/>
    <m/>
    <n v="0"/>
    <m/>
    <m/>
    <n v="0"/>
    <m/>
    <m/>
    <m/>
    <m/>
    <m/>
    <m/>
    <n v="0"/>
    <n v="0"/>
  </r>
  <r>
    <x v="7"/>
    <x v="32"/>
    <s v="Need-based"/>
    <m/>
    <m/>
    <x v="12"/>
    <m/>
    <m/>
    <m/>
    <m/>
    <m/>
    <m/>
    <m/>
    <m/>
    <n v="0"/>
    <m/>
    <m/>
    <n v="0"/>
    <n v="0"/>
    <n v="0"/>
    <n v="175950"/>
    <n v="30170"/>
    <m/>
    <m/>
    <n v="0"/>
    <m/>
    <m/>
    <n v="0"/>
    <m/>
    <m/>
    <m/>
    <m/>
    <m/>
    <m/>
    <n v="175950"/>
    <n v="30170"/>
  </r>
  <r>
    <x v="7"/>
    <x v="27"/>
    <s v="Non need-based"/>
    <m/>
    <m/>
    <x v="12"/>
    <m/>
    <m/>
    <m/>
    <m/>
    <m/>
    <m/>
    <m/>
    <m/>
    <n v="0"/>
    <m/>
    <m/>
    <n v="0"/>
    <n v="0"/>
    <n v="0"/>
    <m/>
    <m/>
    <m/>
    <m/>
    <n v="0"/>
    <m/>
    <m/>
    <n v="0"/>
    <m/>
    <m/>
    <m/>
    <m/>
    <m/>
    <m/>
    <n v="0"/>
    <n v="0"/>
  </r>
  <r>
    <x v="7"/>
    <x v="25"/>
    <s v="Educational Excellence Awards"/>
    <m/>
    <m/>
    <x v="12"/>
    <m/>
    <m/>
    <m/>
    <m/>
    <m/>
    <m/>
    <m/>
    <m/>
    <n v="0"/>
    <m/>
    <m/>
    <n v="0"/>
    <n v="0"/>
    <n v="0"/>
    <m/>
    <m/>
    <m/>
    <m/>
    <n v="0"/>
    <m/>
    <m/>
    <n v="0"/>
    <m/>
    <m/>
    <m/>
    <m/>
    <m/>
    <m/>
    <n v="0"/>
    <n v="0"/>
  </r>
  <r>
    <x v="7"/>
    <x v="28"/>
    <s v="Amount to public sector students"/>
    <m/>
    <m/>
    <x v="12"/>
    <m/>
    <m/>
    <m/>
    <m/>
    <m/>
    <m/>
    <m/>
    <m/>
    <n v="0"/>
    <m/>
    <m/>
    <n v="0"/>
    <n v="0"/>
    <n v="0"/>
    <m/>
    <m/>
    <m/>
    <m/>
    <n v="0"/>
    <m/>
    <m/>
    <n v="0"/>
    <m/>
    <m/>
    <m/>
    <m/>
    <m/>
    <m/>
    <n v="0"/>
    <n v="0"/>
  </r>
  <r>
    <x v="7"/>
    <x v="29"/>
    <s v="Need-based"/>
    <m/>
    <m/>
    <x v="12"/>
    <m/>
    <m/>
    <m/>
    <m/>
    <m/>
    <m/>
    <m/>
    <m/>
    <n v="0"/>
    <m/>
    <m/>
    <n v="0"/>
    <n v="0"/>
    <n v="0"/>
    <n v="54794775"/>
    <n v="69238525"/>
    <m/>
    <m/>
    <n v="0"/>
    <m/>
    <m/>
    <n v="0"/>
    <m/>
    <m/>
    <m/>
    <m/>
    <m/>
    <m/>
    <n v="54794775"/>
    <n v="69238525"/>
  </r>
  <r>
    <x v="7"/>
    <x v="27"/>
    <s v="Non need-based"/>
    <m/>
    <m/>
    <x v="12"/>
    <m/>
    <m/>
    <m/>
    <m/>
    <m/>
    <m/>
    <m/>
    <m/>
    <n v="0"/>
    <m/>
    <m/>
    <n v="0"/>
    <n v="0"/>
    <n v="0"/>
    <m/>
    <m/>
    <m/>
    <m/>
    <n v="0"/>
    <m/>
    <m/>
    <n v="0"/>
    <m/>
    <m/>
    <m/>
    <m/>
    <m/>
    <m/>
    <n v="0"/>
    <n v="0"/>
  </r>
  <r>
    <x v="7"/>
    <x v="31"/>
    <s v="Amount to private sector students"/>
    <m/>
    <m/>
    <x v="12"/>
    <m/>
    <m/>
    <m/>
    <m/>
    <m/>
    <m/>
    <m/>
    <m/>
    <n v="0"/>
    <m/>
    <m/>
    <n v="0"/>
    <n v="0"/>
    <n v="0"/>
    <m/>
    <m/>
    <m/>
    <m/>
    <n v="0"/>
    <m/>
    <m/>
    <n v="0"/>
    <m/>
    <m/>
    <m/>
    <m/>
    <m/>
    <m/>
    <n v="0"/>
    <n v="0"/>
  </r>
  <r>
    <x v="7"/>
    <x v="32"/>
    <s v="Need-based"/>
    <m/>
    <m/>
    <x v="12"/>
    <m/>
    <m/>
    <m/>
    <m/>
    <m/>
    <m/>
    <m/>
    <m/>
    <n v="0"/>
    <m/>
    <m/>
    <n v="0"/>
    <n v="0"/>
    <n v="0"/>
    <n v="13309300"/>
    <n v="15465575"/>
    <m/>
    <m/>
    <n v="0"/>
    <m/>
    <m/>
    <n v="0"/>
    <m/>
    <m/>
    <m/>
    <m/>
    <m/>
    <m/>
    <n v="13309300"/>
    <n v="15465575"/>
  </r>
  <r>
    <x v="7"/>
    <x v="27"/>
    <s v="Non need-based"/>
    <m/>
    <m/>
    <x v="12"/>
    <m/>
    <m/>
    <m/>
    <m/>
    <m/>
    <m/>
    <m/>
    <m/>
    <n v="0"/>
    <m/>
    <m/>
    <n v="0"/>
    <n v="0"/>
    <n v="0"/>
    <m/>
    <m/>
    <m/>
    <m/>
    <n v="0"/>
    <m/>
    <m/>
    <n v="0"/>
    <m/>
    <m/>
    <m/>
    <m/>
    <m/>
    <m/>
    <n v="0"/>
    <n v="0"/>
  </r>
  <r>
    <x v="7"/>
    <x v="25"/>
    <s v="Senatorial Scholarship"/>
    <m/>
    <m/>
    <x v="12"/>
    <m/>
    <m/>
    <m/>
    <m/>
    <m/>
    <m/>
    <m/>
    <m/>
    <n v="0"/>
    <m/>
    <m/>
    <n v="0"/>
    <n v="0"/>
    <n v="0"/>
    <m/>
    <m/>
    <m/>
    <m/>
    <n v="0"/>
    <m/>
    <m/>
    <n v="0"/>
    <m/>
    <m/>
    <m/>
    <m/>
    <m/>
    <m/>
    <n v="0"/>
    <n v="0"/>
  </r>
  <r>
    <x v="7"/>
    <x v="26"/>
    <s v="Need-based"/>
    <m/>
    <m/>
    <x v="12"/>
    <m/>
    <m/>
    <m/>
    <m/>
    <m/>
    <m/>
    <m/>
    <m/>
    <n v="0"/>
    <m/>
    <m/>
    <n v="0"/>
    <n v="0"/>
    <n v="0"/>
    <m/>
    <m/>
    <m/>
    <m/>
    <n v="0"/>
    <m/>
    <m/>
    <n v="0"/>
    <m/>
    <m/>
    <m/>
    <m/>
    <m/>
    <m/>
    <n v="0"/>
    <n v="0"/>
  </r>
  <r>
    <x v="7"/>
    <x v="27"/>
    <s v="Non need-based"/>
    <m/>
    <m/>
    <x v="12"/>
    <m/>
    <m/>
    <m/>
    <m/>
    <m/>
    <m/>
    <m/>
    <m/>
    <n v="0"/>
    <m/>
    <m/>
    <n v="0"/>
    <n v="0"/>
    <n v="0"/>
    <m/>
    <m/>
    <m/>
    <m/>
    <n v="0"/>
    <m/>
    <m/>
    <n v="0"/>
    <m/>
    <m/>
    <m/>
    <m/>
    <m/>
    <m/>
    <n v="0"/>
    <n v="0"/>
  </r>
  <r>
    <x v="7"/>
    <x v="28"/>
    <s v="Amount to public sector students"/>
    <m/>
    <m/>
    <x v="12"/>
    <m/>
    <m/>
    <m/>
    <m/>
    <m/>
    <m/>
    <m/>
    <m/>
    <n v="0"/>
    <m/>
    <m/>
    <n v="0"/>
    <n v="0"/>
    <n v="0"/>
    <m/>
    <m/>
    <m/>
    <m/>
    <n v="0"/>
    <m/>
    <m/>
    <n v="0"/>
    <m/>
    <m/>
    <m/>
    <m/>
    <m/>
    <m/>
    <n v="0"/>
    <n v="0"/>
  </r>
  <r>
    <x v="7"/>
    <x v="29"/>
    <s v="Need-based"/>
    <m/>
    <m/>
    <x v="12"/>
    <m/>
    <m/>
    <m/>
    <m/>
    <m/>
    <m/>
    <m/>
    <m/>
    <n v="0"/>
    <m/>
    <m/>
    <n v="0"/>
    <n v="0"/>
    <n v="0"/>
    <n v="5617083"/>
    <n v="5868784"/>
    <m/>
    <m/>
    <n v="0"/>
    <m/>
    <m/>
    <n v="0"/>
    <m/>
    <m/>
    <m/>
    <m/>
    <m/>
    <m/>
    <n v="5617083"/>
    <n v="5868784"/>
  </r>
  <r>
    <x v="7"/>
    <x v="27"/>
    <s v="Non need-based"/>
    <m/>
    <m/>
    <x v="12"/>
    <m/>
    <m/>
    <m/>
    <m/>
    <m/>
    <m/>
    <m/>
    <m/>
    <n v="0"/>
    <m/>
    <m/>
    <n v="0"/>
    <n v="0"/>
    <n v="0"/>
    <m/>
    <m/>
    <m/>
    <m/>
    <n v="0"/>
    <m/>
    <m/>
    <n v="0"/>
    <m/>
    <m/>
    <m/>
    <m/>
    <m/>
    <m/>
    <n v="0"/>
    <n v="0"/>
  </r>
  <r>
    <x v="7"/>
    <x v="31"/>
    <s v="Amount to private sector students"/>
    <m/>
    <m/>
    <x v="12"/>
    <m/>
    <m/>
    <m/>
    <m/>
    <m/>
    <m/>
    <m/>
    <m/>
    <n v="0"/>
    <m/>
    <m/>
    <n v="0"/>
    <n v="0"/>
    <n v="0"/>
    <m/>
    <m/>
    <m/>
    <m/>
    <n v="0"/>
    <m/>
    <m/>
    <n v="0"/>
    <m/>
    <m/>
    <m/>
    <m/>
    <m/>
    <m/>
    <n v="0"/>
    <n v="0"/>
  </r>
  <r>
    <x v="7"/>
    <x v="32"/>
    <s v="Need-based"/>
    <m/>
    <m/>
    <x v="12"/>
    <m/>
    <m/>
    <m/>
    <m/>
    <m/>
    <m/>
    <m/>
    <m/>
    <n v="0"/>
    <m/>
    <m/>
    <n v="0"/>
    <n v="0"/>
    <n v="0"/>
    <n v="1179850"/>
    <n v="1180450"/>
    <m/>
    <m/>
    <n v="0"/>
    <m/>
    <m/>
    <n v="0"/>
    <m/>
    <m/>
    <m/>
    <m/>
    <m/>
    <m/>
    <n v="1179850"/>
    <n v="1180450"/>
  </r>
  <r>
    <x v="7"/>
    <x v="27"/>
    <s v="Non need-based"/>
    <m/>
    <m/>
    <x v="12"/>
    <m/>
    <m/>
    <m/>
    <m/>
    <m/>
    <m/>
    <m/>
    <m/>
    <n v="0"/>
    <m/>
    <m/>
    <n v="0"/>
    <n v="0"/>
    <n v="0"/>
    <m/>
    <m/>
    <m/>
    <m/>
    <n v="0"/>
    <m/>
    <m/>
    <n v="0"/>
    <m/>
    <m/>
    <m/>
    <m/>
    <m/>
    <m/>
    <n v="0"/>
    <n v="0"/>
  </r>
  <r>
    <x v="7"/>
    <x v="25"/>
    <s v="Edward Conroy Grant"/>
    <m/>
    <m/>
    <x v="12"/>
    <m/>
    <m/>
    <m/>
    <m/>
    <m/>
    <m/>
    <m/>
    <m/>
    <n v="0"/>
    <m/>
    <m/>
    <n v="0"/>
    <n v="0"/>
    <n v="0"/>
    <m/>
    <m/>
    <m/>
    <m/>
    <n v="0"/>
    <m/>
    <m/>
    <n v="0"/>
    <m/>
    <m/>
    <m/>
    <m/>
    <m/>
    <m/>
    <n v="0"/>
    <n v="0"/>
  </r>
  <r>
    <x v="7"/>
    <x v="28"/>
    <s v="Amount to public sector students"/>
    <m/>
    <m/>
    <x v="12"/>
    <m/>
    <m/>
    <m/>
    <m/>
    <m/>
    <m/>
    <m/>
    <m/>
    <n v="0"/>
    <m/>
    <m/>
    <n v="0"/>
    <n v="0"/>
    <n v="0"/>
    <m/>
    <m/>
    <m/>
    <m/>
    <n v="0"/>
    <m/>
    <m/>
    <n v="0"/>
    <m/>
    <m/>
    <m/>
    <m/>
    <m/>
    <m/>
    <n v="0"/>
    <n v="0"/>
  </r>
  <r>
    <x v="7"/>
    <x v="29"/>
    <s v="Need-based"/>
    <m/>
    <m/>
    <x v="12"/>
    <m/>
    <m/>
    <m/>
    <m/>
    <m/>
    <m/>
    <m/>
    <m/>
    <n v="0"/>
    <m/>
    <m/>
    <n v="0"/>
    <n v="0"/>
    <n v="0"/>
    <m/>
    <m/>
    <m/>
    <m/>
    <n v="0"/>
    <m/>
    <m/>
    <n v="0"/>
    <m/>
    <m/>
    <m/>
    <m/>
    <m/>
    <m/>
    <n v="0"/>
    <n v="0"/>
  </r>
  <r>
    <x v="7"/>
    <x v="30"/>
    <s v="Non-need based"/>
    <m/>
    <m/>
    <x v="12"/>
    <m/>
    <m/>
    <m/>
    <m/>
    <m/>
    <m/>
    <m/>
    <m/>
    <n v="0"/>
    <m/>
    <m/>
    <n v="0"/>
    <n v="0"/>
    <n v="0"/>
    <n v="266022"/>
    <n v="151346"/>
    <m/>
    <m/>
    <n v="0"/>
    <m/>
    <m/>
    <n v="0"/>
    <m/>
    <m/>
    <m/>
    <m/>
    <m/>
    <m/>
    <n v="266022"/>
    <n v="151346"/>
  </r>
  <r>
    <x v="7"/>
    <x v="31"/>
    <s v="Amount to private sector students"/>
    <m/>
    <m/>
    <x v="12"/>
    <m/>
    <m/>
    <m/>
    <m/>
    <m/>
    <m/>
    <m/>
    <m/>
    <n v="0"/>
    <m/>
    <m/>
    <n v="0"/>
    <n v="0"/>
    <n v="0"/>
    <m/>
    <m/>
    <m/>
    <m/>
    <n v="0"/>
    <m/>
    <m/>
    <n v="0"/>
    <m/>
    <m/>
    <m/>
    <m/>
    <m/>
    <m/>
    <n v="0"/>
    <n v="0"/>
  </r>
  <r>
    <x v="7"/>
    <x v="32"/>
    <s v="Need-based"/>
    <m/>
    <m/>
    <x v="12"/>
    <m/>
    <m/>
    <m/>
    <m/>
    <m/>
    <m/>
    <m/>
    <m/>
    <n v="0"/>
    <m/>
    <m/>
    <n v="0"/>
    <n v="0"/>
    <n v="0"/>
    <m/>
    <m/>
    <m/>
    <m/>
    <n v="0"/>
    <m/>
    <m/>
    <n v="0"/>
    <m/>
    <m/>
    <m/>
    <m/>
    <m/>
    <m/>
    <n v="0"/>
    <n v="0"/>
  </r>
  <r>
    <x v="7"/>
    <x v="33"/>
    <s v="Non-need based"/>
    <m/>
    <m/>
    <x v="12"/>
    <m/>
    <m/>
    <m/>
    <m/>
    <m/>
    <m/>
    <m/>
    <m/>
    <n v="0"/>
    <m/>
    <m/>
    <n v="0"/>
    <n v="0"/>
    <n v="0"/>
    <n v="47340"/>
    <n v="53358"/>
    <m/>
    <m/>
    <n v="0"/>
    <m/>
    <m/>
    <n v="0"/>
    <m/>
    <m/>
    <m/>
    <m/>
    <m/>
    <m/>
    <n v="47340"/>
    <n v="53358"/>
  </r>
  <r>
    <x v="7"/>
    <x v="25"/>
    <s v="Delegate Scholarship"/>
    <m/>
    <m/>
    <x v="12"/>
    <m/>
    <m/>
    <m/>
    <m/>
    <m/>
    <m/>
    <m/>
    <m/>
    <n v="0"/>
    <m/>
    <m/>
    <n v="0"/>
    <n v="0"/>
    <n v="0"/>
    <m/>
    <m/>
    <m/>
    <m/>
    <n v="0"/>
    <m/>
    <m/>
    <n v="0"/>
    <m/>
    <m/>
    <m/>
    <m/>
    <m/>
    <m/>
    <n v="0"/>
    <n v="0"/>
  </r>
  <r>
    <x v="7"/>
    <x v="26"/>
    <s v="Need-based"/>
    <m/>
    <m/>
    <x v="12"/>
    <m/>
    <m/>
    <m/>
    <m/>
    <m/>
    <m/>
    <m/>
    <m/>
    <n v="0"/>
    <m/>
    <m/>
    <n v="0"/>
    <n v="0"/>
    <n v="0"/>
    <m/>
    <m/>
    <m/>
    <m/>
    <n v="0"/>
    <m/>
    <m/>
    <n v="0"/>
    <m/>
    <m/>
    <m/>
    <m/>
    <m/>
    <m/>
    <n v="0"/>
    <n v="0"/>
  </r>
  <r>
    <x v="7"/>
    <x v="27"/>
    <s v="Non need-based"/>
    <m/>
    <m/>
    <x v="12"/>
    <m/>
    <m/>
    <m/>
    <m/>
    <m/>
    <m/>
    <m/>
    <m/>
    <n v="0"/>
    <m/>
    <m/>
    <n v="0"/>
    <n v="0"/>
    <n v="0"/>
    <m/>
    <m/>
    <m/>
    <m/>
    <n v="0"/>
    <m/>
    <m/>
    <n v="0"/>
    <m/>
    <m/>
    <m/>
    <m/>
    <m/>
    <m/>
    <n v="0"/>
    <n v="0"/>
  </r>
  <r>
    <x v="7"/>
    <x v="28"/>
    <s v="Amount to public sector students"/>
    <m/>
    <m/>
    <x v="12"/>
    <m/>
    <m/>
    <m/>
    <m/>
    <m/>
    <m/>
    <m/>
    <m/>
    <n v="0"/>
    <m/>
    <m/>
    <n v="0"/>
    <n v="0"/>
    <n v="0"/>
    <m/>
    <m/>
    <m/>
    <m/>
    <n v="0"/>
    <m/>
    <m/>
    <n v="0"/>
    <m/>
    <m/>
    <m/>
    <m/>
    <m/>
    <m/>
    <n v="0"/>
    <n v="0"/>
  </r>
  <r>
    <x v="7"/>
    <x v="29"/>
    <s v="Need-based"/>
    <m/>
    <m/>
    <x v="12"/>
    <m/>
    <m/>
    <m/>
    <m/>
    <m/>
    <m/>
    <m/>
    <m/>
    <n v="0"/>
    <m/>
    <m/>
    <n v="0"/>
    <n v="0"/>
    <n v="0"/>
    <m/>
    <m/>
    <m/>
    <m/>
    <n v="0"/>
    <m/>
    <m/>
    <n v="0"/>
    <m/>
    <m/>
    <m/>
    <m/>
    <m/>
    <m/>
    <n v="0"/>
    <n v="0"/>
  </r>
  <r>
    <x v="7"/>
    <x v="30"/>
    <s v="Non-need based"/>
    <m/>
    <m/>
    <x v="12"/>
    <m/>
    <m/>
    <m/>
    <m/>
    <m/>
    <m/>
    <m/>
    <m/>
    <n v="0"/>
    <m/>
    <m/>
    <n v="0"/>
    <n v="0"/>
    <n v="0"/>
    <n v="3933251"/>
    <n v="4343241"/>
    <m/>
    <m/>
    <n v="0"/>
    <m/>
    <m/>
    <n v="0"/>
    <m/>
    <m/>
    <m/>
    <m/>
    <m/>
    <m/>
    <n v="3933251"/>
    <n v="4343241"/>
  </r>
  <r>
    <x v="7"/>
    <x v="31"/>
    <s v="Amount to private sector students"/>
    <m/>
    <m/>
    <x v="12"/>
    <m/>
    <m/>
    <m/>
    <m/>
    <m/>
    <m/>
    <m/>
    <m/>
    <n v="0"/>
    <m/>
    <m/>
    <n v="0"/>
    <n v="0"/>
    <n v="0"/>
    <m/>
    <m/>
    <m/>
    <m/>
    <n v="0"/>
    <m/>
    <m/>
    <n v="0"/>
    <m/>
    <m/>
    <m/>
    <m/>
    <m/>
    <m/>
    <n v="0"/>
    <n v="0"/>
  </r>
  <r>
    <x v="7"/>
    <x v="32"/>
    <s v="Need-based"/>
    <m/>
    <m/>
    <x v="12"/>
    <m/>
    <m/>
    <m/>
    <m/>
    <m/>
    <m/>
    <m/>
    <m/>
    <n v="0"/>
    <m/>
    <m/>
    <n v="0"/>
    <n v="0"/>
    <n v="0"/>
    <m/>
    <m/>
    <m/>
    <m/>
    <n v="0"/>
    <m/>
    <m/>
    <n v="0"/>
    <m/>
    <m/>
    <m/>
    <m/>
    <m/>
    <m/>
    <n v="0"/>
    <n v="0"/>
  </r>
  <r>
    <x v="7"/>
    <x v="33"/>
    <s v="Non-need based"/>
    <m/>
    <m/>
    <x v="12"/>
    <m/>
    <m/>
    <m/>
    <m/>
    <m/>
    <m/>
    <m/>
    <m/>
    <n v="0"/>
    <m/>
    <m/>
    <n v="0"/>
    <n v="0"/>
    <n v="0"/>
    <n v="799511"/>
    <n v="861393"/>
    <m/>
    <m/>
    <n v="0"/>
    <m/>
    <m/>
    <n v="0"/>
    <m/>
    <m/>
    <m/>
    <m/>
    <m/>
    <m/>
    <n v="799511"/>
    <n v="861393"/>
  </r>
  <r>
    <x v="7"/>
    <x v="25"/>
    <s v="Firemen's Tuition Reimbursement"/>
    <m/>
    <m/>
    <x v="12"/>
    <m/>
    <m/>
    <m/>
    <m/>
    <m/>
    <m/>
    <m/>
    <m/>
    <n v="0"/>
    <m/>
    <m/>
    <n v="0"/>
    <n v="0"/>
    <n v="0"/>
    <m/>
    <m/>
    <m/>
    <m/>
    <n v="0"/>
    <m/>
    <m/>
    <n v="0"/>
    <m/>
    <m/>
    <m/>
    <m/>
    <m/>
    <m/>
    <n v="0"/>
    <n v="0"/>
  </r>
  <r>
    <x v="7"/>
    <x v="28"/>
    <s v="Amount to public sector students"/>
    <m/>
    <m/>
    <x v="12"/>
    <m/>
    <m/>
    <m/>
    <m/>
    <m/>
    <m/>
    <m/>
    <m/>
    <n v="0"/>
    <m/>
    <m/>
    <n v="0"/>
    <n v="0"/>
    <n v="0"/>
    <m/>
    <m/>
    <m/>
    <m/>
    <n v="0"/>
    <m/>
    <m/>
    <n v="0"/>
    <m/>
    <m/>
    <m/>
    <m/>
    <m/>
    <m/>
    <n v="0"/>
    <n v="0"/>
  </r>
  <r>
    <x v="7"/>
    <x v="29"/>
    <s v="Need-based"/>
    <m/>
    <m/>
    <x v="12"/>
    <m/>
    <m/>
    <m/>
    <m/>
    <m/>
    <m/>
    <m/>
    <m/>
    <n v="0"/>
    <m/>
    <m/>
    <n v="0"/>
    <n v="0"/>
    <n v="0"/>
    <m/>
    <m/>
    <m/>
    <m/>
    <n v="0"/>
    <m/>
    <m/>
    <n v="0"/>
    <m/>
    <m/>
    <m/>
    <m/>
    <m/>
    <m/>
    <n v="0"/>
    <n v="0"/>
  </r>
  <r>
    <x v="7"/>
    <x v="30"/>
    <s v="Non-need based"/>
    <m/>
    <m/>
    <x v="12"/>
    <m/>
    <m/>
    <m/>
    <m/>
    <m/>
    <m/>
    <m/>
    <m/>
    <n v="0"/>
    <m/>
    <m/>
    <n v="0"/>
    <n v="0"/>
    <n v="0"/>
    <n v="295393"/>
    <n v="305698"/>
    <m/>
    <m/>
    <n v="0"/>
    <m/>
    <m/>
    <n v="0"/>
    <m/>
    <m/>
    <m/>
    <m/>
    <m/>
    <m/>
    <n v="295393"/>
    <n v="305698"/>
  </r>
  <r>
    <x v="7"/>
    <x v="31"/>
    <s v="Amount to private sector students"/>
    <m/>
    <m/>
    <x v="12"/>
    <m/>
    <m/>
    <m/>
    <m/>
    <m/>
    <m/>
    <m/>
    <m/>
    <n v="0"/>
    <m/>
    <m/>
    <n v="0"/>
    <n v="0"/>
    <n v="0"/>
    <m/>
    <m/>
    <m/>
    <m/>
    <n v="0"/>
    <m/>
    <m/>
    <n v="0"/>
    <m/>
    <m/>
    <m/>
    <m/>
    <m/>
    <m/>
    <n v="0"/>
    <n v="0"/>
  </r>
  <r>
    <x v="7"/>
    <x v="32"/>
    <s v="Need-based"/>
    <m/>
    <m/>
    <x v="12"/>
    <m/>
    <m/>
    <m/>
    <m/>
    <m/>
    <m/>
    <m/>
    <m/>
    <n v="0"/>
    <m/>
    <m/>
    <n v="0"/>
    <n v="0"/>
    <n v="0"/>
    <m/>
    <m/>
    <m/>
    <m/>
    <n v="0"/>
    <m/>
    <m/>
    <n v="0"/>
    <m/>
    <m/>
    <m/>
    <m/>
    <m/>
    <m/>
    <n v="0"/>
    <n v="0"/>
  </r>
  <r>
    <x v="7"/>
    <x v="33"/>
    <s v="Non-need based"/>
    <m/>
    <m/>
    <x v="12"/>
    <m/>
    <m/>
    <m/>
    <m/>
    <m/>
    <m/>
    <m/>
    <m/>
    <n v="0"/>
    <m/>
    <m/>
    <n v="0"/>
    <n v="0"/>
    <n v="0"/>
    <m/>
    <m/>
    <m/>
    <m/>
    <n v="0"/>
    <m/>
    <m/>
    <n v="0"/>
    <m/>
    <m/>
    <m/>
    <m/>
    <m/>
    <m/>
    <n v="0"/>
    <n v="0"/>
  </r>
  <r>
    <x v="7"/>
    <x v="25"/>
    <s v="Distinguished Scholar Award"/>
    <m/>
    <m/>
    <x v="12"/>
    <m/>
    <m/>
    <m/>
    <m/>
    <m/>
    <m/>
    <m/>
    <m/>
    <n v="0"/>
    <m/>
    <m/>
    <n v="0"/>
    <n v="0"/>
    <n v="0"/>
    <m/>
    <m/>
    <m/>
    <m/>
    <n v="0"/>
    <m/>
    <m/>
    <n v="0"/>
    <m/>
    <m/>
    <m/>
    <m/>
    <m/>
    <m/>
    <n v="0"/>
    <n v="0"/>
  </r>
  <r>
    <x v="7"/>
    <x v="28"/>
    <s v="Amount to public sector students"/>
    <m/>
    <m/>
    <x v="12"/>
    <m/>
    <m/>
    <m/>
    <m/>
    <m/>
    <m/>
    <m/>
    <m/>
    <n v="0"/>
    <m/>
    <m/>
    <n v="0"/>
    <n v="0"/>
    <n v="0"/>
    <m/>
    <m/>
    <m/>
    <m/>
    <n v="0"/>
    <m/>
    <m/>
    <n v="0"/>
    <m/>
    <m/>
    <m/>
    <m/>
    <m/>
    <m/>
    <n v="0"/>
    <n v="0"/>
  </r>
  <r>
    <x v="7"/>
    <x v="29"/>
    <s v="Need-based"/>
    <m/>
    <m/>
    <x v="12"/>
    <m/>
    <m/>
    <m/>
    <m/>
    <m/>
    <m/>
    <m/>
    <m/>
    <n v="0"/>
    <m/>
    <m/>
    <n v="0"/>
    <n v="0"/>
    <n v="0"/>
    <m/>
    <m/>
    <m/>
    <m/>
    <n v="0"/>
    <m/>
    <m/>
    <n v="0"/>
    <m/>
    <m/>
    <m/>
    <m/>
    <m/>
    <m/>
    <n v="0"/>
    <n v="0"/>
  </r>
  <r>
    <x v="7"/>
    <x v="30"/>
    <s v="Non-need based"/>
    <m/>
    <m/>
    <x v="12"/>
    <m/>
    <m/>
    <m/>
    <m/>
    <m/>
    <m/>
    <m/>
    <m/>
    <n v="0"/>
    <m/>
    <m/>
    <n v="0"/>
    <n v="0"/>
    <n v="0"/>
    <n v="1813500"/>
    <n v="1857000"/>
    <m/>
    <m/>
    <n v="0"/>
    <m/>
    <m/>
    <n v="0"/>
    <m/>
    <m/>
    <m/>
    <m/>
    <m/>
    <m/>
    <n v="1813500"/>
    <n v="1857000"/>
  </r>
  <r>
    <x v="7"/>
    <x v="31"/>
    <s v="Amount to private sector students"/>
    <m/>
    <m/>
    <x v="12"/>
    <m/>
    <m/>
    <m/>
    <m/>
    <m/>
    <m/>
    <m/>
    <m/>
    <n v="0"/>
    <m/>
    <m/>
    <n v="0"/>
    <n v="0"/>
    <n v="0"/>
    <m/>
    <m/>
    <m/>
    <m/>
    <n v="0"/>
    <m/>
    <m/>
    <n v="0"/>
    <m/>
    <m/>
    <m/>
    <m/>
    <m/>
    <m/>
    <n v="0"/>
    <n v="0"/>
  </r>
  <r>
    <x v="7"/>
    <x v="32"/>
    <s v="Need-based"/>
    <m/>
    <m/>
    <x v="12"/>
    <m/>
    <m/>
    <m/>
    <m/>
    <m/>
    <m/>
    <m/>
    <m/>
    <n v="0"/>
    <m/>
    <m/>
    <n v="0"/>
    <n v="0"/>
    <n v="0"/>
    <m/>
    <m/>
    <m/>
    <m/>
    <n v="0"/>
    <m/>
    <m/>
    <n v="0"/>
    <m/>
    <m/>
    <m/>
    <m/>
    <m/>
    <m/>
    <n v="0"/>
    <n v="0"/>
  </r>
  <r>
    <x v="7"/>
    <x v="33"/>
    <s v="Non-need based"/>
    <m/>
    <m/>
    <x v="12"/>
    <m/>
    <m/>
    <m/>
    <m/>
    <m/>
    <m/>
    <m/>
    <m/>
    <n v="0"/>
    <m/>
    <m/>
    <n v="0"/>
    <n v="0"/>
    <n v="0"/>
    <n v="432000"/>
    <n v="421500"/>
    <m/>
    <m/>
    <n v="0"/>
    <m/>
    <m/>
    <n v="0"/>
    <m/>
    <m/>
    <m/>
    <m/>
    <m/>
    <m/>
    <n v="432000"/>
    <n v="421500"/>
  </r>
  <r>
    <x v="7"/>
    <x v="25"/>
    <s v="Jack F. Tolbert Memorial Student Grant Program"/>
    <m/>
    <m/>
    <x v="12"/>
    <m/>
    <m/>
    <m/>
    <m/>
    <m/>
    <m/>
    <m/>
    <m/>
    <n v="0"/>
    <m/>
    <m/>
    <n v="0"/>
    <n v="0"/>
    <n v="0"/>
    <m/>
    <m/>
    <m/>
    <m/>
    <n v="0"/>
    <m/>
    <m/>
    <n v="0"/>
    <m/>
    <m/>
    <m/>
    <m/>
    <m/>
    <m/>
    <n v="0"/>
    <n v="0"/>
  </r>
  <r>
    <x v="7"/>
    <x v="28"/>
    <s v="Amount to public sector students"/>
    <m/>
    <m/>
    <x v="12"/>
    <m/>
    <m/>
    <m/>
    <m/>
    <m/>
    <m/>
    <m/>
    <m/>
    <n v="0"/>
    <m/>
    <m/>
    <n v="0"/>
    <n v="0"/>
    <n v="0"/>
    <m/>
    <m/>
    <m/>
    <m/>
    <n v="0"/>
    <m/>
    <m/>
    <n v="0"/>
    <m/>
    <m/>
    <m/>
    <m/>
    <m/>
    <m/>
    <n v="0"/>
    <n v="0"/>
  </r>
  <r>
    <x v="7"/>
    <x v="29"/>
    <s v="Need-based"/>
    <m/>
    <m/>
    <x v="12"/>
    <m/>
    <m/>
    <m/>
    <m/>
    <m/>
    <m/>
    <m/>
    <m/>
    <n v="0"/>
    <m/>
    <m/>
    <n v="0"/>
    <n v="0"/>
    <n v="0"/>
    <m/>
    <m/>
    <m/>
    <m/>
    <n v="0"/>
    <m/>
    <m/>
    <n v="0"/>
    <m/>
    <m/>
    <m/>
    <m/>
    <m/>
    <m/>
    <n v="0"/>
    <n v="0"/>
  </r>
  <r>
    <x v="7"/>
    <x v="30"/>
    <s v="Non-need based"/>
    <m/>
    <m/>
    <x v="12"/>
    <m/>
    <m/>
    <m/>
    <m/>
    <m/>
    <m/>
    <m/>
    <m/>
    <n v="0"/>
    <m/>
    <m/>
    <n v="0"/>
    <n v="0"/>
    <n v="0"/>
    <m/>
    <m/>
    <m/>
    <m/>
    <n v="0"/>
    <m/>
    <m/>
    <n v="0"/>
    <m/>
    <m/>
    <m/>
    <m/>
    <m/>
    <m/>
    <n v="0"/>
    <n v="0"/>
  </r>
  <r>
    <x v="7"/>
    <x v="31"/>
    <s v="Amount to private sector students"/>
    <m/>
    <m/>
    <x v="12"/>
    <m/>
    <m/>
    <m/>
    <m/>
    <m/>
    <m/>
    <m/>
    <m/>
    <n v="0"/>
    <m/>
    <m/>
    <n v="0"/>
    <n v="0"/>
    <n v="0"/>
    <m/>
    <m/>
    <m/>
    <m/>
    <n v="0"/>
    <m/>
    <m/>
    <n v="0"/>
    <m/>
    <m/>
    <m/>
    <m/>
    <m/>
    <m/>
    <n v="0"/>
    <n v="0"/>
  </r>
  <r>
    <x v="7"/>
    <x v="32"/>
    <s v="Need-based"/>
    <m/>
    <m/>
    <x v="12"/>
    <m/>
    <m/>
    <m/>
    <m/>
    <m/>
    <m/>
    <m/>
    <m/>
    <n v="0"/>
    <m/>
    <m/>
    <n v="0"/>
    <n v="0"/>
    <n v="0"/>
    <n v="162000"/>
    <n v="125750"/>
    <m/>
    <m/>
    <n v="0"/>
    <m/>
    <m/>
    <n v="0"/>
    <m/>
    <m/>
    <m/>
    <m/>
    <m/>
    <m/>
    <n v="162000"/>
    <n v="125750"/>
  </r>
  <r>
    <x v="7"/>
    <x v="33"/>
    <s v="Non-need based"/>
    <m/>
    <m/>
    <x v="12"/>
    <m/>
    <m/>
    <m/>
    <m/>
    <m/>
    <m/>
    <m/>
    <m/>
    <n v="0"/>
    <m/>
    <m/>
    <n v="0"/>
    <n v="0"/>
    <n v="0"/>
    <m/>
    <m/>
    <m/>
    <m/>
    <n v="0"/>
    <m/>
    <m/>
    <n v="0"/>
    <m/>
    <m/>
    <m/>
    <m/>
    <m/>
    <m/>
    <n v="0"/>
    <n v="0"/>
  </r>
  <r>
    <x v="7"/>
    <x v="25"/>
    <s v="Child Care Providers Scholarship"/>
    <m/>
    <m/>
    <x v="12"/>
    <m/>
    <m/>
    <m/>
    <m/>
    <m/>
    <m/>
    <m/>
    <m/>
    <n v="0"/>
    <m/>
    <m/>
    <n v="0"/>
    <n v="0"/>
    <n v="0"/>
    <m/>
    <m/>
    <m/>
    <m/>
    <n v="0"/>
    <m/>
    <m/>
    <n v="0"/>
    <m/>
    <m/>
    <m/>
    <m/>
    <m/>
    <m/>
    <n v="0"/>
    <n v="0"/>
  </r>
  <r>
    <x v="7"/>
    <x v="28"/>
    <s v="Amount to public sector students"/>
    <m/>
    <m/>
    <x v="12"/>
    <m/>
    <m/>
    <m/>
    <m/>
    <m/>
    <m/>
    <m/>
    <m/>
    <n v="0"/>
    <m/>
    <m/>
    <n v="0"/>
    <n v="0"/>
    <n v="0"/>
    <m/>
    <m/>
    <m/>
    <m/>
    <n v="0"/>
    <m/>
    <m/>
    <n v="0"/>
    <m/>
    <m/>
    <m/>
    <m/>
    <m/>
    <m/>
    <n v="0"/>
    <n v="0"/>
  </r>
  <r>
    <x v="7"/>
    <x v="29"/>
    <s v="Need-based"/>
    <m/>
    <m/>
    <x v="12"/>
    <m/>
    <m/>
    <m/>
    <m/>
    <m/>
    <m/>
    <m/>
    <m/>
    <n v="0"/>
    <m/>
    <m/>
    <n v="0"/>
    <n v="0"/>
    <n v="0"/>
    <m/>
    <m/>
    <m/>
    <m/>
    <n v="0"/>
    <m/>
    <m/>
    <n v="0"/>
    <m/>
    <m/>
    <m/>
    <m/>
    <m/>
    <m/>
    <n v="0"/>
    <n v="0"/>
  </r>
  <r>
    <x v="7"/>
    <x v="30"/>
    <s v="Non-need based"/>
    <m/>
    <m/>
    <x v="12"/>
    <m/>
    <m/>
    <m/>
    <m/>
    <m/>
    <m/>
    <m/>
    <m/>
    <n v="0"/>
    <m/>
    <m/>
    <n v="0"/>
    <n v="0"/>
    <n v="0"/>
    <n v="1000"/>
    <n v="0"/>
    <m/>
    <m/>
    <n v="0"/>
    <m/>
    <m/>
    <n v="0"/>
    <m/>
    <m/>
    <m/>
    <m/>
    <m/>
    <m/>
    <n v="1000"/>
    <n v="0"/>
  </r>
  <r>
    <x v="7"/>
    <x v="31"/>
    <s v="Amount to private sector students"/>
    <m/>
    <m/>
    <x v="12"/>
    <m/>
    <m/>
    <m/>
    <m/>
    <m/>
    <m/>
    <m/>
    <m/>
    <n v="0"/>
    <m/>
    <m/>
    <n v="0"/>
    <n v="0"/>
    <n v="0"/>
    <m/>
    <m/>
    <m/>
    <m/>
    <n v="0"/>
    <m/>
    <m/>
    <n v="0"/>
    <m/>
    <m/>
    <m/>
    <m/>
    <m/>
    <m/>
    <n v="0"/>
    <n v="0"/>
  </r>
  <r>
    <x v="7"/>
    <x v="32"/>
    <s v="Need-based"/>
    <m/>
    <m/>
    <x v="12"/>
    <m/>
    <m/>
    <m/>
    <m/>
    <m/>
    <m/>
    <m/>
    <m/>
    <n v="0"/>
    <m/>
    <m/>
    <n v="0"/>
    <n v="0"/>
    <n v="0"/>
    <m/>
    <m/>
    <m/>
    <m/>
    <n v="0"/>
    <m/>
    <m/>
    <n v="0"/>
    <m/>
    <m/>
    <m/>
    <m/>
    <m/>
    <m/>
    <n v="0"/>
    <n v="0"/>
  </r>
  <r>
    <x v="7"/>
    <x v="33"/>
    <s v="Non-need based"/>
    <m/>
    <m/>
    <x v="12"/>
    <m/>
    <m/>
    <m/>
    <m/>
    <m/>
    <m/>
    <m/>
    <m/>
    <n v="0"/>
    <m/>
    <m/>
    <n v="0"/>
    <n v="0"/>
    <n v="0"/>
    <m/>
    <m/>
    <m/>
    <m/>
    <n v="0"/>
    <m/>
    <m/>
    <n v="0"/>
    <m/>
    <m/>
    <m/>
    <m/>
    <m/>
    <m/>
    <n v="0"/>
    <n v="0"/>
  </r>
  <r>
    <x v="7"/>
    <x v="25"/>
    <s v="Developmental Disabilities, Mental Health, Child Welfare, and Juvenile Justice Workforce Tuition Assistance Program "/>
    <m/>
    <m/>
    <x v="12"/>
    <m/>
    <m/>
    <m/>
    <m/>
    <m/>
    <m/>
    <m/>
    <m/>
    <n v="0"/>
    <m/>
    <m/>
    <n v="0"/>
    <n v="0"/>
    <n v="0"/>
    <m/>
    <m/>
    <m/>
    <m/>
    <n v="0"/>
    <m/>
    <m/>
    <n v="0"/>
    <m/>
    <m/>
    <m/>
    <m/>
    <m/>
    <m/>
    <n v="0"/>
    <n v="0"/>
  </r>
  <r>
    <x v="7"/>
    <x v="28"/>
    <s v="Amount to public sector students"/>
    <m/>
    <m/>
    <x v="12"/>
    <m/>
    <m/>
    <m/>
    <m/>
    <m/>
    <m/>
    <m/>
    <m/>
    <n v="0"/>
    <m/>
    <m/>
    <n v="0"/>
    <n v="0"/>
    <n v="0"/>
    <m/>
    <m/>
    <m/>
    <m/>
    <n v="0"/>
    <m/>
    <m/>
    <n v="0"/>
    <m/>
    <m/>
    <m/>
    <m/>
    <m/>
    <m/>
    <n v="0"/>
    <n v="0"/>
  </r>
  <r>
    <x v="7"/>
    <x v="29"/>
    <s v="Need-based"/>
    <m/>
    <m/>
    <x v="12"/>
    <m/>
    <m/>
    <m/>
    <m/>
    <m/>
    <m/>
    <m/>
    <m/>
    <n v="0"/>
    <m/>
    <m/>
    <n v="0"/>
    <n v="0"/>
    <n v="0"/>
    <m/>
    <m/>
    <m/>
    <m/>
    <n v="0"/>
    <m/>
    <m/>
    <n v="0"/>
    <m/>
    <m/>
    <m/>
    <m/>
    <m/>
    <m/>
    <n v="0"/>
    <n v="0"/>
  </r>
  <r>
    <x v="7"/>
    <x v="30"/>
    <s v="Non-need based"/>
    <m/>
    <m/>
    <x v="12"/>
    <m/>
    <m/>
    <m/>
    <m/>
    <m/>
    <m/>
    <m/>
    <m/>
    <n v="0"/>
    <m/>
    <m/>
    <n v="0"/>
    <n v="0"/>
    <n v="0"/>
    <n v="1500"/>
    <n v="0"/>
    <m/>
    <m/>
    <n v="0"/>
    <m/>
    <m/>
    <n v="0"/>
    <m/>
    <m/>
    <m/>
    <m/>
    <m/>
    <m/>
    <n v="1500"/>
    <n v="0"/>
  </r>
  <r>
    <x v="7"/>
    <x v="31"/>
    <s v="Amount to private sector students"/>
    <m/>
    <m/>
    <x v="12"/>
    <m/>
    <m/>
    <m/>
    <m/>
    <m/>
    <m/>
    <m/>
    <m/>
    <n v="0"/>
    <m/>
    <m/>
    <n v="0"/>
    <n v="0"/>
    <n v="0"/>
    <m/>
    <m/>
    <m/>
    <m/>
    <n v="0"/>
    <m/>
    <m/>
    <n v="0"/>
    <m/>
    <m/>
    <m/>
    <m/>
    <m/>
    <m/>
    <n v="0"/>
    <n v="0"/>
  </r>
  <r>
    <x v="7"/>
    <x v="32"/>
    <s v="Need-based"/>
    <m/>
    <m/>
    <x v="12"/>
    <m/>
    <m/>
    <m/>
    <m/>
    <m/>
    <m/>
    <m/>
    <m/>
    <n v="0"/>
    <m/>
    <m/>
    <n v="0"/>
    <n v="0"/>
    <n v="0"/>
    <m/>
    <m/>
    <m/>
    <m/>
    <n v="0"/>
    <m/>
    <m/>
    <n v="0"/>
    <m/>
    <m/>
    <m/>
    <m/>
    <m/>
    <m/>
    <n v="0"/>
    <n v="0"/>
  </r>
  <r>
    <x v="7"/>
    <x v="33"/>
    <s v="Non-need based"/>
    <m/>
    <m/>
    <x v="12"/>
    <m/>
    <m/>
    <m/>
    <m/>
    <m/>
    <m/>
    <m/>
    <m/>
    <n v="0"/>
    <m/>
    <m/>
    <n v="0"/>
    <n v="0"/>
    <n v="0"/>
    <m/>
    <m/>
    <m/>
    <m/>
    <n v="0"/>
    <m/>
    <m/>
    <n v="0"/>
    <m/>
    <m/>
    <m/>
    <m/>
    <m/>
    <m/>
    <n v="0"/>
    <n v="0"/>
  </r>
  <r>
    <x v="7"/>
    <x v="25"/>
    <s v="Distinguished Scholar Community College Transfer Program"/>
    <m/>
    <m/>
    <x v="12"/>
    <m/>
    <m/>
    <m/>
    <m/>
    <m/>
    <m/>
    <m/>
    <m/>
    <n v="0"/>
    <m/>
    <m/>
    <n v="0"/>
    <n v="0"/>
    <n v="0"/>
    <m/>
    <m/>
    <m/>
    <m/>
    <n v="0"/>
    <m/>
    <m/>
    <n v="0"/>
    <m/>
    <m/>
    <m/>
    <m/>
    <m/>
    <m/>
    <n v="0"/>
    <n v="0"/>
  </r>
  <r>
    <x v="7"/>
    <x v="28"/>
    <s v="Amount to public sector students"/>
    <m/>
    <m/>
    <x v="12"/>
    <m/>
    <m/>
    <m/>
    <m/>
    <m/>
    <m/>
    <m/>
    <m/>
    <n v="0"/>
    <m/>
    <m/>
    <n v="0"/>
    <n v="0"/>
    <n v="0"/>
    <m/>
    <m/>
    <m/>
    <m/>
    <n v="0"/>
    <m/>
    <m/>
    <n v="0"/>
    <m/>
    <m/>
    <m/>
    <m/>
    <m/>
    <m/>
    <n v="0"/>
    <n v="0"/>
  </r>
  <r>
    <x v="7"/>
    <x v="29"/>
    <s v="Need-based"/>
    <m/>
    <m/>
    <x v="12"/>
    <m/>
    <m/>
    <m/>
    <m/>
    <m/>
    <m/>
    <m/>
    <m/>
    <n v="0"/>
    <m/>
    <m/>
    <n v="0"/>
    <n v="0"/>
    <n v="0"/>
    <m/>
    <m/>
    <m/>
    <m/>
    <n v="0"/>
    <m/>
    <m/>
    <n v="0"/>
    <m/>
    <m/>
    <m/>
    <m/>
    <m/>
    <m/>
    <n v="0"/>
    <n v="0"/>
  </r>
  <r>
    <x v="7"/>
    <x v="30"/>
    <s v="Non-need based"/>
    <m/>
    <m/>
    <x v="12"/>
    <m/>
    <m/>
    <m/>
    <m/>
    <m/>
    <m/>
    <m/>
    <m/>
    <n v="0"/>
    <m/>
    <m/>
    <n v="0"/>
    <n v="0"/>
    <n v="0"/>
    <n v="102000"/>
    <n v="0"/>
    <m/>
    <m/>
    <n v="0"/>
    <m/>
    <m/>
    <n v="0"/>
    <m/>
    <m/>
    <m/>
    <m/>
    <m/>
    <m/>
    <n v="102000"/>
    <n v="0"/>
  </r>
  <r>
    <x v="7"/>
    <x v="31"/>
    <s v="Amount to private sector students"/>
    <m/>
    <m/>
    <x v="12"/>
    <m/>
    <m/>
    <m/>
    <m/>
    <m/>
    <m/>
    <m/>
    <m/>
    <n v="0"/>
    <m/>
    <m/>
    <n v="0"/>
    <n v="0"/>
    <n v="0"/>
    <m/>
    <m/>
    <m/>
    <m/>
    <n v="0"/>
    <m/>
    <m/>
    <n v="0"/>
    <m/>
    <m/>
    <m/>
    <m/>
    <m/>
    <m/>
    <n v="0"/>
    <n v="0"/>
  </r>
  <r>
    <x v="7"/>
    <x v="32"/>
    <s v="Need-based"/>
    <m/>
    <m/>
    <x v="12"/>
    <m/>
    <m/>
    <m/>
    <m/>
    <m/>
    <m/>
    <m/>
    <m/>
    <n v="0"/>
    <m/>
    <m/>
    <n v="0"/>
    <n v="0"/>
    <n v="0"/>
    <m/>
    <m/>
    <m/>
    <m/>
    <n v="0"/>
    <m/>
    <m/>
    <n v="0"/>
    <m/>
    <m/>
    <m/>
    <m/>
    <m/>
    <m/>
    <n v="0"/>
    <n v="0"/>
  </r>
  <r>
    <x v="7"/>
    <x v="33"/>
    <s v="Non-need based"/>
    <m/>
    <m/>
    <x v="12"/>
    <m/>
    <m/>
    <m/>
    <m/>
    <m/>
    <m/>
    <m/>
    <m/>
    <n v="0"/>
    <m/>
    <m/>
    <n v="0"/>
    <n v="0"/>
    <n v="0"/>
    <n v="4500"/>
    <n v="0"/>
    <m/>
    <m/>
    <n v="0"/>
    <m/>
    <m/>
    <n v="0"/>
    <m/>
    <m/>
    <m/>
    <m/>
    <m/>
    <m/>
    <n v="4500"/>
    <n v="0"/>
  </r>
  <r>
    <x v="7"/>
    <x v="25"/>
    <s v="Gear Up Scholarship"/>
    <m/>
    <m/>
    <x v="12"/>
    <m/>
    <m/>
    <m/>
    <m/>
    <m/>
    <m/>
    <m/>
    <m/>
    <n v="0"/>
    <m/>
    <m/>
    <n v="0"/>
    <n v="0"/>
    <n v="0"/>
    <m/>
    <m/>
    <m/>
    <m/>
    <n v="0"/>
    <m/>
    <m/>
    <n v="0"/>
    <m/>
    <m/>
    <m/>
    <m/>
    <m/>
    <m/>
    <n v="0"/>
    <n v="0"/>
  </r>
  <r>
    <x v="7"/>
    <x v="26"/>
    <s v="Need-based"/>
    <m/>
    <m/>
    <x v="12"/>
    <m/>
    <m/>
    <m/>
    <m/>
    <m/>
    <m/>
    <m/>
    <m/>
    <n v="0"/>
    <m/>
    <m/>
    <n v="0"/>
    <n v="0"/>
    <n v="0"/>
    <m/>
    <m/>
    <m/>
    <m/>
    <n v="0"/>
    <m/>
    <m/>
    <n v="0"/>
    <m/>
    <m/>
    <m/>
    <m/>
    <m/>
    <m/>
    <n v="0"/>
    <n v="0"/>
  </r>
  <r>
    <x v="7"/>
    <x v="28"/>
    <s v="Amount to public sector students"/>
    <m/>
    <m/>
    <x v="12"/>
    <m/>
    <m/>
    <m/>
    <m/>
    <m/>
    <m/>
    <m/>
    <m/>
    <n v="0"/>
    <m/>
    <m/>
    <n v="0"/>
    <n v="0"/>
    <n v="0"/>
    <m/>
    <m/>
    <m/>
    <m/>
    <n v="0"/>
    <m/>
    <m/>
    <n v="0"/>
    <m/>
    <m/>
    <m/>
    <m/>
    <m/>
    <m/>
    <n v="0"/>
    <n v="0"/>
  </r>
  <r>
    <x v="7"/>
    <x v="29"/>
    <s v="Need-based"/>
    <m/>
    <m/>
    <x v="12"/>
    <m/>
    <m/>
    <m/>
    <m/>
    <m/>
    <m/>
    <m/>
    <m/>
    <n v="0"/>
    <m/>
    <m/>
    <n v="0"/>
    <n v="0"/>
    <n v="0"/>
    <m/>
    <m/>
    <m/>
    <m/>
    <n v="0"/>
    <m/>
    <m/>
    <n v="0"/>
    <m/>
    <m/>
    <m/>
    <m/>
    <m/>
    <m/>
    <n v="0"/>
    <n v="0"/>
  </r>
  <r>
    <x v="7"/>
    <x v="30"/>
    <s v="Non-need based"/>
    <m/>
    <m/>
    <x v="12"/>
    <m/>
    <m/>
    <m/>
    <m/>
    <m/>
    <m/>
    <m/>
    <m/>
    <n v="0"/>
    <m/>
    <m/>
    <n v="0"/>
    <n v="0"/>
    <n v="0"/>
    <n v="55830"/>
    <n v="15100"/>
    <m/>
    <m/>
    <n v="0"/>
    <m/>
    <m/>
    <n v="0"/>
    <m/>
    <m/>
    <m/>
    <m/>
    <m/>
    <m/>
    <n v="55830"/>
    <n v="15100"/>
  </r>
  <r>
    <x v="7"/>
    <x v="31"/>
    <s v="Amount to private sector students"/>
    <m/>
    <m/>
    <x v="12"/>
    <m/>
    <m/>
    <m/>
    <m/>
    <m/>
    <m/>
    <m/>
    <m/>
    <n v="0"/>
    <m/>
    <m/>
    <n v="0"/>
    <n v="0"/>
    <n v="0"/>
    <m/>
    <m/>
    <m/>
    <m/>
    <n v="0"/>
    <m/>
    <m/>
    <n v="0"/>
    <m/>
    <m/>
    <m/>
    <m/>
    <m/>
    <m/>
    <n v="0"/>
    <n v="0"/>
  </r>
  <r>
    <x v="7"/>
    <x v="32"/>
    <s v="Need-based"/>
    <m/>
    <m/>
    <x v="12"/>
    <m/>
    <m/>
    <m/>
    <m/>
    <m/>
    <m/>
    <m/>
    <m/>
    <n v="0"/>
    <m/>
    <m/>
    <n v="0"/>
    <n v="0"/>
    <n v="0"/>
    <m/>
    <m/>
    <m/>
    <m/>
    <n v="0"/>
    <m/>
    <m/>
    <n v="0"/>
    <m/>
    <m/>
    <m/>
    <m/>
    <m/>
    <m/>
    <n v="0"/>
    <n v="0"/>
  </r>
  <r>
    <x v="7"/>
    <x v="33"/>
    <s v="Non-need based"/>
    <m/>
    <m/>
    <x v="12"/>
    <m/>
    <m/>
    <m/>
    <m/>
    <m/>
    <m/>
    <m/>
    <m/>
    <n v="0"/>
    <m/>
    <m/>
    <n v="0"/>
    <n v="0"/>
    <n v="0"/>
    <n v="22750"/>
    <n v="1000"/>
    <m/>
    <m/>
    <n v="0"/>
    <m/>
    <m/>
    <n v="0"/>
    <m/>
    <m/>
    <m/>
    <m/>
    <m/>
    <m/>
    <n v="22750"/>
    <n v="1000"/>
  </r>
  <r>
    <x v="7"/>
    <x v="25"/>
    <s v="Graduate Nursing Faculy Scholarship "/>
    <m/>
    <m/>
    <x v="12"/>
    <m/>
    <m/>
    <m/>
    <m/>
    <m/>
    <m/>
    <m/>
    <m/>
    <n v="0"/>
    <m/>
    <m/>
    <n v="0"/>
    <n v="0"/>
    <n v="0"/>
    <m/>
    <m/>
    <m/>
    <m/>
    <n v="0"/>
    <m/>
    <m/>
    <n v="0"/>
    <m/>
    <m/>
    <m/>
    <m/>
    <m/>
    <m/>
    <n v="0"/>
    <n v="0"/>
  </r>
  <r>
    <x v="7"/>
    <x v="28"/>
    <s v="Amount to public sector students"/>
    <m/>
    <m/>
    <x v="12"/>
    <m/>
    <m/>
    <m/>
    <m/>
    <m/>
    <m/>
    <m/>
    <m/>
    <n v="0"/>
    <m/>
    <m/>
    <n v="0"/>
    <n v="0"/>
    <n v="0"/>
    <m/>
    <m/>
    <m/>
    <m/>
    <n v="0"/>
    <m/>
    <m/>
    <n v="0"/>
    <m/>
    <m/>
    <m/>
    <m/>
    <m/>
    <m/>
    <n v="0"/>
    <n v="0"/>
  </r>
  <r>
    <x v="7"/>
    <x v="29"/>
    <s v="Need-based"/>
    <m/>
    <m/>
    <x v="12"/>
    <m/>
    <m/>
    <m/>
    <m/>
    <m/>
    <m/>
    <m/>
    <m/>
    <n v="0"/>
    <m/>
    <m/>
    <n v="0"/>
    <n v="0"/>
    <n v="0"/>
    <m/>
    <m/>
    <m/>
    <m/>
    <n v="0"/>
    <m/>
    <m/>
    <n v="0"/>
    <m/>
    <m/>
    <m/>
    <m/>
    <m/>
    <m/>
    <n v="0"/>
    <n v="0"/>
  </r>
  <r>
    <x v="7"/>
    <x v="30"/>
    <s v="Non-need based"/>
    <m/>
    <m/>
    <x v="12"/>
    <m/>
    <m/>
    <m/>
    <m/>
    <m/>
    <m/>
    <m/>
    <m/>
    <n v="0"/>
    <m/>
    <m/>
    <n v="0"/>
    <n v="0"/>
    <n v="0"/>
    <n v="1315707"/>
    <n v="1031917"/>
    <m/>
    <m/>
    <n v="0"/>
    <m/>
    <m/>
    <n v="0"/>
    <m/>
    <m/>
    <m/>
    <m/>
    <m/>
    <m/>
    <n v="1315707"/>
    <n v="1031917"/>
  </r>
  <r>
    <x v="7"/>
    <x v="31"/>
    <s v="Amount to private sector students"/>
    <m/>
    <m/>
    <x v="12"/>
    <m/>
    <m/>
    <m/>
    <m/>
    <m/>
    <m/>
    <m/>
    <m/>
    <n v="0"/>
    <m/>
    <m/>
    <n v="0"/>
    <n v="0"/>
    <n v="0"/>
    <m/>
    <m/>
    <m/>
    <m/>
    <n v="0"/>
    <m/>
    <m/>
    <n v="0"/>
    <m/>
    <m/>
    <m/>
    <m/>
    <m/>
    <m/>
    <n v="0"/>
    <n v="0"/>
  </r>
  <r>
    <x v="7"/>
    <x v="32"/>
    <s v="Need-based"/>
    <m/>
    <m/>
    <x v="12"/>
    <m/>
    <m/>
    <m/>
    <m/>
    <m/>
    <m/>
    <m/>
    <m/>
    <n v="0"/>
    <m/>
    <m/>
    <n v="0"/>
    <n v="0"/>
    <n v="0"/>
    <m/>
    <m/>
    <m/>
    <m/>
    <n v="0"/>
    <m/>
    <m/>
    <n v="0"/>
    <m/>
    <m/>
    <m/>
    <m/>
    <m/>
    <m/>
    <n v="0"/>
    <n v="0"/>
  </r>
  <r>
    <x v="7"/>
    <x v="33"/>
    <s v="Non-need based"/>
    <m/>
    <m/>
    <x v="12"/>
    <m/>
    <m/>
    <m/>
    <m/>
    <m/>
    <m/>
    <m/>
    <m/>
    <n v="0"/>
    <m/>
    <m/>
    <n v="0"/>
    <n v="0"/>
    <n v="0"/>
    <n v="414898"/>
    <n v="510965"/>
    <m/>
    <m/>
    <n v="0"/>
    <m/>
    <m/>
    <n v="0"/>
    <m/>
    <m/>
    <m/>
    <m/>
    <m/>
    <m/>
    <n v="414898"/>
    <n v="510965"/>
  </r>
  <r>
    <x v="7"/>
    <x v="25"/>
    <s v="Graduate Nursing Faculy Living Expenses Grant "/>
    <m/>
    <m/>
    <x v="12"/>
    <m/>
    <m/>
    <m/>
    <m/>
    <m/>
    <m/>
    <m/>
    <m/>
    <n v="0"/>
    <m/>
    <m/>
    <n v="0"/>
    <n v="0"/>
    <n v="0"/>
    <m/>
    <m/>
    <m/>
    <m/>
    <n v="0"/>
    <m/>
    <m/>
    <n v="0"/>
    <m/>
    <m/>
    <m/>
    <m/>
    <m/>
    <m/>
    <n v="0"/>
    <n v="0"/>
  </r>
  <r>
    <x v="7"/>
    <x v="28"/>
    <s v="Amount to public sector students"/>
    <m/>
    <m/>
    <x v="12"/>
    <m/>
    <m/>
    <m/>
    <m/>
    <m/>
    <m/>
    <m/>
    <m/>
    <n v="0"/>
    <m/>
    <m/>
    <n v="0"/>
    <n v="0"/>
    <n v="0"/>
    <m/>
    <m/>
    <m/>
    <m/>
    <n v="0"/>
    <m/>
    <m/>
    <n v="0"/>
    <m/>
    <m/>
    <m/>
    <m/>
    <m/>
    <m/>
    <n v="0"/>
    <n v="0"/>
  </r>
  <r>
    <x v="7"/>
    <x v="29"/>
    <s v="Need-based"/>
    <m/>
    <m/>
    <x v="12"/>
    <m/>
    <m/>
    <m/>
    <m/>
    <m/>
    <m/>
    <m/>
    <m/>
    <n v="0"/>
    <m/>
    <m/>
    <n v="0"/>
    <n v="0"/>
    <n v="0"/>
    <m/>
    <m/>
    <m/>
    <m/>
    <n v="0"/>
    <m/>
    <m/>
    <n v="0"/>
    <m/>
    <m/>
    <m/>
    <m/>
    <m/>
    <m/>
    <n v="0"/>
    <n v="0"/>
  </r>
  <r>
    <x v="7"/>
    <x v="30"/>
    <s v="Non-need based"/>
    <m/>
    <m/>
    <x v="12"/>
    <m/>
    <m/>
    <m/>
    <m/>
    <m/>
    <m/>
    <m/>
    <m/>
    <n v="0"/>
    <m/>
    <m/>
    <n v="0"/>
    <n v="0"/>
    <n v="0"/>
    <n v="2125000"/>
    <n v="721250"/>
    <m/>
    <m/>
    <n v="0"/>
    <m/>
    <m/>
    <n v="0"/>
    <m/>
    <m/>
    <m/>
    <m/>
    <m/>
    <m/>
    <n v="2125000"/>
    <n v="721250"/>
  </r>
  <r>
    <x v="7"/>
    <x v="31"/>
    <s v="Amount to private sector students"/>
    <m/>
    <m/>
    <x v="12"/>
    <m/>
    <m/>
    <m/>
    <m/>
    <m/>
    <m/>
    <m/>
    <m/>
    <n v="0"/>
    <m/>
    <m/>
    <n v="0"/>
    <n v="0"/>
    <n v="0"/>
    <m/>
    <m/>
    <m/>
    <m/>
    <n v="0"/>
    <m/>
    <m/>
    <n v="0"/>
    <m/>
    <m/>
    <m/>
    <m/>
    <m/>
    <m/>
    <n v="0"/>
    <n v="0"/>
  </r>
  <r>
    <x v="7"/>
    <x v="32"/>
    <s v="Need-based"/>
    <m/>
    <m/>
    <x v="12"/>
    <m/>
    <m/>
    <m/>
    <m/>
    <m/>
    <m/>
    <m/>
    <m/>
    <n v="0"/>
    <m/>
    <m/>
    <n v="0"/>
    <n v="0"/>
    <n v="0"/>
    <m/>
    <m/>
    <m/>
    <m/>
    <n v="0"/>
    <m/>
    <m/>
    <n v="0"/>
    <m/>
    <m/>
    <m/>
    <m/>
    <m/>
    <m/>
    <n v="0"/>
    <n v="0"/>
  </r>
  <r>
    <x v="7"/>
    <x v="33"/>
    <s v="Non-need based"/>
    <m/>
    <m/>
    <x v="12"/>
    <m/>
    <m/>
    <m/>
    <m/>
    <m/>
    <m/>
    <m/>
    <m/>
    <n v="0"/>
    <m/>
    <m/>
    <n v="0"/>
    <n v="0"/>
    <n v="0"/>
    <n v="418750"/>
    <n v="227000"/>
    <m/>
    <m/>
    <n v="0"/>
    <m/>
    <m/>
    <n v="0"/>
    <m/>
    <m/>
    <m/>
    <m/>
    <m/>
    <m/>
    <n v="418750"/>
    <n v="227000"/>
  </r>
  <r>
    <x v="7"/>
    <x v="25"/>
    <s v="Veterans of Afghanistan and Iraq Conflicts Scholarship "/>
    <m/>
    <m/>
    <x v="12"/>
    <m/>
    <m/>
    <m/>
    <m/>
    <m/>
    <m/>
    <m/>
    <m/>
    <n v="0"/>
    <m/>
    <m/>
    <n v="0"/>
    <n v="0"/>
    <n v="0"/>
    <m/>
    <m/>
    <m/>
    <m/>
    <n v="0"/>
    <m/>
    <m/>
    <n v="0"/>
    <m/>
    <m/>
    <m/>
    <m/>
    <m/>
    <m/>
    <n v="0"/>
    <n v="0"/>
  </r>
  <r>
    <x v="7"/>
    <x v="28"/>
    <s v="Amount to public sector students"/>
    <m/>
    <m/>
    <x v="12"/>
    <m/>
    <m/>
    <m/>
    <m/>
    <m/>
    <m/>
    <m/>
    <m/>
    <n v="0"/>
    <m/>
    <m/>
    <n v="0"/>
    <n v="0"/>
    <n v="0"/>
    <m/>
    <m/>
    <m/>
    <m/>
    <n v="0"/>
    <m/>
    <m/>
    <n v="0"/>
    <m/>
    <m/>
    <m/>
    <m/>
    <m/>
    <m/>
    <n v="0"/>
    <n v="0"/>
  </r>
  <r>
    <x v="7"/>
    <x v="29"/>
    <s v="Need-based"/>
    <m/>
    <m/>
    <x v="12"/>
    <m/>
    <m/>
    <m/>
    <m/>
    <m/>
    <m/>
    <m/>
    <m/>
    <n v="0"/>
    <m/>
    <m/>
    <n v="0"/>
    <n v="0"/>
    <n v="0"/>
    <m/>
    <m/>
    <m/>
    <m/>
    <n v="0"/>
    <m/>
    <m/>
    <n v="0"/>
    <m/>
    <m/>
    <m/>
    <m/>
    <m/>
    <m/>
    <n v="0"/>
    <n v="0"/>
  </r>
  <r>
    <x v="7"/>
    <x v="30"/>
    <s v="Non-need based"/>
    <m/>
    <m/>
    <x v="12"/>
    <m/>
    <m/>
    <m/>
    <m/>
    <m/>
    <m/>
    <m/>
    <m/>
    <n v="0"/>
    <m/>
    <m/>
    <n v="0"/>
    <n v="0"/>
    <n v="0"/>
    <n v="647112"/>
    <n v="713516"/>
    <m/>
    <m/>
    <n v="0"/>
    <m/>
    <m/>
    <n v="0"/>
    <m/>
    <m/>
    <m/>
    <m/>
    <m/>
    <m/>
    <n v="647112"/>
    <n v="713516"/>
  </r>
  <r>
    <x v="7"/>
    <x v="31"/>
    <s v="Amount to private sector students"/>
    <m/>
    <m/>
    <x v="12"/>
    <m/>
    <m/>
    <m/>
    <m/>
    <m/>
    <m/>
    <m/>
    <m/>
    <n v="0"/>
    <m/>
    <m/>
    <n v="0"/>
    <n v="0"/>
    <n v="0"/>
    <m/>
    <m/>
    <m/>
    <m/>
    <n v="0"/>
    <m/>
    <m/>
    <n v="0"/>
    <m/>
    <m/>
    <m/>
    <m/>
    <m/>
    <m/>
    <n v="0"/>
    <n v="0"/>
  </r>
  <r>
    <x v="7"/>
    <x v="32"/>
    <s v="Need-based"/>
    <m/>
    <m/>
    <x v="12"/>
    <m/>
    <m/>
    <m/>
    <m/>
    <m/>
    <m/>
    <m/>
    <m/>
    <n v="0"/>
    <m/>
    <m/>
    <n v="0"/>
    <n v="0"/>
    <n v="0"/>
    <m/>
    <m/>
    <m/>
    <m/>
    <n v="0"/>
    <m/>
    <m/>
    <n v="0"/>
    <m/>
    <m/>
    <m/>
    <m/>
    <m/>
    <m/>
    <n v="0"/>
    <n v="0"/>
  </r>
  <r>
    <x v="7"/>
    <x v="33"/>
    <s v="Non-need based"/>
    <m/>
    <m/>
    <x v="12"/>
    <m/>
    <m/>
    <m/>
    <m/>
    <m/>
    <m/>
    <m/>
    <m/>
    <n v="0"/>
    <m/>
    <m/>
    <n v="0"/>
    <n v="0"/>
    <n v="0"/>
    <n v="80723"/>
    <n v="113395"/>
    <m/>
    <m/>
    <n v="0"/>
    <m/>
    <m/>
    <n v="0"/>
    <m/>
    <m/>
    <m/>
    <m/>
    <m/>
    <m/>
    <n v="80723"/>
    <n v="113395"/>
  </r>
  <r>
    <x v="7"/>
    <x v="25"/>
    <s v="Workforce Shortage Student Assistance Grant"/>
    <m/>
    <m/>
    <x v="12"/>
    <m/>
    <m/>
    <m/>
    <m/>
    <m/>
    <m/>
    <m/>
    <m/>
    <n v="0"/>
    <m/>
    <m/>
    <n v="0"/>
    <n v="0"/>
    <n v="0"/>
    <m/>
    <m/>
    <m/>
    <m/>
    <n v="0"/>
    <m/>
    <m/>
    <n v="0"/>
    <m/>
    <m/>
    <m/>
    <m/>
    <m/>
    <m/>
    <n v="0"/>
    <n v="0"/>
  </r>
  <r>
    <x v="7"/>
    <x v="28"/>
    <s v="Amount to public sector students"/>
    <m/>
    <m/>
    <x v="12"/>
    <m/>
    <m/>
    <m/>
    <m/>
    <m/>
    <m/>
    <m/>
    <m/>
    <n v="0"/>
    <m/>
    <m/>
    <n v="0"/>
    <n v="0"/>
    <n v="0"/>
    <m/>
    <m/>
    <m/>
    <m/>
    <n v="0"/>
    <m/>
    <m/>
    <n v="0"/>
    <m/>
    <m/>
    <m/>
    <m/>
    <m/>
    <m/>
    <n v="0"/>
    <n v="0"/>
  </r>
  <r>
    <x v="7"/>
    <x v="29"/>
    <s v="Need-based"/>
    <m/>
    <m/>
    <x v="12"/>
    <m/>
    <m/>
    <m/>
    <m/>
    <m/>
    <m/>
    <m/>
    <m/>
    <n v="0"/>
    <m/>
    <m/>
    <n v="0"/>
    <n v="0"/>
    <n v="0"/>
    <n v="706750"/>
    <n v="899750"/>
    <m/>
    <m/>
    <n v="0"/>
    <m/>
    <m/>
    <n v="0"/>
    <m/>
    <m/>
    <m/>
    <m/>
    <m/>
    <m/>
    <n v="706750"/>
    <n v="899750"/>
  </r>
  <r>
    <x v="7"/>
    <x v="30"/>
    <s v="Non-need based"/>
    <m/>
    <m/>
    <x v="12"/>
    <m/>
    <m/>
    <m/>
    <m/>
    <m/>
    <m/>
    <m/>
    <m/>
    <n v="0"/>
    <m/>
    <m/>
    <n v="0"/>
    <n v="0"/>
    <n v="0"/>
    <m/>
    <m/>
    <m/>
    <m/>
    <n v="0"/>
    <m/>
    <m/>
    <n v="0"/>
    <m/>
    <m/>
    <m/>
    <m/>
    <m/>
    <m/>
    <n v="0"/>
    <n v="0"/>
  </r>
  <r>
    <x v="7"/>
    <x v="31"/>
    <s v="Amount to private sector students"/>
    <m/>
    <m/>
    <x v="12"/>
    <m/>
    <m/>
    <m/>
    <m/>
    <m/>
    <m/>
    <m/>
    <m/>
    <n v="0"/>
    <m/>
    <m/>
    <n v="0"/>
    <n v="0"/>
    <n v="0"/>
    <m/>
    <m/>
    <m/>
    <m/>
    <n v="0"/>
    <m/>
    <m/>
    <n v="0"/>
    <m/>
    <m/>
    <m/>
    <m/>
    <m/>
    <m/>
    <n v="0"/>
    <n v="0"/>
  </r>
  <r>
    <x v="7"/>
    <x v="32"/>
    <s v="Need-based"/>
    <m/>
    <m/>
    <x v="12"/>
    <m/>
    <m/>
    <m/>
    <m/>
    <m/>
    <m/>
    <m/>
    <m/>
    <n v="0"/>
    <m/>
    <m/>
    <n v="0"/>
    <n v="0"/>
    <n v="0"/>
    <n v="235500"/>
    <n v="293500"/>
    <m/>
    <m/>
    <n v="0"/>
    <m/>
    <m/>
    <n v="0"/>
    <m/>
    <m/>
    <m/>
    <m/>
    <m/>
    <m/>
    <n v="235500"/>
    <n v="293500"/>
  </r>
  <r>
    <x v="7"/>
    <x v="33"/>
    <s v="Non-need based"/>
    <m/>
    <m/>
    <x v="12"/>
    <m/>
    <m/>
    <m/>
    <m/>
    <m/>
    <m/>
    <m/>
    <m/>
    <n v="0"/>
    <m/>
    <m/>
    <n v="0"/>
    <n v="0"/>
    <n v="0"/>
    <m/>
    <m/>
    <m/>
    <m/>
    <n v="0"/>
    <m/>
    <m/>
    <n v="0"/>
    <m/>
    <m/>
    <m/>
    <m/>
    <m/>
    <m/>
    <n v="0"/>
    <n v="0"/>
  </r>
  <r>
    <x v="7"/>
    <x v="34"/>
    <s v="Limited to public college students only"/>
    <m/>
    <m/>
    <x v="12"/>
    <m/>
    <m/>
    <m/>
    <m/>
    <m/>
    <m/>
    <m/>
    <m/>
    <n v="0"/>
    <m/>
    <m/>
    <n v="0"/>
    <n v="0"/>
    <n v="0"/>
    <m/>
    <m/>
    <m/>
    <m/>
    <n v="0"/>
    <m/>
    <m/>
    <n v="0"/>
    <m/>
    <m/>
    <m/>
    <m/>
    <m/>
    <m/>
    <n v="0"/>
    <n v="0"/>
  </r>
  <r>
    <x v="7"/>
    <x v="35"/>
    <s v="Need-based"/>
    <m/>
    <m/>
    <x v="12"/>
    <m/>
    <m/>
    <m/>
    <m/>
    <m/>
    <m/>
    <m/>
    <m/>
    <n v="0"/>
    <m/>
    <m/>
    <n v="0"/>
    <n v="0"/>
    <n v="0"/>
    <m/>
    <m/>
    <m/>
    <m/>
    <n v="0"/>
    <m/>
    <m/>
    <n v="0"/>
    <m/>
    <m/>
    <m/>
    <m/>
    <m/>
    <m/>
    <n v="0"/>
    <n v="0"/>
  </r>
  <r>
    <x v="7"/>
    <x v="36"/>
    <s v="Non need-based"/>
    <m/>
    <m/>
    <x v="12"/>
    <m/>
    <m/>
    <m/>
    <m/>
    <m/>
    <m/>
    <m/>
    <m/>
    <n v="0"/>
    <m/>
    <m/>
    <n v="0"/>
    <n v="0"/>
    <n v="0"/>
    <m/>
    <m/>
    <m/>
    <m/>
    <n v="0"/>
    <m/>
    <m/>
    <n v="0"/>
    <m/>
    <m/>
    <m/>
    <m/>
    <m/>
    <m/>
    <n v="0"/>
    <n v="0"/>
  </r>
  <r>
    <x v="7"/>
    <x v="37"/>
    <s v="Limited to private college students"/>
    <m/>
    <m/>
    <x v="12"/>
    <m/>
    <m/>
    <m/>
    <m/>
    <m/>
    <m/>
    <m/>
    <m/>
    <n v="0"/>
    <m/>
    <m/>
    <n v="0"/>
    <n v="0"/>
    <n v="0"/>
    <m/>
    <m/>
    <m/>
    <m/>
    <n v="0"/>
    <m/>
    <m/>
    <n v="0"/>
    <m/>
    <m/>
    <m/>
    <m/>
    <m/>
    <m/>
    <n v="0"/>
    <n v="0"/>
  </r>
  <r>
    <x v="7"/>
    <x v="38"/>
    <s v="Need-based"/>
    <m/>
    <m/>
    <x v="12"/>
    <m/>
    <m/>
    <m/>
    <m/>
    <m/>
    <m/>
    <m/>
    <m/>
    <n v="0"/>
    <m/>
    <m/>
    <n v="0"/>
    <n v="0"/>
    <n v="0"/>
    <m/>
    <m/>
    <m/>
    <m/>
    <n v="0"/>
    <m/>
    <m/>
    <n v="0"/>
    <m/>
    <m/>
    <m/>
    <m/>
    <m/>
    <m/>
    <n v="0"/>
    <n v="0"/>
  </r>
  <r>
    <x v="7"/>
    <x v="39"/>
    <s v="Non need-based"/>
    <m/>
    <m/>
    <x v="12"/>
    <m/>
    <m/>
    <m/>
    <m/>
    <m/>
    <m/>
    <m/>
    <m/>
    <n v="0"/>
    <m/>
    <m/>
    <n v="0"/>
    <n v="0"/>
    <n v="0"/>
    <m/>
    <m/>
    <m/>
    <m/>
    <n v="0"/>
    <m/>
    <m/>
    <n v="0"/>
    <m/>
    <m/>
    <m/>
    <m/>
    <m/>
    <m/>
    <n v="0"/>
    <n v="0"/>
  </r>
  <r>
    <x v="8"/>
    <x v="0"/>
    <s v="Mississippi State University"/>
    <m/>
    <n v="176080"/>
    <x v="0"/>
    <n v="87334564"/>
    <n v="86529479"/>
    <m/>
    <m/>
    <m/>
    <m/>
    <n v="143632798"/>
    <m/>
    <n v="143632798"/>
    <n v="152943035"/>
    <m/>
    <n v="152943035"/>
    <n v="230967362"/>
    <n v="239472514"/>
    <m/>
    <m/>
    <m/>
    <m/>
    <n v="0"/>
    <m/>
    <m/>
    <n v="0"/>
    <m/>
    <m/>
    <m/>
    <m/>
    <m/>
    <m/>
    <n v="230967362"/>
    <n v="239472514"/>
  </r>
  <r>
    <x v="8"/>
    <x v="1"/>
    <s v="Vet Med School"/>
    <m/>
    <n v="176080"/>
    <x v="0"/>
    <m/>
    <m/>
    <m/>
    <m/>
    <m/>
    <m/>
    <m/>
    <m/>
    <n v="0"/>
    <m/>
    <m/>
    <n v="0"/>
    <n v="0"/>
    <n v="0"/>
    <m/>
    <m/>
    <m/>
    <m/>
    <n v="0"/>
    <m/>
    <m/>
    <n v="0"/>
    <n v="16203711"/>
    <n v="16203711"/>
    <n v="9350000"/>
    <m/>
    <n v="9550000"/>
    <n v="0"/>
    <n v="25553711"/>
    <n v="25753711"/>
  </r>
  <r>
    <x v="8"/>
    <x v="5"/>
    <s v="Agricultural Cooperative Extension"/>
    <m/>
    <n v="176080"/>
    <x v="0"/>
    <m/>
    <m/>
    <n v="27369914"/>
    <n v="27369914"/>
    <m/>
    <m/>
    <m/>
    <m/>
    <n v="0"/>
    <m/>
    <m/>
    <n v="0"/>
    <n v="27369914"/>
    <n v="27369914"/>
    <m/>
    <m/>
    <m/>
    <m/>
    <n v="0"/>
    <m/>
    <m/>
    <n v="0"/>
    <m/>
    <m/>
    <m/>
    <m/>
    <m/>
    <m/>
    <n v="27369914"/>
    <n v="27369914"/>
  </r>
  <r>
    <x v="8"/>
    <x v="6"/>
    <s v="Agricultural Experiment Stations"/>
    <m/>
    <n v="176080"/>
    <x v="0"/>
    <m/>
    <m/>
    <n v="21365833"/>
    <n v="21365833"/>
    <m/>
    <m/>
    <m/>
    <m/>
    <n v="0"/>
    <m/>
    <m/>
    <n v="0"/>
    <n v="21365833"/>
    <n v="21365833"/>
    <m/>
    <m/>
    <m/>
    <m/>
    <n v="0"/>
    <m/>
    <m/>
    <n v="0"/>
    <m/>
    <m/>
    <m/>
    <m/>
    <m/>
    <m/>
    <n v="21365833"/>
    <n v="21365833"/>
  </r>
  <r>
    <x v="8"/>
    <x v="7"/>
    <s v="Research Units"/>
    <m/>
    <n v="176080"/>
    <x v="0"/>
    <m/>
    <m/>
    <m/>
    <m/>
    <m/>
    <m/>
    <m/>
    <m/>
    <n v="0"/>
    <m/>
    <m/>
    <n v="0"/>
    <n v="0"/>
    <n v="0"/>
    <m/>
    <m/>
    <m/>
    <m/>
    <n v="0"/>
    <m/>
    <m/>
    <n v="0"/>
    <m/>
    <m/>
    <m/>
    <m/>
    <m/>
    <m/>
    <n v="0"/>
    <n v="0"/>
  </r>
  <r>
    <x v="8"/>
    <x v="7"/>
    <s v="State Chemical Lab"/>
    <m/>
    <n v="176080"/>
    <x v="0"/>
    <m/>
    <m/>
    <n v="1623849"/>
    <n v="1743849"/>
    <m/>
    <m/>
    <m/>
    <m/>
    <n v="0"/>
    <m/>
    <m/>
    <n v="0"/>
    <n v="1623849"/>
    <n v="1743849"/>
    <m/>
    <m/>
    <m/>
    <m/>
    <n v="0"/>
    <m/>
    <m/>
    <n v="0"/>
    <m/>
    <m/>
    <m/>
    <m/>
    <m/>
    <m/>
    <n v="1623849"/>
    <n v="1743849"/>
  </r>
  <r>
    <x v="8"/>
    <x v="7"/>
    <s v="Forest/wildlife Research Center"/>
    <m/>
    <n v="176080"/>
    <x v="0"/>
    <m/>
    <m/>
    <n v="5392854"/>
    <n v="5392854"/>
    <m/>
    <m/>
    <m/>
    <m/>
    <n v="0"/>
    <m/>
    <m/>
    <n v="0"/>
    <n v="5392854"/>
    <n v="5392854"/>
    <m/>
    <m/>
    <m/>
    <m/>
    <n v="0"/>
    <m/>
    <m/>
    <n v="0"/>
    <m/>
    <m/>
    <m/>
    <m/>
    <m/>
    <m/>
    <n v="5392854"/>
    <n v="5392854"/>
  </r>
  <r>
    <x v="8"/>
    <x v="7"/>
    <s v="Water resources institute"/>
    <m/>
    <n v="176080"/>
    <x v="0"/>
    <m/>
    <m/>
    <n v="120531"/>
    <n v="180531"/>
    <m/>
    <m/>
    <m/>
    <m/>
    <n v="0"/>
    <m/>
    <m/>
    <n v="0"/>
    <n v="120531"/>
    <n v="180531"/>
    <m/>
    <m/>
    <m/>
    <m/>
    <n v="0"/>
    <m/>
    <m/>
    <n v="0"/>
    <m/>
    <m/>
    <m/>
    <m/>
    <m/>
    <m/>
    <n v="120531"/>
    <n v="180531"/>
  </r>
  <r>
    <x v="8"/>
    <x v="7"/>
    <s v="Stennis Institute"/>
    <m/>
    <n v="176080"/>
    <x v="0"/>
    <m/>
    <m/>
    <n v="917452"/>
    <n v="901782"/>
    <m/>
    <m/>
    <m/>
    <m/>
    <n v="0"/>
    <m/>
    <m/>
    <n v="0"/>
    <n v="917452"/>
    <n v="901782"/>
    <m/>
    <m/>
    <m/>
    <m/>
    <n v="0"/>
    <m/>
    <m/>
    <n v="0"/>
    <m/>
    <m/>
    <m/>
    <m/>
    <m/>
    <m/>
    <n v="917452"/>
    <n v="901782"/>
  </r>
  <r>
    <x v="8"/>
    <x v="7"/>
    <s v="Advanced Vehicular Systems"/>
    <m/>
    <n v="176080"/>
    <x v="0"/>
    <m/>
    <m/>
    <n v="3338190"/>
    <n v="3300000"/>
    <m/>
    <m/>
    <m/>
    <m/>
    <n v="0"/>
    <m/>
    <m/>
    <n v="0"/>
    <n v="3338190"/>
    <n v="3300000"/>
    <m/>
    <m/>
    <m/>
    <m/>
    <n v="0"/>
    <m/>
    <m/>
    <n v="0"/>
    <m/>
    <m/>
    <m/>
    <m/>
    <m/>
    <m/>
    <n v="3338190"/>
    <n v="3300000"/>
  </r>
  <r>
    <x v="8"/>
    <x v="0"/>
    <s v="University of Southern Mississippi"/>
    <s v="Met the criteria for Four-Year 2 in 2012-13."/>
    <n v="176372"/>
    <x v="0"/>
    <n v="78298084"/>
    <n v="77868748"/>
    <m/>
    <m/>
    <m/>
    <m/>
    <n v="98769876"/>
    <m/>
    <n v="98769876"/>
    <n v="106955807"/>
    <m/>
    <n v="106955807"/>
    <n v="177067960"/>
    <n v="184824555"/>
    <m/>
    <m/>
    <m/>
    <m/>
    <n v="0"/>
    <m/>
    <m/>
    <n v="0"/>
    <m/>
    <m/>
    <m/>
    <m/>
    <m/>
    <m/>
    <n v="177067960"/>
    <n v="184824555"/>
  </r>
  <r>
    <x v="8"/>
    <x v="7"/>
    <s v="Research Units"/>
    <m/>
    <n v="176372"/>
    <x v="0"/>
    <m/>
    <m/>
    <m/>
    <m/>
    <m/>
    <m/>
    <m/>
    <m/>
    <n v="0"/>
    <m/>
    <m/>
    <n v="0"/>
    <n v="0"/>
    <n v="0"/>
    <m/>
    <m/>
    <m/>
    <m/>
    <n v="0"/>
    <m/>
    <m/>
    <n v="0"/>
    <m/>
    <m/>
    <m/>
    <m/>
    <m/>
    <m/>
    <n v="0"/>
    <n v="0"/>
  </r>
  <r>
    <x v="8"/>
    <x v="7"/>
    <s v="Gulf-Coast Research Lab"/>
    <m/>
    <n v="176372"/>
    <x v="0"/>
    <m/>
    <m/>
    <n v="3190734"/>
    <n v="3176881"/>
    <m/>
    <m/>
    <n v="319000"/>
    <m/>
    <n v="319000"/>
    <n v="347000"/>
    <m/>
    <n v="347000"/>
    <n v="3509734"/>
    <n v="3523881"/>
    <m/>
    <m/>
    <m/>
    <m/>
    <n v="0"/>
    <m/>
    <m/>
    <n v="0"/>
    <m/>
    <m/>
    <m/>
    <m/>
    <m/>
    <m/>
    <n v="3509734"/>
    <n v="3523881"/>
  </r>
  <r>
    <x v="8"/>
    <x v="7"/>
    <s v="Polymer Institute"/>
    <m/>
    <n v="176372"/>
    <x v="0"/>
    <m/>
    <m/>
    <n v="668440"/>
    <n v="668440"/>
    <m/>
    <m/>
    <m/>
    <m/>
    <n v="0"/>
    <m/>
    <m/>
    <n v="0"/>
    <n v="668440"/>
    <n v="668440"/>
    <m/>
    <m/>
    <m/>
    <m/>
    <n v="0"/>
    <m/>
    <m/>
    <n v="0"/>
    <m/>
    <m/>
    <m/>
    <m/>
    <m/>
    <m/>
    <n v="668440"/>
    <n v="668440"/>
  </r>
  <r>
    <x v="8"/>
    <x v="7"/>
    <s v="Stennis Center"/>
    <m/>
    <n v="176372"/>
    <x v="0"/>
    <m/>
    <m/>
    <n v="438706"/>
    <n v="436618"/>
    <m/>
    <m/>
    <m/>
    <m/>
    <n v="0"/>
    <m/>
    <m/>
    <n v="0"/>
    <n v="438706"/>
    <n v="436618"/>
    <m/>
    <m/>
    <m/>
    <m/>
    <n v="0"/>
    <m/>
    <m/>
    <n v="0"/>
    <m/>
    <m/>
    <m/>
    <m/>
    <m/>
    <m/>
    <n v="438706"/>
    <n v="436618"/>
  </r>
  <r>
    <x v="8"/>
    <x v="0"/>
    <s v="Jackson State University "/>
    <m/>
    <n v="175856"/>
    <x v="1"/>
    <n v="47712554"/>
    <n v="47630108"/>
    <m/>
    <m/>
    <m/>
    <m/>
    <n v="46727056"/>
    <m/>
    <n v="46727056"/>
    <n v="50792633"/>
    <m/>
    <n v="50792633"/>
    <n v="94439610"/>
    <n v="98422741"/>
    <m/>
    <m/>
    <m/>
    <m/>
    <n v="0"/>
    <m/>
    <m/>
    <n v="0"/>
    <m/>
    <m/>
    <m/>
    <m/>
    <m/>
    <m/>
    <n v="94439610"/>
    <n v="98422741"/>
  </r>
  <r>
    <x v="8"/>
    <x v="7"/>
    <s v="Urban Research Center"/>
    <m/>
    <n v="175856"/>
    <x v="1"/>
    <m/>
    <m/>
    <n v="495734"/>
    <n v="515734"/>
    <m/>
    <m/>
    <m/>
    <m/>
    <n v="0"/>
    <m/>
    <m/>
    <n v="0"/>
    <n v="495734"/>
    <n v="515734"/>
    <m/>
    <m/>
    <m/>
    <m/>
    <n v="0"/>
    <m/>
    <m/>
    <n v="0"/>
    <m/>
    <m/>
    <m/>
    <m/>
    <m/>
    <m/>
    <n v="495734"/>
    <n v="515734"/>
  </r>
  <r>
    <x v="8"/>
    <x v="0"/>
    <s v="University of Mississippi"/>
    <m/>
    <n v="176017"/>
    <x v="1"/>
    <n v="72140339"/>
    <n v="71549034"/>
    <m/>
    <m/>
    <m/>
    <m/>
    <n v="159697267"/>
    <m/>
    <n v="159697267"/>
    <n v="181158731"/>
    <m/>
    <n v="181158731"/>
    <n v="231837606"/>
    <n v="252707765"/>
    <m/>
    <m/>
    <m/>
    <m/>
    <n v="0"/>
    <m/>
    <m/>
    <n v="0"/>
    <m/>
    <m/>
    <m/>
    <m/>
    <m/>
    <m/>
    <n v="231837606"/>
    <n v="252707765"/>
  </r>
  <r>
    <x v="8"/>
    <x v="3"/>
    <s v="Community/Public Service  Units"/>
    <m/>
    <n v="176017"/>
    <x v="1"/>
    <m/>
    <m/>
    <m/>
    <m/>
    <m/>
    <m/>
    <m/>
    <m/>
    <n v="0"/>
    <m/>
    <m/>
    <n v="0"/>
    <n v="0"/>
    <n v="0"/>
    <m/>
    <m/>
    <m/>
    <m/>
    <n v="0"/>
    <m/>
    <m/>
    <n v="0"/>
    <m/>
    <m/>
    <m/>
    <m/>
    <m/>
    <m/>
    <n v="0"/>
    <n v="0"/>
  </r>
  <r>
    <x v="8"/>
    <x v="3"/>
    <s v="Small Business Development Ctr."/>
    <m/>
    <n v="176017"/>
    <x v="1"/>
    <m/>
    <m/>
    <n v="238435"/>
    <n v="231222"/>
    <m/>
    <m/>
    <m/>
    <m/>
    <n v="0"/>
    <m/>
    <m/>
    <n v="0"/>
    <n v="238435"/>
    <n v="231222"/>
    <m/>
    <m/>
    <m/>
    <m/>
    <n v="0"/>
    <m/>
    <m/>
    <n v="0"/>
    <m/>
    <m/>
    <m/>
    <m/>
    <m/>
    <m/>
    <n v="238435"/>
    <n v="231222"/>
  </r>
  <r>
    <x v="8"/>
    <x v="7"/>
    <s v="Research Units"/>
    <m/>
    <n v="176017"/>
    <x v="1"/>
    <m/>
    <m/>
    <m/>
    <m/>
    <m/>
    <m/>
    <m/>
    <m/>
    <n v="0"/>
    <m/>
    <m/>
    <n v="0"/>
    <n v="0"/>
    <n v="0"/>
    <m/>
    <m/>
    <m/>
    <m/>
    <n v="0"/>
    <m/>
    <m/>
    <n v="0"/>
    <m/>
    <m/>
    <m/>
    <m/>
    <m/>
    <m/>
    <n v="0"/>
    <n v="0"/>
  </r>
  <r>
    <x v="8"/>
    <x v="7"/>
    <s v="Pharmaceutical research"/>
    <m/>
    <n v="176017"/>
    <x v="1"/>
    <m/>
    <m/>
    <n v="3127749"/>
    <n v="3202749"/>
    <m/>
    <m/>
    <m/>
    <m/>
    <n v="0"/>
    <m/>
    <m/>
    <n v="0"/>
    <n v="3127749"/>
    <n v="3202749"/>
    <m/>
    <m/>
    <m/>
    <m/>
    <n v="0"/>
    <m/>
    <m/>
    <n v="0"/>
    <m/>
    <m/>
    <m/>
    <m/>
    <m/>
    <m/>
    <n v="3127749"/>
    <n v="3202749"/>
  </r>
  <r>
    <x v="8"/>
    <x v="7"/>
    <s v="Law Research Institute"/>
    <m/>
    <n v="176017"/>
    <x v="1"/>
    <m/>
    <m/>
    <n v="809003"/>
    <n v="809003"/>
    <m/>
    <m/>
    <m/>
    <m/>
    <n v="0"/>
    <m/>
    <m/>
    <n v="0"/>
    <n v="809003"/>
    <n v="809003"/>
    <m/>
    <m/>
    <m/>
    <m/>
    <n v="0"/>
    <m/>
    <m/>
    <n v="0"/>
    <m/>
    <m/>
    <m/>
    <m/>
    <m/>
    <m/>
    <n v="809003"/>
    <n v="809003"/>
  </r>
  <r>
    <x v="8"/>
    <x v="7"/>
    <s v="Mineral Resources Institute"/>
    <m/>
    <n v="176017"/>
    <x v="1"/>
    <m/>
    <m/>
    <n v="400824"/>
    <n v="400824"/>
    <m/>
    <m/>
    <m/>
    <m/>
    <n v="0"/>
    <m/>
    <m/>
    <n v="0"/>
    <n v="400824"/>
    <n v="400824"/>
    <m/>
    <m/>
    <m/>
    <m/>
    <n v="0"/>
    <m/>
    <m/>
    <n v="0"/>
    <m/>
    <m/>
    <m/>
    <m/>
    <m/>
    <m/>
    <n v="400824"/>
    <n v="400824"/>
  </r>
  <r>
    <x v="8"/>
    <x v="7"/>
    <s v="Supercomputer"/>
    <m/>
    <n v="176017"/>
    <x v="1"/>
    <m/>
    <m/>
    <n v="691278"/>
    <n v="691278"/>
    <m/>
    <m/>
    <m/>
    <m/>
    <n v="0"/>
    <m/>
    <m/>
    <n v="0"/>
    <n v="691278"/>
    <n v="691278"/>
    <m/>
    <m/>
    <m/>
    <m/>
    <n v="0"/>
    <m/>
    <m/>
    <n v="0"/>
    <m/>
    <m/>
    <m/>
    <m/>
    <m/>
    <m/>
    <n v="691278"/>
    <n v="691278"/>
  </r>
  <r>
    <x v="8"/>
    <x v="7"/>
    <s v="Center for Manufacturing Excellence "/>
    <m/>
    <n v="176017"/>
    <x v="1"/>
    <m/>
    <m/>
    <n v="826132"/>
    <n v="1000000"/>
    <m/>
    <m/>
    <m/>
    <m/>
    <n v="0"/>
    <m/>
    <m/>
    <n v="0"/>
    <n v="826132"/>
    <n v="1000000"/>
    <m/>
    <m/>
    <m/>
    <m/>
    <n v="0"/>
    <m/>
    <m/>
    <n v="0"/>
    <m/>
    <m/>
    <m/>
    <m/>
    <m/>
    <m/>
    <n v="826132"/>
    <n v="1000000"/>
  </r>
  <r>
    <x v="8"/>
    <x v="0"/>
    <s v="Alcorn State University"/>
    <m/>
    <n v="175342"/>
    <x v="3"/>
    <n v="21926296"/>
    <n v="22678641"/>
    <m/>
    <m/>
    <m/>
    <m/>
    <n v="22004217"/>
    <m/>
    <n v="22004217"/>
    <n v="27193798"/>
    <m/>
    <n v="27193798"/>
    <n v="43930513"/>
    <n v="49872439"/>
    <m/>
    <m/>
    <m/>
    <m/>
    <n v="0"/>
    <m/>
    <m/>
    <n v="0"/>
    <m/>
    <m/>
    <m/>
    <m/>
    <m/>
    <m/>
    <n v="43930513"/>
    <n v="49872439"/>
  </r>
  <r>
    <x v="8"/>
    <x v="5"/>
    <s v="Agricultural Units"/>
    <m/>
    <n v="175342"/>
    <x v="3"/>
    <m/>
    <m/>
    <n v="5498389"/>
    <n v="5498389"/>
    <m/>
    <m/>
    <m/>
    <m/>
    <n v="0"/>
    <m/>
    <m/>
    <n v="0"/>
    <n v="5498389"/>
    <n v="5498389"/>
    <m/>
    <m/>
    <m/>
    <m/>
    <n v="0"/>
    <m/>
    <m/>
    <n v="0"/>
    <m/>
    <m/>
    <m/>
    <m/>
    <m/>
    <m/>
    <n v="5498389"/>
    <n v="5498389"/>
  </r>
  <r>
    <x v="8"/>
    <x v="0"/>
    <s v="Delta State University"/>
    <m/>
    <n v="175616"/>
    <x v="3"/>
    <n v="21114413"/>
    <n v="21180960"/>
    <m/>
    <m/>
    <m/>
    <m/>
    <n v="20537205"/>
    <m/>
    <n v="20537205"/>
    <n v="20997590"/>
    <m/>
    <n v="20997590"/>
    <n v="41651618"/>
    <n v="42178550"/>
    <m/>
    <m/>
    <m/>
    <m/>
    <n v="0"/>
    <m/>
    <m/>
    <n v="0"/>
    <m/>
    <m/>
    <m/>
    <m/>
    <m/>
    <m/>
    <n v="41651618"/>
    <n v="42178550"/>
  </r>
  <r>
    <x v="8"/>
    <x v="0"/>
    <s v="Mississippi Valley State University"/>
    <m/>
    <n v="176044"/>
    <x v="3"/>
    <n v="18015693"/>
    <n v="19342906"/>
    <m/>
    <m/>
    <m/>
    <m/>
    <n v="15711575"/>
    <m/>
    <n v="15711575"/>
    <n v="15645965"/>
    <m/>
    <n v="15645965"/>
    <n v="33727268"/>
    <n v="34988871"/>
    <m/>
    <m/>
    <m/>
    <m/>
    <n v="0"/>
    <m/>
    <m/>
    <n v="0"/>
    <m/>
    <m/>
    <m/>
    <m/>
    <m/>
    <m/>
    <n v="33727268"/>
    <n v="34988871"/>
  </r>
  <r>
    <x v="8"/>
    <x v="0"/>
    <s v="Mississippi University for Women"/>
    <m/>
    <n v="176035"/>
    <x v="4"/>
    <n v="13765054"/>
    <n v="13638450"/>
    <m/>
    <m/>
    <m/>
    <m/>
    <n v="14236908"/>
    <m/>
    <n v="14236908"/>
    <n v="17024899"/>
    <m/>
    <n v="17024899"/>
    <n v="28001962"/>
    <n v="30663349"/>
    <m/>
    <m/>
    <m/>
    <m/>
    <n v="0"/>
    <m/>
    <m/>
    <n v="0"/>
    <m/>
    <m/>
    <m/>
    <m/>
    <m/>
    <m/>
    <n v="28001962"/>
    <n v="30663349"/>
  </r>
  <r>
    <x v="8"/>
    <x v="41"/>
    <s v="University of Mississippi Medical Center"/>
    <m/>
    <n v="176026"/>
    <x v="11"/>
    <m/>
    <m/>
    <m/>
    <m/>
    <m/>
    <m/>
    <m/>
    <m/>
    <n v="0"/>
    <m/>
    <m/>
    <n v="0"/>
    <n v="0"/>
    <n v="0"/>
    <m/>
    <m/>
    <m/>
    <m/>
    <n v="0"/>
    <m/>
    <m/>
    <n v="0"/>
    <n v="211700932"/>
    <n v="177017002"/>
    <n v="20035248"/>
    <n v="0"/>
    <n v="22962335"/>
    <m/>
    <n v="231736180"/>
    <n v="199979337"/>
  </r>
  <r>
    <x v="8"/>
    <x v="10"/>
    <s v="Statewide Special-Purpose Units"/>
    <m/>
    <m/>
    <x v="12"/>
    <m/>
    <m/>
    <m/>
    <m/>
    <m/>
    <m/>
    <m/>
    <m/>
    <n v="0"/>
    <m/>
    <m/>
    <n v="0"/>
    <n v="0"/>
    <n v="0"/>
    <m/>
    <m/>
    <m/>
    <m/>
    <n v="0"/>
    <m/>
    <m/>
    <n v="0"/>
    <m/>
    <m/>
    <m/>
    <m/>
    <m/>
    <m/>
    <n v="0"/>
    <n v="0"/>
  </r>
  <r>
    <x v="8"/>
    <x v="42"/>
    <s v="Community or public service units"/>
    <m/>
    <m/>
    <x v="12"/>
    <m/>
    <m/>
    <m/>
    <m/>
    <m/>
    <m/>
    <m/>
    <m/>
    <n v="0"/>
    <m/>
    <m/>
    <n v="0"/>
    <n v="0"/>
    <n v="0"/>
    <m/>
    <m/>
    <m/>
    <m/>
    <n v="0"/>
    <m/>
    <m/>
    <n v="0"/>
    <m/>
    <m/>
    <m/>
    <m/>
    <m/>
    <m/>
    <n v="0"/>
    <n v="0"/>
  </r>
  <r>
    <x v="8"/>
    <x v="42"/>
    <s v="Volunteer Commission"/>
    <m/>
    <m/>
    <x v="12"/>
    <m/>
    <m/>
    <m/>
    <m/>
    <m/>
    <m/>
    <m/>
    <m/>
    <n v="0"/>
    <m/>
    <m/>
    <n v="0"/>
    <n v="0"/>
    <n v="0"/>
    <n v="360000"/>
    <n v="500000"/>
    <m/>
    <m/>
    <n v="0"/>
    <m/>
    <m/>
    <n v="0"/>
    <m/>
    <m/>
    <m/>
    <m/>
    <m/>
    <m/>
    <n v="360000"/>
    <n v="500000"/>
  </r>
  <r>
    <x v="8"/>
    <x v="13"/>
    <s v="Education special purpose funds — all other"/>
    <m/>
    <m/>
    <x v="12"/>
    <m/>
    <m/>
    <m/>
    <m/>
    <m/>
    <m/>
    <m/>
    <m/>
    <n v="0"/>
    <m/>
    <m/>
    <n v="0"/>
    <n v="0"/>
    <n v="0"/>
    <m/>
    <m/>
    <m/>
    <m/>
    <n v="0"/>
    <m/>
    <m/>
    <n v="0"/>
    <m/>
    <m/>
    <m/>
    <m/>
    <m/>
    <m/>
    <n v="0"/>
    <n v="0"/>
  </r>
  <r>
    <x v="8"/>
    <x v="13"/>
    <s v="AYERS Endowment/Summer Programs"/>
    <m/>
    <m/>
    <x v="12"/>
    <m/>
    <m/>
    <n v="5750000"/>
    <n v="5750000"/>
    <m/>
    <m/>
    <m/>
    <m/>
    <n v="0"/>
    <m/>
    <m/>
    <n v="0"/>
    <n v="5750000"/>
    <n v="5750000"/>
    <m/>
    <m/>
    <m/>
    <m/>
    <n v="0"/>
    <m/>
    <m/>
    <n v="0"/>
    <m/>
    <m/>
    <m/>
    <m/>
    <m/>
    <m/>
    <n v="5750000"/>
    <n v="5750000"/>
  </r>
  <r>
    <x v="8"/>
    <x v="14"/>
    <s v="Statewide System Operations"/>
    <m/>
    <m/>
    <x v="12"/>
    <m/>
    <m/>
    <m/>
    <m/>
    <m/>
    <m/>
    <m/>
    <m/>
    <n v="0"/>
    <m/>
    <m/>
    <n v="0"/>
    <n v="0"/>
    <n v="0"/>
    <m/>
    <m/>
    <m/>
    <m/>
    <n v="0"/>
    <m/>
    <m/>
    <n v="0"/>
    <m/>
    <m/>
    <m/>
    <m/>
    <m/>
    <m/>
    <n v="0"/>
    <n v="0"/>
  </r>
  <r>
    <x v="8"/>
    <x v="15"/>
    <s v="Colleges and universities"/>
    <m/>
    <m/>
    <x v="12"/>
    <m/>
    <m/>
    <m/>
    <m/>
    <m/>
    <m/>
    <m/>
    <m/>
    <n v="0"/>
    <m/>
    <m/>
    <n v="0"/>
    <n v="0"/>
    <n v="0"/>
    <m/>
    <m/>
    <m/>
    <m/>
    <n v="0"/>
    <m/>
    <m/>
    <n v="0"/>
    <m/>
    <m/>
    <m/>
    <m/>
    <m/>
    <m/>
    <n v="0"/>
    <n v="0"/>
  </r>
  <r>
    <x v="8"/>
    <x v="15"/>
    <s v="Ms Board of Trustees I.H.L"/>
    <m/>
    <m/>
    <x v="12"/>
    <m/>
    <m/>
    <m/>
    <m/>
    <m/>
    <m/>
    <m/>
    <m/>
    <n v="0"/>
    <m/>
    <m/>
    <n v="0"/>
    <n v="0"/>
    <n v="0"/>
    <n v="7161561"/>
    <n v="6968781"/>
    <m/>
    <m/>
    <n v="0"/>
    <m/>
    <m/>
    <n v="0"/>
    <m/>
    <m/>
    <m/>
    <m/>
    <m/>
    <m/>
    <n v="7161561"/>
    <n v="6968781"/>
  </r>
  <r>
    <x v="8"/>
    <x v="17"/>
    <s v="National or regional associations, compacts or consortia"/>
    <m/>
    <m/>
    <x v="12"/>
    <m/>
    <m/>
    <m/>
    <m/>
    <m/>
    <m/>
    <m/>
    <m/>
    <n v="0"/>
    <m/>
    <m/>
    <n v="0"/>
    <n v="0"/>
    <n v="0"/>
    <m/>
    <m/>
    <m/>
    <m/>
    <n v="0"/>
    <m/>
    <m/>
    <n v="0"/>
    <m/>
    <m/>
    <m/>
    <m/>
    <m/>
    <m/>
    <n v="0"/>
    <n v="0"/>
  </r>
  <r>
    <x v="8"/>
    <x v="17"/>
    <s v="SREB"/>
    <m/>
    <m/>
    <x v="12"/>
    <m/>
    <m/>
    <m/>
    <m/>
    <m/>
    <m/>
    <m/>
    <m/>
    <n v="0"/>
    <m/>
    <m/>
    <n v="0"/>
    <n v="0"/>
    <n v="0"/>
    <m/>
    <m/>
    <m/>
    <m/>
    <n v="0"/>
    <m/>
    <m/>
    <n v="0"/>
    <m/>
    <m/>
    <m/>
    <m/>
    <m/>
    <m/>
    <n v="0"/>
    <n v="0"/>
  </r>
  <r>
    <x v="8"/>
    <x v="18"/>
    <s v="Student Financial Aid Administration"/>
    <m/>
    <m/>
    <x v="12"/>
    <m/>
    <m/>
    <m/>
    <m/>
    <m/>
    <m/>
    <m/>
    <m/>
    <n v="0"/>
    <m/>
    <m/>
    <n v="0"/>
    <n v="0"/>
    <n v="0"/>
    <n v="974578"/>
    <n v="1036941"/>
    <m/>
    <m/>
    <n v="0"/>
    <m/>
    <m/>
    <n v="0"/>
    <m/>
    <m/>
    <m/>
    <m/>
    <m/>
    <m/>
    <n v="974578"/>
    <n v="1036941"/>
  </r>
  <r>
    <x v="8"/>
    <x v="19"/>
    <s v="State Support to Private Colleges Other Than Student Aid"/>
    <m/>
    <m/>
    <x v="12"/>
    <m/>
    <m/>
    <m/>
    <m/>
    <m/>
    <m/>
    <m/>
    <m/>
    <n v="0"/>
    <m/>
    <m/>
    <n v="0"/>
    <n v="0"/>
    <n v="0"/>
    <m/>
    <m/>
    <m/>
    <m/>
    <n v="0"/>
    <m/>
    <m/>
    <n v="0"/>
    <m/>
    <m/>
    <m/>
    <m/>
    <m/>
    <m/>
    <n v="0"/>
    <n v="0"/>
  </r>
  <r>
    <x v="8"/>
    <x v="20"/>
    <s v="Contract Education Programs"/>
    <m/>
    <m/>
    <x v="12"/>
    <m/>
    <m/>
    <m/>
    <m/>
    <m/>
    <m/>
    <m/>
    <m/>
    <n v="0"/>
    <m/>
    <m/>
    <n v="0"/>
    <n v="0"/>
    <n v="0"/>
    <m/>
    <m/>
    <m/>
    <m/>
    <n v="0"/>
    <m/>
    <m/>
    <n v="0"/>
    <m/>
    <m/>
    <m/>
    <m/>
    <m/>
    <m/>
    <n v="0"/>
    <n v="0"/>
  </r>
  <r>
    <x v="8"/>
    <x v="21"/>
    <s v="SREB contract program with private colleges"/>
    <m/>
    <m/>
    <x v="12"/>
    <m/>
    <m/>
    <m/>
    <m/>
    <m/>
    <m/>
    <m/>
    <m/>
    <n v="0"/>
    <m/>
    <m/>
    <n v="0"/>
    <n v="0"/>
    <n v="0"/>
    <m/>
    <m/>
    <m/>
    <m/>
    <n v="0"/>
    <m/>
    <m/>
    <n v="0"/>
    <m/>
    <m/>
    <m/>
    <m/>
    <m/>
    <m/>
    <n v="0"/>
    <n v="0"/>
  </r>
  <r>
    <x v="8"/>
    <x v="21"/>
    <s v="Nova Southeastern University (Osteopathic Medicine)"/>
    <m/>
    <m/>
    <x v="12"/>
    <m/>
    <m/>
    <m/>
    <m/>
    <m/>
    <m/>
    <m/>
    <m/>
    <n v="0"/>
    <m/>
    <m/>
    <n v="0"/>
    <n v="0"/>
    <n v="0"/>
    <n v="14300"/>
    <n v="0"/>
    <m/>
    <m/>
    <n v="0"/>
    <m/>
    <m/>
    <n v="0"/>
    <m/>
    <m/>
    <m/>
    <m/>
    <m/>
    <m/>
    <n v="14300"/>
    <n v="0"/>
  </r>
  <r>
    <x v="8"/>
    <x v="21"/>
    <s v="Southern College of Optometry"/>
    <m/>
    <m/>
    <x v="12"/>
    <m/>
    <m/>
    <m/>
    <m/>
    <m/>
    <m/>
    <m/>
    <m/>
    <n v="0"/>
    <m/>
    <m/>
    <n v="0"/>
    <n v="0"/>
    <n v="0"/>
    <n v="343200"/>
    <n v="340400"/>
    <m/>
    <m/>
    <n v="0"/>
    <m/>
    <m/>
    <n v="0"/>
    <m/>
    <m/>
    <m/>
    <m/>
    <m/>
    <m/>
    <n v="343200"/>
    <n v="340400"/>
  </r>
  <r>
    <x v="8"/>
    <x v="21"/>
    <s v="Edward Via VA College of Osteopathic Medicine"/>
    <m/>
    <m/>
    <x v="12"/>
    <m/>
    <m/>
    <m/>
    <m/>
    <m/>
    <m/>
    <m/>
    <m/>
    <n v="0"/>
    <m/>
    <m/>
    <n v="0"/>
    <n v="0"/>
    <n v="0"/>
    <n v="71500"/>
    <n v="14800"/>
    <m/>
    <m/>
    <n v="0"/>
    <m/>
    <m/>
    <n v="0"/>
    <m/>
    <m/>
    <m/>
    <m/>
    <m/>
    <m/>
    <n v="71500"/>
    <n v="14800"/>
  </r>
  <r>
    <x v="8"/>
    <x v="22"/>
    <s v="SREB contract program with public colleges"/>
    <m/>
    <m/>
    <x v="12"/>
    <m/>
    <m/>
    <m/>
    <m/>
    <m/>
    <m/>
    <m/>
    <m/>
    <n v="0"/>
    <m/>
    <m/>
    <n v="0"/>
    <n v="0"/>
    <n v="0"/>
    <m/>
    <m/>
    <m/>
    <m/>
    <n v="0"/>
    <m/>
    <m/>
    <n v="0"/>
    <m/>
    <m/>
    <m/>
    <m/>
    <m/>
    <m/>
    <n v="0"/>
    <n v="0"/>
  </r>
  <r>
    <x v="8"/>
    <x v="22"/>
    <s v="University of Houston (Optometry)"/>
    <m/>
    <m/>
    <x v="12"/>
    <m/>
    <m/>
    <m/>
    <m/>
    <m/>
    <m/>
    <m/>
    <m/>
    <n v="0"/>
    <m/>
    <m/>
    <n v="0"/>
    <n v="0"/>
    <n v="0"/>
    <n v="14300"/>
    <n v="14800"/>
    <m/>
    <m/>
    <n v="0"/>
    <m/>
    <m/>
    <n v="0"/>
    <m/>
    <m/>
    <m/>
    <m/>
    <m/>
    <m/>
    <n v="14300"/>
    <n v="14800"/>
  </r>
  <r>
    <x v="8"/>
    <x v="22"/>
    <s v="University of Alabama at Birmingham (Optometry)"/>
    <m/>
    <m/>
    <x v="12"/>
    <m/>
    <m/>
    <m/>
    <m/>
    <m/>
    <m/>
    <m/>
    <m/>
    <n v="0"/>
    <m/>
    <m/>
    <n v="0"/>
    <n v="0"/>
    <n v="0"/>
    <n v="85800"/>
    <n v="118400"/>
    <m/>
    <m/>
    <n v="0"/>
    <m/>
    <m/>
    <n v="0"/>
    <m/>
    <m/>
    <m/>
    <m/>
    <m/>
    <m/>
    <n v="85800"/>
    <n v="118400"/>
  </r>
  <r>
    <x v="8"/>
    <x v="24"/>
    <s v="Statewide Student Financial Aid Programs Administered Off Campus"/>
    <m/>
    <m/>
    <x v="12"/>
    <m/>
    <m/>
    <m/>
    <m/>
    <m/>
    <m/>
    <m/>
    <m/>
    <n v="0"/>
    <m/>
    <m/>
    <n v="0"/>
    <n v="0"/>
    <n v="0"/>
    <m/>
    <m/>
    <m/>
    <m/>
    <n v="0"/>
    <m/>
    <m/>
    <n v="0"/>
    <m/>
    <m/>
    <m/>
    <m/>
    <m/>
    <m/>
    <n v="0"/>
    <n v="0"/>
  </r>
  <r>
    <x v="8"/>
    <x v="25"/>
    <s v="Available to public &amp; private sector students"/>
    <m/>
    <m/>
    <x v="12"/>
    <m/>
    <m/>
    <m/>
    <m/>
    <m/>
    <m/>
    <m/>
    <m/>
    <n v="0"/>
    <m/>
    <m/>
    <n v="0"/>
    <n v="0"/>
    <n v="0"/>
    <m/>
    <m/>
    <m/>
    <m/>
    <n v="0"/>
    <m/>
    <m/>
    <n v="0"/>
    <m/>
    <m/>
    <m/>
    <m/>
    <m/>
    <m/>
    <n v="0"/>
    <n v="0"/>
  </r>
  <r>
    <x v="8"/>
    <x v="25"/>
    <s v="Higher Education Legislative Plan"/>
    <m/>
    <m/>
    <x v="12"/>
    <m/>
    <m/>
    <m/>
    <m/>
    <m/>
    <m/>
    <m/>
    <m/>
    <n v="0"/>
    <m/>
    <m/>
    <n v="0"/>
    <n v="0"/>
    <n v="0"/>
    <m/>
    <m/>
    <m/>
    <m/>
    <n v="0"/>
    <m/>
    <m/>
    <n v="0"/>
    <m/>
    <m/>
    <m/>
    <m/>
    <m/>
    <m/>
    <n v="0"/>
    <n v="0"/>
  </r>
  <r>
    <x v="8"/>
    <x v="28"/>
    <s v="Amount to public sector students"/>
    <m/>
    <m/>
    <x v="12"/>
    <m/>
    <m/>
    <m/>
    <m/>
    <m/>
    <m/>
    <m/>
    <m/>
    <n v="0"/>
    <m/>
    <m/>
    <n v="0"/>
    <n v="0"/>
    <n v="0"/>
    <m/>
    <m/>
    <m/>
    <m/>
    <n v="0"/>
    <m/>
    <m/>
    <n v="0"/>
    <m/>
    <m/>
    <m/>
    <m/>
    <m/>
    <m/>
    <n v="0"/>
    <n v="0"/>
  </r>
  <r>
    <x v="8"/>
    <x v="29"/>
    <s v="Need-based"/>
    <m/>
    <m/>
    <x v="12"/>
    <m/>
    <m/>
    <m/>
    <m/>
    <m/>
    <m/>
    <m/>
    <m/>
    <n v="0"/>
    <m/>
    <m/>
    <n v="0"/>
    <n v="0"/>
    <n v="0"/>
    <n v="2840350"/>
    <n v="4352527"/>
    <m/>
    <m/>
    <n v="0"/>
    <m/>
    <m/>
    <n v="0"/>
    <m/>
    <m/>
    <m/>
    <m/>
    <m/>
    <m/>
    <n v="2840350"/>
    <n v="4352527"/>
  </r>
  <r>
    <x v="8"/>
    <x v="27"/>
    <s v="Non need-based"/>
    <m/>
    <m/>
    <x v="12"/>
    <m/>
    <m/>
    <m/>
    <m/>
    <m/>
    <m/>
    <m/>
    <m/>
    <n v="0"/>
    <m/>
    <m/>
    <n v="0"/>
    <n v="0"/>
    <n v="0"/>
    <m/>
    <m/>
    <m/>
    <m/>
    <n v="0"/>
    <m/>
    <m/>
    <n v="0"/>
    <m/>
    <m/>
    <m/>
    <m/>
    <m/>
    <m/>
    <n v="0"/>
    <n v="0"/>
  </r>
  <r>
    <x v="8"/>
    <x v="31"/>
    <s v="Amount to private sector students"/>
    <m/>
    <m/>
    <x v="12"/>
    <m/>
    <m/>
    <m/>
    <m/>
    <m/>
    <m/>
    <m/>
    <m/>
    <n v="0"/>
    <m/>
    <m/>
    <n v="0"/>
    <n v="0"/>
    <n v="0"/>
    <m/>
    <m/>
    <m/>
    <m/>
    <n v="0"/>
    <m/>
    <m/>
    <n v="0"/>
    <m/>
    <m/>
    <m/>
    <m/>
    <m/>
    <m/>
    <n v="0"/>
    <n v="0"/>
  </r>
  <r>
    <x v="8"/>
    <x v="32"/>
    <s v="Need-based"/>
    <m/>
    <m/>
    <x v="12"/>
    <m/>
    <m/>
    <m/>
    <m/>
    <m/>
    <m/>
    <m/>
    <m/>
    <n v="0"/>
    <m/>
    <m/>
    <n v="0"/>
    <n v="0"/>
    <n v="0"/>
    <n v="313068"/>
    <n v="501228"/>
    <m/>
    <m/>
    <n v="0"/>
    <m/>
    <m/>
    <n v="0"/>
    <m/>
    <m/>
    <m/>
    <m/>
    <m/>
    <m/>
    <n v="313068"/>
    <n v="501228"/>
  </r>
  <r>
    <x v="8"/>
    <x v="27"/>
    <s v="Non need-based"/>
    <m/>
    <m/>
    <x v="12"/>
    <m/>
    <m/>
    <m/>
    <m/>
    <m/>
    <m/>
    <m/>
    <m/>
    <n v="0"/>
    <m/>
    <m/>
    <n v="0"/>
    <n v="0"/>
    <n v="0"/>
    <m/>
    <m/>
    <m/>
    <m/>
    <n v="0"/>
    <m/>
    <m/>
    <n v="0"/>
    <m/>
    <m/>
    <m/>
    <m/>
    <m/>
    <m/>
    <n v="0"/>
    <n v="0"/>
  </r>
  <r>
    <x v="8"/>
    <x v="25"/>
    <s v="Scholarship/Grant Programs"/>
    <m/>
    <m/>
    <x v="12"/>
    <m/>
    <m/>
    <m/>
    <m/>
    <m/>
    <m/>
    <m/>
    <m/>
    <n v="0"/>
    <m/>
    <m/>
    <n v="0"/>
    <n v="0"/>
    <n v="0"/>
    <m/>
    <m/>
    <m/>
    <m/>
    <n v="0"/>
    <m/>
    <m/>
    <n v="0"/>
    <m/>
    <m/>
    <m/>
    <m/>
    <m/>
    <m/>
    <n v="0"/>
    <n v="0"/>
  </r>
  <r>
    <x v="8"/>
    <x v="28"/>
    <s v="Amount to public sector students"/>
    <m/>
    <m/>
    <x v="12"/>
    <m/>
    <m/>
    <m/>
    <m/>
    <m/>
    <m/>
    <m/>
    <m/>
    <n v="0"/>
    <m/>
    <m/>
    <n v="0"/>
    <n v="0"/>
    <n v="0"/>
    <m/>
    <m/>
    <m/>
    <m/>
    <n v="0"/>
    <m/>
    <m/>
    <n v="0"/>
    <m/>
    <m/>
    <m/>
    <m/>
    <m/>
    <m/>
    <n v="0"/>
    <n v="0"/>
  </r>
  <r>
    <x v="8"/>
    <x v="29"/>
    <s v="Need-based (GUMS and State LEAP)"/>
    <m/>
    <m/>
    <x v="12"/>
    <m/>
    <m/>
    <m/>
    <m/>
    <m/>
    <m/>
    <m/>
    <m/>
    <n v="0"/>
    <m/>
    <m/>
    <n v="0"/>
    <n v="0"/>
    <n v="0"/>
    <n v="409880"/>
    <n v="149351"/>
    <m/>
    <m/>
    <n v="0"/>
    <m/>
    <m/>
    <n v="0"/>
    <m/>
    <m/>
    <m/>
    <m/>
    <m/>
    <m/>
    <n v="409880"/>
    <n v="149351"/>
  </r>
  <r>
    <x v="8"/>
    <x v="27"/>
    <s v="Non need-based (CGSA)"/>
    <m/>
    <m/>
    <x v="12"/>
    <m/>
    <m/>
    <m/>
    <m/>
    <m/>
    <m/>
    <m/>
    <m/>
    <n v="0"/>
    <m/>
    <m/>
    <n v="0"/>
    <n v="0"/>
    <n v="0"/>
    <n v="10742"/>
    <n v="18750"/>
    <m/>
    <m/>
    <n v="0"/>
    <m/>
    <m/>
    <n v="0"/>
    <m/>
    <m/>
    <m/>
    <m/>
    <m/>
    <m/>
    <n v="10742"/>
    <n v="18750"/>
  </r>
  <r>
    <x v="8"/>
    <x v="31"/>
    <s v="Amount to private sector students"/>
    <m/>
    <m/>
    <x v="12"/>
    <m/>
    <m/>
    <m/>
    <m/>
    <m/>
    <m/>
    <m/>
    <m/>
    <n v="0"/>
    <m/>
    <m/>
    <n v="0"/>
    <n v="0"/>
    <n v="0"/>
    <m/>
    <m/>
    <m/>
    <m/>
    <n v="0"/>
    <m/>
    <m/>
    <n v="0"/>
    <m/>
    <m/>
    <m/>
    <m/>
    <m/>
    <m/>
    <n v="0"/>
    <n v="0"/>
  </r>
  <r>
    <x v="8"/>
    <x v="32"/>
    <s v="Need-based (GUMS and State LEAP)"/>
    <m/>
    <m/>
    <x v="12"/>
    <m/>
    <m/>
    <m/>
    <m/>
    <m/>
    <m/>
    <m/>
    <m/>
    <n v="0"/>
    <m/>
    <m/>
    <n v="0"/>
    <n v="0"/>
    <n v="0"/>
    <n v="68722"/>
    <n v="2775"/>
    <m/>
    <m/>
    <n v="0"/>
    <m/>
    <m/>
    <n v="0"/>
    <m/>
    <m/>
    <m/>
    <m/>
    <m/>
    <m/>
    <n v="68722"/>
    <n v="2775"/>
  </r>
  <r>
    <x v="8"/>
    <x v="27"/>
    <s v="Non need-based (CGSA)"/>
    <m/>
    <m/>
    <x v="12"/>
    <m/>
    <m/>
    <m/>
    <m/>
    <m/>
    <m/>
    <m/>
    <m/>
    <n v="0"/>
    <m/>
    <m/>
    <n v="0"/>
    <n v="0"/>
    <n v="0"/>
    <n v="7758"/>
    <n v="1500"/>
    <m/>
    <m/>
    <n v="0"/>
    <m/>
    <m/>
    <n v="0"/>
    <m/>
    <m/>
    <m/>
    <m/>
    <m/>
    <m/>
    <n v="7758"/>
    <n v="1500"/>
  </r>
  <r>
    <x v="8"/>
    <x v="25"/>
    <s v="Critical NeedsTeacherScholarship"/>
    <m/>
    <m/>
    <x v="12"/>
    <m/>
    <m/>
    <m/>
    <m/>
    <m/>
    <m/>
    <m/>
    <m/>
    <n v="0"/>
    <m/>
    <m/>
    <n v="0"/>
    <n v="0"/>
    <n v="0"/>
    <m/>
    <m/>
    <m/>
    <m/>
    <n v="0"/>
    <m/>
    <m/>
    <n v="0"/>
    <m/>
    <m/>
    <m/>
    <m/>
    <m/>
    <m/>
    <n v="0"/>
    <n v="0"/>
  </r>
  <r>
    <x v="8"/>
    <x v="28"/>
    <s v="Amount to public sector students"/>
    <m/>
    <m/>
    <x v="12"/>
    <m/>
    <m/>
    <m/>
    <m/>
    <m/>
    <m/>
    <m/>
    <m/>
    <n v="0"/>
    <m/>
    <m/>
    <n v="0"/>
    <n v="0"/>
    <n v="0"/>
    <m/>
    <m/>
    <m/>
    <m/>
    <n v="0"/>
    <m/>
    <m/>
    <n v="0"/>
    <m/>
    <m/>
    <m/>
    <m/>
    <m/>
    <m/>
    <n v="0"/>
    <n v="0"/>
  </r>
  <r>
    <x v="8"/>
    <x v="29"/>
    <s v="Non need-based"/>
    <m/>
    <m/>
    <x v="12"/>
    <m/>
    <m/>
    <m/>
    <m/>
    <m/>
    <m/>
    <m/>
    <m/>
    <n v="0"/>
    <m/>
    <m/>
    <n v="0"/>
    <n v="0"/>
    <n v="0"/>
    <n v="1803042"/>
    <n v="2154390"/>
    <m/>
    <m/>
    <n v="0"/>
    <m/>
    <m/>
    <n v="0"/>
    <m/>
    <m/>
    <m/>
    <m/>
    <m/>
    <m/>
    <n v="1803042"/>
    <n v="2154390"/>
  </r>
  <r>
    <x v="8"/>
    <x v="27"/>
    <s v="Amount to private sector students Non need-based"/>
    <m/>
    <m/>
    <x v="12"/>
    <m/>
    <m/>
    <m/>
    <m/>
    <m/>
    <m/>
    <m/>
    <m/>
    <n v="0"/>
    <m/>
    <m/>
    <n v="0"/>
    <n v="0"/>
    <n v="0"/>
    <n v="399445"/>
    <n v="338126"/>
    <m/>
    <m/>
    <n v="0"/>
    <m/>
    <m/>
    <n v="0"/>
    <m/>
    <m/>
    <m/>
    <m/>
    <m/>
    <m/>
    <n v="399445"/>
    <n v="338126"/>
  </r>
  <r>
    <x v="8"/>
    <x v="25"/>
    <s v="MS Resident Tuition Assistance Grant"/>
    <m/>
    <m/>
    <x v="12"/>
    <m/>
    <m/>
    <m/>
    <m/>
    <m/>
    <m/>
    <m/>
    <m/>
    <n v="0"/>
    <m/>
    <m/>
    <n v="0"/>
    <n v="0"/>
    <n v="0"/>
    <m/>
    <m/>
    <m/>
    <m/>
    <n v="0"/>
    <m/>
    <m/>
    <n v="0"/>
    <m/>
    <m/>
    <m/>
    <m/>
    <m/>
    <m/>
    <n v="0"/>
    <n v="0"/>
  </r>
  <r>
    <x v="8"/>
    <x v="28"/>
    <s v="Amount to public sector students"/>
    <m/>
    <m/>
    <x v="12"/>
    <m/>
    <m/>
    <m/>
    <m/>
    <m/>
    <m/>
    <m/>
    <m/>
    <n v="0"/>
    <m/>
    <m/>
    <n v="0"/>
    <n v="0"/>
    <n v="0"/>
    <m/>
    <m/>
    <m/>
    <m/>
    <n v="0"/>
    <m/>
    <m/>
    <n v="0"/>
    <m/>
    <m/>
    <m/>
    <m/>
    <m/>
    <m/>
    <n v="0"/>
    <n v="0"/>
  </r>
  <r>
    <x v="8"/>
    <x v="30"/>
    <s v="Non need-based"/>
    <m/>
    <m/>
    <x v="12"/>
    <m/>
    <m/>
    <m/>
    <m/>
    <m/>
    <m/>
    <m/>
    <m/>
    <n v="0"/>
    <m/>
    <m/>
    <n v="0"/>
    <n v="0"/>
    <n v="0"/>
    <m/>
    <m/>
    <m/>
    <m/>
    <n v="0"/>
    <m/>
    <m/>
    <n v="0"/>
    <m/>
    <m/>
    <m/>
    <m/>
    <m/>
    <m/>
    <n v="0"/>
    <n v="0"/>
  </r>
  <r>
    <x v="8"/>
    <x v="30"/>
    <s v="Non need-based"/>
    <m/>
    <m/>
    <x v="12"/>
    <m/>
    <m/>
    <m/>
    <m/>
    <m/>
    <m/>
    <m/>
    <m/>
    <n v="0"/>
    <m/>
    <m/>
    <n v="0"/>
    <n v="0"/>
    <n v="0"/>
    <n v="12154991"/>
    <n v="12625636"/>
    <m/>
    <m/>
    <n v="0"/>
    <m/>
    <m/>
    <n v="0"/>
    <m/>
    <m/>
    <m/>
    <m/>
    <m/>
    <m/>
    <n v="12154991"/>
    <n v="12625636"/>
  </r>
  <r>
    <x v="8"/>
    <x v="31"/>
    <s v="Amount to private sector students"/>
    <m/>
    <m/>
    <x v="12"/>
    <m/>
    <m/>
    <m/>
    <m/>
    <m/>
    <m/>
    <m/>
    <m/>
    <n v="0"/>
    <m/>
    <m/>
    <n v="0"/>
    <n v="0"/>
    <n v="0"/>
    <m/>
    <m/>
    <m/>
    <m/>
    <n v="0"/>
    <m/>
    <m/>
    <n v="0"/>
    <m/>
    <m/>
    <m/>
    <m/>
    <m/>
    <m/>
    <n v="0"/>
    <n v="0"/>
  </r>
  <r>
    <x v="8"/>
    <x v="33"/>
    <s v="Non need-based"/>
    <m/>
    <m/>
    <x v="12"/>
    <m/>
    <m/>
    <m/>
    <m/>
    <m/>
    <m/>
    <m/>
    <m/>
    <n v="0"/>
    <m/>
    <m/>
    <n v="0"/>
    <n v="0"/>
    <n v="0"/>
    <n v="1498941"/>
    <n v="1348923"/>
    <m/>
    <m/>
    <n v="0"/>
    <m/>
    <m/>
    <n v="0"/>
    <m/>
    <m/>
    <m/>
    <m/>
    <m/>
    <m/>
    <n v="1498941"/>
    <n v="1348923"/>
  </r>
  <r>
    <x v="8"/>
    <x v="30"/>
    <s v="MS Eminent Scholars Grant"/>
    <m/>
    <m/>
    <x v="12"/>
    <m/>
    <m/>
    <m/>
    <m/>
    <m/>
    <m/>
    <m/>
    <m/>
    <n v="0"/>
    <m/>
    <m/>
    <n v="0"/>
    <n v="0"/>
    <n v="0"/>
    <m/>
    <m/>
    <m/>
    <m/>
    <n v="0"/>
    <m/>
    <m/>
    <n v="0"/>
    <m/>
    <m/>
    <m/>
    <m/>
    <m/>
    <m/>
    <n v="0"/>
    <n v="0"/>
  </r>
  <r>
    <x v="8"/>
    <x v="28"/>
    <s v="Amount to public sector students"/>
    <m/>
    <m/>
    <x v="12"/>
    <m/>
    <m/>
    <m/>
    <m/>
    <m/>
    <m/>
    <m/>
    <m/>
    <n v="0"/>
    <m/>
    <m/>
    <n v="0"/>
    <n v="0"/>
    <n v="0"/>
    <m/>
    <m/>
    <m/>
    <m/>
    <n v="0"/>
    <m/>
    <m/>
    <n v="0"/>
    <m/>
    <m/>
    <m/>
    <m/>
    <m/>
    <m/>
    <n v="0"/>
    <n v="0"/>
  </r>
  <r>
    <x v="8"/>
    <x v="35"/>
    <s v="Need-based"/>
    <m/>
    <m/>
    <x v="12"/>
    <m/>
    <m/>
    <m/>
    <m/>
    <m/>
    <m/>
    <m/>
    <m/>
    <n v="0"/>
    <m/>
    <m/>
    <n v="0"/>
    <n v="0"/>
    <n v="0"/>
    <m/>
    <m/>
    <m/>
    <m/>
    <n v="0"/>
    <m/>
    <m/>
    <n v="0"/>
    <m/>
    <m/>
    <m/>
    <m/>
    <m/>
    <m/>
    <n v="0"/>
    <n v="0"/>
  </r>
  <r>
    <x v="8"/>
    <x v="36"/>
    <s v="Non need-based"/>
    <m/>
    <m/>
    <x v="12"/>
    <m/>
    <m/>
    <m/>
    <m/>
    <m/>
    <m/>
    <m/>
    <m/>
    <n v="0"/>
    <m/>
    <m/>
    <n v="0"/>
    <n v="0"/>
    <n v="0"/>
    <n v="4256144"/>
    <n v="4479155"/>
    <m/>
    <m/>
    <n v="0"/>
    <m/>
    <m/>
    <n v="0"/>
    <m/>
    <m/>
    <m/>
    <m/>
    <m/>
    <m/>
    <n v="4256144"/>
    <n v="4479155"/>
  </r>
  <r>
    <x v="8"/>
    <x v="31"/>
    <s v="Amount to private sector students"/>
    <m/>
    <m/>
    <x v="12"/>
    <m/>
    <m/>
    <m/>
    <m/>
    <m/>
    <m/>
    <m/>
    <m/>
    <n v="0"/>
    <m/>
    <m/>
    <n v="0"/>
    <n v="0"/>
    <n v="0"/>
    <m/>
    <m/>
    <m/>
    <m/>
    <n v="0"/>
    <m/>
    <m/>
    <n v="0"/>
    <m/>
    <m/>
    <m/>
    <m/>
    <m/>
    <m/>
    <n v="0"/>
    <n v="0"/>
  </r>
  <r>
    <x v="8"/>
    <x v="33"/>
    <s v="Non need-based"/>
    <m/>
    <m/>
    <x v="12"/>
    <m/>
    <m/>
    <m/>
    <m/>
    <m/>
    <m/>
    <m/>
    <m/>
    <n v="0"/>
    <m/>
    <m/>
    <n v="0"/>
    <n v="0"/>
    <n v="0"/>
    <n v="876778"/>
    <n v="733750"/>
    <m/>
    <m/>
    <n v="0"/>
    <m/>
    <m/>
    <n v="0"/>
    <m/>
    <m/>
    <m/>
    <m/>
    <m/>
    <m/>
    <n v="876778"/>
    <n v="733750"/>
  </r>
  <r>
    <x v="8"/>
    <x v="28"/>
    <s v="Loan/Scholarship Programs"/>
    <m/>
    <m/>
    <x v="12"/>
    <m/>
    <m/>
    <m/>
    <m/>
    <m/>
    <m/>
    <m/>
    <m/>
    <n v="0"/>
    <m/>
    <m/>
    <n v="0"/>
    <n v="0"/>
    <n v="0"/>
    <m/>
    <m/>
    <m/>
    <m/>
    <n v="0"/>
    <m/>
    <m/>
    <n v="0"/>
    <m/>
    <m/>
    <m/>
    <m/>
    <m/>
    <m/>
    <n v="0"/>
    <n v="0"/>
  </r>
  <r>
    <x v="8"/>
    <x v="28"/>
    <s v="Mississippi Teacher Loan Repayment Program"/>
    <m/>
    <m/>
    <x v="12"/>
    <m/>
    <m/>
    <m/>
    <m/>
    <m/>
    <m/>
    <m/>
    <m/>
    <n v="0"/>
    <m/>
    <m/>
    <n v="0"/>
    <n v="0"/>
    <n v="0"/>
    <n v="604879"/>
    <n v="572679"/>
    <m/>
    <m/>
    <n v="0"/>
    <m/>
    <m/>
    <n v="0"/>
    <m/>
    <m/>
    <m/>
    <m/>
    <m/>
    <m/>
    <n v="604879"/>
    <n v="572679"/>
  </r>
  <r>
    <x v="8"/>
    <x v="28"/>
    <s v="Amount to public sector students"/>
    <m/>
    <m/>
    <x v="12"/>
    <m/>
    <m/>
    <m/>
    <m/>
    <m/>
    <m/>
    <m/>
    <m/>
    <n v="0"/>
    <m/>
    <m/>
    <n v="0"/>
    <n v="0"/>
    <n v="0"/>
    <m/>
    <m/>
    <m/>
    <m/>
    <n v="0"/>
    <m/>
    <m/>
    <n v="0"/>
    <m/>
    <m/>
    <m/>
    <m/>
    <m/>
    <m/>
    <n v="0"/>
    <n v="0"/>
  </r>
  <r>
    <x v="8"/>
    <x v="36"/>
    <s v="Non need-based"/>
    <m/>
    <m/>
    <x v="12"/>
    <m/>
    <m/>
    <m/>
    <m/>
    <m/>
    <m/>
    <m/>
    <m/>
    <n v="0"/>
    <m/>
    <m/>
    <n v="0"/>
    <n v="0"/>
    <n v="0"/>
    <n v="3168863"/>
    <n v="2956710"/>
    <m/>
    <m/>
    <n v="0"/>
    <m/>
    <m/>
    <n v="0"/>
    <m/>
    <m/>
    <m/>
    <m/>
    <m/>
    <m/>
    <n v="3168863"/>
    <n v="2956710"/>
  </r>
  <r>
    <x v="8"/>
    <x v="31"/>
    <s v="Amount to private sector students"/>
    <m/>
    <m/>
    <x v="12"/>
    <m/>
    <m/>
    <m/>
    <m/>
    <m/>
    <m/>
    <m/>
    <m/>
    <n v="0"/>
    <m/>
    <m/>
    <n v="0"/>
    <n v="0"/>
    <n v="0"/>
    <m/>
    <m/>
    <m/>
    <m/>
    <n v="0"/>
    <m/>
    <m/>
    <n v="0"/>
    <m/>
    <m/>
    <m/>
    <m/>
    <m/>
    <m/>
    <n v="0"/>
    <n v="0"/>
  </r>
  <r>
    <x v="8"/>
    <x v="33"/>
    <s v="Non need-based"/>
    <m/>
    <m/>
    <x v="12"/>
    <m/>
    <m/>
    <m/>
    <m/>
    <m/>
    <m/>
    <m/>
    <m/>
    <n v="0"/>
    <m/>
    <m/>
    <n v="0"/>
    <n v="0"/>
    <n v="0"/>
    <n v="846359"/>
    <n v="837362"/>
    <m/>
    <m/>
    <n v="0"/>
    <m/>
    <m/>
    <n v="0"/>
    <m/>
    <m/>
    <m/>
    <m/>
    <m/>
    <m/>
    <n v="846359"/>
    <n v="837362"/>
  </r>
  <r>
    <x v="8"/>
    <x v="34"/>
    <s v="Limited to public college students only"/>
    <m/>
    <m/>
    <x v="12"/>
    <m/>
    <m/>
    <m/>
    <m/>
    <m/>
    <m/>
    <m/>
    <m/>
    <n v="0"/>
    <m/>
    <m/>
    <n v="0"/>
    <n v="0"/>
    <n v="0"/>
    <m/>
    <m/>
    <m/>
    <m/>
    <n v="0"/>
    <m/>
    <m/>
    <n v="0"/>
    <m/>
    <m/>
    <m/>
    <m/>
    <m/>
    <m/>
    <n v="0"/>
    <n v="0"/>
  </r>
  <r>
    <x v="8"/>
    <x v="35"/>
    <s v="Need-based (SUMD)"/>
    <m/>
    <m/>
    <x v="12"/>
    <m/>
    <m/>
    <m/>
    <m/>
    <m/>
    <m/>
    <m/>
    <m/>
    <n v="0"/>
    <m/>
    <m/>
    <n v="0"/>
    <n v="0"/>
    <n v="0"/>
    <n v="750000"/>
    <n v="750000"/>
    <m/>
    <m/>
    <n v="0"/>
    <m/>
    <m/>
    <n v="0"/>
    <m/>
    <m/>
    <m/>
    <m/>
    <m/>
    <m/>
    <n v="750000"/>
    <n v="750000"/>
  </r>
  <r>
    <x v="8"/>
    <x v="36"/>
    <s v="Non need-based (DENT, LAW, MED,PMGT, SDSP, VMMP,NISS)"/>
    <m/>
    <m/>
    <x v="12"/>
    <m/>
    <m/>
    <m/>
    <m/>
    <m/>
    <m/>
    <m/>
    <m/>
    <n v="0"/>
    <m/>
    <m/>
    <n v="0"/>
    <n v="0"/>
    <n v="0"/>
    <n v="612078"/>
    <n v="736874"/>
    <m/>
    <m/>
    <n v="0"/>
    <m/>
    <m/>
    <n v="0"/>
    <m/>
    <m/>
    <m/>
    <m/>
    <m/>
    <m/>
    <n v="612078"/>
    <n v="736874"/>
  </r>
  <r>
    <x v="8"/>
    <x v="34"/>
    <s v="Limited to private college students only"/>
    <m/>
    <m/>
    <x v="12"/>
    <m/>
    <m/>
    <m/>
    <m/>
    <m/>
    <m/>
    <m/>
    <m/>
    <n v="0"/>
    <m/>
    <m/>
    <n v="0"/>
    <n v="0"/>
    <n v="0"/>
    <m/>
    <m/>
    <m/>
    <m/>
    <n v="0"/>
    <m/>
    <m/>
    <n v="0"/>
    <m/>
    <m/>
    <m/>
    <m/>
    <m/>
    <m/>
    <n v="0"/>
    <n v="0"/>
  </r>
  <r>
    <x v="8"/>
    <x v="35"/>
    <s v="Need-based"/>
    <m/>
    <m/>
    <x v="12"/>
    <m/>
    <m/>
    <m/>
    <m/>
    <m/>
    <m/>
    <m/>
    <m/>
    <n v="0"/>
    <m/>
    <m/>
    <n v="0"/>
    <n v="0"/>
    <n v="0"/>
    <m/>
    <m/>
    <m/>
    <m/>
    <n v="0"/>
    <m/>
    <m/>
    <n v="0"/>
    <m/>
    <m/>
    <m/>
    <m/>
    <m/>
    <m/>
    <n v="0"/>
    <n v="0"/>
  </r>
  <r>
    <x v="8"/>
    <x v="36"/>
    <s v="Non need-based (STSC)"/>
    <m/>
    <m/>
    <x v="12"/>
    <m/>
    <m/>
    <m/>
    <m/>
    <m/>
    <m/>
    <m/>
    <m/>
    <n v="0"/>
    <m/>
    <m/>
    <n v="0"/>
    <n v="0"/>
    <n v="0"/>
    <n v="54349"/>
    <n v="34103"/>
    <m/>
    <m/>
    <n v="0"/>
    <m/>
    <m/>
    <n v="0"/>
    <m/>
    <m/>
    <m/>
    <m/>
    <m/>
    <m/>
    <n v="54349"/>
    <n v="34103"/>
  </r>
  <r>
    <x v="8"/>
    <x v="0"/>
    <s v="Hinds Community College "/>
    <m/>
    <n v="175786"/>
    <x v="6"/>
    <n v="26321884"/>
    <n v="31962657"/>
    <m/>
    <m/>
    <n v="10557200"/>
    <n v="10913365"/>
    <n v="29865000"/>
    <m/>
    <n v="29865000"/>
    <n v="26856327"/>
    <m/>
    <n v="26856327"/>
    <n v="66744084"/>
    <n v="69732349"/>
    <m/>
    <m/>
    <m/>
    <m/>
    <n v="0"/>
    <m/>
    <m/>
    <n v="0"/>
    <m/>
    <m/>
    <m/>
    <m/>
    <m/>
    <m/>
    <n v="66744084"/>
    <n v="69732349"/>
  </r>
  <r>
    <x v="8"/>
    <x v="8"/>
    <s v="Special line items for education operations"/>
    <m/>
    <n v="175786"/>
    <x v="6"/>
    <m/>
    <m/>
    <m/>
    <m/>
    <m/>
    <m/>
    <m/>
    <m/>
    <n v="0"/>
    <m/>
    <m/>
    <n v="0"/>
    <n v="0"/>
    <n v="0"/>
    <m/>
    <m/>
    <m/>
    <m/>
    <n v="0"/>
    <m/>
    <m/>
    <n v="0"/>
    <m/>
    <m/>
    <m/>
    <m/>
    <m/>
    <m/>
    <n v="0"/>
    <n v="0"/>
  </r>
  <r>
    <x v="8"/>
    <x v="8"/>
    <s v="Post-Secondary Vocational Education"/>
    <m/>
    <n v="175786"/>
    <x v="6"/>
    <m/>
    <m/>
    <n v="4859119"/>
    <n v="4823579.1100000003"/>
    <m/>
    <m/>
    <m/>
    <m/>
    <n v="0"/>
    <m/>
    <m/>
    <n v="0"/>
    <n v="4859119"/>
    <n v="4823579.1100000003"/>
    <m/>
    <m/>
    <m/>
    <m/>
    <n v="0"/>
    <m/>
    <m/>
    <n v="0"/>
    <m/>
    <m/>
    <m/>
    <m/>
    <m/>
    <m/>
    <n v="4859119"/>
    <n v="4823579.1100000003"/>
  </r>
  <r>
    <x v="8"/>
    <x v="0"/>
    <s v="Itawamba Community College "/>
    <m/>
    <n v="175829"/>
    <x v="6"/>
    <n v="17472799"/>
    <n v="19980530"/>
    <m/>
    <m/>
    <n v="5272252"/>
    <n v="5403450"/>
    <n v="15380249"/>
    <m/>
    <n v="15380249"/>
    <n v="12886497"/>
    <m/>
    <n v="12886497"/>
    <n v="38125300"/>
    <n v="38270477"/>
    <m/>
    <m/>
    <m/>
    <m/>
    <n v="0"/>
    <m/>
    <m/>
    <n v="0"/>
    <m/>
    <m/>
    <m/>
    <m/>
    <m/>
    <m/>
    <n v="38125300"/>
    <n v="38270477"/>
  </r>
  <r>
    <x v="8"/>
    <x v="8"/>
    <s v="Special line items for education operations"/>
    <m/>
    <n v="175829"/>
    <x v="6"/>
    <m/>
    <m/>
    <m/>
    <m/>
    <m/>
    <m/>
    <m/>
    <m/>
    <n v="0"/>
    <m/>
    <m/>
    <n v="0"/>
    <n v="0"/>
    <n v="0"/>
    <m/>
    <m/>
    <m/>
    <m/>
    <n v="0"/>
    <m/>
    <m/>
    <n v="0"/>
    <m/>
    <m/>
    <m/>
    <m/>
    <m/>
    <m/>
    <n v="0"/>
    <n v="0"/>
  </r>
  <r>
    <x v="8"/>
    <x v="8"/>
    <s v="Post-Secondary Vocational Education"/>
    <m/>
    <n v="175830"/>
    <x v="6"/>
    <m/>
    <m/>
    <n v="1806201"/>
    <n v="1737998"/>
    <m/>
    <m/>
    <m/>
    <m/>
    <n v="0"/>
    <m/>
    <m/>
    <n v="0"/>
    <n v="1806201"/>
    <n v="1737998"/>
    <m/>
    <m/>
    <m/>
    <m/>
    <n v="0"/>
    <m/>
    <m/>
    <n v="0"/>
    <m/>
    <m/>
    <m/>
    <m/>
    <m/>
    <m/>
    <n v="1806201"/>
    <n v="1737998"/>
  </r>
  <r>
    <x v="8"/>
    <x v="0"/>
    <s v="Mississippi Gulf Coast Community College "/>
    <m/>
    <n v="176071"/>
    <x v="6"/>
    <n v="19789947"/>
    <n v="24832784"/>
    <m/>
    <m/>
    <n v="8856106"/>
    <n v="8869426"/>
    <n v="27848631"/>
    <m/>
    <n v="27848631"/>
    <n v="27426798"/>
    <m/>
    <n v="27426798"/>
    <n v="56494684"/>
    <n v="61129008"/>
    <m/>
    <m/>
    <m/>
    <m/>
    <n v="0"/>
    <m/>
    <m/>
    <n v="0"/>
    <m/>
    <m/>
    <m/>
    <m/>
    <m/>
    <m/>
    <n v="56494684"/>
    <n v="61129008"/>
  </r>
  <r>
    <x v="8"/>
    <x v="8"/>
    <s v="Special line items for education operations"/>
    <m/>
    <n v="176071"/>
    <x v="6"/>
    <m/>
    <m/>
    <m/>
    <m/>
    <m/>
    <m/>
    <m/>
    <m/>
    <n v="0"/>
    <m/>
    <m/>
    <n v="0"/>
    <n v="0"/>
    <n v="0"/>
    <m/>
    <m/>
    <m/>
    <m/>
    <n v="0"/>
    <m/>
    <m/>
    <n v="0"/>
    <m/>
    <m/>
    <m/>
    <m/>
    <m/>
    <m/>
    <n v="0"/>
    <n v="0"/>
  </r>
  <r>
    <x v="8"/>
    <x v="8"/>
    <s v="Post-Secondary Vocational Education"/>
    <m/>
    <n v="176071"/>
    <x v="6"/>
    <m/>
    <m/>
    <n v="2919817"/>
    <n v="2837671"/>
    <m/>
    <m/>
    <m/>
    <m/>
    <n v="0"/>
    <m/>
    <m/>
    <n v="0"/>
    <n v="2919817"/>
    <n v="2837671"/>
    <m/>
    <m/>
    <m/>
    <m/>
    <n v="0"/>
    <m/>
    <m/>
    <n v="0"/>
    <m/>
    <m/>
    <m/>
    <m/>
    <m/>
    <m/>
    <n v="2919817"/>
    <n v="2837671"/>
  </r>
  <r>
    <x v="8"/>
    <x v="0"/>
    <s v="Northwest Mississippi Community College "/>
    <m/>
    <n v="176178"/>
    <x v="6"/>
    <n v="16762284"/>
    <n v="20834919"/>
    <m/>
    <m/>
    <n v="5061003"/>
    <n v="5011974"/>
    <n v="16477224"/>
    <m/>
    <n v="16477224"/>
    <n v="15054783"/>
    <m/>
    <n v="15054783"/>
    <n v="38300511"/>
    <n v="40901676"/>
    <m/>
    <m/>
    <m/>
    <m/>
    <n v="0"/>
    <m/>
    <m/>
    <n v="0"/>
    <m/>
    <m/>
    <m/>
    <m/>
    <m/>
    <m/>
    <n v="38300511"/>
    <n v="40901676"/>
  </r>
  <r>
    <x v="8"/>
    <x v="8"/>
    <s v="Special line items for education operations"/>
    <m/>
    <n v="176178"/>
    <x v="6"/>
    <m/>
    <m/>
    <m/>
    <m/>
    <m/>
    <m/>
    <m/>
    <m/>
    <n v="0"/>
    <m/>
    <m/>
    <n v="0"/>
    <n v="0"/>
    <n v="0"/>
    <m/>
    <m/>
    <m/>
    <m/>
    <n v="0"/>
    <m/>
    <m/>
    <n v="0"/>
    <m/>
    <m/>
    <m/>
    <m/>
    <m/>
    <m/>
    <n v="0"/>
    <n v="0"/>
  </r>
  <r>
    <x v="8"/>
    <x v="8"/>
    <s v="Post-Secondary Vocational Education"/>
    <m/>
    <n v="176178"/>
    <x v="6"/>
    <m/>
    <m/>
    <n v="2071285.82"/>
    <n v="2053554"/>
    <m/>
    <m/>
    <m/>
    <m/>
    <n v="0"/>
    <m/>
    <m/>
    <n v="0"/>
    <n v="2071285.82"/>
    <n v="2053554"/>
    <m/>
    <m/>
    <m/>
    <m/>
    <n v="0"/>
    <m/>
    <m/>
    <n v="0"/>
    <m/>
    <m/>
    <m/>
    <m/>
    <m/>
    <m/>
    <n v="2071285.82"/>
    <n v="2053554"/>
  </r>
  <r>
    <x v="8"/>
    <x v="0"/>
    <s v="Copiah-Lincoln Community College "/>
    <m/>
    <n v="175573"/>
    <x v="7"/>
    <n v="9071584"/>
    <n v="10966425"/>
    <m/>
    <m/>
    <n v="2328526"/>
    <n v="2337749"/>
    <n v="8436572"/>
    <m/>
    <n v="8436572"/>
    <n v="7436279"/>
    <m/>
    <n v="7436279"/>
    <n v="19836682"/>
    <n v="20740453"/>
    <m/>
    <m/>
    <m/>
    <m/>
    <n v="0"/>
    <m/>
    <m/>
    <n v="0"/>
    <m/>
    <m/>
    <m/>
    <m/>
    <m/>
    <m/>
    <n v="19836682"/>
    <n v="20740453"/>
  </r>
  <r>
    <x v="8"/>
    <x v="8"/>
    <s v="Special line items for education operations"/>
    <m/>
    <n v="175573"/>
    <x v="7"/>
    <m/>
    <m/>
    <m/>
    <m/>
    <m/>
    <m/>
    <m/>
    <m/>
    <n v="0"/>
    <m/>
    <m/>
    <n v="0"/>
    <n v="0"/>
    <n v="0"/>
    <m/>
    <m/>
    <m/>
    <m/>
    <n v="0"/>
    <m/>
    <m/>
    <n v="0"/>
    <m/>
    <m/>
    <m/>
    <m/>
    <m/>
    <m/>
    <n v="0"/>
    <n v="0"/>
  </r>
  <r>
    <x v="8"/>
    <x v="8"/>
    <s v="Post-Secondary Vocational Education"/>
    <m/>
    <n v="175573"/>
    <x v="7"/>
    <m/>
    <m/>
    <n v="1426014.75"/>
    <n v="1399332.6"/>
    <m/>
    <m/>
    <m/>
    <m/>
    <n v="0"/>
    <m/>
    <m/>
    <n v="0"/>
    <n v="1426014.75"/>
    <n v="1399332.6"/>
    <m/>
    <m/>
    <m/>
    <m/>
    <n v="0"/>
    <m/>
    <m/>
    <n v="0"/>
    <m/>
    <m/>
    <m/>
    <m/>
    <m/>
    <m/>
    <n v="1426014.75"/>
    <n v="1399332.6"/>
  </r>
  <r>
    <x v="8"/>
    <x v="0"/>
    <s v="East Central Community College "/>
    <m/>
    <n v="175643"/>
    <x v="7"/>
    <n v="7104666"/>
    <n v="8912404"/>
    <m/>
    <m/>
    <n v="1280445"/>
    <n v="1314122"/>
    <n v="6026037"/>
    <m/>
    <n v="6026037"/>
    <n v="5547235"/>
    <m/>
    <n v="5547235"/>
    <n v="14411148"/>
    <n v="15773761"/>
    <m/>
    <m/>
    <m/>
    <m/>
    <n v="0"/>
    <m/>
    <m/>
    <n v="0"/>
    <m/>
    <m/>
    <m/>
    <m/>
    <m/>
    <m/>
    <n v="14411148"/>
    <n v="15773761"/>
  </r>
  <r>
    <x v="8"/>
    <x v="8"/>
    <s v="Special line items for education operations"/>
    <m/>
    <n v="175643"/>
    <x v="7"/>
    <m/>
    <m/>
    <m/>
    <m/>
    <m/>
    <m/>
    <m/>
    <m/>
    <n v="0"/>
    <m/>
    <m/>
    <n v="0"/>
    <n v="0"/>
    <n v="0"/>
    <m/>
    <m/>
    <m/>
    <m/>
    <n v="0"/>
    <m/>
    <m/>
    <n v="0"/>
    <m/>
    <m/>
    <m/>
    <m/>
    <m/>
    <m/>
    <n v="0"/>
    <n v="0"/>
  </r>
  <r>
    <x v="8"/>
    <x v="8"/>
    <s v="Post-Secondary Vocational Education"/>
    <m/>
    <n v="175643"/>
    <x v="7"/>
    <m/>
    <m/>
    <n v="1110107"/>
    <n v="1054647"/>
    <m/>
    <m/>
    <m/>
    <m/>
    <n v="0"/>
    <m/>
    <m/>
    <n v="0"/>
    <n v="1110107"/>
    <n v="1054647"/>
    <m/>
    <m/>
    <m/>
    <m/>
    <n v="0"/>
    <m/>
    <m/>
    <n v="0"/>
    <m/>
    <m/>
    <m/>
    <m/>
    <m/>
    <m/>
    <n v="1110107"/>
    <n v="1054647"/>
  </r>
  <r>
    <x v="8"/>
    <x v="0"/>
    <s v="East Mississippi Community College "/>
    <m/>
    <n v="175652"/>
    <x v="7"/>
    <n v="10884096"/>
    <n v="13349241"/>
    <m/>
    <m/>
    <n v="1634550"/>
    <n v="1705200"/>
    <n v="14984249"/>
    <m/>
    <n v="14984249"/>
    <n v="15035262"/>
    <m/>
    <n v="15035262"/>
    <n v="27502895"/>
    <n v="30089703"/>
    <m/>
    <m/>
    <m/>
    <m/>
    <n v="0"/>
    <m/>
    <m/>
    <n v="0"/>
    <m/>
    <m/>
    <m/>
    <m/>
    <m/>
    <m/>
    <n v="27502895"/>
    <n v="30089703"/>
  </r>
  <r>
    <x v="8"/>
    <x v="8"/>
    <s v="Special line items for education operations"/>
    <m/>
    <n v="175652"/>
    <x v="7"/>
    <m/>
    <m/>
    <m/>
    <m/>
    <m/>
    <m/>
    <m/>
    <m/>
    <n v="0"/>
    <m/>
    <m/>
    <n v="0"/>
    <n v="0"/>
    <n v="0"/>
    <m/>
    <m/>
    <m/>
    <m/>
    <n v="0"/>
    <m/>
    <m/>
    <n v="0"/>
    <m/>
    <m/>
    <m/>
    <m/>
    <m/>
    <m/>
    <n v="0"/>
    <n v="0"/>
  </r>
  <r>
    <x v="8"/>
    <x v="8"/>
    <s v="Post-Secondary Vocational Education"/>
    <m/>
    <n v="175652"/>
    <x v="7"/>
    <m/>
    <m/>
    <n v="924537.22"/>
    <n v="1063798.06"/>
    <m/>
    <m/>
    <m/>
    <m/>
    <n v="0"/>
    <m/>
    <m/>
    <n v="0"/>
    <n v="924537.22"/>
    <n v="1063798.06"/>
    <m/>
    <m/>
    <m/>
    <m/>
    <n v="0"/>
    <m/>
    <m/>
    <n v="0"/>
    <m/>
    <m/>
    <m/>
    <m/>
    <m/>
    <m/>
    <n v="924537.22"/>
    <n v="1063798.06"/>
  </r>
  <r>
    <x v="8"/>
    <x v="0"/>
    <s v="Holmes Community College "/>
    <s v="Met criteria for Two-Year 1 in 2012-13."/>
    <n v="175810"/>
    <x v="7"/>
    <n v="13265618"/>
    <n v="16891483"/>
    <m/>
    <m/>
    <n v="2618026"/>
    <n v="2626323"/>
    <n v="15673332"/>
    <m/>
    <n v="15673332"/>
    <n v="15334415"/>
    <m/>
    <n v="15334415"/>
    <n v="31556976"/>
    <n v="34852221"/>
    <m/>
    <m/>
    <m/>
    <m/>
    <n v="0"/>
    <m/>
    <m/>
    <n v="0"/>
    <m/>
    <m/>
    <m/>
    <m/>
    <m/>
    <m/>
    <n v="31556976"/>
    <n v="34852221"/>
  </r>
  <r>
    <x v="8"/>
    <x v="8"/>
    <s v="Special line items for education operations"/>
    <m/>
    <n v="175810"/>
    <x v="7"/>
    <m/>
    <m/>
    <m/>
    <m/>
    <m/>
    <m/>
    <m/>
    <m/>
    <n v="0"/>
    <m/>
    <m/>
    <n v="0"/>
    <n v="0"/>
    <n v="0"/>
    <m/>
    <m/>
    <m/>
    <m/>
    <n v="0"/>
    <m/>
    <m/>
    <n v="0"/>
    <m/>
    <m/>
    <m/>
    <m/>
    <m/>
    <m/>
    <n v="0"/>
    <n v="0"/>
  </r>
  <r>
    <x v="8"/>
    <x v="8"/>
    <s v="Post-Secondary Vocational Education"/>
    <m/>
    <n v="175810"/>
    <x v="7"/>
    <m/>
    <m/>
    <n v="1582542.32"/>
    <n v="1680006"/>
    <m/>
    <m/>
    <m/>
    <m/>
    <n v="0"/>
    <m/>
    <m/>
    <n v="0"/>
    <n v="1582542.32"/>
    <n v="1680006"/>
    <m/>
    <m/>
    <m/>
    <m/>
    <n v="0"/>
    <m/>
    <m/>
    <n v="0"/>
    <m/>
    <m/>
    <m/>
    <m/>
    <m/>
    <m/>
    <n v="1582542.32"/>
    <n v="1680006"/>
  </r>
  <r>
    <x v="8"/>
    <x v="0"/>
    <s v="Jones County Junior College "/>
    <m/>
    <n v="175883"/>
    <x v="7"/>
    <n v="12163522"/>
    <n v="13963867"/>
    <m/>
    <m/>
    <n v="2309706"/>
    <n v="3072308"/>
    <n v="12265958"/>
    <m/>
    <n v="12265958"/>
    <n v="11279073"/>
    <m/>
    <n v="11279073"/>
    <n v="26739186"/>
    <n v="28315248"/>
    <m/>
    <m/>
    <m/>
    <m/>
    <n v="0"/>
    <m/>
    <m/>
    <n v="0"/>
    <m/>
    <m/>
    <m/>
    <m/>
    <m/>
    <m/>
    <n v="26739186"/>
    <n v="28315248"/>
  </r>
  <r>
    <x v="8"/>
    <x v="8"/>
    <s v="Special line items for education operations"/>
    <m/>
    <n v="175883"/>
    <x v="7"/>
    <m/>
    <m/>
    <m/>
    <m/>
    <m/>
    <m/>
    <m/>
    <m/>
    <n v="0"/>
    <m/>
    <m/>
    <n v="0"/>
    <n v="0"/>
    <n v="0"/>
    <m/>
    <m/>
    <m/>
    <m/>
    <n v="0"/>
    <m/>
    <m/>
    <n v="0"/>
    <m/>
    <m/>
    <m/>
    <m/>
    <m/>
    <m/>
    <n v="0"/>
    <n v="0"/>
  </r>
  <r>
    <x v="8"/>
    <x v="8"/>
    <s v="Post-Secondary Vocational Education"/>
    <m/>
    <n v="175884"/>
    <x v="7"/>
    <m/>
    <m/>
    <n v="1822570"/>
    <n v="1645640.65"/>
    <m/>
    <m/>
    <m/>
    <m/>
    <n v="0"/>
    <m/>
    <m/>
    <n v="0"/>
    <n v="1822570"/>
    <n v="1645640.65"/>
    <m/>
    <m/>
    <m/>
    <m/>
    <n v="0"/>
    <m/>
    <m/>
    <n v="0"/>
    <m/>
    <m/>
    <m/>
    <m/>
    <m/>
    <m/>
    <n v="1822570"/>
    <n v="1645640.65"/>
  </r>
  <r>
    <x v="8"/>
    <x v="0"/>
    <s v="Meridian Community College "/>
    <m/>
    <n v="175935"/>
    <x v="7"/>
    <n v="9525555"/>
    <n v="12055140"/>
    <m/>
    <m/>
    <n v="1971386"/>
    <n v="2197459"/>
    <n v="9927148"/>
    <m/>
    <n v="9927148"/>
    <n v="9272341"/>
    <m/>
    <n v="9272341"/>
    <n v="21424089"/>
    <n v="23524940"/>
    <m/>
    <m/>
    <m/>
    <m/>
    <n v="0"/>
    <m/>
    <m/>
    <n v="0"/>
    <m/>
    <m/>
    <m/>
    <m/>
    <m/>
    <m/>
    <n v="21424089"/>
    <n v="23524940"/>
  </r>
  <r>
    <x v="8"/>
    <x v="8"/>
    <s v="Special line items for education operations"/>
    <m/>
    <n v="175935"/>
    <x v="7"/>
    <m/>
    <m/>
    <m/>
    <m/>
    <m/>
    <m/>
    <m/>
    <m/>
    <n v="0"/>
    <m/>
    <m/>
    <n v="0"/>
    <n v="0"/>
    <n v="0"/>
    <m/>
    <m/>
    <m/>
    <m/>
    <n v="0"/>
    <m/>
    <m/>
    <n v="0"/>
    <m/>
    <m/>
    <m/>
    <m/>
    <m/>
    <m/>
    <n v="0"/>
    <n v="0"/>
  </r>
  <r>
    <x v="8"/>
    <x v="8"/>
    <s v="Post-Secondary Vocational Education"/>
    <m/>
    <n v="175935"/>
    <x v="7"/>
    <m/>
    <m/>
    <n v="1456697"/>
    <n v="1573512.86"/>
    <m/>
    <m/>
    <m/>
    <m/>
    <n v="0"/>
    <m/>
    <m/>
    <n v="0"/>
    <n v="1456697"/>
    <n v="1573512.86"/>
    <m/>
    <m/>
    <m/>
    <m/>
    <n v="0"/>
    <m/>
    <m/>
    <n v="0"/>
    <m/>
    <m/>
    <m/>
    <m/>
    <m/>
    <m/>
    <n v="1456697"/>
    <n v="1573512.86"/>
  </r>
  <r>
    <x v="8"/>
    <x v="0"/>
    <s v="Mississippi Delta Community College "/>
    <m/>
    <n v="176008"/>
    <x v="7"/>
    <n v="8555440"/>
    <n v="10443742"/>
    <m/>
    <m/>
    <n v="2021226"/>
    <n v="2026043"/>
    <n v="8928138"/>
    <m/>
    <n v="8928138"/>
    <n v="8504974"/>
    <m/>
    <n v="8504974"/>
    <n v="19504804"/>
    <n v="20974759"/>
    <m/>
    <m/>
    <m/>
    <m/>
    <n v="0"/>
    <m/>
    <m/>
    <n v="0"/>
    <m/>
    <m/>
    <m/>
    <m/>
    <m/>
    <m/>
    <n v="19504804"/>
    <n v="20974759"/>
  </r>
  <r>
    <x v="8"/>
    <x v="8"/>
    <s v="Special line items for education operations"/>
    <m/>
    <n v="176008"/>
    <x v="7"/>
    <m/>
    <m/>
    <m/>
    <m/>
    <m/>
    <m/>
    <m/>
    <m/>
    <n v="0"/>
    <m/>
    <m/>
    <n v="0"/>
    <n v="0"/>
    <n v="0"/>
    <m/>
    <m/>
    <m/>
    <m/>
    <n v="0"/>
    <m/>
    <m/>
    <n v="0"/>
    <m/>
    <m/>
    <m/>
    <m/>
    <m/>
    <m/>
    <n v="0"/>
    <n v="0"/>
  </r>
  <r>
    <x v="8"/>
    <x v="8"/>
    <s v="Post-Secondary Vocational Education"/>
    <m/>
    <n v="176008"/>
    <x v="7"/>
    <m/>
    <m/>
    <n v="1026143"/>
    <n v="1000323.8"/>
    <m/>
    <m/>
    <m/>
    <m/>
    <n v="0"/>
    <m/>
    <m/>
    <n v="0"/>
    <n v="1026143"/>
    <n v="1000323.8"/>
    <m/>
    <m/>
    <m/>
    <m/>
    <n v="0"/>
    <m/>
    <m/>
    <n v="0"/>
    <m/>
    <m/>
    <m/>
    <m/>
    <m/>
    <m/>
    <n v="1026143"/>
    <n v="1000323.8"/>
  </r>
  <r>
    <x v="8"/>
    <x v="0"/>
    <s v="Northeast Mississippi Community College "/>
    <m/>
    <n v="176169"/>
    <x v="7"/>
    <n v="8867145"/>
    <n v="11324671"/>
    <m/>
    <m/>
    <n v="1458328"/>
    <n v="1463562"/>
    <n v="8625611"/>
    <m/>
    <n v="8625611"/>
    <n v="7929723"/>
    <m/>
    <n v="7929723"/>
    <n v="18951084"/>
    <n v="20717956"/>
    <m/>
    <m/>
    <m/>
    <m/>
    <n v="0"/>
    <m/>
    <m/>
    <n v="0"/>
    <m/>
    <m/>
    <m/>
    <m/>
    <m/>
    <m/>
    <n v="18951084"/>
    <n v="20717956"/>
  </r>
  <r>
    <x v="8"/>
    <x v="8"/>
    <s v="Special line items for education operations"/>
    <m/>
    <n v="176169"/>
    <x v="7"/>
    <m/>
    <m/>
    <m/>
    <m/>
    <m/>
    <m/>
    <m/>
    <m/>
    <n v="0"/>
    <m/>
    <m/>
    <n v="0"/>
    <n v="0"/>
    <n v="0"/>
    <m/>
    <m/>
    <m/>
    <m/>
    <n v="0"/>
    <m/>
    <m/>
    <n v="0"/>
    <m/>
    <m/>
    <m/>
    <m/>
    <m/>
    <m/>
    <n v="0"/>
    <n v="0"/>
  </r>
  <r>
    <x v="8"/>
    <x v="8"/>
    <s v="Post-Secondary Vocational Education"/>
    <m/>
    <n v="176169"/>
    <x v="7"/>
    <m/>
    <m/>
    <n v="1242685"/>
    <n v="1286768"/>
    <m/>
    <m/>
    <m/>
    <m/>
    <n v="0"/>
    <m/>
    <m/>
    <n v="0"/>
    <n v="1242685"/>
    <n v="1286768"/>
    <m/>
    <m/>
    <m/>
    <m/>
    <n v="0"/>
    <m/>
    <m/>
    <n v="0"/>
    <m/>
    <m/>
    <m/>
    <m/>
    <m/>
    <m/>
    <n v="1242685"/>
    <n v="1286768"/>
  </r>
  <r>
    <x v="8"/>
    <x v="0"/>
    <s v="Pearl River Community College "/>
    <m/>
    <n v="176239"/>
    <x v="7"/>
    <n v="11446392"/>
    <n v="14417385"/>
    <m/>
    <m/>
    <n v="3156587"/>
    <n v="3156587"/>
    <n v="12464186"/>
    <m/>
    <n v="12464186"/>
    <n v="13584101"/>
    <m/>
    <n v="13584101"/>
    <n v="27067165"/>
    <n v="31158073"/>
    <m/>
    <m/>
    <m/>
    <m/>
    <n v="0"/>
    <m/>
    <m/>
    <n v="0"/>
    <m/>
    <m/>
    <m/>
    <m/>
    <m/>
    <m/>
    <n v="27067165"/>
    <n v="31158073"/>
  </r>
  <r>
    <x v="8"/>
    <x v="8"/>
    <s v="Special line items for education operations"/>
    <m/>
    <n v="176239"/>
    <x v="7"/>
    <m/>
    <m/>
    <m/>
    <m/>
    <m/>
    <m/>
    <m/>
    <m/>
    <n v="0"/>
    <m/>
    <m/>
    <n v="0"/>
    <n v="0"/>
    <n v="0"/>
    <m/>
    <m/>
    <m/>
    <m/>
    <n v="0"/>
    <m/>
    <m/>
    <n v="0"/>
    <m/>
    <m/>
    <m/>
    <m/>
    <m/>
    <m/>
    <n v="0"/>
    <n v="0"/>
  </r>
  <r>
    <x v="8"/>
    <x v="8"/>
    <s v="Post-Secondary Vocational Education"/>
    <m/>
    <n v="176239"/>
    <x v="7"/>
    <m/>
    <m/>
    <n v="2011975"/>
    <n v="2090189.4"/>
    <m/>
    <m/>
    <m/>
    <m/>
    <n v="0"/>
    <m/>
    <m/>
    <n v="0"/>
    <n v="2011975"/>
    <n v="2090189.4"/>
    <m/>
    <m/>
    <m/>
    <m/>
    <n v="0"/>
    <m/>
    <m/>
    <n v="0"/>
    <m/>
    <m/>
    <m/>
    <m/>
    <m/>
    <m/>
    <n v="2011975"/>
    <n v="2090189.4"/>
  </r>
  <r>
    <x v="8"/>
    <x v="0"/>
    <s v="Coahoma Community College "/>
    <m/>
    <n v="175519"/>
    <x v="8"/>
    <n v="6452924"/>
    <n v="8271194"/>
    <m/>
    <m/>
    <n v="1879639"/>
    <n v="1911927"/>
    <n v="5974835"/>
    <m/>
    <n v="5974835"/>
    <n v="5349623"/>
    <m/>
    <n v="5349623"/>
    <n v="14307398"/>
    <n v="15532744"/>
    <m/>
    <m/>
    <m/>
    <m/>
    <n v="0"/>
    <m/>
    <m/>
    <n v="0"/>
    <m/>
    <m/>
    <m/>
    <m/>
    <m/>
    <m/>
    <n v="14307398"/>
    <n v="15532744"/>
  </r>
  <r>
    <x v="8"/>
    <x v="8"/>
    <s v="Special line items for education operations"/>
    <m/>
    <n v="175519"/>
    <x v="8"/>
    <m/>
    <m/>
    <m/>
    <m/>
    <m/>
    <m/>
    <m/>
    <m/>
    <n v="0"/>
    <m/>
    <m/>
    <n v="0"/>
    <n v="0"/>
    <n v="0"/>
    <m/>
    <m/>
    <m/>
    <m/>
    <n v="0"/>
    <m/>
    <m/>
    <n v="0"/>
    <m/>
    <m/>
    <m/>
    <m/>
    <m/>
    <m/>
    <n v="0"/>
    <n v="0"/>
  </r>
  <r>
    <x v="8"/>
    <x v="8"/>
    <s v="Post-Secondary Vocational Education"/>
    <m/>
    <n v="175519"/>
    <x v="8"/>
    <m/>
    <m/>
    <n v="1487910"/>
    <n v="1467402"/>
    <m/>
    <m/>
    <m/>
    <m/>
    <n v="0"/>
    <m/>
    <m/>
    <n v="0"/>
    <n v="1487910"/>
    <n v="1467402"/>
    <m/>
    <m/>
    <m/>
    <m/>
    <n v="0"/>
    <m/>
    <m/>
    <n v="0"/>
    <m/>
    <m/>
    <m/>
    <m/>
    <m/>
    <m/>
    <n v="1487910"/>
    <n v="1467402"/>
  </r>
  <r>
    <x v="8"/>
    <x v="0"/>
    <s v="Southwest Mississippi Community College  "/>
    <m/>
    <n v="176354"/>
    <x v="8"/>
    <n v="5969153"/>
    <n v="7779171"/>
    <m/>
    <m/>
    <n v="1195809"/>
    <n v="1169991"/>
    <n v="5304051"/>
    <m/>
    <n v="5304051"/>
    <n v="5276500"/>
    <m/>
    <n v="5276500"/>
    <n v="12469013"/>
    <n v="14225662"/>
    <m/>
    <m/>
    <m/>
    <m/>
    <n v="0"/>
    <m/>
    <m/>
    <n v="0"/>
    <m/>
    <m/>
    <m/>
    <m/>
    <m/>
    <m/>
    <n v="12469013"/>
    <n v="14225662"/>
  </r>
  <r>
    <x v="8"/>
    <x v="8"/>
    <s v="Special line items for education operations"/>
    <m/>
    <n v="176354"/>
    <x v="8"/>
    <m/>
    <m/>
    <m/>
    <m/>
    <m/>
    <m/>
    <m/>
    <m/>
    <n v="0"/>
    <m/>
    <m/>
    <n v="0"/>
    <n v="0"/>
    <n v="0"/>
    <m/>
    <m/>
    <m/>
    <m/>
    <n v="0"/>
    <m/>
    <m/>
    <n v="0"/>
    <m/>
    <m/>
    <m/>
    <m/>
    <m/>
    <m/>
    <n v="0"/>
    <n v="0"/>
  </r>
  <r>
    <x v="8"/>
    <x v="8"/>
    <s v="Post-Secondary Vocational Education"/>
    <m/>
    <n v="176354"/>
    <x v="8"/>
    <m/>
    <m/>
    <n v="1002719"/>
    <n v="1048395"/>
    <m/>
    <m/>
    <m/>
    <m/>
    <n v="0"/>
    <m/>
    <m/>
    <n v="0"/>
    <n v="1002719"/>
    <n v="1048395"/>
    <m/>
    <m/>
    <m/>
    <m/>
    <n v="0"/>
    <m/>
    <m/>
    <n v="0"/>
    <m/>
    <m/>
    <m/>
    <m/>
    <m/>
    <m/>
    <n v="1002719"/>
    <n v="1048395"/>
  </r>
  <r>
    <x v="8"/>
    <x v="10"/>
    <s v="Education special purpose funds — statewide units"/>
    <m/>
    <m/>
    <x v="12"/>
    <m/>
    <m/>
    <m/>
    <m/>
    <m/>
    <m/>
    <m/>
    <m/>
    <n v="0"/>
    <m/>
    <m/>
    <n v="0"/>
    <n v="0"/>
    <n v="0"/>
    <m/>
    <m/>
    <m/>
    <m/>
    <n v="0"/>
    <m/>
    <m/>
    <n v="0"/>
    <m/>
    <m/>
    <m/>
    <m/>
    <m/>
    <m/>
    <n v="0"/>
    <n v="0"/>
  </r>
  <r>
    <x v="8"/>
    <x v="13"/>
    <s v="Education special purpose funds — all other"/>
    <m/>
    <m/>
    <x v="12"/>
    <m/>
    <m/>
    <m/>
    <m/>
    <m/>
    <m/>
    <m/>
    <m/>
    <n v="0"/>
    <m/>
    <m/>
    <n v="0"/>
    <n v="0"/>
    <n v="0"/>
    <m/>
    <m/>
    <m/>
    <m/>
    <n v="0"/>
    <m/>
    <m/>
    <n v="0"/>
    <m/>
    <m/>
    <m/>
    <m/>
    <m/>
    <m/>
    <n v="0"/>
    <n v="0"/>
  </r>
  <r>
    <x v="8"/>
    <x v="13"/>
    <s v="Internet and Line Charges for community colleges"/>
    <m/>
    <m/>
    <x v="12"/>
    <m/>
    <m/>
    <n v="554938"/>
    <n v="595938.78"/>
    <m/>
    <m/>
    <m/>
    <m/>
    <n v="0"/>
    <m/>
    <m/>
    <n v="0"/>
    <n v="554938"/>
    <n v="595938.78"/>
    <m/>
    <m/>
    <m/>
    <m/>
    <n v="0"/>
    <m/>
    <m/>
    <n v="0"/>
    <m/>
    <m/>
    <m/>
    <m/>
    <m/>
    <m/>
    <n v="554938"/>
    <n v="595938.78"/>
  </r>
  <r>
    <x v="8"/>
    <x v="13"/>
    <s v=" "/>
    <m/>
    <m/>
    <x v="12"/>
    <m/>
    <m/>
    <m/>
    <m/>
    <m/>
    <m/>
    <m/>
    <m/>
    <n v="0"/>
    <m/>
    <m/>
    <n v="0"/>
    <n v="0"/>
    <n v="0"/>
    <m/>
    <m/>
    <m/>
    <m/>
    <n v="0"/>
    <m/>
    <m/>
    <n v="0"/>
    <m/>
    <m/>
    <m/>
    <m/>
    <m/>
    <m/>
    <n v="0"/>
    <n v="0"/>
  </r>
  <r>
    <x v="8"/>
    <x v="13"/>
    <s v="Greenville Higher Education Center (MDCC via MCCB)"/>
    <m/>
    <m/>
    <x v="12"/>
    <m/>
    <m/>
    <n v="542459"/>
    <n v="542459"/>
    <m/>
    <m/>
    <m/>
    <m/>
    <n v="0"/>
    <m/>
    <m/>
    <n v="0"/>
    <n v="542459"/>
    <n v="542459"/>
    <m/>
    <m/>
    <m/>
    <m/>
    <n v="0"/>
    <m/>
    <m/>
    <n v="0"/>
    <m/>
    <m/>
    <m/>
    <m/>
    <m/>
    <m/>
    <n v="542459"/>
    <n v="542459"/>
  </r>
  <r>
    <x v="8"/>
    <x v="14"/>
    <s v="Statewide System Operations"/>
    <m/>
    <m/>
    <x v="12"/>
    <m/>
    <m/>
    <m/>
    <m/>
    <m/>
    <m/>
    <m/>
    <m/>
    <n v="0"/>
    <m/>
    <m/>
    <n v="0"/>
    <n v="0"/>
    <n v="0"/>
    <m/>
    <m/>
    <m/>
    <m/>
    <n v="0"/>
    <m/>
    <m/>
    <n v="0"/>
    <m/>
    <m/>
    <m/>
    <m/>
    <m/>
    <m/>
    <n v="0"/>
    <n v="0"/>
  </r>
  <r>
    <x v="8"/>
    <x v="16"/>
    <s v="Two-year system(s), if any"/>
    <m/>
    <m/>
    <x v="12"/>
    <m/>
    <m/>
    <m/>
    <m/>
    <m/>
    <m/>
    <m/>
    <m/>
    <n v="0"/>
    <m/>
    <m/>
    <n v="0"/>
    <n v="0"/>
    <n v="0"/>
    <m/>
    <m/>
    <m/>
    <m/>
    <n v="0"/>
    <m/>
    <m/>
    <n v="0"/>
    <m/>
    <m/>
    <m/>
    <m/>
    <m/>
    <m/>
    <n v="0"/>
    <n v="0"/>
  </r>
  <r>
    <x v="8"/>
    <x v="16"/>
    <s v="MS Community College Board"/>
    <m/>
    <m/>
    <x v="12"/>
    <m/>
    <m/>
    <m/>
    <m/>
    <m/>
    <m/>
    <m/>
    <m/>
    <n v="0"/>
    <m/>
    <m/>
    <n v="0"/>
    <n v="0"/>
    <n v="0"/>
    <n v="2378064"/>
    <n v="2445396"/>
    <m/>
    <m/>
    <n v="0"/>
    <m/>
    <m/>
    <n v="0"/>
    <m/>
    <m/>
    <m/>
    <m/>
    <m/>
    <m/>
    <n v="2378064"/>
    <n v="2445396"/>
  </r>
  <r>
    <x v="9"/>
    <x v="0"/>
    <s v="North Carolina State University "/>
    <m/>
    <n v="199193"/>
    <x v="0"/>
    <n v="336360165.55000001"/>
    <n v="351339055"/>
    <m/>
    <m/>
    <m/>
    <m/>
    <n v="255971384"/>
    <m/>
    <n v="255971384"/>
    <n v="266542848"/>
    <m/>
    <n v="266542848"/>
    <n v="592331549.54999995"/>
    <n v="617881903"/>
    <m/>
    <m/>
    <m/>
    <m/>
    <n v="0"/>
    <m/>
    <m/>
    <n v="0"/>
    <m/>
    <m/>
    <m/>
    <m/>
    <m/>
    <m/>
    <n v="592331549.54999995"/>
    <n v="617881903"/>
  </r>
  <r>
    <x v="9"/>
    <x v="1"/>
    <s v="Vet Med School"/>
    <m/>
    <n v="199193"/>
    <x v="0"/>
    <m/>
    <m/>
    <m/>
    <m/>
    <m/>
    <m/>
    <n v="0"/>
    <m/>
    <n v="0"/>
    <n v="0"/>
    <m/>
    <n v="0"/>
    <n v="0"/>
    <n v="0"/>
    <m/>
    <m/>
    <m/>
    <m/>
    <n v="0"/>
    <m/>
    <m/>
    <n v="0"/>
    <n v="30486345.710000001"/>
    <n v="31527538"/>
    <n v="4171166"/>
    <m/>
    <n v="4972530"/>
    <m/>
    <n v="34657511.710000001"/>
    <n v="36500068"/>
  </r>
  <r>
    <x v="9"/>
    <x v="5"/>
    <s v="Agricultural cooperative extension"/>
    <m/>
    <n v="199193"/>
    <x v="0"/>
    <m/>
    <m/>
    <n v="39223732.030000001"/>
    <n v="39859682"/>
    <m/>
    <m/>
    <m/>
    <m/>
    <n v="0"/>
    <m/>
    <m/>
    <n v="0"/>
    <n v="39223732.030000001"/>
    <n v="39859682"/>
    <m/>
    <m/>
    <m/>
    <m/>
    <n v="0"/>
    <m/>
    <m/>
    <n v="0"/>
    <m/>
    <m/>
    <m/>
    <m/>
    <m/>
    <m/>
    <n v="39223732.030000001"/>
    <n v="39859682"/>
  </r>
  <r>
    <x v="9"/>
    <x v="6"/>
    <s v="Agricultural experiment stations"/>
    <m/>
    <n v="199193"/>
    <x v="0"/>
    <m/>
    <m/>
    <m/>
    <m/>
    <m/>
    <m/>
    <n v="0"/>
    <m/>
    <n v="0"/>
    <n v="0"/>
    <m/>
    <n v="0"/>
    <n v="0"/>
    <n v="0"/>
    <m/>
    <m/>
    <m/>
    <m/>
    <n v="0"/>
    <m/>
    <m/>
    <n v="0"/>
    <m/>
    <m/>
    <m/>
    <m/>
    <m/>
    <m/>
    <n v="0"/>
    <n v="0"/>
  </r>
  <r>
    <x v="9"/>
    <x v="6"/>
    <s v="Agricultural Research Service"/>
    <m/>
    <n v="199193"/>
    <x v="0"/>
    <m/>
    <m/>
    <n v="54341909.139999993"/>
    <n v="54926053"/>
    <m/>
    <m/>
    <m/>
    <m/>
    <n v="0"/>
    <m/>
    <m/>
    <n v="0"/>
    <n v="54341909.139999993"/>
    <n v="54926053"/>
    <m/>
    <m/>
    <m/>
    <m/>
    <n v="0"/>
    <m/>
    <m/>
    <n v="0"/>
    <m/>
    <m/>
    <m/>
    <m/>
    <m/>
    <m/>
    <n v="54341909.139999993"/>
    <n v="54926053"/>
  </r>
  <r>
    <x v="9"/>
    <x v="0"/>
    <s v="University of North Carolina at Chapel Hill "/>
    <m/>
    <n v="199120"/>
    <x v="0"/>
    <n v="266307280.45999995"/>
    <n v="272388234.39999998"/>
    <m/>
    <m/>
    <m/>
    <m/>
    <n v="235315592"/>
    <m/>
    <n v="235315592"/>
    <n v="239724717"/>
    <m/>
    <n v="239724717"/>
    <n v="501622872.45999992"/>
    <n v="512112951.39999998"/>
    <m/>
    <m/>
    <m/>
    <m/>
    <n v="0"/>
    <m/>
    <m/>
    <n v="0"/>
    <m/>
    <m/>
    <m/>
    <m/>
    <m/>
    <m/>
    <n v="501622872.45999992"/>
    <n v="512112951.39999998"/>
  </r>
  <r>
    <x v="9"/>
    <x v="1"/>
    <s v="Health professions education"/>
    <m/>
    <n v="199120"/>
    <x v="0"/>
    <m/>
    <m/>
    <m/>
    <m/>
    <m/>
    <m/>
    <n v="0"/>
    <m/>
    <n v="0"/>
    <n v="0"/>
    <m/>
    <n v="0"/>
    <n v="0"/>
    <n v="0"/>
    <m/>
    <m/>
    <m/>
    <m/>
    <n v="0"/>
    <m/>
    <m/>
    <n v="0"/>
    <m/>
    <m/>
    <m/>
    <m/>
    <m/>
    <m/>
    <n v="0"/>
    <n v="0"/>
  </r>
  <r>
    <x v="9"/>
    <x v="1"/>
    <s v="Medical School"/>
    <m/>
    <n v="199120"/>
    <x v="0"/>
    <m/>
    <m/>
    <m/>
    <m/>
    <m/>
    <m/>
    <n v="0"/>
    <m/>
    <n v="0"/>
    <n v="0"/>
    <m/>
    <n v="0"/>
    <n v="0"/>
    <n v="0"/>
    <m/>
    <m/>
    <m/>
    <m/>
    <n v="0"/>
    <m/>
    <m/>
    <n v="0"/>
    <n v="178283947"/>
    <n v="197289661"/>
    <n v="78334431"/>
    <m/>
    <n v="93982066"/>
    <m/>
    <n v="256618378"/>
    <n v="291271727"/>
  </r>
  <r>
    <x v="9"/>
    <x v="0"/>
    <s v="University of North Carolina at Greensboro"/>
    <m/>
    <n v="199148"/>
    <x v="0"/>
    <n v="150718467.97999999"/>
    <n v="154054869"/>
    <m/>
    <m/>
    <m/>
    <m/>
    <n v="83034880"/>
    <m/>
    <n v="83034880"/>
    <n v="82105870"/>
    <m/>
    <n v="82105870"/>
    <n v="233753347.97999999"/>
    <n v="236160739"/>
    <m/>
    <m/>
    <m/>
    <m/>
    <n v="0"/>
    <m/>
    <m/>
    <n v="0"/>
    <m/>
    <m/>
    <m/>
    <m/>
    <m/>
    <m/>
    <n v="233753347.97999999"/>
    <n v="236160739"/>
  </r>
  <r>
    <x v="9"/>
    <x v="0"/>
    <s v="East Carolina University "/>
    <s v="Reclassified: met the criteria for Four-Year 2 in 2010-11, 2011-12, and 2012-13."/>
    <n v="198464"/>
    <x v="1"/>
    <n v="208134522.83000001"/>
    <n v="218402346"/>
    <m/>
    <m/>
    <m/>
    <m/>
    <n v="135542130"/>
    <m/>
    <n v="135542130"/>
    <n v="148847155"/>
    <m/>
    <n v="148847155"/>
    <n v="343676652.83000004"/>
    <n v="367249501"/>
    <m/>
    <m/>
    <m/>
    <m/>
    <n v="0"/>
    <m/>
    <m/>
    <n v="0"/>
    <m/>
    <m/>
    <m/>
    <m/>
    <m/>
    <m/>
    <n v="343676652.83000004"/>
    <n v="367249501"/>
  </r>
  <r>
    <x v="9"/>
    <x v="1"/>
    <s v="Medical School"/>
    <m/>
    <n v="198464"/>
    <x v="1"/>
    <m/>
    <m/>
    <m/>
    <m/>
    <m/>
    <m/>
    <n v="0"/>
    <m/>
    <n v="0"/>
    <n v="0"/>
    <m/>
    <n v="0"/>
    <n v="0"/>
    <n v="0"/>
    <m/>
    <m/>
    <m/>
    <m/>
    <n v="0"/>
    <m/>
    <m/>
    <n v="0"/>
    <n v="61945710"/>
    <n v="64792312"/>
    <n v="4800036"/>
    <m/>
    <n v="6428474"/>
    <m/>
    <n v="66745746"/>
    <n v="71220786"/>
  </r>
  <r>
    <x v="9"/>
    <x v="0"/>
    <s v="University of North Carolina at Charlotte"/>
    <s v="Met the criteria for Four-Year 1 in 2012-13."/>
    <n v="199139"/>
    <x v="1"/>
    <n v="184338501.26999986"/>
    <n v="191450402"/>
    <m/>
    <m/>
    <m/>
    <m/>
    <n v="114447241"/>
    <m/>
    <n v="114447241"/>
    <n v="113767917"/>
    <m/>
    <n v="113767917"/>
    <n v="298785742.26999986"/>
    <n v="305218319"/>
    <m/>
    <m/>
    <m/>
    <m/>
    <n v="0"/>
    <m/>
    <m/>
    <n v="0"/>
    <m/>
    <m/>
    <m/>
    <m/>
    <m/>
    <m/>
    <n v="298785742.26999986"/>
    <n v="305218319"/>
  </r>
  <r>
    <x v="9"/>
    <x v="0"/>
    <s v="Appalachian State University "/>
    <m/>
    <n v="197869"/>
    <x v="2"/>
    <n v="124915200.76999994"/>
    <n v="127783227"/>
    <m/>
    <m/>
    <m/>
    <m/>
    <n v="76857150"/>
    <m/>
    <n v="76857150"/>
    <n v="78200811"/>
    <m/>
    <n v="78200811"/>
    <n v="201772350.76999992"/>
    <n v="205984038"/>
    <m/>
    <m/>
    <m/>
    <m/>
    <n v="0"/>
    <m/>
    <m/>
    <n v="0"/>
    <m/>
    <m/>
    <m/>
    <m/>
    <m/>
    <m/>
    <n v="201772350.76999992"/>
    <n v="205984038"/>
  </r>
  <r>
    <x v="9"/>
    <x v="0"/>
    <s v="North Carolina Agricultural &amp; Technical State University"/>
    <m/>
    <n v="199102"/>
    <x v="2"/>
    <n v="94121992.580000013"/>
    <n v="97335227"/>
    <m/>
    <m/>
    <m/>
    <m/>
    <n v="49573754"/>
    <m/>
    <n v="49573754"/>
    <n v="57967315"/>
    <m/>
    <n v="57967315"/>
    <n v="143695746.58000001"/>
    <n v="155302542"/>
    <m/>
    <m/>
    <m/>
    <m/>
    <n v="0"/>
    <m/>
    <m/>
    <n v="0"/>
    <m/>
    <m/>
    <m/>
    <m/>
    <m/>
    <m/>
    <n v="143695746.58000001"/>
    <n v="155302542"/>
  </r>
  <r>
    <x v="9"/>
    <x v="0"/>
    <s v="North Carolina Central University "/>
    <m/>
    <n v="199157"/>
    <x v="2"/>
    <n v="82975589.74000001"/>
    <n v="83700170"/>
    <m/>
    <m/>
    <m/>
    <m/>
    <n v="38276631"/>
    <m/>
    <n v="38276631"/>
    <n v="40162678"/>
    <m/>
    <n v="40162678"/>
    <n v="121252220.74000001"/>
    <n v="123862848"/>
    <m/>
    <m/>
    <m/>
    <m/>
    <n v="0"/>
    <m/>
    <m/>
    <n v="0"/>
    <m/>
    <m/>
    <m/>
    <m/>
    <m/>
    <m/>
    <n v="121252220.74000001"/>
    <n v="123862848"/>
  </r>
  <r>
    <x v="9"/>
    <x v="0"/>
    <s v="University of North Carolina at Wilmington"/>
    <m/>
    <n v="199218"/>
    <x v="2"/>
    <n v="91031584.729999989"/>
    <n v="95913455"/>
    <m/>
    <m/>
    <m/>
    <m/>
    <n v="68038264"/>
    <m/>
    <n v="68038264"/>
    <n v="70394736"/>
    <m/>
    <n v="70394736"/>
    <n v="159069848.72999999"/>
    <n v="166308191"/>
    <m/>
    <m/>
    <m/>
    <m/>
    <n v="0"/>
    <m/>
    <m/>
    <n v="0"/>
    <m/>
    <m/>
    <m/>
    <m/>
    <m/>
    <m/>
    <n v="159069848.72999999"/>
    <n v="166308191"/>
  </r>
  <r>
    <x v="9"/>
    <x v="0"/>
    <s v="Western Carolina University "/>
    <m/>
    <n v="200004"/>
    <x v="2"/>
    <n v="79781576.980000004"/>
    <n v="82436797"/>
    <m/>
    <m/>
    <m/>
    <m/>
    <n v="34393055"/>
    <m/>
    <n v="34393055"/>
    <n v="34080962"/>
    <m/>
    <n v="34080962"/>
    <n v="114174631.98"/>
    <n v="116517759"/>
    <m/>
    <m/>
    <m/>
    <m/>
    <n v="0"/>
    <m/>
    <m/>
    <n v="0"/>
    <m/>
    <m/>
    <m/>
    <m/>
    <m/>
    <m/>
    <n v="114174631.98"/>
    <n v="116517759"/>
  </r>
  <r>
    <x v="9"/>
    <x v="0"/>
    <s v="Fayetteville State University "/>
    <m/>
    <n v="198543"/>
    <x v="3"/>
    <n v="51626674.050000012"/>
    <n v="49237634"/>
    <m/>
    <m/>
    <m/>
    <m/>
    <n v="17226765"/>
    <m/>
    <n v="17226765"/>
    <n v="18192257"/>
    <m/>
    <n v="18192257"/>
    <n v="68853439.050000012"/>
    <n v="67429891"/>
    <m/>
    <m/>
    <m/>
    <m/>
    <n v="0"/>
    <m/>
    <m/>
    <n v="0"/>
    <m/>
    <m/>
    <m/>
    <m/>
    <m/>
    <m/>
    <n v="68853439.050000012"/>
    <n v="67429891"/>
  </r>
  <r>
    <x v="9"/>
    <x v="0"/>
    <s v="University of North Carolina at Pembroke"/>
    <m/>
    <n v="199281"/>
    <x v="4"/>
    <n v="53727439.879999995"/>
    <n v="54788184"/>
    <m/>
    <m/>
    <m/>
    <m/>
    <n v="18123665"/>
    <m/>
    <n v="18123665"/>
    <n v="22020949"/>
    <m/>
    <n v="22020949"/>
    <n v="71851104.879999995"/>
    <n v="76809133"/>
    <m/>
    <m/>
    <m/>
    <m/>
    <n v="0"/>
    <m/>
    <m/>
    <n v="0"/>
    <m/>
    <m/>
    <m/>
    <m/>
    <m/>
    <m/>
    <n v="71851104.879999995"/>
    <n v="76809133"/>
  </r>
  <r>
    <x v="9"/>
    <x v="0"/>
    <s v="Winston-Salem State University "/>
    <m/>
    <n v="199999"/>
    <x v="4"/>
    <n v="68105171.459999993"/>
    <n v="68050040"/>
    <m/>
    <m/>
    <m/>
    <m/>
    <n v="21111026"/>
    <m/>
    <n v="21111026"/>
    <n v="21934391"/>
    <m/>
    <n v="21934391"/>
    <n v="89216197.459999993"/>
    <n v="89984431"/>
    <m/>
    <m/>
    <m/>
    <m/>
    <n v="0"/>
    <m/>
    <m/>
    <n v="0"/>
    <m/>
    <m/>
    <m/>
    <m/>
    <m/>
    <m/>
    <n v="89216197.459999993"/>
    <n v="89984431"/>
  </r>
  <r>
    <x v="9"/>
    <x v="0"/>
    <s v="Elizabeth City State University "/>
    <m/>
    <n v="198507"/>
    <x v="5"/>
    <n v="34848508.520000003"/>
    <n v="35097783"/>
    <m/>
    <m/>
    <m/>
    <m/>
    <n v="10669568"/>
    <m/>
    <n v="10669568"/>
    <n v="10911940"/>
    <m/>
    <n v="10911940"/>
    <n v="45518076.520000003"/>
    <n v="46009723"/>
    <m/>
    <m/>
    <m/>
    <m/>
    <n v="0"/>
    <m/>
    <m/>
    <n v="0"/>
    <m/>
    <m/>
    <m/>
    <m/>
    <m/>
    <m/>
    <n v="45518076.520000003"/>
    <n v="46009723"/>
  </r>
  <r>
    <x v="9"/>
    <x v="0"/>
    <s v="University of North Carolina at Asheville"/>
    <m/>
    <n v="199111"/>
    <x v="5"/>
    <n v="34910947.990000002"/>
    <n v="37237372"/>
    <m/>
    <m/>
    <m/>
    <m/>
    <n v="17269087"/>
    <m/>
    <n v="17269087"/>
    <n v="17931103"/>
    <m/>
    <n v="17931103"/>
    <n v="52180034.990000002"/>
    <n v="55168475"/>
    <m/>
    <m/>
    <m/>
    <m/>
    <n v="0"/>
    <m/>
    <m/>
    <n v="0"/>
    <m/>
    <m/>
    <m/>
    <m/>
    <m/>
    <m/>
    <n v="52180034.990000002"/>
    <n v="55168475"/>
  </r>
  <r>
    <x v="9"/>
    <x v="9"/>
    <s v="North Carolina School of the Arts"/>
    <m/>
    <n v="199184"/>
    <x v="11"/>
    <m/>
    <m/>
    <m/>
    <m/>
    <m/>
    <m/>
    <m/>
    <m/>
    <n v="0"/>
    <m/>
    <m/>
    <n v="0"/>
    <n v="0"/>
    <n v="0"/>
    <n v="25757854"/>
    <n v="27102930"/>
    <n v="11737022"/>
    <m/>
    <n v="11737022"/>
    <n v="11447596"/>
    <m/>
    <n v="11447596"/>
    <m/>
    <m/>
    <m/>
    <m/>
    <m/>
    <m/>
    <n v="37494876"/>
    <n v="38550526"/>
  </r>
  <r>
    <x v="9"/>
    <x v="10"/>
    <s v="Education special purpose funds- statewide units"/>
    <m/>
    <m/>
    <x v="12"/>
    <m/>
    <m/>
    <m/>
    <m/>
    <m/>
    <m/>
    <m/>
    <m/>
    <n v="0"/>
    <m/>
    <m/>
    <n v="0"/>
    <n v="0"/>
    <n v="0"/>
    <m/>
    <m/>
    <m/>
    <m/>
    <n v="0"/>
    <m/>
    <m/>
    <n v="0"/>
    <m/>
    <m/>
    <m/>
    <m/>
    <m/>
    <m/>
    <n v="0"/>
    <n v="0"/>
  </r>
  <r>
    <x v="9"/>
    <x v="42"/>
    <s v="Community or public service units"/>
    <m/>
    <m/>
    <x v="12"/>
    <m/>
    <m/>
    <m/>
    <m/>
    <m/>
    <m/>
    <m/>
    <m/>
    <n v="0"/>
    <m/>
    <m/>
    <n v="0"/>
    <n v="0"/>
    <n v="0"/>
    <m/>
    <m/>
    <m/>
    <m/>
    <n v="0"/>
    <m/>
    <m/>
    <n v="0"/>
    <m/>
    <m/>
    <m/>
    <m/>
    <m/>
    <m/>
    <n v="0"/>
    <n v="0"/>
  </r>
  <r>
    <x v="9"/>
    <x v="42"/>
    <s v="Statewide Educational TV"/>
    <m/>
    <m/>
    <x v="12"/>
    <m/>
    <m/>
    <n v="11735549.93"/>
    <n v="10092539"/>
    <m/>
    <m/>
    <m/>
    <m/>
    <n v="0"/>
    <m/>
    <m/>
    <n v="0"/>
    <n v="11735549.93"/>
    <n v="10092539"/>
    <m/>
    <m/>
    <m/>
    <m/>
    <n v="0"/>
    <m/>
    <m/>
    <n v="0"/>
    <m/>
    <m/>
    <m/>
    <m/>
    <m/>
    <m/>
    <n v="11735549.93"/>
    <n v="10092539"/>
  </r>
  <r>
    <x v="9"/>
    <x v="42"/>
    <s v="Univ Syst Community Service Programs"/>
    <m/>
    <m/>
    <x v="12"/>
    <m/>
    <m/>
    <n v="1182114"/>
    <n v="1182114"/>
    <m/>
    <m/>
    <m/>
    <m/>
    <n v="0"/>
    <m/>
    <m/>
    <n v="0"/>
    <n v="1182114"/>
    <n v="1182114"/>
    <m/>
    <m/>
    <m/>
    <m/>
    <n v="0"/>
    <m/>
    <m/>
    <n v="0"/>
    <m/>
    <m/>
    <m/>
    <m/>
    <m/>
    <m/>
    <n v="1182114"/>
    <n v="1182114"/>
  </r>
  <r>
    <x v="9"/>
    <x v="42"/>
    <s v="Univ Syst Educational Computing Service"/>
    <m/>
    <m/>
    <x v="12"/>
    <m/>
    <m/>
    <n v="1140331.6199999999"/>
    <n v="0"/>
    <m/>
    <m/>
    <m/>
    <m/>
    <n v="0"/>
    <m/>
    <m/>
    <n v="0"/>
    <n v="1140331.6199999999"/>
    <n v="0"/>
    <m/>
    <m/>
    <m/>
    <m/>
    <n v="0"/>
    <m/>
    <m/>
    <n v="0"/>
    <m/>
    <m/>
    <m/>
    <m/>
    <m/>
    <m/>
    <n v="1140331.6199999999"/>
    <n v="0"/>
  </r>
  <r>
    <x v="9"/>
    <x v="42"/>
    <s v="UNC Hospitals"/>
    <m/>
    <m/>
    <x v="12"/>
    <m/>
    <m/>
    <m/>
    <m/>
    <m/>
    <m/>
    <m/>
    <m/>
    <n v="0"/>
    <m/>
    <m/>
    <n v="0"/>
    <n v="0"/>
    <n v="0"/>
    <n v="18000000"/>
    <n v="0"/>
    <m/>
    <m/>
    <n v="0"/>
    <m/>
    <m/>
    <n v="0"/>
    <m/>
    <m/>
    <m/>
    <m/>
    <m/>
    <m/>
    <n v="18000000"/>
    <n v="0"/>
  </r>
  <r>
    <x v="9"/>
    <x v="42"/>
    <s v="UNC Area Health Education Centers Program"/>
    <m/>
    <m/>
    <x v="12"/>
    <m/>
    <m/>
    <m/>
    <m/>
    <m/>
    <m/>
    <m/>
    <m/>
    <n v="0"/>
    <m/>
    <m/>
    <n v="0"/>
    <n v="0"/>
    <n v="0"/>
    <n v="41798401.219999999"/>
    <n v="42418348"/>
    <n v="0"/>
    <m/>
    <n v="0"/>
    <m/>
    <m/>
    <n v="0"/>
    <m/>
    <m/>
    <m/>
    <m/>
    <m/>
    <m/>
    <n v="41798401.219999999"/>
    <n v="42418348"/>
  </r>
  <r>
    <x v="9"/>
    <x v="11"/>
    <s v="Research centers/institutes"/>
    <m/>
    <m/>
    <x v="12"/>
    <m/>
    <m/>
    <m/>
    <m/>
    <m/>
    <m/>
    <m/>
    <m/>
    <n v="0"/>
    <m/>
    <m/>
    <n v="0"/>
    <n v="0"/>
    <n v="0"/>
    <m/>
    <m/>
    <m/>
    <m/>
    <n v="0"/>
    <m/>
    <m/>
    <n v="0"/>
    <m/>
    <m/>
    <m/>
    <m/>
    <m/>
    <m/>
    <n v="0"/>
    <n v="0"/>
  </r>
  <r>
    <x v="9"/>
    <x v="11"/>
    <s v="Microelectronic Computing Center of North Carolina"/>
    <m/>
    <m/>
    <x v="12"/>
    <m/>
    <m/>
    <n v="4900000"/>
    <n v="4900000"/>
    <m/>
    <m/>
    <m/>
    <m/>
    <n v="0"/>
    <m/>
    <m/>
    <n v="0"/>
    <n v="4900000"/>
    <n v="4900000"/>
    <m/>
    <m/>
    <m/>
    <m/>
    <n v="0"/>
    <m/>
    <m/>
    <n v="0"/>
    <m/>
    <m/>
    <m/>
    <m/>
    <m/>
    <m/>
    <n v="4900000"/>
    <n v="4900000"/>
  </r>
  <r>
    <x v="9"/>
    <x v="13"/>
    <s v="Education special purpose funds- all other"/>
    <m/>
    <m/>
    <x v="12"/>
    <m/>
    <m/>
    <m/>
    <m/>
    <m/>
    <m/>
    <m/>
    <m/>
    <n v="0"/>
    <m/>
    <m/>
    <n v="0"/>
    <n v="0"/>
    <n v="0"/>
    <m/>
    <m/>
    <m/>
    <m/>
    <n v="0"/>
    <m/>
    <m/>
    <n v="0"/>
    <m/>
    <m/>
    <m/>
    <m/>
    <m/>
    <m/>
    <n v="0"/>
    <n v="0"/>
  </r>
  <r>
    <x v="9"/>
    <x v="13"/>
    <s v="UNC Reserve for Future Allocation"/>
    <m/>
    <m/>
    <x v="12"/>
    <m/>
    <m/>
    <m/>
    <n v="10797932"/>
    <m/>
    <m/>
    <m/>
    <m/>
    <n v="0"/>
    <m/>
    <m/>
    <n v="0"/>
    <n v="0"/>
    <n v="10797932"/>
    <m/>
    <m/>
    <m/>
    <m/>
    <n v="0"/>
    <m/>
    <m/>
    <n v="0"/>
    <m/>
    <m/>
    <m/>
    <m/>
    <m/>
    <m/>
    <n v="0"/>
    <n v="10797932"/>
  </r>
  <r>
    <x v="9"/>
    <x v="14"/>
    <s v="Statewide System Operations"/>
    <m/>
    <m/>
    <x v="12"/>
    <m/>
    <m/>
    <m/>
    <m/>
    <m/>
    <m/>
    <m/>
    <m/>
    <n v="0"/>
    <m/>
    <m/>
    <n v="0"/>
    <n v="0"/>
    <n v="0"/>
    <m/>
    <m/>
    <m/>
    <m/>
    <n v="0"/>
    <m/>
    <m/>
    <n v="0"/>
    <m/>
    <m/>
    <m/>
    <m/>
    <m/>
    <m/>
    <n v="0"/>
    <n v="0"/>
  </r>
  <r>
    <x v="9"/>
    <x v="15"/>
    <s v="Colleges and universities"/>
    <m/>
    <m/>
    <x v="12"/>
    <m/>
    <m/>
    <m/>
    <m/>
    <m/>
    <m/>
    <m/>
    <m/>
    <n v="0"/>
    <m/>
    <m/>
    <n v="0"/>
    <n v="0"/>
    <n v="0"/>
    <m/>
    <m/>
    <m/>
    <m/>
    <n v="0"/>
    <m/>
    <m/>
    <n v="0"/>
    <m/>
    <m/>
    <m/>
    <m/>
    <m/>
    <m/>
    <n v="0"/>
    <n v="0"/>
  </r>
  <r>
    <x v="9"/>
    <x v="15"/>
    <s v="UNC General Administration"/>
    <m/>
    <m/>
    <x v="12"/>
    <m/>
    <m/>
    <m/>
    <m/>
    <m/>
    <m/>
    <m/>
    <m/>
    <n v="0"/>
    <m/>
    <m/>
    <n v="0"/>
    <n v="0"/>
    <n v="0"/>
    <n v="18010001.100000001"/>
    <n v="18005411"/>
    <m/>
    <m/>
    <n v="0"/>
    <m/>
    <m/>
    <n v="0"/>
    <m/>
    <m/>
    <m/>
    <m/>
    <m/>
    <m/>
    <n v="18010001.100000001"/>
    <n v="18005411"/>
  </r>
  <r>
    <x v="9"/>
    <x v="17"/>
    <s v="National or regional associations, compacts or consortia"/>
    <m/>
    <m/>
    <x v="12"/>
    <m/>
    <m/>
    <m/>
    <m/>
    <m/>
    <m/>
    <m/>
    <m/>
    <n v="0"/>
    <m/>
    <m/>
    <n v="0"/>
    <n v="0"/>
    <n v="0"/>
    <m/>
    <m/>
    <m/>
    <m/>
    <n v="0"/>
    <m/>
    <m/>
    <n v="0"/>
    <m/>
    <m/>
    <m/>
    <m/>
    <m/>
    <m/>
    <n v="0"/>
    <n v="0"/>
  </r>
  <r>
    <x v="9"/>
    <x v="17"/>
    <s v="SREB Membership"/>
    <m/>
    <m/>
    <x v="12"/>
    <m/>
    <m/>
    <m/>
    <m/>
    <m/>
    <m/>
    <m/>
    <m/>
    <n v="0"/>
    <m/>
    <m/>
    <n v="0"/>
    <n v="0"/>
    <n v="0"/>
    <n v="193550"/>
    <n v="193550"/>
    <m/>
    <m/>
    <n v="0"/>
    <m/>
    <m/>
    <n v="0"/>
    <m/>
    <m/>
    <m/>
    <m/>
    <m/>
    <m/>
    <n v="193550"/>
    <n v="193550"/>
  </r>
  <r>
    <x v="9"/>
    <x v="18"/>
    <s v="Adm. of Statewide Student Aid Progs. (incldng centralized guaranteed student loans)"/>
    <m/>
    <m/>
    <x v="12"/>
    <m/>
    <m/>
    <m/>
    <m/>
    <m/>
    <m/>
    <m/>
    <m/>
    <n v="0"/>
    <m/>
    <m/>
    <n v="0"/>
    <n v="0"/>
    <n v="0"/>
    <m/>
    <m/>
    <m/>
    <m/>
    <n v="0"/>
    <m/>
    <m/>
    <n v="0"/>
    <m/>
    <m/>
    <m/>
    <m/>
    <m/>
    <m/>
    <n v="0"/>
    <n v="0"/>
  </r>
  <r>
    <x v="9"/>
    <x v="19"/>
    <s v="State Support to Private Colleges Other Than Student Aid"/>
    <m/>
    <m/>
    <x v="12"/>
    <m/>
    <m/>
    <m/>
    <m/>
    <m/>
    <m/>
    <m/>
    <m/>
    <n v="0"/>
    <m/>
    <m/>
    <n v="0"/>
    <n v="0"/>
    <n v="0"/>
    <m/>
    <m/>
    <m/>
    <m/>
    <n v="0"/>
    <m/>
    <m/>
    <n v="0"/>
    <m/>
    <m/>
    <m/>
    <m/>
    <m/>
    <m/>
    <n v="0"/>
    <n v="0"/>
  </r>
  <r>
    <x v="9"/>
    <x v="19"/>
    <s v="Capitation pymnts &amp; fnncl ad for rsdnt stdnts nrlld at prvt md schls"/>
    <m/>
    <m/>
    <x v="12"/>
    <m/>
    <m/>
    <m/>
    <m/>
    <m/>
    <m/>
    <m/>
    <m/>
    <n v="0"/>
    <m/>
    <m/>
    <n v="0"/>
    <n v="0"/>
    <n v="0"/>
    <n v="0"/>
    <m/>
    <m/>
    <m/>
    <n v="0"/>
    <m/>
    <m/>
    <n v="0"/>
    <m/>
    <m/>
    <m/>
    <m/>
    <m/>
    <m/>
    <n v="0"/>
    <n v="0"/>
  </r>
  <r>
    <x v="9"/>
    <x v="20"/>
    <s v="Contract Education Programs"/>
    <m/>
    <m/>
    <x v="12"/>
    <m/>
    <m/>
    <m/>
    <m/>
    <m/>
    <m/>
    <m/>
    <m/>
    <n v="0"/>
    <m/>
    <m/>
    <n v="0"/>
    <n v="0"/>
    <n v="0"/>
    <m/>
    <m/>
    <m/>
    <m/>
    <n v="0"/>
    <m/>
    <m/>
    <n v="0"/>
    <m/>
    <m/>
    <m/>
    <m/>
    <m/>
    <m/>
    <n v="0"/>
    <n v="0"/>
  </r>
  <r>
    <x v="9"/>
    <x v="21"/>
    <s v="SREB contract program with private colleges"/>
    <m/>
    <m/>
    <x v="12"/>
    <m/>
    <m/>
    <m/>
    <m/>
    <m/>
    <m/>
    <m/>
    <m/>
    <n v="0"/>
    <m/>
    <m/>
    <n v="0"/>
    <n v="0"/>
    <n v="0"/>
    <m/>
    <m/>
    <m/>
    <m/>
    <n v="0"/>
    <m/>
    <m/>
    <n v="0"/>
    <m/>
    <m/>
    <m/>
    <m/>
    <m/>
    <m/>
    <n v="0"/>
    <n v="0"/>
  </r>
  <r>
    <x v="9"/>
    <x v="21"/>
    <s v="Meharry Medical College (Dentistry, Medicine, Special Aid)"/>
    <m/>
    <m/>
    <x v="12"/>
    <m/>
    <m/>
    <m/>
    <m/>
    <m/>
    <m/>
    <m/>
    <m/>
    <n v="0"/>
    <m/>
    <m/>
    <n v="0"/>
    <n v="0"/>
    <n v="0"/>
    <n v="0"/>
    <m/>
    <m/>
    <m/>
    <n v="0"/>
    <m/>
    <m/>
    <n v="0"/>
    <m/>
    <m/>
    <m/>
    <m/>
    <m/>
    <m/>
    <n v="0"/>
    <n v="0"/>
  </r>
  <r>
    <x v="9"/>
    <x v="21"/>
    <s v="Southern College of Optometry"/>
    <m/>
    <m/>
    <x v="12"/>
    <m/>
    <m/>
    <m/>
    <m/>
    <m/>
    <m/>
    <m/>
    <m/>
    <n v="0"/>
    <m/>
    <m/>
    <n v="0"/>
    <n v="0"/>
    <n v="0"/>
    <n v="100100"/>
    <n v="0"/>
    <m/>
    <m/>
    <n v="0"/>
    <m/>
    <m/>
    <n v="0"/>
    <m/>
    <m/>
    <m/>
    <m/>
    <m/>
    <m/>
    <n v="100100"/>
    <n v="0"/>
  </r>
  <r>
    <x v="9"/>
    <x v="22"/>
    <s v="SREB contract program with public colleges"/>
    <m/>
    <m/>
    <x v="12"/>
    <m/>
    <m/>
    <m/>
    <m/>
    <m/>
    <m/>
    <m/>
    <m/>
    <n v="0"/>
    <m/>
    <m/>
    <n v="0"/>
    <n v="0"/>
    <n v="0"/>
    <m/>
    <n v="0"/>
    <m/>
    <m/>
    <n v="0"/>
    <m/>
    <m/>
    <n v="0"/>
    <m/>
    <m/>
    <m/>
    <m/>
    <m/>
    <m/>
    <n v="0"/>
    <n v="0"/>
  </r>
  <r>
    <x v="9"/>
    <x v="22"/>
    <s v="University of Houston (Optometry)"/>
    <m/>
    <m/>
    <x v="12"/>
    <m/>
    <m/>
    <m/>
    <m/>
    <m/>
    <m/>
    <m/>
    <m/>
    <n v="0"/>
    <m/>
    <m/>
    <n v="0"/>
    <n v="0"/>
    <n v="0"/>
    <m/>
    <m/>
    <m/>
    <m/>
    <n v="0"/>
    <m/>
    <m/>
    <n v="0"/>
    <m/>
    <m/>
    <m/>
    <m/>
    <m/>
    <m/>
    <n v="0"/>
    <n v="0"/>
  </r>
  <r>
    <x v="9"/>
    <x v="22"/>
    <s v="University of Alabama at Birmingham (Optometry)"/>
    <m/>
    <m/>
    <x v="12"/>
    <m/>
    <m/>
    <m/>
    <m/>
    <m/>
    <m/>
    <m/>
    <m/>
    <n v="0"/>
    <m/>
    <m/>
    <n v="0"/>
    <n v="0"/>
    <n v="0"/>
    <n v="28600"/>
    <n v="0"/>
    <m/>
    <m/>
    <n v="0"/>
    <m/>
    <m/>
    <n v="0"/>
    <m/>
    <m/>
    <m/>
    <m/>
    <m/>
    <m/>
    <n v="28600"/>
    <n v="0"/>
  </r>
  <r>
    <x v="9"/>
    <x v="23"/>
    <s v="Other contract education programs"/>
    <m/>
    <m/>
    <x v="12"/>
    <m/>
    <m/>
    <m/>
    <m/>
    <m/>
    <m/>
    <m/>
    <m/>
    <n v="0"/>
    <m/>
    <m/>
    <n v="0"/>
    <n v="0"/>
    <n v="0"/>
    <n v="100100"/>
    <n v="0"/>
    <m/>
    <m/>
    <n v="0"/>
    <m/>
    <m/>
    <n v="0"/>
    <m/>
    <m/>
    <m/>
    <m/>
    <m/>
    <m/>
    <n v="100100"/>
    <n v="0"/>
  </r>
  <r>
    <x v="9"/>
    <x v="24"/>
    <s v="Statewide Student Financial Aid Programs Administered Off Campus"/>
    <m/>
    <m/>
    <x v="12"/>
    <m/>
    <m/>
    <m/>
    <m/>
    <m/>
    <m/>
    <m/>
    <m/>
    <n v="0"/>
    <m/>
    <m/>
    <n v="0"/>
    <n v="0"/>
    <n v="0"/>
    <m/>
    <n v="0"/>
    <m/>
    <m/>
    <n v="0"/>
    <m/>
    <m/>
    <n v="0"/>
    <m/>
    <m/>
    <m/>
    <m/>
    <m/>
    <m/>
    <n v="0"/>
    <n v="0"/>
  </r>
  <r>
    <x v="9"/>
    <x v="25"/>
    <s v="Available to public &amp; private sector students"/>
    <m/>
    <m/>
    <x v="12"/>
    <m/>
    <m/>
    <m/>
    <m/>
    <m/>
    <m/>
    <m/>
    <m/>
    <n v="0"/>
    <m/>
    <m/>
    <n v="0"/>
    <n v="0"/>
    <n v="0"/>
    <m/>
    <m/>
    <m/>
    <m/>
    <n v="0"/>
    <m/>
    <m/>
    <n v="0"/>
    <m/>
    <m/>
    <m/>
    <m/>
    <m/>
    <m/>
    <n v="0"/>
    <n v="0"/>
  </r>
  <r>
    <x v="9"/>
    <x v="25"/>
    <s v="Board of Governors Medical Scholarships"/>
    <m/>
    <m/>
    <x v="12"/>
    <m/>
    <m/>
    <m/>
    <m/>
    <m/>
    <m/>
    <m/>
    <m/>
    <n v="0"/>
    <m/>
    <m/>
    <n v="0"/>
    <n v="0"/>
    <n v="0"/>
    <m/>
    <m/>
    <m/>
    <m/>
    <n v="0"/>
    <m/>
    <m/>
    <n v="0"/>
    <m/>
    <m/>
    <m/>
    <m/>
    <m/>
    <m/>
    <n v="0"/>
    <n v="0"/>
  </r>
  <r>
    <x v="9"/>
    <x v="26"/>
    <s v="Need-based"/>
    <m/>
    <m/>
    <x v="12"/>
    <m/>
    <m/>
    <m/>
    <m/>
    <m/>
    <m/>
    <m/>
    <m/>
    <n v="0"/>
    <m/>
    <m/>
    <n v="0"/>
    <n v="0"/>
    <n v="0"/>
    <n v="1864122.21"/>
    <n v="0"/>
    <m/>
    <m/>
    <n v="0"/>
    <m/>
    <m/>
    <n v="0"/>
    <m/>
    <m/>
    <m/>
    <m/>
    <m/>
    <m/>
    <n v="1864122.21"/>
    <n v="0"/>
  </r>
  <r>
    <x v="9"/>
    <x v="27"/>
    <s v="Non need-based"/>
    <m/>
    <m/>
    <x v="12"/>
    <m/>
    <m/>
    <m/>
    <m/>
    <m/>
    <m/>
    <m/>
    <m/>
    <n v="0"/>
    <m/>
    <m/>
    <n v="0"/>
    <n v="0"/>
    <n v="0"/>
    <m/>
    <m/>
    <m/>
    <m/>
    <n v="0"/>
    <m/>
    <m/>
    <n v="0"/>
    <m/>
    <m/>
    <m/>
    <m/>
    <m/>
    <m/>
    <n v="0"/>
    <n v="0"/>
  </r>
  <r>
    <x v="9"/>
    <x v="28"/>
    <s v="Amount to public sector students"/>
    <m/>
    <m/>
    <x v="12"/>
    <m/>
    <m/>
    <m/>
    <m/>
    <m/>
    <m/>
    <m/>
    <m/>
    <n v="0"/>
    <m/>
    <m/>
    <n v="0"/>
    <n v="0"/>
    <n v="0"/>
    <m/>
    <m/>
    <m/>
    <m/>
    <n v="0"/>
    <m/>
    <m/>
    <n v="0"/>
    <m/>
    <m/>
    <m/>
    <m/>
    <m/>
    <m/>
    <n v="0"/>
    <n v="0"/>
  </r>
  <r>
    <x v="9"/>
    <x v="29"/>
    <s v="Need-based"/>
    <m/>
    <m/>
    <x v="12"/>
    <m/>
    <m/>
    <m/>
    <m/>
    <m/>
    <m/>
    <m/>
    <m/>
    <n v="0"/>
    <m/>
    <m/>
    <n v="0"/>
    <n v="0"/>
    <n v="0"/>
    <m/>
    <m/>
    <m/>
    <m/>
    <n v="0"/>
    <m/>
    <m/>
    <n v="0"/>
    <m/>
    <m/>
    <m/>
    <m/>
    <m/>
    <m/>
    <n v="0"/>
    <n v="0"/>
  </r>
  <r>
    <x v="9"/>
    <x v="27"/>
    <s v="Non need-based"/>
    <m/>
    <m/>
    <x v="12"/>
    <m/>
    <m/>
    <m/>
    <m/>
    <m/>
    <m/>
    <m/>
    <m/>
    <n v="0"/>
    <m/>
    <m/>
    <n v="0"/>
    <n v="0"/>
    <n v="0"/>
    <m/>
    <m/>
    <m/>
    <m/>
    <n v="0"/>
    <m/>
    <m/>
    <n v="0"/>
    <m/>
    <m/>
    <m/>
    <m/>
    <m/>
    <m/>
    <n v="0"/>
    <n v="0"/>
  </r>
  <r>
    <x v="9"/>
    <x v="31"/>
    <s v="Amount to private sector students"/>
    <m/>
    <m/>
    <x v="12"/>
    <m/>
    <m/>
    <m/>
    <m/>
    <m/>
    <m/>
    <m/>
    <m/>
    <n v="0"/>
    <m/>
    <m/>
    <n v="0"/>
    <n v="0"/>
    <n v="0"/>
    <m/>
    <m/>
    <m/>
    <m/>
    <n v="0"/>
    <m/>
    <m/>
    <n v="0"/>
    <m/>
    <m/>
    <m/>
    <m/>
    <m/>
    <m/>
    <n v="0"/>
    <n v="0"/>
  </r>
  <r>
    <x v="9"/>
    <x v="32"/>
    <s v="Need-based"/>
    <m/>
    <m/>
    <x v="12"/>
    <m/>
    <m/>
    <m/>
    <m/>
    <m/>
    <m/>
    <m/>
    <m/>
    <n v="0"/>
    <m/>
    <m/>
    <n v="0"/>
    <n v="0"/>
    <n v="0"/>
    <m/>
    <m/>
    <m/>
    <m/>
    <n v="0"/>
    <m/>
    <m/>
    <n v="0"/>
    <m/>
    <m/>
    <m/>
    <m/>
    <m/>
    <m/>
    <n v="0"/>
    <n v="0"/>
  </r>
  <r>
    <x v="9"/>
    <x v="27"/>
    <s v="Non need-based"/>
    <m/>
    <m/>
    <x v="12"/>
    <m/>
    <m/>
    <m/>
    <m/>
    <m/>
    <m/>
    <m/>
    <m/>
    <n v="0"/>
    <m/>
    <m/>
    <n v="0"/>
    <n v="0"/>
    <n v="0"/>
    <m/>
    <m/>
    <m/>
    <m/>
    <n v="0"/>
    <m/>
    <m/>
    <n v="0"/>
    <m/>
    <m/>
    <m/>
    <m/>
    <m/>
    <m/>
    <n v="0"/>
    <n v="0"/>
  </r>
  <r>
    <x v="9"/>
    <x v="25"/>
    <s v="NC Student Incentive Grant"/>
    <m/>
    <m/>
    <x v="12"/>
    <m/>
    <m/>
    <m/>
    <m/>
    <m/>
    <m/>
    <m/>
    <m/>
    <n v="0"/>
    <m/>
    <m/>
    <n v="0"/>
    <n v="0"/>
    <n v="0"/>
    <m/>
    <m/>
    <m/>
    <m/>
    <n v="0"/>
    <m/>
    <m/>
    <n v="0"/>
    <m/>
    <m/>
    <m/>
    <m/>
    <m/>
    <m/>
    <n v="0"/>
    <n v="0"/>
  </r>
  <r>
    <x v="9"/>
    <x v="26"/>
    <s v="Need-based"/>
    <m/>
    <m/>
    <x v="12"/>
    <m/>
    <m/>
    <m/>
    <m/>
    <m/>
    <m/>
    <m/>
    <m/>
    <n v="0"/>
    <m/>
    <m/>
    <n v="0"/>
    <n v="0"/>
    <n v="0"/>
    <n v="0"/>
    <m/>
    <m/>
    <m/>
    <n v="0"/>
    <m/>
    <m/>
    <n v="0"/>
    <m/>
    <m/>
    <m/>
    <m/>
    <m/>
    <m/>
    <n v="0"/>
    <n v="0"/>
  </r>
  <r>
    <x v="9"/>
    <x v="27"/>
    <s v="Non need-based"/>
    <m/>
    <m/>
    <x v="12"/>
    <m/>
    <m/>
    <m/>
    <m/>
    <m/>
    <m/>
    <m/>
    <m/>
    <n v="0"/>
    <m/>
    <m/>
    <n v="0"/>
    <n v="0"/>
    <n v="0"/>
    <m/>
    <m/>
    <m/>
    <m/>
    <n v="0"/>
    <m/>
    <m/>
    <n v="0"/>
    <m/>
    <m/>
    <m/>
    <m/>
    <m/>
    <m/>
    <n v="0"/>
    <n v="0"/>
  </r>
  <r>
    <x v="9"/>
    <x v="28"/>
    <s v="Amount to public sector students"/>
    <m/>
    <m/>
    <x v="12"/>
    <m/>
    <m/>
    <m/>
    <m/>
    <m/>
    <m/>
    <m/>
    <m/>
    <n v="0"/>
    <m/>
    <m/>
    <n v="0"/>
    <n v="0"/>
    <n v="0"/>
    <m/>
    <m/>
    <m/>
    <m/>
    <n v="0"/>
    <m/>
    <m/>
    <n v="0"/>
    <m/>
    <m/>
    <m/>
    <m/>
    <m/>
    <m/>
    <n v="0"/>
    <n v="0"/>
  </r>
  <r>
    <x v="9"/>
    <x v="29"/>
    <s v="Need-based"/>
    <m/>
    <m/>
    <x v="12"/>
    <m/>
    <m/>
    <m/>
    <m/>
    <m/>
    <m/>
    <m/>
    <m/>
    <n v="0"/>
    <m/>
    <m/>
    <n v="0"/>
    <n v="0"/>
    <n v="0"/>
    <m/>
    <m/>
    <m/>
    <m/>
    <n v="0"/>
    <m/>
    <m/>
    <n v="0"/>
    <m/>
    <m/>
    <m/>
    <m/>
    <m/>
    <m/>
    <n v="0"/>
    <n v="0"/>
  </r>
  <r>
    <x v="9"/>
    <x v="27"/>
    <s v="Non need-based"/>
    <m/>
    <m/>
    <x v="12"/>
    <m/>
    <m/>
    <m/>
    <m/>
    <m/>
    <m/>
    <m/>
    <m/>
    <n v="0"/>
    <m/>
    <m/>
    <n v="0"/>
    <n v="0"/>
    <n v="0"/>
    <m/>
    <m/>
    <m/>
    <m/>
    <n v="0"/>
    <m/>
    <m/>
    <n v="0"/>
    <m/>
    <m/>
    <m/>
    <m/>
    <m/>
    <m/>
    <n v="0"/>
    <n v="0"/>
  </r>
  <r>
    <x v="9"/>
    <x v="31"/>
    <s v="Amount to private sector students"/>
    <m/>
    <m/>
    <x v="12"/>
    <m/>
    <m/>
    <m/>
    <m/>
    <m/>
    <m/>
    <m/>
    <m/>
    <n v="0"/>
    <m/>
    <m/>
    <n v="0"/>
    <n v="0"/>
    <n v="0"/>
    <m/>
    <m/>
    <m/>
    <m/>
    <n v="0"/>
    <m/>
    <m/>
    <n v="0"/>
    <m/>
    <m/>
    <m/>
    <m/>
    <m/>
    <m/>
    <n v="0"/>
    <n v="0"/>
  </r>
  <r>
    <x v="9"/>
    <x v="32"/>
    <s v="Need-based"/>
    <m/>
    <m/>
    <x v="12"/>
    <m/>
    <m/>
    <m/>
    <m/>
    <m/>
    <m/>
    <m/>
    <m/>
    <n v="0"/>
    <m/>
    <m/>
    <n v="0"/>
    <n v="0"/>
    <n v="0"/>
    <m/>
    <m/>
    <m/>
    <m/>
    <n v="0"/>
    <m/>
    <m/>
    <n v="0"/>
    <m/>
    <m/>
    <m/>
    <m/>
    <m/>
    <m/>
    <n v="0"/>
    <n v="0"/>
  </r>
  <r>
    <x v="9"/>
    <x v="27"/>
    <s v="Non need-based"/>
    <m/>
    <m/>
    <x v="12"/>
    <m/>
    <m/>
    <m/>
    <m/>
    <m/>
    <m/>
    <m/>
    <m/>
    <n v="0"/>
    <m/>
    <m/>
    <n v="0"/>
    <n v="0"/>
    <n v="0"/>
    <m/>
    <m/>
    <m/>
    <m/>
    <n v="0"/>
    <m/>
    <m/>
    <n v="0"/>
    <m/>
    <m/>
    <m/>
    <m/>
    <m/>
    <m/>
    <n v="0"/>
    <n v="0"/>
  </r>
  <r>
    <x v="9"/>
    <x v="25"/>
    <s v="NC Student Loan Program for Health, Science and Mathematics"/>
    <m/>
    <m/>
    <x v="12"/>
    <m/>
    <m/>
    <m/>
    <m/>
    <m/>
    <m/>
    <m/>
    <m/>
    <n v="0"/>
    <m/>
    <m/>
    <n v="0"/>
    <n v="0"/>
    <n v="0"/>
    <m/>
    <m/>
    <m/>
    <m/>
    <n v="0"/>
    <m/>
    <m/>
    <n v="0"/>
    <m/>
    <m/>
    <m/>
    <m/>
    <m/>
    <m/>
    <n v="0"/>
    <n v="0"/>
  </r>
  <r>
    <x v="9"/>
    <x v="26"/>
    <s v="Need-based"/>
    <m/>
    <m/>
    <x v="12"/>
    <m/>
    <m/>
    <m/>
    <m/>
    <m/>
    <m/>
    <m/>
    <m/>
    <n v="0"/>
    <m/>
    <m/>
    <n v="0"/>
    <n v="0"/>
    <n v="0"/>
    <n v="1922779"/>
    <n v="0"/>
    <m/>
    <m/>
    <n v="0"/>
    <m/>
    <m/>
    <n v="0"/>
    <m/>
    <m/>
    <m/>
    <m/>
    <m/>
    <m/>
    <n v="1922779"/>
    <n v="0"/>
  </r>
  <r>
    <x v="9"/>
    <x v="27"/>
    <s v="Non need-based"/>
    <m/>
    <m/>
    <x v="12"/>
    <m/>
    <m/>
    <m/>
    <m/>
    <m/>
    <m/>
    <m/>
    <m/>
    <n v="0"/>
    <m/>
    <m/>
    <n v="0"/>
    <n v="0"/>
    <n v="0"/>
    <m/>
    <m/>
    <m/>
    <m/>
    <n v="0"/>
    <m/>
    <m/>
    <n v="0"/>
    <m/>
    <m/>
    <m/>
    <m/>
    <m/>
    <m/>
    <n v="0"/>
    <n v="0"/>
  </r>
  <r>
    <x v="9"/>
    <x v="28"/>
    <s v="Amount to public sector students"/>
    <m/>
    <m/>
    <x v="12"/>
    <m/>
    <m/>
    <m/>
    <m/>
    <m/>
    <m/>
    <m/>
    <m/>
    <n v="0"/>
    <m/>
    <m/>
    <n v="0"/>
    <n v="0"/>
    <n v="0"/>
    <m/>
    <m/>
    <m/>
    <m/>
    <n v="0"/>
    <m/>
    <m/>
    <n v="0"/>
    <m/>
    <m/>
    <m/>
    <m/>
    <m/>
    <m/>
    <n v="0"/>
    <n v="0"/>
  </r>
  <r>
    <x v="9"/>
    <x v="29"/>
    <s v="Need-based"/>
    <m/>
    <m/>
    <x v="12"/>
    <m/>
    <m/>
    <m/>
    <m/>
    <m/>
    <m/>
    <m/>
    <m/>
    <n v="0"/>
    <m/>
    <m/>
    <n v="0"/>
    <n v="0"/>
    <n v="0"/>
    <m/>
    <m/>
    <m/>
    <m/>
    <n v="0"/>
    <m/>
    <m/>
    <n v="0"/>
    <m/>
    <m/>
    <m/>
    <m/>
    <m/>
    <m/>
    <n v="0"/>
    <n v="0"/>
  </r>
  <r>
    <x v="9"/>
    <x v="27"/>
    <s v="Non need-based"/>
    <m/>
    <m/>
    <x v="12"/>
    <m/>
    <m/>
    <m/>
    <m/>
    <m/>
    <m/>
    <m/>
    <m/>
    <n v="0"/>
    <m/>
    <m/>
    <n v="0"/>
    <n v="0"/>
    <n v="0"/>
    <m/>
    <m/>
    <m/>
    <m/>
    <n v="0"/>
    <m/>
    <m/>
    <n v="0"/>
    <m/>
    <m/>
    <m/>
    <m/>
    <m/>
    <m/>
    <n v="0"/>
    <n v="0"/>
  </r>
  <r>
    <x v="9"/>
    <x v="31"/>
    <s v="Amount to private sector students"/>
    <m/>
    <m/>
    <x v="12"/>
    <m/>
    <m/>
    <m/>
    <m/>
    <m/>
    <m/>
    <m/>
    <m/>
    <n v="0"/>
    <m/>
    <m/>
    <n v="0"/>
    <n v="0"/>
    <n v="0"/>
    <m/>
    <m/>
    <m/>
    <m/>
    <n v="0"/>
    <m/>
    <m/>
    <n v="0"/>
    <m/>
    <m/>
    <m/>
    <m/>
    <m/>
    <m/>
    <n v="0"/>
    <n v="0"/>
  </r>
  <r>
    <x v="9"/>
    <x v="32"/>
    <s v="Need-based"/>
    <m/>
    <m/>
    <x v="12"/>
    <m/>
    <m/>
    <m/>
    <m/>
    <m/>
    <m/>
    <m/>
    <m/>
    <n v="0"/>
    <m/>
    <m/>
    <n v="0"/>
    <n v="0"/>
    <n v="0"/>
    <m/>
    <m/>
    <m/>
    <m/>
    <n v="0"/>
    <m/>
    <m/>
    <n v="0"/>
    <m/>
    <m/>
    <m/>
    <m/>
    <m/>
    <m/>
    <n v="0"/>
    <n v="0"/>
  </r>
  <r>
    <x v="9"/>
    <x v="27"/>
    <s v="Non need-based"/>
    <m/>
    <m/>
    <x v="12"/>
    <m/>
    <m/>
    <m/>
    <m/>
    <m/>
    <m/>
    <m/>
    <m/>
    <n v="0"/>
    <m/>
    <m/>
    <n v="0"/>
    <n v="0"/>
    <n v="0"/>
    <m/>
    <m/>
    <m/>
    <m/>
    <n v="0"/>
    <m/>
    <m/>
    <n v="0"/>
    <m/>
    <m/>
    <m/>
    <m/>
    <m/>
    <m/>
    <n v="0"/>
    <n v="0"/>
  </r>
  <r>
    <x v="9"/>
    <x v="25"/>
    <s v="Nurse Education Scholarship/Loans"/>
    <m/>
    <m/>
    <x v="12"/>
    <m/>
    <m/>
    <m/>
    <m/>
    <m/>
    <m/>
    <m/>
    <m/>
    <n v="0"/>
    <m/>
    <m/>
    <n v="0"/>
    <n v="0"/>
    <n v="0"/>
    <m/>
    <m/>
    <m/>
    <m/>
    <n v="0"/>
    <m/>
    <m/>
    <n v="0"/>
    <m/>
    <m/>
    <m/>
    <m/>
    <m/>
    <m/>
    <n v="0"/>
    <n v="0"/>
  </r>
  <r>
    <x v="9"/>
    <x v="26"/>
    <s v="Need-based"/>
    <m/>
    <m/>
    <x v="12"/>
    <m/>
    <m/>
    <m/>
    <m/>
    <m/>
    <m/>
    <m/>
    <m/>
    <n v="0"/>
    <m/>
    <m/>
    <n v="0"/>
    <n v="0"/>
    <n v="0"/>
    <n v="867756"/>
    <n v="0"/>
    <m/>
    <m/>
    <n v="0"/>
    <m/>
    <m/>
    <n v="0"/>
    <m/>
    <m/>
    <m/>
    <m/>
    <m/>
    <m/>
    <n v="867756"/>
    <n v="0"/>
  </r>
  <r>
    <x v="9"/>
    <x v="27"/>
    <s v="Non need-based"/>
    <m/>
    <m/>
    <x v="12"/>
    <m/>
    <m/>
    <m/>
    <m/>
    <m/>
    <m/>
    <m/>
    <m/>
    <n v="0"/>
    <m/>
    <m/>
    <n v="0"/>
    <n v="0"/>
    <n v="0"/>
    <m/>
    <m/>
    <m/>
    <m/>
    <n v="0"/>
    <m/>
    <m/>
    <n v="0"/>
    <m/>
    <m/>
    <m/>
    <m/>
    <m/>
    <m/>
    <n v="0"/>
    <n v="0"/>
  </r>
  <r>
    <x v="9"/>
    <x v="28"/>
    <s v="Amount to public sector students"/>
    <m/>
    <m/>
    <x v="12"/>
    <m/>
    <m/>
    <m/>
    <m/>
    <m/>
    <m/>
    <m/>
    <m/>
    <n v="0"/>
    <m/>
    <m/>
    <n v="0"/>
    <n v="0"/>
    <n v="0"/>
    <m/>
    <m/>
    <m/>
    <m/>
    <n v="0"/>
    <m/>
    <m/>
    <n v="0"/>
    <m/>
    <m/>
    <m/>
    <m/>
    <m/>
    <m/>
    <n v="0"/>
    <n v="0"/>
  </r>
  <r>
    <x v="9"/>
    <x v="29"/>
    <s v="Need-based"/>
    <m/>
    <m/>
    <x v="12"/>
    <m/>
    <m/>
    <m/>
    <m/>
    <m/>
    <m/>
    <m/>
    <m/>
    <n v="0"/>
    <m/>
    <m/>
    <n v="0"/>
    <n v="0"/>
    <n v="0"/>
    <m/>
    <m/>
    <m/>
    <m/>
    <n v="0"/>
    <m/>
    <m/>
    <n v="0"/>
    <m/>
    <m/>
    <m/>
    <m/>
    <m/>
    <m/>
    <n v="0"/>
    <n v="0"/>
  </r>
  <r>
    <x v="9"/>
    <x v="27"/>
    <s v="Non need-based"/>
    <m/>
    <m/>
    <x v="12"/>
    <m/>
    <m/>
    <m/>
    <m/>
    <m/>
    <m/>
    <m/>
    <m/>
    <n v="0"/>
    <m/>
    <m/>
    <n v="0"/>
    <n v="0"/>
    <n v="0"/>
    <m/>
    <m/>
    <m/>
    <m/>
    <n v="0"/>
    <m/>
    <m/>
    <n v="0"/>
    <m/>
    <m/>
    <m/>
    <m/>
    <m/>
    <m/>
    <n v="0"/>
    <n v="0"/>
  </r>
  <r>
    <x v="9"/>
    <x v="31"/>
    <s v="Amount to private sector students"/>
    <m/>
    <m/>
    <x v="12"/>
    <m/>
    <m/>
    <m/>
    <m/>
    <m/>
    <m/>
    <m/>
    <m/>
    <n v="0"/>
    <m/>
    <m/>
    <n v="0"/>
    <n v="0"/>
    <n v="0"/>
    <m/>
    <m/>
    <m/>
    <m/>
    <n v="0"/>
    <m/>
    <m/>
    <n v="0"/>
    <m/>
    <m/>
    <m/>
    <m/>
    <m/>
    <m/>
    <n v="0"/>
    <n v="0"/>
  </r>
  <r>
    <x v="9"/>
    <x v="32"/>
    <s v="Need-based"/>
    <m/>
    <m/>
    <x v="12"/>
    <m/>
    <m/>
    <m/>
    <m/>
    <m/>
    <m/>
    <m/>
    <m/>
    <n v="0"/>
    <m/>
    <m/>
    <n v="0"/>
    <n v="0"/>
    <n v="0"/>
    <m/>
    <m/>
    <m/>
    <m/>
    <n v="0"/>
    <m/>
    <m/>
    <n v="0"/>
    <m/>
    <m/>
    <m/>
    <m/>
    <m/>
    <m/>
    <n v="0"/>
    <n v="0"/>
  </r>
  <r>
    <x v="9"/>
    <x v="27"/>
    <s v="Non need-based"/>
    <m/>
    <m/>
    <x v="12"/>
    <m/>
    <m/>
    <m/>
    <m/>
    <m/>
    <m/>
    <m/>
    <m/>
    <n v="0"/>
    <m/>
    <m/>
    <n v="0"/>
    <n v="0"/>
    <n v="0"/>
    <m/>
    <m/>
    <m/>
    <m/>
    <n v="0"/>
    <m/>
    <m/>
    <n v="0"/>
    <m/>
    <m/>
    <m/>
    <m/>
    <m/>
    <m/>
    <n v="0"/>
    <n v="0"/>
  </r>
  <r>
    <x v="9"/>
    <x v="25"/>
    <s v="Graduate Nurse Scholars Program"/>
    <m/>
    <m/>
    <x v="12"/>
    <m/>
    <m/>
    <m/>
    <m/>
    <m/>
    <m/>
    <m/>
    <m/>
    <n v="0"/>
    <m/>
    <m/>
    <n v="0"/>
    <n v="0"/>
    <n v="0"/>
    <m/>
    <m/>
    <m/>
    <m/>
    <n v="0"/>
    <m/>
    <m/>
    <n v="0"/>
    <m/>
    <m/>
    <m/>
    <m/>
    <m/>
    <m/>
    <n v="0"/>
    <n v="0"/>
  </r>
  <r>
    <x v="9"/>
    <x v="26"/>
    <s v="Need-based"/>
    <m/>
    <m/>
    <x v="12"/>
    <m/>
    <m/>
    <m/>
    <m/>
    <m/>
    <m/>
    <m/>
    <m/>
    <n v="0"/>
    <m/>
    <m/>
    <n v="0"/>
    <n v="0"/>
    <n v="0"/>
    <m/>
    <m/>
    <m/>
    <m/>
    <n v="0"/>
    <m/>
    <m/>
    <n v="0"/>
    <m/>
    <m/>
    <m/>
    <m/>
    <m/>
    <m/>
    <n v="0"/>
    <n v="0"/>
  </r>
  <r>
    <x v="9"/>
    <x v="27"/>
    <s v="Non need-based"/>
    <m/>
    <m/>
    <x v="12"/>
    <m/>
    <m/>
    <m/>
    <m/>
    <m/>
    <m/>
    <m/>
    <m/>
    <n v="0"/>
    <m/>
    <m/>
    <n v="0"/>
    <n v="0"/>
    <n v="0"/>
    <n v="2400000"/>
    <n v="0"/>
    <m/>
    <m/>
    <n v="0"/>
    <m/>
    <m/>
    <n v="0"/>
    <m/>
    <m/>
    <m/>
    <m/>
    <m/>
    <m/>
    <n v="2400000"/>
    <n v="0"/>
  </r>
  <r>
    <x v="9"/>
    <x v="28"/>
    <s v="Amount to public sector students"/>
    <m/>
    <m/>
    <x v="12"/>
    <m/>
    <m/>
    <m/>
    <m/>
    <m/>
    <m/>
    <m/>
    <m/>
    <n v="0"/>
    <m/>
    <m/>
    <n v="0"/>
    <n v="0"/>
    <n v="0"/>
    <m/>
    <m/>
    <m/>
    <m/>
    <n v="0"/>
    <m/>
    <m/>
    <n v="0"/>
    <m/>
    <m/>
    <m/>
    <m/>
    <m/>
    <m/>
    <n v="0"/>
    <n v="0"/>
  </r>
  <r>
    <x v="9"/>
    <x v="29"/>
    <s v="Need-based"/>
    <m/>
    <m/>
    <x v="12"/>
    <m/>
    <m/>
    <m/>
    <m/>
    <m/>
    <m/>
    <m/>
    <m/>
    <n v="0"/>
    <m/>
    <m/>
    <n v="0"/>
    <n v="0"/>
    <n v="0"/>
    <m/>
    <m/>
    <m/>
    <m/>
    <n v="0"/>
    <m/>
    <m/>
    <n v="0"/>
    <m/>
    <m/>
    <m/>
    <m/>
    <m/>
    <m/>
    <n v="0"/>
    <n v="0"/>
  </r>
  <r>
    <x v="9"/>
    <x v="27"/>
    <s v="Non need-based"/>
    <m/>
    <m/>
    <x v="12"/>
    <m/>
    <m/>
    <m/>
    <m/>
    <m/>
    <m/>
    <m/>
    <m/>
    <n v="0"/>
    <m/>
    <m/>
    <n v="0"/>
    <n v="0"/>
    <n v="0"/>
    <m/>
    <m/>
    <m/>
    <m/>
    <n v="0"/>
    <m/>
    <m/>
    <n v="0"/>
    <m/>
    <m/>
    <m/>
    <m/>
    <m/>
    <m/>
    <n v="0"/>
    <n v="0"/>
  </r>
  <r>
    <x v="9"/>
    <x v="31"/>
    <s v="Amount to private sector students"/>
    <m/>
    <m/>
    <x v="12"/>
    <m/>
    <m/>
    <m/>
    <m/>
    <m/>
    <m/>
    <m/>
    <m/>
    <n v="0"/>
    <m/>
    <m/>
    <n v="0"/>
    <n v="0"/>
    <n v="0"/>
    <m/>
    <m/>
    <m/>
    <m/>
    <n v="0"/>
    <m/>
    <m/>
    <n v="0"/>
    <m/>
    <m/>
    <m/>
    <m/>
    <m/>
    <m/>
    <n v="0"/>
    <n v="0"/>
  </r>
  <r>
    <x v="9"/>
    <x v="32"/>
    <s v="Need-based"/>
    <m/>
    <m/>
    <x v="12"/>
    <m/>
    <m/>
    <m/>
    <m/>
    <m/>
    <m/>
    <m/>
    <m/>
    <n v="0"/>
    <m/>
    <m/>
    <n v="0"/>
    <n v="0"/>
    <n v="0"/>
    <m/>
    <m/>
    <m/>
    <m/>
    <n v="0"/>
    <m/>
    <m/>
    <n v="0"/>
    <m/>
    <m/>
    <m/>
    <m/>
    <m/>
    <m/>
    <n v="0"/>
    <n v="0"/>
  </r>
  <r>
    <x v="9"/>
    <x v="27"/>
    <s v="Non need-based"/>
    <m/>
    <m/>
    <x v="12"/>
    <m/>
    <m/>
    <m/>
    <m/>
    <m/>
    <m/>
    <m/>
    <m/>
    <n v="0"/>
    <m/>
    <m/>
    <n v="0"/>
    <n v="0"/>
    <n v="0"/>
    <m/>
    <m/>
    <m/>
    <m/>
    <n v="0"/>
    <m/>
    <m/>
    <n v="0"/>
    <m/>
    <m/>
    <m/>
    <m/>
    <m/>
    <m/>
    <n v="0"/>
    <n v="0"/>
  </r>
  <r>
    <x v="9"/>
    <x v="25"/>
    <s v="Prospective Teacher Scholarship Loan Program"/>
    <m/>
    <m/>
    <x v="12"/>
    <m/>
    <m/>
    <m/>
    <m/>
    <m/>
    <m/>
    <m/>
    <m/>
    <n v="0"/>
    <m/>
    <m/>
    <n v="0"/>
    <n v="0"/>
    <n v="0"/>
    <m/>
    <m/>
    <m/>
    <m/>
    <n v="0"/>
    <m/>
    <m/>
    <n v="0"/>
    <m/>
    <m/>
    <m/>
    <m/>
    <m/>
    <m/>
    <n v="0"/>
    <n v="0"/>
  </r>
  <r>
    <x v="9"/>
    <x v="26"/>
    <s v="Need-based"/>
    <m/>
    <m/>
    <x v="12"/>
    <m/>
    <m/>
    <m/>
    <m/>
    <m/>
    <m/>
    <m/>
    <m/>
    <n v="0"/>
    <m/>
    <m/>
    <n v="0"/>
    <n v="0"/>
    <n v="0"/>
    <m/>
    <m/>
    <m/>
    <m/>
    <n v="0"/>
    <m/>
    <m/>
    <n v="0"/>
    <m/>
    <m/>
    <m/>
    <m/>
    <m/>
    <m/>
    <n v="0"/>
    <n v="0"/>
  </r>
  <r>
    <x v="9"/>
    <x v="27"/>
    <s v="Non need-based"/>
    <m/>
    <m/>
    <x v="12"/>
    <m/>
    <m/>
    <m/>
    <m/>
    <m/>
    <m/>
    <m/>
    <m/>
    <n v="0"/>
    <m/>
    <m/>
    <n v="0"/>
    <n v="0"/>
    <n v="0"/>
    <n v="3252535"/>
    <n v="0"/>
    <m/>
    <m/>
    <n v="0"/>
    <m/>
    <m/>
    <n v="0"/>
    <m/>
    <m/>
    <m/>
    <m/>
    <m/>
    <m/>
    <n v="3252535"/>
    <n v="0"/>
  </r>
  <r>
    <x v="9"/>
    <x v="28"/>
    <s v="Amount to public sector students"/>
    <m/>
    <m/>
    <x v="12"/>
    <m/>
    <m/>
    <m/>
    <m/>
    <m/>
    <m/>
    <m/>
    <m/>
    <n v="0"/>
    <m/>
    <m/>
    <n v="0"/>
    <n v="0"/>
    <n v="0"/>
    <m/>
    <m/>
    <m/>
    <m/>
    <n v="0"/>
    <m/>
    <m/>
    <n v="0"/>
    <m/>
    <m/>
    <m/>
    <m/>
    <m/>
    <m/>
    <n v="0"/>
    <n v="0"/>
  </r>
  <r>
    <x v="9"/>
    <x v="29"/>
    <s v="Need-based"/>
    <m/>
    <m/>
    <x v="12"/>
    <m/>
    <m/>
    <m/>
    <m/>
    <m/>
    <m/>
    <m/>
    <m/>
    <n v="0"/>
    <m/>
    <m/>
    <n v="0"/>
    <n v="0"/>
    <n v="0"/>
    <m/>
    <m/>
    <m/>
    <m/>
    <n v="0"/>
    <m/>
    <m/>
    <n v="0"/>
    <m/>
    <m/>
    <m/>
    <m/>
    <m/>
    <m/>
    <n v="0"/>
    <n v="0"/>
  </r>
  <r>
    <x v="9"/>
    <x v="27"/>
    <s v="Non need-based"/>
    <m/>
    <m/>
    <x v="12"/>
    <m/>
    <m/>
    <m/>
    <m/>
    <m/>
    <m/>
    <m/>
    <m/>
    <n v="0"/>
    <m/>
    <m/>
    <n v="0"/>
    <n v="0"/>
    <n v="0"/>
    <m/>
    <m/>
    <m/>
    <m/>
    <n v="0"/>
    <m/>
    <m/>
    <n v="0"/>
    <m/>
    <m/>
    <m/>
    <m/>
    <m/>
    <m/>
    <n v="0"/>
    <n v="0"/>
  </r>
  <r>
    <x v="9"/>
    <x v="31"/>
    <s v="Amount to private sector students"/>
    <m/>
    <m/>
    <x v="12"/>
    <m/>
    <m/>
    <m/>
    <m/>
    <m/>
    <m/>
    <m/>
    <m/>
    <n v="0"/>
    <m/>
    <m/>
    <n v="0"/>
    <n v="0"/>
    <n v="0"/>
    <m/>
    <m/>
    <m/>
    <m/>
    <n v="0"/>
    <m/>
    <m/>
    <n v="0"/>
    <m/>
    <m/>
    <m/>
    <m/>
    <m/>
    <m/>
    <n v="0"/>
    <n v="0"/>
  </r>
  <r>
    <x v="9"/>
    <x v="32"/>
    <s v="Need-based"/>
    <m/>
    <m/>
    <x v="12"/>
    <m/>
    <m/>
    <m/>
    <m/>
    <m/>
    <m/>
    <m/>
    <m/>
    <n v="0"/>
    <m/>
    <m/>
    <n v="0"/>
    <n v="0"/>
    <n v="0"/>
    <m/>
    <m/>
    <m/>
    <m/>
    <n v="0"/>
    <m/>
    <m/>
    <n v="0"/>
    <m/>
    <m/>
    <m/>
    <m/>
    <m/>
    <m/>
    <n v="0"/>
    <n v="0"/>
  </r>
  <r>
    <x v="9"/>
    <x v="27"/>
    <s v="Non need-based"/>
    <m/>
    <m/>
    <x v="12"/>
    <m/>
    <m/>
    <m/>
    <m/>
    <m/>
    <m/>
    <m/>
    <m/>
    <n v="0"/>
    <m/>
    <m/>
    <n v="0"/>
    <n v="0"/>
    <n v="0"/>
    <m/>
    <m/>
    <m/>
    <m/>
    <n v="0"/>
    <m/>
    <m/>
    <n v="0"/>
    <m/>
    <m/>
    <m/>
    <m/>
    <m/>
    <m/>
    <n v="0"/>
    <n v="0"/>
  </r>
  <r>
    <x v="9"/>
    <x v="25"/>
    <s v="Future Teachers of North Carolina Scholarship Loan Program"/>
    <m/>
    <m/>
    <x v="12"/>
    <m/>
    <m/>
    <m/>
    <m/>
    <m/>
    <m/>
    <m/>
    <m/>
    <n v="0"/>
    <m/>
    <m/>
    <n v="0"/>
    <n v="0"/>
    <n v="0"/>
    <m/>
    <m/>
    <m/>
    <m/>
    <n v="0"/>
    <m/>
    <m/>
    <n v="0"/>
    <m/>
    <m/>
    <m/>
    <m/>
    <m/>
    <m/>
    <n v="0"/>
    <n v="0"/>
  </r>
  <r>
    <x v="9"/>
    <x v="26"/>
    <s v="Need-based"/>
    <m/>
    <m/>
    <x v="12"/>
    <m/>
    <m/>
    <m/>
    <m/>
    <m/>
    <m/>
    <m/>
    <m/>
    <n v="0"/>
    <m/>
    <m/>
    <n v="0"/>
    <n v="0"/>
    <n v="0"/>
    <m/>
    <m/>
    <m/>
    <m/>
    <n v="0"/>
    <m/>
    <m/>
    <n v="0"/>
    <m/>
    <m/>
    <m/>
    <m/>
    <m/>
    <m/>
    <n v="0"/>
    <n v="0"/>
  </r>
  <r>
    <x v="9"/>
    <x v="27"/>
    <s v="Non need-based"/>
    <m/>
    <m/>
    <x v="12"/>
    <m/>
    <m/>
    <m/>
    <m/>
    <m/>
    <m/>
    <m/>
    <m/>
    <n v="0"/>
    <m/>
    <m/>
    <n v="0"/>
    <n v="0"/>
    <n v="0"/>
    <n v="0"/>
    <n v="0"/>
    <m/>
    <m/>
    <n v="0"/>
    <m/>
    <m/>
    <n v="0"/>
    <m/>
    <m/>
    <m/>
    <m/>
    <m/>
    <m/>
    <n v="0"/>
    <n v="0"/>
  </r>
  <r>
    <x v="9"/>
    <x v="28"/>
    <s v="Amount to public sector students"/>
    <m/>
    <m/>
    <x v="12"/>
    <m/>
    <m/>
    <m/>
    <m/>
    <m/>
    <m/>
    <m/>
    <m/>
    <n v="0"/>
    <m/>
    <m/>
    <n v="0"/>
    <n v="0"/>
    <n v="0"/>
    <m/>
    <m/>
    <m/>
    <m/>
    <n v="0"/>
    <m/>
    <m/>
    <n v="0"/>
    <m/>
    <m/>
    <m/>
    <m/>
    <m/>
    <m/>
    <n v="0"/>
    <n v="0"/>
  </r>
  <r>
    <x v="9"/>
    <x v="29"/>
    <s v="Need-based"/>
    <m/>
    <m/>
    <x v="12"/>
    <m/>
    <m/>
    <m/>
    <m/>
    <m/>
    <m/>
    <m/>
    <m/>
    <n v="0"/>
    <m/>
    <m/>
    <n v="0"/>
    <n v="0"/>
    <n v="0"/>
    <m/>
    <m/>
    <m/>
    <m/>
    <n v="0"/>
    <m/>
    <m/>
    <n v="0"/>
    <m/>
    <m/>
    <m/>
    <m/>
    <m/>
    <m/>
    <n v="0"/>
    <n v="0"/>
  </r>
  <r>
    <x v="9"/>
    <x v="27"/>
    <s v="Non need-based"/>
    <m/>
    <m/>
    <x v="12"/>
    <m/>
    <m/>
    <m/>
    <m/>
    <m/>
    <m/>
    <m/>
    <m/>
    <n v="0"/>
    <m/>
    <m/>
    <n v="0"/>
    <n v="0"/>
    <n v="0"/>
    <m/>
    <m/>
    <m/>
    <m/>
    <n v="0"/>
    <m/>
    <m/>
    <n v="0"/>
    <m/>
    <m/>
    <m/>
    <m/>
    <m/>
    <m/>
    <n v="0"/>
    <n v="0"/>
  </r>
  <r>
    <x v="9"/>
    <x v="31"/>
    <s v="Amount to private sector students"/>
    <m/>
    <m/>
    <x v="12"/>
    <m/>
    <m/>
    <m/>
    <m/>
    <m/>
    <m/>
    <m/>
    <m/>
    <n v="0"/>
    <m/>
    <m/>
    <n v="0"/>
    <n v="0"/>
    <n v="0"/>
    <m/>
    <m/>
    <m/>
    <m/>
    <n v="0"/>
    <m/>
    <m/>
    <n v="0"/>
    <m/>
    <m/>
    <m/>
    <m/>
    <m/>
    <m/>
    <n v="0"/>
    <n v="0"/>
  </r>
  <r>
    <x v="9"/>
    <x v="32"/>
    <s v="Need-based"/>
    <m/>
    <m/>
    <x v="12"/>
    <m/>
    <m/>
    <m/>
    <m/>
    <m/>
    <m/>
    <m/>
    <m/>
    <n v="0"/>
    <m/>
    <m/>
    <n v="0"/>
    <n v="0"/>
    <n v="0"/>
    <m/>
    <m/>
    <m/>
    <m/>
    <n v="0"/>
    <m/>
    <m/>
    <n v="0"/>
    <m/>
    <m/>
    <m/>
    <m/>
    <m/>
    <m/>
    <n v="0"/>
    <n v="0"/>
  </r>
  <r>
    <x v="9"/>
    <x v="27"/>
    <s v="Non need-based"/>
    <m/>
    <m/>
    <x v="12"/>
    <m/>
    <m/>
    <m/>
    <m/>
    <m/>
    <m/>
    <m/>
    <m/>
    <n v="0"/>
    <m/>
    <m/>
    <n v="0"/>
    <n v="0"/>
    <n v="0"/>
    <m/>
    <m/>
    <m/>
    <m/>
    <n v="0"/>
    <m/>
    <m/>
    <n v="0"/>
    <m/>
    <m/>
    <m/>
    <m/>
    <m/>
    <m/>
    <n v="0"/>
    <n v="0"/>
  </r>
  <r>
    <x v="9"/>
    <x v="25"/>
    <s v="Nurse Scholars Program"/>
    <m/>
    <m/>
    <x v="12"/>
    <m/>
    <m/>
    <m/>
    <m/>
    <m/>
    <m/>
    <m/>
    <m/>
    <n v="0"/>
    <m/>
    <m/>
    <n v="0"/>
    <n v="0"/>
    <n v="0"/>
    <m/>
    <m/>
    <m/>
    <m/>
    <n v="0"/>
    <m/>
    <m/>
    <n v="0"/>
    <m/>
    <m/>
    <m/>
    <m/>
    <m/>
    <m/>
    <n v="0"/>
    <n v="0"/>
  </r>
  <r>
    <x v="9"/>
    <x v="26"/>
    <s v="Need-based"/>
    <m/>
    <m/>
    <x v="12"/>
    <m/>
    <m/>
    <m/>
    <m/>
    <m/>
    <m/>
    <m/>
    <m/>
    <n v="0"/>
    <m/>
    <m/>
    <n v="0"/>
    <n v="0"/>
    <n v="0"/>
    <m/>
    <m/>
    <m/>
    <m/>
    <n v="0"/>
    <m/>
    <m/>
    <n v="0"/>
    <m/>
    <m/>
    <m/>
    <m/>
    <m/>
    <m/>
    <n v="0"/>
    <n v="0"/>
  </r>
  <r>
    <x v="9"/>
    <x v="27"/>
    <s v="Non need-based"/>
    <m/>
    <m/>
    <x v="12"/>
    <m/>
    <m/>
    <m/>
    <m/>
    <m/>
    <m/>
    <m/>
    <m/>
    <n v="0"/>
    <m/>
    <m/>
    <n v="0"/>
    <n v="0"/>
    <n v="0"/>
    <n v="3426482"/>
    <n v="0"/>
    <m/>
    <m/>
    <n v="0"/>
    <m/>
    <m/>
    <n v="0"/>
    <m/>
    <m/>
    <m/>
    <m/>
    <m/>
    <m/>
    <n v="3426482"/>
    <n v="0"/>
  </r>
  <r>
    <x v="9"/>
    <x v="28"/>
    <s v="Amount to public sector students"/>
    <m/>
    <m/>
    <x v="12"/>
    <m/>
    <m/>
    <m/>
    <m/>
    <m/>
    <m/>
    <m/>
    <m/>
    <n v="0"/>
    <m/>
    <m/>
    <n v="0"/>
    <n v="0"/>
    <n v="0"/>
    <m/>
    <m/>
    <m/>
    <m/>
    <n v="0"/>
    <m/>
    <m/>
    <n v="0"/>
    <m/>
    <m/>
    <m/>
    <m/>
    <m/>
    <m/>
    <n v="0"/>
    <n v="0"/>
  </r>
  <r>
    <x v="9"/>
    <x v="29"/>
    <s v="Need-based"/>
    <m/>
    <m/>
    <x v="12"/>
    <m/>
    <m/>
    <m/>
    <m/>
    <m/>
    <m/>
    <m/>
    <m/>
    <n v="0"/>
    <m/>
    <m/>
    <n v="0"/>
    <n v="0"/>
    <n v="0"/>
    <m/>
    <m/>
    <m/>
    <m/>
    <n v="0"/>
    <m/>
    <m/>
    <n v="0"/>
    <m/>
    <m/>
    <m/>
    <m/>
    <m/>
    <m/>
    <n v="0"/>
    <n v="0"/>
  </r>
  <r>
    <x v="9"/>
    <x v="27"/>
    <s v="Non need-based"/>
    <m/>
    <m/>
    <x v="12"/>
    <m/>
    <m/>
    <m/>
    <m/>
    <m/>
    <m/>
    <m/>
    <m/>
    <n v="0"/>
    <m/>
    <m/>
    <n v="0"/>
    <n v="0"/>
    <n v="0"/>
    <m/>
    <m/>
    <m/>
    <m/>
    <n v="0"/>
    <m/>
    <m/>
    <n v="0"/>
    <m/>
    <m/>
    <m/>
    <m/>
    <m/>
    <m/>
    <n v="0"/>
    <n v="0"/>
  </r>
  <r>
    <x v="9"/>
    <x v="31"/>
    <s v="Amount to private sector students"/>
    <m/>
    <m/>
    <x v="12"/>
    <m/>
    <m/>
    <m/>
    <m/>
    <m/>
    <m/>
    <m/>
    <m/>
    <n v="0"/>
    <m/>
    <m/>
    <n v="0"/>
    <n v="0"/>
    <n v="0"/>
    <m/>
    <m/>
    <m/>
    <m/>
    <n v="0"/>
    <m/>
    <m/>
    <n v="0"/>
    <m/>
    <m/>
    <m/>
    <m/>
    <m/>
    <m/>
    <n v="0"/>
    <n v="0"/>
  </r>
  <r>
    <x v="9"/>
    <x v="32"/>
    <s v="Need-based"/>
    <m/>
    <m/>
    <x v="12"/>
    <m/>
    <m/>
    <m/>
    <m/>
    <m/>
    <m/>
    <m/>
    <m/>
    <n v="0"/>
    <m/>
    <m/>
    <n v="0"/>
    <n v="0"/>
    <n v="0"/>
    <m/>
    <m/>
    <m/>
    <m/>
    <n v="0"/>
    <m/>
    <m/>
    <n v="0"/>
    <m/>
    <m/>
    <m/>
    <m/>
    <m/>
    <m/>
    <n v="0"/>
    <n v="0"/>
  </r>
  <r>
    <x v="9"/>
    <x v="27"/>
    <s v="Non need-based"/>
    <m/>
    <m/>
    <x v="12"/>
    <m/>
    <m/>
    <m/>
    <m/>
    <m/>
    <m/>
    <m/>
    <m/>
    <n v="0"/>
    <m/>
    <m/>
    <n v="0"/>
    <n v="0"/>
    <n v="0"/>
    <m/>
    <m/>
    <m/>
    <m/>
    <n v="0"/>
    <m/>
    <m/>
    <n v="0"/>
    <m/>
    <m/>
    <m/>
    <m/>
    <m/>
    <m/>
    <n v="0"/>
    <n v="0"/>
  </r>
  <r>
    <x v="9"/>
    <x v="25"/>
    <s v="NC Veterans Scholarships"/>
    <m/>
    <m/>
    <x v="12"/>
    <m/>
    <m/>
    <m/>
    <m/>
    <m/>
    <m/>
    <m/>
    <m/>
    <n v="0"/>
    <m/>
    <m/>
    <n v="0"/>
    <n v="0"/>
    <n v="0"/>
    <m/>
    <m/>
    <m/>
    <m/>
    <n v="0"/>
    <m/>
    <m/>
    <n v="0"/>
    <m/>
    <m/>
    <m/>
    <m/>
    <m/>
    <m/>
    <n v="0"/>
    <n v="0"/>
  </r>
  <r>
    <x v="9"/>
    <x v="26"/>
    <s v="Need-based"/>
    <m/>
    <m/>
    <x v="12"/>
    <m/>
    <m/>
    <m/>
    <m/>
    <m/>
    <m/>
    <m/>
    <m/>
    <n v="0"/>
    <m/>
    <m/>
    <n v="0"/>
    <n v="0"/>
    <n v="0"/>
    <m/>
    <m/>
    <m/>
    <m/>
    <n v="0"/>
    <m/>
    <m/>
    <n v="0"/>
    <m/>
    <m/>
    <m/>
    <m/>
    <m/>
    <m/>
    <n v="0"/>
    <n v="0"/>
  </r>
  <r>
    <x v="9"/>
    <x v="27"/>
    <s v="Non need-based"/>
    <m/>
    <m/>
    <x v="12"/>
    <m/>
    <m/>
    <m/>
    <m/>
    <m/>
    <m/>
    <m/>
    <m/>
    <n v="0"/>
    <m/>
    <m/>
    <n v="0"/>
    <n v="0"/>
    <n v="0"/>
    <n v="6520964"/>
    <n v="5568222"/>
    <m/>
    <m/>
    <n v="0"/>
    <m/>
    <m/>
    <n v="0"/>
    <m/>
    <m/>
    <m/>
    <m/>
    <m/>
    <m/>
    <n v="6520964"/>
    <n v="5568222"/>
  </r>
  <r>
    <x v="9"/>
    <x v="28"/>
    <s v="Amount to public sector students"/>
    <m/>
    <m/>
    <x v="12"/>
    <m/>
    <m/>
    <m/>
    <m/>
    <m/>
    <m/>
    <m/>
    <m/>
    <n v="0"/>
    <m/>
    <m/>
    <n v="0"/>
    <n v="0"/>
    <n v="0"/>
    <m/>
    <m/>
    <m/>
    <m/>
    <n v="0"/>
    <m/>
    <m/>
    <n v="0"/>
    <m/>
    <m/>
    <m/>
    <m/>
    <m/>
    <m/>
    <n v="0"/>
    <n v="0"/>
  </r>
  <r>
    <x v="9"/>
    <x v="29"/>
    <s v="Need-based"/>
    <m/>
    <m/>
    <x v="12"/>
    <m/>
    <m/>
    <m/>
    <m/>
    <m/>
    <m/>
    <m/>
    <m/>
    <n v="0"/>
    <m/>
    <m/>
    <n v="0"/>
    <n v="0"/>
    <n v="0"/>
    <m/>
    <m/>
    <m/>
    <m/>
    <n v="0"/>
    <m/>
    <m/>
    <n v="0"/>
    <m/>
    <m/>
    <m/>
    <m/>
    <m/>
    <m/>
    <n v="0"/>
    <n v="0"/>
  </r>
  <r>
    <x v="9"/>
    <x v="27"/>
    <s v="Non need-based"/>
    <m/>
    <m/>
    <x v="12"/>
    <m/>
    <m/>
    <m/>
    <m/>
    <m/>
    <m/>
    <m/>
    <m/>
    <n v="0"/>
    <m/>
    <m/>
    <n v="0"/>
    <n v="0"/>
    <n v="0"/>
    <m/>
    <m/>
    <m/>
    <m/>
    <n v="0"/>
    <m/>
    <m/>
    <n v="0"/>
    <m/>
    <m/>
    <m/>
    <m/>
    <m/>
    <m/>
    <n v="0"/>
    <n v="0"/>
  </r>
  <r>
    <x v="9"/>
    <x v="31"/>
    <s v="Amount to private sector students"/>
    <m/>
    <m/>
    <x v="12"/>
    <m/>
    <m/>
    <m/>
    <m/>
    <m/>
    <m/>
    <m/>
    <m/>
    <n v="0"/>
    <m/>
    <m/>
    <n v="0"/>
    <n v="0"/>
    <n v="0"/>
    <m/>
    <m/>
    <m/>
    <m/>
    <n v="0"/>
    <m/>
    <m/>
    <n v="0"/>
    <m/>
    <m/>
    <m/>
    <m/>
    <m/>
    <m/>
    <n v="0"/>
    <n v="0"/>
  </r>
  <r>
    <x v="9"/>
    <x v="32"/>
    <s v="Need-based"/>
    <m/>
    <m/>
    <x v="12"/>
    <m/>
    <m/>
    <m/>
    <m/>
    <m/>
    <m/>
    <m/>
    <m/>
    <n v="0"/>
    <m/>
    <m/>
    <n v="0"/>
    <n v="0"/>
    <n v="0"/>
    <m/>
    <m/>
    <m/>
    <m/>
    <n v="0"/>
    <m/>
    <m/>
    <n v="0"/>
    <m/>
    <m/>
    <m/>
    <m/>
    <m/>
    <m/>
    <n v="0"/>
    <n v="0"/>
  </r>
  <r>
    <x v="9"/>
    <x v="27"/>
    <s v="Non need-based"/>
    <m/>
    <m/>
    <x v="12"/>
    <m/>
    <m/>
    <m/>
    <m/>
    <m/>
    <m/>
    <m/>
    <m/>
    <n v="0"/>
    <m/>
    <m/>
    <n v="0"/>
    <n v="0"/>
    <n v="0"/>
    <m/>
    <m/>
    <m/>
    <m/>
    <n v="0"/>
    <m/>
    <m/>
    <n v="0"/>
    <m/>
    <m/>
    <m/>
    <m/>
    <m/>
    <m/>
    <n v="0"/>
    <n v="0"/>
  </r>
  <r>
    <x v="9"/>
    <x v="25"/>
    <s v="Forgivable Education Loans for Service"/>
    <m/>
    <m/>
    <x v="12"/>
    <m/>
    <m/>
    <m/>
    <m/>
    <m/>
    <m/>
    <m/>
    <m/>
    <n v="0"/>
    <m/>
    <m/>
    <n v="0"/>
    <n v="0"/>
    <n v="0"/>
    <m/>
    <m/>
    <m/>
    <m/>
    <n v="0"/>
    <m/>
    <m/>
    <n v="0"/>
    <m/>
    <m/>
    <m/>
    <m/>
    <m/>
    <m/>
    <n v="0"/>
    <n v="0"/>
  </r>
  <r>
    <x v="9"/>
    <x v="26"/>
    <s v="Need-based"/>
    <m/>
    <m/>
    <x v="12"/>
    <m/>
    <m/>
    <m/>
    <m/>
    <m/>
    <m/>
    <m/>
    <m/>
    <n v="0"/>
    <m/>
    <m/>
    <n v="0"/>
    <n v="0"/>
    <n v="0"/>
    <m/>
    <m/>
    <m/>
    <m/>
    <n v="0"/>
    <m/>
    <m/>
    <n v="0"/>
    <m/>
    <m/>
    <m/>
    <m/>
    <m/>
    <m/>
    <n v="0"/>
    <n v="0"/>
  </r>
  <r>
    <x v="9"/>
    <x v="27"/>
    <s v="Non need-based"/>
    <m/>
    <m/>
    <x v="12"/>
    <m/>
    <m/>
    <m/>
    <m/>
    <m/>
    <m/>
    <m/>
    <m/>
    <n v="0"/>
    <m/>
    <m/>
    <n v="0"/>
    <n v="0"/>
    <n v="0"/>
    <m/>
    <n v="16594166"/>
    <m/>
    <m/>
    <n v="0"/>
    <m/>
    <m/>
    <n v="0"/>
    <m/>
    <m/>
    <m/>
    <m/>
    <m/>
    <m/>
    <n v="0"/>
    <n v="16594166"/>
  </r>
  <r>
    <x v="9"/>
    <x v="28"/>
    <s v="Amount to public sector students"/>
    <m/>
    <m/>
    <x v="12"/>
    <m/>
    <m/>
    <m/>
    <m/>
    <m/>
    <m/>
    <m/>
    <m/>
    <n v="0"/>
    <m/>
    <m/>
    <n v="0"/>
    <n v="0"/>
    <n v="0"/>
    <m/>
    <m/>
    <m/>
    <m/>
    <n v="0"/>
    <m/>
    <m/>
    <n v="0"/>
    <m/>
    <m/>
    <m/>
    <m/>
    <m/>
    <m/>
    <n v="0"/>
    <n v="0"/>
  </r>
  <r>
    <x v="9"/>
    <x v="29"/>
    <s v="Need-based"/>
    <m/>
    <m/>
    <x v="12"/>
    <m/>
    <m/>
    <m/>
    <m/>
    <m/>
    <m/>
    <m/>
    <m/>
    <n v="0"/>
    <m/>
    <m/>
    <n v="0"/>
    <n v="0"/>
    <n v="0"/>
    <m/>
    <m/>
    <m/>
    <m/>
    <n v="0"/>
    <m/>
    <m/>
    <n v="0"/>
    <m/>
    <m/>
    <m/>
    <m/>
    <m/>
    <m/>
    <n v="0"/>
    <n v="0"/>
  </r>
  <r>
    <x v="9"/>
    <x v="27"/>
    <s v="Non need-based"/>
    <m/>
    <m/>
    <x v="12"/>
    <m/>
    <m/>
    <m/>
    <m/>
    <m/>
    <m/>
    <m/>
    <m/>
    <n v="0"/>
    <m/>
    <m/>
    <n v="0"/>
    <n v="0"/>
    <n v="0"/>
    <m/>
    <m/>
    <m/>
    <m/>
    <n v="0"/>
    <m/>
    <m/>
    <n v="0"/>
    <m/>
    <m/>
    <m/>
    <m/>
    <m/>
    <m/>
    <n v="0"/>
    <n v="0"/>
  </r>
  <r>
    <x v="9"/>
    <x v="31"/>
    <s v="Amount to private sector students"/>
    <m/>
    <m/>
    <x v="12"/>
    <m/>
    <m/>
    <m/>
    <m/>
    <m/>
    <m/>
    <m/>
    <m/>
    <n v="0"/>
    <m/>
    <m/>
    <n v="0"/>
    <n v="0"/>
    <n v="0"/>
    <m/>
    <m/>
    <m/>
    <m/>
    <n v="0"/>
    <m/>
    <m/>
    <n v="0"/>
    <m/>
    <m/>
    <m/>
    <m/>
    <m/>
    <m/>
    <n v="0"/>
    <n v="0"/>
  </r>
  <r>
    <x v="9"/>
    <x v="32"/>
    <s v="Need-based"/>
    <m/>
    <m/>
    <x v="12"/>
    <m/>
    <m/>
    <m/>
    <m/>
    <m/>
    <m/>
    <m/>
    <m/>
    <n v="0"/>
    <m/>
    <m/>
    <n v="0"/>
    <n v="0"/>
    <n v="0"/>
    <m/>
    <m/>
    <m/>
    <m/>
    <n v="0"/>
    <m/>
    <m/>
    <n v="0"/>
    <m/>
    <m/>
    <m/>
    <m/>
    <m/>
    <m/>
    <n v="0"/>
    <n v="0"/>
  </r>
  <r>
    <x v="9"/>
    <x v="27"/>
    <s v="Non need-based"/>
    <m/>
    <m/>
    <x v="12"/>
    <m/>
    <m/>
    <m/>
    <m/>
    <m/>
    <m/>
    <m/>
    <m/>
    <n v="0"/>
    <m/>
    <m/>
    <n v="0"/>
    <n v="0"/>
    <n v="0"/>
    <m/>
    <m/>
    <m/>
    <m/>
    <n v="0"/>
    <m/>
    <m/>
    <n v="0"/>
    <m/>
    <m/>
    <m/>
    <m/>
    <m/>
    <m/>
    <n v="0"/>
    <n v="0"/>
  </r>
  <r>
    <x v="9"/>
    <x v="34"/>
    <s v="Limited to public college students only"/>
    <m/>
    <m/>
    <x v="12"/>
    <m/>
    <m/>
    <m/>
    <m/>
    <m/>
    <m/>
    <m/>
    <m/>
    <n v="0"/>
    <m/>
    <m/>
    <n v="0"/>
    <n v="0"/>
    <n v="0"/>
    <m/>
    <m/>
    <m/>
    <m/>
    <n v="0"/>
    <m/>
    <m/>
    <n v="0"/>
    <m/>
    <m/>
    <m/>
    <m/>
    <m/>
    <m/>
    <n v="0"/>
    <n v="0"/>
  </r>
  <r>
    <x v="9"/>
    <x v="34"/>
    <s v="UNC Need-Based Grant"/>
    <m/>
    <m/>
    <x v="12"/>
    <m/>
    <m/>
    <m/>
    <m/>
    <m/>
    <m/>
    <m/>
    <m/>
    <n v="0"/>
    <m/>
    <m/>
    <n v="0"/>
    <n v="0"/>
    <n v="0"/>
    <m/>
    <m/>
    <m/>
    <m/>
    <n v="0"/>
    <m/>
    <m/>
    <n v="0"/>
    <m/>
    <m/>
    <m/>
    <m/>
    <m/>
    <m/>
    <n v="0"/>
    <n v="0"/>
  </r>
  <r>
    <x v="9"/>
    <x v="35"/>
    <s v="Need-based"/>
    <m/>
    <m/>
    <x v="12"/>
    <m/>
    <m/>
    <m/>
    <m/>
    <m/>
    <m/>
    <m/>
    <m/>
    <n v="0"/>
    <m/>
    <m/>
    <n v="0"/>
    <n v="0"/>
    <n v="0"/>
    <n v="127100000"/>
    <n v="147635342"/>
    <m/>
    <m/>
    <n v="0"/>
    <m/>
    <m/>
    <n v="0"/>
    <m/>
    <m/>
    <m/>
    <m/>
    <m/>
    <m/>
    <n v="127100000"/>
    <n v="147635342"/>
  </r>
  <r>
    <x v="9"/>
    <x v="36"/>
    <s v="Non need-based"/>
    <m/>
    <m/>
    <x v="12"/>
    <m/>
    <m/>
    <m/>
    <m/>
    <m/>
    <m/>
    <m/>
    <m/>
    <n v="0"/>
    <m/>
    <m/>
    <n v="0"/>
    <n v="0"/>
    <n v="0"/>
    <m/>
    <m/>
    <m/>
    <m/>
    <n v="0"/>
    <m/>
    <m/>
    <n v="0"/>
    <m/>
    <m/>
    <m/>
    <m/>
    <m/>
    <m/>
    <n v="0"/>
    <n v="0"/>
  </r>
  <r>
    <x v="9"/>
    <x v="34"/>
    <s v="NCSSM Tuition Grant"/>
    <m/>
    <m/>
    <x v="12"/>
    <m/>
    <m/>
    <m/>
    <m/>
    <m/>
    <m/>
    <m/>
    <m/>
    <n v="0"/>
    <m/>
    <m/>
    <n v="0"/>
    <n v="0"/>
    <n v="0"/>
    <m/>
    <m/>
    <m/>
    <m/>
    <n v="0"/>
    <m/>
    <m/>
    <n v="0"/>
    <m/>
    <m/>
    <m/>
    <m/>
    <m/>
    <m/>
    <n v="0"/>
    <n v="0"/>
  </r>
  <r>
    <x v="9"/>
    <x v="35"/>
    <s v="Need-based"/>
    <m/>
    <m/>
    <x v="12"/>
    <m/>
    <m/>
    <m/>
    <m/>
    <m/>
    <m/>
    <m/>
    <m/>
    <n v="0"/>
    <m/>
    <m/>
    <n v="0"/>
    <n v="0"/>
    <n v="0"/>
    <m/>
    <m/>
    <m/>
    <m/>
    <n v="0"/>
    <m/>
    <m/>
    <n v="0"/>
    <m/>
    <m/>
    <m/>
    <m/>
    <m/>
    <m/>
    <n v="0"/>
    <n v="0"/>
  </r>
  <r>
    <x v="9"/>
    <x v="36"/>
    <s v="Non need-based"/>
    <m/>
    <m/>
    <x v="12"/>
    <m/>
    <m/>
    <m/>
    <m/>
    <m/>
    <m/>
    <m/>
    <m/>
    <n v="0"/>
    <m/>
    <m/>
    <n v="0"/>
    <n v="0"/>
    <n v="0"/>
    <n v="2925462"/>
    <n v="2469075"/>
    <m/>
    <m/>
    <n v="0"/>
    <m/>
    <m/>
    <n v="0"/>
    <m/>
    <m/>
    <m/>
    <m/>
    <m/>
    <m/>
    <n v="2925462"/>
    <n v="2469075"/>
  </r>
  <r>
    <x v="9"/>
    <x v="34"/>
    <s v="Teacher Assistant Scholarships"/>
    <m/>
    <m/>
    <x v="12"/>
    <m/>
    <m/>
    <m/>
    <m/>
    <m/>
    <m/>
    <m/>
    <m/>
    <n v="0"/>
    <m/>
    <m/>
    <n v="0"/>
    <n v="0"/>
    <n v="0"/>
    <m/>
    <m/>
    <m/>
    <m/>
    <n v="0"/>
    <m/>
    <m/>
    <n v="0"/>
    <m/>
    <m/>
    <m/>
    <m/>
    <m/>
    <m/>
    <n v="0"/>
    <n v="0"/>
  </r>
  <r>
    <x v="9"/>
    <x v="35"/>
    <s v="Need-based"/>
    <m/>
    <m/>
    <x v="12"/>
    <m/>
    <m/>
    <m/>
    <m/>
    <m/>
    <m/>
    <m/>
    <m/>
    <n v="0"/>
    <m/>
    <m/>
    <n v="0"/>
    <n v="0"/>
    <n v="0"/>
    <n v="231928"/>
    <n v="0"/>
    <m/>
    <m/>
    <n v="0"/>
    <m/>
    <m/>
    <n v="0"/>
    <m/>
    <m/>
    <m/>
    <m/>
    <m/>
    <m/>
    <n v="231928"/>
    <n v="0"/>
  </r>
  <r>
    <x v="9"/>
    <x v="36"/>
    <s v="Non need-based"/>
    <m/>
    <m/>
    <x v="12"/>
    <m/>
    <m/>
    <m/>
    <m/>
    <m/>
    <m/>
    <m/>
    <m/>
    <n v="0"/>
    <m/>
    <m/>
    <n v="0"/>
    <n v="0"/>
    <n v="0"/>
    <m/>
    <m/>
    <m/>
    <m/>
    <n v="0"/>
    <m/>
    <m/>
    <n v="0"/>
    <m/>
    <m/>
    <m/>
    <m/>
    <m/>
    <m/>
    <n v="0"/>
    <n v="0"/>
  </r>
  <r>
    <x v="9"/>
    <x v="34"/>
    <s v="Board of Governor's Dental Scholarships"/>
    <m/>
    <m/>
    <x v="12"/>
    <m/>
    <m/>
    <m/>
    <m/>
    <m/>
    <m/>
    <m/>
    <m/>
    <n v="0"/>
    <m/>
    <m/>
    <n v="0"/>
    <n v="0"/>
    <n v="0"/>
    <m/>
    <m/>
    <m/>
    <m/>
    <n v="0"/>
    <m/>
    <m/>
    <n v="0"/>
    <m/>
    <m/>
    <m/>
    <m/>
    <m/>
    <m/>
    <n v="0"/>
    <n v="0"/>
  </r>
  <r>
    <x v="9"/>
    <x v="35"/>
    <s v="Need-based"/>
    <m/>
    <m/>
    <x v="12"/>
    <m/>
    <m/>
    <m/>
    <m/>
    <m/>
    <m/>
    <m/>
    <m/>
    <n v="0"/>
    <m/>
    <m/>
    <n v="0"/>
    <n v="0"/>
    <n v="0"/>
    <n v="904704"/>
    <n v="0"/>
    <m/>
    <m/>
    <n v="0"/>
    <m/>
    <m/>
    <n v="0"/>
    <m/>
    <m/>
    <m/>
    <m/>
    <m/>
    <m/>
    <n v="904704"/>
    <n v="0"/>
  </r>
  <r>
    <x v="9"/>
    <x v="36"/>
    <s v="Non need-based"/>
    <m/>
    <m/>
    <x v="12"/>
    <m/>
    <m/>
    <m/>
    <m/>
    <m/>
    <m/>
    <m/>
    <m/>
    <n v="0"/>
    <m/>
    <m/>
    <n v="0"/>
    <n v="0"/>
    <n v="0"/>
    <m/>
    <m/>
    <m/>
    <m/>
    <n v="0"/>
    <m/>
    <m/>
    <n v="0"/>
    <m/>
    <m/>
    <m/>
    <m/>
    <m/>
    <m/>
    <n v="0"/>
    <n v="0"/>
  </r>
  <r>
    <x v="9"/>
    <x v="34"/>
    <s v="Principal Fellows Program"/>
    <m/>
    <m/>
    <x v="12"/>
    <m/>
    <m/>
    <m/>
    <m/>
    <m/>
    <m/>
    <m/>
    <m/>
    <n v="0"/>
    <m/>
    <m/>
    <n v="0"/>
    <n v="0"/>
    <n v="0"/>
    <m/>
    <m/>
    <m/>
    <m/>
    <n v="0"/>
    <m/>
    <m/>
    <n v="0"/>
    <m/>
    <m/>
    <m/>
    <m/>
    <m/>
    <m/>
    <n v="0"/>
    <n v="0"/>
  </r>
  <r>
    <x v="9"/>
    <x v="35"/>
    <s v="Need-based"/>
    <m/>
    <m/>
    <x v="12"/>
    <m/>
    <m/>
    <m/>
    <m/>
    <m/>
    <m/>
    <m/>
    <m/>
    <n v="0"/>
    <m/>
    <m/>
    <n v="0"/>
    <n v="0"/>
    <n v="0"/>
    <m/>
    <m/>
    <m/>
    <m/>
    <n v="0"/>
    <m/>
    <m/>
    <n v="0"/>
    <m/>
    <m/>
    <m/>
    <m/>
    <m/>
    <m/>
    <n v="0"/>
    <n v="0"/>
  </r>
  <r>
    <x v="9"/>
    <x v="36"/>
    <s v="Non need-based"/>
    <m/>
    <m/>
    <x v="12"/>
    <m/>
    <m/>
    <m/>
    <m/>
    <m/>
    <m/>
    <m/>
    <m/>
    <n v="0"/>
    <m/>
    <m/>
    <n v="0"/>
    <n v="0"/>
    <n v="0"/>
    <n v="3620000"/>
    <n v="3258000"/>
    <m/>
    <m/>
    <n v="0"/>
    <m/>
    <m/>
    <n v="0"/>
    <m/>
    <m/>
    <m/>
    <m/>
    <m/>
    <m/>
    <n v="3620000"/>
    <n v="3258000"/>
  </r>
  <r>
    <x v="9"/>
    <x v="37"/>
    <s v="Limited to private college students"/>
    <m/>
    <m/>
    <x v="12"/>
    <m/>
    <m/>
    <m/>
    <m/>
    <m/>
    <m/>
    <m/>
    <m/>
    <n v="0"/>
    <m/>
    <m/>
    <n v="0"/>
    <n v="0"/>
    <n v="0"/>
    <m/>
    <m/>
    <m/>
    <m/>
    <n v="0"/>
    <m/>
    <m/>
    <n v="0"/>
    <m/>
    <m/>
    <m/>
    <m/>
    <m/>
    <m/>
    <n v="0"/>
    <n v="0"/>
  </r>
  <r>
    <x v="9"/>
    <x v="37"/>
    <s v="State Contractual Scholarship Fund"/>
    <m/>
    <m/>
    <x v="12"/>
    <m/>
    <m/>
    <m/>
    <m/>
    <m/>
    <m/>
    <m/>
    <m/>
    <n v="0"/>
    <m/>
    <m/>
    <n v="0"/>
    <n v="0"/>
    <n v="0"/>
    <m/>
    <m/>
    <m/>
    <m/>
    <n v="0"/>
    <m/>
    <m/>
    <n v="0"/>
    <m/>
    <m/>
    <m/>
    <m/>
    <m/>
    <m/>
    <n v="0"/>
    <n v="0"/>
  </r>
  <r>
    <x v="9"/>
    <x v="38"/>
    <s v="Need-based"/>
    <m/>
    <m/>
    <x v="12"/>
    <m/>
    <m/>
    <m/>
    <m/>
    <m/>
    <m/>
    <m/>
    <m/>
    <n v="0"/>
    <m/>
    <m/>
    <n v="0"/>
    <n v="0"/>
    <n v="0"/>
    <n v="40162642"/>
    <m/>
    <m/>
    <m/>
    <n v="0"/>
    <m/>
    <m/>
    <n v="0"/>
    <m/>
    <m/>
    <m/>
    <m/>
    <m/>
    <m/>
    <n v="40162642"/>
    <n v="0"/>
  </r>
  <r>
    <x v="9"/>
    <x v="39"/>
    <s v="Non need-based"/>
    <m/>
    <m/>
    <x v="12"/>
    <m/>
    <m/>
    <m/>
    <m/>
    <m/>
    <m/>
    <m/>
    <m/>
    <n v="0"/>
    <m/>
    <m/>
    <n v="0"/>
    <n v="0"/>
    <n v="0"/>
    <m/>
    <m/>
    <m/>
    <m/>
    <n v="0"/>
    <m/>
    <m/>
    <n v="0"/>
    <m/>
    <m/>
    <m/>
    <m/>
    <m/>
    <m/>
    <n v="0"/>
    <n v="0"/>
  </r>
  <r>
    <x v="9"/>
    <x v="37"/>
    <s v="Private College Need Based Aid"/>
    <m/>
    <m/>
    <x v="12"/>
    <m/>
    <m/>
    <m/>
    <m/>
    <m/>
    <m/>
    <m/>
    <m/>
    <n v="0"/>
    <m/>
    <m/>
    <n v="0"/>
    <n v="0"/>
    <n v="0"/>
    <m/>
    <m/>
    <m/>
    <m/>
    <n v="0"/>
    <m/>
    <m/>
    <n v="0"/>
    <m/>
    <m/>
    <m/>
    <m/>
    <m/>
    <m/>
    <n v="0"/>
    <n v="0"/>
  </r>
  <r>
    <x v="9"/>
    <x v="38"/>
    <s v="Need-based"/>
    <m/>
    <m/>
    <x v="12"/>
    <m/>
    <m/>
    <m/>
    <m/>
    <m/>
    <m/>
    <m/>
    <m/>
    <n v="0"/>
    <m/>
    <m/>
    <n v="0"/>
    <n v="0"/>
    <n v="0"/>
    <m/>
    <n v="86351588"/>
    <m/>
    <m/>
    <n v="0"/>
    <m/>
    <m/>
    <n v="0"/>
    <m/>
    <m/>
    <m/>
    <m/>
    <m/>
    <m/>
    <n v="0"/>
    <n v="86351588"/>
  </r>
  <r>
    <x v="9"/>
    <x v="39"/>
    <s v="Non need-based"/>
    <m/>
    <m/>
    <x v="12"/>
    <m/>
    <m/>
    <m/>
    <m/>
    <m/>
    <m/>
    <m/>
    <m/>
    <n v="0"/>
    <m/>
    <m/>
    <n v="0"/>
    <n v="0"/>
    <n v="0"/>
    <m/>
    <m/>
    <m/>
    <m/>
    <n v="0"/>
    <m/>
    <m/>
    <n v="0"/>
    <m/>
    <m/>
    <m/>
    <m/>
    <m/>
    <m/>
    <n v="0"/>
    <n v="0"/>
  </r>
  <r>
    <x v="9"/>
    <x v="37"/>
    <s v="Legislative Tuition Grant"/>
    <m/>
    <m/>
    <x v="12"/>
    <m/>
    <m/>
    <m/>
    <m/>
    <m/>
    <m/>
    <m/>
    <m/>
    <n v="0"/>
    <m/>
    <m/>
    <n v="0"/>
    <n v="0"/>
    <n v="0"/>
    <m/>
    <m/>
    <m/>
    <m/>
    <n v="0"/>
    <m/>
    <m/>
    <n v="0"/>
    <m/>
    <m/>
    <m/>
    <m/>
    <m/>
    <m/>
    <n v="0"/>
    <n v="0"/>
  </r>
  <r>
    <x v="9"/>
    <x v="38"/>
    <s v="Need-based"/>
    <m/>
    <m/>
    <x v="12"/>
    <m/>
    <m/>
    <m/>
    <m/>
    <m/>
    <m/>
    <m/>
    <m/>
    <n v="0"/>
    <m/>
    <m/>
    <n v="0"/>
    <n v="0"/>
    <n v="0"/>
    <m/>
    <m/>
    <m/>
    <m/>
    <n v="0"/>
    <m/>
    <m/>
    <n v="0"/>
    <m/>
    <m/>
    <m/>
    <m/>
    <m/>
    <m/>
    <n v="0"/>
    <n v="0"/>
  </r>
  <r>
    <x v="9"/>
    <x v="39"/>
    <s v="Non need-based"/>
    <m/>
    <m/>
    <x v="12"/>
    <m/>
    <m/>
    <m/>
    <m/>
    <m/>
    <m/>
    <m/>
    <m/>
    <n v="0"/>
    <m/>
    <m/>
    <n v="0"/>
    <n v="0"/>
    <n v="0"/>
    <n v="50364170"/>
    <m/>
    <m/>
    <m/>
    <n v="0"/>
    <m/>
    <m/>
    <n v="0"/>
    <m/>
    <m/>
    <m/>
    <m/>
    <m/>
    <m/>
    <n v="50364170"/>
    <n v="0"/>
  </r>
  <r>
    <x v="9"/>
    <x v="0"/>
    <s v="Asheville-Buncombe Technical Community College"/>
    <m/>
    <n v="197887"/>
    <x v="6"/>
    <n v="20746139"/>
    <n v="22260342"/>
    <m/>
    <m/>
    <n v="8561332"/>
    <n v="8552201"/>
    <n v="10151850"/>
    <m/>
    <n v="10151850"/>
    <n v="10145608"/>
    <m/>
    <n v="10145608"/>
    <n v="39459321"/>
    <n v="40958151"/>
    <m/>
    <m/>
    <m/>
    <m/>
    <n v="0"/>
    <m/>
    <m/>
    <n v="0"/>
    <m/>
    <m/>
    <m/>
    <m/>
    <m/>
    <m/>
    <n v="39459321"/>
    <n v="40958151"/>
  </r>
  <r>
    <x v="9"/>
    <x v="0"/>
    <s v="Nursing / allied health supplement"/>
    <m/>
    <n v="197887"/>
    <x v="6"/>
    <m/>
    <m/>
    <m/>
    <m/>
    <m/>
    <m/>
    <m/>
    <m/>
    <n v="0"/>
    <m/>
    <m/>
    <n v="0"/>
    <n v="0"/>
    <n v="0"/>
    <m/>
    <m/>
    <m/>
    <m/>
    <n v="0"/>
    <m/>
    <m/>
    <n v="0"/>
    <m/>
    <m/>
    <m/>
    <m/>
    <m/>
    <m/>
    <n v="0"/>
    <n v="0"/>
  </r>
  <r>
    <x v="9"/>
    <x v="3"/>
    <s v="Community or public service units"/>
    <m/>
    <n v="197887"/>
    <x v="6"/>
    <m/>
    <m/>
    <n v="171980"/>
    <n v="172836"/>
    <m/>
    <m/>
    <m/>
    <m/>
    <n v="0"/>
    <m/>
    <m/>
    <n v="0"/>
    <n v="171980"/>
    <n v="172836"/>
    <m/>
    <m/>
    <m/>
    <m/>
    <n v="0"/>
    <m/>
    <m/>
    <n v="0"/>
    <m/>
    <m/>
    <m/>
    <m/>
    <m/>
    <m/>
    <n v="171980"/>
    <n v="172836"/>
  </r>
  <r>
    <x v="9"/>
    <x v="44"/>
    <s v="Non-credit continuing education"/>
    <m/>
    <n v="197887"/>
    <x v="6"/>
    <m/>
    <m/>
    <n v="2832540"/>
    <n v="2897307"/>
    <m/>
    <m/>
    <n v="624028"/>
    <m/>
    <n v="624028"/>
    <n v="574408"/>
    <m/>
    <n v="574408"/>
    <n v="3456568"/>
    <n v="3471715"/>
    <m/>
    <m/>
    <m/>
    <m/>
    <n v="0"/>
    <m/>
    <m/>
    <n v="0"/>
    <m/>
    <m/>
    <m/>
    <m/>
    <m/>
    <m/>
    <n v="3456568"/>
    <n v="3471715"/>
  </r>
  <r>
    <x v="9"/>
    <x v="0"/>
    <s v="Cape Fear Community College"/>
    <m/>
    <n v="198154"/>
    <x v="6"/>
    <n v="25634559"/>
    <n v="26491345"/>
    <m/>
    <m/>
    <n v="6485067"/>
    <n v="7302917"/>
    <n v="15722984"/>
    <m/>
    <n v="15722984"/>
    <n v="15713317"/>
    <m/>
    <n v="15713317"/>
    <n v="47842610"/>
    <n v="49507579"/>
    <m/>
    <m/>
    <m/>
    <m/>
    <n v="0"/>
    <m/>
    <m/>
    <n v="0"/>
    <m/>
    <m/>
    <m/>
    <m/>
    <m/>
    <m/>
    <n v="47842610"/>
    <n v="49507579"/>
  </r>
  <r>
    <x v="9"/>
    <x v="0"/>
    <s v="Nursing / allied health supplement"/>
    <m/>
    <n v="198154"/>
    <x v="6"/>
    <m/>
    <m/>
    <m/>
    <m/>
    <m/>
    <m/>
    <m/>
    <m/>
    <n v="0"/>
    <m/>
    <m/>
    <n v="0"/>
    <n v="0"/>
    <n v="0"/>
    <m/>
    <m/>
    <m/>
    <m/>
    <n v="0"/>
    <m/>
    <m/>
    <n v="0"/>
    <m/>
    <m/>
    <m/>
    <m/>
    <m/>
    <m/>
    <n v="0"/>
    <n v="0"/>
  </r>
  <r>
    <x v="9"/>
    <x v="3"/>
    <s v="Community or public service units"/>
    <m/>
    <n v="198154"/>
    <x v="6"/>
    <m/>
    <m/>
    <n v="168793"/>
    <n v="170496"/>
    <m/>
    <m/>
    <m/>
    <m/>
    <n v="0"/>
    <m/>
    <m/>
    <n v="0"/>
    <n v="168793"/>
    <n v="170496"/>
    <m/>
    <m/>
    <m/>
    <m/>
    <n v="0"/>
    <m/>
    <m/>
    <n v="0"/>
    <m/>
    <m/>
    <m/>
    <m/>
    <m/>
    <m/>
    <n v="168793"/>
    <n v="170496"/>
  </r>
  <r>
    <x v="9"/>
    <x v="44"/>
    <s v="Non-credit continuing education"/>
    <m/>
    <n v="198154"/>
    <x v="6"/>
    <m/>
    <m/>
    <n v="3494796"/>
    <n v="3646650"/>
    <m/>
    <m/>
    <n v="734915"/>
    <m/>
    <n v="734915"/>
    <n v="676478"/>
    <m/>
    <n v="676478"/>
    <n v="4229711"/>
    <n v="4323128"/>
    <m/>
    <m/>
    <m/>
    <m/>
    <n v="0"/>
    <m/>
    <m/>
    <n v="0"/>
    <m/>
    <m/>
    <m/>
    <m/>
    <m/>
    <m/>
    <n v="4229711"/>
    <n v="4323128"/>
  </r>
  <r>
    <x v="9"/>
    <x v="0"/>
    <s v="Central Piedmont Community College "/>
    <m/>
    <n v="198260"/>
    <x v="6"/>
    <n v="46082612"/>
    <n v="47092266"/>
    <m/>
    <m/>
    <n v="25900000"/>
    <n v="27099486"/>
    <n v="27564434"/>
    <m/>
    <n v="27564434"/>
    <n v="27547487"/>
    <m/>
    <n v="27547487"/>
    <n v="99547046"/>
    <n v="101739239"/>
    <m/>
    <m/>
    <m/>
    <m/>
    <n v="0"/>
    <m/>
    <m/>
    <n v="0"/>
    <m/>
    <m/>
    <m/>
    <m/>
    <m/>
    <m/>
    <n v="99547046"/>
    <n v="101739239"/>
  </r>
  <r>
    <x v="9"/>
    <x v="0"/>
    <s v="Nursing / allied health supplement"/>
    <m/>
    <n v="198260"/>
    <x v="6"/>
    <m/>
    <m/>
    <m/>
    <m/>
    <m/>
    <m/>
    <m/>
    <m/>
    <n v="0"/>
    <m/>
    <m/>
    <n v="0"/>
    <n v="0"/>
    <n v="0"/>
    <m/>
    <m/>
    <m/>
    <m/>
    <n v="0"/>
    <m/>
    <m/>
    <n v="0"/>
    <m/>
    <m/>
    <m/>
    <m/>
    <m/>
    <m/>
    <n v="0"/>
    <n v="0"/>
  </r>
  <r>
    <x v="9"/>
    <x v="3"/>
    <s v="Community or public service units"/>
    <m/>
    <n v="198260"/>
    <x v="6"/>
    <m/>
    <m/>
    <n v="171297"/>
    <n v="172760"/>
    <m/>
    <m/>
    <m/>
    <m/>
    <n v="0"/>
    <m/>
    <m/>
    <n v="0"/>
    <n v="171297"/>
    <n v="172760"/>
    <m/>
    <m/>
    <m/>
    <m/>
    <n v="0"/>
    <m/>
    <m/>
    <n v="0"/>
    <m/>
    <m/>
    <m/>
    <m/>
    <m/>
    <m/>
    <n v="171297"/>
    <n v="172760"/>
  </r>
  <r>
    <x v="9"/>
    <x v="44"/>
    <s v="Non-credit continuing education"/>
    <m/>
    <n v="198260"/>
    <x v="6"/>
    <m/>
    <m/>
    <n v="5727669"/>
    <n v="5682009"/>
    <m/>
    <m/>
    <n v="783098"/>
    <m/>
    <n v="783098"/>
    <n v="720829"/>
    <m/>
    <n v="720829"/>
    <n v="6510767"/>
    <n v="6402838"/>
    <m/>
    <m/>
    <m/>
    <m/>
    <n v="0"/>
    <m/>
    <m/>
    <n v="0"/>
    <m/>
    <m/>
    <m/>
    <m/>
    <m/>
    <m/>
    <n v="6510767"/>
    <n v="6402838"/>
  </r>
  <r>
    <x v="9"/>
    <x v="0"/>
    <s v="Fayetteville Technical Community College"/>
    <m/>
    <n v="198534"/>
    <x v="6"/>
    <n v="29832526"/>
    <n v="33573742"/>
    <m/>
    <m/>
    <n v="10245762"/>
    <n v="10350038"/>
    <n v="15910419"/>
    <m/>
    <n v="15910419"/>
    <n v="15900637"/>
    <m/>
    <n v="15900637"/>
    <n v="55988707"/>
    <n v="59824417"/>
    <m/>
    <m/>
    <m/>
    <m/>
    <n v="0"/>
    <m/>
    <m/>
    <n v="0"/>
    <m/>
    <m/>
    <m/>
    <m/>
    <m/>
    <m/>
    <n v="55988707"/>
    <n v="59824417"/>
  </r>
  <r>
    <x v="9"/>
    <x v="0"/>
    <s v="Nursing / allied health supplement"/>
    <m/>
    <n v="198534"/>
    <x v="6"/>
    <m/>
    <m/>
    <m/>
    <m/>
    <m/>
    <m/>
    <m/>
    <m/>
    <n v="0"/>
    <m/>
    <m/>
    <n v="0"/>
    <n v="0"/>
    <n v="0"/>
    <m/>
    <m/>
    <m/>
    <m/>
    <n v="0"/>
    <m/>
    <m/>
    <n v="0"/>
    <m/>
    <m/>
    <m/>
    <m/>
    <m/>
    <m/>
    <n v="0"/>
    <n v="0"/>
  </r>
  <r>
    <x v="9"/>
    <x v="3"/>
    <s v="Community or public service units"/>
    <m/>
    <n v="198534"/>
    <x v="6"/>
    <m/>
    <m/>
    <n v="167579"/>
    <n v="168987"/>
    <m/>
    <m/>
    <m/>
    <m/>
    <n v="0"/>
    <m/>
    <m/>
    <n v="0"/>
    <n v="167579"/>
    <n v="168987"/>
    <m/>
    <m/>
    <m/>
    <m/>
    <n v="0"/>
    <m/>
    <m/>
    <n v="0"/>
    <m/>
    <m/>
    <m/>
    <m/>
    <m/>
    <m/>
    <n v="167579"/>
    <n v="168987"/>
  </r>
  <r>
    <x v="9"/>
    <x v="44"/>
    <s v="Non-credit continuing education"/>
    <m/>
    <n v="198534"/>
    <x v="6"/>
    <m/>
    <m/>
    <n v="8558501"/>
    <n v="8158901"/>
    <m/>
    <m/>
    <n v="1576527"/>
    <m/>
    <n v="1576527"/>
    <n v="1451168"/>
    <m/>
    <n v="1451168"/>
    <n v="10135028"/>
    <n v="9610069"/>
    <m/>
    <m/>
    <m/>
    <m/>
    <n v="0"/>
    <m/>
    <m/>
    <n v="0"/>
    <m/>
    <m/>
    <m/>
    <m/>
    <m/>
    <m/>
    <n v="10135028"/>
    <n v="9610069"/>
  </r>
  <r>
    <x v="9"/>
    <x v="0"/>
    <s v="Forsyth Technical Community College"/>
    <m/>
    <n v="198552"/>
    <x v="6"/>
    <n v="24934648"/>
    <n v="26821671"/>
    <m/>
    <m/>
    <n v="7238283"/>
    <n v="8123096"/>
    <n v="14468021"/>
    <m/>
    <n v="14468021"/>
    <n v="14459125"/>
    <m/>
    <n v="14459125"/>
    <n v="46640952"/>
    <n v="49403892"/>
    <m/>
    <m/>
    <m/>
    <m/>
    <n v="0"/>
    <m/>
    <m/>
    <n v="0"/>
    <m/>
    <m/>
    <m/>
    <m/>
    <m/>
    <m/>
    <n v="46640952"/>
    <n v="49403892"/>
  </r>
  <r>
    <x v="9"/>
    <x v="0"/>
    <s v="Nursing / allied health supplement"/>
    <m/>
    <n v="198552"/>
    <x v="6"/>
    <m/>
    <m/>
    <m/>
    <m/>
    <m/>
    <m/>
    <m/>
    <m/>
    <n v="0"/>
    <m/>
    <m/>
    <n v="0"/>
    <n v="0"/>
    <n v="0"/>
    <m/>
    <m/>
    <m/>
    <m/>
    <n v="0"/>
    <m/>
    <m/>
    <n v="0"/>
    <m/>
    <m/>
    <m/>
    <m/>
    <m/>
    <m/>
    <n v="0"/>
    <n v="0"/>
  </r>
  <r>
    <x v="9"/>
    <x v="3"/>
    <s v="Community or public service units"/>
    <m/>
    <n v="198552"/>
    <x v="6"/>
    <m/>
    <m/>
    <n v="171524"/>
    <n v="171779"/>
    <m/>
    <m/>
    <m/>
    <m/>
    <n v="0"/>
    <m/>
    <m/>
    <n v="0"/>
    <n v="171524"/>
    <n v="171779"/>
    <m/>
    <m/>
    <m/>
    <m/>
    <n v="0"/>
    <m/>
    <m/>
    <n v="0"/>
    <m/>
    <m/>
    <m/>
    <m/>
    <m/>
    <m/>
    <n v="171524"/>
    <n v="171779"/>
  </r>
  <r>
    <x v="9"/>
    <x v="44"/>
    <s v="Non-credit continuing education"/>
    <m/>
    <n v="198552"/>
    <x v="6"/>
    <m/>
    <m/>
    <n v="4063547"/>
    <n v="4218171"/>
    <m/>
    <m/>
    <n v="1245365"/>
    <m/>
    <n v="1245365"/>
    <n v="1146339"/>
    <m/>
    <n v="1146339"/>
    <n v="5308912"/>
    <n v="5364510"/>
    <m/>
    <m/>
    <m/>
    <m/>
    <n v="0"/>
    <m/>
    <m/>
    <n v="0"/>
    <m/>
    <m/>
    <m/>
    <m/>
    <m/>
    <m/>
    <n v="5308912"/>
    <n v="5364510"/>
  </r>
  <r>
    <x v="9"/>
    <x v="0"/>
    <s v="Gaston College "/>
    <s v="Met the criteria for Two-Year 2 in 2011-12 and 2012-13."/>
    <n v="198570"/>
    <x v="6"/>
    <n v="19389314"/>
    <n v="19363842"/>
    <m/>
    <m/>
    <n v="4368723"/>
    <n v="4565723"/>
    <n v="9703886"/>
    <m/>
    <n v="9703886"/>
    <n v="9697920"/>
    <m/>
    <n v="9697920"/>
    <n v="33461923"/>
    <n v="33627485"/>
    <m/>
    <m/>
    <m/>
    <m/>
    <n v="0"/>
    <m/>
    <m/>
    <n v="0"/>
    <m/>
    <m/>
    <m/>
    <m/>
    <m/>
    <m/>
    <n v="33461923"/>
    <n v="33627485"/>
  </r>
  <r>
    <x v="9"/>
    <x v="0"/>
    <s v="Nursing / allied health supplement"/>
    <m/>
    <n v="198570"/>
    <x v="6"/>
    <m/>
    <m/>
    <m/>
    <m/>
    <m/>
    <m/>
    <m/>
    <m/>
    <n v="0"/>
    <m/>
    <m/>
    <n v="0"/>
    <n v="0"/>
    <n v="0"/>
    <m/>
    <m/>
    <m/>
    <m/>
    <n v="0"/>
    <m/>
    <m/>
    <n v="0"/>
    <m/>
    <m/>
    <m/>
    <m/>
    <m/>
    <m/>
    <n v="0"/>
    <n v="0"/>
  </r>
  <r>
    <x v="9"/>
    <x v="3"/>
    <s v="Community or public service units"/>
    <m/>
    <n v="198570"/>
    <x v="6"/>
    <m/>
    <m/>
    <n v="166441"/>
    <n v="167477"/>
    <m/>
    <m/>
    <m/>
    <m/>
    <n v="0"/>
    <m/>
    <m/>
    <n v="0"/>
    <n v="166441"/>
    <n v="167477"/>
    <m/>
    <m/>
    <m/>
    <m/>
    <n v="0"/>
    <m/>
    <m/>
    <n v="0"/>
    <m/>
    <m/>
    <m/>
    <m/>
    <m/>
    <m/>
    <n v="166441"/>
    <n v="167477"/>
  </r>
  <r>
    <x v="9"/>
    <x v="44"/>
    <s v="Non-credit continuing education"/>
    <m/>
    <n v="198570"/>
    <x v="6"/>
    <m/>
    <m/>
    <n v="2151577"/>
    <n v="2229549"/>
    <m/>
    <m/>
    <n v="297638"/>
    <m/>
    <n v="297638"/>
    <n v="273971"/>
    <m/>
    <n v="273971"/>
    <n v="2449215"/>
    <n v="2503520"/>
    <m/>
    <m/>
    <m/>
    <m/>
    <n v="0"/>
    <m/>
    <m/>
    <n v="0"/>
    <m/>
    <m/>
    <m/>
    <m/>
    <m/>
    <m/>
    <n v="2449215"/>
    <n v="2503520"/>
  </r>
  <r>
    <x v="9"/>
    <x v="0"/>
    <s v="Guilford Technical Community College"/>
    <m/>
    <n v="198622"/>
    <x v="6"/>
    <n v="36723732"/>
    <n v="36490732"/>
    <m/>
    <m/>
    <n v="11659390"/>
    <n v="11659390"/>
    <n v="24416446"/>
    <m/>
    <n v="24416446"/>
    <n v="24401434"/>
    <m/>
    <n v="24401434"/>
    <n v="72799568"/>
    <n v="72551556"/>
    <m/>
    <m/>
    <m/>
    <m/>
    <n v="0"/>
    <m/>
    <m/>
    <n v="0"/>
    <m/>
    <m/>
    <m/>
    <m/>
    <m/>
    <m/>
    <n v="72799568"/>
    <n v="72551556"/>
  </r>
  <r>
    <x v="9"/>
    <x v="0"/>
    <s v="Nursing / allied health supplement"/>
    <m/>
    <n v="198622"/>
    <x v="6"/>
    <m/>
    <m/>
    <m/>
    <m/>
    <m/>
    <m/>
    <m/>
    <m/>
    <n v="0"/>
    <m/>
    <m/>
    <n v="0"/>
    <n v="0"/>
    <n v="0"/>
    <m/>
    <m/>
    <m/>
    <m/>
    <n v="0"/>
    <m/>
    <m/>
    <n v="0"/>
    <m/>
    <m/>
    <m/>
    <m/>
    <m/>
    <m/>
    <n v="0"/>
    <n v="0"/>
  </r>
  <r>
    <x v="9"/>
    <x v="3"/>
    <s v="Community or public service units"/>
    <m/>
    <n v="198622"/>
    <x v="6"/>
    <m/>
    <m/>
    <n v="171221"/>
    <n v="172458"/>
    <m/>
    <m/>
    <m/>
    <m/>
    <n v="0"/>
    <m/>
    <m/>
    <n v="0"/>
    <n v="171221"/>
    <n v="172458"/>
    <m/>
    <m/>
    <m/>
    <m/>
    <n v="0"/>
    <m/>
    <m/>
    <n v="0"/>
    <m/>
    <m/>
    <m/>
    <m/>
    <m/>
    <m/>
    <n v="171221"/>
    <n v="172458"/>
  </r>
  <r>
    <x v="9"/>
    <x v="44"/>
    <s v="Non-credit continuing education"/>
    <m/>
    <n v="198622"/>
    <x v="6"/>
    <m/>
    <m/>
    <n v="5355350"/>
    <n v="5070596"/>
    <m/>
    <m/>
    <n v="689123"/>
    <m/>
    <n v="689123"/>
    <n v="634327"/>
    <m/>
    <n v="634327"/>
    <n v="6044473"/>
    <n v="5704923"/>
    <m/>
    <m/>
    <m/>
    <m/>
    <n v="0"/>
    <m/>
    <m/>
    <n v="0"/>
    <m/>
    <m/>
    <m/>
    <m/>
    <m/>
    <m/>
    <n v="6044473"/>
    <n v="5704923"/>
  </r>
  <r>
    <x v="9"/>
    <x v="0"/>
    <s v="Pitt Community College"/>
    <m/>
    <n v="199333"/>
    <x v="6"/>
    <n v="21204484"/>
    <n v="21661847"/>
    <m/>
    <m/>
    <n v="4348981"/>
    <n v="4650872"/>
    <n v="13638376"/>
    <m/>
    <n v="13638376"/>
    <n v="13629991"/>
    <m/>
    <n v="13629991"/>
    <n v="39191841"/>
    <n v="39942710"/>
    <m/>
    <m/>
    <m/>
    <m/>
    <n v="0"/>
    <m/>
    <m/>
    <n v="0"/>
    <m/>
    <m/>
    <m/>
    <m/>
    <m/>
    <m/>
    <n v="39191841"/>
    <n v="39942710"/>
  </r>
  <r>
    <x v="9"/>
    <x v="0"/>
    <s v="Nursing / allied health supplement"/>
    <m/>
    <n v="199333"/>
    <x v="6"/>
    <m/>
    <m/>
    <m/>
    <m/>
    <m/>
    <m/>
    <m/>
    <m/>
    <n v="0"/>
    <m/>
    <m/>
    <n v="0"/>
    <n v="0"/>
    <n v="0"/>
    <m/>
    <m/>
    <m/>
    <m/>
    <n v="0"/>
    <m/>
    <m/>
    <n v="0"/>
    <m/>
    <m/>
    <m/>
    <m/>
    <m/>
    <m/>
    <n v="0"/>
    <n v="0"/>
  </r>
  <r>
    <x v="9"/>
    <x v="3"/>
    <s v="Community or public service units"/>
    <m/>
    <n v="199333"/>
    <x v="6"/>
    <m/>
    <m/>
    <n v="155151"/>
    <n v="157553"/>
    <m/>
    <m/>
    <m/>
    <m/>
    <n v="0"/>
    <m/>
    <m/>
    <n v="0"/>
    <n v="155151"/>
    <n v="157553"/>
    <m/>
    <m/>
    <m/>
    <m/>
    <n v="0"/>
    <m/>
    <m/>
    <n v="0"/>
    <m/>
    <m/>
    <m/>
    <m/>
    <m/>
    <m/>
    <n v="155151"/>
    <n v="157553"/>
  </r>
  <r>
    <x v="9"/>
    <x v="44"/>
    <s v="Non-credit continuing education"/>
    <m/>
    <n v="199333"/>
    <x v="6"/>
    <m/>
    <m/>
    <n v="2697867"/>
    <n v="2696604"/>
    <m/>
    <m/>
    <n v="387002"/>
    <m/>
    <n v="387002"/>
    <n v="356229"/>
    <m/>
    <n v="356229"/>
    <n v="3084869"/>
    <n v="3052833"/>
    <m/>
    <m/>
    <m/>
    <m/>
    <n v="0"/>
    <m/>
    <m/>
    <n v="0"/>
    <m/>
    <m/>
    <m/>
    <m/>
    <m/>
    <m/>
    <n v="3084869"/>
    <n v="3052833"/>
  </r>
  <r>
    <x v="9"/>
    <x v="0"/>
    <s v="Rowan-Cabarrus Community College"/>
    <m/>
    <n v="199494"/>
    <x v="6"/>
    <n v="24176097"/>
    <n v="24495671"/>
    <m/>
    <m/>
    <n v="3806332"/>
    <n v="3884344"/>
    <n v="10126489"/>
    <m/>
    <n v="10126489"/>
    <n v="10120263"/>
    <m/>
    <n v="10120263"/>
    <n v="38108918"/>
    <n v="38500278"/>
    <m/>
    <m/>
    <m/>
    <m/>
    <n v="0"/>
    <m/>
    <m/>
    <n v="0"/>
    <m/>
    <m/>
    <m/>
    <m/>
    <m/>
    <m/>
    <n v="38108918"/>
    <n v="38500278"/>
  </r>
  <r>
    <x v="9"/>
    <x v="0"/>
    <s v="Nursing / allied health supplement"/>
    <m/>
    <n v="199494"/>
    <x v="6"/>
    <m/>
    <m/>
    <m/>
    <m/>
    <m/>
    <m/>
    <m/>
    <m/>
    <n v="0"/>
    <m/>
    <m/>
    <n v="0"/>
    <n v="0"/>
    <n v="0"/>
    <m/>
    <m/>
    <m/>
    <m/>
    <n v="0"/>
    <m/>
    <m/>
    <n v="0"/>
    <m/>
    <m/>
    <m/>
    <m/>
    <m/>
    <m/>
    <n v="0"/>
    <n v="0"/>
  </r>
  <r>
    <x v="9"/>
    <x v="3"/>
    <s v="Community or public service units"/>
    <m/>
    <n v="199494"/>
    <x v="6"/>
    <m/>
    <m/>
    <n v="165151"/>
    <n v="167326"/>
    <m/>
    <m/>
    <m/>
    <m/>
    <n v="0"/>
    <m/>
    <m/>
    <n v="0"/>
    <n v="165151"/>
    <n v="167326"/>
    <m/>
    <m/>
    <m/>
    <m/>
    <n v="0"/>
    <m/>
    <m/>
    <n v="0"/>
    <m/>
    <m/>
    <m/>
    <m/>
    <m/>
    <m/>
    <n v="165151"/>
    <n v="167326"/>
  </r>
  <r>
    <x v="9"/>
    <x v="44"/>
    <s v="Non-credit continuing education"/>
    <m/>
    <n v="199494"/>
    <x v="6"/>
    <m/>
    <m/>
    <n v="3456566"/>
    <n v="3501781"/>
    <m/>
    <m/>
    <n v="387798"/>
    <m/>
    <n v="387798"/>
    <n v="356962"/>
    <m/>
    <n v="356962"/>
    <n v="3844364"/>
    <n v="3858743"/>
    <m/>
    <m/>
    <m/>
    <m/>
    <n v="0"/>
    <m/>
    <m/>
    <n v="0"/>
    <m/>
    <m/>
    <m/>
    <m/>
    <m/>
    <m/>
    <n v="3844364"/>
    <n v="3858743"/>
  </r>
  <r>
    <x v="9"/>
    <x v="0"/>
    <s v="Wake Technical Community College"/>
    <m/>
    <n v="199856"/>
    <x v="6"/>
    <n v="43118856"/>
    <n v="47844093"/>
    <m/>
    <m/>
    <n v="15991050"/>
    <n v="16190938"/>
    <n v="25665781"/>
    <m/>
    <n v="25665781"/>
    <n v="25650000"/>
    <m/>
    <n v="25650000"/>
    <n v="84775687"/>
    <n v="89685031"/>
    <m/>
    <m/>
    <m/>
    <m/>
    <n v="0"/>
    <m/>
    <m/>
    <n v="0"/>
    <m/>
    <m/>
    <m/>
    <m/>
    <m/>
    <m/>
    <n v="84775687"/>
    <n v="89685031"/>
  </r>
  <r>
    <x v="9"/>
    <x v="0"/>
    <s v="Nursing / allied health supplement"/>
    <m/>
    <n v="199856"/>
    <x v="6"/>
    <m/>
    <m/>
    <m/>
    <m/>
    <m/>
    <m/>
    <m/>
    <m/>
    <n v="0"/>
    <m/>
    <m/>
    <n v="0"/>
    <n v="0"/>
    <n v="0"/>
    <m/>
    <m/>
    <m/>
    <m/>
    <n v="0"/>
    <m/>
    <m/>
    <n v="0"/>
    <m/>
    <m/>
    <m/>
    <m/>
    <m/>
    <m/>
    <n v="0"/>
    <n v="0"/>
  </r>
  <r>
    <x v="9"/>
    <x v="3"/>
    <s v="Community or public service units"/>
    <m/>
    <n v="199856"/>
    <x v="6"/>
    <m/>
    <m/>
    <n v="172738"/>
    <n v="174723"/>
    <m/>
    <m/>
    <m/>
    <m/>
    <n v="0"/>
    <m/>
    <m/>
    <n v="0"/>
    <n v="172738"/>
    <n v="174723"/>
    <m/>
    <m/>
    <m/>
    <m/>
    <n v="0"/>
    <m/>
    <m/>
    <n v="0"/>
    <m/>
    <m/>
    <m/>
    <m/>
    <m/>
    <m/>
    <n v="172738"/>
    <n v="174723"/>
  </r>
  <r>
    <x v="9"/>
    <x v="44"/>
    <s v="Non-credit continuing education"/>
    <m/>
    <n v="199856"/>
    <x v="6"/>
    <m/>
    <m/>
    <n v="7836786"/>
    <n v="7694269"/>
    <m/>
    <m/>
    <n v="1919255"/>
    <m/>
    <n v="1919255"/>
    <n v="1766644"/>
    <m/>
    <n v="1766644"/>
    <n v="9756041"/>
    <n v="9460913"/>
    <m/>
    <m/>
    <m/>
    <m/>
    <n v="0"/>
    <m/>
    <m/>
    <n v="0"/>
    <m/>
    <m/>
    <m/>
    <m/>
    <m/>
    <m/>
    <n v="9756041"/>
    <n v="9460913"/>
  </r>
  <r>
    <x v="9"/>
    <x v="0"/>
    <s v="Alamance Community College"/>
    <m/>
    <n v="199786"/>
    <x v="7"/>
    <n v="14251949"/>
    <n v="14324150"/>
    <m/>
    <m/>
    <n v="2839718"/>
    <n v="2623347"/>
    <n v="7582460"/>
    <m/>
    <n v="7582460"/>
    <n v="7577798"/>
    <m/>
    <n v="7577798"/>
    <n v="24674127"/>
    <n v="24525295"/>
    <m/>
    <m/>
    <m/>
    <m/>
    <n v="0"/>
    <m/>
    <m/>
    <n v="0"/>
    <m/>
    <m/>
    <m/>
    <m/>
    <m/>
    <m/>
    <n v="24674127"/>
    <n v="24525295"/>
  </r>
  <r>
    <x v="9"/>
    <x v="0"/>
    <s v="Nursing / allied health supplement"/>
    <m/>
    <n v="199786"/>
    <x v="7"/>
    <m/>
    <m/>
    <m/>
    <m/>
    <m/>
    <m/>
    <m/>
    <m/>
    <n v="0"/>
    <m/>
    <m/>
    <n v="0"/>
    <n v="0"/>
    <n v="0"/>
    <m/>
    <m/>
    <m/>
    <m/>
    <n v="0"/>
    <m/>
    <m/>
    <n v="0"/>
    <m/>
    <m/>
    <m/>
    <m/>
    <m/>
    <m/>
    <n v="0"/>
    <n v="0"/>
  </r>
  <r>
    <x v="9"/>
    <x v="3"/>
    <s v="Community or public service units"/>
    <m/>
    <n v="199786"/>
    <x v="7"/>
    <m/>
    <m/>
    <n v="161812"/>
    <n v="163024"/>
    <m/>
    <m/>
    <m/>
    <m/>
    <n v="0"/>
    <m/>
    <m/>
    <n v="0"/>
    <n v="161812"/>
    <n v="163024"/>
    <m/>
    <m/>
    <m/>
    <m/>
    <n v="0"/>
    <m/>
    <m/>
    <n v="0"/>
    <m/>
    <m/>
    <m/>
    <m/>
    <m/>
    <m/>
    <n v="161812"/>
    <n v="163024"/>
  </r>
  <r>
    <x v="9"/>
    <x v="44"/>
    <s v="Non-credit continuing education"/>
    <m/>
    <n v="199786"/>
    <x v="7"/>
    <m/>
    <m/>
    <n v="2011068"/>
    <n v="2123762"/>
    <m/>
    <m/>
    <n v="356587"/>
    <m/>
    <n v="356587"/>
    <n v="328233"/>
    <m/>
    <n v="328233"/>
    <n v="2367655"/>
    <n v="2451995"/>
    <m/>
    <m/>
    <m/>
    <m/>
    <n v="0"/>
    <m/>
    <m/>
    <n v="0"/>
    <m/>
    <m/>
    <m/>
    <m/>
    <m/>
    <m/>
    <n v="2367655"/>
    <n v="2451995"/>
  </r>
  <r>
    <x v="9"/>
    <x v="0"/>
    <s v="Caldwell Community College &amp; Technical Institute"/>
    <m/>
    <n v="198118"/>
    <x v="7"/>
    <n v="13915750"/>
    <n v="14593942"/>
    <m/>
    <m/>
    <n v="5573515"/>
    <n v="3988805"/>
    <n v="6648451"/>
    <m/>
    <n v="6648451"/>
    <n v="6644363"/>
    <m/>
    <n v="6644363"/>
    <n v="26137716"/>
    <n v="25227110"/>
    <m/>
    <m/>
    <m/>
    <m/>
    <n v="0"/>
    <m/>
    <m/>
    <n v="0"/>
    <m/>
    <m/>
    <m/>
    <m/>
    <m/>
    <m/>
    <n v="26137716"/>
    <n v="25227110"/>
  </r>
  <r>
    <x v="9"/>
    <x v="0"/>
    <s v="Nursing / allied health supplement"/>
    <m/>
    <n v="198118"/>
    <x v="7"/>
    <m/>
    <m/>
    <m/>
    <m/>
    <m/>
    <m/>
    <m/>
    <m/>
    <n v="0"/>
    <m/>
    <m/>
    <n v="0"/>
    <n v="0"/>
    <n v="0"/>
    <m/>
    <m/>
    <m/>
    <m/>
    <n v="0"/>
    <m/>
    <m/>
    <n v="0"/>
    <m/>
    <m/>
    <m/>
    <m/>
    <m/>
    <m/>
    <n v="0"/>
    <n v="0"/>
  </r>
  <r>
    <x v="9"/>
    <x v="3"/>
    <s v="Community or public service units"/>
    <m/>
    <n v="198118"/>
    <x v="7"/>
    <m/>
    <m/>
    <n v="150523"/>
    <n v="151364"/>
    <m/>
    <m/>
    <m/>
    <m/>
    <n v="0"/>
    <m/>
    <m/>
    <n v="0"/>
    <n v="150523"/>
    <n v="151364"/>
    <m/>
    <m/>
    <m/>
    <m/>
    <n v="0"/>
    <m/>
    <m/>
    <n v="0"/>
    <m/>
    <m/>
    <m/>
    <m/>
    <m/>
    <m/>
    <n v="150523"/>
    <n v="151364"/>
  </r>
  <r>
    <x v="9"/>
    <x v="44"/>
    <s v="Non-credit continuing education"/>
    <m/>
    <n v="198118"/>
    <x v="7"/>
    <m/>
    <m/>
    <n v="2603813"/>
    <n v="2566685"/>
    <m/>
    <m/>
    <n v="414850"/>
    <m/>
    <n v="414850"/>
    <n v="381863"/>
    <m/>
    <n v="381863"/>
    <n v="3018663"/>
    <n v="2948548"/>
    <m/>
    <m/>
    <m/>
    <m/>
    <n v="0"/>
    <m/>
    <m/>
    <n v="0"/>
    <m/>
    <m/>
    <m/>
    <m/>
    <m/>
    <m/>
    <n v="3018663"/>
    <n v="2948548"/>
  </r>
  <r>
    <x v="9"/>
    <x v="0"/>
    <s v="Catawba Valley Community College"/>
    <m/>
    <n v="198233"/>
    <x v="7"/>
    <n v="16534753"/>
    <n v="16507047"/>
    <m/>
    <m/>
    <n v="3652068"/>
    <n v="3762188"/>
    <n v="6902994"/>
    <m/>
    <n v="6902994"/>
    <n v="6898749"/>
    <m/>
    <n v="6898749"/>
    <n v="27089815"/>
    <n v="27167984"/>
    <m/>
    <m/>
    <m/>
    <m/>
    <n v="0"/>
    <m/>
    <m/>
    <n v="0"/>
    <m/>
    <m/>
    <m/>
    <m/>
    <m/>
    <m/>
    <n v="27089815"/>
    <n v="27167984"/>
  </r>
  <r>
    <x v="9"/>
    <x v="0"/>
    <s v="Nursing / allied health supplement"/>
    <m/>
    <n v="198233"/>
    <x v="7"/>
    <m/>
    <m/>
    <m/>
    <m/>
    <m/>
    <m/>
    <m/>
    <m/>
    <n v="0"/>
    <m/>
    <m/>
    <n v="0"/>
    <n v="0"/>
    <n v="0"/>
    <m/>
    <m/>
    <m/>
    <m/>
    <n v="0"/>
    <m/>
    <m/>
    <n v="0"/>
    <m/>
    <m/>
    <m/>
    <m/>
    <m/>
    <m/>
    <n v="0"/>
    <n v="0"/>
  </r>
  <r>
    <x v="9"/>
    <x v="3"/>
    <s v="Community or public service units"/>
    <m/>
    <n v="198233"/>
    <x v="7"/>
    <m/>
    <m/>
    <n v="165682"/>
    <n v="165741"/>
    <m/>
    <m/>
    <m/>
    <m/>
    <n v="0"/>
    <m/>
    <m/>
    <n v="0"/>
    <n v="165682"/>
    <n v="165741"/>
    <m/>
    <m/>
    <m/>
    <m/>
    <n v="0"/>
    <m/>
    <m/>
    <n v="0"/>
    <m/>
    <m/>
    <m/>
    <m/>
    <m/>
    <m/>
    <n v="165682"/>
    <n v="165741"/>
  </r>
  <r>
    <x v="9"/>
    <x v="44"/>
    <s v="Non-credit continuing education"/>
    <m/>
    <n v="198233"/>
    <x v="7"/>
    <m/>
    <m/>
    <n v="2567746"/>
    <n v="2487812"/>
    <m/>
    <m/>
    <n v="310498"/>
    <m/>
    <n v="310498"/>
    <n v="285808"/>
    <m/>
    <n v="285808"/>
    <n v="2878244"/>
    <n v="2773620"/>
    <m/>
    <m/>
    <m/>
    <m/>
    <n v="0"/>
    <m/>
    <m/>
    <n v="0"/>
    <m/>
    <m/>
    <m/>
    <m/>
    <m/>
    <m/>
    <n v="2878244"/>
    <n v="2773620"/>
  </r>
  <r>
    <x v="9"/>
    <x v="0"/>
    <s v="Central Carolina Commuity College"/>
    <m/>
    <n v="198251"/>
    <x v="7"/>
    <n v="17471701"/>
    <n v="17255068"/>
    <m/>
    <m/>
    <n v="3606186"/>
    <n v="3785690"/>
    <n v="6519509"/>
    <m/>
    <n v="6519509"/>
    <n v="6515501"/>
    <m/>
    <n v="6515501"/>
    <n v="27597396"/>
    <n v="27556259"/>
    <m/>
    <m/>
    <m/>
    <m/>
    <n v="0"/>
    <m/>
    <m/>
    <n v="0"/>
    <m/>
    <m/>
    <m/>
    <m/>
    <m/>
    <m/>
    <n v="27597396"/>
    <n v="27556259"/>
  </r>
  <r>
    <x v="9"/>
    <x v="0"/>
    <s v="Nursing / allied health supplement"/>
    <m/>
    <n v="198251"/>
    <x v="7"/>
    <m/>
    <m/>
    <m/>
    <m/>
    <m/>
    <m/>
    <m/>
    <m/>
    <n v="0"/>
    <m/>
    <m/>
    <n v="0"/>
    <n v="0"/>
    <n v="0"/>
    <m/>
    <m/>
    <m/>
    <m/>
    <n v="0"/>
    <m/>
    <m/>
    <n v="0"/>
    <m/>
    <m/>
    <m/>
    <m/>
    <m/>
    <m/>
    <n v="0"/>
    <n v="0"/>
  </r>
  <r>
    <x v="9"/>
    <x v="3"/>
    <s v="Community or public service units"/>
    <m/>
    <n v="198251"/>
    <x v="7"/>
    <m/>
    <m/>
    <n v="169779"/>
    <n v="172987"/>
    <m/>
    <m/>
    <m/>
    <m/>
    <n v="0"/>
    <m/>
    <m/>
    <n v="0"/>
    <n v="169779"/>
    <n v="172987"/>
    <m/>
    <m/>
    <m/>
    <m/>
    <n v="0"/>
    <m/>
    <m/>
    <n v="0"/>
    <m/>
    <m/>
    <m/>
    <m/>
    <m/>
    <m/>
    <n v="169779"/>
    <n v="172987"/>
  </r>
  <r>
    <x v="9"/>
    <x v="44"/>
    <s v="Non-credit continuing education"/>
    <m/>
    <n v="198251"/>
    <x v="7"/>
    <m/>
    <m/>
    <n v="4776341"/>
    <n v="4809120"/>
    <m/>
    <m/>
    <n v="586646"/>
    <m/>
    <n v="586646"/>
    <n v="539999"/>
    <m/>
    <n v="539999"/>
    <n v="5362987"/>
    <n v="5349119"/>
    <m/>
    <m/>
    <m/>
    <m/>
    <n v="0"/>
    <m/>
    <m/>
    <n v="0"/>
    <m/>
    <m/>
    <m/>
    <m/>
    <m/>
    <m/>
    <n v="5362987"/>
    <n v="5349119"/>
  </r>
  <r>
    <x v="9"/>
    <x v="0"/>
    <s v="Cleveland Community College"/>
    <m/>
    <n v="198321"/>
    <x v="7"/>
    <n v="12461189"/>
    <n v="12577313"/>
    <m/>
    <m/>
    <n v="1415129"/>
    <n v="1415129"/>
    <n v="4300307"/>
    <m/>
    <n v="4300307"/>
    <n v="4297663"/>
    <m/>
    <n v="4297663"/>
    <n v="18176625"/>
    <n v="18290105"/>
    <m/>
    <m/>
    <m/>
    <m/>
    <n v="0"/>
    <m/>
    <m/>
    <n v="0"/>
    <m/>
    <m/>
    <m/>
    <m/>
    <m/>
    <m/>
    <n v="18176625"/>
    <n v="18290105"/>
  </r>
  <r>
    <x v="9"/>
    <x v="0"/>
    <s v="Nursing / allied health supplement"/>
    <m/>
    <n v="198321"/>
    <x v="7"/>
    <m/>
    <m/>
    <m/>
    <m/>
    <m/>
    <m/>
    <m/>
    <m/>
    <n v="0"/>
    <m/>
    <m/>
    <n v="0"/>
    <n v="0"/>
    <n v="0"/>
    <m/>
    <m/>
    <m/>
    <m/>
    <n v="0"/>
    <m/>
    <m/>
    <n v="0"/>
    <m/>
    <m/>
    <m/>
    <m/>
    <m/>
    <m/>
    <n v="0"/>
    <n v="0"/>
  </r>
  <r>
    <x v="9"/>
    <x v="3"/>
    <s v="Community or public service units"/>
    <m/>
    <n v="198321"/>
    <x v="7"/>
    <m/>
    <m/>
    <n v="146122"/>
    <n v="146760"/>
    <m/>
    <m/>
    <m/>
    <m/>
    <n v="0"/>
    <m/>
    <m/>
    <n v="0"/>
    <n v="146122"/>
    <n v="146760"/>
    <m/>
    <m/>
    <m/>
    <m/>
    <n v="0"/>
    <m/>
    <m/>
    <n v="0"/>
    <m/>
    <m/>
    <m/>
    <m/>
    <m/>
    <m/>
    <n v="146122"/>
    <n v="146760"/>
  </r>
  <r>
    <x v="9"/>
    <x v="44"/>
    <s v="Non-credit continuing education"/>
    <m/>
    <n v="198321"/>
    <x v="7"/>
    <m/>
    <m/>
    <n v="1495630"/>
    <n v="1532327"/>
    <m/>
    <m/>
    <n v="171431"/>
    <m/>
    <n v="171431"/>
    <n v="157799"/>
    <m/>
    <n v="157799"/>
    <n v="1667061"/>
    <n v="1690126"/>
    <m/>
    <m/>
    <m/>
    <m/>
    <n v="0"/>
    <m/>
    <m/>
    <n v="0"/>
    <m/>
    <m/>
    <m/>
    <m/>
    <m/>
    <m/>
    <n v="1667061"/>
    <n v="1690126"/>
  </r>
  <r>
    <x v="9"/>
    <x v="0"/>
    <s v="Coastal Carolina Community College "/>
    <m/>
    <n v="198330"/>
    <x v="7"/>
    <n v="12829060"/>
    <n v="12968949"/>
    <m/>
    <m/>
    <n v="3423840"/>
    <n v="3617540"/>
    <n v="8600559"/>
    <m/>
    <n v="8600559"/>
    <n v="8595271"/>
    <m/>
    <n v="8595271"/>
    <n v="24853459"/>
    <n v="25181760"/>
    <m/>
    <m/>
    <m/>
    <m/>
    <n v="0"/>
    <m/>
    <m/>
    <n v="0"/>
    <m/>
    <m/>
    <m/>
    <m/>
    <m/>
    <m/>
    <n v="24853459"/>
    <n v="25181760"/>
  </r>
  <r>
    <x v="9"/>
    <x v="0"/>
    <s v="Nursing / allied health supplement"/>
    <m/>
    <n v="198330"/>
    <x v="7"/>
    <m/>
    <m/>
    <m/>
    <m/>
    <m/>
    <m/>
    <m/>
    <m/>
    <n v="0"/>
    <m/>
    <m/>
    <n v="0"/>
    <n v="0"/>
    <n v="0"/>
    <m/>
    <m/>
    <m/>
    <m/>
    <n v="0"/>
    <m/>
    <m/>
    <n v="0"/>
    <m/>
    <m/>
    <m/>
    <m/>
    <m/>
    <m/>
    <n v="0"/>
    <n v="0"/>
  </r>
  <r>
    <x v="9"/>
    <x v="3"/>
    <s v="Community or public service units"/>
    <m/>
    <n v="198330"/>
    <x v="7"/>
    <m/>
    <m/>
    <n v="155307"/>
    <n v="158449"/>
    <m/>
    <m/>
    <m/>
    <m/>
    <n v="0"/>
    <m/>
    <m/>
    <n v="0"/>
    <n v="155307"/>
    <n v="158449"/>
    <m/>
    <m/>
    <m/>
    <m/>
    <n v="0"/>
    <m/>
    <m/>
    <n v="0"/>
    <m/>
    <m/>
    <m/>
    <m/>
    <m/>
    <m/>
    <n v="155307"/>
    <n v="158449"/>
  </r>
  <r>
    <x v="9"/>
    <x v="44"/>
    <s v="Non-credit continuing education"/>
    <m/>
    <n v="198330"/>
    <x v="7"/>
    <m/>
    <m/>
    <n v="2465074"/>
    <n v="2268027"/>
    <m/>
    <m/>
    <n v="1162725"/>
    <m/>
    <n v="1162725"/>
    <n v="1070271"/>
    <m/>
    <n v="1070271"/>
    <n v="3627799"/>
    <n v="3338298"/>
    <m/>
    <m/>
    <m/>
    <m/>
    <n v="0"/>
    <m/>
    <m/>
    <n v="0"/>
    <m/>
    <m/>
    <m/>
    <m/>
    <m/>
    <m/>
    <n v="3627799"/>
    <n v="3338298"/>
  </r>
  <r>
    <x v="9"/>
    <x v="0"/>
    <s v="Craven Community College "/>
    <m/>
    <n v="198367"/>
    <x v="7"/>
    <n v="9643740"/>
    <n v="9880592"/>
    <m/>
    <m/>
    <n v="3455130"/>
    <n v="3455130"/>
    <n v="5629160"/>
    <m/>
    <n v="5629160"/>
    <n v="5625699"/>
    <m/>
    <n v="5625699"/>
    <n v="18728030"/>
    <n v="18961421"/>
    <m/>
    <m/>
    <m/>
    <m/>
    <n v="0"/>
    <m/>
    <m/>
    <n v="0"/>
    <m/>
    <m/>
    <m/>
    <m/>
    <m/>
    <m/>
    <n v="18728030"/>
    <n v="18961421"/>
  </r>
  <r>
    <x v="9"/>
    <x v="0"/>
    <s v="Nursing / allied health supplement"/>
    <m/>
    <n v="198367"/>
    <x v="7"/>
    <m/>
    <m/>
    <m/>
    <m/>
    <m/>
    <m/>
    <m/>
    <m/>
    <n v="0"/>
    <m/>
    <m/>
    <n v="0"/>
    <n v="0"/>
    <n v="0"/>
    <m/>
    <m/>
    <m/>
    <m/>
    <n v="0"/>
    <m/>
    <m/>
    <n v="0"/>
    <m/>
    <m/>
    <m/>
    <m/>
    <m/>
    <m/>
    <n v="0"/>
    <n v="0"/>
  </r>
  <r>
    <x v="9"/>
    <x v="3"/>
    <s v="Community or public service units"/>
    <m/>
    <n v="198367"/>
    <x v="7"/>
    <m/>
    <m/>
    <n v="153785"/>
    <n v="154307"/>
    <m/>
    <m/>
    <m/>
    <m/>
    <n v="0"/>
    <m/>
    <m/>
    <n v="0"/>
    <n v="153785"/>
    <n v="154307"/>
    <m/>
    <m/>
    <m/>
    <m/>
    <n v="0"/>
    <m/>
    <m/>
    <n v="0"/>
    <m/>
    <m/>
    <m/>
    <m/>
    <m/>
    <m/>
    <n v="153785"/>
    <n v="154307"/>
  </r>
  <r>
    <x v="9"/>
    <x v="44"/>
    <s v="Non-credit continuing education"/>
    <m/>
    <n v="198367"/>
    <x v="7"/>
    <m/>
    <m/>
    <n v="1462429"/>
    <n v="1386801"/>
    <m/>
    <m/>
    <n v="385134"/>
    <m/>
    <n v="385134"/>
    <n v="354509"/>
    <m/>
    <n v="354509"/>
    <n v="1847563"/>
    <n v="1741310"/>
    <m/>
    <m/>
    <m/>
    <m/>
    <n v="0"/>
    <m/>
    <m/>
    <n v="0"/>
    <m/>
    <m/>
    <m/>
    <m/>
    <m/>
    <m/>
    <n v="1847563"/>
    <n v="1741310"/>
  </r>
  <r>
    <x v="9"/>
    <x v="0"/>
    <s v="Davidson County Community College "/>
    <m/>
    <n v="198376"/>
    <x v="7"/>
    <n v="13797481"/>
    <n v="13771377"/>
    <m/>
    <m/>
    <n v="3538404"/>
    <n v="3573362"/>
    <n v="5696203"/>
    <m/>
    <n v="5696203"/>
    <n v="5692701"/>
    <m/>
    <n v="5692701"/>
    <n v="23032088"/>
    <n v="23037440"/>
    <m/>
    <m/>
    <m/>
    <m/>
    <n v="0"/>
    <m/>
    <m/>
    <n v="0"/>
    <m/>
    <m/>
    <m/>
    <m/>
    <m/>
    <m/>
    <n v="23032088"/>
    <n v="23037440"/>
  </r>
  <r>
    <x v="9"/>
    <x v="0"/>
    <s v="Nursing / allied health supplement"/>
    <m/>
    <n v="198376"/>
    <x v="7"/>
    <m/>
    <m/>
    <m/>
    <m/>
    <m/>
    <m/>
    <m/>
    <m/>
    <n v="0"/>
    <m/>
    <m/>
    <n v="0"/>
    <n v="0"/>
    <n v="0"/>
    <m/>
    <m/>
    <m/>
    <m/>
    <n v="0"/>
    <m/>
    <m/>
    <n v="0"/>
    <m/>
    <m/>
    <m/>
    <m/>
    <m/>
    <m/>
    <n v="0"/>
    <n v="0"/>
  </r>
  <r>
    <x v="9"/>
    <x v="3"/>
    <s v="Community or public service units"/>
    <m/>
    <n v="198376"/>
    <x v="7"/>
    <m/>
    <m/>
    <n v="157184"/>
    <n v="158647"/>
    <m/>
    <m/>
    <m/>
    <m/>
    <n v="0"/>
    <m/>
    <m/>
    <n v="0"/>
    <n v="157184"/>
    <n v="158647"/>
    <m/>
    <m/>
    <m/>
    <m/>
    <n v="0"/>
    <m/>
    <m/>
    <n v="0"/>
    <m/>
    <m/>
    <m/>
    <m/>
    <m/>
    <m/>
    <n v="157184"/>
    <n v="158647"/>
  </r>
  <r>
    <x v="9"/>
    <x v="44"/>
    <s v="Non-credit continuing education"/>
    <m/>
    <n v="198376"/>
    <x v="7"/>
    <m/>
    <m/>
    <n v="3134352"/>
    <n v="3020553"/>
    <m/>
    <m/>
    <n v="347130"/>
    <m/>
    <n v="347130"/>
    <n v="319528"/>
    <m/>
    <n v="319528"/>
    <n v="3481482"/>
    <n v="3340081"/>
    <m/>
    <m/>
    <m/>
    <m/>
    <n v="0"/>
    <m/>
    <m/>
    <n v="0"/>
    <m/>
    <m/>
    <m/>
    <m/>
    <m/>
    <m/>
    <n v="3481482"/>
    <n v="3340081"/>
  </r>
  <r>
    <x v="9"/>
    <x v="0"/>
    <s v="Durham Technical Community College"/>
    <m/>
    <n v="198455"/>
    <x v="7"/>
    <n v="14133698"/>
    <n v="13703551"/>
    <m/>
    <m/>
    <n v="4641268"/>
    <n v="5855139"/>
    <n v="7307730"/>
    <m/>
    <n v="7307730"/>
    <n v="7303237"/>
    <m/>
    <n v="7303237"/>
    <n v="26082696"/>
    <n v="26861927"/>
    <m/>
    <m/>
    <m/>
    <m/>
    <n v="0"/>
    <m/>
    <m/>
    <n v="0"/>
    <m/>
    <m/>
    <m/>
    <m/>
    <m/>
    <m/>
    <n v="26082696"/>
    <n v="26861927"/>
  </r>
  <r>
    <x v="9"/>
    <x v="0"/>
    <s v="Nursing / allied health supplement"/>
    <m/>
    <n v="198455"/>
    <x v="7"/>
    <m/>
    <m/>
    <m/>
    <m/>
    <m/>
    <m/>
    <m/>
    <m/>
    <n v="0"/>
    <m/>
    <m/>
    <n v="0"/>
    <n v="0"/>
    <n v="0"/>
    <m/>
    <m/>
    <m/>
    <m/>
    <n v="0"/>
    <m/>
    <m/>
    <n v="0"/>
    <m/>
    <m/>
    <m/>
    <m/>
    <m/>
    <m/>
    <n v="0"/>
    <n v="0"/>
  </r>
  <r>
    <x v="9"/>
    <x v="3"/>
    <s v="Community or public service units"/>
    <m/>
    <n v="198455"/>
    <x v="7"/>
    <m/>
    <m/>
    <n v="164165"/>
    <n v="166194"/>
    <m/>
    <m/>
    <m/>
    <m/>
    <n v="0"/>
    <m/>
    <m/>
    <n v="0"/>
    <n v="164165"/>
    <n v="166194"/>
    <m/>
    <m/>
    <m/>
    <m/>
    <n v="0"/>
    <m/>
    <m/>
    <n v="0"/>
    <m/>
    <m/>
    <m/>
    <m/>
    <m/>
    <m/>
    <n v="164165"/>
    <n v="166194"/>
  </r>
  <r>
    <x v="9"/>
    <x v="44"/>
    <s v="Non-credit continuing education"/>
    <m/>
    <n v="198455"/>
    <x v="7"/>
    <m/>
    <m/>
    <n v="3129194"/>
    <n v="2920768"/>
    <m/>
    <m/>
    <n v="679461"/>
    <m/>
    <n v="679461"/>
    <n v="625433"/>
    <m/>
    <n v="625433"/>
    <n v="3808655"/>
    <n v="3546201"/>
    <m/>
    <m/>
    <m/>
    <m/>
    <n v="0"/>
    <m/>
    <m/>
    <n v="0"/>
    <m/>
    <m/>
    <m/>
    <m/>
    <m/>
    <m/>
    <n v="3808655"/>
    <n v="3546201"/>
  </r>
  <r>
    <x v="9"/>
    <x v="0"/>
    <s v="Edgecombe Community College"/>
    <m/>
    <n v="198491"/>
    <x v="7"/>
    <n v="10849185"/>
    <n v="10565958"/>
    <m/>
    <m/>
    <n v="1428710"/>
    <n v="1406000"/>
    <n v="4571145"/>
    <m/>
    <n v="4571145"/>
    <n v="4568334"/>
    <m/>
    <n v="4568334"/>
    <n v="16849040"/>
    <n v="16540292"/>
    <m/>
    <m/>
    <m/>
    <m/>
    <n v="0"/>
    <m/>
    <m/>
    <n v="0"/>
    <m/>
    <m/>
    <m/>
    <m/>
    <m/>
    <m/>
    <n v="16849040"/>
    <n v="16540292"/>
  </r>
  <r>
    <x v="9"/>
    <x v="0"/>
    <s v="Nursing / allied health supplement"/>
    <m/>
    <n v="198491"/>
    <x v="7"/>
    <m/>
    <m/>
    <m/>
    <m/>
    <m/>
    <m/>
    <m/>
    <m/>
    <n v="0"/>
    <m/>
    <m/>
    <n v="0"/>
    <n v="0"/>
    <n v="0"/>
    <m/>
    <m/>
    <m/>
    <m/>
    <n v="0"/>
    <m/>
    <m/>
    <n v="0"/>
    <m/>
    <m/>
    <m/>
    <m/>
    <m/>
    <m/>
    <n v="0"/>
    <n v="0"/>
  </r>
  <r>
    <x v="9"/>
    <x v="3"/>
    <s v="Community or public service units"/>
    <m/>
    <n v="198491"/>
    <x v="7"/>
    <m/>
    <m/>
    <n v="150223"/>
    <n v="150298"/>
    <m/>
    <m/>
    <m/>
    <m/>
    <n v="0"/>
    <m/>
    <m/>
    <n v="0"/>
    <n v="150223"/>
    <n v="150298"/>
    <m/>
    <m/>
    <m/>
    <m/>
    <n v="0"/>
    <m/>
    <m/>
    <n v="0"/>
    <m/>
    <m/>
    <m/>
    <m/>
    <m/>
    <m/>
    <n v="150223"/>
    <n v="150298"/>
  </r>
  <r>
    <x v="9"/>
    <x v="44"/>
    <s v="Non-credit continuing education"/>
    <m/>
    <n v="198491"/>
    <x v="7"/>
    <m/>
    <m/>
    <n v="1674210"/>
    <n v="1654555"/>
    <m/>
    <m/>
    <n v="149244"/>
    <m/>
    <n v="149244"/>
    <n v="137377"/>
    <m/>
    <n v="137377"/>
    <n v="1823454"/>
    <n v="1791932"/>
    <m/>
    <m/>
    <m/>
    <m/>
    <n v="0"/>
    <m/>
    <m/>
    <n v="0"/>
    <m/>
    <m/>
    <m/>
    <m/>
    <m/>
    <m/>
    <n v="1823454"/>
    <n v="1791932"/>
  </r>
  <r>
    <x v="9"/>
    <x v="0"/>
    <s v="Haywood Community College"/>
    <s v="Met the criteria for Two-Year 3 in 2011-12 and 2012-13."/>
    <n v="198668"/>
    <x v="7"/>
    <n v="7857742"/>
    <n v="7907392"/>
    <m/>
    <m/>
    <n v="2607678"/>
    <n v="2817613"/>
    <n v="2923588"/>
    <m/>
    <n v="2923588"/>
    <n v="2921790"/>
    <m/>
    <n v="2921790"/>
    <n v="13389008"/>
    <n v="13646795"/>
    <m/>
    <m/>
    <m/>
    <m/>
    <n v="0"/>
    <m/>
    <m/>
    <n v="0"/>
    <m/>
    <m/>
    <m/>
    <m/>
    <m/>
    <m/>
    <n v="13389008"/>
    <n v="13646795"/>
  </r>
  <r>
    <x v="9"/>
    <x v="0"/>
    <s v="Nursing / allied health supplement"/>
    <m/>
    <n v="198668"/>
    <x v="7"/>
    <m/>
    <m/>
    <m/>
    <m/>
    <m/>
    <m/>
    <m/>
    <m/>
    <n v="0"/>
    <m/>
    <m/>
    <n v="0"/>
    <n v="0"/>
    <n v="0"/>
    <m/>
    <m/>
    <m/>
    <m/>
    <n v="0"/>
    <m/>
    <m/>
    <n v="0"/>
    <m/>
    <m/>
    <m/>
    <m/>
    <m/>
    <m/>
    <n v="0"/>
    <n v="0"/>
  </r>
  <r>
    <x v="9"/>
    <x v="3"/>
    <s v="Community or public service units"/>
    <m/>
    <n v="198668"/>
    <x v="7"/>
    <m/>
    <m/>
    <n v="149464"/>
    <n v="151581"/>
    <m/>
    <m/>
    <m/>
    <m/>
    <n v="0"/>
    <m/>
    <m/>
    <n v="0"/>
    <n v="149464"/>
    <n v="151581"/>
    <m/>
    <m/>
    <m/>
    <m/>
    <n v="0"/>
    <m/>
    <m/>
    <n v="0"/>
    <m/>
    <m/>
    <m/>
    <m/>
    <m/>
    <m/>
    <n v="149464"/>
    <n v="151581"/>
  </r>
  <r>
    <x v="9"/>
    <x v="44"/>
    <s v="Non-credit continuing education"/>
    <m/>
    <n v="198668"/>
    <x v="7"/>
    <m/>
    <m/>
    <n v="975037"/>
    <n v="945750"/>
    <m/>
    <m/>
    <n v="107249"/>
    <m/>
    <n v="107249"/>
    <n v="98721"/>
    <m/>
    <n v="98721"/>
    <n v="1082286"/>
    <n v="1044471"/>
    <m/>
    <m/>
    <m/>
    <m/>
    <n v="0"/>
    <m/>
    <m/>
    <n v="0"/>
    <m/>
    <m/>
    <m/>
    <m/>
    <m/>
    <m/>
    <n v="1082286"/>
    <n v="1044471"/>
  </r>
  <r>
    <x v="9"/>
    <x v="0"/>
    <s v="Isothermal Community College "/>
    <s v="Met the criteria for Two-Year 3 in 2012-13."/>
    <n v="198710"/>
    <x v="7"/>
    <n v="9231847"/>
    <n v="9077801"/>
    <m/>
    <m/>
    <n v="2014362"/>
    <n v="2026370"/>
    <n v="3294372"/>
    <m/>
    <n v="3294372"/>
    <n v="3292347"/>
    <m/>
    <n v="3292347"/>
    <n v="14540581"/>
    <n v="14396518"/>
    <m/>
    <m/>
    <m/>
    <m/>
    <n v="0"/>
    <m/>
    <m/>
    <n v="0"/>
    <m/>
    <m/>
    <m/>
    <m/>
    <m/>
    <m/>
    <n v="14540581"/>
    <n v="14396518"/>
  </r>
  <r>
    <x v="9"/>
    <x v="0"/>
    <s v="Nursing / allied health supplement"/>
    <m/>
    <n v="198710"/>
    <x v="7"/>
    <m/>
    <m/>
    <m/>
    <m/>
    <m/>
    <m/>
    <m/>
    <m/>
    <n v="0"/>
    <m/>
    <m/>
    <n v="0"/>
    <n v="0"/>
    <n v="0"/>
    <m/>
    <m/>
    <m/>
    <m/>
    <n v="0"/>
    <m/>
    <m/>
    <n v="0"/>
    <m/>
    <m/>
    <m/>
    <m/>
    <m/>
    <m/>
    <n v="0"/>
    <n v="0"/>
  </r>
  <r>
    <x v="9"/>
    <x v="3"/>
    <s v="Community or public service units"/>
    <m/>
    <n v="198710"/>
    <x v="7"/>
    <m/>
    <m/>
    <n v="148250"/>
    <n v="149166"/>
    <m/>
    <m/>
    <m/>
    <m/>
    <n v="0"/>
    <m/>
    <m/>
    <n v="0"/>
    <n v="148250"/>
    <n v="149166"/>
    <m/>
    <m/>
    <m/>
    <m/>
    <n v="0"/>
    <m/>
    <m/>
    <n v="0"/>
    <m/>
    <m/>
    <m/>
    <m/>
    <m/>
    <m/>
    <n v="148250"/>
    <n v="149166"/>
  </r>
  <r>
    <x v="9"/>
    <x v="44"/>
    <s v="Non-credit continuing education"/>
    <m/>
    <n v="198710"/>
    <x v="7"/>
    <m/>
    <m/>
    <n v="1305495"/>
    <n v="1267655"/>
    <m/>
    <m/>
    <n v="268960"/>
    <m/>
    <n v="268960"/>
    <n v="247573"/>
    <m/>
    <n v="247573"/>
    <n v="1574455"/>
    <n v="1515228"/>
    <m/>
    <m/>
    <m/>
    <m/>
    <n v="0"/>
    <m/>
    <m/>
    <n v="0"/>
    <m/>
    <m/>
    <m/>
    <m/>
    <m/>
    <m/>
    <n v="1574455"/>
    <n v="1515228"/>
  </r>
  <r>
    <x v="9"/>
    <x v="0"/>
    <s v="Johnston Community College"/>
    <m/>
    <n v="198774"/>
    <x v="7"/>
    <n v="14416257"/>
    <n v="14566685"/>
    <m/>
    <m/>
    <n v="3723631"/>
    <n v="3723631"/>
    <n v="5628724"/>
    <m/>
    <n v="5628724"/>
    <n v="5625263"/>
    <m/>
    <n v="5625263"/>
    <n v="23768612"/>
    <n v="23915579"/>
    <m/>
    <m/>
    <m/>
    <m/>
    <n v="0"/>
    <m/>
    <m/>
    <n v="0"/>
    <m/>
    <m/>
    <m/>
    <m/>
    <m/>
    <m/>
    <n v="23768612"/>
    <n v="23915579"/>
  </r>
  <r>
    <x v="9"/>
    <x v="0"/>
    <s v="Nursing / allied health supplement"/>
    <m/>
    <n v="198774"/>
    <x v="7"/>
    <m/>
    <m/>
    <m/>
    <m/>
    <m/>
    <m/>
    <m/>
    <m/>
    <n v="0"/>
    <m/>
    <m/>
    <n v="0"/>
    <n v="0"/>
    <n v="0"/>
    <m/>
    <m/>
    <m/>
    <m/>
    <n v="0"/>
    <m/>
    <m/>
    <n v="0"/>
    <m/>
    <m/>
    <m/>
    <m/>
    <m/>
    <m/>
    <n v="0"/>
    <n v="0"/>
  </r>
  <r>
    <x v="9"/>
    <x v="3"/>
    <s v="Community or public service units"/>
    <m/>
    <n v="198774"/>
    <x v="7"/>
    <m/>
    <m/>
    <n v="153254"/>
    <n v="156572"/>
    <m/>
    <m/>
    <m/>
    <m/>
    <n v="0"/>
    <m/>
    <m/>
    <n v="0"/>
    <n v="153254"/>
    <n v="156572"/>
    <m/>
    <m/>
    <m/>
    <m/>
    <n v="0"/>
    <m/>
    <m/>
    <n v="0"/>
    <m/>
    <m/>
    <m/>
    <m/>
    <m/>
    <m/>
    <n v="153254"/>
    <n v="156572"/>
  </r>
  <r>
    <x v="9"/>
    <x v="44"/>
    <s v="Non-credit continuing education"/>
    <m/>
    <n v="198774"/>
    <x v="7"/>
    <m/>
    <m/>
    <n v="2267030"/>
    <n v="2222478"/>
    <m/>
    <m/>
    <n v="499015"/>
    <m/>
    <n v="499015"/>
    <n v="459336"/>
    <m/>
    <n v="459336"/>
    <n v="2766045"/>
    <n v="2681814"/>
    <m/>
    <m/>
    <m/>
    <m/>
    <n v="0"/>
    <m/>
    <m/>
    <n v="0"/>
    <m/>
    <m/>
    <m/>
    <m/>
    <m/>
    <m/>
    <n v="2766045"/>
    <n v="2681814"/>
  </r>
  <r>
    <x v="9"/>
    <x v="0"/>
    <s v="Lenoir Community College "/>
    <m/>
    <n v="198817"/>
    <x v="7"/>
    <n v="12095864"/>
    <n v="12587710"/>
    <m/>
    <m/>
    <n v="2557531"/>
    <n v="2649782"/>
    <n v="4193222"/>
    <m/>
    <n v="4193222"/>
    <n v="4190643"/>
    <m/>
    <n v="4190643"/>
    <n v="18846617"/>
    <n v="19428135"/>
    <m/>
    <m/>
    <m/>
    <m/>
    <n v="0"/>
    <m/>
    <m/>
    <n v="0"/>
    <m/>
    <m/>
    <m/>
    <m/>
    <m/>
    <m/>
    <n v="18846617"/>
    <n v="19428135"/>
  </r>
  <r>
    <x v="9"/>
    <x v="0"/>
    <s v="Nursing / allied health supplement"/>
    <m/>
    <n v="198817"/>
    <x v="7"/>
    <m/>
    <m/>
    <m/>
    <m/>
    <m/>
    <m/>
    <m/>
    <m/>
    <n v="0"/>
    <m/>
    <m/>
    <n v="0"/>
    <n v="0"/>
    <n v="0"/>
    <m/>
    <m/>
    <m/>
    <m/>
    <n v="0"/>
    <m/>
    <m/>
    <n v="0"/>
    <m/>
    <m/>
    <m/>
    <m/>
    <m/>
    <m/>
    <n v="0"/>
    <n v="0"/>
  </r>
  <r>
    <x v="9"/>
    <x v="3"/>
    <s v="Community or public service units"/>
    <m/>
    <n v="198817"/>
    <x v="7"/>
    <m/>
    <m/>
    <n v="152347"/>
    <n v="155817"/>
    <m/>
    <m/>
    <m/>
    <m/>
    <n v="0"/>
    <m/>
    <m/>
    <n v="0"/>
    <n v="152347"/>
    <n v="155817"/>
    <m/>
    <m/>
    <m/>
    <m/>
    <n v="0"/>
    <m/>
    <m/>
    <n v="0"/>
    <m/>
    <m/>
    <m/>
    <m/>
    <m/>
    <m/>
    <n v="152347"/>
    <n v="155817"/>
  </r>
  <r>
    <x v="9"/>
    <x v="44"/>
    <s v="Non-credit continuing education"/>
    <m/>
    <n v="198817"/>
    <x v="7"/>
    <m/>
    <m/>
    <n v="4081152"/>
    <n v="5244452"/>
    <m/>
    <m/>
    <n v="431407"/>
    <m/>
    <n v="431407"/>
    <n v="397104"/>
    <m/>
    <n v="397104"/>
    <n v="4512559"/>
    <n v="5641556"/>
    <m/>
    <m/>
    <m/>
    <m/>
    <n v="0"/>
    <m/>
    <m/>
    <n v="0"/>
    <m/>
    <m/>
    <m/>
    <m/>
    <m/>
    <m/>
    <n v="4512559"/>
    <n v="5641556"/>
  </r>
  <r>
    <x v="9"/>
    <x v="0"/>
    <s v="Mitchell Community College "/>
    <m/>
    <n v="198987"/>
    <x v="7"/>
    <n v="10403884"/>
    <n v="10472223"/>
    <m/>
    <m/>
    <n v="2571530"/>
    <n v="2835071"/>
    <n v="4292629"/>
    <m/>
    <n v="4292629"/>
    <n v="4289990"/>
    <m/>
    <n v="4289990"/>
    <n v="17268043"/>
    <n v="17597284"/>
    <m/>
    <m/>
    <m/>
    <m/>
    <n v="0"/>
    <m/>
    <m/>
    <n v="0"/>
    <m/>
    <m/>
    <m/>
    <m/>
    <m/>
    <m/>
    <n v="17268043"/>
    <n v="17597284"/>
  </r>
  <r>
    <x v="9"/>
    <x v="0"/>
    <s v="Nursing / allied health supplement"/>
    <m/>
    <n v="198987"/>
    <x v="7"/>
    <m/>
    <m/>
    <m/>
    <m/>
    <m/>
    <m/>
    <m/>
    <m/>
    <n v="0"/>
    <m/>
    <m/>
    <n v="0"/>
    <n v="0"/>
    <n v="0"/>
    <m/>
    <m/>
    <m/>
    <m/>
    <n v="0"/>
    <m/>
    <m/>
    <n v="0"/>
    <m/>
    <m/>
    <m/>
    <m/>
    <m/>
    <m/>
    <n v="0"/>
    <n v="0"/>
  </r>
  <r>
    <x v="9"/>
    <x v="3"/>
    <s v="Community or public service units"/>
    <m/>
    <n v="198987"/>
    <x v="7"/>
    <m/>
    <m/>
    <n v="160598"/>
    <n v="162949"/>
    <m/>
    <m/>
    <m/>
    <m/>
    <n v="0"/>
    <m/>
    <m/>
    <n v="0"/>
    <n v="160598"/>
    <n v="162949"/>
    <m/>
    <m/>
    <m/>
    <m/>
    <n v="0"/>
    <m/>
    <m/>
    <n v="0"/>
    <m/>
    <m/>
    <m/>
    <m/>
    <m/>
    <m/>
    <n v="160598"/>
    <n v="162949"/>
  </r>
  <r>
    <x v="9"/>
    <x v="44"/>
    <s v="Non-credit continuing education"/>
    <m/>
    <n v="198987"/>
    <x v="7"/>
    <m/>
    <m/>
    <n v="1739500"/>
    <n v="1657290"/>
    <m/>
    <m/>
    <n v="227714"/>
    <m/>
    <n v="227714"/>
    <n v="209607"/>
    <m/>
    <n v="209607"/>
    <n v="1967214"/>
    <n v="1866897"/>
    <m/>
    <m/>
    <m/>
    <m/>
    <n v="0"/>
    <m/>
    <m/>
    <n v="0"/>
    <m/>
    <m/>
    <m/>
    <m/>
    <m/>
    <m/>
    <n v="1967214"/>
    <n v="1866897"/>
  </r>
  <r>
    <x v="9"/>
    <x v="0"/>
    <s v="Nash Community College"/>
    <m/>
    <n v="199087"/>
    <x v="7"/>
    <n v="9290907"/>
    <n v="10449366"/>
    <m/>
    <m/>
    <n v="1675180"/>
    <n v="1641676"/>
    <n v="3663290"/>
    <m/>
    <n v="3663290"/>
    <n v="3661038"/>
    <m/>
    <n v="3661038"/>
    <n v="14629377"/>
    <n v="15752080"/>
    <m/>
    <m/>
    <m/>
    <m/>
    <n v="0"/>
    <m/>
    <m/>
    <n v="0"/>
    <m/>
    <m/>
    <m/>
    <m/>
    <m/>
    <m/>
    <n v="14629377"/>
    <n v="15752080"/>
  </r>
  <r>
    <x v="9"/>
    <x v="0"/>
    <s v="Nursing / allied health supplement"/>
    <m/>
    <n v="199087"/>
    <x v="7"/>
    <m/>
    <m/>
    <m/>
    <m/>
    <m/>
    <m/>
    <m/>
    <m/>
    <n v="0"/>
    <m/>
    <m/>
    <n v="0"/>
    <n v="0"/>
    <n v="0"/>
    <m/>
    <m/>
    <m/>
    <m/>
    <n v="0"/>
    <m/>
    <m/>
    <n v="0"/>
    <m/>
    <m/>
    <m/>
    <m/>
    <m/>
    <m/>
    <n v="0"/>
    <n v="0"/>
  </r>
  <r>
    <x v="9"/>
    <x v="3"/>
    <s v="Community or public service units"/>
    <m/>
    <n v="199087"/>
    <x v="7"/>
    <m/>
    <m/>
    <n v="161888"/>
    <n v="154534"/>
    <m/>
    <m/>
    <m/>
    <m/>
    <n v="0"/>
    <m/>
    <m/>
    <n v="0"/>
    <n v="161888"/>
    <n v="154534"/>
    <m/>
    <m/>
    <m/>
    <m/>
    <n v="0"/>
    <m/>
    <m/>
    <n v="0"/>
    <m/>
    <m/>
    <m/>
    <m/>
    <m/>
    <m/>
    <n v="161888"/>
    <n v="154534"/>
  </r>
  <r>
    <x v="9"/>
    <x v="44"/>
    <s v="Non-credit continuing education"/>
    <m/>
    <n v="199087"/>
    <x v="7"/>
    <m/>
    <m/>
    <n v="1463990"/>
    <n v="1503740"/>
    <m/>
    <m/>
    <n v="260409"/>
    <m/>
    <n v="260409"/>
    <n v="239702"/>
    <m/>
    <n v="239702"/>
    <n v="1724399"/>
    <n v="1743442"/>
    <m/>
    <m/>
    <m/>
    <m/>
    <n v="0"/>
    <m/>
    <m/>
    <n v="0"/>
    <m/>
    <m/>
    <m/>
    <m/>
    <m/>
    <m/>
    <n v="1724399"/>
    <n v="1743442"/>
  </r>
  <r>
    <x v="9"/>
    <x v="0"/>
    <s v="Randolph Community College"/>
    <m/>
    <n v="199421"/>
    <x v="7"/>
    <n v="9244157"/>
    <n v="9199360"/>
    <m/>
    <m/>
    <n v="2278000"/>
    <n v="2295500"/>
    <n v="4037000"/>
    <m/>
    <n v="4037000"/>
    <n v="4034518"/>
    <m/>
    <n v="4034518"/>
    <n v="15559157"/>
    <n v="15529378"/>
    <m/>
    <m/>
    <m/>
    <m/>
    <n v="0"/>
    <m/>
    <m/>
    <n v="0"/>
    <m/>
    <m/>
    <m/>
    <m/>
    <m/>
    <m/>
    <n v="15559157"/>
    <n v="15529378"/>
  </r>
  <r>
    <x v="9"/>
    <x v="0"/>
    <s v="Nursing / allied health supplement"/>
    <m/>
    <n v="199421"/>
    <x v="7"/>
    <m/>
    <m/>
    <m/>
    <m/>
    <m/>
    <m/>
    <m/>
    <m/>
    <n v="0"/>
    <m/>
    <m/>
    <n v="0"/>
    <n v="0"/>
    <n v="0"/>
    <m/>
    <m/>
    <m/>
    <m/>
    <n v="0"/>
    <m/>
    <m/>
    <n v="0"/>
    <m/>
    <m/>
    <m/>
    <m/>
    <m/>
    <m/>
    <n v="0"/>
    <n v="0"/>
  </r>
  <r>
    <x v="9"/>
    <x v="3"/>
    <s v="Community or public service units"/>
    <m/>
    <n v="199421"/>
    <x v="7"/>
    <m/>
    <m/>
    <n v="166289"/>
    <n v="166194"/>
    <m/>
    <m/>
    <m/>
    <m/>
    <n v="0"/>
    <m/>
    <m/>
    <n v="0"/>
    <n v="166289"/>
    <n v="166194"/>
    <m/>
    <m/>
    <m/>
    <m/>
    <n v="0"/>
    <m/>
    <m/>
    <n v="0"/>
    <m/>
    <m/>
    <m/>
    <m/>
    <m/>
    <m/>
    <n v="166289"/>
    <n v="166194"/>
  </r>
  <r>
    <x v="9"/>
    <x v="44"/>
    <s v="Non-credit continuing education"/>
    <m/>
    <n v="199421"/>
    <x v="7"/>
    <m/>
    <m/>
    <n v="2172694"/>
    <n v="2004223"/>
    <m/>
    <m/>
    <n v="283108"/>
    <m/>
    <n v="283108"/>
    <n v="260597"/>
    <m/>
    <n v="260597"/>
    <n v="2455802"/>
    <n v="2264820"/>
    <m/>
    <m/>
    <m/>
    <m/>
    <n v="0"/>
    <m/>
    <m/>
    <n v="0"/>
    <m/>
    <m/>
    <m/>
    <m/>
    <m/>
    <m/>
    <n v="2455802"/>
    <n v="2264820"/>
  </r>
  <r>
    <x v="9"/>
    <x v="0"/>
    <s v="Robeson Community College"/>
    <m/>
    <n v="199476"/>
    <x v="7"/>
    <n v="10355658"/>
    <n v="10485877"/>
    <m/>
    <m/>
    <n v="1944788"/>
    <n v="2039451"/>
    <n v="3645977"/>
    <m/>
    <n v="3645977"/>
    <n v="3643735"/>
    <m/>
    <n v="3643735"/>
    <n v="15946423"/>
    <n v="16169063"/>
    <m/>
    <m/>
    <m/>
    <m/>
    <n v="0"/>
    <m/>
    <m/>
    <n v="0"/>
    <m/>
    <m/>
    <m/>
    <m/>
    <m/>
    <m/>
    <n v="15946423"/>
    <n v="16169063"/>
  </r>
  <r>
    <x v="9"/>
    <x v="0"/>
    <s v="Nursing / allied health supplement"/>
    <m/>
    <n v="199476"/>
    <x v="7"/>
    <m/>
    <m/>
    <m/>
    <m/>
    <m/>
    <m/>
    <m/>
    <m/>
    <n v="0"/>
    <m/>
    <m/>
    <n v="0"/>
    <n v="0"/>
    <n v="0"/>
    <m/>
    <m/>
    <m/>
    <m/>
    <n v="0"/>
    <m/>
    <m/>
    <n v="0"/>
    <m/>
    <m/>
    <m/>
    <m/>
    <m/>
    <m/>
    <n v="0"/>
    <n v="0"/>
  </r>
  <r>
    <x v="9"/>
    <x v="3"/>
    <s v="Community or public service units"/>
    <m/>
    <n v="199476"/>
    <x v="7"/>
    <m/>
    <m/>
    <n v="154240"/>
    <n v="157100"/>
    <m/>
    <m/>
    <m/>
    <m/>
    <n v="0"/>
    <m/>
    <m/>
    <n v="0"/>
    <n v="154240"/>
    <n v="157100"/>
    <m/>
    <m/>
    <m/>
    <m/>
    <n v="0"/>
    <m/>
    <m/>
    <n v="0"/>
    <m/>
    <m/>
    <m/>
    <m/>
    <m/>
    <m/>
    <n v="154240"/>
    <n v="157100"/>
  </r>
  <r>
    <x v="9"/>
    <x v="44"/>
    <s v="Non-credit continuing education"/>
    <m/>
    <n v="199476"/>
    <x v="7"/>
    <m/>
    <m/>
    <n v="4786865"/>
    <n v="4534338"/>
    <m/>
    <m/>
    <n v="211377"/>
    <m/>
    <n v="211377"/>
    <n v="194569"/>
    <m/>
    <n v="194569"/>
    <n v="4998242"/>
    <n v="4728907"/>
    <m/>
    <m/>
    <m/>
    <m/>
    <n v="0"/>
    <m/>
    <m/>
    <n v="0"/>
    <m/>
    <m/>
    <m/>
    <m/>
    <m/>
    <m/>
    <n v="4998242"/>
    <n v="4728907"/>
  </r>
  <r>
    <x v="9"/>
    <x v="0"/>
    <s v="Sandhills Community College "/>
    <m/>
    <n v="199634"/>
    <x v="7"/>
    <n v="13105118"/>
    <n v="12865444"/>
    <m/>
    <m/>
    <n v="4444237"/>
    <n v="4554581"/>
    <n v="5658761"/>
    <m/>
    <n v="5658761"/>
    <n v="5655282"/>
    <m/>
    <n v="5655282"/>
    <n v="23208116"/>
    <n v="23075307"/>
    <m/>
    <m/>
    <m/>
    <m/>
    <n v="0"/>
    <m/>
    <m/>
    <n v="0"/>
    <m/>
    <m/>
    <m/>
    <m/>
    <m/>
    <m/>
    <n v="23208116"/>
    <n v="23075307"/>
  </r>
  <r>
    <x v="9"/>
    <x v="0"/>
    <s v="Nursing / allied health supplement"/>
    <m/>
    <n v="199634"/>
    <x v="7"/>
    <m/>
    <m/>
    <m/>
    <m/>
    <m/>
    <m/>
    <m/>
    <m/>
    <n v="0"/>
    <m/>
    <m/>
    <n v="0"/>
    <n v="0"/>
    <n v="0"/>
    <m/>
    <m/>
    <m/>
    <m/>
    <n v="0"/>
    <m/>
    <m/>
    <n v="0"/>
    <m/>
    <m/>
    <m/>
    <m/>
    <m/>
    <m/>
    <n v="0"/>
    <n v="0"/>
  </r>
  <r>
    <x v="9"/>
    <x v="3"/>
    <s v="Community or public service units"/>
    <m/>
    <n v="199634"/>
    <x v="7"/>
    <m/>
    <m/>
    <n v="152268"/>
    <n v="154609"/>
    <m/>
    <m/>
    <m/>
    <m/>
    <n v="0"/>
    <m/>
    <m/>
    <n v="0"/>
    <n v="152268"/>
    <n v="154609"/>
    <m/>
    <m/>
    <m/>
    <m/>
    <n v="0"/>
    <m/>
    <m/>
    <n v="0"/>
    <m/>
    <m/>
    <m/>
    <m/>
    <m/>
    <m/>
    <n v="152268"/>
    <n v="154609"/>
  </r>
  <r>
    <x v="9"/>
    <x v="44"/>
    <s v="Non-credit continuing education"/>
    <m/>
    <n v="199634"/>
    <x v="7"/>
    <m/>
    <m/>
    <n v="2036338"/>
    <n v="1930978"/>
    <m/>
    <m/>
    <n v="174630"/>
    <m/>
    <n v="174630"/>
    <n v="160744"/>
    <m/>
    <n v="160744"/>
    <n v="2210968"/>
    <n v="2091722"/>
    <m/>
    <m/>
    <m/>
    <m/>
    <n v="0"/>
    <m/>
    <m/>
    <n v="0"/>
    <m/>
    <m/>
    <m/>
    <m/>
    <m/>
    <m/>
    <n v="2210968"/>
    <n v="2091722"/>
  </r>
  <r>
    <x v="9"/>
    <x v="0"/>
    <s v="Stanly Community College"/>
    <m/>
    <n v="199740"/>
    <x v="7"/>
    <n v="10290061"/>
    <n v="10199641"/>
    <m/>
    <m/>
    <n v="1242960"/>
    <n v="1242960"/>
    <n v="4055474"/>
    <m/>
    <n v="4055474"/>
    <n v="4052981"/>
    <m/>
    <n v="4052981"/>
    <n v="15588495"/>
    <n v="15495582"/>
    <m/>
    <m/>
    <m/>
    <m/>
    <n v="0"/>
    <m/>
    <m/>
    <n v="0"/>
    <m/>
    <m/>
    <m/>
    <m/>
    <m/>
    <m/>
    <n v="15588495"/>
    <n v="15495582"/>
  </r>
  <r>
    <x v="9"/>
    <x v="0"/>
    <s v="Nursing / allied health supplement"/>
    <m/>
    <n v="199740"/>
    <x v="7"/>
    <m/>
    <m/>
    <m/>
    <m/>
    <m/>
    <m/>
    <m/>
    <m/>
    <n v="0"/>
    <m/>
    <m/>
    <n v="0"/>
    <n v="0"/>
    <n v="0"/>
    <m/>
    <m/>
    <m/>
    <m/>
    <n v="0"/>
    <m/>
    <m/>
    <n v="0"/>
    <m/>
    <m/>
    <m/>
    <m/>
    <m/>
    <m/>
    <n v="0"/>
    <n v="0"/>
  </r>
  <r>
    <x v="9"/>
    <x v="3"/>
    <s v="Community or public service units"/>
    <m/>
    <n v="199740"/>
    <x v="7"/>
    <m/>
    <m/>
    <n v="146884"/>
    <n v="149468"/>
    <m/>
    <m/>
    <m/>
    <m/>
    <n v="0"/>
    <m/>
    <m/>
    <n v="0"/>
    <n v="146884"/>
    <n v="149468"/>
    <m/>
    <m/>
    <m/>
    <m/>
    <n v="0"/>
    <m/>
    <m/>
    <n v="0"/>
    <m/>
    <m/>
    <m/>
    <m/>
    <m/>
    <m/>
    <n v="146884"/>
    <n v="149468"/>
  </r>
  <r>
    <x v="9"/>
    <x v="44"/>
    <s v="Non-credit continuing education"/>
    <m/>
    <n v="199740"/>
    <x v="7"/>
    <m/>
    <m/>
    <n v="1687835"/>
    <n v="1712641"/>
    <m/>
    <m/>
    <n v="542423"/>
    <m/>
    <n v="542423"/>
    <n v="499292"/>
    <m/>
    <n v="499292"/>
    <n v="2230258"/>
    <n v="2211933"/>
    <m/>
    <m/>
    <m/>
    <m/>
    <n v="0"/>
    <m/>
    <m/>
    <n v="0"/>
    <m/>
    <m/>
    <m/>
    <m/>
    <m/>
    <m/>
    <n v="2230258"/>
    <n v="2211933"/>
  </r>
  <r>
    <x v="9"/>
    <x v="0"/>
    <s v="Surry Community College "/>
    <m/>
    <n v="199768"/>
    <x v="7"/>
    <n v="10653709"/>
    <n v="11145868"/>
    <m/>
    <m/>
    <n v="2563817"/>
    <n v="2362538"/>
    <n v="4196070"/>
    <m/>
    <n v="4196070"/>
    <n v="4193490"/>
    <m/>
    <n v="4193490"/>
    <n v="17413596"/>
    <n v="17701896"/>
    <m/>
    <m/>
    <m/>
    <m/>
    <n v="0"/>
    <m/>
    <m/>
    <n v="0"/>
    <m/>
    <m/>
    <m/>
    <m/>
    <m/>
    <m/>
    <n v="17413596"/>
    <n v="17701896"/>
  </r>
  <r>
    <x v="9"/>
    <x v="0"/>
    <s v="Nursing / allied health supplement"/>
    <m/>
    <n v="199768"/>
    <x v="7"/>
    <m/>
    <m/>
    <m/>
    <m/>
    <m/>
    <m/>
    <m/>
    <m/>
    <n v="0"/>
    <m/>
    <m/>
    <n v="0"/>
    <n v="0"/>
    <n v="0"/>
    <m/>
    <m/>
    <m/>
    <m/>
    <n v="0"/>
    <m/>
    <m/>
    <n v="0"/>
    <m/>
    <m/>
    <m/>
    <m/>
    <m/>
    <m/>
    <n v="0"/>
    <n v="0"/>
  </r>
  <r>
    <x v="9"/>
    <x v="3"/>
    <s v="Community or public service units"/>
    <m/>
    <n v="199768"/>
    <x v="7"/>
    <m/>
    <m/>
    <n v="145135"/>
    <n v="147666"/>
    <m/>
    <m/>
    <m/>
    <m/>
    <n v="0"/>
    <m/>
    <m/>
    <n v="0"/>
    <n v="145135"/>
    <n v="147666"/>
    <m/>
    <m/>
    <m/>
    <m/>
    <n v="0"/>
    <m/>
    <m/>
    <n v="0"/>
    <m/>
    <m/>
    <m/>
    <m/>
    <m/>
    <m/>
    <n v="145135"/>
    <n v="147666"/>
  </r>
  <r>
    <x v="9"/>
    <x v="44"/>
    <s v="Non-credit continuing education"/>
    <m/>
    <n v="199768"/>
    <x v="7"/>
    <m/>
    <m/>
    <n v="2065477"/>
    <n v="2046989"/>
    <m/>
    <m/>
    <n v="296621"/>
    <m/>
    <n v="296621"/>
    <n v="273035"/>
    <m/>
    <n v="273035"/>
    <n v="2362098"/>
    <n v="2320024"/>
    <m/>
    <m/>
    <m/>
    <m/>
    <n v="0"/>
    <m/>
    <m/>
    <n v="0"/>
    <m/>
    <m/>
    <m/>
    <m/>
    <m/>
    <m/>
    <n v="2362098"/>
    <n v="2320024"/>
  </r>
  <r>
    <x v="9"/>
    <x v="0"/>
    <s v="Vance-Granville Community College "/>
    <m/>
    <n v="199838"/>
    <x v="7"/>
    <n v="13673313"/>
    <n v="13675538"/>
    <m/>
    <m/>
    <n v="2087373"/>
    <n v="2117665"/>
    <n v="4910105"/>
    <m/>
    <n v="4910105"/>
    <n v="4907086"/>
    <m/>
    <n v="4907086"/>
    <n v="20670791"/>
    <n v="20700289"/>
    <m/>
    <m/>
    <m/>
    <m/>
    <n v="0"/>
    <m/>
    <m/>
    <n v="0"/>
    <m/>
    <m/>
    <m/>
    <m/>
    <m/>
    <m/>
    <n v="20670791"/>
    <n v="20700289"/>
  </r>
  <r>
    <x v="9"/>
    <x v="0"/>
    <s v="Nursing / allied health supplement"/>
    <m/>
    <n v="199838"/>
    <x v="7"/>
    <m/>
    <m/>
    <m/>
    <m/>
    <m/>
    <m/>
    <m/>
    <m/>
    <n v="0"/>
    <m/>
    <m/>
    <n v="0"/>
    <n v="0"/>
    <n v="0"/>
    <m/>
    <m/>
    <m/>
    <m/>
    <n v="0"/>
    <m/>
    <m/>
    <n v="0"/>
    <m/>
    <m/>
    <m/>
    <m/>
    <m/>
    <m/>
    <n v="0"/>
    <n v="0"/>
  </r>
  <r>
    <x v="9"/>
    <x v="3"/>
    <s v="Community or public service units"/>
    <m/>
    <n v="199838"/>
    <x v="7"/>
    <m/>
    <m/>
    <n v="160902"/>
    <n v="162345"/>
    <m/>
    <m/>
    <m/>
    <m/>
    <n v="0"/>
    <m/>
    <m/>
    <n v="0"/>
    <n v="160902"/>
    <n v="162345"/>
    <m/>
    <m/>
    <m/>
    <m/>
    <n v="0"/>
    <m/>
    <m/>
    <n v="0"/>
    <m/>
    <m/>
    <m/>
    <m/>
    <m/>
    <m/>
    <n v="160902"/>
    <n v="162345"/>
  </r>
  <r>
    <x v="9"/>
    <x v="44"/>
    <s v="Non-credit continuing education"/>
    <m/>
    <n v="199838"/>
    <x v="7"/>
    <m/>
    <m/>
    <n v="2962335"/>
    <n v="3081203"/>
    <m/>
    <m/>
    <n v="394470"/>
    <m/>
    <n v="394470"/>
    <n v="363103"/>
    <m/>
    <n v="363103"/>
    <n v="3356805"/>
    <n v="3444306"/>
    <m/>
    <m/>
    <m/>
    <m/>
    <n v="0"/>
    <m/>
    <m/>
    <n v="0"/>
    <m/>
    <m/>
    <m/>
    <m/>
    <m/>
    <m/>
    <n v="3356805"/>
    <n v="3444306"/>
  </r>
  <r>
    <x v="9"/>
    <x v="0"/>
    <s v="Wayne Community College"/>
    <m/>
    <n v="199892"/>
    <x v="7"/>
    <n v="11760388"/>
    <n v="11605363"/>
    <m/>
    <m/>
    <n v="3053684"/>
    <n v="3506067"/>
    <n v="5517005"/>
    <m/>
    <n v="5517005"/>
    <n v="5513613"/>
    <m/>
    <n v="5513613"/>
    <n v="20331077"/>
    <n v="20625043"/>
    <m/>
    <m/>
    <m/>
    <m/>
    <n v="0"/>
    <m/>
    <m/>
    <n v="0"/>
    <m/>
    <m/>
    <m/>
    <m/>
    <m/>
    <m/>
    <n v="20331077"/>
    <n v="20625043"/>
  </r>
  <r>
    <x v="9"/>
    <x v="0"/>
    <s v="Nursing / allied health supplement"/>
    <m/>
    <n v="199892"/>
    <x v="7"/>
    <m/>
    <m/>
    <m/>
    <m/>
    <m/>
    <m/>
    <m/>
    <m/>
    <n v="0"/>
    <m/>
    <m/>
    <n v="0"/>
    <n v="0"/>
    <n v="0"/>
    <m/>
    <m/>
    <m/>
    <m/>
    <n v="0"/>
    <m/>
    <m/>
    <n v="0"/>
    <m/>
    <m/>
    <m/>
    <m/>
    <m/>
    <m/>
    <n v="0"/>
    <n v="0"/>
  </r>
  <r>
    <x v="9"/>
    <x v="3"/>
    <s v="Community or public service units"/>
    <m/>
    <n v="199892"/>
    <x v="7"/>
    <m/>
    <m/>
    <n v="153406"/>
    <n v="154006"/>
    <m/>
    <m/>
    <m/>
    <m/>
    <n v="0"/>
    <m/>
    <m/>
    <n v="0"/>
    <n v="153406"/>
    <n v="154006"/>
    <m/>
    <m/>
    <m/>
    <m/>
    <n v="0"/>
    <m/>
    <m/>
    <n v="0"/>
    <m/>
    <m/>
    <m/>
    <m/>
    <m/>
    <m/>
    <n v="153406"/>
    <n v="154006"/>
  </r>
  <r>
    <x v="9"/>
    <x v="44"/>
    <s v="Non-credit continuing education"/>
    <m/>
    <n v="199892"/>
    <x v="7"/>
    <m/>
    <m/>
    <n v="2555010"/>
    <n v="2539406"/>
    <m/>
    <m/>
    <n v="305270"/>
    <m/>
    <n v="305270"/>
    <n v="280996"/>
    <m/>
    <n v="280996"/>
    <n v="2860280"/>
    <n v="2820402"/>
    <m/>
    <m/>
    <m/>
    <m/>
    <n v="0"/>
    <m/>
    <m/>
    <n v="0"/>
    <m/>
    <m/>
    <m/>
    <m/>
    <m/>
    <m/>
    <n v="2860280"/>
    <n v="2820402"/>
  </r>
  <r>
    <x v="9"/>
    <x v="0"/>
    <s v="Western Piedmont Community College "/>
    <m/>
    <n v="199908"/>
    <x v="7"/>
    <n v="10810808"/>
    <n v="10826462"/>
    <m/>
    <m/>
    <n v="2224603"/>
    <n v="2207051"/>
    <n v="4358277"/>
    <m/>
    <n v="4358277"/>
    <n v="4355598"/>
    <m/>
    <n v="4355598"/>
    <n v="17393688"/>
    <n v="17389111"/>
    <m/>
    <m/>
    <m/>
    <m/>
    <n v="0"/>
    <m/>
    <m/>
    <n v="0"/>
    <m/>
    <m/>
    <m/>
    <m/>
    <m/>
    <m/>
    <n v="17393688"/>
    <n v="17389111"/>
  </r>
  <r>
    <x v="9"/>
    <x v="0"/>
    <s v="Nursing / allied health supplement"/>
    <m/>
    <n v="199908"/>
    <x v="7"/>
    <m/>
    <m/>
    <m/>
    <m/>
    <m/>
    <m/>
    <m/>
    <m/>
    <n v="0"/>
    <m/>
    <m/>
    <n v="0"/>
    <n v="0"/>
    <n v="0"/>
    <m/>
    <m/>
    <m/>
    <m/>
    <n v="0"/>
    <m/>
    <m/>
    <n v="0"/>
    <m/>
    <m/>
    <m/>
    <m/>
    <m/>
    <m/>
    <n v="0"/>
    <n v="0"/>
  </r>
  <r>
    <x v="9"/>
    <x v="3"/>
    <s v="Community or public service units"/>
    <m/>
    <n v="199908"/>
    <x v="7"/>
    <m/>
    <m/>
    <n v="152192"/>
    <n v="155590"/>
    <m/>
    <m/>
    <m/>
    <m/>
    <n v="0"/>
    <m/>
    <m/>
    <n v="0"/>
    <n v="152192"/>
    <n v="155590"/>
    <m/>
    <m/>
    <m/>
    <m/>
    <n v="0"/>
    <m/>
    <m/>
    <n v="0"/>
    <m/>
    <m/>
    <m/>
    <m/>
    <m/>
    <m/>
    <n v="152192"/>
    <n v="155590"/>
  </r>
  <r>
    <x v="9"/>
    <x v="44"/>
    <s v="Non-credit continuing education"/>
    <m/>
    <n v="199908"/>
    <x v="7"/>
    <m/>
    <m/>
    <n v="2578925"/>
    <n v="2588342"/>
    <m/>
    <m/>
    <n v="136159"/>
    <m/>
    <n v="136159"/>
    <n v="125333"/>
    <m/>
    <n v="125333"/>
    <n v="2715084"/>
    <n v="2713675"/>
    <m/>
    <m/>
    <m/>
    <m/>
    <n v="0"/>
    <m/>
    <m/>
    <n v="0"/>
    <m/>
    <m/>
    <m/>
    <m/>
    <m/>
    <m/>
    <n v="2715084"/>
    <n v="2713675"/>
  </r>
  <r>
    <x v="9"/>
    <x v="0"/>
    <s v="Wilkes Community College "/>
    <m/>
    <n v="199926"/>
    <x v="7"/>
    <n v="9996825"/>
    <n v="10241906"/>
    <m/>
    <m/>
    <n v="3539075"/>
    <n v="3574435"/>
    <n v="4161328"/>
    <m/>
    <n v="4161328"/>
    <n v="4158769"/>
    <m/>
    <n v="4158769"/>
    <n v="17697228"/>
    <n v="17975110"/>
    <m/>
    <m/>
    <m/>
    <m/>
    <n v="0"/>
    <m/>
    <m/>
    <n v="0"/>
    <m/>
    <m/>
    <m/>
    <m/>
    <m/>
    <m/>
    <n v="17697228"/>
    <n v="17975110"/>
  </r>
  <r>
    <x v="9"/>
    <x v="0"/>
    <s v="Nursing / allied health supplement"/>
    <m/>
    <n v="199926"/>
    <x v="7"/>
    <m/>
    <m/>
    <m/>
    <m/>
    <m/>
    <m/>
    <m/>
    <m/>
    <n v="0"/>
    <m/>
    <m/>
    <n v="0"/>
    <n v="0"/>
    <n v="0"/>
    <m/>
    <m/>
    <m/>
    <m/>
    <n v="0"/>
    <m/>
    <m/>
    <n v="0"/>
    <m/>
    <m/>
    <m/>
    <m/>
    <m/>
    <m/>
    <n v="0"/>
    <n v="0"/>
  </r>
  <r>
    <x v="9"/>
    <x v="3"/>
    <s v="Community or public service units"/>
    <m/>
    <n v="199926"/>
    <x v="7"/>
    <m/>
    <m/>
    <n v="149991"/>
    <n v="151364"/>
    <m/>
    <m/>
    <m/>
    <m/>
    <n v="0"/>
    <m/>
    <m/>
    <n v="0"/>
    <n v="149991"/>
    <n v="151364"/>
    <m/>
    <m/>
    <m/>
    <m/>
    <n v="0"/>
    <m/>
    <m/>
    <n v="0"/>
    <m/>
    <m/>
    <m/>
    <m/>
    <m/>
    <m/>
    <n v="149991"/>
    <n v="151364"/>
  </r>
  <r>
    <x v="9"/>
    <x v="44"/>
    <s v="Non-credit continuing education"/>
    <m/>
    <n v="199926"/>
    <x v="7"/>
    <m/>
    <m/>
    <n v="2097025"/>
    <n v="2094035"/>
    <m/>
    <m/>
    <n v="446017"/>
    <m/>
    <n v="446017"/>
    <n v="410551"/>
    <m/>
    <n v="410551"/>
    <n v="2543042"/>
    <n v="2504586"/>
    <m/>
    <m/>
    <m/>
    <m/>
    <n v="0"/>
    <m/>
    <m/>
    <n v="0"/>
    <m/>
    <m/>
    <m/>
    <m/>
    <m/>
    <m/>
    <n v="2543042"/>
    <n v="2504586"/>
  </r>
  <r>
    <x v="9"/>
    <x v="0"/>
    <s v="Beaufort County Community College "/>
    <m/>
    <n v="197966"/>
    <x v="8"/>
    <n v="6772257"/>
    <n v="6955042"/>
    <m/>
    <m/>
    <n v="1973949"/>
    <n v="2148745"/>
    <n v="2411221"/>
    <m/>
    <n v="2411221"/>
    <n v="2409738"/>
    <m/>
    <n v="2409738"/>
    <n v="11157427"/>
    <n v="11513525"/>
    <m/>
    <m/>
    <m/>
    <m/>
    <n v="0"/>
    <m/>
    <m/>
    <n v="0"/>
    <m/>
    <m/>
    <m/>
    <m/>
    <m/>
    <m/>
    <n v="11157427"/>
    <n v="11513525"/>
  </r>
  <r>
    <x v="9"/>
    <x v="0"/>
    <s v="Nursing / allied health supplement"/>
    <m/>
    <n v="197966"/>
    <x v="8"/>
    <m/>
    <m/>
    <m/>
    <m/>
    <m/>
    <m/>
    <m/>
    <m/>
    <n v="0"/>
    <m/>
    <m/>
    <n v="0"/>
    <n v="0"/>
    <n v="0"/>
    <m/>
    <m/>
    <m/>
    <m/>
    <n v="0"/>
    <m/>
    <m/>
    <n v="0"/>
    <m/>
    <m/>
    <m/>
    <m/>
    <m/>
    <m/>
    <n v="0"/>
    <n v="0"/>
  </r>
  <r>
    <x v="9"/>
    <x v="3"/>
    <s v="Community or public service units"/>
    <m/>
    <n v="197966"/>
    <x v="8"/>
    <m/>
    <m/>
    <n v="148781"/>
    <n v="149845"/>
    <m/>
    <m/>
    <m/>
    <m/>
    <n v="0"/>
    <m/>
    <m/>
    <n v="0"/>
    <n v="148781"/>
    <n v="149845"/>
    <m/>
    <m/>
    <m/>
    <m/>
    <n v="0"/>
    <m/>
    <m/>
    <n v="0"/>
    <m/>
    <m/>
    <m/>
    <m/>
    <m/>
    <m/>
    <n v="148781"/>
    <n v="149845"/>
  </r>
  <r>
    <x v="9"/>
    <x v="44"/>
    <s v="Non-credit continuing education"/>
    <m/>
    <n v="197966"/>
    <x v="8"/>
    <m/>
    <m/>
    <n v="1222890"/>
    <n v="1149310"/>
    <m/>
    <m/>
    <n v="137298"/>
    <m/>
    <n v="137298"/>
    <n v="126381"/>
    <m/>
    <n v="126381"/>
    <n v="1360188"/>
    <n v="1275691"/>
    <m/>
    <m/>
    <m/>
    <m/>
    <n v="0"/>
    <m/>
    <m/>
    <n v="0"/>
    <m/>
    <m/>
    <m/>
    <m/>
    <m/>
    <m/>
    <n v="1360188"/>
    <n v="1275691"/>
  </r>
  <r>
    <x v="9"/>
    <x v="0"/>
    <s v="Bladen Community College"/>
    <m/>
    <n v="198011"/>
    <x v="8"/>
    <n v="6473093"/>
    <n v="6257529"/>
    <m/>
    <m/>
    <n v="710761"/>
    <n v="731541"/>
    <n v="2477615"/>
    <m/>
    <n v="2477615"/>
    <n v="2476092"/>
    <m/>
    <n v="2476092"/>
    <n v="9661469"/>
    <n v="9465162"/>
    <m/>
    <m/>
    <m/>
    <m/>
    <n v="0"/>
    <m/>
    <m/>
    <n v="0"/>
    <m/>
    <m/>
    <m/>
    <m/>
    <m/>
    <m/>
    <n v="9661469"/>
    <n v="9465162"/>
  </r>
  <r>
    <x v="9"/>
    <x v="0"/>
    <s v="Nursing / allied health supplement"/>
    <m/>
    <n v="198011"/>
    <x v="8"/>
    <m/>
    <m/>
    <m/>
    <m/>
    <m/>
    <m/>
    <m/>
    <m/>
    <n v="0"/>
    <m/>
    <m/>
    <n v="0"/>
    <n v="0"/>
    <n v="0"/>
    <m/>
    <m/>
    <m/>
    <m/>
    <n v="0"/>
    <m/>
    <m/>
    <n v="0"/>
    <m/>
    <m/>
    <m/>
    <m/>
    <m/>
    <m/>
    <n v="0"/>
    <n v="0"/>
  </r>
  <r>
    <x v="9"/>
    <x v="3"/>
    <s v="Community or public service units"/>
    <m/>
    <n v="198011"/>
    <x v="8"/>
    <m/>
    <m/>
    <n v="143466"/>
    <n v="145402"/>
    <m/>
    <m/>
    <m/>
    <m/>
    <n v="0"/>
    <m/>
    <m/>
    <n v="0"/>
    <n v="143466"/>
    <n v="145402"/>
    <m/>
    <m/>
    <m/>
    <m/>
    <n v="0"/>
    <m/>
    <m/>
    <n v="0"/>
    <m/>
    <m/>
    <m/>
    <m/>
    <m/>
    <m/>
    <n v="143466"/>
    <n v="145402"/>
  </r>
  <r>
    <x v="9"/>
    <x v="44"/>
    <s v="Non-credit continuing education"/>
    <m/>
    <n v="198011"/>
    <x v="8"/>
    <m/>
    <m/>
    <n v="900054"/>
    <n v="880385"/>
    <m/>
    <m/>
    <n v="120378"/>
    <m/>
    <n v="120378"/>
    <n v="110806"/>
    <m/>
    <n v="110806"/>
    <n v="1020432"/>
    <n v="991191"/>
    <m/>
    <m/>
    <m/>
    <m/>
    <n v="0"/>
    <m/>
    <m/>
    <n v="0"/>
    <m/>
    <m/>
    <m/>
    <m/>
    <m/>
    <m/>
    <n v="1020432"/>
    <n v="991191"/>
  </r>
  <r>
    <x v="9"/>
    <x v="0"/>
    <s v="Blue Ridge Community College"/>
    <m/>
    <n v="198039"/>
    <x v="8"/>
    <n v="8118965"/>
    <n v="8397801"/>
    <m/>
    <m/>
    <n v="2419480"/>
    <n v="2440308"/>
    <n v="3204118"/>
    <m/>
    <n v="3204118"/>
    <n v="3202148"/>
    <m/>
    <n v="3202148"/>
    <n v="13742563"/>
    <n v="14040257"/>
    <m/>
    <m/>
    <m/>
    <m/>
    <n v="0"/>
    <m/>
    <m/>
    <n v="0"/>
    <m/>
    <m/>
    <m/>
    <m/>
    <m/>
    <m/>
    <n v="13742563"/>
    <n v="14040257"/>
  </r>
  <r>
    <x v="9"/>
    <x v="0"/>
    <s v="Nursing / allied health supplement"/>
    <m/>
    <n v="198039"/>
    <x v="8"/>
    <m/>
    <m/>
    <m/>
    <m/>
    <m/>
    <m/>
    <m/>
    <m/>
    <n v="0"/>
    <m/>
    <m/>
    <n v="0"/>
    <n v="0"/>
    <n v="0"/>
    <m/>
    <m/>
    <m/>
    <m/>
    <n v="0"/>
    <m/>
    <m/>
    <n v="0"/>
    <m/>
    <m/>
    <m/>
    <m/>
    <m/>
    <m/>
    <n v="0"/>
    <n v="0"/>
  </r>
  <r>
    <x v="9"/>
    <x v="3"/>
    <s v="Community or public service units"/>
    <m/>
    <n v="198039"/>
    <x v="8"/>
    <m/>
    <m/>
    <n v="160766"/>
    <n v="162534"/>
    <m/>
    <m/>
    <m/>
    <m/>
    <n v="0"/>
    <m/>
    <m/>
    <n v="0"/>
    <n v="160766"/>
    <n v="162534"/>
    <m/>
    <m/>
    <m/>
    <m/>
    <n v="0"/>
    <m/>
    <m/>
    <n v="0"/>
    <m/>
    <m/>
    <m/>
    <m/>
    <m/>
    <m/>
    <n v="160766"/>
    <n v="162534"/>
  </r>
  <r>
    <x v="9"/>
    <x v="44"/>
    <s v="Non-credit continuing education"/>
    <m/>
    <n v="198039"/>
    <x v="8"/>
    <m/>
    <m/>
    <n v="1778707"/>
    <n v="1803496"/>
    <m/>
    <m/>
    <n v="295658"/>
    <m/>
    <n v="295658"/>
    <n v="272148"/>
    <m/>
    <n v="272148"/>
    <n v="2074365"/>
    <n v="2075644"/>
    <m/>
    <m/>
    <m/>
    <m/>
    <n v="0"/>
    <m/>
    <m/>
    <n v="0"/>
    <m/>
    <m/>
    <m/>
    <m/>
    <m/>
    <m/>
    <n v="2074365"/>
    <n v="2075644"/>
  </r>
  <r>
    <x v="9"/>
    <x v="0"/>
    <s v="Brunswick Community College"/>
    <m/>
    <n v="198084"/>
    <x v="8"/>
    <n v="5920266"/>
    <n v="6362096"/>
    <m/>
    <m/>
    <n v="3422406"/>
    <n v="3647505"/>
    <n v="1769424"/>
    <m/>
    <n v="1769424"/>
    <n v="1768336"/>
    <m/>
    <n v="1768336"/>
    <n v="11112096"/>
    <n v="11777937"/>
    <m/>
    <m/>
    <m/>
    <m/>
    <n v="0"/>
    <m/>
    <m/>
    <n v="0"/>
    <m/>
    <m/>
    <m/>
    <m/>
    <m/>
    <m/>
    <n v="11112096"/>
    <n v="11777937"/>
  </r>
  <r>
    <x v="9"/>
    <x v="0"/>
    <s v="Nursing / allied health supplement"/>
    <m/>
    <n v="198084"/>
    <x v="8"/>
    <m/>
    <m/>
    <m/>
    <m/>
    <m/>
    <m/>
    <m/>
    <m/>
    <n v="0"/>
    <m/>
    <m/>
    <n v="0"/>
    <n v="0"/>
    <n v="0"/>
    <m/>
    <m/>
    <m/>
    <m/>
    <n v="0"/>
    <m/>
    <m/>
    <n v="0"/>
    <m/>
    <m/>
    <m/>
    <m/>
    <m/>
    <m/>
    <n v="0"/>
    <n v="0"/>
  </r>
  <r>
    <x v="9"/>
    <x v="3"/>
    <s v="Community or public service units"/>
    <m/>
    <n v="198084"/>
    <x v="8"/>
    <m/>
    <m/>
    <n v="148478"/>
    <n v="148487"/>
    <m/>
    <m/>
    <m/>
    <m/>
    <n v="0"/>
    <m/>
    <m/>
    <n v="0"/>
    <n v="148478"/>
    <n v="148487"/>
    <m/>
    <m/>
    <m/>
    <m/>
    <n v="0"/>
    <m/>
    <m/>
    <n v="0"/>
    <m/>
    <m/>
    <m/>
    <m/>
    <m/>
    <m/>
    <n v="148478"/>
    <n v="148487"/>
  </r>
  <r>
    <x v="9"/>
    <x v="44"/>
    <s v="Non-credit continuing education"/>
    <m/>
    <n v="198084"/>
    <x v="8"/>
    <m/>
    <m/>
    <n v="1559463"/>
    <n v="1581896"/>
    <m/>
    <m/>
    <n v="173900"/>
    <m/>
    <n v="173900"/>
    <n v="160072"/>
    <m/>
    <n v="160072"/>
    <n v="1733363"/>
    <n v="1741968"/>
    <m/>
    <m/>
    <m/>
    <m/>
    <n v="0"/>
    <m/>
    <m/>
    <n v="0"/>
    <m/>
    <m/>
    <m/>
    <m/>
    <m/>
    <m/>
    <n v="1733363"/>
    <n v="1741968"/>
  </r>
  <r>
    <x v="9"/>
    <x v="0"/>
    <s v="Carteret Community College"/>
    <m/>
    <n v="198206"/>
    <x v="8"/>
    <n v="6419004"/>
    <n v="6503599"/>
    <m/>
    <m/>
    <n v="2043000"/>
    <n v="2053000"/>
    <n v="2517162"/>
    <m/>
    <n v="2517162"/>
    <n v="2515615"/>
    <m/>
    <n v="2515615"/>
    <n v="10979166"/>
    <n v="11072214"/>
    <m/>
    <m/>
    <m/>
    <m/>
    <n v="0"/>
    <m/>
    <m/>
    <n v="0"/>
    <m/>
    <m/>
    <m/>
    <m/>
    <m/>
    <m/>
    <n v="10979166"/>
    <n v="11072214"/>
  </r>
  <r>
    <x v="9"/>
    <x v="0"/>
    <s v="Nursing / allied health supplement"/>
    <m/>
    <n v="198206"/>
    <x v="8"/>
    <m/>
    <m/>
    <m/>
    <m/>
    <m/>
    <m/>
    <m/>
    <m/>
    <n v="0"/>
    <m/>
    <m/>
    <n v="0"/>
    <n v="0"/>
    <n v="0"/>
    <m/>
    <m/>
    <m/>
    <m/>
    <n v="0"/>
    <m/>
    <m/>
    <n v="0"/>
    <m/>
    <m/>
    <m/>
    <m/>
    <m/>
    <m/>
    <n v="0"/>
    <n v="0"/>
  </r>
  <r>
    <x v="9"/>
    <x v="3"/>
    <s v="Community or public service units"/>
    <m/>
    <n v="198206"/>
    <x v="8"/>
    <m/>
    <m/>
    <n v="152272"/>
    <n v="151279"/>
    <m/>
    <m/>
    <m/>
    <m/>
    <n v="0"/>
    <m/>
    <m/>
    <n v="0"/>
    <n v="152272"/>
    <n v="151279"/>
    <m/>
    <m/>
    <m/>
    <m/>
    <n v="0"/>
    <m/>
    <m/>
    <n v="0"/>
    <m/>
    <m/>
    <m/>
    <m/>
    <m/>
    <m/>
    <n v="152272"/>
    <n v="151279"/>
  </r>
  <r>
    <x v="9"/>
    <x v="44"/>
    <s v="Non-credit continuing education"/>
    <m/>
    <n v="198206"/>
    <x v="8"/>
    <m/>
    <m/>
    <n v="1205272"/>
    <n v="1238476"/>
    <m/>
    <m/>
    <n v="274482"/>
    <m/>
    <n v="274482"/>
    <n v="252656"/>
    <m/>
    <n v="252656"/>
    <n v="1479754"/>
    <n v="1491132"/>
    <m/>
    <m/>
    <m/>
    <m/>
    <n v="0"/>
    <m/>
    <m/>
    <n v="0"/>
    <m/>
    <m/>
    <m/>
    <m/>
    <m/>
    <m/>
    <n v="1479754"/>
    <n v="1491132"/>
  </r>
  <r>
    <x v="9"/>
    <x v="0"/>
    <s v="College of the Albemarle"/>
    <s v="Met the criteria for Two-Year 2 in 2012-13."/>
    <n v="197814"/>
    <x v="8"/>
    <n v="8856553"/>
    <n v="9130754"/>
    <m/>
    <m/>
    <n v="1933296"/>
    <n v="2172196"/>
    <n v="3563981"/>
    <m/>
    <n v="3563981"/>
    <n v="3561790"/>
    <m/>
    <n v="3561790"/>
    <n v="14353830"/>
    <n v="14864740"/>
    <m/>
    <m/>
    <m/>
    <m/>
    <n v="0"/>
    <m/>
    <m/>
    <n v="0"/>
    <m/>
    <m/>
    <m/>
    <m/>
    <m/>
    <m/>
    <n v="14353830"/>
    <n v="14864740"/>
  </r>
  <r>
    <x v="9"/>
    <x v="0"/>
    <s v="Nursing / allied health supplement"/>
    <m/>
    <n v="197814"/>
    <x v="8"/>
    <m/>
    <m/>
    <m/>
    <m/>
    <m/>
    <m/>
    <m/>
    <m/>
    <n v="0"/>
    <m/>
    <m/>
    <n v="0"/>
    <n v="0"/>
    <n v="0"/>
    <m/>
    <m/>
    <m/>
    <m/>
    <n v="0"/>
    <m/>
    <m/>
    <n v="0"/>
    <m/>
    <m/>
    <m/>
    <m/>
    <m/>
    <m/>
    <n v="0"/>
    <n v="0"/>
  </r>
  <r>
    <x v="9"/>
    <x v="3"/>
    <s v="Community or public service units"/>
    <m/>
    <n v="197814"/>
    <x v="8"/>
    <m/>
    <m/>
    <n v="156596"/>
    <n v="156939"/>
    <m/>
    <m/>
    <m/>
    <m/>
    <n v="0"/>
    <m/>
    <m/>
    <n v="0"/>
    <n v="156596"/>
    <n v="156939"/>
    <m/>
    <m/>
    <m/>
    <m/>
    <n v="0"/>
    <m/>
    <m/>
    <n v="0"/>
    <m/>
    <m/>
    <m/>
    <m/>
    <m/>
    <m/>
    <n v="156596"/>
    <n v="156939"/>
  </r>
  <r>
    <x v="9"/>
    <x v="44"/>
    <s v="Non-credit continuing education"/>
    <m/>
    <n v="197814"/>
    <x v="8"/>
    <m/>
    <m/>
    <n v="1663950"/>
    <n v="1453319"/>
    <m/>
    <m/>
    <n v="233096"/>
    <m/>
    <n v="233096"/>
    <n v="214562"/>
    <m/>
    <n v="214562"/>
    <n v="1897046"/>
    <n v="1667881"/>
    <m/>
    <m/>
    <m/>
    <m/>
    <n v="0"/>
    <m/>
    <m/>
    <n v="0"/>
    <m/>
    <m/>
    <m/>
    <m/>
    <m/>
    <m/>
    <n v="1897046"/>
    <n v="1667881"/>
  </r>
  <r>
    <x v="9"/>
    <x v="0"/>
    <s v="Halifax Community College "/>
    <m/>
    <n v="198640"/>
    <x v="8"/>
    <n v="6624285"/>
    <n v="6474988"/>
    <m/>
    <m/>
    <n v="955522"/>
    <n v="1010599"/>
    <n v="2328803"/>
    <m/>
    <n v="2328803"/>
    <n v="2327371"/>
    <m/>
    <n v="2327371"/>
    <n v="9908610"/>
    <n v="9812958"/>
    <m/>
    <m/>
    <m/>
    <m/>
    <n v="0"/>
    <m/>
    <m/>
    <n v="0"/>
    <m/>
    <m/>
    <m/>
    <m/>
    <m/>
    <m/>
    <n v="9908610"/>
    <n v="9812958"/>
  </r>
  <r>
    <x v="9"/>
    <x v="0"/>
    <s v="Nursing / allied health supplement"/>
    <m/>
    <n v="198640"/>
    <x v="8"/>
    <m/>
    <m/>
    <m/>
    <m/>
    <m/>
    <m/>
    <m/>
    <m/>
    <n v="0"/>
    <m/>
    <m/>
    <n v="0"/>
    <n v="0"/>
    <n v="0"/>
    <m/>
    <m/>
    <m/>
    <m/>
    <n v="0"/>
    <m/>
    <m/>
    <n v="0"/>
    <m/>
    <m/>
    <m/>
    <m/>
    <m/>
    <m/>
    <n v="0"/>
    <n v="0"/>
  </r>
  <r>
    <x v="9"/>
    <x v="3"/>
    <s v="Community or public service units"/>
    <m/>
    <n v="198640"/>
    <x v="8"/>
    <m/>
    <m/>
    <n v="150602"/>
    <n v="151958"/>
    <m/>
    <m/>
    <m/>
    <m/>
    <n v="0"/>
    <m/>
    <m/>
    <n v="0"/>
    <n v="150602"/>
    <n v="151958"/>
    <m/>
    <m/>
    <m/>
    <m/>
    <n v="0"/>
    <m/>
    <m/>
    <n v="0"/>
    <m/>
    <m/>
    <m/>
    <m/>
    <m/>
    <m/>
    <n v="150602"/>
    <n v="151958"/>
  </r>
  <r>
    <x v="9"/>
    <x v="44"/>
    <s v="Non-credit continuing education"/>
    <m/>
    <n v="198640"/>
    <x v="8"/>
    <m/>
    <m/>
    <n v="1028576"/>
    <n v="1140546"/>
    <m/>
    <m/>
    <n v="111902"/>
    <m/>
    <n v="111902"/>
    <n v="103004"/>
    <m/>
    <n v="103004"/>
    <n v="1140478"/>
    <n v="1243550"/>
    <m/>
    <m/>
    <m/>
    <m/>
    <n v="0"/>
    <m/>
    <m/>
    <n v="0"/>
    <m/>
    <m/>
    <m/>
    <m/>
    <m/>
    <m/>
    <n v="1140478"/>
    <n v="1243550"/>
  </r>
  <r>
    <x v="9"/>
    <x v="0"/>
    <s v="James Sprunt Community College"/>
    <m/>
    <n v="198729"/>
    <x v="8"/>
    <n v="5359796"/>
    <n v="5492674"/>
    <m/>
    <m/>
    <n v="1362585"/>
    <n v="1362585"/>
    <n v="1926449"/>
    <m/>
    <n v="1926449"/>
    <n v="1925265"/>
    <m/>
    <n v="1925265"/>
    <n v="8648830"/>
    <n v="8780524"/>
    <m/>
    <m/>
    <m/>
    <m/>
    <n v="0"/>
    <m/>
    <m/>
    <n v="0"/>
    <m/>
    <m/>
    <m/>
    <m/>
    <m/>
    <m/>
    <n v="8648830"/>
    <n v="8780524"/>
  </r>
  <r>
    <x v="9"/>
    <x v="0"/>
    <s v="Nursing / allied health supplement"/>
    <m/>
    <n v="198729"/>
    <x v="8"/>
    <m/>
    <m/>
    <m/>
    <m/>
    <m/>
    <m/>
    <m/>
    <m/>
    <n v="0"/>
    <m/>
    <m/>
    <n v="0"/>
    <n v="0"/>
    <n v="0"/>
    <m/>
    <m/>
    <m/>
    <m/>
    <n v="0"/>
    <m/>
    <m/>
    <n v="0"/>
    <m/>
    <m/>
    <m/>
    <m/>
    <m/>
    <m/>
    <n v="0"/>
    <n v="0"/>
  </r>
  <r>
    <x v="9"/>
    <x v="3"/>
    <s v="Community or public service units"/>
    <m/>
    <n v="198729"/>
    <x v="8"/>
    <m/>
    <m/>
    <n v="153026"/>
    <n v="155666"/>
    <m/>
    <m/>
    <m/>
    <m/>
    <n v="0"/>
    <m/>
    <m/>
    <n v="0"/>
    <n v="153026"/>
    <n v="155666"/>
    <m/>
    <m/>
    <m/>
    <m/>
    <n v="0"/>
    <m/>
    <m/>
    <n v="0"/>
    <m/>
    <m/>
    <m/>
    <m/>
    <m/>
    <m/>
    <n v="153026"/>
    <n v="155666"/>
  </r>
  <r>
    <x v="9"/>
    <x v="44"/>
    <s v="Non-credit continuing education"/>
    <m/>
    <n v="198729"/>
    <x v="8"/>
    <m/>
    <m/>
    <n v="1054758"/>
    <n v="957223"/>
    <m/>
    <m/>
    <n v="122724"/>
    <m/>
    <n v="122724"/>
    <n v="112966"/>
    <m/>
    <n v="112966"/>
    <n v="1177482"/>
    <n v="1070189"/>
    <m/>
    <m/>
    <m/>
    <m/>
    <n v="0"/>
    <m/>
    <m/>
    <n v="0"/>
    <m/>
    <m/>
    <m/>
    <m/>
    <m/>
    <m/>
    <n v="1177482"/>
    <n v="1070189"/>
  </r>
  <r>
    <x v="9"/>
    <x v="0"/>
    <s v="Martin Community College "/>
    <m/>
    <n v="198905"/>
    <x v="8"/>
    <n v="3940790"/>
    <n v="3970446"/>
    <m/>
    <m/>
    <n v="1013562"/>
    <n v="936098"/>
    <n v="1116627"/>
    <m/>
    <n v="1116627"/>
    <n v="1115941"/>
    <m/>
    <n v="1115941"/>
    <n v="6070979"/>
    <n v="6022485"/>
    <m/>
    <m/>
    <m/>
    <m/>
    <n v="0"/>
    <m/>
    <m/>
    <n v="0"/>
    <m/>
    <m/>
    <m/>
    <m/>
    <m/>
    <m/>
    <n v="6070979"/>
    <n v="6022485"/>
  </r>
  <r>
    <x v="9"/>
    <x v="0"/>
    <s v="Nursing / allied health supplement"/>
    <m/>
    <n v="198905"/>
    <x v="8"/>
    <m/>
    <m/>
    <m/>
    <m/>
    <m/>
    <m/>
    <m/>
    <m/>
    <n v="0"/>
    <m/>
    <m/>
    <n v="0"/>
    <n v="0"/>
    <n v="0"/>
    <m/>
    <m/>
    <m/>
    <m/>
    <n v="0"/>
    <m/>
    <m/>
    <n v="0"/>
    <m/>
    <m/>
    <m/>
    <m/>
    <m/>
    <m/>
    <n v="0"/>
    <n v="0"/>
  </r>
  <r>
    <x v="9"/>
    <x v="3"/>
    <s v="Community or public service units"/>
    <m/>
    <n v="198905"/>
    <x v="8"/>
    <m/>
    <m/>
    <n v="144988"/>
    <n v="146373"/>
    <m/>
    <m/>
    <m/>
    <m/>
    <n v="0"/>
    <m/>
    <m/>
    <n v="0"/>
    <n v="144988"/>
    <n v="146373"/>
    <m/>
    <m/>
    <m/>
    <m/>
    <n v="0"/>
    <m/>
    <m/>
    <n v="0"/>
    <m/>
    <m/>
    <m/>
    <m/>
    <m/>
    <m/>
    <n v="144988"/>
    <n v="146373"/>
  </r>
  <r>
    <x v="9"/>
    <x v="44"/>
    <s v="Non-credit continuing education"/>
    <m/>
    <n v="198905"/>
    <x v="8"/>
    <m/>
    <m/>
    <n v="1040634"/>
    <n v="993840"/>
    <m/>
    <m/>
    <n v="117022"/>
    <m/>
    <n v="117022"/>
    <n v="107717"/>
    <m/>
    <n v="107717"/>
    <n v="1157656"/>
    <n v="1101557"/>
    <m/>
    <m/>
    <m/>
    <m/>
    <n v="0"/>
    <m/>
    <m/>
    <n v="0"/>
    <m/>
    <m/>
    <m/>
    <m/>
    <m/>
    <m/>
    <n v="1157656"/>
    <n v="1101557"/>
  </r>
  <r>
    <x v="9"/>
    <x v="0"/>
    <s v="Mayland Community College"/>
    <m/>
    <n v="198914"/>
    <x v="8"/>
    <n v="6302452"/>
    <n v="5977188"/>
    <m/>
    <m/>
    <n v="779534"/>
    <n v="898957"/>
    <n v="1156900"/>
    <m/>
    <n v="1156900"/>
    <n v="1156189"/>
    <m/>
    <n v="1156189"/>
    <n v="8238886"/>
    <n v="8032334"/>
    <m/>
    <m/>
    <m/>
    <m/>
    <n v="0"/>
    <m/>
    <m/>
    <n v="0"/>
    <m/>
    <m/>
    <m/>
    <m/>
    <m/>
    <m/>
    <n v="8238886"/>
    <n v="8032334"/>
  </r>
  <r>
    <x v="9"/>
    <x v="0"/>
    <s v="Nursing / allied health supplement"/>
    <m/>
    <n v="198914"/>
    <x v="8"/>
    <m/>
    <m/>
    <m/>
    <m/>
    <m/>
    <m/>
    <m/>
    <m/>
    <n v="0"/>
    <m/>
    <m/>
    <n v="0"/>
    <n v="0"/>
    <n v="0"/>
    <m/>
    <m/>
    <m/>
    <m/>
    <n v="0"/>
    <m/>
    <m/>
    <n v="0"/>
    <m/>
    <m/>
    <m/>
    <m/>
    <m/>
    <m/>
    <n v="0"/>
    <n v="0"/>
  </r>
  <r>
    <x v="9"/>
    <x v="3"/>
    <s v="Community or public service units"/>
    <m/>
    <n v="198914"/>
    <x v="8"/>
    <m/>
    <m/>
    <n v="148781"/>
    <n v="150223"/>
    <m/>
    <m/>
    <m/>
    <m/>
    <n v="0"/>
    <m/>
    <m/>
    <n v="0"/>
    <n v="148781"/>
    <n v="150223"/>
    <m/>
    <m/>
    <m/>
    <m/>
    <n v="0"/>
    <m/>
    <m/>
    <n v="0"/>
    <m/>
    <m/>
    <m/>
    <m/>
    <m/>
    <m/>
    <n v="148781"/>
    <n v="150223"/>
  </r>
  <r>
    <x v="9"/>
    <x v="44"/>
    <s v="Non-credit continuing education"/>
    <m/>
    <n v="198914"/>
    <x v="8"/>
    <m/>
    <m/>
    <n v="2046157"/>
    <n v="2047907"/>
    <m/>
    <m/>
    <n v="153523"/>
    <m/>
    <n v="153523"/>
    <n v="141316"/>
    <m/>
    <n v="141316"/>
    <n v="2199680"/>
    <n v="2189223"/>
    <m/>
    <m/>
    <m/>
    <m/>
    <n v="0"/>
    <m/>
    <m/>
    <n v="0"/>
    <m/>
    <m/>
    <m/>
    <m/>
    <m/>
    <m/>
    <n v="2199680"/>
    <n v="2189223"/>
  </r>
  <r>
    <x v="9"/>
    <x v="0"/>
    <s v="McDowell Technical Community College"/>
    <m/>
    <n v="198923"/>
    <x v="8"/>
    <n v="5647364"/>
    <n v="5636835"/>
    <m/>
    <m/>
    <n v="826658"/>
    <n v="853688"/>
    <n v="1984253"/>
    <m/>
    <n v="1984253"/>
    <n v="1983033"/>
    <m/>
    <n v="1983033"/>
    <n v="8458275"/>
    <n v="8473556"/>
    <m/>
    <m/>
    <m/>
    <m/>
    <n v="0"/>
    <m/>
    <m/>
    <n v="0"/>
    <m/>
    <m/>
    <m/>
    <m/>
    <m/>
    <m/>
    <n v="8458275"/>
    <n v="8473556"/>
  </r>
  <r>
    <x v="9"/>
    <x v="0"/>
    <s v="Nursing / allied health supplement"/>
    <m/>
    <n v="198923"/>
    <x v="8"/>
    <m/>
    <m/>
    <m/>
    <m/>
    <m/>
    <m/>
    <m/>
    <m/>
    <n v="0"/>
    <m/>
    <m/>
    <n v="0"/>
    <n v="0"/>
    <n v="0"/>
    <m/>
    <m/>
    <m/>
    <m/>
    <n v="0"/>
    <m/>
    <m/>
    <n v="0"/>
    <m/>
    <m/>
    <m/>
    <m/>
    <m/>
    <m/>
    <n v="0"/>
    <n v="0"/>
  </r>
  <r>
    <x v="9"/>
    <x v="3"/>
    <s v="Community or public service units"/>
    <m/>
    <n v="198923"/>
    <x v="8"/>
    <m/>
    <m/>
    <n v="145060"/>
    <n v="143506"/>
    <m/>
    <m/>
    <m/>
    <m/>
    <n v="0"/>
    <m/>
    <m/>
    <n v="0"/>
    <n v="145060"/>
    <n v="143506"/>
    <m/>
    <m/>
    <m/>
    <m/>
    <n v="0"/>
    <m/>
    <m/>
    <n v="0"/>
    <m/>
    <m/>
    <m/>
    <m/>
    <m/>
    <m/>
    <n v="145060"/>
    <n v="143506"/>
  </r>
  <r>
    <x v="9"/>
    <x v="44"/>
    <s v="Non-credit continuing education"/>
    <m/>
    <n v="198923"/>
    <x v="8"/>
    <m/>
    <m/>
    <n v="1177887"/>
    <n v="1188896"/>
    <m/>
    <m/>
    <n v="45109"/>
    <m/>
    <n v="45109"/>
    <n v="41522"/>
    <m/>
    <n v="41522"/>
    <n v="1222996"/>
    <n v="1230418"/>
    <m/>
    <m/>
    <m/>
    <m/>
    <n v="0"/>
    <m/>
    <m/>
    <n v="0"/>
    <m/>
    <m/>
    <m/>
    <m/>
    <m/>
    <m/>
    <n v="1222996"/>
    <n v="1230418"/>
  </r>
  <r>
    <x v="9"/>
    <x v="0"/>
    <s v="Montgomery Community College"/>
    <m/>
    <n v="199023"/>
    <x v="8"/>
    <n v="3814479"/>
    <n v="3823136"/>
    <m/>
    <m/>
    <n v="754834"/>
    <n v="756375"/>
    <n v="1244403"/>
    <m/>
    <n v="1244403"/>
    <n v="1243638"/>
    <m/>
    <n v="1243638"/>
    <n v="5813716"/>
    <n v="5823149"/>
    <m/>
    <m/>
    <m/>
    <m/>
    <n v="0"/>
    <m/>
    <m/>
    <n v="0"/>
    <m/>
    <m/>
    <m/>
    <m/>
    <m/>
    <m/>
    <n v="5813716"/>
    <n v="5823149"/>
  </r>
  <r>
    <x v="9"/>
    <x v="0"/>
    <s v="Nursing / allied health supplement"/>
    <m/>
    <n v="199023"/>
    <x v="8"/>
    <m/>
    <m/>
    <m/>
    <m/>
    <m/>
    <m/>
    <m/>
    <m/>
    <n v="0"/>
    <m/>
    <m/>
    <n v="0"/>
    <n v="0"/>
    <n v="0"/>
    <m/>
    <m/>
    <m/>
    <m/>
    <n v="0"/>
    <m/>
    <m/>
    <n v="0"/>
    <m/>
    <m/>
    <m/>
    <m/>
    <m/>
    <m/>
    <n v="0"/>
    <n v="0"/>
  </r>
  <r>
    <x v="9"/>
    <x v="3"/>
    <s v="Community or public service units"/>
    <m/>
    <n v="199023"/>
    <x v="8"/>
    <m/>
    <m/>
    <n v="147795"/>
    <n v="149015"/>
    <m/>
    <m/>
    <m/>
    <m/>
    <n v="0"/>
    <m/>
    <m/>
    <n v="0"/>
    <n v="147795"/>
    <n v="149015"/>
    <m/>
    <m/>
    <m/>
    <m/>
    <n v="0"/>
    <m/>
    <m/>
    <n v="0"/>
    <m/>
    <m/>
    <m/>
    <m/>
    <m/>
    <m/>
    <n v="147795"/>
    <n v="149015"/>
  </r>
  <r>
    <x v="9"/>
    <x v="44"/>
    <s v="Non-credit continuing education"/>
    <m/>
    <n v="199023"/>
    <x v="8"/>
    <m/>
    <m/>
    <n v="866572"/>
    <n v="936250"/>
    <m/>
    <m/>
    <n v="103687"/>
    <m/>
    <n v="103687"/>
    <n v="95443"/>
    <m/>
    <n v="95443"/>
    <n v="970259"/>
    <n v="1031693"/>
    <m/>
    <m/>
    <m/>
    <m/>
    <n v="0"/>
    <m/>
    <m/>
    <n v="0"/>
    <m/>
    <m/>
    <m/>
    <m/>
    <m/>
    <m/>
    <n v="970259"/>
    <n v="1031693"/>
  </r>
  <r>
    <x v="9"/>
    <x v="0"/>
    <s v="Pamlico Community College"/>
    <m/>
    <n v="199263"/>
    <x v="8"/>
    <n v="3416638"/>
    <n v="3238464"/>
    <m/>
    <m/>
    <n v="552302"/>
    <n v="532033"/>
    <n v="506355"/>
    <m/>
    <n v="506355"/>
    <n v="506043"/>
    <m/>
    <n v="506043"/>
    <n v="4475295"/>
    <n v="4276540"/>
    <m/>
    <m/>
    <m/>
    <m/>
    <n v="0"/>
    <m/>
    <m/>
    <n v="0"/>
    <m/>
    <m/>
    <m/>
    <m/>
    <m/>
    <m/>
    <n v="4475295"/>
    <n v="4276540"/>
  </r>
  <r>
    <x v="9"/>
    <x v="0"/>
    <s v="Nursing / allied health supplement"/>
    <m/>
    <n v="199263"/>
    <x v="8"/>
    <m/>
    <m/>
    <m/>
    <m/>
    <m/>
    <m/>
    <m/>
    <m/>
    <n v="0"/>
    <m/>
    <m/>
    <n v="0"/>
    <n v="0"/>
    <n v="0"/>
    <m/>
    <m/>
    <m/>
    <m/>
    <n v="0"/>
    <m/>
    <m/>
    <n v="0"/>
    <m/>
    <m/>
    <m/>
    <m/>
    <m/>
    <m/>
    <n v="0"/>
    <n v="0"/>
  </r>
  <r>
    <x v="9"/>
    <x v="3"/>
    <s v="Community or public service units"/>
    <m/>
    <n v="199263"/>
    <x v="8"/>
    <m/>
    <m/>
    <n v="94984"/>
    <n v="97515"/>
    <m/>
    <m/>
    <m/>
    <m/>
    <n v="0"/>
    <m/>
    <m/>
    <n v="0"/>
    <n v="94984"/>
    <n v="97515"/>
    <m/>
    <m/>
    <m/>
    <m/>
    <n v="0"/>
    <m/>
    <m/>
    <n v="0"/>
    <m/>
    <m/>
    <m/>
    <m/>
    <m/>
    <m/>
    <n v="94984"/>
    <n v="97515"/>
  </r>
  <r>
    <x v="9"/>
    <x v="44"/>
    <s v="Non-credit continuing education"/>
    <m/>
    <n v="199263"/>
    <x v="8"/>
    <m/>
    <m/>
    <n v="775978"/>
    <n v="715622"/>
    <m/>
    <m/>
    <n v="31399"/>
    <m/>
    <n v="31399"/>
    <n v="28903"/>
    <m/>
    <n v="28903"/>
    <n v="807377"/>
    <n v="744525"/>
    <m/>
    <m/>
    <m/>
    <m/>
    <n v="0"/>
    <m/>
    <m/>
    <n v="0"/>
    <m/>
    <m/>
    <m/>
    <m/>
    <m/>
    <m/>
    <n v="807377"/>
    <n v="744525"/>
  </r>
  <r>
    <x v="9"/>
    <x v="0"/>
    <s v="Piedmont Community College"/>
    <m/>
    <n v="199324"/>
    <x v="8"/>
    <n v="10158398"/>
    <n v="9557969"/>
    <m/>
    <m/>
    <n v="1240929"/>
    <n v="1246263"/>
    <n v="2752553"/>
    <m/>
    <n v="2752553"/>
    <n v="2750860"/>
    <m/>
    <n v="2750860"/>
    <n v="14151880"/>
    <n v="13555092"/>
    <m/>
    <m/>
    <m/>
    <m/>
    <n v="0"/>
    <m/>
    <m/>
    <n v="0"/>
    <m/>
    <m/>
    <m/>
    <m/>
    <m/>
    <m/>
    <n v="14151880"/>
    <n v="13555092"/>
  </r>
  <r>
    <x v="9"/>
    <x v="0"/>
    <s v="Nursing / allied health supplement"/>
    <m/>
    <n v="199324"/>
    <x v="8"/>
    <m/>
    <m/>
    <m/>
    <m/>
    <m/>
    <m/>
    <m/>
    <m/>
    <n v="0"/>
    <m/>
    <m/>
    <n v="0"/>
    <n v="0"/>
    <n v="0"/>
    <m/>
    <m/>
    <m/>
    <m/>
    <n v="0"/>
    <m/>
    <m/>
    <n v="0"/>
    <m/>
    <m/>
    <m/>
    <m/>
    <m/>
    <m/>
    <n v="0"/>
    <n v="0"/>
  </r>
  <r>
    <x v="9"/>
    <x v="3"/>
    <s v="Community or public service units"/>
    <m/>
    <n v="199324"/>
    <x v="8"/>
    <m/>
    <m/>
    <n v="146429"/>
    <n v="147581"/>
    <m/>
    <m/>
    <m/>
    <m/>
    <n v="0"/>
    <m/>
    <m/>
    <n v="0"/>
    <n v="146429"/>
    <n v="147581"/>
    <m/>
    <m/>
    <m/>
    <m/>
    <n v="0"/>
    <m/>
    <m/>
    <n v="0"/>
    <m/>
    <m/>
    <m/>
    <m/>
    <m/>
    <m/>
    <n v="146429"/>
    <n v="147581"/>
  </r>
  <r>
    <x v="9"/>
    <x v="44"/>
    <s v="Non-credit continuing education"/>
    <m/>
    <n v="199324"/>
    <x v="8"/>
    <m/>
    <m/>
    <n v="1674146"/>
    <n v="1760353"/>
    <m/>
    <m/>
    <n v="236163"/>
    <m/>
    <n v="236163"/>
    <n v="217384"/>
    <m/>
    <n v="217384"/>
    <n v="1910309"/>
    <n v="1977737"/>
    <m/>
    <m/>
    <m/>
    <m/>
    <n v="0"/>
    <m/>
    <m/>
    <n v="0"/>
    <m/>
    <m/>
    <m/>
    <m/>
    <m/>
    <m/>
    <n v="1910309"/>
    <n v="1977737"/>
  </r>
  <r>
    <x v="9"/>
    <x v="0"/>
    <s v="Richmond Community College"/>
    <s v="Met the criteria for Two-Year 2 in 2012-13."/>
    <n v="199449"/>
    <x v="8"/>
    <n v="7447946"/>
    <n v="8474026"/>
    <m/>
    <m/>
    <n v="1259804"/>
    <n v="2004573"/>
    <n v="3048287"/>
    <m/>
    <n v="3048287"/>
    <n v="3046413"/>
    <m/>
    <n v="3046413"/>
    <n v="11756037"/>
    <n v="13525012"/>
    <m/>
    <m/>
    <m/>
    <m/>
    <n v="0"/>
    <m/>
    <m/>
    <n v="0"/>
    <m/>
    <m/>
    <m/>
    <m/>
    <m/>
    <m/>
    <n v="11756037"/>
    <n v="13525012"/>
  </r>
  <r>
    <x v="9"/>
    <x v="0"/>
    <s v="Nursing / allied health supplement"/>
    <m/>
    <n v="199449"/>
    <x v="8"/>
    <m/>
    <m/>
    <m/>
    <m/>
    <m/>
    <m/>
    <m/>
    <m/>
    <n v="0"/>
    <m/>
    <m/>
    <n v="0"/>
    <n v="0"/>
    <n v="0"/>
    <m/>
    <m/>
    <m/>
    <m/>
    <n v="0"/>
    <m/>
    <m/>
    <n v="0"/>
    <m/>
    <m/>
    <m/>
    <m/>
    <m/>
    <m/>
    <n v="0"/>
    <n v="0"/>
  </r>
  <r>
    <x v="9"/>
    <x v="3"/>
    <s v="Community or public service units"/>
    <m/>
    <n v="199449"/>
    <x v="8"/>
    <m/>
    <m/>
    <n v="152647"/>
    <n v="155138"/>
    <m/>
    <m/>
    <m/>
    <m/>
    <n v="0"/>
    <m/>
    <m/>
    <n v="0"/>
    <n v="152647"/>
    <n v="155138"/>
    <m/>
    <m/>
    <m/>
    <m/>
    <n v="0"/>
    <m/>
    <m/>
    <n v="0"/>
    <m/>
    <m/>
    <m/>
    <m/>
    <m/>
    <m/>
    <n v="152647"/>
    <n v="155138"/>
  </r>
  <r>
    <x v="9"/>
    <x v="44"/>
    <s v="Non-credit continuing education"/>
    <m/>
    <n v="199449"/>
    <x v="8"/>
    <m/>
    <m/>
    <n v="2442813"/>
    <n v="2384084"/>
    <m/>
    <m/>
    <n v="91891"/>
    <m/>
    <n v="91891"/>
    <n v="84584"/>
    <m/>
    <n v="84584"/>
    <n v="2534704"/>
    <n v="2468668"/>
    <m/>
    <m/>
    <m/>
    <m/>
    <n v="0"/>
    <m/>
    <m/>
    <n v="0"/>
    <m/>
    <m/>
    <m/>
    <m/>
    <m/>
    <m/>
    <n v="2534704"/>
    <n v="2468668"/>
  </r>
  <r>
    <x v="9"/>
    <x v="0"/>
    <s v="Roanoke-Chowan Community College"/>
    <m/>
    <n v="199467"/>
    <x v="8"/>
    <n v="4140648"/>
    <n v="4078171"/>
    <m/>
    <m/>
    <n v="887839"/>
    <n v="861839"/>
    <n v="1032446"/>
    <m/>
    <n v="1032446"/>
    <n v="1031811"/>
    <m/>
    <n v="1031811"/>
    <n v="6060933"/>
    <n v="5971821"/>
    <m/>
    <m/>
    <m/>
    <m/>
    <n v="0"/>
    <m/>
    <m/>
    <n v="0"/>
    <m/>
    <m/>
    <m/>
    <m/>
    <m/>
    <m/>
    <n v="6060933"/>
    <n v="5971821"/>
  </r>
  <r>
    <x v="9"/>
    <x v="0"/>
    <s v="Nursing / allied health supplement"/>
    <m/>
    <n v="199467"/>
    <x v="8"/>
    <m/>
    <m/>
    <m/>
    <m/>
    <m/>
    <m/>
    <m/>
    <m/>
    <n v="0"/>
    <m/>
    <m/>
    <n v="0"/>
    <n v="0"/>
    <n v="0"/>
    <m/>
    <m/>
    <m/>
    <m/>
    <n v="0"/>
    <m/>
    <m/>
    <n v="0"/>
    <m/>
    <m/>
    <m/>
    <m/>
    <m/>
    <m/>
    <n v="0"/>
    <n v="0"/>
  </r>
  <r>
    <x v="9"/>
    <x v="3"/>
    <s v="Community or public service units"/>
    <m/>
    <n v="199467"/>
    <x v="8"/>
    <m/>
    <m/>
    <n v="143015"/>
    <n v="146751"/>
    <m/>
    <m/>
    <m/>
    <m/>
    <n v="0"/>
    <m/>
    <m/>
    <n v="0"/>
    <n v="143015"/>
    <n v="146751"/>
    <m/>
    <m/>
    <m/>
    <m/>
    <n v="0"/>
    <m/>
    <m/>
    <n v="0"/>
    <m/>
    <m/>
    <m/>
    <m/>
    <m/>
    <m/>
    <n v="143015"/>
    <n v="146751"/>
  </r>
  <r>
    <x v="9"/>
    <x v="44"/>
    <s v="Non-credit continuing education"/>
    <m/>
    <n v="199467"/>
    <x v="8"/>
    <m/>
    <m/>
    <n v="915325"/>
    <n v="875643"/>
    <m/>
    <m/>
    <n v="60458"/>
    <m/>
    <n v="60458"/>
    <n v="55651"/>
    <m/>
    <n v="55651"/>
    <n v="975783"/>
    <n v="931294"/>
    <m/>
    <m/>
    <m/>
    <m/>
    <n v="0"/>
    <m/>
    <m/>
    <n v="0"/>
    <m/>
    <m/>
    <m/>
    <m/>
    <m/>
    <m/>
    <n v="975783"/>
    <n v="931294"/>
  </r>
  <r>
    <x v="9"/>
    <x v="0"/>
    <s v="Rockingham Community College "/>
    <m/>
    <n v="199485"/>
    <x v="8"/>
    <n v="7744458"/>
    <n v="7648654"/>
    <m/>
    <m/>
    <n v="2382036"/>
    <n v="2561809"/>
    <n v="3295731"/>
    <m/>
    <n v="3295731"/>
    <n v="3293705"/>
    <m/>
    <n v="3293705"/>
    <n v="13422225"/>
    <n v="13504168"/>
    <m/>
    <m/>
    <m/>
    <m/>
    <n v="0"/>
    <m/>
    <m/>
    <n v="0"/>
    <m/>
    <m/>
    <m/>
    <m/>
    <m/>
    <m/>
    <n v="13422225"/>
    <n v="13504168"/>
  </r>
  <r>
    <x v="9"/>
    <x v="0"/>
    <s v="Nursing / allied health supplement"/>
    <m/>
    <n v="199485"/>
    <x v="8"/>
    <m/>
    <m/>
    <m/>
    <m/>
    <m/>
    <m/>
    <m/>
    <m/>
    <n v="0"/>
    <m/>
    <m/>
    <n v="0"/>
    <n v="0"/>
    <n v="0"/>
    <m/>
    <m/>
    <m/>
    <m/>
    <n v="0"/>
    <m/>
    <m/>
    <n v="0"/>
    <m/>
    <m/>
    <m/>
    <m/>
    <m/>
    <m/>
    <n v="0"/>
    <n v="0"/>
  </r>
  <r>
    <x v="9"/>
    <x v="3"/>
    <s v="Community or public service units"/>
    <m/>
    <n v="199485"/>
    <x v="8"/>
    <m/>
    <m/>
    <n v="151205"/>
    <n v="153251"/>
    <m/>
    <m/>
    <m/>
    <m/>
    <n v="0"/>
    <m/>
    <m/>
    <n v="0"/>
    <n v="151205"/>
    <n v="153251"/>
    <m/>
    <m/>
    <m/>
    <m/>
    <n v="0"/>
    <m/>
    <m/>
    <n v="0"/>
    <m/>
    <m/>
    <m/>
    <m/>
    <m/>
    <m/>
    <n v="151205"/>
    <n v="153251"/>
  </r>
  <r>
    <x v="9"/>
    <x v="44"/>
    <s v="Non-credit continuing education"/>
    <m/>
    <n v="199485"/>
    <x v="8"/>
    <m/>
    <m/>
    <n v="1139164"/>
    <n v="1225518"/>
    <m/>
    <m/>
    <n v="212480"/>
    <m/>
    <n v="212480"/>
    <n v="195584"/>
    <m/>
    <n v="195584"/>
    <n v="1351644"/>
    <n v="1421102"/>
    <m/>
    <m/>
    <m/>
    <m/>
    <n v="0"/>
    <m/>
    <m/>
    <n v="0"/>
    <m/>
    <m/>
    <m/>
    <m/>
    <m/>
    <m/>
    <n v="1351644"/>
    <n v="1421102"/>
  </r>
  <r>
    <x v="9"/>
    <x v="0"/>
    <s v="Sampson Community College"/>
    <m/>
    <n v="199625"/>
    <x v="8"/>
    <n v="6139249"/>
    <n v="6262952"/>
    <m/>
    <m/>
    <n v="1163105"/>
    <n v="1252169"/>
    <n v="1858165"/>
    <m/>
    <n v="1858165"/>
    <n v="1857022"/>
    <m/>
    <n v="1857022"/>
    <n v="9160519"/>
    <n v="9372143"/>
    <m/>
    <m/>
    <m/>
    <m/>
    <n v="0"/>
    <m/>
    <m/>
    <n v="0"/>
    <m/>
    <m/>
    <m/>
    <m/>
    <m/>
    <m/>
    <n v="9160519"/>
    <n v="9372143"/>
  </r>
  <r>
    <x v="9"/>
    <x v="0"/>
    <s v="Nursing / allied health supplement"/>
    <m/>
    <n v="199625"/>
    <x v="8"/>
    <m/>
    <m/>
    <m/>
    <m/>
    <m/>
    <m/>
    <m/>
    <m/>
    <n v="0"/>
    <m/>
    <m/>
    <n v="0"/>
    <n v="0"/>
    <n v="0"/>
    <m/>
    <m/>
    <m/>
    <m/>
    <n v="0"/>
    <m/>
    <m/>
    <n v="0"/>
    <m/>
    <m/>
    <m/>
    <m/>
    <m/>
    <m/>
    <n v="0"/>
    <n v="0"/>
  </r>
  <r>
    <x v="9"/>
    <x v="3"/>
    <s v="Community or public service units"/>
    <m/>
    <n v="199625"/>
    <x v="8"/>
    <m/>
    <m/>
    <n v="147871"/>
    <n v="152260"/>
    <m/>
    <m/>
    <m/>
    <m/>
    <n v="0"/>
    <m/>
    <m/>
    <n v="0"/>
    <n v="147871"/>
    <n v="152260"/>
    <m/>
    <m/>
    <m/>
    <m/>
    <n v="0"/>
    <m/>
    <m/>
    <n v="0"/>
    <m/>
    <m/>
    <m/>
    <m/>
    <m/>
    <m/>
    <n v="147871"/>
    <n v="152260"/>
  </r>
  <r>
    <x v="9"/>
    <x v="44"/>
    <s v="Non-credit continuing education"/>
    <m/>
    <n v="199625"/>
    <x v="8"/>
    <m/>
    <m/>
    <n v="2041880"/>
    <n v="2011762"/>
    <m/>
    <m/>
    <n v="153250"/>
    <m/>
    <n v="153250"/>
    <n v="141064"/>
    <m/>
    <n v="141064"/>
    <n v="2195130"/>
    <n v="2152826"/>
    <m/>
    <m/>
    <m/>
    <m/>
    <n v="0"/>
    <m/>
    <m/>
    <n v="0"/>
    <m/>
    <m/>
    <m/>
    <m/>
    <m/>
    <m/>
    <n v="2195130"/>
    <n v="2152826"/>
  </r>
  <r>
    <x v="9"/>
    <x v="0"/>
    <s v="South Piedmont Community College"/>
    <s v="Met the criteria for Two-Year 2 in 2012-13."/>
    <n v="197850"/>
    <x v="8"/>
    <n v="8745808"/>
    <n v="8752154"/>
    <m/>
    <m/>
    <n v="1651456"/>
    <n v="1667963"/>
    <n v="2864648"/>
    <m/>
    <n v="2864648"/>
    <n v="2862887"/>
    <m/>
    <n v="2862887"/>
    <n v="13261912"/>
    <n v="13283004"/>
    <m/>
    <m/>
    <m/>
    <m/>
    <n v="0"/>
    <m/>
    <m/>
    <n v="0"/>
    <m/>
    <m/>
    <m/>
    <m/>
    <m/>
    <m/>
    <n v="13261912"/>
    <n v="13283004"/>
  </r>
  <r>
    <x v="9"/>
    <x v="0"/>
    <s v="Nursing / allied health supplement"/>
    <m/>
    <n v="197850"/>
    <x v="8"/>
    <m/>
    <m/>
    <m/>
    <m/>
    <m/>
    <m/>
    <m/>
    <m/>
    <n v="0"/>
    <m/>
    <m/>
    <n v="0"/>
    <n v="0"/>
    <n v="0"/>
    <m/>
    <m/>
    <m/>
    <m/>
    <n v="0"/>
    <m/>
    <m/>
    <n v="0"/>
    <m/>
    <m/>
    <m/>
    <m/>
    <m/>
    <m/>
    <n v="0"/>
    <n v="0"/>
  </r>
  <r>
    <x v="9"/>
    <x v="3"/>
    <s v="Community or public service units"/>
    <m/>
    <n v="197850"/>
    <x v="8"/>
    <m/>
    <m/>
    <n v="157715"/>
    <n v="157968"/>
    <m/>
    <m/>
    <m/>
    <m/>
    <n v="0"/>
    <m/>
    <m/>
    <n v="0"/>
    <n v="157715"/>
    <n v="157968"/>
    <m/>
    <m/>
    <m/>
    <m/>
    <n v="0"/>
    <m/>
    <m/>
    <n v="0"/>
    <m/>
    <m/>
    <m/>
    <m/>
    <m/>
    <m/>
    <n v="157715"/>
    <n v="157968"/>
  </r>
  <r>
    <x v="9"/>
    <x v="44"/>
    <s v="Non-credit continuing education"/>
    <m/>
    <n v="197850"/>
    <x v="8"/>
    <m/>
    <m/>
    <n v="2678026"/>
    <n v="2777523"/>
    <m/>
    <m/>
    <n v="253288"/>
    <m/>
    <n v="253288"/>
    <n v="233148"/>
    <m/>
    <n v="233148"/>
    <n v="2931314"/>
    <n v="3010671"/>
    <m/>
    <m/>
    <m/>
    <m/>
    <n v="0"/>
    <m/>
    <m/>
    <n v="0"/>
    <m/>
    <m/>
    <m/>
    <m/>
    <m/>
    <m/>
    <n v="2931314"/>
    <n v="3010671"/>
  </r>
  <r>
    <x v="9"/>
    <x v="0"/>
    <s v="Southeastern Community College "/>
    <s v="Met the criteria for Two-Year 2 in 2012-13."/>
    <n v="199722"/>
    <x v="8"/>
    <n v="8745658"/>
    <n v="8618494"/>
    <m/>
    <m/>
    <n v="1324642"/>
    <n v="1242525"/>
    <n v="2688777"/>
    <m/>
    <n v="2688777"/>
    <n v="2687124"/>
    <m/>
    <n v="2687124"/>
    <n v="12759077"/>
    <n v="12548143"/>
    <m/>
    <m/>
    <m/>
    <m/>
    <n v="0"/>
    <m/>
    <m/>
    <n v="0"/>
    <m/>
    <m/>
    <m/>
    <m/>
    <m/>
    <m/>
    <n v="12759077"/>
    <n v="12548143"/>
  </r>
  <r>
    <x v="9"/>
    <x v="0"/>
    <s v="Nursing / allied health supplement"/>
    <m/>
    <n v="199722"/>
    <x v="8"/>
    <m/>
    <m/>
    <m/>
    <m/>
    <m/>
    <m/>
    <m/>
    <m/>
    <n v="0"/>
    <m/>
    <m/>
    <n v="0"/>
    <n v="0"/>
    <n v="0"/>
    <m/>
    <m/>
    <m/>
    <m/>
    <n v="0"/>
    <m/>
    <m/>
    <n v="0"/>
    <m/>
    <m/>
    <m/>
    <m/>
    <m/>
    <m/>
    <n v="0"/>
    <n v="0"/>
  </r>
  <r>
    <x v="9"/>
    <x v="3"/>
    <s v="Community or public service units"/>
    <m/>
    <n v="199722"/>
    <x v="8"/>
    <m/>
    <m/>
    <n v="151816"/>
    <n v="153845"/>
    <m/>
    <m/>
    <m/>
    <m/>
    <n v="0"/>
    <m/>
    <m/>
    <n v="0"/>
    <n v="151816"/>
    <n v="153845"/>
    <m/>
    <m/>
    <m/>
    <m/>
    <n v="0"/>
    <m/>
    <m/>
    <n v="0"/>
    <m/>
    <m/>
    <m/>
    <m/>
    <m/>
    <m/>
    <n v="151816"/>
    <n v="153845"/>
  </r>
  <r>
    <x v="9"/>
    <x v="44"/>
    <s v="Non-credit continuing education"/>
    <m/>
    <n v="199722"/>
    <x v="8"/>
    <m/>
    <m/>
    <n v="2871166"/>
    <n v="2973626"/>
    <m/>
    <m/>
    <n v="250390"/>
    <m/>
    <n v="250390"/>
    <n v="230480"/>
    <m/>
    <n v="230480"/>
    <n v="3121556"/>
    <n v="3204106"/>
    <m/>
    <m/>
    <m/>
    <m/>
    <n v="0"/>
    <m/>
    <m/>
    <n v="0"/>
    <m/>
    <m/>
    <m/>
    <m/>
    <m/>
    <m/>
    <n v="3121556"/>
    <n v="3204106"/>
  </r>
  <r>
    <x v="9"/>
    <x v="0"/>
    <s v="Southwestern Community College "/>
    <s v="Met the criteria for Two-Year 2 in 2012-13."/>
    <n v="199731"/>
    <x v="8"/>
    <n v="8787669"/>
    <n v="9046111"/>
    <m/>
    <m/>
    <n v="1966753"/>
    <n v="2268701"/>
    <n v="3359923"/>
    <m/>
    <n v="3359923"/>
    <n v="3357857"/>
    <m/>
    <n v="3357857"/>
    <n v="14114345"/>
    <n v="14672669"/>
    <m/>
    <m/>
    <m/>
    <m/>
    <n v="0"/>
    <m/>
    <m/>
    <n v="0"/>
    <m/>
    <m/>
    <m/>
    <m/>
    <m/>
    <m/>
    <n v="14114345"/>
    <n v="14672669"/>
  </r>
  <r>
    <x v="9"/>
    <x v="0"/>
    <s v="Nursing / allied health supplement"/>
    <m/>
    <n v="199731"/>
    <x v="8"/>
    <m/>
    <m/>
    <m/>
    <m/>
    <m/>
    <m/>
    <m/>
    <m/>
    <n v="0"/>
    <m/>
    <m/>
    <n v="0"/>
    <n v="0"/>
    <n v="0"/>
    <m/>
    <m/>
    <m/>
    <m/>
    <n v="0"/>
    <m/>
    <m/>
    <n v="0"/>
    <m/>
    <m/>
    <m/>
    <m/>
    <m/>
    <m/>
    <n v="0"/>
    <n v="0"/>
  </r>
  <r>
    <x v="9"/>
    <x v="3"/>
    <s v="Community or public service units"/>
    <m/>
    <n v="199731"/>
    <x v="8"/>
    <m/>
    <m/>
    <n v="144077"/>
    <n v="144713"/>
    <m/>
    <m/>
    <m/>
    <m/>
    <n v="0"/>
    <m/>
    <m/>
    <n v="0"/>
    <n v="144077"/>
    <n v="144713"/>
    <m/>
    <m/>
    <m/>
    <m/>
    <n v="0"/>
    <m/>
    <m/>
    <n v="0"/>
    <m/>
    <m/>
    <m/>
    <m/>
    <m/>
    <m/>
    <n v="144077"/>
    <n v="144713"/>
  </r>
  <r>
    <x v="9"/>
    <x v="44"/>
    <s v="Non-credit continuing education"/>
    <m/>
    <n v="199731"/>
    <x v="8"/>
    <m/>
    <m/>
    <n v="1898273"/>
    <n v="1906556"/>
    <m/>
    <m/>
    <n v="338847"/>
    <m/>
    <n v="338847"/>
    <n v="311903"/>
    <m/>
    <n v="311903"/>
    <n v="2237120"/>
    <n v="2218459"/>
    <m/>
    <m/>
    <m/>
    <m/>
    <n v="0"/>
    <m/>
    <m/>
    <n v="0"/>
    <m/>
    <m/>
    <m/>
    <m/>
    <m/>
    <m/>
    <n v="2237120"/>
    <n v="2218459"/>
  </r>
  <r>
    <x v="9"/>
    <x v="0"/>
    <s v="Tri-County Community College "/>
    <m/>
    <n v="199795"/>
    <x v="8"/>
    <n v="4981151"/>
    <n v="5185670"/>
    <m/>
    <m/>
    <n v="998639"/>
    <n v="949421"/>
    <n v="1732601"/>
    <m/>
    <n v="1732601"/>
    <n v="1731536"/>
    <m/>
    <n v="1731536"/>
    <n v="7712391"/>
    <n v="7866627"/>
    <m/>
    <m/>
    <m/>
    <m/>
    <n v="0"/>
    <m/>
    <m/>
    <n v="0"/>
    <m/>
    <m/>
    <m/>
    <m/>
    <m/>
    <m/>
    <n v="7712391"/>
    <n v="7866627"/>
  </r>
  <r>
    <x v="9"/>
    <x v="0"/>
    <s v="Nursing / allied health supplement"/>
    <m/>
    <n v="199795"/>
    <x v="8"/>
    <m/>
    <m/>
    <m/>
    <m/>
    <m/>
    <m/>
    <m/>
    <m/>
    <n v="0"/>
    <m/>
    <m/>
    <n v="0"/>
    <n v="0"/>
    <n v="0"/>
    <m/>
    <m/>
    <m/>
    <m/>
    <n v="0"/>
    <m/>
    <m/>
    <n v="0"/>
    <m/>
    <m/>
    <m/>
    <m/>
    <m/>
    <m/>
    <n v="0"/>
    <n v="0"/>
  </r>
  <r>
    <x v="9"/>
    <x v="3"/>
    <s v="Community or public service units"/>
    <m/>
    <n v="199795"/>
    <x v="8"/>
    <m/>
    <m/>
    <n v="147795"/>
    <n v="148713"/>
    <m/>
    <m/>
    <m/>
    <m/>
    <n v="0"/>
    <m/>
    <m/>
    <n v="0"/>
    <n v="147795"/>
    <n v="148713"/>
    <m/>
    <m/>
    <m/>
    <m/>
    <n v="0"/>
    <m/>
    <m/>
    <n v="0"/>
    <m/>
    <m/>
    <m/>
    <m/>
    <m/>
    <m/>
    <n v="147795"/>
    <n v="148713"/>
  </r>
  <r>
    <x v="9"/>
    <x v="44"/>
    <s v="Non-credit continuing education"/>
    <m/>
    <n v="199795"/>
    <x v="8"/>
    <m/>
    <m/>
    <n v="594453"/>
    <n v="667312"/>
    <m/>
    <m/>
    <n v="173229"/>
    <m/>
    <n v="173229"/>
    <n v="159454"/>
    <m/>
    <n v="159454"/>
    <n v="767682"/>
    <n v="826766"/>
    <m/>
    <m/>
    <m/>
    <m/>
    <n v="0"/>
    <m/>
    <m/>
    <n v="0"/>
    <m/>
    <m/>
    <m/>
    <m/>
    <m/>
    <m/>
    <n v="767682"/>
    <n v="826766"/>
  </r>
  <r>
    <x v="9"/>
    <x v="0"/>
    <s v="Wilson Technical Community College"/>
    <m/>
    <n v="199953"/>
    <x v="8"/>
    <n v="6652189"/>
    <n v="6432392"/>
    <m/>
    <m/>
    <n v="1740653"/>
    <n v="1715996"/>
    <n v="3183387"/>
    <m/>
    <n v="3183387"/>
    <n v="3181428"/>
    <m/>
    <n v="3181428"/>
    <n v="11576229"/>
    <n v="11329816"/>
    <m/>
    <m/>
    <m/>
    <m/>
    <n v="0"/>
    <m/>
    <m/>
    <n v="0"/>
    <m/>
    <m/>
    <m/>
    <m/>
    <m/>
    <m/>
    <n v="11576229"/>
    <n v="11329816"/>
  </r>
  <r>
    <x v="9"/>
    <x v="0"/>
    <s v="Nursing / allied health supplement"/>
    <m/>
    <n v="199953"/>
    <x v="8"/>
    <m/>
    <m/>
    <m/>
    <m/>
    <m/>
    <m/>
    <m/>
    <m/>
    <n v="0"/>
    <m/>
    <m/>
    <n v="0"/>
    <n v="0"/>
    <n v="0"/>
    <m/>
    <m/>
    <m/>
    <m/>
    <n v="0"/>
    <m/>
    <m/>
    <n v="0"/>
    <m/>
    <m/>
    <m/>
    <m/>
    <m/>
    <m/>
    <n v="0"/>
    <n v="0"/>
  </r>
  <r>
    <x v="9"/>
    <x v="3"/>
    <s v="Community or public service units"/>
    <m/>
    <n v="199953"/>
    <x v="8"/>
    <m/>
    <m/>
    <n v="156365"/>
    <n v="157703"/>
    <m/>
    <m/>
    <m/>
    <m/>
    <n v="0"/>
    <m/>
    <m/>
    <n v="0"/>
    <n v="156365"/>
    <n v="157703"/>
    <m/>
    <m/>
    <m/>
    <m/>
    <n v="0"/>
    <m/>
    <m/>
    <n v="0"/>
    <m/>
    <m/>
    <m/>
    <m/>
    <m/>
    <m/>
    <n v="156365"/>
    <n v="157703"/>
  </r>
  <r>
    <x v="9"/>
    <x v="44"/>
    <s v="Non-credit continuing education"/>
    <m/>
    <n v="199953"/>
    <x v="8"/>
    <m/>
    <m/>
    <n v="1444814"/>
    <n v="1417076"/>
    <m/>
    <m/>
    <n v="344257"/>
    <m/>
    <n v="344257"/>
    <n v="316883"/>
    <m/>
    <n v="316883"/>
    <n v="1789071"/>
    <n v="1733959"/>
    <m/>
    <m/>
    <m/>
    <m/>
    <n v="0"/>
    <m/>
    <m/>
    <n v="0"/>
    <m/>
    <m/>
    <m/>
    <m/>
    <m/>
    <m/>
    <n v="1789071"/>
    <n v="1733959"/>
  </r>
  <r>
    <x v="9"/>
    <x v="12"/>
    <s v="Educational special-purpose funds to statewide units"/>
    <m/>
    <m/>
    <x v="12"/>
    <m/>
    <m/>
    <m/>
    <m/>
    <m/>
    <m/>
    <m/>
    <m/>
    <n v="0"/>
    <m/>
    <m/>
    <n v="0"/>
    <n v="0"/>
    <n v="0"/>
    <m/>
    <m/>
    <m/>
    <m/>
    <n v="0"/>
    <m/>
    <m/>
    <n v="0"/>
    <m/>
    <m/>
    <m/>
    <m/>
    <m/>
    <m/>
    <n v="0"/>
    <n v="0"/>
  </r>
  <r>
    <x v="9"/>
    <x v="12"/>
    <s v="Prison Education"/>
    <m/>
    <m/>
    <x v="12"/>
    <m/>
    <m/>
    <n v="1082790"/>
    <n v="1144991"/>
    <m/>
    <m/>
    <m/>
    <m/>
    <n v="0"/>
    <m/>
    <m/>
    <n v="0"/>
    <n v="1082790"/>
    <n v="1144991"/>
    <m/>
    <m/>
    <m/>
    <m/>
    <n v="0"/>
    <m/>
    <m/>
    <n v="0"/>
    <m/>
    <m/>
    <m/>
    <m/>
    <m/>
    <m/>
    <n v="1082790"/>
    <n v="1144991"/>
  </r>
  <r>
    <x v="9"/>
    <x v="12"/>
    <s v="New &amp; Expanding Industry"/>
    <m/>
    <m/>
    <x v="12"/>
    <m/>
    <m/>
    <n v="16659842"/>
    <n v="19814613"/>
    <m/>
    <m/>
    <m/>
    <m/>
    <n v="0"/>
    <m/>
    <m/>
    <n v="0"/>
    <n v="16659842"/>
    <n v="19814613"/>
    <m/>
    <m/>
    <m/>
    <m/>
    <n v="0"/>
    <m/>
    <m/>
    <n v="0"/>
    <m/>
    <m/>
    <m/>
    <m/>
    <m/>
    <m/>
    <n v="16659842"/>
    <n v="19814613"/>
  </r>
  <r>
    <x v="9"/>
    <x v="14"/>
    <s v="Statewide System Operations"/>
    <m/>
    <m/>
    <x v="12"/>
    <m/>
    <m/>
    <m/>
    <m/>
    <m/>
    <m/>
    <m/>
    <m/>
    <n v="0"/>
    <m/>
    <m/>
    <n v="0"/>
    <n v="0"/>
    <n v="0"/>
    <m/>
    <m/>
    <m/>
    <m/>
    <n v="0"/>
    <m/>
    <m/>
    <n v="0"/>
    <m/>
    <m/>
    <m/>
    <m/>
    <m/>
    <m/>
    <n v="0"/>
    <n v="0"/>
  </r>
  <r>
    <x v="9"/>
    <x v="16"/>
    <s v="Two-year system(s), if any"/>
    <m/>
    <m/>
    <x v="12"/>
    <m/>
    <m/>
    <m/>
    <m/>
    <m/>
    <m/>
    <m/>
    <m/>
    <n v="0"/>
    <m/>
    <m/>
    <n v="0"/>
    <n v="0"/>
    <n v="0"/>
    <m/>
    <m/>
    <m/>
    <m/>
    <n v="0"/>
    <m/>
    <m/>
    <n v="0"/>
    <m/>
    <m/>
    <m/>
    <m/>
    <m/>
    <m/>
    <n v="0"/>
    <n v="0"/>
  </r>
  <r>
    <x v="9"/>
    <x v="16"/>
    <s v="NC State Board for Community Colleges"/>
    <m/>
    <m/>
    <x v="12"/>
    <m/>
    <m/>
    <m/>
    <m/>
    <m/>
    <m/>
    <m/>
    <m/>
    <n v="0"/>
    <m/>
    <m/>
    <n v="0"/>
    <n v="0"/>
    <n v="0"/>
    <n v="22632107"/>
    <n v="24260507"/>
    <m/>
    <m/>
    <n v="0"/>
    <m/>
    <m/>
    <n v="0"/>
    <m/>
    <m/>
    <m/>
    <m/>
    <m/>
    <m/>
    <n v="22632107"/>
    <n v="24260507"/>
  </r>
  <r>
    <x v="10"/>
    <x v="0"/>
    <s v="Oklahoma State University Main Campus"/>
    <m/>
    <n v="207388"/>
    <x v="0"/>
    <n v="118331854"/>
    <n v="119822306"/>
    <m/>
    <m/>
    <m/>
    <m/>
    <n v="176033208"/>
    <m/>
    <n v="176033208"/>
    <n v="191203606"/>
    <m/>
    <n v="191203606"/>
    <n v="294365062"/>
    <n v="311025912"/>
    <m/>
    <m/>
    <m/>
    <m/>
    <n v="0"/>
    <m/>
    <m/>
    <n v="0"/>
    <m/>
    <m/>
    <m/>
    <m/>
    <m/>
    <m/>
    <n v="294365062"/>
    <n v="311025912"/>
  </r>
  <r>
    <x v="10"/>
    <x v="1"/>
    <s v="Veterinary School"/>
    <m/>
    <n v="207388"/>
    <x v="0"/>
    <m/>
    <m/>
    <m/>
    <m/>
    <m/>
    <m/>
    <m/>
    <m/>
    <n v="0"/>
    <m/>
    <m/>
    <n v="0"/>
    <n v="0"/>
    <n v="0"/>
    <m/>
    <m/>
    <m/>
    <m/>
    <n v="0"/>
    <m/>
    <m/>
    <n v="0"/>
    <n v="10673695"/>
    <n v="10806637"/>
    <n v="7440633"/>
    <n v="8091773"/>
    <m/>
    <m/>
    <n v="18114328"/>
    <n v="10806637"/>
  </r>
  <r>
    <x v="10"/>
    <x v="1"/>
    <s v="College of Osteopathic Medicine"/>
    <m/>
    <n v="207389"/>
    <x v="0"/>
    <m/>
    <m/>
    <m/>
    <m/>
    <m/>
    <m/>
    <m/>
    <m/>
    <n v="0"/>
    <m/>
    <m/>
    <n v="0"/>
    <n v="0"/>
    <n v="0"/>
    <m/>
    <m/>
    <m/>
    <m/>
    <n v="0"/>
    <m/>
    <m/>
    <n v="0"/>
    <n v="13857912"/>
    <n v="14037266"/>
    <n v="9100898"/>
    <n v="9733550"/>
    <m/>
    <m/>
    <n v="22958810"/>
    <n v="14037266"/>
  </r>
  <r>
    <x v="10"/>
    <x v="5"/>
    <s v="Agricultural cooperative extension"/>
    <m/>
    <n v="207388"/>
    <x v="0"/>
    <m/>
    <m/>
    <n v="28567750"/>
    <n v="28916944"/>
    <m/>
    <m/>
    <m/>
    <m/>
    <n v="0"/>
    <m/>
    <m/>
    <n v="0"/>
    <n v="28567750"/>
    <n v="28916944"/>
    <m/>
    <m/>
    <m/>
    <m/>
    <n v="0"/>
    <m/>
    <m/>
    <n v="0"/>
    <m/>
    <m/>
    <m/>
    <m/>
    <m/>
    <m/>
    <n v="28567750"/>
    <n v="28916944"/>
  </r>
  <r>
    <x v="10"/>
    <x v="6"/>
    <s v="Agricultural experiment stations"/>
    <m/>
    <n v="207388"/>
    <x v="0"/>
    <m/>
    <m/>
    <n v="26137061"/>
    <n v="26436909"/>
    <m/>
    <m/>
    <m/>
    <m/>
    <n v="0"/>
    <m/>
    <m/>
    <n v="0"/>
    <n v="26137061"/>
    <n v="26436909"/>
    <m/>
    <m/>
    <m/>
    <m/>
    <n v="0"/>
    <m/>
    <m/>
    <n v="0"/>
    <m/>
    <m/>
    <m/>
    <m/>
    <m/>
    <m/>
    <n v="26137061"/>
    <n v="26436909"/>
  </r>
  <r>
    <x v="10"/>
    <x v="0"/>
    <s v="Tulsa Branch"/>
    <m/>
    <n v="207388"/>
    <x v="0"/>
    <n v="11148707"/>
    <n v="11266651"/>
    <m/>
    <m/>
    <m/>
    <m/>
    <n v="10956182"/>
    <m/>
    <n v="10956182"/>
    <n v="10272795"/>
    <m/>
    <n v="10272795"/>
    <n v="22104889"/>
    <n v="21539446"/>
    <m/>
    <m/>
    <m/>
    <m/>
    <n v="0"/>
    <m/>
    <m/>
    <n v="0"/>
    <m/>
    <m/>
    <m/>
    <m/>
    <m/>
    <m/>
    <n v="22104889"/>
    <n v="21539446"/>
  </r>
  <r>
    <x v="10"/>
    <x v="0"/>
    <s v="University of Oklahoma Norman Campus"/>
    <m/>
    <n v="207500"/>
    <x v="0"/>
    <n v="133775555"/>
    <n v="135457458"/>
    <m/>
    <m/>
    <m/>
    <m/>
    <n v="214440463"/>
    <m/>
    <n v="214440463"/>
    <n v="230451070"/>
    <m/>
    <n v="230451070"/>
    <n v="348216018"/>
    <n v="365908528"/>
    <m/>
    <m/>
    <m/>
    <m/>
    <n v="0"/>
    <m/>
    <m/>
    <n v="0"/>
    <m/>
    <m/>
    <m/>
    <m/>
    <m/>
    <m/>
    <n v="348216018"/>
    <n v="365908528"/>
  </r>
  <r>
    <x v="10"/>
    <x v="1"/>
    <s v="Health Sciences Center"/>
    <m/>
    <n v="207500"/>
    <x v="0"/>
    <m/>
    <m/>
    <m/>
    <m/>
    <m/>
    <m/>
    <m/>
    <m/>
    <n v="0"/>
    <m/>
    <m/>
    <n v="0"/>
    <n v="0"/>
    <n v="0"/>
    <m/>
    <m/>
    <m/>
    <m/>
    <n v="0"/>
    <m/>
    <m/>
    <n v="0"/>
    <n v="91137796"/>
    <n v="92323530"/>
    <n v="53044181"/>
    <n v="55116039"/>
    <m/>
    <m/>
    <n v="144181977"/>
    <n v="92323530"/>
  </r>
  <r>
    <x v="10"/>
    <x v="0"/>
    <s v="Law Center"/>
    <m/>
    <n v="207500"/>
    <x v="0"/>
    <n v="5855113"/>
    <n v="5930530"/>
    <m/>
    <m/>
    <m/>
    <m/>
    <n v="10038000"/>
    <m/>
    <n v="10038000"/>
    <n v="9665302"/>
    <m/>
    <n v="9665302"/>
    <n v="15893113"/>
    <n v="15595832"/>
    <m/>
    <m/>
    <m/>
    <m/>
    <n v="0"/>
    <m/>
    <m/>
    <n v="0"/>
    <m/>
    <m/>
    <m/>
    <m/>
    <m/>
    <m/>
    <n v="15893113"/>
    <n v="15595832"/>
  </r>
  <r>
    <x v="10"/>
    <x v="0"/>
    <s v="Northeastern State University"/>
    <m/>
    <n v="207263"/>
    <x v="2"/>
    <n v="36329841"/>
    <n v="36782485"/>
    <m/>
    <m/>
    <m/>
    <m/>
    <n v="37831430"/>
    <m/>
    <n v="37831430"/>
    <n v="39482895"/>
    <m/>
    <n v="39482895"/>
    <n v="74161271"/>
    <n v="76265380"/>
    <m/>
    <m/>
    <m/>
    <m/>
    <n v="0"/>
    <m/>
    <m/>
    <n v="0"/>
    <m/>
    <m/>
    <m/>
    <m/>
    <m/>
    <m/>
    <n v="74161271"/>
    <n v="76265380"/>
  </r>
  <r>
    <x v="10"/>
    <x v="0"/>
    <s v="University of Central Oklahoma"/>
    <m/>
    <n v="206941"/>
    <x v="2"/>
    <n v="52120399"/>
    <n v="52794661"/>
    <m/>
    <m/>
    <m/>
    <m/>
    <n v="76641064"/>
    <m/>
    <n v="76641064"/>
    <n v="87156744"/>
    <m/>
    <n v="87156744"/>
    <n v="128761463"/>
    <n v="139951405"/>
    <m/>
    <m/>
    <m/>
    <m/>
    <n v="0"/>
    <m/>
    <m/>
    <n v="0"/>
    <m/>
    <m/>
    <m/>
    <m/>
    <m/>
    <m/>
    <n v="128761463"/>
    <n v="139951405"/>
  </r>
  <r>
    <x v="10"/>
    <x v="0"/>
    <s v="Southeastern Oklahoma State University "/>
    <s v="Reclassified: met the criteria for Four-Year 4 in 2010-11, 2011-12, and 2012-13."/>
    <n v="207847"/>
    <x v="3"/>
    <n v="18477200"/>
    <n v="18702428"/>
    <m/>
    <m/>
    <m/>
    <m/>
    <n v="23237377"/>
    <m/>
    <n v="23237377"/>
    <n v="24382410"/>
    <m/>
    <n v="24382410"/>
    <n v="41714577"/>
    <n v="43084838"/>
    <m/>
    <m/>
    <m/>
    <m/>
    <n v="0"/>
    <m/>
    <m/>
    <n v="0"/>
    <m/>
    <m/>
    <m/>
    <m/>
    <m/>
    <m/>
    <n v="41714577"/>
    <n v="43084838"/>
  </r>
  <r>
    <x v="10"/>
    <x v="0"/>
    <s v="Cameron University "/>
    <m/>
    <n v="206914"/>
    <x v="4"/>
    <n v="21345581"/>
    <n v="21608265"/>
    <m/>
    <m/>
    <m/>
    <m/>
    <n v="22645200"/>
    <m/>
    <n v="22645200"/>
    <n v="24558350"/>
    <m/>
    <n v="24558350"/>
    <n v="43990781"/>
    <n v="46166615"/>
    <m/>
    <m/>
    <m/>
    <m/>
    <n v="0"/>
    <m/>
    <m/>
    <n v="0"/>
    <m/>
    <m/>
    <m/>
    <m/>
    <m/>
    <m/>
    <n v="43990781"/>
    <n v="46166615"/>
  </r>
  <r>
    <x v="10"/>
    <x v="0"/>
    <s v="East Central University "/>
    <m/>
    <n v="207041"/>
    <x v="4"/>
    <n v="17262598"/>
    <n v="17480403"/>
    <m/>
    <m/>
    <m/>
    <m/>
    <n v="18065298"/>
    <m/>
    <n v="18065298"/>
    <n v="18829324"/>
    <m/>
    <n v="18829324"/>
    <n v="35327896"/>
    <n v="36309727"/>
    <m/>
    <m/>
    <m/>
    <m/>
    <n v="0"/>
    <m/>
    <m/>
    <n v="0"/>
    <m/>
    <m/>
    <m/>
    <m/>
    <m/>
    <m/>
    <n v="35327896"/>
    <n v="36309727"/>
  </r>
  <r>
    <x v="10"/>
    <x v="0"/>
    <s v="Langston University"/>
    <m/>
    <n v="207209"/>
    <x v="4"/>
    <n v="18362070"/>
    <n v="18592255"/>
    <m/>
    <m/>
    <m/>
    <m/>
    <n v="13473178"/>
    <m/>
    <n v="13473178"/>
    <n v="12990170"/>
    <m/>
    <n v="12990170"/>
    <n v="31835248"/>
    <n v="31582425"/>
    <m/>
    <m/>
    <m/>
    <m/>
    <n v="0"/>
    <m/>
    <m/>
    <n v="0"/>
    <m/>
    <m/>
    <m/>
    <m/>
    <m/>
    <m/>
    <n v="31835248"/>
    <n v="31582425"/>
  </r>
  <r>
    <x v="10"/>
    <x v="0"/>
    <s v="Northwestern Oklahoma State University "/>
    <m/>
    <n v="207306"/>
    <x v="4"/>
    <n v="9991455"/>
    <n v="10122045"/>
    <m/>
    <m/>
    <m/>
    <m/>
    <n v="12138586"/>
    <m/>
    <n v="12138586"/>
    <n v="12642244"/>
    <m/>
    <n v="12642244"/>
    <n v="22130041"/>
    <n v="22764289"/>
    <m/>
    <m/>
    <m/>
    <m/>
    <n v="0"/>
    <m/>
    <m/>
    <n v="0"/>
    <m/>
    <m/>
    <m/>
    <m/>
    <m/>
    <m/>
    <n v="22130041"/>
    <n v="22764289"/>
  </r>
  <r>
    <x v="10"/>
    <x v="0"/>
    <s v="Southwestern Oklahoma State University"/>
    <m/>
    <n v="207865"/>
    <x v="4"/>
    <n v="22353592"/>
    <n v="22633303"/>
    <m/>
    <m/>
    <m/>
    <m/>
    <n v="24822035"/>
    <m/>
    <n v="24822035"/>
    <n v="27584660"/>
    <m/>
    <n v="27584660"/>
    <n v="47175627"/>
    <n v="50217963"/>
    <m/>
    <m/>
    <m/>
    <m/>
    <n v="0"/>
    <m/>
    <m/>
    <n v="0"/>
    <m/>
    <m/>
    <m/>
    <m/>
    <m/>
    <m/>
    <n v="47175627"/>
    <n v="50217963"/>
  </r>
  <r>
    <x v="10"/>
    <x v="0"/>
    <s v="Oklahoma Panhandle State University "/>
    <m/>
    <n v="207351"/>
    <x v="5"/>
    <n v="7109670"/>
    <n v="7200230"/>
    <m/>
    <m/>
    <m/>
    <m/>
    <n v="9391196"/>
    <m/>
    <n v="9391196"/>
    <n v="10292005"/>
    <m/>
    <n v="10292005"/>
    <n v="16500866"/>
    <n v="17492235"/>
    <m/>
    <m/>
    <m/>
    <m/>
    <n v="0"/>
    <m/>
    <m/>
    <n v="0"/>
    <m/>
    <m/>
    <m/>
    <m/>
    <m/>
    <m/>
    <n v="16500866"/>
    <n v="17492235"/>
  </r>
  <r>
    <x v="10"/>
    <x v="0"/>
    <s v="Rogers State University"/>
    <m/>
    <n v="207661"/>
    <x v="5"/>
    <n v="13689140"/>
    <n v="13884642"/>
    <m/>
    <m/>
    <m/>
    <m/>
    <n v="15352550"/>
    <m/>
    <n v="15352550"/>
    <n v="17165288"/>
    <m/>
    <n v="17165288"/>
    <n v="29041690"/>
    <n v="31049930"/>
    <m/>
    <m/>
    <m/>
    <m/>
    <n v="0"/>
    <m/>
    <m/>
    <n v="0"/>
    <m/>
    <m/>
    <m/>
    <m/>
    <m/>
    <m/>
    <n v="29041690"/>
    <n v="31049930"/>
  </r>
  <r>
    <x v="10"/>
    <x v="0"/>
    <s v="University of Science and Arts of Oklahoma"/>
    <m/>
    <n v="207722"/>
    <x v="5"/>
    <n v="7295609"/>
    <n v="7388510"/>
    <m/>
    <m/>
    <m/>
    <m/>
    <n v="4576292"/>
    <m/>
    <n v="4576292"/>
    <n v="4657076"/>
    <m/>
    <n v="4657076"/>
    <n v="11871901"/>
    <n v="12045586"/>
    <m/>
    <m/>
    <m/>
    <m/>
    <n v="0"/>
    <m/>
    <m/>
    <n v="0"/>
    <m/>
    <m/>
    <m/>
    <m/>
    <m/>
    <m/>
    <n v="11871901"/>
    <n v="12045586"/>
  </r>
  <r>
    <x v="10"/>
    <x v="0"/>
    <s v="Oklahoma State University-Oklahoma City "/>
    <s v="Met the criteria for Two-Year 1 institution in 2012-13."/>
    <n v="207397"/>
    <x v="14"/>
    <n v="10920700"/>
    <n v="11124865"/>
    <m/>
    <m/>
    <m/>
    <m/>
    <n v="14811237"/>
    <m/>
    <n v="14811237"/>
    <n v="14721818"/>
    <m/>
    <n v="14721818"/>
    <n v="25731937"/>
    <n v="25846683"/>
    <m/>
    <m/>
    <m/>
    <m/>
    <n v="0"/>
    <m/>
    <m/>
    <n v="0"/>
    <m/>
    <m/>
    <m/>
    <m/>
    <m/>
    <m/>
    <n v="25731937"/>
    <n v="25846683"/>
  </r>
  <r>
    <x v="10"/>
    <x v="0"/>
    <s v="Oklahoma State University Technical Branch-Okmulgee "/>
    <s v="Met the criteria for Two-Year 2 institution in 2012-13."/>
    <n v="207564"/>
    <x v="14"/>
    <n v="14182402"/>
    <n v="14370429"/>
    <m/>
    <m/>
    <m/>
    <m/>
    <n v="12812171"/>
    <m/>
    <n v="12812171"/>
    <n v="13695819"/>
    <m/>
    <n v="13695819"/>
    <n v="26994573"/>
    <n v="28066248"/>
    <m/>
    <m/>
    <m/>
    <m/>
    <n v="0"/>
    <m/>
    <m/>
    <n v="0"/>
    <m/>
    <m/>
    <m/>
    <m/>
    <m/>
    <m/>
    <n v="26994573"/>
    <n v="28066248"/>
  </r>
  <r>
    <x v="10"/>
    <x v="0"/>
    <s v="Oklahoma City Community College "/>
    <m/>
    <n v="207449"/>
    <x v="6"/>
    <n v="24399274"/>
    <n v="24799336"/>
    <m/>
    <m/>
    <n v="5200000"/>
    <n v="5200000"/>
    <n v="25760292"/>
    <m/>
    <n v="25760292"/>
    <n v="25000125"/>
    <m/>
    <n v="25000125"/>
    <n v="55359566"/>
    <n v="54999461"/>
    <m/>
    <m/>
    <m/>
    <m/>
    <n v="0"/>
    <m/>
    <m/>
    <n v="0"/>
    <m/>
    <m/>
    <m/>
    <m/>
    <m/>
    <m/>
    <n v="55359566"/>
    <n v="54999461"/>
  </r>
  <r>
    <x v="10"/>
    <x v="0"/>
    <s v="Rose State College "/>
    <m/>
    <n v="207670"/>
    <x v="6"/>
    <n v="20460760"/>
    <n v="20727932"/>
    <m/>
    <m/>
    <n v="275000"/>
    <n v="1350000"/>
    <n v="14536203"/>
    <m/>
    <n v="14536203"/>
    <n v="14505437"/>
    <m/>
    <n v="14505437"/>
    <n v="35271963"/>
    <n v="36583369"/>
    <m/>
    <m/>
    <m/>
    <m/>
    <n v="0"/>
    <m/>
    <m/>
    <n v="0"/>
    <m/>
    <m/>
    <m/>
    <m/>
    <m/>
    <m/>
    <n v="35271963"/>
    <n v="36583369"/>
  </r>
  <r>
    <x v="10"/>
    <x v="0"/>
    <s v="Tulsa Community College "/>
    <m/>
    <n v="207935"/>
    <x v="6"/>
    <n v="35569791"/>
    <n v="36136945"/>
    <m/>
    <m/>
    <n v="35149780"/>
    <n v="35325529"/>
    <n v="38292584"/>
    <m/>
    <n v="38292584"/>
    <n v="36768613"/>
    <m/>
    <n v="36768613"/>
    <n v="109012155"/>
    <n v="108231087"/>
    <m/>
    <m/>
    <m/>
    <m/>
    <n v="0"/>
    <m/>
    <m/>
    <n v="0"/>
    <m/>
    <m/>
    <m/>
    <m/>
    <m/>
    <m/>
    <n v="109012155"/>
    <n v="108231087"/>
  </r>
  <r>
    <x v="10"/>
    <x v="0"/>
    <s v="Carl Albert State College"/>
    <s v="Reclassified: met the criteria for Two-Year 2 institution in 2010-11, 2011-12, and 2012-13."/>
    <n v="206923"/>
    <x v="7"/>
    <n v="6199594"/>
    <n v="6288279"/>
    <m/>
    <m/>
    <m/>
    <m/>
    <n v="5297815"/>
    <m/>
    <n v="5297815"/>
    <n v="5400280"/>
    <m/>
    <n v="5400280"/>
    <n v="11497409"/>
    <n v="11688559"/>
    <m/>
    <m/>
    <m/>
    <m/>
    <n v="0"/>
    <m/>
    <m/>
    <n v="0"/>
    <m/>
    <m/>
    <m/>
    <m/>
    <m/>
    <m/>
    <n v="11497409"/>
    <n v="11688559"/>
  </r>
  <r>
    <x v="10"/>
    <x v="0"/>
    <s v="Northern Oklahoma College "/>
    <m/>
    <n v="207281"/>
    <x v="7"/>
    <n v="9828323"/>
    <n v="9984778"/>
    <m/>
    <m/>
    <m/>
    <m/>
    <n v="13080195"/>
    <m/>
    <n v="13080195"/>
    <n v="14139671"/>
    <m/>
    <n v="14139671"/>
    <n v="22908518"/>
    <n v="24124449"/>
    <m/>
    <m/>
    <m/>
    <m/>
    <n v="0"/>
    <m/>
    <m/>
    <n v="0"/>
    <m/>
    <m/>
    <m/>
    <m/>
    <m/>
    <m/>
    <n v="22908518"/>
    <n v="24124449"/>
  </r>
  <r>
    <x v="10"/>
    <x v="0"/>
    <s v="Connors State College "/>
    <s v="Met the criteria for Two-Year 2 institution in 2012-13."/>
    <n v="206996"/>
    <x v="8"/>
    <n v="6680531"/>
    <n v="6769919"/>
    <m/>
    <m/>
    <m/>
    <m/>
    <n v="5079025"/>
    <m/>
    <n v="5079025"/>
    <n v="5121078"/>
    <m/>
    <n v="5121078"/>
    <n v="11759556"/>
    <n v="11890997"/>
    <m/>
    <m/>
    <m/>
    <m/>
    <n v="0"/>
    <m/>
    <m/>
    <n v="0"/>
    <m/>
    <m/>
    <m/>
    <m/>
    <m/>
    <m/>
    <n v="11759556"/>
    <n v="11890997"/>
  </r>
  <r>
    <x v="10"/>
    <x v="0"/>
    <s v="Eastern Oklahoma State College "/>
    <m/>
    <n v="207050"/>
    <x v="8"/>
    <n v="6392098"/>
    <n v="6474505"/>
    <m/>
    <m/>
    <m/>
    <m/>
    <n v="3495241"/>
    <m/>
    <n v="3495241"/>
    <n v="4356701"/>
    <m/>
    <n v="4356701"/>
    <n v="9887339"/>
    <n v="10831206"/>
    <m/>
    <m/>
    <m/>
    <m/>
    <n v="0"/>
    <m/>
    <m/>
    <n v="0"/>
    <m/>
    <m/>
    <m/>
    <m/>
    <m/>
    <m/>
    <n v="9887339"/>
    <n v="10831206"/>
  </r>
  <r>
    <x v="10"/>
    <x v="0"/>
    <s v="Murray State College "/>
    <m/>
    <n v="207236"/>
    <x v="8"/>
    <n v="5642667"/>
    <n v="5727612"/>
    <m/>
    <m/>
    <m/>
    <m/>
    <n v="6127745"/>
    <m/>
    <n v="6127745"/>
    <n v="6358522"/>
    <m/>
    <n v="6358522"/>
    <n v="11770412"/>
    <n v="12086134"/>
    <m/>
    <m/>
    <m/>
    <m/>
    <n v="0"/>
    <m/>
    <m/>
    <n v="0"/>
    <m/>
    <m/>
    <m/>
    <m/>
    <m/>
    <m/>
    <n v="11770412"/>
    <n v="12086134"/>
  </r>
  <r>
    <x v="10"/>
    <x v="0"/>
    <s v="Northeastern Oklahoma A &amp; M College "/>
    <m/>
    <n v="207290"/>
    <x v="8"/>
    <n v="8772815"/>
    <n v="8883776"/>
    <m/>
    <m/>
    <m/>
    <m/>
    <n v="6884518"/>
    <m/>
    <n v="6884518"/>
    <n v="7745250"/>
    <m/>
    <n v="7745250"/>
    <n v="15657333"/>
    <n v="16629026"/>
    <m/>
    <m/>
    <m/>
    <m/>
    <n v="0"/>
    <m/>
    <m/>
    <n v="0"/>
    <m/>
    <m/>
    <m/>
    <m/>
    <m/>
    <m/>
    <n v="15657333"/>
    <n v="16629026"/>
  </r>
  <r>
    <x v="10"/>
    <x v="0"/>
    <s v="Redlands Community College"/>
    <m/>
    <n v="207069"/>
    <x v="8"/>
    <n v="6276609"/>
    <n v="6358917"/>
    <m/>
    <m/>
    <m/>
    <m/>
    <n v="5306183"/>
    <m/>
    <n v="5306183"/>
    <n v="5519369"/>
    <m/>
    <n v="5519369"/>
    <n v="11582792"/>
    <n v="11878286"/>
    <m/>
    <m/>
    <m/>
    <m/>
    <n v="0"/>
    <m/>
    <m/>
    <n v="0"/>
    <m/>
    <m/>
    <m/>
    <m/>
    <m/>
    <m/>
    <n v="11582792"/>
    <n v="11878286"/>
  </r>
  <r>
    <x v="10"/>
    <x v="0"/>
    <s v="Seminole State College "/>
    <m/>
    <n v="207740"/>
    <x v="8"/>
    <n v="5870410"/>
    <n v="5948795"/>
    <m/>
    <m/>
    <m/>
    <m/>
    <n v="4816189"/>
    <m/>
    <n v="4816189"/>
    <n v="5054479"/>
    <m/>
    <n v="5054479"/>
    <n v="10686599"/>
    <n v="11003274"/>
    <m/>
    <m/>
    <m/>
    <m/>
    <n v="0"/>
    <m/>
    <m/>
    <n v="0"/>
    <m/>
    <m/>
    <m/>
    <m/>
    <m/>
    <m/>
    <n v="10686599"/>
    <n v="11003274"/>
  </r>
  <r>
    <x v="10"/>
    <x v="0"/>
    <s v="Western Oklahoma State College "/>
    <s v="Met the criteria for Two-Year 2 institution in 2011-12 and 2012-13."/>
    <n v="208035"/>
    <x v="8"/>
    <n v="5626900"/>
    <n v="5701773"/>
    <m/>
    <m/>
    <m/>
    <m/>
    <n v="7899500"/>
    <m/>
    <n v="7899500"/>
    <n v="9242000"/>
    <m/>
    <n v="9242000"/>
    <n v="13526400"/>
    <n v="14943773"/>
    <m/>
    <m/>
    <m/>
    <m/>
    <n v="0"/>
    <m/>
    <m/>
    <n v="0"/>
    <m/>
    <m/>
    <m/>
    <m/>
    <m/>
    <m/>
    <n v="13526400"/>
    <n v="14943773"/>
  </r>
  <r>
    <x v="10"/>
    <x v="10"/>
    <s v="Statewide Special-Purpose Units"/>
    <m/>
    <m/>
    <x v="12"/>
    <m/>
    <m/>
    <m/>
    <m/>
    <m/>
    <m/>
    <m/>
    <m/>
    <n v="0"/>
    <m/>
    <m/>
    <n v="0"/>
    <n v="0"/>
    <n v="0"/>
    <m/>
    <m/>
    <m/>
    <m/>
    <n v="0"/>
    <m/>
    <m/>
    <n v="0"/>
    <m/>
    <m/>
    <m/>
    <m/>
    <m/>
    <m/>
    <n v="0"/>
    <n v="0"/>
  </r>
  <r>
    <x v="10"/>
    <x v="42"/>
    <s v="Community or public service units"/>
    <m/>
    <m/>
    <x v="12"/>
    <m/>
    <m/>
    <m/>
    <m/>
    <m/>
    <m/>
    <m/>
    <m/>
    <n v="0"/>
    <m/>
    <m/>
    <n v="0"/>
    <n v="0"/>
    <n v="0"/>
    <m/>
    <m/>
    <m/>
    <m/>
    <n v="0"/>
    <m/>
    <m/>
    <n v="0"/>
    <m/>
    <m/>
    <m/>
    <m/>
    <m/>
    <m/>
    <n v="0"/>
    <n v="0"/>
  </r>
  <r>
    <x v="10"/>
    <x v="42"/>
    <s v="Kerr Conference Center"/>
    <m/>
    <m/>
    <x v="12"/>
    <m/>
    <m/>
    <n v="92853"/>
    <n v="93835"/>
    <m/>
    <m/>
    <m/>
    <m/>
    <n v="0"/>
    <m/>
    <m/>
    <n v="0"/>
    <n v="92853"/>
    <n v="93835"/>
    <m/>
    <m/>
    <m/>
    <m/>
    <n v="0"/>
    <m/>
    <m/>
    <n v="0"/>
    <m/>
    <m/>
    <m/>
    <m/>
    <m/>
    <m/>
    <n v="92853"/>
    <n v="93835"/>
  </r>
  <r>
    <x v="10"/>
    <x v="13"/>
    <s v="Educational special-purpose funds — all other"/>
    <m/>
    <m/>
    <x v="12"/>
    <m/>
    <m/>
    <m/>
    <m/>
    <m/>
    <m/>
    <m/>
    <m/>
    <n v="0"/>
    <m/>
    <m/>
    <n v="0"/>
    <n v="0"/>
    <n v="0"/>
    <m/>
    <m/>
    <m/>
    <m/>
    <n v="0"/>
    <m/>
    <m/>
    <n v="0"/>
    <m/>
    <m/>
    <m/>
    <m/>
    <m/>
    <m/>
    <n v="0"/>
    <n v="0"/>
  </r>
  <r>
    <x v="10"/>
    <x v="13"/>
    <s v="Ardmore H.Ed. Program"/>
    <m/>
    <m/>
    <x v="12"/>
    <m/>
    <m/>
    <n v="640619"/>
    <n v="647396"/>
    <m/>
    <m/>
    <m/>
    <m/>
    <n v="0"/>
    <m/>
    <m/>
    <n v="0"/>
    <n v="640619"/>
    <n v="647396"/>
    <m/>
    <m/>
    <m/>
    <m/>
    <n v="0"/>
    <m/>
    <m/>
    <n v="0"/>
    <m/>
    <m/>
    <m/>
    <m/>
    <m/>
    <m/>
    <n v="640619"/>
    <n v="647396"/>
  </r>
  <r>
    <x v="10"/>
    <x v="13"/>
    <s v="Jane Brooks School-USAO"/>
    <m/>
    <m/>
    <x v="12"/>
    <m/>
    <m/>
    <n v="25019"/>
    <n v="25283"/>
    <m/>
    <m/>
    <m/>
    <m/>
    <n v="0"/>
    <m/>
    <m/>
    <n v="0"/>
    <n v="25019"/>
    <n v="25283"/>
    <m/>
    <m/>
    <m/>
    <m/>
    <n v="0"/>
    <m/>
    <m/>
    <n v="0"/>
    <m/>
    <m/>
    <m/>
    <m/>
    <m/>
    <m/>
    <n v="25019"/>
    <n v="25283"/>
  </r>
  <r>
    <x v="10"/>
    <x v="13"/>
    <s v="Fire Science Training"/>
    <m/>
    <m/>
    <x v="12"/>
    <m/>
    <m/>
    <n v="1668532"/>
    <n v="1686184"/>
    <m/>
    <m/>
    <m/>
    <m/>
    <n v="0"/>
    <m/>
    <m/>
    <n v="0"/>
    <n v="1668532"/>
    <n v="1686184"/>
    <m/>
    <m/>
    <m/>
    <m/>
    <n v="0"/>
    <m/>
    <m/>
    <n v="0"/>
    <m/>
    <m/>
    <m/>
    <m/>
    <m/>
    <m/>
    <n v="1668532"/>
    <n v="1686184"/>
  </r>
  <r>
    <x v="10"/>
    <x v="13"/>
    <s v="Scholar Leadership Program"/>
    <m/>
    <m/>
    <x v="12"/>
    <m/>
    <m/>
    <n v="283036"/>
    <n v="286030"/>
    <m/>
    <m/>
    <m/>
    <m/>
    <n v="0"/>
    <m/>
    <m/>
    <n v="0"/>
    <n v="283036"/>
    <n v="286030"/>
    <m/>
    <m/>
    <m/>
    <m/>
    <n v="0"/>
    <m/>
    <m/>
    <n v="0"/>
    <m/>
    <m/>
    <m/>
    <m/>
    <m/>
    <m/>
    <n v="283036"/>
    <n v="286030"/>
  </r>
  <r>
    <x v="10"/>
    <x v="13"/>
    <s v="Academic Scholar Program"/>
    <m/>
    <m/>
    <x v="12"/>
    <m/>
    <m/>
    <n v="8049149"/>
    <n v="8329363"/>
    <m/>
    <m/>
    <m/>
    <m/>
    <n v="0"/>
    <m/>
    <m/>
    <n v="0"/>
    <n v="8049149"/>
    <n v="8329363"/>
    <m/>
    <m/>
    <m/>
    <m/>
    <n v="0"/>
    <m/>
    <m/>
    <n v="0"/>
    <m/>
    <m/>
    <m/>
    <m/>
    <m/>
    <m/>
    <n v="8049149"/>
    <n v="8329363"/>
  </r>
  <r>
    <x v="10"/>
    <x v="13"/>
    <s v="Oklahoma Teacher Connection Center"/>
    <m/>
    <m/>
    <x v="12"/>
    <m/>
    <m/>
    <n v="387124"/>
    <n v="391200"/>
    <m/>
    <m/>
    <m/>
    <m/>
    <n v="0"/>
    <m/>
    <m/>
    <n v="0"/>
    <n v="387124"/>
    <n v="391200"/>
    <m/>
    <m/>
    <m/>
    <m/>
    <n v="0"/>
    <m/>
    <m/>
    <n v="0"/>
    <m/>
    <m/>
    <m/>
    <m/>
    <m/>
    <m/>
    <n v="387124"/>
    <n v="391200"/>
  </r>
  <r>
    <x v="10"/>
    <x v="13"/>
    <s v="OneNet User Fee Charges"/>
    <m/>
    <m/>
    <x v="12"/>
    <m/>
    <m/>
    <n v="3089398"/>
    <n v="3120185"/>
    <m/>
    <m/>
    <m/>
    <m/>
    <n v="0"/>
    <m/>
    <m/>
    <n v="0"/>
    <n v="3089398"/>
    <n v="3120185"/>
    <m/>
    <m/>
    <m/>
    <m/>
    <n v="0"/>
    <m/>
    <m/>
    <n v="0"/>
    <m/>
    <m/>
    <m/>
    <m/>
    <m/>
    <m/>
    <n v="3089398"/>
    <n v="3120185"/>
  </r>
  <r>
    <x v="10"/>
    <x v="13"/>
    <s v="Student Preparation  Program"/>
    <m/>
    <m/>
    <x v="12"/>
    <m/>
    <m/>
    <n v="1086973"/>
    <n v="1098472"/>
    <m/>
    <m/>
    <m/>
    <m/>
    <n v="0"/>
    <m/>
    <m/>
    <n v="0"/>
    <n v="1086973"/>
    <n v="1098472"/>
    <m/>
    <m/>
    <m/>
    <m/>
    <n v="0"/>
    <m/>
    <m/>
    <n v="0"/>
    <m/>
    <m/>
    <m/>
    <m/>
    <m/>
    <m/>
    <n v="1086973"/>
    <n v="1098472"/>
  </r>
  <r>
    <x v="10"/>
    <x v="13"/>
    <s v="Statewide Literacy Program"/>
    <m/>
    <m/>
    <x v="12"/>
    <m/>
    <m/>
    <n v="67760"/>
    <n v="68476"/>
    <m/>
    <m/>
    <m/>
    <m/>
    <n v="0"/>
    <m/>
    <m/>
    <n v="0"/>
    <n v="67760"/>
    <n v="68476"/>
    <m/>
    <m/>
    <m/>
    <m/>
    <n v="0"/>
    <m/>
    <m/>
    <n v="0"/>
    <m/>
    <m/>
    <m/>
    <m/>
    <m/>
    <m/>
    <n v="67760"/>
    <n v="68476"/>
  </r>
  <r>
    <x v="10"/>
    <x v="14"/>
    <s v="Statewide System Operations"/>
    <m/>
    <m/>
    <x v="12"/>
    <m/>
    <m/>
    <m/>
    <m/>
    <m/>
    <m/>
    <m/>
    <m/>
    <n v="0"/>
    <m/>
    <m/>
    <n v="0"/>
    <n v="0"/>
    <n v="0"/>
    <m/>
    <m/>
    <m/>
    <m/>
    <n v="0"/>
    <m/>
    <m/>
    <n v="0"/>
    <m/>
    <m/>
    <m/>
    <m/>
    <m/>
    <m/>
    <n v="0"/>
    <n v="0"/>
  </r>
  <r>
    <x v="10"/>
    <x v="15"/>
    <s v="Colleges and universities"/>
    <m/>
    <m/>
    <x v="12"/>
    <m/>
    <m/>
    <m/>
    <m/>
    <m/>
    <m/>
    <m/>
    <m/>
    <n v="0"/>
    <m/>
    <m/>
    <n v="0"/>
    <n v="0"/>
    <n v="0"/>
    <m/>
    <m/>
    <m/>
    <m/>
    <n v="0"/>
    <m/>
    <m/>
    <n v="0"/>
    <m/>
    <m/>
    <m/>
    <m/>
    <m/>
    <m/>
    <n v="0"/>
    <n v="0"/>
  </r>
  <r>
    <x v="10"/>
    <x v="15"/>
    <s v="Ok State Regents for H. Ed."/>
    <m/>
    <m/>
    <x v="12"/>
    <m/>
    <m/>
    <m/>
    <m/>
    <m/>
    <m/>
    <m/>
    <m/>
    <n v="0"/>
    <m/>
    <m/>
    <n v="0"/>
    <n v="0"/>
    <n v="0"/>
    <n v="10033794"/>
    <n v="10139942"/>
    <m/>
    <m/>
    <n v="0"/>
    <m/>
    <m/>
    <n v="0"/>
    <m/>
    <m/>
    <m/>
    <m/>
    <m/>
    <m/>
    <n v="10033794"/>
    <n v="10139942"/>
  </r>
  <r>
    <x v="10"/>
    <x v="15"/>
    <s v="Oklahoma College System"/>
    <m/>
    <m/>
    <x v="12"/>
    <m/>
    <m/>
    <m/>
    <m/>
    <m/>
    <m/>
    <m/>
    <m/>
    <n v="0"/>
    <m/>
    <m/>
    <n v="0"/>
    <n v="0"/>
    <n v="0"/>
    <m/>
    <m/>
    <m/>
    <m/>
    <n v="0"/>
    <m/>
    <m/>
    <n v="0"/>
    <m/>
    <m/>
    <m/>
    <m/>
    <m/>
    <m/>
    <n v="0"/>
    <n v="0"/>
  </r>
  <r>
    <x v="10"/>
    <x v="16"/>
    <s v="Two-year system(s), if any"/>
    <m/>
    <m/>
    <x v="12"/>
    <m/>
    <m/>
    <m/>
    <m/>
    <m/>
    <m/>
    <m/>
    <m/>
    <n v="0"/>
    <m/>
    <m/>
    <n v="0"/>
    <n v="0"/>
    <n v="0"/>
    <m/>
    <m/>
    <m/>
    <m/>
    <n v="0"/>
    <m/>
    <m/>
    <n v="0"/>
    <m/>
    <m/>
    <m/>
    <m/>
    <m/>
    <m/>
    <n v="0"/>
    <n v="0"/>
  </r>
  <r>
    <x v="10"/>
    <x v="17"/>
    <s v="National or regional associations, compacts or consortia"/>
    <m/>
    <m/>
    <x v="12"/>
    <m/>
    <m/>
    <m/>
    <m/>
    <m/>
    <m/>
    <m/>
    <m/>
    <n v="0"/>
    <m/>
    <m/>
    <n v="0"/>
    <n v="0"/>
    <n v="0"/>
    <m/>
    <m/>
    <m/>
    <m/>
    <n v="0"/>
    <m/>
    <m/>
    <n v="0"/>
    <m/>
    <m/>
    <m/>
    <m/>
    <m/>
    <m/>
    <n v="0"/>
    <n v="0"/>
  </r>
  <r>
    <x v="10"/>
    <x v="17"/>
    <s v="SREB Dues"/>
    <m/>
    <m/>
    <x v="12"/>
    <m/>
    <m/>
    <m/>
    <m/>
    <m/>
    <m/>
    <m/>
    <m/>
    <n v="0"/>
    <m/>
    <m/>
    <n v="0"/>
    <n v="0"/>
    <n v="0"/>
    <m/>
    <m/>
    <m/>
    <m/>
    <n v="0"/>
    <m/>
    <m/>
    <n v="0"/>
    <m/>
    <m/>
    <m/>
    <m/>
    <m/>
    <m/>
    <n v="0"/>
    <n v="0"/>
  </r>
  <r>
    <x v="10"/>
    <x v="18"/>
    <s v="Adm. of Statewide Student Aid Progs. (incldng centralized guaranteed student loans)"/>
    <m/>
    <m/>
    <x v="12"/>
    <m/>
    <m/>
    <m/>
    <m/>
    <m/>
    <m/>
    <m/>
    <m/>
    <n v="0"/>
    <m/>
    <m/>
    <n v="0"/>
    <n v="0"/>
    <n v="0"/>
    <m/>
    <m/>
    <m/>
    <m/>
    <n v="0"/>
    <m/>
    <m/>
    <n v="0"/>
    <m/>
    <m/>
    <m/>
    <m/>
    <m/>
    <m/>
    <n v="0"/>
    <n v="0"/>
  </r>
  <r>
    <x v="10"/>
    <x v="19"/>
    <s v="State Support to Private Colleges Other Than Student Aid"/>
    <m/>
    <m/>
    <x v="12"/>
    <m/>
    <m/>
    <m/>
    <m/>
    <m/>
    <m/>
    <m/>
    <m/>
    <n v="0"/>
    <m/>
    <m/>
    <n v="0"/>
    <n v="0"/>
    <n v="0"/>
    <m/>
    <m/>
    <m/>
    <m/>
    <n v="0"/>
    <m/>
    <m/>
    <n v="0"/>
    <m/>
    <m/>
    <m/>
    <m/>
    <m/>
    <m/>
    <n v="0"/>
    <n v="0"/>
  </r>
  <r>
    <x v="10"/>
    <x v="20"/>
    <s v="Contract Education Programs"/>
    <m/>
    <m/>
    <x v="12"/>
    <m/>
    <m/>
    <m/>
    <m/>
    <m/>
    <m/>
    <m/>
    <m/>
    <n v="0"/>
    <m/>
    <m/>
    <n v="0"/>
    <n v="0"/>
    <n v="0"/>
    <m/>
    <m/>
    <m/>
    <m/>
    <n v="0"/>
    <m/>
    <m/>
    <n v="0"/>
    <m/>
    <m/>
    <m/>
    <m/>
    <m/>
    <m/>
    <n v="0"/>
    <n v="0"/>
  </r>
  <r>
    <x v="10"/>
    <x v="21"/>
    <s v="SREB contract program with private colleges"/>
    <m/>
    <m/>
    <x v="12"/>
    <m/>
    <m/>
    <m/>
    <m/>
    <m/>
    <m/>
    <m/>
    <m/>
    <n v="0"/>
    <m/>
    <m/>
    <n v="0"/>
    <n v="0"/>
    <n v="0"/>
    <m/>
    <m/>
    <m/>
    <m/>
    <n v="0"/>
    <m/>
    <m/>
    <n v="0"/>
    <m/>
    <m/>
    <m/>
    <m/>
    <m/>
    <m/>
    <n v="0"/>
    <n v="0"/>
  </r>
  <r>
    <x v="10"/>
    <x v="22"/>
    <s v="SREB contract program with public colleges"/>
    <m/>
    <m/>
    <x v="12"/>
    <m/>
    <m/>
    <m/>
    <m/>
    <m/>
    <m/>
    <m/>
    <m/>
    <n v="0"/>
    <m/>
    <m/>
    <n v="0"/>
    <n v="0"/>
    <n v="0"/>
    <m/>
    <m/>
    <m/>
    <m/>
    <n v="0"/>
    <m/>
    <m/>
    <n v="0"/>
    <m/>
    <m/>
    <m/>
    <m/>
    <m/>
    <m/>
    <n v="0"/>
    <n v="0"/>
  </r>
  <r>
    <x v="10"/>
    <x v="23"/>
    <s v="Other contract education programs"/>
    <m/>
    <m/>
    <x v="12"/>
    <m/>
    <m/>
    <m/>
    <m/>
    <m/>
    <m/>
    <m/>
    <m/>
    <n v="0"/>
    <m/>
    <m/>
    <n v="0"/>
    <n v="0"/>
    <n v="0"/>
    <m/>
    <m/>
    <m/>
    <m/>
    <n v="0"/>
    <m/>
    <m/>
    <n v="0"/>
    <m/>
    <m/>
    <m/>
    <m/>
    <m/>
    <m/>
    <n v="0"/>
    <n v="0"/>
  </r>
  <r>
    <x v="10"/>
    <x v="24"/>
    <s v="Statewide Student Financial Aid Programs Administered Off Campus"/>
    <m/>
    <m/>
    <x v="12"/>
    <m/>
    <m/>
    <m/>
    <m/>
    <m/>
    <m/>
    <m/>
    <m/>
    <n v="0"/>
    <m/>
    <m/>
    <n v="0"/>
    <n v="0"/>
    <n v="0"/>
    <m/>
    <m/>
    <m/>
    <m/>
    <n v="0"/>
    <m/>
    <m/>
    <n v="0"/>
    <m/>
    <m/>
    <m/>
    <m/>
    <m/>
    <m/>
    <n v="0"/>
    <n v="0"/>
  </r>
  <r>
    <x v="10"/>
    <x v="25"/>
    <s v="Available to public &amp; private sector students"/>
    <m/>
    <m/>
    <x v="12"/>
    <m/>
    <m/>
    <m/>
    <m/>
    <m/>
    <m/>
    <m/>
    <m/>
    <n v="0"/>
    <m/>
    <m/>
    <n v="0"/>
    <n v="0"/>
    <n v="0"/>
    <m/>
    <m/>
    <m/>
    <m/>
    <n v="0"/>
    <m/>
    <m/>
    <n v="0"/>
    <m/>
    <m/>
    <m/>
    <m/>
    <m/>
    <m/>
    <n v="0"/>
    <n v="0"/>
  </r>
  <r>
    <x v="10"/>
    <x v="25"/>
    <s v="Oklahoma Promise"/>
    <m/>
    <m/>
    <x v="12"/>
    <m/>
    <m/>
    <m/>
    <m/>
    <m/>
    <m/>
    <m/>
    <m/>
    <n v="0"/>
    <m/>
    <m/>
    <n v="0"/>
    <n v="0"/>
    <n v="0"/>
    <n v="63200000"/>
    <n v="57000000"/>
    <m/>
    <m/>
    <n v="0"/>
    <m/>
    <m/>
    <n v="0"/>
    <m/>
    <m/>
    <m/>
    <m/>
    <m/>
    <m/>
    <n v="63200000"/>
    <n v="57000000"/>
  </r>
  <r>
    <x v="10"/>
    <x v="26"/>
    <s v="Need-based"/>
    <m/>
    <m/>
    <x v="12"/>
    <m/>
    <m/>
    <m/>
    <m/>
    <m/>
    <m/>
    <m/>
    <m/>
    <n v="0"/>
    <m/>
    <m/>
    <n v="0"/>
    <n v="0"/>
    <n v="0"/>
    <m/>
    <m/>
    <m/>
    <m/>
    <n v="0"/>
    <m/>
    <m/>
    <n v="0"/>
    <m/>
    <m/>
    <m/>
    <m/>
    <m/>
    <m/>
    <n v="0"/>
    <n v="0"/>
  </r>
  <r>
    <x v="10"/>
    <x v="27"/>
    <s v="Non need-based"/>
    <m/>
    <m/>
    <x v="12"/>
    <m/>
    <m/>
    <m/>
    <m/>
    <m/>
    <m/>
    <m/>
    <m/>
    <n v="0"/>
    <m/>
    <m/>
    <n v="0"/>
    <n v="0"/>
    <n v="0"/>
    <m/>
    <m/>
    <m/>
    <m/>
    <n v="0"/>
    <m/>
    <m/>
    <n v="0"/>
    <m/>
    <m/>
    <m/>
    <m/>
    <m/>
    <m/>
    <n v="0"/>
    <n v="0"/>
  </r>
  <r>
    <x v="10"/>
    <x v="28"/>
    <s v="Amount to public sector students"/>
    <m/>
    <m/>
    <x v="12"/>
    <m/>
    <m/>
    <m/>
    <m/>
    <m/>
    <m/>
    <m/>
    <m/>
    <n v="0"/>
    <m/>
    <m/>
    <n v="0"/>
    <n v="0"/>
    <n v="0"/>
    <m/>
    <m/>
    <m/>
    <m/>
    <n v="0"/>
    <m/>
    <m/>
    <n v="0"/>
    <m/>
    <m/>
    <m/>
    <m/>
    <m/>
    <m/>
    <n v="0"/>
    <n v="0"/>
  </r>
  <r>
    <x v="10"/>
    <x v="29"/>
    <s v="Need-based"/>
    <m/>
    <m/>
    <x v="12"/>
    <m/>
    <m/>
    <m/>
    <m/>
    <m/>
    <m/>
    <m/>
    <m/>
    <n v="0"/>
    <m/>
    <m/>
    <n v="0"/>
    <n v="0"/>
    <n v="0"/>
    <m/>
    <m/>
    <m/>
    <m/>
    <n v="0"/>
    <m/>
    <m/>
    <n v="0"/>
    <m/>
    <m/>
    <m/>
    <m/>
    <m/>
    <m/>
    <n v="0"/>
    <n v="0"/>
  </r>
  <r>
    <x v="10"/>
    <x v="27"/>
    <s v="Non need-based"/>
    <m/>
    <m/>
    <x v="12"/>
    <m/>
    <m/>
    <m/>
    <m/>
    <m/>
    <m/>
    <m/>
    <m/>
    <n v="0"/>
    <m/>
    <m/>
    <n v="0"/>
    <n v="0"/>
    <n v="0"/>
    <m/>
    <m/>
    <m/>
    <m/>
    <n v="0"/>
    <m/>
    <m/>
    <n v="0"/>
    <m/>
    <m/>
    <m/>
    <m/>
    <m/>
    <m/>
    <n v="0"/>
    <n v="0"/>
  </r>
  <r>
    <x v="10"/>
    <x v="31"/>
    <s v="Amount to private sector students"/>
    <m/>
    <m/>
    <x v="12"/>
    <m/>
    <m/>
    <m/>
    <m/>
    <m/>
    <m/>
    <m/>
    <m/>
    <n v="0"/>
    <m/>
    <m/>
    <n v="0"/>
    <n v="0"/>
    <n v="0"/>
    <m/>
    <m/>
    <m/>
    <m/>
    <n v="0"/>
    <m/>
    <m/>
    <n v="0"/>
    <m/>
    <m/>
    <m/>
    <m/>
    <m/>
    <m/>
    <n v="0"/>
    <n v="0"/>
  </r>
  <r>
    <x v="10"/>
    <x v="32"/>
    <s v="Need-based"/>
    <m/>
    <m/>
    <x v="12"/>
    <m/>
    <m/>
    <m/>
    <m/>
    <m/>
    <m/>
    <m/>
    <m/>
    <n v="0"/>
    <m/>
    <m/>
    <n v="0"/>
    <n v="0"/>
    <n v="0"/>
    <m/>
    <m/>
    <m/>
    <m/>
    <n v="0"/>
    <m/>
    <m/>
    <n v="0"/>
    <m/>
    <m/>
    <m/>
    <m/>
    <m/>
    <m/>
    <n v="0"/>
    <n v="0"/>
  </r>
  <r>
    <x v="10"/>
    <x v="27"/>
    <s v="Non need-based"/>
    <m/>
    <m/>
    <x v="12"/>
    <m/>
    <m/>
    <m/>
    <m/>
    <m/>
    <m/>
    <m/>
    <m/>
    <n v="0"/>
    <m/>
    <m/>
    <n v="0"/>
    <n v="0"/>
    <n v="0"/>
    <m/>
    <m/>
    <m/>
    <m/>
    <n v="0"/>
    <m/>
    <m/>
    <n v="0"/>
    <m/>
    <m/>
    <m/>
    <m/>
    <m/>
    <m/>
    <n v="0"/>
    <n v="0"/>
  </r>
  <r>
    <x v="10"/>
    <x v="25"/>
    <s v="Chiropractic Education Assistance"/>
    <m/>
    <m/>
    <x v="12"/>
    <m/>
    <m/>
    <m/>
    <m/>
    <m/>
    <m/>
    <m/>
    <m/>
    <n v="0"/>
    <m/>
    <m/>
    <n v="0"/>
    <n v="0"/>
    <n v="0"/>
    <n v="37012"/>
    <n v="37404"/>
    <m/>
    <m/>
    <n v="0"/>
    <m/>
    <m/>
    <n v="0"/>
    <m/>
    <m/>
    <m/>
    <m/>
    <m/>
    <m/>
    <n v="37012"/>
    <n v="37404"/>
  </r>
  <r>
    <x v="10"/>
    <x v="26"/>
    <s v="Need-based"/>
    <m/>
    <m/>
    <x v="12"/>
    <m/>
    <m/>
    <m/>
    <m/>
    <m/>
    <m/>
    <m/>
    <m/>
    <n v="0"/>
    <m/>
    <m/>
    <n v="0"/>
    <n v="0"/>
    <n v="0"/>
    <m/>
    <m/>
    <m/>
    <m/>
    <n v="0"/>
    <m/>
    <m/>
    <n v="0"/>
    <m/>
    <m/>
    <m/>
    <m/>
    <m/>
    <m/>
    <n v="0"/>
    <n v="0"/>
  </r>
  <r>
    <x v="10"/>
    <x v="27"/>
    <s v="Non need-based"/>
    <m/>
    <m/>
    <x v="12"/>
    <m/>
    <m/>
    <m/>
    <m/>
    <m/>
    <m/>
    <m/>
    <m/>
    <n v="0"/>
    <m/>
    <m/>
    <n v="0"/>
    <n v="0"/>
    <n v="0"/>
    <m/>
    <m/>
    <m/>
    <m/>
    <n v="0"/>
    <m/>
    <m/>
    <n v="0"/>
    <m/>
    <m/>
    <m/>
    <m/>
    <m/>
    <m/>
    <n v="0"/>
    <n v="0"/>
  </r>
  <r>
    <x v="10"/>
    <x v="28"/>
    <s v="Amount to public sector students"/>
    <m/>
    <m/>
    <x v="12"/>
    <m/>
    <m/>
    <m/>
    <m/>
    <m/>
    <m/>
    <m/>
    <m/>
    <n v="0"/>
    <m/>
    <m/>
    <n v="0"/>
    <n v="0"/>
    <n v="0"/>
    <m/>
    <m/>
    <m/>
    <m/>
    <n v="0"/>
    <m/>
    <m/>
    <n v="0"/>
    <m/>
    <m/>
    <m/>
    <m/>
    <m/>
    <m/>
    <n v="0"/>
    <n v="0"/>
  </r>
  <r>
    <x v="10"/>
    <x v="29"/>
    <s v="Need-based"/>
    <m/>
    <m/>
    <x v="12"/>
    <m/>
    <m/>
    <m/>
    <m/>
    <m/>
    <m/>
    <m/>
    <m/>
    <n v="0"/>
    <m/>
    <m/>
    <n v="0"/>
    <n v="0"/>
    <n v="0"/>
    <m/>
    <m/>
    <m/>
    <m/>
    <n v="0"/>
    <m/>
    <m/>
    <n v="0"/>
    <m/>
    <m/>
    <m/>
    <m/>
    <m/>
    <m/>
    <n v="0"/>
    <n v="0"/>
  </r>
  <r>
    <x v="10"/>
    <x v="27"/>
    <s v="Non need-based"/>
    <m/>
    <m/>
    <x v="12"/>
    <m/>
    <m/>
    <m/>
    <m/>
    <m/>
    <m/>
    <m/>
    <m/>
    <n v="0"/>
    <m/>
    <m/>
    <n v="0"/>
    <n v="0"/>
    <n v="0"/>
    <m/>
    <m/>
    <m/>
    <m/>
    <n v="0"/>
    <m/>
    <m/>
    <n v="0"/>
    <m/>
    <m/>
    <m/>
    <m/>
    <m/>
    <m/>
    <n v="0"/>
    <n v="0"/>
  </r>
  <r>
    <x v="10"/>
    <x v="31"/>
    <s v="Amount to private sector students"/>
    <m/>
    <m/>
    <x v="12"/>
    <m/>
    <m/>
    <m/>
    <m/>
    <m/>
    <m/>
    <m/>
    <m/>
    <n v="0"/>
    <m/>
    <m/>
    <n v="0"/>
    <n v="0"/>
    <n v="0"/>
    <m/>
    <m/>
    <m/>
    <m/>
    <n v="0"/>
    <m/>
    <m/>
    <n v="0"/>
    <m/>
    <m/>
    <m/>
    <m/>
    <m/>
    <m/>
    <n v="0"/>
    <n v="0"/>
  </r>
  <r>
    <x v="10"/>
    <x v="32"/>
    <s v="Need-based"/>
    <m/>
    <m/>
    <x v="12"/>
    <m/>
    <m/>
    <m/>
    <m/>
    <m/>
    <m/>
    <m/>
    <m/>
    <n v="0"/>
    <m/>
    <m/>
    <n v="0"/>
    <n v="0"/>
    <n v="0"/>
    <m/>
    <m/>
    <m/>
    <m/>
    <n v="0"/>
    <m/>
    <m/>
    <n v="0"/>
    <m/>
    <m/>
    <m/>
    <m/>
    <m/>
    <m/>
    <n v="0"/>
    <n v="0"/>
  </r>
  <r>
    <x v="10"/>
    <x v="27"/>
    <s v="Non need-based"/>
    <m/>
    <m/>
    <x v="12"/>
    <m/>
    <m/>
    <m/>
    <m/>
    <m/>
    <m/>
    <m/>
    <m/>
    <n v="0"/>
    <m/>
    <m/>
    <n v="0"/>
    <n v="0"/>
    <n v="0"/>
    <m/>
    <m/>
    <m/>
    <m/>
    <n v="0"/>
    <m/>
    <m/>
    <n v="0"/>
    <m/>
    <m/>
    <m/>
    <m/>
    <m/>
    <m/>
    <n v="0"/>
    <n v="0"/>
  </r>
  <r>
    <x v="10"/>
    <x v="25"/>
    <s v="Prospective Teachers Scholars"/>
    <m/>
    <m/>
    <x v="12"/>
    <m/>
    <m/>
    <m/>
    <m/>
    <m/>
    <m/>
    <m/>
    <m/>
    <n v="0"/>
    <m/>
    <m/>
    <n v="0"/>
    <n v="0"/>
    <n v="0"/>
    <n v="92531"/>
    <n v="93510"/>
    <m/>
    <m/>
    <n v="0"/>
    <m/>
    <m/>
    <n v="0"/>
    <m/>
    <m/>
    <m/>
    <m/>
    <m/>
    <m/>
    <n v="92531"/>
    <n v="93510"/>
  </r>
  <r>
    <x v="10"/>
    <x v="26"/>
    <s v="Need-based"/>
    <m/>
    <m/>
    <x v="12"/>
    <m/>
    <m/>
    <m/>
    <m/>
    <m/>
    <m/>
    <m/>
    <m/>
    <n v="0"/>
    <m/>
    <m/>
    <n v="0"/>
    <n v="0"/>
    <n v="0"/>
    <m/>
    <m/>
    <m/>
    <m/>
    <n v="0"/>
    <m/>
    <m/>
    <n v="0"/>
    <m/>
    <m/>
    <m/>
    <m/>
    <m/>
    <m/>
    <n v="0"/>
    <n v="0"/>
  </r>
  <r>
    <x v="10"/>
    <x v="27"/>
    <s v="Non need-based"/>
    <m/>
    <m/>
    <x v="12"/>
    <m/>
    <m/>
    <m/>
    <m/>
    <m/>
    <m/>
    <m/>
    <m/>
    <n v="0"/>
    <m/>
    <m/>
    <n v="0"/>
    <n v="0"/>
    <n v="0"/>
    <m/>
    <m/>
    <m/>
    <m/>
    <n v="0"/>
    <m/>
    <m/>
    <n v="0"/>
    <m/>
    <m/>
    <m/>
    <m/>
    <m/>
    <m/>
    <n v="0"/>
    <n v="0"/>
  </r>
  <r>
    <x v="10"/>
    <x v="28"/>
    <s v="Amount to public sector students"/>
    <m/>
    <m/>
    <x v="12"/>
    <m/>
    <m/>
    <m/>
    <m/>
    <m/>
    <m/>
    <m/>
    <m/>
    <n v="0"/>
    <m/>
    <m/>
    <n v="0"/>
    <n v="0"/>
    <n v="0"/>
    <m/>
    <m/>
    <m/>
    <m/>
    <n v="0"/>
    <m/>
    <m/>
    <n v="0"/>
    <m/>
    <m/>
    <m/>
    <m/>
    <m/>
    <m/>
    <n v="0"/>
    <n v="0"/>
  </r>
  <r>
    <x v="10"/>
    <x v="29"/>
    <s v="Need-based"/>
    <m/>
    <m/>
    <x v="12"/>
    <m/>
    <m/>
    <m/>
    <m/>
    <m/>
    <m/>
    <m/>
    <m/>
    <n v="0"/>
    <m/>
    <m/>
    <n v="0"/>
    <n v="0"/>
    <n v="0"/>
    <m/>
    <m/>
    <m/>
    <m/>
    <n v="0"/>
    <m/>
    <m/>
    <n v="0"/>
    <m/>
    <m/>
    <m/>
    <m/>
    <m/>
    <m/>
    <n v="0"/>
    <n v="0"/>
  </r>
  <r>
    <x v="10"/>
    <x v="27"/>
    <s v="Non need-based"/>
    <m/>
    <m/>
    <x v="12"/>
    <m/>
    <m/>
    <m/>
    <m/>
    <m/>
    <m/>
    <m/>
    <m/>
    <n v="0"/>
    <m/>
    <m/>
    <n v="0"/>
    <n v="0"/>
    <n v="0"/>
    <m/>
    <m/>
    <m/>
    <m/>
    <n v="0"/>
    <m/>
    <m/>
    <n v="0"/>
    <m/>
    <m/>
    <m/>
    <m/>
    <m/>
    <m/>
    <n v="0"/>
    <n v="0"/>
  </r>
  <r>
    <x v="10"/>
    <x v="31"/>
    <s v="Amount to private sector students"/>
    <m/>
    <m/>
    <x v="12"/>
    <m/>
    <m/>
    <m/>
    <m/>
    <m/>
    <m/>
    <m/>
    <m/>
    <n v="0"/>
    <m/>
    <m/>
    <n v="0"/>
    <n v="0"/>
    <n v="0"/>
    <m/>
    <m/>
    <m/>
    <m/>
    <n v="0"/>
    <m/>
    <m/>
    <n v="0"/>
    <m/>
    <m/>
    <m/>
    <m/>
    <m/>
    <m/>
    <n v="0"/>
    <n v="0"/>
  </r>
  <r>
    <x v="10"/>
    <x v="32"/>
    <s v="Need-based"/>
    <m/>
    <m/>
    <x v="12"/>
    <m/>
    <m/>
    <m/>
    <m/>
    <m/>
    <m/>
    <m/>
    <m/>
    <n v="0"/>
    <m/>
    <m/>
    <n v="0"/>
    <n v="0"/>
    <n v="0"/>
    <m/>
    <m/>
    <m/>
    <m/>
    <n v="0"/>
    <m/>
    <m/>
    <n v="0"/>
    <m/>
    <m/>
    <m/>
    <m/>
    <m/>
    <m/>
    <n v="0"/>
    <n v="0"/>
  </r>
  <r>
    <x v="10"/>
    <x v="27"/>
    <s v="Non need-based"/>
    <m/>
    <m/>
    <x v="12"/>
    <m/>
    <m/>
    <m/>
    <m/>
    <m/>
    <m/>
    <m/>
    <m/>
    <n v="0"/>
    <m/>
    <m/>
    <n v="0"/>
    <n v="0"/>
    <n v="0"/>
    <m/>
    <m/>
    <m/>
    <m/>
    <n v="0"/>
    <m/>
    <m/>
    <n v="0"/>
    <m/>
    <m/>
    <m/>
    <m/>
    <m/>
    <m/>
    <n v="0"/>
    <n v="0"/>
  </r>
  <r>
    <x v="10"/>
    <x v="25"/>
    <s v="Regional University Scholarships"/>
    <m/>
    <m/>
    <x v="12"/>
    <m/>
    <m/>
    <m/>
    <m/>
    <m/>
    <m/>
    <m/>
    <m/>
    <n v="0"/>
    <m/>
    <m/>
    <n v="0"/>
    <n v="0"/>
    <n v="0"/>
    <n v="975746"/>
    <n v="986068"/>
    <m/>
    <m/>
    <n v="0"/>
    <m/>
    <m/>
    <n v="0"/>
    <m/>
    <m/>
    <m/>
    <m/>
    <m/>
    <m/>
    <n v="975746"/>
    <n v="986068"/>
  </r>
  <r>
    <x v="10"/>
    <x v="26"/>
    <s v="Need-based"/>
    <m/>
    <m/>
    <x v="12"/>
    <m/>
    <m/>
    <m/>
    <m/>
    <m/>
    <m/>
    <m/>
    <m/>
    <n v="0"/>
    <m/>
    <m/>
    <n v="0"/>
    <n v="0"/>
    <n v="0"/>
    <m/>
    <m/>
    <m/>
    <m/>
    <n v="0"/>
    <m/>
    <m/>
    <n v="0"/>
    <m/>
    <m/>
    <m/>
    <m/>
    <m/>
    <m/>
    <n v="0"/>
    <n v="0"/>
  </r>
  <r>
    <x v="10"/>
    <x v="27"/>
    <s v="Non need-based"/>
    <m/>
    <m/>
    <x v="12"/>
    <m/>
    <m/>
    <m/>
    <m/>
    <m/>
    <m/>
    <m/>
    <m/>
    <n v="0"/>
    <m/>
    <m/>
    <n v="0"/>
    <n v="0"/>
    <n v="0"/>
    <m/>
    <m/>
    <m/>
    <m/>
    <n v="0"/>
    <m/>
    <m/>
    <n v="0"/>
    <m/>
    <m/>
    <m/>
    <m/>
    <m/>
    <m/>
    <n v="0"/>
    <n v="0"/>
  </r>
  <r>
    <x v="10"/>
    <x v="28"/>
    <s v="Amount to public sector students"/>
    <m/>
    <m/>
    <x v="12"/>
    <m/>
    <m/>
    <m/>
    <m/>
    <m/>
    <m/>
    <m/>
    <m/>
    <n v="0"/>
    <m/>
    <m/>
    <n v="0"/>
    <n v="0"/>
    <n v="0"/>
    <m/>
    <m/>
    <m/>
    <m/>
    <n v="0"/>
    <m/>
    <m/>
    <n v="0"/>
    <m/>
    <m/>
    <m/>
    <m/>
    <m/>
    <m/>
    <n v="0"/>
    <n v="0"/>
  </r>
  <r>
    <x v="10"/>
    <x v="29"/>
    <s v="Need-based"/>
    <m/>
    <m/>
    <x v="12"/>
    <m/>
    <m/>
    <m/>
    <m/>
    <m/>
    <m/>
    <m/>
    <m/>
    <n v="0"/>
    <m/>
    <m/>
    <n v="0"/>
    <n v="0"/>
    <n v="0"/>
    <m/>
    <m/>
    <m/>
    <m/>
    <n v="0"/>
    <m/>
    <m/>
    <n v="0"/>
    <m/>
    <m/>
    <m/>
    <m/>
    <m/>
    <m/>
    <n v="0"/>
    <n v="0"/>
  </r>
  <r>
    <x v="10"/>
    <x v="27"/>
    <s v="Non need-based"/>
    <m/>
    <m/>
    <x v="12"/>
    <m/>
    <m/>
    <m/>
    <m/>
    <m/>
    <m/>
    <m/>
    <m/>
    <n v="0"/>
    <m/>
    <m/>
    <n v="0"/>
    <n v="0"/>
    <n v="0"/>
    <m/>
    <m/>
    <m/>
    <m/>
    <n v="0"/>
    <m/>
    <m/>
    <n v="0"/>
    <m/>
    <m/>
    <m/>
    <m/>
    <m/>
    <m/>
    <n v="0"/>
    <n v="0"/>
  </r>
  <r>
    <x v="10"/>
    <x v="31"/>
    <s v="Amount to private sector students"/>
    <m/>
    <m/>
    <x v="12"/>
    <m/>
    <m/>
    <m/>
    <m/>
    <m/>
    <m/>
    <m/>
    <m/>
    <n v="0"/>
    <m/>
    <m/>
    <n v="0"/>
    <n v="0"/>
    <n v="0"/>
    <m/>
    <m/>
    <m/>
    <m/>
    <n v="0"/>
    <m/>
    <m/>
    <n v="0"/>
    <m/>
    <m/>
    <m/>
    <m/>
    <m/>
    <m/>
    <n v="0"/>
    <n v="0"/>
  </r>
  <r>
    <x v="10"/>
    <x v="32"/>
    <s v="Need-based"/>
    <m/>
    <m/>
    <x v="12"/>
    <m/>
    <m/>
    <m/>
    <m/>
    <m/>
    <m/>
    <m/>
    <m/>
    <n v="0"/>
    <m/>
    <m/>
    <n v="0"/>
    <n v="0"/>
    <n v="0"/>
    <m/>
    <m/>
    <m/>
    <m/>
    <n v="0"/>
    <m/>
    <m/>
    <n v="0"/>
    <m/>
    <m/>
    <m/>
    <m/>
    <m/>
    <m/>
    <n v="0"/>
    <n v="0"/>
  </r>
  <r>
    <x v="10"/>
    <x v="27"/>
    <s v="Non need-based"/>
    <m/>
    <m/>
    <x v="12"/>
    <m/>
    <m/>
    <m/>
    <m/>
    <m/>
    <m/>
    <m/>
    <m/>
    <n v="0"/>
    <m/>
    <m/>
    <n v="0"/>
    <n v="0"/>
    <n v="0"/>
    <m/>
    <m/>
    <m/>
    <m/>
    <n v="0"/>
    <m/>
    <m/>
    <n v="0"/>
    <m/>
    <m/>
    <m/>
    <m/>
    <m/>
    <m/>
    <n v="0"/>
    <n v="0"/>
  </r>
  <r>
    <x v="10"/>
    <x v="25"/>
    <s v="OTAG"/>
    <m/>
    <m/>
    <x v="12"/>
    <m/>
    <m/>
    <m/>
    <m/>
    <m/>
    <m/>
    <m/>
    <m/>
    <n v="0"/>
    <m/>
    <m/>
    <n v="0"/>
    <n v="0"/>
    <n v="0"/>
    <n v="18527102"/>
    <n v="19115722"/>
    <m/>
    <m/>
    <n v="0"/>
    <m/>
    <m/>
    <n v="0"/>
    <m/>
    <m/>
    <m/>
    <m/>
    <m/>
    <m/>
    <n v="18527102"/>
    <n v="19115722"/>
  </r>
  <r>
    <x v="10"/>
    <x v="26"/>
    <s v="Need-based"/>
    <m/>
    <m/>
    <x v="12"/>
    <m/>
    <m/>
    <m/>
    <m/>
    <m/>
    <m/>
    <m/>
    <m/>
    <n v="0"/>
    <m/>
    <m/>
    <n v="0"/>
    <n v="0"/>
    <n v="0"/>
    <m/>
    <m/>
    <m/>
    <m/>
    <n v="0"/>
    <m/>
    <m/>
    <n v="0"/>
    <m/>
    <m/>
    <m/>
    <m/>
    <m/>
    <m/>
    <n v="0"/>
    <n v="0"/>
  </r>
  <r>
    <x v="10"/>
    <x v="27"/>
    <s v="Non need-based"/>
    <m/>
    <m/>
    <x v="12"/>
    <m/>
    <m/>
    <m/>
    <m/>
    <m/>
    <m/>
    <m/>
    <m/>
    <n v="0"/>
    <m/>
    <m/>
    <n v="0"/>
    <n v="0"/>
    <n v="0"/>
    <m/>
    <m/>
    <m/>
    <m/>
    <n v="0"/>
    <m/>
    <m/>
    <n v="0"/>
    <m/>
    <m/>
    <m/>
    <m/>
    <m/>
    <m/>
    <n v="0"/>
    <n v="0"/>
  </r>
  <r>
    <x v="10"/>
    <x v="28"/>
    <s v="Amount to public sector students"/>
    <m/>
    <m/>
    <x v="12"/>
    <m/>
    <m/>
    <m/>
    <m/>
    <m/>
    <m/>
    <m/>
    <m/>
    <n v="0"/>
    <m/>
    <m/>
    <n v="0"/>
    <n v="0"/>
    <n v="0"/>
    <m/>
    <m/>
    <m/>
    <m/>
    <n v="0"/>
    <m/>
    <m/>
    <n v="0"/>
    <m/>
    <m/>
    <m/>
    <m/>
    <m/>
    <m/>
    <n v="0"/>
    <n v="0"/>
  </r>
  <r>
    <x v="10"/>
    <x v="29"/>
    <s v="Need-based"/>
    <m/>
    <m/>
    <x v="12"/>
    <m/>
    <m/>
    <m/>
    <m/>
    <m/>
    <m/>
    <m/>
    <m/>
    <n v="0"/>
    <m/>
    <m/>
    <n v="0"/>
    <n v="0"/>
    <n v="0"/>
    <m/>
    <m/>
    <m/>
    <m/>
    <n v="0"/>
    <m/>
    <m/>
    <n v="0"/>
    <m/>
    <m/>
    <m/>
    <m/>
    <m/>
    <m/>
    <n v="0"/>
    <n v="0"/>
  </r>
  <r>
    <x v="10"/>
    <x v="27"/>
    <s v="Non need-based"/>
    <m/>
    <m/>
    <x v="12"/>
    <m/>
    <m/>
    <m/>
    <m/>
    <m/>
    <m/>
    <m/>
    <m/>
    <n v="0"/>
    <m/>
    <m/>
    <n v="0"/>
    <n v="0"/>
    <n v="0"/>
    <m/>
    <m/>
    <m/>
    <m/>
    <n v="0"/>
    <m/>
    <m/>
    <n v="0"/>
    <m/>
    <m/>
    <m/>
    <m/>
    <m/>
    <m/>
    <n v="0"/>
    <n v="0"/>
  </r>
  <r>
    <x v="10"/>
    <x v="31"/>
    <s v="Amount to private sector students"/>
    <m/>
    <m/>
    <x v="12"/>
    <m/>
    <m/>
    <m/>
    <m/>
    <m/>
    <m/>
    <m/>
    <m/>
    <n v="0"/>
    <m/>
    <m/>
    <n v="0"/>
    <n v="0"/>
    <n v="0"/>
    <m/>
    <m/>
    <m/>
    <m/>
    <n v="0"/>
    <m/>
    <m/>
    <n v="0"/>
    <m/>
    <m/>
    <m/>
    <m/>
    <m/>
    <m/>
    <n v="0"/>
    <n v="0"/>
  </r>
  <r>
    <x v="10"/>
    <x v="32"/>
    <s v="Need-based"/>
    <m/>
    <m/>
    <x v="12"/>
    <m/>
    <m/>
    <m/>
    <m/>
    <m/>
    <m/>
    <m/>
    <m/>
    <n v="0"/>
    <m/>
    <m/>
    <n v="0"/>
    <n v="0"/>
    <n v="0"/>
    <m/>
    <m/>
    <m/>
    <m/>
    <n v="0"/>
    <m/>
    <m/>
    <n v="0"/>
    <m/>
    <m/>
    <m/>
    <m/>
    <m/>
    <m/>
    <n v="0"/>
    <n v="0"/>
  </r>
  <r>
    <x v="10"/>
    <x v="27"/>
    <s v="Non need-based"/>
    <m/>
    <m/>
    <x v="12"/>
    <m/>
    <m/>
    <m/>
    <m/>
    <m/>
    <m/>
    <m/>
    <m/>
    <n v="0"/>
    <m/>
    <m/>
    <n v="0"/>
    <n v="0"/>
    <n v="0"/>
    <m/>
    <m/>
    <m/>
    <m/>
    <n v="0"/>
    <m/>
    <m/>
    <n v="0"/>
    <m/>
    <m/>
    <m/>
    <m/>
    <m/>
    <m/>
    <n v="0"/>
    <n v="0"/>
  </r>
  <r>
    <x v="10"/>
    <x v="34"/>
    <s v="Limited to public college students only"/>
    <m/>
    <m/>
    <x v="12"/>
    <m/>
    <m/>
    <m/>
    <m/>
    <m/>
    <m/>
    <m/>
    <m/>
    <n v="0"/>
    <m/>
    <m/>
    <n v="0"/>
    <n v="0"/>
    <n v="0"/>
    <m/>
    <m/>
    <m/>
    <m/>
    <n v="0"/>
    <m/>
    <m/>
    <n v="0"/>
    <m/>
    <m/>
    <m/>
    <m/>
    <m/>
    <m/>
    <n v="0"/>
    <n v="0"/>
  </r>
  <r>
    <x v="10"/>
    <x v="35"/>
    <s v="Need-based"/>
    <m/>
    <m/>
    <x v="12"/>
    <m/>
    <m/>
    <m/>
    <m/>
    <m/>
    <m/>
    <m/>
    <m/>
    <n v="0"/>
    <m/>
    <m/>
    <n v="0"/>
    <n v="0"/>
    <n v="0"/>
    <m/>
    <m/>
    <m/>
    <m/>
    <n v="0"/>
    <m/>
    <m/>
    <n v="0"/>
    <m/>
    <m/>
    <m/>
    <m/>
    <m/>
    <m/>
    <n v="0"/>
    <n v="0"/>
  </r>
  <r>
    <x v="10"/>
    <x v="36"/>
    <s v="Non need-based"/>
    <m/>
    <m/>
    <x v="12"/>
    <m/>
    <m/>
    <m/>
    <m/>
    <m/>
    <m/>
    <m/>
    <m/>
    <n v="0"/>
    <m/>
    <m/>
    <n v="0"/>
    <n v="0"/>
    <n v="0"/>
    <m/>
    <m/>
    <m/>
    <m/>
    <n v="0"/>
    <m/>
    <m/>
    <n v="0"/>
    <m/>
    <m/>
    <m/>
    <m/>
    <m/>
    <m/>
    <n v="0"/>
    <n v="0"/>
  </r>
  <r>
    <x v="10"/>
    <x v="37"/>
    <s v="Limited to private college students only"/>
    <m/>
    <m/>
    <x v="12"/>
    <m/>
    <m/>
    <m/>
    <m/>
    <m/>
    <m/>
    <m/>
    <m/>
    <n v="0"/>
    <m/>
    <m/>
    <n v="0"/>
    <n v="0"/>
    <n v="0"/>
    <m/>
    <m/>
    <m/>
    <m/>
    <n v="0"/>
    <m/>
    <m/>
    <n v="0"/>
    <m/>
    <m/>
    <m/>
    <m/>
    <m/>
    <m/>
    <n v="0"/>
    <n v="0"/>
  </r>
  <r>
    <x v="10"/>
    <x v="37"/>
    <s v="OTEG"/>
    <m/>
    <m/>
    <x v="12"/>
    <m/>
    <m/>
    <m/>
    <m/>
    <m/>
    <m/>
    <m/>
    <m/>
    <n v="0"/>
    <m/>
    <m/>
    <n v="0"/>
    <n v="0"/>
    <n v="0"/>
    <n v="3371184"/>
    <n v="3406848"/>
    <m/>
    <m/>
    <n v="0"/>
    <m/>
    <m/>
    <n v="0"/>
    <m/>
    <m/>
    <m/>
    <m/>
    <m/>
    <m/>
    <n v="3371184"/>
    <n v="3406848"/>
  </r>
  <r>
    <x v="10"/>
    <x v="38"/>
    <s v="Need-based"/>
    <m/>
    <m/>
    <x v="12"/>
    <m/>
    <m/>
    <m/>
    <m/>
    <m/>
    <m/>
    <m/>
    <m/>
    <n v="0"/>
    <m/>
    <m/>
    <n v="0"/>
    <n v="0"/>
    <n v="0"/>
    <m/>
    <m/>
    <m/>
    <m/>
    <n v="0"/>
    <m/>
    <m/>
    <n v="0"/>
    <m/>
    <m/>
    <m/>
    <m/>
    <m/>
    <m/>
    <n v="0"/>
    <n v="0"/>
  </r>
  <r>
    <x v="10"/>
    <x v="39"/>
    <s v="Non need-based"/>
    <m/>
    <m/>
    <x v="12"/>
    <m/>
    <m/>
    <m/>
    <m/>
    <m/>
    <m/>
    <m/>
    <m/>
    <n v="0"/>
    <m/>
    <m/>
    <n v="0"/>
    <n v="0"/>
    <n v="0"/>
    <m/>
    <m/>
    <m/>
    <m/>
    <n v="0"/>
    <m/>
    <m/>
    <n v="0"/>
    <m/>
    <m/>
    <m/>
    <m/>
    <m/>
    <m/>
    <n v="0"/>
    <n v="0"/>
  </r>
  <r>
    <x v="10"/>
    <x v="0"/>
    <s v="Canadian Valley Technology Center                 "/>
    <m/>
    <n v="365374"/>
    <x v="9"/>
    <n v="4453262"/>
    <n v="4156502"/>
    <m/>
    <m/>
    <m/>
    <m/>
    <n v="1051642"/>
    <m/>
    <n v="1051642"/>
    <n v="1283331"/>
    <m/>
    <n v="1283331"/>
    <n v="5504904"/>
    <n v="5439833"/>
    <m/>
    <m/>
    <m/>
    <m/>
    <n v="0"/>
    <m/>
    <m/>
    <n v="0"/>
    <m/>
    <m/>
    <m/>
    <m/>
    <m/>
    <m/>
    <n v="5504904"/>
    <n v="5439833"/>
  </r>
  <r>
    <x v="10"/>
    <x v="0"/>
    <s v="Francis Tuttle Technology Center                  "/>
    <m/>
    <n v="245999"/>
    <x v="9"/>
    <n v="4452384"/>
    <n v="4735883"/>
    <m/>
    <m/>
    <m/>
    <m/>
    <n v="2340052"/>
    <m/>
    <n v="2340052"/>
    <n v="2507071"/>
    <m/>
    <n v="2507071"/>
    <n v="6792436"/>
    <n v="7242954"/>
    <m/>
    <m/>
    <m/>
    <m/>
    <n v="0"/>
    <m/>
    <m/>
    <n v="0"/>
    <m/>
    <m/>
    <m/>
    <m/>
    <m/>
    <m/>
    <n v="6792436"/>
    <n v="7242954"/>
  </r>
  <r>
    <x v="10"/>
    <x v="0"/>
    <s v="Metro Technology Centers                          "/>
    <m/>
    <n v="363165"/>
    <x v="9"/>
    <n v="5300358"/>
    <n v="5388476"/>
    <m/>
    <m/>
    <m/>
    <m/>
    <n v="3080896"/>
    <m/>
    <n v="3080896"/>
    <n v="2796736"/>
    <m/>
    <n v="2796736"/>
    <n v="8381254"/>
    <n v="8185212"/>
    <m/>
    <m/>
    <m/>
    <m/>
    <n v="0"/>
    <m/>
    <m/>
    <n v="0"/>
    <m/>
    <m/>
    <m/>
    <m/>
    <m/>
    <m/>
    <n v="8381254"/>
    <n v="8185212"/>
  </r>
  <r>
    <x v="10"/>
    <x v="0"/>
    <s v="Autry Technology Center                           "/>
    <m/>
    <n v="365213"/>
    <x v="10"/>
    <n v="4016559"/>
    <n v="3848333"/>
    <m/>
    <m/>
    <m/>
    <m/>
    <n v="976390"/>
    <m/>
    <n v="976390"/>
    <n v="995271"/>
    <m/>
    <n v="995271"/>
    <n v="4992949"/>
    <n v="4843604"/>
    <m/>
    <m/>
    <m/>
    <m/>
    <n v="0"/>
    <m/>
    <m/>
    <n v="0"/>
    <m/>
    <m/>
    <m/>
    <m/>
    <m/>
    <m/>
    <n v="4992949"/>
    <n v="4843604"/>
  </r>
  <r>
    <x v="10"/>
    <x v="0"/>
    <s v="Caddo Kiowa Technology Center                     "/>
    <m/>
    <n v="364946"/>
    <x v="10"/>
    <n v="4746954"/>
    <n v="4820629"/>
    <m/>
    <m/>
    <m/>
    <m/>
    <n v="885470"/>
    <m/>
    <n v="885470"/>
    <n v="764783"/>
    <m/>
    <n v="764783"/>
    <n v="5632424"/>
    <n v="5585412"/>
    <m/>
    <m/>
    <m/>
    <m/>
    <n v="0"/>
    <m/>
    <m/>
    <n v="0"/>
    <m/>
    <m/>
    <m/>
    <m/>
    <m/>
    <m/>
    <n v="5632424"/>
    <n v="5585412"/>
  </r>
  <r>
    <x v="10"/>
    <x v="0"/>
    <s v="Central Technology Center                         "/>
    <m/>
    <n v="246017"/>
    <x v="10"/>
    <n v="6266391"/>
    <n v="5804300"/>
    <m/>
    <m/>
    <m/>
    <m/>
    <n v="1596676"/>
    <m/>
    <n v="1596676"/>
    <n v="1683253"/>
    <m/>
    <n v="1683253"/>
    <n v="7863067"/>
    <n v="7487553"/>
    <m/>
    <m/>
    <m/>
    <m/>
    <n v="0"/>
    <m/>
    <m/>
    <n v="0"/>
    <m/>
    <m/>
    <m/>
    <m/>
    <m/>
    <m/>
    <n v="7863067"/>
    <n v="7487553"/>
  </r>
  <r>
    <x v="10"/>
    <x v="0"/>
    <s v="Chisholm Trail Technology Center                  "/>
    <m/>
    <n v="375656"/>
    <x v="10"/>
    <n v="1247313"/>
    <n v="1285144"/>
    <m/>
    <m/>
    <m/>
    <m/>
    <n v="165780"/>
    <m/>
    <n v="165780"/>
    <n v="65500"/>
    <m/>
    <n v="65500"/>
    <n v="1413093"/>
    <n v="1350644"/>
    <m/>
    <m/>
    <m/>
    <m/>
    <n v="0"/>
    <m/>
    <m/>
    <n v="0"/>
    <m/>
    <m/>
    <m/>
    <m/>
    <m/>
    <m/>
    <n v="1413093"/>
    <n v="1350644"/>
  </r>
  <r>
    <x v="10"/>
    <x v="0"/>
    <s v="Eastern Oklahoma County Technology Center         "/>
    <m/>
    <n v="418348"/>
    <x v="10"/>
    <n v="2066857"/>
    <n v="2172107"/>
    <m/>
    <m/>
    <m/>
    <m/>
    <n v="305801"/>
    <m/>
    <n v="305801"/>
    <n v="336043"/>
    <m/>
    <n v="336043"/>
    <n v="2372658"/>
    <n v="2508150"/>
    <m/>
    <m/>
    <m/>
    <m/>
    <n v="0"/>
    <m/>
    <m/>
    <n v="0"/>
    <m/>
    <m/>
    <m/>
    <m/>
    <m/>
    <m/>
    <n v="2372658"/>
    <n v="2508150"/>
  </r>
  <r>
    <x v="10"/>
    <x v="0"/>
    <s v="Gordon Cooper Technology Center                   "/>
    <m/>
    <n v="375683"/>
    <x v="10"/>
    <n v="3862084"/>
    <n v="3606109"/>
    <m/>
    <m/>
    <m/>
    <m/>
    <n v="664653"/>
    <m/>
    <n v="664653"/>
    <n v="689083"/>
    <m/>
    <n v="689083"/>
    <n v="4526737"/>
    <n v="4295192"/>
    <m/>
    <m/>
    <m/>
    <m/>
    <n v="0"/>
    <m/>
    <m/>
    <n v="0"/>
    <m/>
    <m/>
    <m/>
    <m/>
    <m/>
    <m/>
    <n v="4526737"/>
    <n v="4295192"/>
  </r>
  <r>
    <x v="10"/>
    <x v="0"/>
    <s v="Great Plains Technology Center                    "/>
    <m/>
    <n v="364548"/>
    <x v="10"/>
    <n v="6458453"/>
    <n v="6569877"/>
    <m/>
    <m/>
    <m/>
    <m/>
    <n v="2044689"/>
    <m/>
    <n v="2044689"/>
    <n v="1806891"/>
    <m/>
    <n v="1806891"/>
    <n v="8503142"/>
    <n v="8376768"/>
    <m/>
    <m/>
    <m/>
    <m/>
    <n v="0"/>
    <m/>
    <m/>
    <n v="0"/>
    <m/>
    <m/>
    <m/>
    <m/>
    <m/>
    <m/>
    <n v="8503142"/>
    <n v="8376768"/>
  </r>
  <r>
    <x v="10"/>
    <x v="0"/>
    <s v="Green Country Technology Center                   "/>
    <m/>
    <n v="428019"/>
    <x v="10"/>
    <n v="1309931"/>
    <n v="1345953"/>
    <m/>
    <m/>
    <m/>
    <m/>
    <n v="301661"/>
    <m/>
    <n v="301661"/>
    <n v="260882"/>
    <m/>
    <n v="260882"/>
    <n v="1611592"/>
    <n v="1606835"/>
    <m/>
    <m/>
    <m/>
    <m/>
    <n v="0"/>
    <m/>
    <m/>
    <n v="0"/>
    <m/>
    <m/>
    <m/>
    <m/>
    <m/>
    <m/>
    <n v="1611592"/>
    <n v="1606835"/>
  </r>
  <r>
    <x v="10"/>
    <x v="0"/>
    <s v="High Plains Technology Center                     "/>
    <m/>
    <n v="208053"/>
    <x v="10"/>
    <n v="2153679"/>
    <n v="1940409"/>
    <m/>
    <m/>
    <m/>
    <m/>
    <n v="241263"/>
    <m/>
    <n v="241263"/>
    <n v="222096"/>
    <m/>
    <n v="222096"/>
    <n v="2394942"/>
    <n v="2162505"/>
    <m/>
    <m/>
    <m/>
    <m/>
    <n v="0"/>
    <m/>
    <m/>
    <n v="0"/>
    <m/>
    <m/>
    <m/>
    <m/>
    <m/>
    <m/>
    <n v="2394942"/>
    <n v="2162505"/>
  </r>
  <r>
    <x v="10"/>
    <x v="0"/>
    <s v="Indian Capital Technology Center-Muskogee         "/>
    <m/>
    <n v="418296"/>
    <x v="10"/>
    <m/>
    <m/>
    <m/>
    <m/>
    <m/>
    <m/>
    <m/>
    <m/>
    <n v="0"/>
    <m/>
    <m/>
    <n v="0"/>
    <n v="0"/>
    <n v="0"/>
    <m/>
    <m/>
    <m/>
    <m/>
    <n v="0"/>
    <m/>
    <m/>
    <n v="0"/>
    <m/>
    <m/>
    <m/>
    <m/>
    <m/>
    <m/>
    <n v="0"/>
    <n v="0"/>
  </r>
  <r>
    <x v="10"/>
    <x v="0"/>
    <s v="Indian Capital Technology Center-Sallisaw         "/>
    <m/>
    <n v="421540"/>
    <x v="10"/>
    <m/>
    <m/>
    <m/>
    <m/>
    <m/>
    <m/>
    <m/>
    <m/>
    <n v="0"/>
    <m/>
    <m/>
    <n v="0"/>
    <n v="0"/>
    <n v="0"/>
    <m/>
    <m/>
    <m/>
    <m/>
    <n v="0"/>
    <m/>
    <m/>
    <n v="0"/>
    <m/>
    <m/>
    <m/>
    <m/>
    <m/>
    <m/>
    <n v="0"/>
    <n v="0"/>
  </r>
  <r>
    <x v="10"/>
    <x v="0"/>
    <s v="Indian Capital Technology Center-Stilwell         "/>
    <m/>
    <n v="421559"/>
    <x v="10"/>
    <m/>
    <m/>
    <m/>
    <m/>
    <m/>
    <m/>
    <m/>
    <m/>
    <n v="0"/>
    <m/>
    <m/>
    <n v="0"/>
    <n v="0"/>
    <n v="0"/>
    <m/>
    <m/>
    <m/>
    <m/>
    <n v="0"/>
    <m/>
    <m/>
    <n v="0"/>
    <m/>
    <m/>
    <m/>
    <m/>
    <m/>
    <m/>
    <n v="0"/>
    <n v="0"/>
  </r>
  <r>
    <x v="10"/>
    <x v="0"/>
    <s v="Indian Capital Technology Center-Tahlequah        "/>
    <m/>
    <n v="208026"/>
    <x v="10"/>
    <m/>
    <m/>
    <m/>
    <m/>
    <m/>
    <m/>
    <m/>
    <m/>
    <n v="0"/>
    <m/>
    <m/>
    <n v="0"/>
    <n v="0"/>
    <n v="0"/>
    <m/>
    <m/>
    <m/>
    <m/>
    <n v="0"/>
    <m/>
    <m/>
    <n v="0"/>
    <m/>
    <m/>
    <m/>
    <m/>
    <m/>
    <m/>
    <n v="0"/>
    <n v="0"/>
  </r>
  <r>
    <x v="10"/>
    <x v="0"/>
    <s v="Kiamichi Technology Center-Atoka                  "/>
    <m/>
    <n v="375692"/>
    <x v="10"/>
    <m/>
    <m/>
    <m/>
    <m/>
    <m/>
    <m/>
    <m/>
    <m/>
    <n v="0"/>
    <m/>
    <m/>
    <n v="0"/>
    <n v="0"/>
    <n v="0"/>
    <m/>
    <m/>
    <m/>
    <m/>
    <n v="0"/>
    <m/>
    <m/>
    <n v="0"/>
    <m/>
    <m/>
    <m/>
    <m/>
    <m/>
    <m/>
    <n v="0"/>
    <n v="0"/>
  </r>
  <r>
    <x v="10"/>
    <x v="0"/>
    <s v="Kiamichi Technology Center-Durant                 "/>
    <m/>
    <n v="375708"/>
    <x v="10"/>
    <m/>
    <m/>
    <m/>
    <m/>
    <m/>
    <m/>
    <m/>
    <m/>
    <n v="0"/>
    <m/>
    <m/>
    <n v="0"/>
    <n v="0"/>
    <n v="0"/>
    <m/>
    <m/>
    <m/>
    <m/>
    <n v="0"/>
    <m/>
    <m/>
    <n v="0"/>
    <m/>
    <m/>
    <m/>
    <m/>
    <m/>
    <m/>
    <n v="0"/>
    <n v="0"/>
  </r>
  <r>
    <x v="10"/>
    <x v="0"/>
    <s v="Kiamichi Technology Center-Hugo                   "/>
    <m/>
    <n v="375717"/>
    <x v="10"/>
    <m/>
    <m/>
    <m/>
    <m/>
    <m/>
    <m/>
    <m/>
    <m/>
    <n v="0"/>
    <m/>
    <m/>
    <n v="0"/>
    <n v="0"/>
    <n v="0"/>
    <m/>
    <m/>
    <m/>
    <m/>
    <n v="0"/>
    <m/>
    <m/>
    <n v="0"/>
    <m/>
    <m/>
    <m/>
    <m/>
    <m/>
    <m/>
    <n v="0"/>
    <n v="0"/>
  </r>
  <r>
    <x v="10"/>
    <x v="0"/>
    <s v="Kiamichi Technology Center-Idabel                 "/>
    <m/>
    <n v="375735"/>
    <x v="10"/>
    <m/>
    <m/>
    <m/>
    <m/>
    <m/>
    <m/>
    <m/>
    <m/>
    <n v="0"/>
    <m/>
    <m/>
    <n v="0"/>
    <n v="0"/>
    <n v="0"/>
    <m/>
    <m/>
    <m/>
    <m/>
    <n v="0"/>
    <m/>
    <m/>
    <n v="0"/>
    <m/>
    <m/>
    <m/>
    <m/>
    <m/>
    <m/>
    <n v="0"/>
    <n v="0"/>
  </r>
  <r>
    <x v="10"/>
    <x v="0"/>
    <s v="Kiamichi Technology Center-McAlester              "/>
    <m/>
    <n v="375726"/>
    <x v="10"/>
    <m/>
    <m/>
    <m/>
    <m/>
    <m/>
    <m/>
    <m/>
    <m/>
    <n v="0"/>
    <m/>
    <m/>
    <n v="0"/>
    <n v="0"/>
    <n v="0"/>
    <m/>
    <m/>
    <m/>
    <m/>
    <n v="0"/>
    <m/>
    <m/>
    <n v="0"/>
    <m/>
    <m/>
    <m/>
    <m/>
    <m/>
    <m/>
    <n v="0"/>
    <n v="0"/>
  </r>
  <r>
    <x v="10"/>
    <x v="0"/>
    <s v="Kiamichi Technology Center-Poteau                 "/>
    <m/>
    <n v="375744"/>
    <x v="10"/>
    <m/>
    <m/>
    <m/>
    <m/>
    <m/>
    <m/>
    <m/>
    <m/>
    <n v="0"/>
    <m/>
    <m/>
    <n v="0"/>
    <n v="0"/>
    <n v="0"/>
    <m/>
    <m/>
    <m/>
    <m/>
    <n v="0"/>
    <m/>
    <m/>
    <n v="0"/>
    <m/>
    <m/>
    <m/>
    <m/>
    <m/>
    <m/>
    <n v="0"/>
    <n v="0"/>
  </r>
  <r>
    <x v="10"/>
    <x v="0"/>
    <s v="Kiamichi Technology Center-Spiro                  "/>
    <m/>
    <n v="375753"/>
    <x v="10"/>
    <m/>
    <m/>
    <m/>
    <m/>
    <m/>
    <m/>
    <m/>
    <m/>
    <n v="0"/>
    <m/>
    <m/>
    <n v="0"/>
    <n v="0"/>
    <n v="0"/>
    <m/>
    <m/>
    <m/>
    <m/>
    <n v="0"/>
    <m/>
    <m/>
    <n v="0"/>
    <m/>
    <m/>
    <m/>
    <m/>
    <m/>
    <m/>
    <n v="0"/>
    <n v="0"/>
  </r>
  <r>
    <x v="10"/>
    <x v="0"/>
    <s v="Kiamichi Technology Center-Stigler                "/>
    <m/>
    <n v="405748"/>
    <x v="10"/>
    <m/>
    <m/>
    <m/>
    <m/>
    <m/>
    <m/>
    <m/>
    <m/>
    <n v="0"/>
    <m/>
    <m/>
    <n v="0"/>
    <n v="0"/>
    <n v="0"/>
    <m/>
    <m/>
    <m/>
    <m/>
    <n v="0"/>
    <m/>
    <m/>
    <n v="0"/>
    <m/>
    <m/>
    <m/>
    <m/>
    <m/>
    <m/>
    <n v="0"/>
    <n v="0"/>
  </r>
  <r>
    <x v="10"/>
    <x v="0"/>
    <s v="Kiamichi Technology Center-Talihina               "/>
    <m/>
    <n v="375762"/>
    <x v="10"/>
    <m/>
    <m/>
    <m/>
    <m/>
    <m/>
    <m/>
    <m/>
    <m/>
    <n v="0"/>
    <m/>
    <m/>
    <n v="0"/>
    <n v="0"/>
    <n v="0"/>
    <m/>
    <m/>
    <m/>
    <m/>
    <n v="0"/>
    <m/>
    <m/>
    <n v="0"/>
    <m/>
    <m/>
    <m/>
    <m/>
    <m/>
    <m/>
    <n v="0"/>
    <n v="0"/>
  </r>
  <r>
    <x v="10"/>
    <x v="0"/>
    <s v="Meridian Technology Center                        "/>
    <m/>
    <n v="365480"/>
    <x v="10"/>
    <n v="3415289"/>
    <n v="3364961"/>
    <m/>
    <m/>
    <m/>
    <m/>
    <n v="779657"/>
    <m/>
    <n v="779657"/>
    <n v="950425"/>
    <m/>
    <n v="950425"/>
    <n v="4194946"/>
    <n v="4315386"/>
    <m/>
    <m/>
    <m/>
    <m/>
    <n v="0"/>
    <m/>
    <m/>
    <n v="0"/>
    <m/>
    <m/>
    <m/>
    <m/>
    <m/>
    <m/>
    <n v="4194946"/>
    <n v="4315386"/>
  </r>
  <r>
    <x v="10"/>
    <x v="0"/>
    <s v="Mid-America Technology Center                     "/>
    <m/>
    <n v="418320"/>
    <x v="10"/>
    <n v="2731752"/>
    <n v="2748703"/>
    <m/>
    <m/>
    <m/>
    <m/>
    <n v="485150"/>
    <m/>
    <n v="485150"/>
    <n v="639935"/>
    <m/>
    <n v="639935"/>
    <n v="3216902"/>
    <n v="3388638"/>
    <m/>
    <m/>
    <m/>
    <m/>
    <n v="0"/>
    <m/>
    <m/>
    <n v="0"/>
    <m/>
    <m/>
    <m/>
    <m/>
    <m/>
    <m/>
    <n v="3216902"/>
    <n v="3388638"/>
  </r>
  <r>
    <x v="10"/>
    <x v="0"/>
    <s v="Mid-Del Technology Center                         "/>
    <m/>
    <n v="431017"/>
    <x v="10"/>
    <n v="1880113"/>
    <n v="2029860"/>
    <m/>
    <m/>
    <m/>
    <m/>
    <n v="16229"/>
    <m/>
    <n v="16229"/>
    <n v="24893"/>
    <m/>
    <n v="24893"/>
    <n v="1896342"/>
    <n v="2054753"/>
    <m/>
    <m/>
    <m/>
    <m/>
    <n v="0"/>
    <m/>
    <m/>
    <n v="0"/>
    <m/>
    <m/>
    <m/>
    <m/>
    <m/>
    <m/>
    <n v="1896342"/>
    <n v="2054753"/>
  </r>
  <r>
    <x v="10"/>
    <x v="0"/>
    <s v="Moore Norman Technology Center                    "/>
    <m/>
    <n v="248606"/>
    <x v="10"/>
    <n v="3499213"/>
    <n v="3299846"/>
    <m/>
    <m/>
    <m/>
    <m/>
    <n v="1918605"/>
    <m/>
    <n v="1918605"/>
    <n v="1832723"/>
    <m/>
    <n v="1832723"/>
    <n v="5417818"/>
    <n v="5132569"/>
    <m/>
    <m/>
    <m/>
    <m/>
    <n v="0"/>
    <m/>
    <m/>
    <n v="0"/>
    <m/>
    <m/>
    <m/>
    <m/>
    <m/>
    <m/>
    <n v="5417818"/>
    <n v="5132569"/>
  </r>
  <r>
    <x v="10"/>
    <x v="0"/>
    <s v="Northeast Technology Center-Afton                 "/>
    <m/>
    <n v="420459"/>
    <x v="10"/>
    <m/>
    <m/>
    <m/>
    <m/>
    <m/>
    <m/>
    <m/>
    <m/>
    <n v="0"/>
    <m/>
    <m/>
    <n v="0"/>
    <n v="0"/>
    <n v="0"/>
    <m/>
    <m/>
    <m/>
    <m/>
    <n v="0"/>
    <m/>
    <m/>
    <n v="0"/>
    <m/>
    <m/>
    <m/>
    <m/>
    <m/>
    <m/>
    <n v="0"/>
    <n v="0"/>
  </r>
  <r>
    <x v="10"/>
    <x v="0"/>
    <s v="Northeast Technology Center-Claremore"/>
    <s v="New institution no longer in start up phase. "/>
    <s v="456560"/>
    <x v="10"/>
    <m/>
    <m/>
    <m/>
    <m/>
    <m/>
    <m/>
    <m/>
    <m/>
    <n v="0"/>
    <m/>
    <m/>
    <n v="0"/>
    <n v="0"/>
    <n v="0"/>
    <m/>
    <m/>
    <m/>
    <m/>
    <n v="0"/>
    <m/>
    <m/>
    <n v="0"/>
    <m/>
    <m/>
    <m/>
    <m/>
    <m/>
    <m/>
    <n v="0"/>
    <n v="0"/>
  </r>
  <r>
    <x v="10"/>
    <x v="0"/>
    <s v="Northeast Technology Center-Kansas                "/>
    <m/>
    <n v="432074"/>
    <x v="10"/>
    <m/>
    <m/>
    <m/>
    <m/>
    <m/>
    <m/>
    <m/>
    <m/>
    <n v="0"/>
    <m/>
    <m/>
    <n v="0"/>
    <n v="0"/>
    <n v="0"/>
    <m/>
    <m/>
    <m/>
    <m/>
    <n v="0"/>
    <m/>
    <m/>
    <n v="0"/>
    <m/>
    <m/>
    <m/>
    <m/>
    <m/>
    <m/>
    <n v="0"/>
    <n v="0"/>
  </r>
  <r>
    <x v="10"/>
    <x v="0"/>
    <s v="Northeast Technology Center-Pryor                 "/>
    <m/>
    <n v="418339"/>
    <x v="10"/>
    <m/>
    <m/>
    <m/>
    <m/>
    <m/>
    <m/>
    <m/>
    <m/>
    <n v="0"/>
    <m/>
    <m/>
    <n v="0"/>
    <n v="0"/>
    <n v="0"/>
    <m/>
    <m/>
    <m/>
    <m/>
    <n v="0"/>
    <m/>
    <m/>
    <n v="0"/>
    <m/>
    <m/>
    <m/>
    <m/>
    <m/>
    <m/>
    <n v="0"/>
    <n v="0"/>
  </r>
  <r>
    <x v="10"/>
    <x v="0"/>
    <s v="Northwest Technology Center-Alva                  "/>
    <m/>
    <n v="366623"/>
    <x v="10"/>
    <m/>
    <m/>
    <m/>
    <m/>
    <m/>
    <m/>
    <m/>
    <m/>
    <n v="0"/>
    <m/>
    <m/>
    <n v="0"/>
    <n v="0"/>
    <n v="0"/>
    <m/>
    <m/>
    <m/>
    <m/>
    <n v="0"/>
    <m/>
    <m/>
    <n v="0"/>
    <m/>
    <m/>
    <m/>
    <m/>
    <m/>
    <m/>
    <n v="0"/>
    <n v="0"/>
  </r>
  <r>
    <x v="10"/>
    <x v="0"/>
    <s v="Northwest Technology Center-Fairview              "/>
    <m/>
    <n v="407601"/>
    <x v="10"/>
    <m/>
    <m/>
    <m/>
    <m/>
    <m/>
    <m/>
    <m/>
    <m/>
    <n v="0"/>
    <m/>
    <m/>
    <n v="0"/>
    <n v="0"/>
    <n v="0"/>
    <m/>
    <m/>
    <m/>
    <m/>
    <n v="0"/>
    <m/>
    <m/>
    <n v="0"/>
    <m/>
    <m/>
    <m/>
    <m/>
    <m/>
    <m/>
    <n v="0"/>
    <n v="0"/>
  </r>
  <r>
    <x v="10"/>
    <x v="0"/>
    <s v="Pioneer Technology Center                         "/>
    <m/>
    <n v="364627"/>
    <x v="10"/>
    <n v="2585596"/>
    <n v="2309599"/>
    <m/>
    <m/>
    <m/>
    <m/>
    <n v="485409"/>
    <m/>
    <n v="485409"/>
    <n v="479821"/>
    <m/>
    <n v="479821"/>
    <n v="3071005"/>
    <n v="2789420"/>
    <m/>
    <m/>
    <m/>
    <m/>
    <n v="0"/>
    <m/>
    <m/>
    <n v="0"/>
    <m/>
    <m/>
    <m/>
    <m/>
    <m/>
    <m/>
    <n v="3071005"/>
    <n v="2789420"/>
  </r>
  <r>
    <x v="10"/>
    <x v="0"/>
    <s v="Pontotoc Technology Center                        "/>
    <m/>
    <n v="206905"/>
    <x v="10"/>
    <n v="1539214"/>
    <n v="1545317"/>
    <m/>
    <m/>
    <m/>
    <m/>
    <n v="604376"/>
    <m/>
    <n v="604376"/>
    <n v="507221"/>
    <m/>
    <n v="507221"/>
    <n v="2143590"/>
    <n v="2052538"/>
    <m/>
    <m/>
    <m/>
    <m/>
    <n v="0"/>
    <m/>
    <m/>
    <n v="0"/>
    <m/>
    <m/>
    <m/>
    <m/>
    <m/>
    <m/>
    <n v="2143590"/>
    <n v="2052538"/>
  </r>
  <r>
    <x v="10"/>
    <x v="0"/>
    <s v="Red River Technology Center                       "/>
    <m/>
    <n v="250993"/>
    <x v="10"/>
    <n v="2227992"/>
    <n v="2149555"/>
    <m/>
    <m/>
    <m/>
    <m/>
    <n v="292207"/>
    <m/>
    <n v="292207"/>
    <n v="274191"/>
    <m/>
    <n v="274191"/>
    <n v="2520199"/>
    <n v="2423746"/>
    <m/>
    <m/>
    <m/>
    <m/>
    <n v="0"/>
    <m/>
    <m/>
    <n v="0"/>
    <m/>
    <m/>
    <m/>
    <m/>
    <m/>
    <m/>
    <n v="2520199"/>
    <n v="2423746"/>
  </r>
  <r>
    <x v="10"/>
    <x v="0"/>
    <s v="Southern Oklahoma Technology Center               "/>
    <m/>
    <n v="365198"/>
    <x v="10"/>
    <n v="2103885"/>
    <n v="2255104"/>
    <m/>
    <m/>
    <m/>
    <m/>
    <n v="451160"/>
    <m/>
    <n v="451160"/>
    <n v="408904"/>
    <m/>
    <n v="408904"/>
    <n v="2555045"/>
    <n v="2664008"/>
    <m/>
    <m/>
    <m/>
    <m/>
    <n v="0"/>
    <m/>
    <m/>
    <n v="0"/>
    <m/>
    <m/>
    <m/>
    <m/>
    <m/>
    <m/>
    <n v="2555045"/>
    <n v="2664008"/>
  </r>
  <r>
    <x v="10"/>
    <x v="0"/>
    <s v="Southwest Technology Center                       "/>
    <m/>
    <n v="368364"/>
    <x v="10"/>
    <n v="2250579"/>
    <n v="2224925"/>
    <m/>
    <m/>
    <m/>
    <m/>
    <n v="312056"/>
    <m/>
    <n v="312056"/>
    <n v="286347"/>
    <m/>
    <n v="286347"/>
    <n v="2562635"/>
    <n v="2511272"/>
    <m/>
    <m/>
    <m/>
    <m/>
    <n v="0"/>
    <m/>
    <m/>
    <n v="0"/>
    <m/>
    <m/>
    <m/>
    <m/>
    <m/>
    <m/>
    <n v="2562635"/>
    <n v="2511272"/>
  </r>
  <r>
    <x v="10"/>
    <x v="0"/>
    <s v="Tri County Technology Center                      "/>
    <m/>
    <n v="418287"/>
    <x v="10"/>
    <n v="2835338"/>
    <n v="2673982"/>
    <m/>
    <m/>
    <m/>
    <m/>
    <n v="851024"/>
    <m/>
    <n v="851024"/>
    <n v="749973"/>
    <m/>
    <n v="749973"/>
    <n v="3686362"/>
    <n v="3423955"/>
    <m/>
    <m/>
    <m/>
    <m/>
    <n v="0"/>
    <m/>
    <m/>
    <n v="0"/>
    <m/>
    <m/>
    <m/>
    <m/>
    <m/>
    <m/>
    <n v="3686362"/>
    <n v="3423955"/>
  </r>
  <r>
    <x v="10"/>
    <x v="0"/>
    <s v="Tulsa County Area Voc Tech School Dist 18-Peoria  "/>
    <m/>
    <n v="207607"/>
    <x v="10"/>
    <m/>
    <m/>
    <m/>
    <m/>
    <m/>
    <m/>
    <m/>
    <m/>
    <n v="0"/>
    <m/>
    <m/>
    <n v="0"/>
    <n v="0"/>
    <n v="0"/>
    <m/>
    <m/>
    <m/>
    <m/>
    <n v="0"/>
    <m/>
    <m/>
    <n v="0"/>
    <m/>
    <m/>
    <m/>
    <m/>
    <m/>
    <m/>
    <n v="0"/>
    <n v="0"/>
  </r>
  <r>
    <x v="10"/>
    <x v="0"/>
    <s v="Tulsa Technology Center-Broken Arrow Campus       "/>
    <m/>
    <n v="261393"/>
    <x v="10"/>
    <m/>
    <m/>
    <m/>
    <m/>
    <m/>
    <m/>
    <m/>
    <m/>
    <n v="0"/>
    <m/>
    <m/>
    <n v="0"/>
    <n v="0"/>
    <n v="0"/>
    <m/>
    <m/>
    <m/>
    <m/>
    <n v="0"/>
    <m/>
    <m/>
    <n v="0"/>
    <m/>
    <m/>
    <m/>
    <m/>
    <m/>
    <m/>
    <n v="0"/>
    <n v="0"/>
  </r>
  <r>
    <x v="10"/>
    <x v="0"/>
    <s v="Tulsa Technology Center-Lemley Campus             "/>
    <m/>
    <n v="261375"/>
    <x v="10"/>
    <m/>
    <m/>
    <m/>
    <m/>
    <m/>
    <m/>
    <m/>
    <m/>
    <n v="0"/>
    <m/>
    <m/>
    <n v="0"/>
    <n v="0"/>
    <n v="0"/>
    <m/>
    <m/>
    <m/>
    <m/>
    <n v="0"/>
    <m/>
    <m/>
    <n v="0"/>
    <m/>
    <m/>
    <m/>
    <m/>
    <m/>
    <m/>
    <n v="0"/>
    <n v="0"/>
  </r>
  <r>
    <x v="10"/>
    <x v="0"/>
    <s v="Tulsa Technology Center-Riverside Campus          "/>
    <m/>
    <n v="261384"/>
    <x v="10"/>
    <m/>
    <m/>
    <m/>
    <m/>
    <m/>
    <m/>
    <m/>
    <m/>
    <n v="0"/>
    <m/>
    <m/>
    <n v="0"/>
    <n v="0"/>
    <n v="0"/>
    <m/>
    <m/>
    <m/>
    <m/>
    <n v="0"/>
    <m/>
    <m/>
    <n v="0"/>
    <m/>
    <m/>
    <m/>
    <m/>
    <m/>
    <m/>
    <n v="0"/>
    <n v="0"/>
  </r>
  <r>
    <x v="10"/>
    <x v="0"/>
    <s v="Wes Watkins Technology Center                     "/>
    <m/>
    <n v="418357"/>
    <x v="10"/>
    <n v="2432587"/>
    <n v="2442523"/>
    <m/>
    <m/>
    <m/>
    <m/>
    <n v="151912"/>
    <m/>
    <n v="151912"/>
    <n v="160179"/>
    <m/>
    <n v="160179"/>
    <n v="2584499"/>
    <n v="2602702"/>
    <m/>
    <m/>
    <m/>
    <m/>
    <n v="0"/>
    <m/>
    <m/>
    <n v="0"/>
    <m/>
    <m/>
    <m/>
    <m/>
    <m/>
    <m/>
    <n v="2584499"/>
    <n v="2602702"/>
  </r>
  <r>
    <x v="10"/>
    <x v="0"/>
    <s v="Western Technology Center                         "/>
    <m/>
    <n v="418302"/>
    <x v="10"/>
    <n v="2635824"/>
    <n v="2453560"/>
    <m/>
    <m/>
    <m/>
    <m/>
    <n v="535004"/>
    <m/>
    <n v="535004"/>
    <n v="541743"/>
    <m/>
    <n v="541743"/>
    <n v="3170828"/>
    <n v="2995303"/>
    <m/>
    <m/>
    <m/>
    <m/>
    <n v="0"/>
    <m/>
    <m/>
    <n v="0"/>
    <m/>
    <m/>
    <m/>
    <m/>
    <m/>
    <m/>
    <n v="3170828"/>
    <n v="2995303"/>
  </r>
  <r>
    <x v="10"/>
    <x v="0"/>
    <s v="Indian Capital……..All Campuses"/>
    <m/>
    <m/>
    <x v="10"/>
    <n v="4347714"/>
    <n v="4534920"/>
    <m/>
    <m/>
    <m/>
    <m/>
    <n v="877689"/>
    <m/>
    <n v="877689"/>
    <n v="836901"/>
    <m/>
    <n v="836901"/>
    <n v="5225403"/>
    <n v="5371821"/>
    <m/>
    <m/>
    <m/>
    <m/>
    <n v="0"/>
    <m/>
    <m/>
    <n v="0"/>
    <m/>
    <m/>
    <m/>
    <m/>
    <m/>
    <m/>
    <n v="5225403"/>
    <n v="5371821"/>
  </r>
  <r>
    <x v="10"/>
    <x v="0"/>
    <s v="Kiamichi………All Campuses"/>
    <m/>
    <m/>
    <x v="10"/>
    <n v="8393798"/>
    <n v="7923241"/>
    <m/>
    <m/>
    <m/>
    <m/>
    <n v="1639751"/>
    <m/>
    <n v="1639751"/>
    <n v="1244898"/>
    <m/>
    <n v="1244898"/>
    <n v="10033549"/>
    <n v="9168139"/>
    <m/>
    <m/>
    <m/>
    <m/>
    <n v="0"/>
    <m/>
    <m/>
    <n v="0"/>
    <m/>
    <m/>
    <m/>
    <m/>
    <m/>
    <m/>
    <n v="10033549"/>
    <n v="9168139"/>
  </r>
  <r>
    <x v="10"/>
    <x v="0"/>
    <s v="Northeast………..All Campuses"/>
    <m/>
    <m/>
    <x v="10"/>
    <n v="3407008"/>
    <n v="2922446"/>
    <m/>
    <m/>
    <m/>
    <m/>
    <n v="793451"/>
    <m/>
    <n v="793451"/>
    <n v="773377"/>
    <m/>
    <n v="773377"/>
    <n v="4200459"/>
    <n v="3695823"/>
    <m/>
    <m/>
    <m/>
    <m/>
    <n v="0"/>
    <m/>
    <m/>
    <n v="0"/>
    <m/>
    <m/>
    <m/>
    <m/>
    <m/>
    <m/>
    <n v="4200459"/>
    <n v="3695823"/>
  </r>
  <r>
    <x v="10"/>
    <x v="0"/>
    <s v="Northwest………..All Campuses"/>
    <m/>
    <m/>
    <x v="10"/>
    <n v="1743710"/>
    <n v="1808112"/>
    <m/>
    <m/>
    <m/>
    <m/>
    <n v="211465"/>
    <m/>
    <n v="211465"/>
    <n v="241953"/>
    <m/>
    <n v="241953"/>
    <n v="1955175"/>
    <n v="2050065"/>
    <m/>
    <m/>
    <m/>
    <m/>
    <n v="0"/>
    <m/>
    <m/>
    <n v="0"/>
    <m/>
    <m/>
    <m/>
    <m/>
    <m/>
    <m/>
    <n v="1955175"/>
    <n v="2050065"/>
  </r>
  <r>
    <x v="10"/>
    <x v="0"/>
    <s v="Tulsa County Dist 18………..All Campuses"/>
    <m/>
    <m/>
    <x v="10"/>
    <n v="7734909"/>
    <n v="7267189"/>
    <m/>
    <m/>
    <m/>
    <m/>
    <n v="4615348"/>
    <m/>
    <n v="4615348"/>
    <n v="5161240"/>
    <m/>
    <n v="5161240"/>
    <n v="12350257"/>
    <n v="12428429"/>
    <m/>
    <m/>
    <m/>
    <m/>
    <n v="0"/>
    <m/>
    <m/>
    <n v="0"/>
    <m/>
    <m/>
    <m/>
    <m/>
    <m/>
    <m/>
    <n v="12350257"/>
    <n v="12428429"/>
  </r>
  <r>
    <x v="10"/>
    <x v="14"/>
    <s v="Statewide System Operations"/>
    <m/>
    <m/>
    <x v="12"/>
    <m/>
    <m/>
    <m/>
    <m/>
    <m/>
    <m/>
    <m/>
    <m/>
    <n v="0"/>
    <m/>
    <m/>
    <n v="0"/>
    <n v="0"/>
    <n v="0"/>
    <m/>
    <m/>
    <m/>
    <m/>
    <n v="0"/>
    <m/>
    <m/>
    <n v="0"/>
    <m/>
    <m/>
    <m/>
    <m/>
    <m/>
    <m/>
    <n v="0"/>
    <n v="0"/>
  </r>
  <r>
    <x v="10"/>
    <x v="16"/>
    <s v="Two-year system(s), if any"/>
    <m/>
    <m/>
    <x v="12"/>
    <m/>
    <m/>
    <m/>
    <m/>
    <m/>
    <m/>
    <m/>
    <m/>
    <n v="0"/>
    <m/>
    <m/>
    <n v="0"/>
    <n v="0"/>
    <n v="0"/>
    <m/>
    <m/>
    <m/>
    <m/>
    <n v="0"/>
    <m/>
    <m/>
    <n v="0"/>
    <m/>
    <m/>
    <m/>
    <m/>
    <m/>
    <m/>
    <n v="0"/>
    <n v="0"/>
  </r>
  <r>
    <x v="10"/>
    <x v="16"/>
    <s v="State Board "/>
    <m/>
    <m/>
    <x v="12"/>
    <m/>
    <m/>
    <m/>
    <m/>
    <m/>
    <m/>
    <m/>
    <m/>
    <n v="0"/>
    <m/>
    <m/>
    <n v="0"/>
    <n v="0"/>
    <n v="0"/>
    <m/>
    <m/>
    <m/>
    <m/>
    <n v="0"/>
    <m/>
    <m/>
    <n v="0"/>
    <m/>
    <m/>
    <m/>
    <m/>
    <m/>
    <m/>
    <n v="0"/>
    <n v="0"/>
  </r>
  <r>
    <x v="11"/>
    <x v="0"/>
    <s v="Clemson University"/>
    <m/>
    <n v="217882"/>
    <x v="0"/>
    <n v="50838312"/>
    <n v="52555948"/>
    <m/>
    <m/>
    <m/>
    <m/>
    <n v="312495728"/>
    <n v="22108389"/>
    <n v="334604117"/>
    <n v="312495728"/>
    <n v="22108389"/>
    <n v="334604117"/>
    <n v="363334040"/>
    <n v="365051676"/>
    <m/>
    <m/>
    <m/>
    <m/>
    <n v="0"/>
    <m/>
    <m/>
    <n v="0"/>
    <m/>
    <m/>
    <m/>
    <m/>
    <m/>
    <m/>
    <n v="363334040"/>
    <n v="365051676"/>
  </r>
  <r>
    <x v="11"/>
    <x v="0"/>
    <s v="Fringe Benefits"/>
    <m/>
    <n v="217882"/>
    <x v="0"/>
    <n v="8863058"/>
    <n v="10003751"/>
    <m/>
    <m/>
    <m/>
    <m/>
    <m/>
    <m/>
    <n v="0"/>
    <m/>
    <m/>
    <n v="0"/>
    <n v="8863058"/>
    <n v="10003751"/>
    <m/>
    <m/>
    <m/>
    <m/>
    <n v="0"/>
    <m/>
    <m/>
    <n v="0"/>
    <m/>
    <m/>
    <m/>
    <m/>
    <m/>
    <m/>
    <n v="8863058"/>
    <n v="10003751"/>
  </r>
  <r>
    <x v="11"/>
    <x v="3"/>
    <s v="Community or public service units"/>
    <m/>
    <n v="217882"/>
    <x v="0"/>
    <m/>
    <m/>
    <m/>
    <m/>
    <m/>
    <m/>
    <m/>
    <m/>
    <n v="0"/>
    <m/>
    <m/>
    <n v="0"/>
    <n v="0"/>
    <n v="0"/>
    <m/>
    <m/>
    <m/>
    <m/>
    <n v="0"/>
    <m/>
    <m/>
    <n v="0"/>
    <m/>
    <m/>
    <m/>
    <m/>
    <m/>
    <m/>
    <n v="0"/>
    <n v="0"/>
  </r>
  <r>
    <x v="11"/>
    <x v="5"/>
    <s v="Ag Cooperative Extension Service"/>
    <m/>
    <n v="217882"/>
    <x v="0"/>
    <m/>
    <m/>
    <m/>
    <m/>
    <m/>
    <m/>
    <m/>
    <m/>
    <n v="0"/>
    <m/>
    <m/>
    <n v="0"/>
    <n v="0"/>
    <n v="0"/>
    <m/>
    <m/>
    <m/>
    <m/>
    <n v="0"/>
    <m/>
    <m/>
    <n v="0"/>
    <m/>
    <m/>
    <m/>
    <m/>
    <m/>
    <m/>
    <n v="0"/>
    <n v="0"/>
  </r>
  <r>
    <x v="11"/>
    <x v="5"/>
    <s v="Ag Research, Extension Service, and Inspection"/>
    <m/>
    <n v="217882"/>
    <x v="0"/>
    <m/>
    <m/>
    <n v="27995827"/>
    <n v="29284647"/>
    <m/>
    <m/>
    <m/>
    <m/>
    <n v="0"/>
    <m/>
    <m/>
    <n v="0"/>
    <n v="27995827"/>
    <n v="29284647"/>
    <m/>
    <m/>
    <m/>
    <m/>
    <n v="0"/>
    <m/>
    <m/>
    <n v="0"/>
    <m/>
    <m/>
    <m/>
    <m/>
    <m/>
    <m/>
    <n v="27995827"/>
    <n v="29284647"/>
  </r>
  <r>
    <x v="11"/>
    <x v="5"/>
    <s v="Ag Research, Ext. Svc, &amp; Insp. Supplemental for Other Op.Exp. (NR)"/>
    <m/>
    <n v="217882"/>
    <x v="0"/>
    <m/>
    <m/>
    <m/>
    <m/>
    <m/>
    <m/>
    <m/>
    <m/>
    <n v="0"/>
    <m/>
    <m/>
    <n v="0"/>
    <n v="0"/>
    <n v="0"/>
    <m/>
    <m/>
    <m/>
    <m/>
    <n v="0"/>
    <m/>
    <m/>
    <n v="0"/>
    <m/>
    <m/>
    <m/>
    <m/>
    <m/>
    <m/>
    <n v="0"/>
    <n v="0"/>
  </r>
  <r>
    <x v="11"/>
    <x v="7"/>
    <s v="Research Centers/institutes"/>
    <m/>
    <n v="217882"/>
    <x v="0"/>
    <m/>
    <m/>
    <m/>
    <m/>
    <m/>
    <m/>
    <m/>
    <m/>
    <n v="0"/>
    <m/>
    <m/>
    <n v="0"/>
    <n v="0"/>
    <n v="0"/>
    <m/>
    <m/>
    <m/>
    <m/>
    <n v="0"/>
    <m/>
    <m/>
    <n v="0"/>
    <m/>
    <m/>
    <m/>
    <m/>
    <m/>
    <m/>
    <n v="0"/>
    <n v="0"/>
  </r>
  <r>
    <x v="11"/>
    <x v="8"/>
    <s v="Special Line items for education operations"/>
    <m/>
    <n v="217882"/>
    <x v="0"/>
    <m/>
    <m/>
    <m/>
    <m/>
    <m/>
    <m/>
    <m/>
    <m/>
    <n v="0"/>
    <m/>
    <m/>
    <n v="0"/>
    <n v="0"/>
    <n v="0"/>
    <m/>
    <m/>
    <m/>
    <m/>
    <n v="0"/>
    <m/>
    <m/>
    <n v="0"/>
    <m/>
    <m/>
    <m/>
    <m/>
    <m/>
    <m/>
    <n v="0"/>
    <n v="0"/>
  </r>
  <r>
    <x v="11"/>
    <x v="8"/>
    <s v="Deferred Maintenance (NR &amp; Lottery)"/>
    <m/>
    <n v="217882"/>
    <x v="0"/>
    <m/>
    <m/>
    <m/>
    <n v="4499221"/>
    <m/>
    <m/>
    <m/>
    <m/>
    <n v="0"/>
    <m/>
    <m/>
    <n v="0"/>
    <n v="0"/>
    <n v="4499221"/>
    <m/>
    <m/>
    <m/>
    <m/>
    <n v="0"/>
    <m/>
    <m/>
    <n v="0"/>
    <m/>
    <m/>
    <m/>
    <m/>
    <m/>
    <m/>
    <n v="0"/>
    <n v="4499221"/>
  </r>
  <r>
    <x v="11"/>
    <x v="8"/>
    <s v="Academic Endowment"/>
    <m/>
    <n v="217882"/>
    <x v="0"/>
    <m/>
    <m/>
    <n v="28514"/>
    <n v="30282"/>
    <m/>
    <m/>
    <m/>
    <m/>
    <n v="0"/>
    <m/>
    <m/>
    <n v="0"/>
    <n v="28514"/>
    <n v="30282"/>
    <m/>
    <m/>
    <m/>
    <m/>
    <n v="0"/>
    <m/>
    <m/>
    <n v="0"/>
    <m/>
    <m/>
    <m/>
    <m/>
    <m/>
    <m/>
    <n v="28514"/>
    <n v="30282"/>
  </r>
  <r>
    <x v="11"/>
    <x v="0"/>
    <s v="University of South Carolina-Columbia"/>
    <m/>
    <n v="218663"/>
    <x v="0"/>
    <n v="67011632"/>
    <n v="68852227"/>
    <m/>
    <m/>
    <m/>
    <m/>
    <n v="427321182.59438437"/>
    <n v="21120443.685124017"/>
    <n v="448441626.27950841"/>
    <n v="427321182.59438437"/>
    <n v="21120443.685124017"/>
    <n v="448441626.27950841"/>
    <n v="494332814.59438437"/>
    <n v="496173409.59438437"/>
    <m/>
    <m/>
    <m/>
    <m/>
    <n v="0"/>
    <m/>
    <m/>
    <n v="0"/>
    <m/>
    <m/>
    <m/>
    <m/>
    <m/>
    <m/>
    <n v="494332814.59438437"/>
    <n v="496173409.59438437"/>
  </r>
  <r>
    <x v="11"/>
    <x v="0"/>
    <s v="Fringe Benefits"/>
    <m/>
    <n v="218663"/>
    <x v="0"/>
    <n v="15960036"/>
    <n v="18079504"/>
    <m/>
    <m/>
    <m/>
    <m/>
    <m/>
    <m/>
    <n v="0"/>
    <m/>
    <m/>
    <n v="0"/>
    <n v="15960036"/>
    <n v="18079504"/>
    <m/>
    <m/>
    <m/>
    <m/>
    <n v="0"/>
    <m/>
    <m/>
    <n v="0"/>
    <m/>
    <m/>
    <m/>
    <m/>
    <m/>
    <m/>
    <n v="15960036"/>
    <n v="18079504"/>
  </r>
  <r>
    <x v="11"/>
    <x v="3"/>
    <s v="Community or public service units"/>
    <m/>
    <n v="218663"/>
    <x v="0"/>
    <m/>
    <m/>
    <m/>
    <m/>
    <m/>
    <m/>
    <m/>
    <m/>
    <n v="0"/>
    <m/>
    <m/>
    <n v="0"/>
    <n v="0"/>
    <n v="0"/>
    <m/>
    <m/>
    <m/>
    <m/>
    <n v="0"/>
    <m/>
    <m/>
    <n v="0"/>
    <m/>
    <m/>
    <m/>
    <m/>
    <m/>
    <m/>
    <n v="0"/>
    <n v="0"/>
  </r>
  <r>
    <x v="11"/>
    <x v="3"/>
    <s v="Palmetto Poison Center"/>
    <m/>
    <n v="218663"/>
    <x v="0"/>
    <m/>
    <m/>
    <n v="176763"/>
    <n v="248625"/>
    <m/>
    <m/>
    <m/>
    <m/>
    <n v="0"/>
    <m/>
    <m/>
    <n v="0"/>
    <n v="176763"/>
    <n v="248625"/>
    <m/>
    <m/>
    <m/>
    <m/>
    <n v="0"/>
    <m/>
    <m/>
    <n v="0"/>
    <m/>
    <m/>
    <m/>
    <m/>
    <m/>
    <m/>
    <n v="176763"/>
    <n v="248625"/>
  </r>
  <r>
    <x v="11"/>
    <x v="3"/>
    <s v="Palmetto College (Recurring &amp; NR)"/>
    <m/>
    <n v="218663"/>
    <x v="0"/>
    <m/>
    <m/>
    <m/>
    <n v="5000000"/>
    <m/>
    <m/>
    <m/>
    <m/>
    <n v="0"/>
    <m/>
    <m/>
    <n v="0"/>
    <n v="0"/>
    <n v="5000000"/>
    <m/>
    <m/>
    <m/>
    <m/>
    <n v="0"/>
    <m/>
    <m/>
    <n v="0"/>
    <m/>
    <m/>
    <m/>
    <m/>
    <m/>
    <m/>
    <n v="0"/>
    <n v="5000000"/>
  </r>
  <r>
    <x v="11"/>
    <x v="3"/>
    <s v="School Improvement Council"/>
    <m/>
    <n v="218663"/>
    <x v="0"/>
    <m/>
    <m/>
    <m/>
    <n v="100000"/>
    <m/>
    <m/>
    <m/>
    <m/>
    <n v="0"/>
    <m/>
    <m/>
    <n v="0"/>
    <n v="0"/>
    <n v="100000"/>
    <m/>
    <m/>
    <m/>
    <m/>
    <n v="0"/>
    <m/>
    <m/>
    <n v="0"/>
    <m/>
    <m/>
    <m/>
    <m/>
    <m/>
    <m/>
    <n v="0"/>
    <n v="100000"/>
  </r>
  <r>
    <x v="11"/>
    <x v="3"/>
    <s v="Small Business Development Center"/>
    <m/>
    <n v="218663"/>
    <x v="0"/>
    <m/>
    <m/>
    <m/>
    <n v="491734"/>
    <m/>
    <m/>
    <m/>
    <m/>
    <n v="0"/>
    <m/>
    <m/>
    <n v="0"/>
    <n v="0"/>
    <n v="491734"/>
    <m/>
    <m/>
    <m/>
    <m/>
    <n v="0"/>
    <m/>
    <m/>
    <n v="0"/>
    <m/>
    <m/>
    <m/>
    <m/>
    <m/>
    <m/>
    <n v="0"/>
    <n v="491734"/>
  </r>
  <r>
    <x v="11"/>
    <x v="7"/>
    <s v="Research centers/institutes"/>
    <m/>
    <n v="218663"/>
    <x v="0"/>
    <m/>
    <m/>
    <m/>
    <m/>
    <m/>
    <m/>
    <m/>
    <m/>
    <n v="0"/>
    <m/>
    <m/>
    <n v="0"/>
    <n v="0"/>
    <n v="0"/>
    <m/>
    <m/>
    <m/>
    <m/>
    <n v="0"/>
    <m/>
    <m/>
    <n v="0"/>
    <m/>
    <m/>
    <m/>
    <m/>
    <m/>
    <m/>
    <n v="0"/>
    <n v="0"/>
  </r>
  <r>
    <x v="11"/>
    <x v="8"/>
    <s v="Special Line items for education operations"/>
    <m/>
    <n v="218663"/>
    <x v="0"/>
    <m/>
    <m/>
    <m/>
    <m/>
    <m/>
    <m/>
    <m/>
    <m/>
    <n v="0"/>
    <m/>
    <m/>
    <n v="0"/>
    <n v="0"/>
    <n v="0"/>
    <m/>
    <m/>
    <m/>
    <m/>
    <n v="0"/>
    <m/>
    <m/>
    <n v="0"/>
    <m/>
    <m/>
    <m/>
    <m/>
    <m/>
    <m/>
    <n v="0"/>
    <n v="0"/>
  </r>
  <r>
    <x v="11"/>
    <x v="8"/>
    <s v="Deferred Maintenance (Lottery)"/>
    <m/>
    <n v="218663"/>
    <x v="0"/>
    <m/>
    <m/>
    <m/>
    <n v="4687733"/>
    <m/>
    <m/>
    <m/>
    <m/>
    <n v="0"/>
    <m/>
    <m/>
    <n v="0"/>
    <n v="0"/>
    <n v="4687733"/>
    <m/>
    <m/>
    <m/>
    <m/>
    <n v="0"/>
    <m/>
    <m/>
    <n v="0"/>
    <m/>
    <m/>
    <m/>
    <m/>
    <m/>
    <m/>
    <n v="0"/>
    <n v="4687733"/>
  </r>
  <r>
    <x v="11"/>
    <x v="8"/>
    <s v="Academic Endowment"/>
    <m/>
    <n v="218663"/>
    <x v="0"/>
    <m/>
    <m/>
    <n v="26787"/>
    <n v="27271"/>
    <m/>
    <m/>
    <m/>
    <m/>
    <n v="0"/>
    <m/>
    <m/>
    <n v="0"/>
    <n v="26787"/>
    <n v="27271"/>
    <m/>
    <m/>
    <m/>
    <m/>
    <n v="0"/>
    <m/>
    <m/>
    <n v="0"/>
    <m/>
    <m/>
    <m/>
    <m/>
    <m/>
    <m/>
    <n v="26787"/>
    <n v="27271"/>
  </r>
  <r>
    <x v="11"/>
    <x v="8"/>
    <s v="Law Library"/>
    <m/>
    <n v="218663"/>
    <x v="0"/>
    <m/>
    <m/>
    <n v="344074"/>
    <n v="344074"/>
    <m/>
    <m/>
    <m/>
    <m/>
    <n v="0"/>
    <m/>
    <m/>
    <n v="0"/>
    <n v="344074"/>
    <n v="344074"/>
    <m/>
    <m/>
    <m/>
    <m/>
    <n v="0"/>
    <m/>
    <m/>
    <n v="0"/>
    <m/>
    <m/>
    <m/>
    <m/>
    <m/>
    <m/>
    <n v="344074"/>
    <n v="344074"/>
  </r>
  <r>
    <x v="11"/>
    <x v="1"/>
    <s v="Health professions education"/>
    <m/>
    <n v="218663"/>
    <x v="0"/>
    <m/>
    <m/>
    <m/>
    <m/>
    <m/>
    <m/>
    <m/>
    <m/>
    <n v="0"/>
    <m/>
    <m/>
    <n v="0"/>
    <n v="0"/>
    <n v="0"/>
    <m/>
    <m/>
    <m/>
    <m/>
    <n v="0"/>
    <m/>
    <m/>
    <n v="0"/>
    <m/>
    <m/>
    <m/>
    <m/>
    <m/>
    <m/>
    <n v="0"/>
    <n v="0"/>
  </r>
  <r>
    <x v="11"/>
    <x v="1"/>
    <s v="Medical School-E&amp;G"/>
    <m/>
    <n v="218663"/>
    <x v="0"/>
    <m/>
    <m/>
    <m/>
    <m/>
    <m/>
    <m/>
    <m/>
    <m/>
    <n v="0"/>
    <m/>
    <m/>
    <n v="0"/>
    <n v="0"/>
    <n v="0"/>
    <m/>
    <m/>
    <m/>
    <m/>
    <n v="0"/>
    <m/>
    <m/>
    <n v="0"/>
    <n v="10200000"/>
    <n v="9999646"/>
    <n v="12872393.486458845"/>
    <n v="823156.06030937959"/>
    <n v="12872393.486458845"/>
    <n v="823156.06030937959"/>
    <n v="23072393.486458845"/>
    <n v="22872039.486458845"/>
  </r>
  <r>
    <x v="11"/>
    <x v="1"/>
    <s v="Medical School-Fringe Benefits"/>
    <m/>
    <n v="218663"/>
    <x v="0"/>
    <m/>
    <m/>
    <m/>
    <m/>
    <m/>
    <m/>
    <m/>
    <m/>
    <n v="0"/>
    <m/>
    <m/>
    <n v="0"/>
    <n v="0"/>
    <n v="0"/>
    <m/>
    <m/>
    <m/>
    <m/>
    <n v="0"/>
    <m/>
    <m/>
    <n v="0"/>
    <n v="2201943"/>
    <n v="2719428"/>
    <m/>
    <m/>
    <m/>
    <m/>
    <n v="2201943"/>
    <n v="2719428"/>
  </r>
  <r>
    <x v="11"/>
    <x v="1"/>
    <s v="Medical School-Child Abuse"/>
    <m/>
    <n v="218663"/>
    <x v="0"/>
    <m/>
    <m/>
    <m/>
    <m/>
    <m/>
    <m/>
    <m/>
    <m/>
    <n v="0"/>
    <m/>
    <m/>
    <n v="0"/>
    <n v="0"/>
    <n v="0"/>
    <m/>
    <m/>
    <m/>
    <m/>
    <n v="0"/>
    <m/>
    <m/>
    <n v="0"/>
    <n v="0"/>
    <n v="826160"/>
    <m/>
    <m/>
    <m/>
    <m/>
    <n v="0"/>
    <n v="826160"/>
  </r>
  <r>
    <x v="11"/>
    <x v="0"/>
    <s v="College of Charleston"/>
    <m/>
    <n v="217819"/>
    <x v="2"/>
    <n v="14629793"/>
    <n v="15170116"/>
    <m/>
    <m/>
    <m/>
    <m/>
    <n v="147662000.22378978"/>
    <n v="5860278.7762102094"/>
    <n v="153522279"/>
    <n v="147662000.22378978"/>
    <n v="5860278.7762102094"/>
    <n v="153522279"/>
    <n v="162291793.22378978"/>
    <n v="162832116.22378978"/>
    <m/>
    <m/>
    <m/>
    <m/>
    <n v="0"/>
    <m/>
    <m/>
    <n v="0"/>
    <m/>
    <m/>
    <m/>
    <m/>
    <m/>
    <m/>
    <n v="162291793.22378978"/>
    <n v="162832116.22378978"/>
  </r>
  <r>
    <x v="11"/>
    <x v="0"/>
    <s v="Fringe Benefits"/>
    <m/>
    <n v="217819"/>
    <x v="2"/>
    <n v="3448111"/>
    <n v="3818543"/>
    <m/>
    <m/>
    <m/>
    <m/>
    <m/>
    <m/>
    <n v="0"/>
    <m/>
    <m/>
    <n v="0"/>
    <n v="3448111"/>
    <n v="3818543"/>
    <m/>
    <m/>
    <m/>
    <m/>
    <n v="0"/>
    <m/>
    <m/>
    <n v="0"/>
    <m/>
    <m/>
    <m/>
    <m/>
    <m/>
    <m/>
    <n v="3448111"/>
    <n v="3818543"/>
  </r>
  <r>
    <x v="11"/>
    <x v="3"/>
    <s v="Community or public service units"/>
    <m/>
    <n v="217819"/>
    <x v="2"/>
    <m/>
    <m/>
    <m/>
    <m/>
    <m/>
    <m/>
    <m/>
    <m/>
    <n v="0"/>
    <m/>
    <m/>
    <n v="0"/>
    <n v="0"/>
    <n v="0"/>
    <m/>
    <m/>
    <m/>
    <m/>
    <n v="0"/>
    <m/>
    <m/>
    <n v="0"/>
    <m/>
    <m/>
    <m/>
    <m/>
    <m/>
    <m/>
    <n v="0"/>
    <n v="0"/>
  </r>
  <r>
    <x v="11"/>
    <x v="7"/>
    <s v="Research centers/institutes"/>
    <m/>
    <n v="217819"/>
    <x v="2"/>
    <m/>
    <m/>
    <m/>
    <m/>
    <m/>
    <m/>
    <m/>
    <m/>
    <n v="0"/>
    <m/>
    <m/>
    <n v="0"/>
    <n v="0"/>
    <n v="0"/>
    <m/>
    <m/>
    <m/>
    <m/>
    <n v="0"/>
    <m/>
    <m/>
    <n v="0"/>
    <m/>
    <m/>
    <m/>
    <m/>
    <m/>
    <m/>
    <n v="0"/>
    <n v="0"/>
  </r>
  <r>
    <x v="11"/>
    <x v="8"/>
    <s v="Special Line items for education operations"/>
    <m/>
    <n v="217819"/>
    <x v="2"/>
    <m/>
    <m/>
    <m/>
    <m/>
    <m/>
    <m/>
    <m/>
    <m/>
    <n v="0"/>
    <m/>
    <m/>
    <n v="0"/>
    <n v="0"/>
    <n v="0"/>
    <m/>
    <m/>
    <m/>
    <m/>
    <n v="0"/>
    <m/>
    <m/>
    <n v="0"/>
    <m/>
    <m/>
    <m/>
    <m/>
    <m/>
    <m/>
    <n v="0"/>
    <n v="0"/>
  </r>
  <r>
    <x v="11"/>
    <x v="8"/>
    <s v="Deferred Maintenance (Lottery)"/>
    <m/>
    <n v="217819"/>
    <x v="2"/>
    <m/>
    <m/>
    <m/>
    <n v="880383"/>
    <m/>
    <m/>
    <m/>
    <m/>
    <n v="0"/>
    <m/>
    <m/>
    <n v="0"/>
    <n v="0"/>
    <n v="880383"/>
    <m/>
    <m/>
    <m/>
    <m/>
    <n v="0"/>
    <m/>
    <m/>
    <n v="0"/>
    <m/>
    <m/>
    <m/>
    <m/>
    <m/>
    <m/>
    <n v="0"/>
    <n v="880383"/>
  </r>
  <r>
    <x v="11"/>
    <x v="8"/>
    <s v="Interactive Digital Technology Pilot Project"/>
    <m/>
    <n v="217819"/>
    <x v="2"/>
    <m/>
    <m/>
    <m/>
    <n v="2000000"/>
    <m/>
    <m/>
    <m/>
    <m/>
    <n v="0"/>
    <m/>
    <m/>
    <n v="0"/>
    <n v="0"/>
    <n v="2000000"/>
    <m/>
    <m/>
    <m/>
    <m/>
    <n v="0"/>
    <m/>
    <m/>
    <n v="0"/>
    <m/>
    <m/>
    <m/>
    <m/>
    <m/>
    <m/>
    <n v="0"/>
    <n v="2000000"/>
  </r>
  <r>
    <x v="11"/>
    <x v="8"/>
    <s v="Academic Endowment"/>
    <m/>
    <n v="217819"/>
    <x v="2"/>
    <m/>
    <m/>
    <n v="9337"/>
    <n v="8817"/>
    <m/>
    <m/>
    <m/>
    <m/>
    <n v="0"/>
    <m/>
    <m/>
    <n v="0"/>
    <n v="9337"/>
    <n v="8817"/>
    <m/>
    <m/>
    <m/>
    <m/>
    <n v="0"/>
    <m/>
    <m/>
    <n v="0"/>
    <m/>
    <m/>
    <m/>
    <m/>
    <m/>
    <m/>
    <n v="9337"/>
    <n v="8817"/>
  </r>
  <r>
    <x v="11"/>
    <x v="8"/>
    <s v="Lottery Technology (NR)"/>
    <m/>
    <n v="217819"/>
    <x v="2"/>
    <m/>
    <m/>
    <n v="392518"/>
    <n v="898392"/>
    <m/>
    <m/>
    <m/>
    <m/>
    <n v="0"/>
    <m/>
    <m/>
    <n v="0"/>
    <n v="392518"/>
    <n v="898392"/>
    <m/>
    <m/>
    <m/>
    <m/>
    <n v="0"/>
    <m/>
    <m/>
    <n v="0"/>
    <m/>
    <m/>
    <m/>
    <m/>
    <m/>
    <m/>
    <n v="392518"/>
    <n v="898392"/>
  </r>
  <r>
    <x v="11"/>
    <x v="0"/>
    <s v="Winthrop University "/>
    <m/>
    <n v="218964"/>
    <x v="2"/>
    <n v="10036432"/>
    <n v="10406563"/>
    <m/>
    <m/>
    <m/>
    <m/>
    <n v="64903190.944374822"/>
    <n v="6914839.0556251816"/>
    <n v="71818030"/>
    <n v="64903190.944374822"/>
    <n v="6914839.0556251816"/>
    <n v="71818030"/>
    <n v="74939622.94437483"/>
    <n v="75309753.94437483"/>
    <m/>
    <m/>
    <m/>
    <m/>
    <n v="0"/>
    <m/>
    <m/>
    <n v="0"/>
    <m/>
    <m/>
    <m/>
    <m/>
    <m/>
    <m/>
    <n v="74939622.94437483"/>
    <n v="75309753.94437483"/>
  </r>
  <r>
    <x v="11"/>
    <x v="0"/>
    <s v="Fringe Benefits"/>
    <m/>
    <n v="218964"/>
    <x v="2"/>
    <n v="2410414"/>
    <n v="2690166"/>
    <m/>
    <m/>
    <m/>
    <m/>
    <m/>
    <m/>
    <n v="0"/>
    <m/>
    <m/>
    <n v="0"/>
    <n v="2410414"/>
    <n v="2690166"/>
    <m/>
    <m/>
    <m/>
    <m/>
    <n v="0"/>
    <m/>
    <m/>
    <n v="0"/>
    <m/>
    <m/>
    <m/>
    <m/>
    <m/>
    <m/>
    <n v="2410414"/>
    <n v="2690166"/>
  </r>
  <r>
    <x v="11"/>
    <x v="8"/>
    <s v="Special Line items for education operations"/>
    <m/>
    <n v="218964"/>
    <x v="2"/>
    <m/>
    <m/>
    <m/>
    <m/>
    <m/>
    <m/>
    <m/>
    <m/>
    <n v="0"/>
    <m/>
    <m/>
    <n v="0"/>
    <n v="0"/>
    <n v="0"/>
    <m/>
    <m/>
    <m/>
    <m/>
    <n v="0"/>
    <m/>
    <m/>
    <n v="0"/>
    <m/>
    <m/>
    <m/>
    <m/>
    <m/>
    <m/>
    <n v="0"/>
    <n v="0"/>
  </r>
  <r>
    <x v="11"/>
    <x v="8"/>
    <s v="Deferred Maintenance (NR &amp; Lottery)"/>
    <m/>
    <n v="218964"/>
    <x v="2"/>
    <m/>
    <m/>
    <m/>
    <n v="1980415"/>
    <m/>
    <m/>
    <m/>
    <m/>
    <n v="0"/>
    <m/>
    <m/>
    <n v="0"/>
    <n v="0"/>
    <n v="1980415"/>
    <m/>
    <m/>
    <m/>
    <m/>
    <n v="0"/>
    <m/>
    <m/>
    <n v="0"/>
    <m/>
    <m/>
    <m/>
    <m/>
    <m/>
    <m/>
    <n v="0"/>
    <n v="1980415"/>
  </r>
  <r>
    <x v="11"/>
    <x v="8"/>
    <s v="Student Info. Technology Infrastructure Update (NR)"/>
    <m/>
    <n v="218964"/>
    <x v="2"/>
    <m/>
    <m/>
    <m/>
    <n v="500000"/>
    <m/>
    <m/>
    <m/>
    <m/>
    <n v="0"/>
    <m/>
    <m/>
    <n v="0"/>
    <n v="0"/>
    <n v="500000"/>
    <m/>
    <m/>
    <m/>
    <m/>
    <n v="0"/>
    <m/>
    <m/>
    <n v="0"/>
    <m/>
    <m/>
    <m/>
    <m/>
    <m/>
    <m/>
    <n v="0"/>
    <n v="500000"/>
  </r>
  <r>
    <x v="11"/>
    <x v="8"/>
    <s v="Academic Endowment"/>
    <m/>
    <n v="218964"/>
    <x v="2"/>
    <m/>
    <m/>
    <n v="8932"/>
    <n v="9146"/>
    <m/>
    <m/>
    <m/>
    <m/>
    <n v="0"/>
    <m/>
    <m/>
    <n v="0"/>
    <n v="8932"/>
    <n v="9146"/>
    <m/>
    <m/>
    <m/>
    <m/>
    <n v="0"/>
    <m/>
    <m/>
    <n v="0"/>
    <m/>
    <m/>
    <m/>
    <m/>
    <m/>
    <m/>
    <n v="8932"/>
    <n v="9146"/>
  </r>
  <r>
    <x v="11"/>
    <x v="8"/>
    <s v="Lottery Technology (NR)"/>
    <m/>
    <n v="218964"/>
    <x v="2"/>
    <m/>
    <m/>
    <n v="241457"/>
    <n v="544302"/>
    <m/>
    <m/>
    <m/>
    <m/>
    <n v="0"/>
    <m/>
    <m/>
    <n v="0"/>
    <n v="241457"/>
    <n v="544302"/>
    <m/>
    <m/>
    <m/>
    <m/>
    <n v="0"/>
    <m/>
    <m/>
    <n v="0"/>
    <m/>
    <m/>
    <m/>
    <m/>
    <m/>
    <m/>
    <n v="241457"/>
    <n v="544302"/>
  </r>
  <r>
    <x v="11"/>
    <x v="0"/>
    <s v="The Citadel, the Military College of South Carolina "/>
    <s v="Met the criteria for Four-Year 3 in 2011-12 and 2012-13."/>
    <n v="217864"/>
    <x v="3"/>
    <n v="6936018"/>
    <n v="7192163"/>
    <m/>
    <m/>
    <m/>
    <m/>
    <n v="44738572.123096488"/>
    <n v="725267.87690350844"/>
    <n v="45463840"/>
    <n v="44738572.123096488"/>
    <n v="725267.87690350844"/>
    <n v="45463840"/>
    <n v="51674590.123096488"/>
    <n v="51930735.123096488"/>
    <m/>
    <m/>
    <m/>
    <m/>
    <n v="0"/>
    <m/>
    <m/>
    <n v="0"/>
    <m/>
    <m/>
    <m/>
    <m/>
    <m/>
    <m/>
    <n v="51674590.123096488"/>
    <n v="51930735.123096488"/>
  </r>
  <r>
    <x v="11"/>
    <x v="0"/>
    <s v="Fringe Benefits"/>
    <m/>
    <n v="217864"/>
    <x v="3"/>
    <n v="1541989"/>
    <n v="1718729"/>
    <m/>
    <m/>
    <m/>
    <m/>
    <m/>
    <m/>
    <n v="0"/>
    <m/>
    <m/>
    <n v="0"/>
    <n v="1541989"/>
    <n v="1718729"/>
    <m/>
    <m/>
    <m/>
    <m/>
    <n v="0"/>
    <m/>
    <m/>
    <n v="0"/>
    <m/>
    <m/>
    <m/>
    <m/>
    <m/>
    <m/>
    <n v="1541989"/>
    <n v="1718729"/>
  </r>
  <r>
    <x v="11"/>
    <x v="8"/>
    <s v="Special Line items for education operations"/>
    <m/>
    <n v="217864"/>
    <x v="3"/>
    <m/>
    <m/>
    <m/>
    <m/>
    <m/>
    <m/>
    <m/>
    <m/>
    <n v="0"/>
    <m/>
    <m/>
    <n v="0"/>
    <n v="0"/>
    <n v="0"/>
    <m/>
    <m/>
    <m/>
    <m/>
    <n v="0"/>
    <m/>
    <m/>
    <n v="0"/>
    <m/>
    <m/>
    <m/>
    <m/>
    <m/>
    <m/>
    <n v="0"/>
    <n v="0"/>
  </r>
  <r>
    <x v="11"/>
    <x v="8"/>
    <s v="Deferred Maintenance (NR &amp; Lottery)"/>
    <m/>
    <n v="217864"/>
    <x v="3"/>
    <m/>
    <m/>
    <m/>
    <n v="1150610"/>
    <m/>
    <m/>
    <m/>
    <m/>
    <n v="0"/>
    <m/>
    <m/>
    <n v="0"/>
    <n v="0"/>
    <n v="1150610"/>
    <m/>
    <m/>
    <m/>
    <m/>
    <n v="0"/>
    <m/>
    <m/>
    <n v="0"/>
    <m/>
    <m/>
    <m/>
    <m/>
    <m/>
    <m/>
    <n v="0"/>
    <n v="1150610"/>
  </r>
  <r>
    <x v="11"/>
    <x v="8"/>
    <s v="Jenkins Hall Arms Room Upgrade (NR)"/>
    <m/>
    <n v="217864"/>
    <x v="3"/>
    <m/>
    <m/>
    <m/>
    <n v="200000"/>
    <m/>
    <m/>
    <m/>
    <m/>
    <n v="0"/>
    <m/>
    <m/>
    <n v="0"/>
    <n v="0"/>
    <n v="200000"/>
    <m/>
    <m/>
    <m/>
    <m/>
    <n v="0"/>
    <m/>
    <m/>
    <n v="0"/>
    <m/>
    <m/>
    <m/>
    <m/>
    <m/>
    <m/>
    <n v="0"/>
    <n v="200000"/>
  </r>
  <r>
    <x v="11"/>
    <x v="8"/>
    <s v="Academic Endowment"/>
    <m/>
    <n v="217864"/>
    <x v="3"/>
    <m/>
    <m/>
    <n v="10771"/>
    <n v="10418"/>
    <m/>
    <m/>
    <m/>
    <m/>
    <n v="0"/>
    <m/>
    <m/>
    <n v="0"/>
    <n v="10771"/>
    <n v="10418"/>
    <m/>
    <m/>
    <m/>
    <m/>
    <n v="0"/>
    <m/>
    <m/>
    <n v="0"/>
    <m/>
    <m/>
    <m/>
    <m/>
    <m/>
    <m/>
    <n v="10771"/>
    <n v="10418"/>
  </r>
  <r>
    <x v="11"/>
    <x v="8"/>
    <s v="Lottery Technology (NR)"/>
    <m/>
    <n v="217864"/>
    <x v="3"/>
    <m/>
    <m/>
    <n v="181409"/>
    <n v="414764"/>
    <m/>
    <m/>
    <m/>
    <m/>
    <n v="0"/>
    <m/>
    <m/>
    <n v="0"/>
    <n v="181409"/>
    <n v="414764"/>
    <m/>
    <m/>
    <m/>
    <m/>
    <n v="0"/>
    <m/>
    <m/>
    <n v="0"/>
    <m/>
    <m/>
    <m/>
    <m/>
    <m/>
    <m/>
    <n v="181409"/>
    <n v="414764"/>
  </r>
  <r>
    <x v="11"/>
    <x v="0"/>
    <s v="Coastal Carolina University"/>
    <m/>
    <n v="218724"/>
    <x v="4"/>
    <n v="6841364"/>
    <n v="7094200"/>
    <m/>
    <m/>
    <n v="313125"/>
    <n v="294580"/>
    <n v="116459395"/>
    <n v="7674531"/>
    <n v="124133926"/>
    <n v="116459395"/>
    <n v="7674531"/>
    <n v="124133926"/>
    <n v="123613884"/>
    <n v="123848175"/>
    <m/>
    <m/>
    <m/>
    <m/>
    <n v="0"/>
    <m/>
    <m/>
    <n v="0"/>
    <m/>
    <m/>
    <m/>
    <m/>
    <m/>
    <m/>
    <n v="123613884"/>
    <n v="123848175"/>
  </r>
  <r>
    <x v="11"/>
    <x v="0"/>
    <s v="Fringe Benefits"/>
    <m/>
    <n v="218724"/>
    <x v="4"/>
    <n v="1730005"/>
    <n v="1891725"/>
    <m/>
    <m/>
    <m/>
    <m/>
    <m/>
    <m/>
    <n v="0"/>
    <m/>
    <m/>
    <n v="0"/>
    <n v="1730005"/>
    <n v="1891725"/>
    <m/>
    <m/>
    <m/>
    <m/>
    <n v="0"/>
    <m/>
    <m/>
    <n v="0"/>
    <m/>
    <m/>
    <m/>
    <m/>
    <m/>
    <m/>
    <n v="1730005"/>
    <n v="1891725"/>
  </r>
  <r>
    <x v="11"/>
    <x v="8"/>
    <s v="Special Line items for education operations"/>
    <m/>
    <n v="218724"/>
    <x v="4"/>
    <m/>
    <m/>
    <m/>
    <m/>
    <m/>
    <m/>
    <m/>
    <m/>
    <n v="0"/>
    <m/>
    <m/>
    <n v="0"/>
    <n v="0"/>
    <n v="0"/>
    <m/>
    <m/>
    <m/>
    <m/>
    <n v="0"/>
    <m/>
    <m/>
    <n v="0"/>
    <m/>
    <m/>
    <m/>
    <m/>
    <m/>
    <m/>
    <n v="0"/>
    <n v="0"/>
  </r>
  <r>
    <x v="11"/>
    <x v="8"/>
    <s v="Deferred Maintenance (Lottery)"/>
    <m/>
    <n v="218724"/>
    <x v="4"/>
    <m/>
    <m/>
    <m/>
    <n v="417620"/>
    <m/>
    <m/>
    <m/>
    <m/>
    <n v="0"/>
    <m/>
    <m/>
    <n v="0"/>
    <n v="0"/>
    <n v="417620"/>
    <m/>
    <m/>
    <m/>
    <m/>
    <n v="0"/>
    <m/>
    <m/>
    <n v="0"/>
    <m/>
    <m/>
    <m/>
    <m/>
    <m/>
    <m/>
    <n v="0"/>
    <n v="417620"/>
  </r>
  <r>
    <x v="11"/>
    <x v="8"/>
    <s v="Research Vessel (NR)"/>
    <m/>
    <n v="218724"/>
    <x v="4"/>
    <m/>
    <m/>
    <m/>
    <n v="948366"/>
    <m/>
    <m/>
    <m/>
    <m/>
    <n v="0"/>
    <m/>
    <m/>
    <n v="0"/>
    <n v="0"/>
    <n v="948366"/>
    <m/>
    <m/>
    <m/>
    <m/>
    <n v="0"/>
    <m/>
    <m/>
    <n v="0"/>
    <m/>
    <m/>
    <m/>
    <m/>
    <m/>
    <m/>
    <n v="0"/>
    <n v="948366"/>
  </r>
  <r>
    <x v="11"/>
    <x v="8"/>
    <s v="Scientific Equipment for Research Vessel (NR)"/>
    <m/>
    <n v="218724"/>
    <x v="4"/>
    <m/>
    <m/>
    <m/>
    <n v="198000"/>
    <m/>
    <m/>
    <m/>
    <m/>
    <n v="0"/>
    <m/>
    <m/>
    <n v="0"/>
    <n v="0"/>
    <n v="198000"/>
    <m/>
    <m/>
    <m/>
    <m/>
    <n v="0"/>
    <m/>
    <m/>
    <n v="0"/>
    <m/>
    <m/>
    <m/>
    <m/>
    <m/>
    <m/>
    <n v="0"/>
    <n v="198000"/>
  </r>
  <r>
    <x v="11"/>
    <x v="8"/>
    <s v="Academic Endowment"/>
    <m/>
    <n v="218724"/>
    <x v="4"/>
    <m/>
    <m/>
    <n v="5881"/>
    <n v="5658"/>
    <m/>
    <m/>
    <m/>
    <m/>
    <n v="0"/>
    <m/>
    <m/>
    <n v="0"/>
    <n v="5881"/>
    <n v="5658"/>
    <m/>
    <m/>
    <m/>
    <m/>
    <n v="0"/>
    <m/>
    <m/>
    <n v="0"/>
    <m/>
    <m/>
    <m/>
    <m/>
    <m/>
    <m/>
    <n v="5881"/>
    <n v="5658"/>
  </r>
  <r>
    <x v="11"/>
    <x v="8"/>
    <s v="Lottery Technology (NR)"/>
    <m/>
    <n v="218724"/>
    <x v="4"/>
    <m/>
    <m/>
    <n v="323307"/>
    <n v="752122"/>
    <m/>
    <m/>
    <m/>
    <m/>
    <n v="0"/>
    <m/>
    <m/>
    <n v="0"/>
    <n v="323307"/>
    <n v="752122"/>
    <m/>
    <m/>
    <m/>
    <m/>
    <n v="0"/>
    <m/>
    <m/>
    <n v="0"/>
    <m/>
    <m/>
    <m/>
    <m/>
    <m/>
    <m/>
    <n v="323307"/>
    <n v="752122"/>
  </r>
  <r>
    <x v="11"/>
    <x v="0"/>
    <s v="Francis Marion University "/>
    <m/>
    <n v="218061"/>
    <x v="4"/>
    <n v="8339014"/>
    <n v="8665555"/>
    <m/>
    <m/>
    <m/>
    <m/>
    <n v="33796481"/>
    <n v="0"/>
    <n v="33796481"/>
    <n v="33796481"/>
    <n v="0"/>
    <n v="33796481"/>
    <n v="42135495"/>
    <n v="42462036"/>
    <m/>
    <m/>
    <m/>
    <m/>
    <n v="0"/>
    <m/>
    <m/>
    <n v="0"/>
    <m/>
    <m/>
    <m/>
    <m/>
    <m/>
    <m/>
    <n v="42135495"/>
    <n v="42462036"/>
  </r>
  <r>
    <x v="11"/>
    <x v="0"/>
    <s v="Fringe Benefits"/>
    <m/>
    <n v="218061"/>
    <x v="4"/>
    <n v="1974849"/>
    <n v="2201636"/>
    <m/>
    <m/>
    <m/>
    <m/>
    <m/>
    <m/>
    <n v="0"/>
    <m/>
    <m/>
    <n v="0"/>
    <n v="1974849"/>
    <n v="2201636"/>
    <m/>
    <m/>
    <m/>
    <m/>
    <n v="0"/>
    <m/>
    <m/>
    <n v="0"/>
    <m/>
    <m/>
    <m/>
    <m/>
    <m/>
    <m/>
    <n v="1974849"/>
    <n v="2201636"/>
  </r>
  <r>
    <x v="11"/>
    <x v="3"/>
    <s v="Community or public service units"/>
    <m/>
    <n v="218061"/>
    <x v="4"/>
    <m/>
    <m/>
    <m/>
    <m/>
    <m/>
    <m/>
    <m/>
    <m/>
    <n v="0"/>
    <m/>
    <m/>
    <n v="0"/>
    <n v="0"/>
    <n v="0"/>
    <m/>
    <m/>
    <m/>
    <m/>
    <n v="0"/>
    <m/>
    <m/>
    <n v="0"/>
    <m/>
    <m/>
    <m/>
    <m/>
    <m/>
    <m/>
    <n v="0"/>
    <n v="0"/>
  </r>
  <r>
    <x v="11"/>
    <x v="7"/>
    <s v="Research centers/institutes"/>
    <m/>
    <n v="218061"/>
    <x v="4"/>
    <m/>
    <m/>
    <m/>
    <m/>
    <m/>
    <m/>
    <m/>
    <m/>
    <n v="0"/>
    <m/>
    <m/>
    <n v="0"/>
    <n v="0"/>
    <n v="0"/>
    <m/>
    <m/>
    <m/>
    <m/>
    <n v="0"/>
    <m/>
    <m/>
    <n v="0"/>
    <m/>
    <m/>
    <m/>
    <m/>
    <m/>
    <m/>
    <n v="0"/>
    <n v="0"/>
  </r>
  <r>
    <x v="11"/>
    <x v="8"/>
    <s v="Special Line items for education operations"/>
    <m/>
    <n v="218061"/>
    <x v="4"/>
    <m/>
    <m/>
    <m/>
    <m/>
    <m/>
    <m/>
    <m/>
    <m/>
    <n v="0"/>
    <m/>
    <m/>
    <n v="0"/>
    <n v="0"/>
    <n v="0"/>
    <m/>
    <m/>
    <m/>
    <m/>
    <n v="0"/>
    <m/>
    <m/>
    <n v="0"/>
    <m/>
    <m/>
    <m/>
    <m/>
    <m/>
    <m/>
    <n v="0"/>
    <n v="0"/>
  </r>
  <r>
    <x v="11"/>
    <x v="8"/>
    <s v="Deferred Maintenance (NR &amp; Lottery)"/>
    <m/>
    <n v="218061"/>
    <x v="4"/>
    <m/>
    <m/>
    <m/>
    <n v="1643547"/>
    <m/>
    <m/>
    <m/>
    <m/>
    <n v="0"/>
    <m/>
    <m/>
    <n v="0"/>
    <n v="0"/>
    <n v="1643547"/>
    <m/>
    <m/>
    <m/>
    <m/>
    <n v="0"/>
    <m/>
    <m/>
    <n v="0"/>
    <m/>
    <m/>
    <m/>
    <m/>
    <m/>
    <m/>
    <n v="0"/>
    <n v="1643547"/>
  </r>
  <r>
    <x v="11"/>
    <x v="8"/>
    <s v="Nurse Practitioner Program"/>
    <m/>
    <n v="218061"/>
    <x v="4"/>
    <m/>
    <m/>
    <m/>
    <n v="600000"/>
    <m/>
    <m/>
    <m/>
    <m/>
    <n v="0"/>
    <m/>
    <m/>
    <n v="0"/>
    <n v="0"/>
    <n v="600000"/>
    <m/>
    <m/>
    <m/>
    <m/>
    <n v="0"/>
    <m/>
    <m/>
    <n v="0"/>
    <m/>
    <m/>
    <m/>
    <m/>
    <m/>
    <m/>
    <n v="0"/>
    <n v="600000"/>
  </r>
  <r>
    <x v="11"/>
    <x v="8"/>
    <s v="Academic Endowment"/>
    <m/>
    <n v="218061"/>
    <x v="4"/>
    <m/>
    <m/>
    <n v="4414"/>
    <n v="4676"/>
    <m/>
    <m/>
    <m/>
    <m/>
    <n v="0"/>
    <m/>
    <m/>
    <n v="0"/>
    <n v="4414"/>
    <n v="4676"/>
    <m/>
    <m/>
    <m/>
    <m/>
    <n v="0"/>
    <m/>
    <m/>
    <n v="0"/>
    <m/>
    <m/>
    <m/>
    <m/>
    <m/>
    <m/>
    <n v="4414"/>
    <n v="4676"/>
  </r>
  <r>
    <x v="11"/>
    <x v="8"/>
    <s v="Lottery Technology (NR)"/>
    <m/>
    <n v="218061"/>
    <x v="4"/>
    <m/>
    <m/>
    <n v="184884"/>
    <n v="423006"/>
    <m/>
    <m/>
    <m/>
    <m/>
    <n v="0"/>
    <m/>
    <m/>
    <n v="0"/>
    <n v="184884"/>
    <n v="423006"/>
    <m/>
    <m/>
    <m/>
    <m/>
    <n v="0"/>
    <m/>
    <m/>
    <n v="0"/>
    <m/>
    <m/>
    <m/>
    <m/>
    <m/>
    <m/>
    <n v="184884"/>
    <n v="423006"/>
  </r>
  <r>
    <x v="11"/>
    <x v="0"/>
    <s v="South Carolina State University "/>
    <m/>
    <n v="218733"/>
    <x v="4"/>
    <n v="8692378"/>
    <n v="9012510"/>
    <m/>
    <m/>
    <m/>
    <m/>
    <n v="41792925.111784898"/>
    <n v="2725784.888215106"/>
    <n v="44518710"/>
    <n v="41792925.111784898"/>
    <n v="2725784.888215106"/>
    <n v="44518710"/>
    <n v="50485303.111784898"/>
    <n v="50805435.111784898"/>
    <m/>
    <m/>
    <m/>
    <m/>
    <n v="0"/>
    <m/>
    <m/>
    <n v="0"/>
    <m/>
    <m/>
    <m/>
    <m/>
    <m/>
    <m/>
    <n v="50485303.111784898"/>
    <n v="50805435.111784898"/>
  </r>
  <r>
    <x v="11"/>
    <x v="0"/>
    <s v="Fringe Benefits"/>
    <m/>
    <n v="218733"/>
    <x v="4"/>
    <n v="2665995"/>
    <n v="2901394"/>
    <m/>
    <m/>
    <m/>
    <m/>
    <m/>
    <m/>
    <n v="0"/>
    <m/>
    <m/>
    <n v="0"/>
    <n v="2665995"/>
    <n v="2901394"/>
    <m/>
    <m/>
    <m/>
    <m/>
    <n v="0"/>
    <m/>
    <m/>
    <n v="0"/>
    <m/>
    <m/>
    <m/>
    <m/>
    <m/>
    <m/>
    <n v="2665995"/>
    <n v="2901394"/>
  </r>
  <r>
    <x v="11"/>
    <x v="3"/>
    <s v="Community or public service units"/>
    <m/>
    <n v="218733"/>
    <x v="4"/>
    <m/>
    <m/>
    <m/>
    <m/>
    <m/>
    <m/>
    <m/>
    <m/>
    <n v="0"/>
    <m/>
    <m/>
    <n v="0"/>
    <n v="0"/>
    <n v="0"/>
    <m/>
    <m/>
    <m/>
    <m/>
    <n v="0"/>
    <m/>
    <m/>
    <n v="0"/>
    <m/>
    <m/>
    <m/>
    <m/>
    <m/>
    <m/>
    <n v="0"/>
    <n v="0"/>
  </r>
  <r>
    <x v="11"/>
    <x v="5"/>
    <s v="Public Service Activities"/>
    <m/>
    <n v="218733"/>
    <x v="4"/>
    <m/>
    <m/>
    <n v="2021862"/>
    <m/>
    <m/>
    <m/>
    <m/>
    <m/>
    <n v="0"/>
    <m/>
    <m/>
    <n v="0"/>
    <n v="2021862"/>
    <n v="0"/>
    <m/>
    <m/>
    <m/>
    <m/>
    <n v="0"/>
    <m/>
    <m/>
    <n v="0"/>
    <m/>
    <m/>
    <m/>
    <m/>
    <m/>
    <m/>
    <n v="2021862"/>
    <n v="0"/>
  </r>
  <r>
    <x v="11"/>
    <x v="7"/>
    <s v="Research centers/institutes"/>
    <m/>
    <n v="218733"/>
    <x v="4"/>
    <m/>
    <m/>
    <m/>
    <m/>
    <m/>
    <m/>
    <m/>
    <m/>
    <n v="0"/>
    <m/>
    <m/>
    <n v="0"/>
    <n v="0"/>
    <n v="0"/>
    <m/>
    <m/>
    <m/>
    <m/>
    <n v="0"/>
    <m/>
    <m/>
    <n v="0"/>
    <m/>
    <m/>
    <m/>
    <m/>
    <m/>
    <m/>
    <n v="0"/>
    <n v="0"/>
  </r>
  <r>
    <x v="11"/>
    <x v="8"/>
    <s v="Special Line items for education operations"/>
    <m/>
    <n v="218733"/>
    <x v="4"/>
    <m/>
    <m/>
    <m/>
    <m/>
    <m/>
    <m/>
    <m/>
    <m/>
    <n v="0"/>
    <m/>
    <m/>
    <n v="0"/>
    <n v="0"/>
    <n v="0"/>
    <m/>
    <m/>
    <m/>
    <m/>
    <n v="0"/>
    <m/>
    <m/>
    <n v="0"/>
    <m/>
    <m/>
    <m/>
    <m/>
    <m/>
    <m/>
    <n v="0"/>
    <n v="0"/>
  </r>
  <r>
    <x v="11"/>
    <x v="8"/>
    <s v="Deferred Maintenance (NR &amp; Lottery)"/>
    <m/>
    <n v="218733"/>
    <x v="4"/>
    <m/>
    <m/>
    <m/>
    <n v="1809059"/>
    <m/>
    <m/>
    <m/>
    <m/>
    <n v="0"/>
    <m/>
    <m/>
    <n v="0"/>
    <n v="0"/>
    <n v="1809059"/>
    <m/>
    <m/>
    <m/>
    <m/>
    <n v="0"/>
    <m/>
    <m/>
    <n v="0"/>
    <m/>
    <m/>
    <m/>
    <m/>
    <m/>
    <m/>
    <n v="0"/>
    <n v="1809059"/>
  </r>
  <r>
    <x v="11"/>
    <x v="8"/>
    <s v="Academic Endowment"/>
    <m/>
    <n v="218733"/>
    <x v="4"/>
    <m/>
    <m/>
    <n v="1856"/>
    <n v="1898"/>
    <m/>
    <m/>
    <m/>
    <m/>
    <n v="0"/>
    <m/>
    <m/>
    <n v="0"/>
    <n v="1856"/>
    <n v="1898"/>
    <m/>
    <m/>
    <m/>
    <m/>
    <n v="0"/>
    <m/>
    <m/>
    <n v="0"/>
    <m/>
    <m/>
    <m/>
    <m/>
    <m/>
    <m/>
    <n v="1856"/>
    <n v="1898"/>
  </r>
  <r>
    <x v="11"/>
    <x v="8"/>
    <s v="S.C. State Univ. Business School "/>
    <m/>
    <n v="218733"/>
    <x v="4"/>
    <m/>
    <m/>
    <n v="279505"/>
    <n v="279504"/>
    <m/>
    <m/>
    <m/>
    <m/>
    <n v="0"/>
    <m/>
    <m/>
    <n v="0"/>
    <n v="279505"/>
    <n v="279504"/>
    <m/>
    <m/>
    <m/>
    <m/>
    <n v="0"/>
    <m/>
    <m/>
    <n v="0"/>
    <m/>
    <m/>
    <m/>
    <m/>
    <m/>
    <m/>
    <n v="279505"/>
    <n v="279504"/>
  </r>
  <r>
    <x v="11"/>
    <x v="8"/>
    <s v="Transportation Center Match"/>
    <m/>
    <n v="218733"/>
    <x v="4"/>
    <m/>
    <m/>
    <n v="0"/>
    <m/>
    <m/>
    <m/>
    <m/>
    <m/>
    <n v="0"/>
    <m/>
    <m/>
    <n v="0"/>
    <n v="0"/>
    <n v="0"/>
    <m/>
    <m/>
    <m/>
    <m/>
    <n v="0"/>
    <m/>
    <m/>
    <n v="0"/>
    <m/>
    <m/>
    <m/>
    <m/>
    <m/>
    <m/>
    <n v="0"/>
    <n v="0"/>
  </r>
  <r>
    <x v="11"/>
    <x v="8"/>
    <s v="South Carolina Alliance for Minority Participation (SCAMP)"/>
    <m/>
    <n v="218733"/>
    <x v="4"/>
    <m/>
    <m/>
    <m/>
    <m/>
    <m/>
    <m/>
    <m/>
    <m/>
    <n v="0"/>
    <m/>
    <m/>
    <n v="0"/>
    <n v="0"/>
    <n v="0"/>
    <m/>
    <m/>
    <m/>
    <m/>
    <n v="0"/>
    <m/>
    <m/>
    <n v="0"/>
    <m/>
    <m/>
    <m/>
    <m/>
    <m/>
    <m/>
    <n v="0"/>
    <n v="0"/>
  </r>
  <r>
    <x v="11"/>
    <x v="8"/>
    <s v="African American Loan Program"/>
    <m/>
    <n v="218733"/>
    <x v="4"/>
    <m/>
    <m/>
    <n v="87905"/>
    <n v="87905"/>
    <m/>
    <m/>
    <m/>
    <m/>
    <n v="0"/>
    <m/>
    <m/>
    <n v="0"/>
    <n v="87905"/>
    <n v="87905"/>
    <m/>
    <m/>
    <m/>
    <m/>
    <n v="0"/>
    <m/>
    <m/>
    <n v="0"/>
    <m/>
    <m/>
    <m/>
    <m/>
    <m/>
    <m/>
    <n v="87905"/>
    <n v="87905"/>
  </r>
  <r>
    <x v="11"/>
    <x v="8"/>
    <s v="Operating Funds (Lottery) (NR)"/>
    <m/>
    <n v="218733"/>
    <x v="4"/>
    <m/>
    <m/>
    <n v="2500000"/>
    <n v="2500000"/>
    <m/>
    <m/>
    <m/>
    <m/>
    <n v="0"/>
    <m/>
    <m/>
    <n v="0"/>
    <n v="2500000"/>
    <n v="2500000"/>
    <m/>
    <m/>
    <m/>
    <m/>
    <n v="0"/>
    <m/>
    <m/>
    <n v="0"/>
    <m/>
    <m/>
    <m/>
    <m/>
    <m/>
    <m/>
    <n v="2500000"/>
    <n v="2500000"/>
  </r>
  <r>
    <x v="11"/>
    <x v="8"/>
    <s v="Higher Education Excellence Enhancement Program (Lottery)(NR)"/>
    <m/>
    <n v="218733"/>
    <x v="4"/>
    <m/>
    <m/>
    <n v="375000"/>
    <n v="500000"/>
    <m/>
    <m/>
    <m/>
    <m/>
    <n v="0"/>
    <m/>
    <m/>
    <n v="0"/>
    <n v="375000"/>
    <n v="500000"/>
    <m/>
    <m/>
    <m/>
    <m/>
    <n v="0"/>
    <m/>
    <m/>
    <n v="0"/>
    <m/>
    <m/>
    <m/>
    <m/>
    <m/>
    <m/>
    <n v="375000"/>
    <n v="500000"/>
  </r>
  <r>
    <x v="11"/>
    <x v="8"/>
    <s v="Lottery Technology (NR)"/>
    <m/>
    <n v="218733"/>
    <x v="4"/>
    <m/>
    <m/>
    <n v="205873"/>
    <n v="457429"/>
    <m/>
    <m/>
    <m/>
    <m/>
    <n v="0"/>
    <m/>
    <m/>
    <n v="0"/>
    <n v="205873"/>
    <n v="457429"/>
    <m/>
    <m/>
    <m/>
    <m/>
    <n v="0"/>
    <m/>
    <m/>
    <n v="0"/>
    <m/>
    <m/>
    <m/>
    <m/>
    <m/>
    <m/>
    <n v="205873"/>
    <n v="457429"/>
  </r>
  <r>
    <x v="11"/>
    <x v="0"/>
    <s v="Lander University"/>
    <m/>
    <n v="218229"/>
    <x v="5"/>
    <n v="4535572"/>
    <n v="4703621"/>
    <m/>
    <m/>
    <m/>
    <m/>
    <n v="28814244"/>
    <n v="1627409"/>
    <n v="30441653"/>
    <n v="28814244"/>
    <n v="1627409"/>
    <n v="30441653"/>
    <n v="33349816"/>
    <n v="33517865"/>
    <m/>
    <m/>
    <m/>
    <m/>
    <n v="0"/>
    <m/>
    <m/>
    <n v="0"/>
    <m/>
    <m/>
    <m/>
    <m/>
    <m/>
    <m/>
    <n v="33349816"/>
    <n v="33517865"/>
  </r>
  <r>
    <x v="11"/>
    <x v="0"/>
    <s v="Fringe Benefits"/>
    <m/>
    <n v="218229"/>
    <x v="5"/>
    <n v="1295556"/>
    <n v="1415506"/>
    <m/>
    <m/>
    <m/>
    <m/>
    <m/>
    <m/>
    <n v="0"/>
    <m/>
    <m/>
    <n v="0"/>
    <n v="1295556"/>
    <n v="1415506"/>
    <m/>
    <m/>
    <m/>
    <m/>
    <n v="0"/>
    <m/>
    <m/>
    <n v="0"/>
    <m/>
    <m/>
    <m/>
    <m/>
    <m/>
    <m/>
    <n v="1295556"/>
    <n v="1415506"/>
  </r>
  <r>
    <x v="11"/>
    <x v="8"/>
    <s v="Special Line items for education operations"/>
    <m/>
    <n v="218229"/>
    <x v="5"/>
    <m/>
    <m/>
    <m/>
    <m/>
    <m/>
    <m/>
    <m/>
    <m/>
    <n v="0"/>
    <m/>
    <m/>
    <n v="0"/>
    <n v="0"/>
    <n v="0"/>
    <m/>
    <m/>
    <m/>
    <m/>
    <n v="0"/>
    <m/>
    <m/>
    <n v="0"/>
    <m/>
    <m/>
    <m/>
    <m/>
    <m/>
    <m/>
    <n v="0"/>
    <n v="0"/>
  </r>
  <r>
    <x v="11"/>
    <x v="8"/>
    <s v="Deferred Maintenance (NR &amp; Lottery)"/>
    <m/>
    <n v="218229"/>
    <x v="5"/>
    <m/>
    <m/>
    <m/>
    <n v="931072"/>
    <m/>
    <m/>
    <m/>
    <m/>
    <n v="0"/>
    <m/>
    <m/>
    <n v="0"/>
    <n v="0"/>
    <n v="931072"/>
    <m/>
    <m/>
    <m/>
    <m/>
    <n v="0"/>
    <m/>
    <m/>
    <n v="0"/>
    <m/>
    <m/>
    <m/>
    <m/>
    <m/>
    <m/>
    <n v="0"/>
    <n v="931072"/>
  </r>
  <r>
    <x v="11"/>
    <x v="8"/>
    <s v="Academic Endowment"/>
    <m/>
    <n v="218229"/>
    <x v="5"/>
    <m/>
    <m/>
    <n v="3870"/>
    <n v="3549"/>
    <m/>
    <m/>
    <m/>
    <m/>
    <n v="0"/>
    <m/>
    <m/>
    <n v="0"/>
    <n v="3870"/>
    <n v="3549"/>
    <m/>
    <m/>
    <m/>
    <m/>
    <n v="0"/>
    <m/>
    <m/>
    <n v="0"/>
    <m/>
    <m/>
    <m/>
    <m/>
    <m/>
    <m/>
    <n v="3870"/>
    <n v="3549"/>
  </r>
  <r>
    <x v="11"/>
    <x v="8"/>
    <s v="Lottery Technology (NR)"/>
    <m/>
    <n v="218229"/>
    <x v="5"/>
    <m/>
    <m/>
    <n v="161700"/>
    <n v="371124"/>
    <m/>
    <m/>
    <m/>
    <m/>
    <n v="0"/>
    <m/>
    <m/>
    <n v="0"/>
    <n v="161700"/>
    <n v="371124"/>
    <m/>
    <m/>
    <m/>
    <m/>
    <n v="0"/>
    <m/>
    <m/>
    <n v="0"/>
    <m/>
    <m/>
    <m/>
    <m/>
    <m/>
    <m/>
    <n v="161700"/>
    <n v="371124"/>
  </r>
  <r>
    <x v="11"/>
    <x v="0"/>
    <s v="University of South Carolina-Aiken"/>
    <m/>
    <n v="218645"/>
    <x v="5"/>
    <n v="4820000"/>
    <n v="4997592"/>
    <m/>
    <m/>
    <m/>
    <m/>
    <n v="27303397.708514806"/>
    <n v="1406304.4569199486"/>
    <n v="28709702.165434755"/>
    <n v="27303397.708514806"/>
    <n v="1406304.4569199486"/>
    <n v="28709702.165434755"/>
    <n v="32123397.708514806"/>
    <n v="32300989.708514806"/>
    <m/>
    <m/>
    <m/>
    <m/>
    <n v="0"/>
    <m/>
    <m/>
    <n v="0"/>
    <m/>
    <m/>
    <m/>
    <m/>
    <m/>
    <m/>
    <n v="32123397.708514806"/>
    <n v="32300989.708514806"/>
  </r>
  <r>
    <x v="11"/>
    <x v="0"/>
    <s v="Fringe Benefits"/>
    <m/>
    <n v="218645"/>
    <x v="5"/>
    <n v="1104243"/>
    <n v="1225703"/>
    <m/>
    <m/>
    <m/>
    <m/>
    <m/>
    <m/>
    <n v="0"/>
    <m/>
    <m/>
    <n v="0"/>
    <n v="1104243"/>
    <n v="1225703"/>
    <m/>
    <m/>
    <m/>
    <m/>
    <n v="0"/>
    <m/>
    <m/>
    <n v="0"/>
    <m/>
    <m/>
    <m/>
    <m/>
    <m/>
    <m/>
    <n v="1104243"/>
    <n v="1225703"/>
  </r>
  <r>
    <x v="11"/>
    <x v="8"/>
    <s v="Special Line items for education operations"/>
    <m/>
    <n v="218645"/>
    <x v="5"/>
    <m/>
    <m/>
    <m/>
    <m/>
    <m/>
    <m/>
    <m/>
    <m/>
    <n v="0"/>
    <m/>
    <m/>
    <n v="0"/>
    <n v="0"/>
    <n v="0"/>
    <m/>
    <m/>
    <m/>
    <m/>
    <n v="0"/>
    <m/>
    <m/>
    <n v="0"/>
    <m/>
    <m/>
    <m/>
    <m/>
    <m/>
    <m/>
    <n v="0"/>
    <n v="0"/>
  </r>
  <r>
    <x v="11"/>
    <x v="8"/>
    <s v="Deferred Maintenance (NR &amp; Lottery)"/>
    <m/>
    <n v="218645"/>
    <x v="5"/>
    <m/>
    <m/>
    <m/>
    <n v="841761"/>
    <m/>
    <m/>
    <m/>
    <m/>
    <n v="0"/>
    <m/>
    <m/>
    <n v="0"/>
    <n v="0"/>
    <n v="841761"/>
    <m/>
    <m/>
    <m/>
    <m/>
    <n v="0"/>
    <m/>
    <m/>
    <n v="0"/>
    <m/>
    <m/>
    <m/>
    <m/>
    <m/>
    <m/>
    <n v="0"/>
    <n v="841761"/>
  </r>
  <r>
    <x v="11"/>
    <x v="8"/>
    <s v="Academic Endowment"/>
    <m/>
    <n v="218645"/>
    <x v="5"/>
    <m/>
    <m/>
    <n v="4274"/>
    <n v="4223"/>
    <m/>
    <m/>
    <m/>
    <m/>
    <n v="0"/>
    <m/>
    <m/>
    <n v="0"/>
    <n v="4274"/>
    <n v="4223"/>
    <m/>
    <m/>
    <m/>
    <m/>
    <n v="0"/>
    <m/>
    <m/>
    <n v="0"/>
    <m/>
    <m/>
    <m/>
    <m/>
    <m/>
    <m/>
    <n v="4274"/>
    <n v="4223"/>
  </r>
  <r>
    <x v="11"/>
    <x v="8"/>
    <s v="Lottery Technology (NR)"/>
    <m/>
    <n v="218645"/>
    <x v="5"/>
    <m/>
    <m/>
    <n v="162524"/>
    <n v="367680"/>
    <m/>
    <m/>
    <m/>
    <m/>
    <n v="0"/>
    <m/>
    <m/>
    <n v="0"/>
    <n v="162524"/>
    <n v="367680"/>
    <m/>
    <m/>
    <m/>
    <m/>
    <n v="0"/>
    <m/>
    <m/>
    <n v="0"/>
    <m/>
    <m/>
    <m/>
    <m/>
    <m/>
    <m/>
    <n v="162524"/>
    <n v="367680"/>
  </r>
  <r>
    <x v="11"/>
    <x v="0"/>
    <s v="University of South Carolina-Beaufort"/>
    <m/>
    <n v="218654"/>
    <x v="5"/>
    <n v="1105000"/>
    <n v="1145720"/>
    <m/>
    <m/>
    <m/>
    <m/>
    <n v="14941541.621803027"/>
    <n v="350657.75146160892"/>
    <n v="15292199.373264635"/>
    <n v="14941541.621803027"/>
    <n v="350657.75146160892"/>
    <n v="15292199.373264635"/>
    <n v="16046541.621803027"/>
    <n v="16087261.621803027"/>
    <m/>
    <m/>
    <m/>
    <m/>
    <n v="0"/>
    <m/>
    <m/>
    <n v="0"/>
    <m/>
    <m/>
    <m/>
    <m/>
    <m/>
    <m/>
    <n v="16046541.621803027"/>
    <n v="16087261.621803027"/>
  </r>
  <r>
    <x v="11"/>
    <x v="0"/>
    <s v="Fringe Benefits"/>
    <m/>
    <n v="218654"/>
    <x v="5"/>
    <n v="255802"/>
    <n v="280447"/>
    <m/>
    <m/>
    <m/>
    <m/>
    <m/>
    <m/>
    <n v="0"/>
    <m/>
    <m/>
    <n v="0"/>
    <n v="255802"/>
    <n v="280447"/>
    <m/>
    <m/>
    <m/>
    <m/>
    <n v="0"/>
    <m/>
    <m/>
    <n v="0"/>
    <m/>
    <m/>
    <m/>
    <m/>
    <m/>
    <m/>
    <n v="255802"/>
    <n v="280447"/>
  </r>
  <r>
    <x v="11"/>
    <x v="3"/>
    <s v="Community or public service units"/>
    <m/>
    <n v="218654"/>
    <x v="5"/>
    <m/>
    <m/>
    <m/>
    <m/>
    <m/>
    <m/>
    <m/>
    <m/>
    <n v="0"/>
    <m/>
    <m/>
    <n v="0"/>
    <n v="0"/>
    <n v="0"/>
    <m/>
    <m/>
    <m/>
    <m/>
    <n v="0"/>
    <m/>
    <m/>
    <n v="0"/>
    <m/>
    <m/>
    <m/>
    <m/>
    <m/>
    <m/>
    <n v="0"/>
    <n v="0"/>
  </r>
  <r>
    <x v="11"/>
    <x v="8"/>
    <s v="Special Line items for education operations"/>
    <m/>
    <n v="218654"/>
    <x v="5"/>
    <m/>
    <m/>
    <m/>
    <m/>
    <m/>
    <m/>
    <m/>
    <m/>
    <n v="0"/>
    <m/>
    <m/>
    <n v="0"/>
    <n v="0"/>
    <n v="0"/>
    <m/>
    <m/>
    <m/>
    <m/>
    <n v="0"/>
    <m/>
    <m/>
    <n v="0"/>
    <m/>
    <m/>
    <m/>
    <m/>
    <m/>
    <m/>
    <n v="0"/>
    <n v="0"/>
  </r>
  <r>
    <x v="11"/>
    <x v="8"/>
    <s v="Deferred Maintenance (NR &amp; Lottery)"/>
    <m/>
    <n v="218654"/>
    <x v="5"/>
    <m/>
    <m/>
    <m/>
    <n v="393353"/>
    <m/>
    <m/>
    <m/>
    <m/>
    <n v="0"/>
    <m/>
    <m/>
    <n v="0"/>
    <n v="0"/>
    <n v="393353"/>
    <m/>
    <m/>
    <m/>
    <m/>
    <n v="0"/>
    <m/>
    <m/>
    <n v="0"/>
    <m/>
    <m/>
    <m/>
    <m/>
    <m/>
    <m/>
    <n v="0"/>
    <n v="393353"/>
  </r>
  <r>
    <x v="11"/>
    <x v="8"/>
    <s v="Academic Endowment"/>
    <m/>
    <n v="218654"/>
    <x v="5"/>
    <m/>
    <m/>
    <n v="1239"/>
    <n v="1157"/>
    <m/>
    <m/>
    <m/>
    <m/>
    <n v="0"/>
    <m/>
    <m/>
    <n v="0"/>
    <n v="1239"/>
    <n v="1157"/>
    <m/>
    <m/>
    <m/>
    <m/>
    <n v="0"/>
    <m/>
    <m/>
    <n v="0"/>
    <m/>
    <m/>
    <m/>
    <m/>
    <m/>
    <m/>
    <n v="1239"/>
    <n v="1157"/>
  </r>
  <r>
    <x v="11"/>
    <x v="8"/>
    <s v="Lottery Technology (NR)"/>
    <m/>
    <n v="218654"/>
    <x v="5"/>
    <m/>
    <m/>
    <n v="122424"/>
    <n v="283218"/>
    <m/>
    <m/>
    <m/>
    <m/>
    <n v="0"/>
    <m/>
    <m/>
    <n v="0"/>
    <n v="122424"/>
    <n v="283218"/>
    <m/>
    <m/>
    <m/>
    <m/>
    <n v="0"/>
    <m/>
    <m/>
    <n v="0"/>
    <m/>
    <m/>
    <m/>
    <m/>
    <m/>
    <m/>
    <n v="122424"/>
    <n v="283218"/>
  </r>
  <r>
    <x v="11"/>
    <x v="0"/>
    <s v="University of South Carolina-Upstate"/>
    <m/>
    <n v="218742"/>
    <x v="5"/>
    <n v="6339000"/>
    <n v="6572977"/>
    <m/>
    <m/>
    <m/>
    <m/>
    <n v="50577628.818753779"/>
    <n v="2858856.1211755211"/>
    <n v="53436484.939929299"/>
    <n v="50577628.818753779"/>
    <n v="2858856.1211755211"/>
    <n v="53436484.939929299"/>
    <n v="56916628.818753779"/>
    <n v="57150605.818753779"/>
    <m/>
    <m/>
    <m/>
    <m/>
    <n v="0"/>
    <m/>
    <m/>
    <n v="0"/>
    <m/>
    <m/>
    <m/>
    <m/>
    <m/>
    <m/>
    <n v="56916628.818753779"/>
    <n v="57150605.818753779"/>
  </r>
  <r>
    <x v="11"/>
    <x v="0"/>
    <s v="Fringe Benefits"/>
    <m/>
    <n v="218742"/>
    <x v="5"/>
    <n v="1449843"/>
    <n v="1605188"/>
    <m/>
    <m/>
    <m/>
    <m/>
    <m/>
    <m/>
    <n v="0"/>
    <m/>
    <m/>
    <n v="0"/>
    <n v="1449843"/>
    <n v="1605188"/>
    <m/>
    <m/>
    <m/>
    <m/>
    <n v="0"/>
    <m/>
    <m/>
    <n v="0"/>
    <m/>
    <m/>
    <m/>
    <m/>
    <m/>
    <m/>
    <n v="1449843"/>
    <n v="1605188"/>
  </r>
  <r>
    <x v="11"/>
    <x v="8"/>
    <s v="Special Line items for education operations"/>
    <m/>
    <n v="218742"/>
    <x v="5"/>
    <m/>
    <m/>
    <m/>
    <m/>
    <m/>
    <m/>
    <m/>
    <m/>
    <n v="0"/>
    <m/>
    <m/>
    <n v="0"/>
    <n v="0"/>
    <n v="0"/>
    <m/>
    <m/>
    <m/>
    <m/>
    <n v="0"/>
    <m/>
    <m/>
    <n v="0"/>
    <m/>
    <m/>
    <m/>
    <m/>
    <m/>
    <m/>
    <n v="0"/>
    <n v="0"/>
  </r>
  <r>
    <x v="11"/>
    <x v="8"/>
    <s v="Deferred Maintenance (NR &amp; Lottery)"/>
    <m/>
    <n v="218742"/>
    <x v="5"/>
    <m/>
    <m/>
    <m/>
    <n v="1108261"/>
    <m/>
    <m/>
    <m/>
    <m/>
    <n v="0"/>
    <m/>
    <m/>
    <n v="0"/>
    <n v="0"/>
    <n v="1108261"/>
    <m/>
    <m/>
    <m/>
    <m/>
    <n v="0"/>
    <m/>
    <m/>
    <n v="0"/>
    <m/>
    <m/>
    <m/>
    <m/>
    <m/>
    <m/>
    <n v="0"/>
    <n v="1108261"/>
  </r>
  <r>
    <x v="11"/>
    <x v="8"/>
    <s v="Academic Endowment"/>
    <m/>
    <n v="218742"/>
    <x v="5"/>
    <m/>
    <m/>
    <n v="1212"/>
    <n v="1095"/>
    <m/>
    <m/>
    <m/>
    <m/>
    <n v="0"/>
    <m/>
    <m/>
    <n v="0"/>
    <n v="1212"/>
    <n v="1095"/>
    <m/>
    <m/>
    <m/>
    <m/>
    <n v="0"/>
    <m/>
    <m/>
    <n v="0"/>
    <m/>
    <m/>
    <m/>
    <m/>
    <m/>
    <m/>
    <n v="1212"/>
    <n v="1095"/>
  </r>
  <r>
    <x v="11"/>
    <x v="8"/>
    <s v="Lottery Technology (NR)"/>
    <m/>
    <n v="218742"/>
    <x v="5"/>
    <m/>
    <m/>
    <n v="226255"/>
    <n v="513871"/>
    <m/>
    <m/>
    <m/>
    <m/>
    <n v="0"/>
    <m/>
    <m/>
    <n v="0"/>
    <n v="226255"/>
    <n v="513871"/>
    <m/>
    <m/>
    <m/>
    <m/>
    <n v="0"/>
    <m/>
    <m/>
    <n v="0"/>
    <m/>
    <m/>
    <m/>
    <m/>
    <m/>
    <m/>
    <n v="226255"/>
    <n v="513871"/>
  </r>
  <r>
    <x v="11"/>
    <x v="0"/>
    <s v="Greenville Technical College "/>
    <m/>
    <n v="218113"/>
    <x v="6"/>
    <n v="14829522"/>
    <n v="15441535"/>
    <m/>
    <m/>
    <n v="10547851"/>
    <n v="10515010"/>
    <n v="53610700"/>
    <n v="2652875"/>
    <n v="56263575"/>
    <n v="53610700"/>
    <n v="2652875"/>
    <n v="56263575"/>
    <n v="78988073"/>
    <n v="79567245"/>
    <m/>
    <m/>
    <m/>
    <m/>
    <n v="0"/>
    <m/>
    <m/>
    <n v="0"/>
    <m/>
    <m/>
    <m/>
    <m/>
    <m/>
    <m/>
    <n v="78988073"/>
    <n v="79567245"/>
  </r>
  <r>
    <x v="11"/>
    <x v="8"/>
    <s v="Special Line items for education operations"/>
    <m/>
    <n v="218113"/>
    <x v="6"/>
    <m/>
    <m/>
    <m/>
    <m/>
    <m/>
    <m/>
    <m/>
    <m/>
    <n v="0"/>
    <m/>
    <m/>
    <n v="0"/>
    <n v="0"/>
    <n v="0"/>
    <m/>
    <m/>
    <m/>
    <m/>
    <n v="0"/>
    <m/>
    <m/>
    <n v="0"/>
    <m/>
    <m/>
    <m/>
    <m/>
    <m/>
    <m/>
    <n v="0"/>
    <n v="0"/>
  </r>
  <r>
    <x v="11"/>
    <x v="8"/>
    <s v="Academic Endowment"/>
    <m/>
    <n v="218113"/>
    <x v="6"/>
    <m/>
    <m/>
    <m/>
    <n v="1765"/>
    <m/>
    <m/>
    <m/>
    <m/>
    <n v="0"/>
    <m/>
    <m/>
    <n v="0"/>
    <n v="0"/>
    <n v="1765"/>
    <m/>
    <m/>
    <m/>
    <m/>
    <n v="0"/>
    <m/>
    <m/>
    <n v="0"/>
    <m/>
    <m/>
    <m/>
    <m/>
    <m/>
    <m/>
    <n v="0"/>
    <n v="1765"/>
  </r>
  <r>
    <x v="11"/>
    <x v="8"/>
    <s v="Deferred Maintenance"/>
    <m/>
    <n v="218113"/>
    <x v="6"/>
    <m/>
    <m/>
    <m/>
    <n v="882812"/>
    <m/>
    <m/>
    <m/>
    <m/>
    <n v="0"/>
    <m/>
    <m/>
    <n v="0"/>
    <n v="0"/>
    <n v="882812"/>
    <m/>
    <m/>
    <m/>
    <m/>
    <n v="0"/>
    <m/>
    <m/>
    <n v="0"/>
    <m/>
    <m/>
    <m/>
    <m/>
    <m/>
    <m/>
    <n v="0"/>
    <n v="882812"/>
  </r>
  <r>
    <x v="11"/>
    <x v="8"/>
    <s v="Pathways to Prosperity"/>
    <m/>
    <n v="218113"/>
    <x v="6"/>
    <m/>
    <m/>
    <n v="37784"/>
    <n v="37784"/>
    <m/>
    <m/>
    <m/>
    <m/>
    <n v="0"/>
    <m/>
    <m/>
    <n v="0"/>
    <n v="37784"/>
    <n v="37784"/>
    <m/>
    <m/>
    <m/>
    <m/>
    <n v="0"/>
    <m/>
    <m/>
    <n v="0"/>
    <m/>
    <m/>
    <m/>
    <m/>
    <m/>
    <m/>
    <n v="37784"/>
    <n v="37784"/>
  </r>
  <r>
    <x v="11"/>
    <x v="8"/>
    <s v="Lottery Technology (NR)"/>
    <m/>
    <n v="218113"/>
    <x v="6"/>
    <m/>
    <m/>
    <n v="272528"/>
    <n v="578045"/>
    <m/>
    <m/>
    <m/>
    <m/>
    <n v="0"/>
    <m/>
    <m/>
    <n v="0"/>
    <n v="272528"/>
    <n v="578045"/>
    <m/>
    <m/>
    <m/>
    <m/>
    <n v="0"/>
    <m/>
    <m/>
    <n v="0"/>
    <m/>
    <m/>
    <m/>
    <m/>
    <m/>
    <m/>
    <n v="272528"/>
    <n v="578045"/>
  </r>
  <r>
    <x v="11"/>
    <x v="0"/>
    <s v="Horry-Georgetown Technical College "/>
    <m/>
    <n v="218140"/>
    <x v="6"/>
    <n v="6645120"/>
    <n v="6923404"/>
    <m/>
    <m/>
    <n v="3880000"/>
    <n v="3811000"/>
    <n v="26745905"/>
    <n v="223406"/>
    <n v="26969311"/>
    <n v="26745905"/>
    <n v="223406"/>
    <n v="26969311"/>
    <n v="37271025"/>
    <n v="37480309"/>
    <m/>
    <m/>
    <m/>
    <m/>
    <n v="0"/>
    <m/>
    <m/>
    <n v="0"/>
    <m/>
    <m/>
    <m/>
    <m/>
    <m/>
    <m/>
    <n v="37271025"/>
    <n v="37480309"/>
  </r>
  <r>
    <x v="11"/>
    <x v="8"/>
    <s v="Special Line items for education operations"/>
    <m/>
    <n v="218140"/>
    <x v="6"/>
    <m/>
    <m/>
    <m/>
    <m/>
    <m/>
    <m/>
    <m/>
    <m/>
    <n v="0"/>
    <m/>
    <m/>
    <n v="0"/>
    <n v="0"/>
    <n v="0"/>
    <m/>
    <m/>
    <m/>
    <m/>
    <n v="0"/>
    <m/>
    <m/>
    <n v="0"/>
    <m/>
    <m/>
    <m/>
    <m/>
    <m/>
    <m/>
    <n v="0"/>
    <n v="0"/>
  </r>
  <r>
    <x v="11"/>
    <x v="8"/>
    <s v="Academic Endowment"/>
    <m/>
    <n v="218140"/>
    <x v="6"/>
    <m/>
    <m/>
    <m/>
    <n v="46"/>
    <m/>
    <m/>
    <m/>
    <m/>
    <n v="0"/>
    <m/>
    <m/>
    <n v="0"/>
    <n v="0"/>
    <n v="46"/>
    <m/>
    <m/>
    <m/>
    <m/>
    <n v="0"/>
    <m/>
    <m/>
    <n v="0"/>
    <m/>
    <m/>
    <m/>
    <m/>
    <m/>
    <m/>
    <n v="0"/>
    <n v="46"/>
  </r>
  <r>
    <x v="11"/>
    <x v="8"/>
    <s v="Deferred Maintenance"/>
    <m/>
    <n v="218140"/>
    <x v="6"/>
    <m/>
    <m/>
    <m/>
    <n v="360320"/>
    <m/>
    <m/>
    <m/>
    <m/>
    <n v="0"/>
    <m/>
    <m/>
    <n v="0"/>
    <n v="0"/>
    <n v="360320"/>
    <m/>
    <m/>
    <m/>
    <m/>
    <n v="0"/>
    <m/>
    <m/>
    <n v="0"/>
    <m/>
    <m/>
    <m/>
    <m/>
    <m/>
    <m/>
    <n v="0"/>
    <n v="360320"/>
  </r>
  <r>
    <x v="11"/>
    <x v="8"/>
    <s v="Capital Reserve and Surplus 90.20"/>
    <m/>
    <n v="218140"/>
    <x v="6"/>
    <m/>
    <m/>
    <m/>
    <n v="200000"/>
    <m/>
    <m/>
    <m/>
    <m/>
    <n v="0"/>
    <m/>
    <m/>
    <n v="0"/>
    <n v="0"/>
    <n v="200000"/>
    <m/>
    <m/>
    <m/>
    <m/>
    <n v="0"/>
    <m/>
    <m/>
    <n v="0"/>
    <m/>
    <m/>
    <m/>
    <m/>
    <m/>
    <m/>
    <n v="0"/>
    <n v="200000"/>
  </r>
  <r>
    <x v="11"/>
    <x v="8"/>
    <s v="Pathways to Prosperity"/>
    <m/>
    <n v="218140"/>
    <x v="6"/>
    <m/>
    <m/>
    <n v="37784"/>
    <n v="37784"/>
    <m/>
    <m/>
    <m/>
    <m/>
    <n v="0"/>
    <m/>
    <m/>
    <n v="0"/>
    <n v="37784"/>
    <n v="37784"/>
    <m/>
    <m/>
    <m/>
    <m/>
    <n v="0"/>
    <m/>
    <m/>
    <n v="0"/>
    <m/>
    <m/>
    <m/>
    <m/>
    <m/>
    <m/>
    <n v="37784"/>
    <n v="37784"/>
  </r>
  <r>
    <x v="11"/>
    <x v="8"/>
    <s v="Lottery Technology (NR)"/>
    <m/>
    <n v="218140"/>
    <x v="6"/>
    <m/>
    <m/>
    <n v="122080"/>
    <n v="258934"/>
    <m/>
    <m/>
    <m/>
    <m/>
    <n v="0"/>
    <m/>
    <m/>
    <n v="0"/>
    <n v="122080"/>
    <n v="258934"/>
    <m/>
    <m/>
    <m/>
    <m/>
    <n v="0"/>
    <m/>
    <m/>
    <n v="0"/>
    <m/>
    <m/>
    <m/>
    <m/>
    <m/>
    <m/>
    <n v="122080"/>
    <n v="258934"/>
  </r>
  <r>
    <x v="11"/>
    <x v="0"/>
    <s v="Midlands Technical College "/>
    <m/>
    <n v="218353"/>
    <x v="6"/>
    <n v="12377849"/>
    <n v="12939485"/>
    <m/>
    <m/>
    <n v="8501897"/>
    <n v="8691390"/>
    <n v="52146899"/>
    <n v="1850025"/>
    <n v="53996924"/>
    <n v="52146899"/>
    <n v="1850025"/>
    <n v="53996924"/>
    <n v="73026645"/>
    <n v="73777774"/>
    <m/>
    <m/>
    <m/>
    <m/>
    <n v="0"/>
    <m/>
    <m/>
    <n v="0"/>
    <m/>
    <m/>
    <m/>
    <m/>
    <m/>
    <m/>
    <n v="73026645"/>
    <n v="73777774"/>
  </r>
  <r>
    <x v="11"/>
    <x v="8"/>
    <s v="Special Line items for education operations"/>
    <m/>
    <n v="218353"/>
    <x v="6"/>
    <m/>
    <m/>
    <m/>
    <m/>
    <m/>
    <m/>
    <m/>
    <m/>
    <n v="0"/>
    <m/>
    <m/>
    <n v="0"/>
    <n v="0"/>
    <n v="0"/>
    <m/>
    <m/>
    <m/>
    <m/>
    <n v="0"/>
    <m/>
    <m/>
    <n v="0"/>
    <m/>
    <m/>
    <m/>
    <m/>
    <m/>
    <m/>
    <n v="0"/>
    <n v="0"/>
  </r>
  <r>
    <x v="11"/>
    <x v="8"/>
    <s v="Academic Endowment"/>
    <m/>
    <n v="218353"/>
    <x v="6"/>
    <m/>
    <m/>
    <m/>
    <n v="650"/>
    <m/>
    <m/>
    <m/>
    <m/>
    <n v="0"/>
    <m/>
    <m/>
    <n v="0"/>
    <n v="0"/>
    <n v="650"/>
    <m/>
    <m/>
    <m/>
    <m/>
    <n v="0"/>
    <m/>
    <m/>
    <n v="0"/>
    <m/>
    <m/>
    <m/>
    <m/>
    <m/>
    <m/>
    <n v="0"/>
    <n v="650"/>
  </r>
  <r>
    <x v="11"/>
    <x v="8"/>
    <s v="Deferred Maintenance"/>
    <m/>
    <n v="218353"/>
    <x v="6"/>
    <m/>
    <m/>
    <m/>
    <n v="537494"/>
    <m/>
    <m/>
    <m/>
    <m/>
    <n v="0"/>
    <m/>
    <m/>
    <n v="0"/>
    <n v="0"/>
    <n v="537494"/>
    <m/>
    <m/>
    <m/>
    <m/>
    <n v="0"/>
    <m/>
    <m/>
    <n v="0"/>
    <m/>
    <m/>
    <m/>
    <m/>
    <m/>
    <m/>
    <n v="0"/>
    <n v="537494"/>
  </r>
  <r>
    <x v="11"/>
    <x v="8"/>
    <s v="Nursing Program"/>
    <m/>
    <n v="218353"/>
    <x v="6"/>
    <m/>
    <m/>
    <n v="370943"/>
    <n v="370943"/>
    <m/>
    <m/>
    <m/>
    <m/>
    <n v="0"/>
    <m/>
    <m/>
    <n v="0"/>
    <n v="370943"/>
    <n v="370943"/>
    <m/>
    <m/>
    <m/>
    <m/>
    <n v="0"/>
    <m/>
    <m/>
    <n v="0"/>
    <m/>
    <m/>
    <m/>
    <m/>
    <m/>
    <m/>
    <n v="370943"/>
    <n v="370943"/>
  </r>
  <r>
    <x v="11"/>
    <x v="8"/>
    <s v="Pathways to Prosperity"/>
    <m/>
    <n v="218353"/>
    <x v="6"/>
    <m/>
    <m/>
    <n v="37784"/>
    <n v="37784"/>
    <m/>
    <m/>
    <m/>
    <m/>
    <n v="0"/>
    <m/>
    <m/>
    <n v="0"/>
    <n v="37784"/>
    <n v="37784"/>
    <m/>
    <m/>
    <m/>
    <m/>
    <n v="0"/>
    <m/>
    <m/>
    <n v="0"/>
    <m/>
    <m/>
    <m/>
    <m/>
    <m/>
    <m/>
    <n v="37784"/>
    <n v="37784"/>
  </r>
  <r>
    <x v="11"/>
    <x v="8"/>
    <s v="Lottery Technology (NR)"/>
    <m/>
    <n v="218353"/>
    <x v="6"/>
    <m/>
    <m/>
    <n v="228585"/>
    <n v="483151"/>
    <m/>
    <m/>
    <m/>
    <m/>
    <n v="0"/>
    <m/>
    <m/>
    <n v="0"/>
    <n v="228585"/>
    <n v="483151"/>
    <m/>
    <m/>
    <m/>
    <m/>
    <n v="0"/>
    <m/>
    <m/>
    <n v="0"/>
    <m/>
    <m/>
    <m/>
    <m/>
    <m/>
    <m/>
    <n v="228585"/>
    <n v="483151"/>
  </r>
  <r>
    <x v="11"/>
    <x v="0"/>
    <s v="Tri-County Technical College "/>
    <m/>
    <n v="218885"/>
    <x v="6"/>
    <n v="6255121"/>
    <n v="6513225"/>
    <m/>
    <m/>
    <n v="3909984"/>
    <n v="2889507"/>
    <n v="27254670"/>
    <n v="1265470"/>
    <n v="28520140"/>
    <n v="27254670"/>
    <n v="1265470"/>
    <n v="28520140"/>
    <n v="37419775"/>
    <n v="36657402"/>
    <m/>
    <m/>
    <m/>
    <m/>
    <n v="0"/>
    <m/>
    <m/>
    <n v="0"/>
    <m/>
    <m/>
    <m/>
    <m/>
    <m/>
    <m/>
    <n v="37419775"/>
    <n v="36657402"/>
  </r>
  <r>
    <x v="11"/>
    <x v="8"/>
    <s v="Special Line items for education operations"/>
    <m/>
    <n v="218885"/>
    <x v="6"/>
    <m/>
    <m/>
    <m/>
    <m/>
    <m/>
    <m/>
    <m/>
    <m/>
    <n v="0"/>
    <m/>
    <m/>
    <n v="0"/>
    <n v="0"/>
    <n v="0"/>
    <m/>
    <m/>
    <m/>
    <m/>
    <n v="0"/>
    <m/>
    <m/>
    <n v="0"/>
    <m/>
    <m/>
    <m/>
    <m/>
    <m/>
    <m/>
    <n v="0"/>
    <n v="0"/>
  </r>
  <r>
    <x v="11"/>
    <x v="8"/>
    <s v="Academic Endowment"/>
    <m/>
    <n v="218885"/>
    <x v="6"/>
    <m/>
    <m/>
    <m/>
    <n v="2611"/>
    <m/>
    <m/>
    <m/>
    <m/>
    <n v="0"/>
    <m/>
    <m/>
    <n v="0"/>
    <n v="0"/>
    <n v="2611"/>
    <m/>
    <m/>
    <m/>
    <m/>
    <n v="0"/>
    <m/>
    <m/>
    <n v="0"/>
    <m/>
    <m/>
    <m/>
    <m/>
    <m/>
    <m/>
    <n v="0"/>
    <n v="2611"/>
  </r>
  <r>
    <x v="11"/>
    <x v="8"/>
    <s v="Deferred Maintenance"/>
    <m/>
    <n v="218885"/>
    <x v="6"/>
    <m/>
    <m/>
    <m/>
    <n v="290809"/>
    <m/>
    <m/>
    <m/>
    <m/>
    <n v="0"/>
    <m/>
    <m/>
    <n v="0"/>
    <n v="0"/>
    <n v="290809"/>
    <m/>
    <m/>
    <m/>
    <m/>
    <n v="0"/>
    <m/>
    <m/>
    <n v="0"/>
    <m/>
    <m/>
    <m/>
    <m/>
    <m/>
    <m/>
    <n v="0"/>
    <n v="290809"/>
  </r>
  <r>
    <x v="11"/>
    <x v="8"/>
    <s v="Capital Reserve and Surplus 90.20"/>
    <m/>
    <n v="218885"/>
    <x v="6"/>
    <m/>
    <m/>
    <m/>
    <n v="500000"/>
    <m/>
    <m/>
    <m/>
    <m/>
    <n v="0"/>
    <m/>
    <m/>
    <n v="0"/>
    <n v="0"/>
    <n v="500000"/>
    <m/>
    <m/>
    <m/>
    <m/>
    <n v="0"/>
    <m/>
    <m/>
    <n v="0"/>
    <m/>
    <m/>
    <m/>
    <m/>
    <m/>
    <m/>
    <n v="0"/>
    <n v="500000"/>
  </r>
  <r>
    <x v="11"/>
    <x v="8"/>
    <s v="Pathways to Prosperity"/>
    <m/>
    <n v="218885"/>
    <x v="6"/>
    <m/>
    <m/>
    <n v="37784"/>
    <n v="37784"/>
    <m/>
    <m/>
    <m/>
    <m/>
    <n v="0"/>
    <m/>
    <m/>
    <n v="0"/>
    <n v="37784"/>
    <n v="37784"/>
    <m/>
    <m/>
    <m/>
    <m/>
    <n v="0"/>
    <m/>
    <m/>
    <n v="0"/>
    <m/>
    <m/>
    <m/>
    <m/>
    <m/>
    <m/>
    <n v="37784"/>
    <n v="37784"/>
  </r>
  <r>
    <x v="11"/>
    <x v="8"/>
    <s v="Lottery Technology (NR)"/>
    <m/>
    <n v="218885"/>
    <x v="6"/>
    <m/>
    <m/>
    <n v="115566"/>
    <n v="245141"/>
    <m/>
    <m/>
    <m/>
    <m/>
    <n v="0"/>
    <m/>
    <m/>
    <n v="0"/>
    <n v="115566"/>
    <n v="245141"/>
    <m/>
    <m/>
    <m/>
    <m/>
    <n v="0"/>
    <m/>
    <m/>
    <n v="0"/>
    <m/>
    <m/>
    <m/>
    <m/>
    <m/>
    <m/>
    <n v="115566"/>
    <n v="245141"/>
  </r>
  <r>
    <x v="11"/>
    <x v="0"/>
    <s v="Trident Technical College "/>
    <m/>
    <n v="218894"/>
    <x v="6"/>
    <n v="13328039"/>
    <n v="13922375"/>
    <m/>
    <m/>
    <n v="10155622"/>
    <n v="10268017"/>
    <n v="59048016"/>
    <n v="5408367"/>
    <n v="64456383"/>
    <n v="59048016"/>
    <n v="5408367"/>
    <n v="64456383"/>
    <n v="82531677"/>
    <n v="83238408"/>
    <m/>
    <m/>
    <m/>
    <m/>
    <n v="0"/>
    <m/>
    <m/>
    <n v="0"/>
    <m/>
    <m/>
    <m/>
    <m/>
    <m/>
    <m/>
    <n v="82531677"/>
    <n v="83238408"/>
  </r>
  <r>
    <x v="11"/>
    <x v="8"/>
    <s v="Special Line items for education operations"/>
    <m/>
    <n v="218894"/>
    <x v="6"/>
    <m/>
    <m/>
    <m/>
    <m/>
    <m/>
    <m/>
    <m/>
    <m/>
    <n v="0"/>
    <m/>
    <m/>
    <n v="0"/>
    <n v="0"/>
    <n v="0"/>
    <m/>
    <m/>
    <m/>
    <m/>
    <n v="0"/>
    <m/>
    <m/>
    <n v="0"/>
    <m/>
    <m/>
    <m/>
    <m/>
    <m/>
    <m/>
    <n v="0"/>
    <n v="0"/>
  </r>
  <r>
    <x v="11"/>
    <x v="8"/>
    <s v="Academic Endowment"/>
    <m/>
    <n v="218894"/>
    <x v="6"/>
    <m/>
    <m/>
    <m/>
    <n v="559"/>
    <m/>
    <m/>
    <m/>
    <m/>
    <n v="0"/>
    <m/>
    <m/>
    <n v="0"/>
    <n v="0"/>
    <n v="559"/>
    <m/>
    <m/>
    <m/>
    <m/>
    <n v="0"/>
    <m/>
    <m/>
    <n v="0"/>
    <m/>
    <m/>
    <m/>
    <m/>
    <m/>
    <m/>
    <n v="0"/>
    <n v="559"/>
  </r>
  <r>
    <x v="11"/>
    <x v="8"/>
    <s v="Deferred Maintenance"/>
    <m/>
    <n v="218894"/>
    <x v="6"/>
    <m/>
    <m/>
    <m/>
    <n v="636739"/>
    <m/>
    <m/>
    <m/>
    <m/>
    <n v="0"/>
    <m/>
    <m/>
    <n v="0"/>
    <n v="0"/>
    <n v="636739"/>
    <m/>
    <m/>
    <m/>
    <m/>
    <n v="0"/>
    <m/>
    <m/>
    <n v="0"/>
    <m/>
    <m/>
    <m/>
    <m/>
    <m/>
    <m/>
    <n v="0"/>
    <n v="636739"/>
  </r>
  <r>
    <x v="11"/>
    <x v="8"/>
    <s v="Capital Reserve and Surplus 90.20"/>
    <m/>
    <n v="218894"/>
    <x v="6"/>
    <m/>
    <m/>
    <m/>
    <n v="500000"/>
    <m/>
    <m/>
    <m/>
    <m/>
    <n v="0"/>
    <m/>
    <m/>
    <n v="0"/>
    <n v="0"/>
    <n v="500000"/>
    <m/>
    <m/>
    <m/>
    <m/>
    <n v="0"/>
    <m/>
    <m/>
    <n v="0"/>
    <m/>
    <m/>
    <m/>
    <m/>
    <m/>
    <m/>
    <n v="0"/>
    <n v="500000"/>
  </r>
  <r>
    <x v="11"/>
    <x v="8"/>
    <s v="Culinary Arts"/>
    <m/>
    <n v="218894"/>
    <x v="6"/>
    <m/>
    <m/>
    <n v="468522"/>
    <n v="468522"/>
    <m/>
    <m/>
    <m/>
    <m/>
    <n v="0"/>
    <m/>
    <m/>
    <n v="0"/>
    <n v="468522"/>
    <n v="468522"/>
    <m/>
    <m/>
    <m/>
    <m/>
    <n v="0"/>
    <m/>
    <m/>
    <n v="0"/>
    <m/>
    <m/>
    <m/>
    <m/>
    <m/>
    <m/>
    <n v="468522"/>
    <n v="468522"/>
  </r>
  <r>
    <x v="11"/>
    <x v="8"/>
    <s v="Pathways to Prosperity"/>
    <m/>
    <n v="218894"/>
    <x v="6"/>
    <m/>
    <m/>
    <n v="37784"/>
    <n v="37784"/>
    <m/>
    <m/>
    <m/>
    <m/>
    <n v="0"/>
    <m/>
    <m/>
    <n v="0"/>
    <n v="37784"/>
    <n v="37784"/>
    <m/>
    <m/>
    <m/>
    <m/>
    <n v="0"/>
    <m/>
    <m/>
    <n v="0"/>
    <m/>
    <m/>
    <m/>
    <m/>
    <m/>
    <m/>
    <n v="37784"/>
    <n v="37784"/>
  </r>
  <r>
    <x v="11"/>
    <x v="8"/>
    <s v="Lottery Technology (NR)"/>
    <m/>
    <n v="218894"/>
    <x v="6"/>
    <m/>
    <m/>
    <n v="246007"/>
    <n v="520536"/>
    <m/>
    <m/>
    <m/>
    <m/>
    <n v="0"/>
    <m/>
    <m/>
    <n v="0"/>
    <n v="246007"/>
    <n v="520536"/>
    <m/>
    <m/>
    <m/>
    <m/>
    <n v="0"/>
    <m/>
    <m/>
    <n v="0"/>
    <m/>
    <m/>
    <m/>
    <m/>
    <m/>
    <m/>
    <n v="246007"/>
    <n v="520536"/>
  </r>
  <r>
    <x v="11"/>
    <x v="0"/>
    <s v="Aiken Technical College "/>
    <m/>
    <n v="217615"/>
    <x v="7"/>
    <n v="3488819"/>
    <n v="3632599"/>
    <m/>
    <m/>
    <n v="1720000"/>
    <n v="1878420"/>
    <n v="11311858"/>
    <n v="574124"/>
    <n v="11885982"/>
    <n v="11311858"/>
    <n v="574124"/>
    <n v="11885982"/>
    <n v="16520677"/>
    <n v="16822877"/>
    <m/>
    <m/>
    <m/>
    <m/>
    <n v="0"/>
    <m/>
    <m/>
    <n v="0"/>
    <m/>
    <m/>
    <m/>
    <m/>
    <m/>
    <m/>
    <n v="16520677"/>
    <n v="16822877"/>
  </r>
  <r>
    <x v="11"/>
    <x v="8"/>
    <s v="Special Line items for education operations"/>
    <m/>
    <n v="217615"/>
    <x v="7"/>
    <m/>
    <m/>
    <m/>
    <m/>
    <m/>
    <m/>
    <m/>
    <m/>
    <n v="0"/>
    <m/>
    <m/>
    <n v="0"/>
    <n v="0"/>
    <n v="0"/>
    <m/>
    <m/>
    <m/>
    <m/>
    <n v="0"/>
    <m/>
    <m/>
    <n v="0"/>
    <m/>
    <m/>
    <m/>
    <m/>
    <m/>
    <m/>
    <n v="0"/>
    <n v="0"/>
  </r>
  <r>
    <x v="11"/>
    <x v="8"/>
    <s v="Academic Endowment"/>
    <m/>
    <n v="217615"/>
    <x v="7"/>
    <m/>
    <m/>
    <m/>
    <n v="748"/>
    <m/>
    <m/>
    <m/>
    <m/>
    <n v="0"/>
    <m/>
    <m/>
    <n v="0"/>
    <n v="0"/>
    <n v="748"/>
    <m/>
    <m/>
    <m/>
    <m/>
    <n v="0"/>
    <m/>
    <m/>
    <n v="0"/>
    <m/>
    <m/>
    <m/>
    <m/>
    <m/>
    <m/>
    <n v="0"/>
    <n v="748"/>
  </r>
  <r>
    <x v="11"/>
    <x v="8"/>
    <s v="Deferred Maintenance"/>
    <m/>
    <n v="217615"/>
    <x v="7"/>
    <m/>
    <m/>
    <m/>
    <n v="201943"/>
    <m/>
    <m/>
    <m/>
    <m/>
    <n v="0"/>
    <m/>
    <m/>
    <n v="0"/>
    <n v="0"/>
    <n v="201943"/>
    <m/>
    <m/>
    <m/>
    <m/>
    <n v="0"/>
    <m/>
    <m/>
    <n v="0"/>
    <m/>
    <m/>
    <m/>
    <m/>
    <m/>
    <m/>
    <n v="0"/>
    <n v="201943"/>
  </r>
  <r>
    <x v="11"/>
    <x v="8"/>
    <s v="Capital Reserve and Surplus 90.20"/>
    <m/>
    <n v="217615"/>
    <x v="7"/>
    <m/>
    <m/>
    <m/>
    <n v="2445000"/>
    <m/>
    <m/>
    <m/>
    <m/>
    <n v="0"/>
    <m/>
    <m/>
    <n v="0"/>
    <n v="0"/>
    <n v="2445000"/>
    <m/>
    <m/>
    <m/>
    <m/>
    <n v="0"/>
    <m/>
    <m/>
    <n v="0"/>
    <m/>
    <m/>
    <m/>
    <m/>
    <m/>
    <m/>
    <n v="0"/>
    <n v="2445000"/>
  </r>
  <r>
    <x v="11"/>
    <x v="8"/>
    <s v="Pathways to Prosperity"/>
    <m/>
    <n v="217615"/>
    <x v="7"/>
    <m/>
    <m/>
    <n v="37784"/>
    <n v="37784"/>
    <m/>
    <m/>
    <m/>
    <m/>
    <n v="0"/>
    <m/>
    <m/>
    <n v="0"/>
    <n v="37784"/>
    <n v="37784"/>
    <m/>
    <m/>
    <m/>
    <m/>
    <n v="0"/>
    <m/>
    <m/>
    <n v="0"/>
    <m/>
    <m/>
    <m/>
    <m/>
    <m/>
    <m/>
    <n v="37784"/>
    <n v="37784"/>
  </r>
  <r>
    <x v="11"/>
    <x v="8"/>
    <s v="Lottery Technology (NR)"/>
    <m/>
    <n v="217615"/>
    <x v="7"/>
    <m/>
    <m/>
    <n v="64030"/>
    <n v="135825"/>
    <m/>
    <m/>
    <m/>
    <m/>
    <n v="0"/>
    <m/>
    <m/>
    <n v="0"/>
    <n v="64030"/>
    <n v="135825"/>
    <m/>
    <m/>
    <m/>
    <m/>
    <n v="0"/>
    <m/>
    <m/>
    <n v="0"/>
    <m/>
    <m/>
    <m/>
    <m/>
    <m/>
    <m/>
    <n v="64030"/>
    <n v="135825"/>
  </r>
  <r>
    <x v="11"/>
    <x v="0"/>
    <s v="Central Carolina Technical College "/>
    <m/>
    <n v="218858"/>
    <x v="7"/>
    <n v="3710572"/>
    <n v="3863388"/>
    <m/>
    <m/>
    <n v="1922441"/>
    <n v="2218907"/>
    <n v="13723143"/>
    <n v="238162"/>
    <n v="13961305"/>
    <n v="13723143"/>
    <n v="238162"/>
    <n v="13961305"/>
    <n v="19356156"/>
    <n v="19805438"/>
    <m/>
    <m/>
    <m/>
    <m/>
    <n v="0"/>
    <m/>
    <m/>
    <n v="0"/>
    <m/>
    <m/>
    <m/>
    <m/>
    <m/>
    <m/>
    <n v="19356156"/>
    <n v="19805438"/>
  </r>
  <r>
    <x v="11"/>
    <x v="8"/>
    <s v="Special Line items for education operations"/>
    <m/>
    <n v="218858"/>
    <x v="7"/>
    <m/>
    <m/>
    <m/>
    <m/>
    <m/>
    <m/>
    <m/>
    <m/>
    <n v="0"/>
    <m/>
    <m/>
    <n v="0"/>
    <n v="0"/>
    <n v="0"/>
    <m/>
    <m/>
    <m/>
    <m/>
    <n v="0"/>
    <m/>
    <m/>
    <n v="0"/>
    <m/>
    <m/>
    <m/>
    <m/>
    <m/>
    <m/>
    <n v="0"/>
    <n v="0"/>
  </r>
  <r>
    <x v="11"/>
    <x v="8"/>
    <s v="Academic Endowment"/>
    <m/>
    <n v="218858"/>
    <x v="7"/>
    <m/>
    <m/>
    <m/>
    <n v="52"/>
    <m/>
    <m/>
    <m/>
    <m/>
    <n v="0"/>
    <m/>
    <m/>
    <n v="0"/>
    <n v="0"/>
    <n v="52"/>
    <m/>
    <m/>
    <m/>
    <m/>
    <n v="0"/>
    <m/>
    <m/>
    <n v="0"/>
    <m/>
    <m/>
    <m/>
    <m/>
    <m/>
    <m/>
    <n v="0"/>
    <n v="52"/>
  </r>
  <r>
    <x v="11"/>
    <x v="8"/>
    <s v="Deferred Maintenance"/>
    <m/>
    <n v="218858"/>
    <x v="7"/>
    <m/>
    <m/>
    <m/>
    <n v="241455"/>
    <m/>
    <m/>
    <m/>
    <m/>
    <n v="0"/>
    <m/>
    <m/>
    <n v="0"/>
    <n v="0"/>
    <n v="241455"/>
    <m/>
    <m/>
    <m/>
    <m/>
    <n v="0"/>
    <m/>
    <m/>
    <n v="0"/>
    <m/>
    <m/>
    <m/>
    <m/>
    <m/>
    <m/>
    <n v="0"/>
    <n v="241455"/>
  </r>
  <r>
    <x v="11"/>
    <x v="8"/>
    <s v="Capital Reserve and Surplus 90.20"/>
    <m/>
    <n v="218858"/>
    <x v="7"/>
    <m/>
    <m/>
    <m/>
    <n v="3900000"/>
    <m/>
    <m/>
    <m/>
    <m/>
    <n v="0"/>
    <m/>
    <m/>
    <n v="0"/>
    <n v="0"/>
    <n v="3900000"/>
    <m/>
    <m/>
    <m/>
    <m/>
    <n v="0"/>
    <m/>
    <m/>
    <n v="0"/>
    <m/>
    <m/>
    <m/>
    <m/>
    <m/>
    <m/>
    <n v="0"/>
    <n v="3900000"/>
  </r>
  <r>
    <x v="11"/>
    <x v="8"/>
    <s v="Pathways to Prosperity"/>
    <m/>
    <n v="218858"/>
    <x v="7"/>
    <m/>
    <m/>
    <n v="37784"/>
    <n v="37784"/>
    <m/>
    <m/>
    <m/>
    <m/>
    <n v="0"/>
    <m/>
    <m/>
    <n v="0"/>
    <n v="37784"/>
    <n v="37784"/>
    <m/>
    <m/>
    <m/>
    <m/>
    <n v="0"/>
    <m/>
    <m/>
    <n v="0"/>
    <m/>
    <m/>
    <m/>
    <m/>
    <m/>
    <m/>
    <n v="37784"/>
    <n v="37784"/>
  </r>
  <r>
    <x v="11"/>
    <x v="8"/>
    <s v="Lottery Technology (NR)"/>
    <m/>
    <n v="218858"/>
    <x v="7"/>
    <m/>
    <m/>
    <n v="67957"/>
    <n v="144133"/>
    <m/>
    <m/>
    <m/>
    <m/>
    <n v="0"/>
    <m/>
    <m/>
    <n v="0"/>
    <n v="67957"/>
    <n v="144133"/>
    <m/>
    <m/>
    <m/>
    <m/>
    <n v="0"/>
    <m/>
    <m/>
    <n v="0"/>
    <m/>
    <m/>
    <m/>
    <m/>
    <m/>
    <m/>
    <n v="67957"/>
    <n v="144133"/>
  </r>
  <r>
    <x v="11"/>
    <x v="0"/>
    <s v="Florence-Darlington Technical College "/>
    <s v="Reclassified: met the criteria for Two-Year 1 in 2010-11, 2011-12, and 2012-13."/>
    <n v="218025"/>
    <x v="6"/>
    <n v="5604388"/>
    <n v="5840329"/>
    <m/>
    <m/>
    <n v="4989787"/>
    <n v="4885289"/>
    <n v="18793319"/>
    <n v="2926067"/>
    <n v="21719386"/>
    <n v="18793319"/>
    <n v="2926067"/>
    <n v="21719386"/>
    <n v="29387494"/>
    <n v="29518937"/>
    <m/>
    <m/>
    <m/>
    <m/>
    <n v="0"/>
    <m/>
    <m/>
    <n v="0"/>
    <m/>
    <m/>
    <m/>
    <m/>
    <m/>
    <m/>
    <n v="29387494"/>
    <n v="29518937"/>
  </r>
  <r>
    <x v="11"/>
    <x v="8"/>
    <s v="Special Line items for education operations"/>
    <m/>
    <n v="218025"/>
    <x v="6"/>
    <m/>
    <m/>
    <m/>
    <m/>
    <m/>
    <m/>
    <m/>
    <m/>
    <n v="0"/>
    <m/>
    <m/>
    <n v="0"/>
    <n v="0"/>
    <n v="0"/>
    <m/>
    <m/>
    <m/>
    <m/>
    <n v="0"/>
    <m/>
    <m/>
    <n v="0"/>
    <m/>
    <m/>
    <m/>
    <m/>
    <m/>
    <m/>
    <n v="0"/>
    <n v="0"/>
  </r>
  <r>
    <x v="11"/>
    <x v="8"/>
    <s v="Academic Endowment"/>
    <m/>
    <n v="218025"/>
    <x v="6"/>
    <m/>
    <m/>
    <m/>
    <n v="203"/>
    <m/>
    <m/>
    <m/>
    <m/>
    <n v="0"/>
    <m/>
    <m/>
    <n v="0"/>
    <n v="0"/>
    <n v="203"/>
    <m/>
    <m/>
    <m/>
    <m/>
    <n v="0"/>
    <m/>
    <m/>
    <n v="0"/>
    <m/>
    <m/>
    <m/>
    <m/>
    <m/>
    <m/>
    <n v="0"/>
    <n v="203"/>
  </r>
  <r>
    <x v="11"/>
    <x v="8"/>
    <s v="Deferred Maintenance"/>
    <m/>
    <n v="218025"/>
    <x v="6"/>
    <m/>
    <m/>
    <m/>
    <n v="410847"/>
    <m/>
    <m/>
    <m/>
    <m/>
    <n v="0"/>
    <m/>
    <m/>
    <n v="0"/>
    <n v="0"/>
    <n v="410847"/>
    <m/>
    <m/>
    <m/>
    <m/>
    <n v="0"/>
    <m/>
    <m/>
    <n v="0"/>
    <m/>
    <m/>
    <m/>
    <m/>
    <m/>
    <m/>
    <n v="0"/>
    <n v="410847"/>
  </r>
  <r>
    <x v="11"/>
    <x v="8"/>
    <s v="SIMT"/>
    <m/>
    <n v="218025"/>
    <x v="6"/>
    <m/>
    <m/>
    <n v="1209088"/>
    <n v="1209088"/>
    <m/>
    <m/>
    <m/>
    <m/>
    <n v="0"/>
    <m/>
    <m/>
    <n v="0"/>
    <n v="1209088"/>
    <n v="1209088"/>
    <m/>
    <m/>
    <m/>
    <m/>
    <n v="0"/>
    <m/>
    <m/>
    <n v="0"/>
    <m/>
    <m/>
    <m/>
    <m/>
    <m/>
    <m/>
    <n v="1209088"/>
    <n v="1209088"/>
  </r>
  <r>
    <x v="11"/>
    <x v="8"/>
    <s v="Pathways to Prosperity"/>
    <m/>
    <n v="218025"/>
    <x v="6"/>
    <m/>
    <m/>
    <n v="37784"/>
    <n v="37784"/>
    <m/>
    <m/>
    <m/>
    <m/>
    <n v="0"/>
    <m/>
    <m/>
    <n v="0"/>
    <n v="37784"/>
    <n v="37784"/>
    <m/>
    <m/>
    <m/>
    <m/>
    <n v="0"/>
    <m/>
    <m/>
    <n v="0"/>
    <m/>
    <m/>
    <m/>
    <m/>
    <m/>
    <m/>
    <n v="37784"/>
    <n v="37784"/>
  </r>
  <r>
    <x v="11"/>
    <x v="8"/>
    <s v="Lottery Technology (NR)"/>
    <m/>
    <n v="218025"/>
    <x v="6"/>
    <m/>
    <m/>
    <n v="103052"/>
    <n v="218489"/>
    <m/>
    <m/>
    <m/>
    <m/>
    <n v="0"/>
    <m/>
    <m/>
    <n v="0"/>
    <n v="103052"/>
    <n v="218489"/>
    <m/>
    <m/>
    <m/>
    <m/>
    <n v="0"/>
    <m/>
    <m/>
    <n v="0"/>
    <m/>
    <m/>
    <m/>
    <m/>
    <m/>
    <m/>
    <n v="103052"/>
    <n v="218489"/>
  </r>
  <r>
    <x v="11"/>
    <x v="0"/>
    <s v="Orangeburg-Calhoun Technical College "/>
    <m/>
    <n v="218487"/>
    <x v="7"/>
    <n v="3644499"/>
    <n v="3807018"/>
    <m/>
    <m/>
    <n v="1613231"/>
    <n v="1374948"/>
    <n v="10537141"/>
    <n v="0"/>
    <n v="10537141"/>
    <n v="10537141"/>
    <n v="0"/>
    <n v="10537141"/>
    <n v="15794871"/>
    <n v="15719107"/>
    <m/>
    <m/>
    <m/>
    <m/>
    <n v="0"/>
    <m/>
    <m/>
    <n v="0"/>
    <m/>
    <m/>
    <m/>
    <m/>
    <m/>
    <m/>
    <n v="15794871"/>
    <n v="15719107"/>
  </r>
  <r>
    <x v="11"/>
    <x v="8"/>
    <s v="Special Line items for education operations"/>
    <m/>
    <n v="218487"/>
    <x v="7"/>
    <m/>
    <m/>
    <m/>
    <m/>
    <m/>
    <m/>
    <m/>
    <m/>
    <n v="0"/>
    <m/>
    <m/>
    <n v="0"/>
    <n v="0"/>
    <n v="0"/>
    <m/>
    <m/>
    <m/>
    <m/>
    <n v="0"/>
    <m/>
    <m/>
    <n v="0"/>
    <m/>
    <m/>
    <m/>
    <m/>
    <m/>
    <m/>
    <n v="0"/>
    <n v="0"/>
  </r>
  <r>
    <x v="11"/>
    <x v="8"/>
    <s v="Academic Endowment"/>
    <m/>
    <n v="218487"/>
    <x v="7"/>
    <m/>
    <m/>
    <m/>
    <n v="67"/>
    <m/>
    <m/>
    <m/>
    <m/>
    <n v="0"/>
    <m/>
    <m/>
    <n v="0"/>
    <n v="0"/>
    <n v="67"/>
    <m/>
    <m/>
    <m/>
    <m/>
    <n v="0"/>
    <m/>
    <m/>
    <n v="0"/>
    <m/>
    <m/>
    <m/>
    <m/>
    <m/>
    <m/>
    <n v="0"/>
    <n v="67"/>
  </r>
  <r>
    <x v="11"/>
    <x v="8"/>
    <s v="Deferred Maintenance"/>
    <m/>
    <n v="218487"/>
    <x v="7"/>
    <m/>
    <m/>
    <m/>
    <n v="164322"/>
    <m/>
    <m/>
    <m/>
    <m/>
    <n v="0"/>
    <m/>
    <m/>
    <n v="0"/>
    <n v="0"/>
    <n v="164322"/>
    <m/>
    <m/>
    <m/>
    <m/>
    <n v="0"/>
    <m/>
    <m/>
    <n v="0"/>
    <m/>
    <m/>
    <m/>
    <m/>
    <m/>
    <m/>
    <n v="0"/>
    <n v="164322"/>
  </r>
  <r>
    <x v="11"/>
    <x v="8"/>
    <s v="Capital Reserve and Surplus 90.20"/>
    <m/>
    <n v="218487"/>
    <x v="7"/>
    <m/>
    <m/>
    <m/>
    <n v="500000"/>
    <m/>
    <m/>
    <m/>
    <m/>
    <n v="0"/>
    <m/>
    <m/>
    <n v="0"/>
    <n v="0"/>
    <n v="500000"/>
    <m/>
    <m/>
    <m/>
    <m/>
    <n v="0"/>
    <m/>
    <m/>
    <n v="0"/>
    <m/>
    <m/>
    <m/>
    <m/>
    <m/>
    <m/>
    <n v="0"/>
    <n v="500000"/>
  </r>
  <r>
    <x v="11"/>
    <x v="8"/>
    <s v="Pathways to Prosperity"/>
    <m/>
    <n v="218487"/>
    <x v="7"/>
    <m/>
    <m/>
    <n v="37784"/>
    <n v="37784"/>
    <m/>
    <m/>
    <m/>
    <m/>
    <n v="0"/>
    <m/>
    <m/>
    <n v="0"/>
    <n v="37784"/>
    <n v="37784"/>
    <m/>
    <m/>
    <m/>
    <m/>
    <n v="0"/>
    <m/>
    <m/>
    <n v="0"/>
    <m/>
    <m/>
    <m/>
    <m/>
    <m/>
    <m/>
    <n v="37784"/>
    <n v="37784"/>
  </r>
  <r>
    <x v="11"/>
    <x v="8"/>
    <s v="Lottery Technology (NR)"/>
    <m/>
    <n v="218487"/>
    <x v="7"/>
    <m/>
    <m/>
    <n v="67157"/>
    <n v="142062"/>
    <m/>
    <m/>
    <m/>
    <m/>
    <n v="0"/>
    <m/>
    <m/>
    <n v="0"/>
    <n v="67157"/>
    <n v="142062"/>
    <m/>
    <m/>
    <m/>
    <m/>
    <n v="0"/>
    <m/>
    <m/>
    <n v="0"/>
    <m/>
    <m/>
    <m/>
    <m/>
    <m/>
    <m/>
    <n v="67157"/>
    <n v="142062"/>
  </r>
  <r>
    <x v="11"/>
    <x v="0"/>
    <s v="Piedmont Technical College "/>
    <s v="Reclassified: met the criteria for Two-Year 1 in 2010-11, 2011-12, and 2012-13."/>
    <n v="218520"/>
    <x v="6"/>
    <n v="6118677"/>
    <n v="6370397"/>
    <m/>
    <m/>
    <n v="2497957"/>
    <n v="1968467"/>
    <n v="21409447"/>
    <n v="0"/>
    <n v="21409447"/>
    <n v="21409447"/>
    <n v="0"/>
    <n v="21409447"/>
    <n v="30026081"/>
    <n v="29748311"/>
    <m/>
    <m/>
    <m/>
    <m/>
    <n v="0"/>
    <m/>
    <m/>
    <n v="0"/>
    <m/>
    <m/>
    <m/>
    <m/>
    <m/>
    <m/>
    <n v="30026081"/>
    <n v="29748311"/>
  </r>
  <r>
    <x v="11"/>
    <x v="8"/>
    <s v="Special Line items for education operations"/>
    <m/>
    <n v="218520"/>
    <x v="6"/>
    <m/>
    <m/>
    <m/>
    <m/>
    <m/>
    <m/>
    <m/>
    <m/>
    <n v="0"/>
    <m/>
    <m/>
    <n v="0"/>
    <n v="0"/>
    <n v="0"/>
    <m/>
    <m/>
    <m/>
    <m/>
    <n v="0"/>
    <m/>
    <m/>
    <n v="0"/>
    <m/>
    <m/>
    <m/>
    <m/>
    <m/>
    <m/>
    <n v="0"/>
    <n v="0"/>
  </r>
  <r>
    <x v="11"/>
    <x v="8"/>
    <s v="Academic Endowment"/>
    <m/>
    <n v="218520"/>
    <x v="6"/>
    <m/>
    <m/>
    <m/>
    <n v="159"/>
    <m/>
    <m/>
    <m/>
    <m/>
    <n v="0"/>
    <m/>
    <m/>
    <n v="0"/>
    <n v="0"/>
    <n v="159"/>
    <m/>
    <m/>
    <m/>
    <m/>
    <n v="0"/>
    <m/>
    <m/>
    <n v="0"/>
    <m/>
    <m/>
    <m/>
    <m/>
    <m/>
    <m/>
    <n v="0"/>
    <n v="159"/>
  </r>
  <r>
    <x v="11"/>
    <x v="8"/>
    <s v="Deferred Maintenance"/>
    <m/>
    <n v="218520"/>
    <x v="6"/>
    <m/>
    <m/>
    <m/>
    <n v="325835"/>
    <m/>
    <m/>
    <m/>
    <m/>
    <n v="0"/>
    <m/>
    <m/>
    <n v="0"/>
    <n v="0"/>
    <n v="325835"/>
    <m/>
    <m/>
    <m/>
    <m/>
    <n v="0"/>
    <m/>
    <m/>
    <n v="0"/>
    <m/>
    <m/>
    <m/>
    <m/>
    <m/>
    <m/>
    <n v="0"/>
    <n v="325835"/>
  </r>
  <r>
    <x v="11"/>
    <x v="8"/>
    <s v="Pathways to Prosperity"/>
    <m/>
    <n v="218520"/>
    <x v="6"/>
    <m/>
    <m/>
    <n v="37784"/>
    <n v="37784"/>
    <m/>
    <m/>
    <m/>
    <m/>
    <n v="0"/>
    <m/>
    <m/>
    <n v="0"/>
    <n v="37784"/>
    <n v="37784"/>
    <m/>
    <m/>
    <m/>
    <m/>
    <n v="0"/>
    <m/>
    <m/>
    <n v="0"/>
    <m/>
    <m/>
    <m/>
    <m/>
    <m/>
    <m/>
    <n v="37784"/>
    <n v="37784"/>
  </r>
  <r>
    <x v="11"/>
    <x v="8"/>
    <s v="Lottery Technology (NR)"/>
    <m/>
    <n v="218520"/>
    <x v="6"/>
    <m/>
    <m/>
    <n v="111900"/>
    <n v="237342"/>
    <m/>
    <m/>
    <m/>
    <m/>
    <n v="0"/>
    <m/>
    <m/>
    <n v="0"/>
    <n v="111900"/>
    <n v="237342"/>
    <m/>
    <m/>
    <m/>
    <m/>
    <n v="0"/>
    <m/>
    <m/>
    <n v="0"/>
    <m/>
    <m/>
    <m/>
    <m/>
    <m/>
    <m/>
    <n v="111900"/>
    <n v="237342"/>
  </r>
  <r>
    <x v="11"/>
    <x v="0"/>
    <s v="Spartanburg Community College "/>
    <m/>
    <n v="218830"/>
    <x v="7"/>
    <n v="5737439"/>
    <n v="5974976"/>
    <m/>
    <m/>
    <n v="4872508"/>
    <n v="5182712"/>
    <n v="22372014"/>
    <n v="1919838"/>
    <n v="24291852"/>
    <n v="22372014"/>
    <n v="1919838"/>
    <n v="24291852"/>
    <n v="32981961"/>
    <n v="33529702"/>
    <m/>
    <m/>
    <m/>
    <m/>
    <n v="0"/>
    <m/>
    <m/>
    <n v="0"/>
    <m/>
    <m/>
    <m/>
    <m/>
    <m/>
    <m/>
    <n v="32981961"/>
    <n v="33529702"/>
  </r>
  <r>
    <x v="11"/>
    <x v="8"/>
    <s v="Special Line items for education operations"/>
    <m/>
    <n v="218830"/>
    <x v="7"/>
    <m/>
    <m/>
    <m/>
    <m/>
    <m/>
    <m/>
    <m/>
    <m/>
    <n v="0"/>
    <m/>
    <m/>
    <n v="0"/>
    <n v="0"/>
    <n v="0"/>
    <m/>
    <m/>
    <m/>
    <m/>
    <n v="0"/>
    <m/>
    <m/>
    <n v="0"/>
    <m/>
    <m/>
    <m/>
    <m/>
    <m/>
    <m/>
    <n v="0"/>
    <n v="0"/>
  </r>
  <r>
    <x v="11"/>
    <x v="8"/>
    <s v="Academic Endowment"/>
    <m/>
    <n v="218830"/>
    <x v="7"/>
    <m/>
    <m/>
    <m/>
    <n v="281"/>
    <m/>
    <m/>
    <m/>
    <m/>
    <n v="0"/>
    <m/>
    <m/>
    <n v="0"/>
    <n v="0"/>
    <n v="281"/>
    <m/>
    <m/>
    <m/>
    <m/>
    <n v="0"/>
    <m/>
    <m/>
    <n v="0"/>
    <m/>
    <m/>
    <m/>
    <m/>
    <m/>
    <m/>
    <n v="0"/>
    <n v="281"/>
  </r>
  <r>
    <x v="11"/>
    <x v="8"/>
    <s v="Deferred Maintenance"/>
    <m/>
    <n v="218830"/>
    <x v="7"/>
    <m/>
    <m/>
    <m/>
    <n v="416957"/>
    <m/>
    <m/>
    <m/>
    <m/>
    <n v="0"/>
    <m/>
    <m/>
    <n v="0"/>
    <n v="0"/>
    <n v="416957"/>
    <m/>
    <m/>
    <m/>
    <m/>
    <n v="0"/>
    <m/>
    <m/>
    <n v="0"/>
    <m/>
    <m/>
    <m/>
    <m/>
    <m/>
    <m/>
    <n v="0"/>
    <n v="416957"/>
  </r>
  <r>
    <x v="11"/>
    <x v="8"/>
    <s v="Capital Reserve and Surplus 90.20"/>
    <m/>
    <n v="218830"/>
    <x v="7"/>
    <m/>
    <m/>
    <m/>
    <n v="3500000"/>
    <m/>
    <m/>
    <m/>
    <m/>
    <n v="0"/>
    <m/>
    <m/>
    <n v="0"/>
    <n v="0"/>
    <n v="3500000"/>
    <m/>
    <m/>
    <m/>
    <m/>
    <n v="0"/>
    <m/>
    <m/>
    <n v="0"/>
    <m/>
    <m/>
    <m/>
    <m/>
    <m/>
    <m/>
    <n v="0"/>
    <n v="3500000"/>
  </r>
  <r>
    <x v="11"/>
    <x v="8"/>
    <s v="Spartanburg-Cherokee Expansion"/>
    <m/>
    <n v="218830"/>
    <x v="7"/>
    <m/>
    <m/>
    <n v="906816"/>
    <n v="906816"/>
    <m/>
    <m/>
    <m/>
    <m/>
    <n v="0"/>
    <m/>
    <m/>
    <n v="0"/>
    <n v="906816"/>
    <n v="906816"/>
    <m/>
    <m/>
    <m/>
    <m/>
    <n v="0"/>
    <m/>
    <m/>
    <n v="0"/>
    <m/>
    <m/>
    <m/>
    <m/>
    <m/>
    <m/>
    <n v="906816"/>
    <n v="906816"/>
  </r>
  <r>
    <x v="11"/>
    <x v="8"/>
    <s v="Pathways to Prosperity"/>
    <m/>
    <n v="218830"/>
    <x v="7"/>
    <m/>
    <m/>
    <n v="37784"/>
    <n v="37784"/>
    <m/>
    <m/>
    <m/>
    <m/>
    <n v="0"/>
    <m/>
    <m/>
    <n v="0"/>
    <n v="37784"/>
    <n v="37784"/>
    <m/>
    <m/>
    <m/>
    <m/>
    <n v="0"/>
    <m/>
    <m/>
    <n v="0"/>
    <m/>
    <m/>
    <m/>
    <m/>
    <m/>
    <m/>
    <n v="37784"/>
    <n v="37784"/>
  </r>
  <r>
    <x v="11"/>
    <x v="8"/>
    <s v="Lottery Technology (NR)"/>
    <m/>
    <n v="218830"/>
    <x v="7"/>
    <m/>
    <m/>
    <n v="105608"/>
    <n v="224001"/>
    <m/>
    <m/>
    <m/>
    <m/>
    <n v="0"/>
    <m/>
    <m/>
    <n v="0"/>
    <n v="105608"/>
    <n v="224001"/>
    <m/>
    <m/>
    <m/>
    <m/>
    <n v="0"/>
    <m/>
    <m/>
    <n v="0"/>
    <m/>
    <m/>
    <m/>
    <m/>
    <m/>
    <m/>
    <n v="105608"/>
    <n v="224001"/>
  </r>
  <r>
    <x v="11"/>
    <x v="0"/>
    <s v="York Technical College "/>
    <m/>
    <n v="218991"/>
    <x v="7"/>
    <n v="5386195"/>
    <n v="5608367"/>
    <m/>
    <m/>
    <n v="4235326"/>
    <n v="4357480"/>
    <n v="21710352"/>
    <n v="0"/>
    <n v="21710352"/>
    <n v="21710352"/>
    <n v="0"/>
    <n v="21710352"/>
    <n v="31331873"/>
    <n v="31676199"/>
    <m/>
    <m/>
    <m/>
    <m/>
    <n v="0"/>
    <m/>
    <m/>
    <n v="0"/>
    <m/>
    <m/>
    <m/>
    <m/>
    <m/>
    <m/>
    <n v="31331873"/>
    <n v="31676199"/>
  </r>
  <r>
    <x v="11"/>
    <x v="8"/>
    <s v="Special Line items for education operations"/>
    <m/>
    <n v="218991"/>
    <x v="7"/>
    <m/>
    <m/>
    <m/>
    <m/>
    <m/>
    <m/>
    <m/>
    <m/>
    <n v="0"/>
    <m/>
    <m/>
    <n v="0"/>
    <n v="0"/>
    <n v="0"/>
    <m/>
    <m/>
    <m/>
    <m/>
    <n v="0"/>
    <m/>
    <m/>
    <n v="0"/>
    <m/>
    <m/>
    <m/>
    <m/>
    <m/>
    <m/>
    <n v="0"/>
    <n v="0"/>
  </r>
  <r>
    <x v="11"/>
    <x v="8"/>
    <s v="Academic Endowment"/>
    <m/>
    <n v="218991"/>
    <x v="7"/>
    <m/>
    <m/>
    <m/>
    <n v="558"/>
    <m/>
    <m/>
    <m/>
    <m/>
    <n v="0"/>
    <m/>
    <m/>
    <n v="0"/>
    <n v="0"/>
    <n v="558"/>
    <m/>
    <m/>
    <m/>
    <m/>
    <n v="0"/>
    <m/>
    <m/>
    <n v="0"/>
    <m/>
    <m/>
    <m/>
    <m/>
    <m/>
    <m/>
    <n v="0"/>
    <n v="558"/>
  </r>
  <r>
    <x v="11"/>
    <x v="8"/>
    <s v="Deferred Maintenance"/>
    <m/>
    <n v="218991"/>
    <x v="7"/>
    <m/>
    <m/>
    <m/>
    <n v="288882"/>
    <m/>
    <m/>
    <m/>
    <m/>
    <n v="0"/>
    <m/>
    <m/>
    <n v="0"/>
    <n v="0"/>
    <n v="288882"/>
    <m/>
    <m/>
    <m/>
    <m/>
    <n v="0"/>
    <m/>
    <m/>
    <n v="0"/>
    <m/>
    <m/>
    <m/>
    <m/>
    <m/>
    <m/>
    <n v="0"/>
    <n v="288882"/>
  </r>
  <r>
    <x v="11"/>
    <x v="8"/>
    <s v="Pathways to Prosperity"/>
    <m/>
    <n v="218991"/>
    <x v="7"/>
    <m/>
    <m/>
    <n v="37784"/>
    <n v="37784"/>
    <m/>
    <m/>
    <m/>
    <m/>
    <n v="0"/>
    <m/>
    <m/>
    <n v="0"/>
    <n v="37784"/>
    <n v="37784"/>
    <m/>
    <m/>
    <m/>
    <m/>
    <n v="0"/>
    <m/>
    <m/>
    <n v="0"/>
    <m/>
    <m/>
    <m/>
    <m/>
    <m/>
    <m/>
    <n v="37784"/>
    <n v="37784"/>
  </r>
  <r>
    <x v="11"/>
    <x v="8"/>
    <s v="Lottery Technology (NR)"/>
    <m/>
    <n v="218991"/>
    <x v="7"/>
    <m/>
    <m/>
    <n v="99003"/>
    <n v="209974"/>
    <m/>
    <m/>
    <m/>
    <m/>
    <n v="0"/>
    <m/>
    <m/>
    <n v="0"/>
    <n v="99003"/>
    <n v="209974"/>
    <m/>
    <m/>
    <m/>
    <m/>
    <n v="0"/>
    <m/>
    <m/>
    <n v="0"/>
    <m/>
    <m/>
    <m/>
    <m/>
    <m/>
    <m/>
    <n v="99003"/>
    <n v="209974"/>
  </r>
  <r>
    <x v="11"/>
    <x v="0"/>
    <s v="Denmark Technical College "/>
    <s v="Met the criteria for Two-Year 2 in 2012-13."/>
    <n v="217989"/>
    <x v="8"/>
    <n v="2315598"/>
    <n v="2241916"/>
    <m/>
    <m/>
    <n v="3000"/>
    <n v="5500"/>
    <n v="2521606"/>
    <n v="0"/>
    <n v="2521606"/>
    <n v="2521606"/>
    <n v="0"/>
    <n v="2521606"/>
    <n v="4840204"/>
    <n v="4769022"/>
    <m/>
    <m/>
    <m/>
    <m/>
    <n v="0"/>
    <m/>
    <m/>
    <n v="0"/>
    <m/>
    <m/>
    <m/>
    <m/>
    <m/>
    <m/>
    <n v="4840204"/>
    <n v="4769022"/>
  </r>
  <r>
    <x v="11"/>
    <x v="8"/>
    <s v="Special Line items for education operations"/>
    <m/>
    <n v="217989"/>
    <x v="8"/>
    <m/>
    <m/>
    <m/>
    <m/>
    <m/>
    <m/>
    <m/>
    <m/>
    <n v="0"/>
    <m/>
    <m/>
    <n v="0"/>
    <n v="0"/>
    <n v="0"/>
    <m/>
    <m/>
    <m/>
    <m/>
    <n v="0"/>
    <m/>
    <m/>
    <n v="0"/>
    <m/>
    <m/>
    <m/>
    <m/>
    <m/>
    <m/>
    <n v="0"/>
    <n v="0"/>
  </r>
  <r>
    <x v="11"/>
    <x v="8"/>
    <s v="Deferred Maintenance"/>
    <m/>
    <n v="217989"/>
    <x v="8"/>
    <m/>
    <m/>
    <m/>
    <n v="154403"/>
    <m/>
    <m/>
    <m/>
    <m/>
    <n v="0"/>
    <m/>
    <m/>
    <n v="0"/>
    <n v="0"/>
    <n v="154403"/>
    <m/>
    <m/>
    <m/>
    <m/>
    <n v="0"/>
    <m/>
    <m/>
    <n v="0"/>
    <m/>
    <m/>
    <m/>
    <m/>
    <m/>
    <m/>
    <n v="0"/>
    <n v="154403"/>
  </r>
  <r>
    <x v="11"/>
    <x v="8"/>
    <s v="Capital Reserve and Surplus 90.20"/>
    <m/>
    <n v="217989"/>
    <x v="8"/>
    <m/>
    <m/>
    <m/>
    <n v="250000"/>
    <m/>
    <m/>
    <m/>
    <m/>
    <n v="0"/>
    <m/>
    <m/>
    <n v="0"/>
    <n v="0"/>
    <n v="250000"/>
    <m/>
    <m/>
    <m/>
    <m/>
    <n v="0"/>
    <m/>
    <m/>
    <n v="0"/>
    <m/>
    <m/>
    <m/>
    <m/>
    <m/>
    <m/>
    <n v="0"/>
    <n v="250000"/>
  </r>
  <r>
    <x v="11"/>
    <x v="8"/>
    <s v="Pathways to Prosperity"/>
    <m/>
    <n v="217989"/>
    <x v="8"/>
    <m/>
    <m/>
    <n v="37784"/>
    <n v="37784"/>
    <m/>
    <m/>
    <m/>
    <m/>
    <n v="0"/>
    <m/>
    <m/>
    <n v="0"/>
    <n v="37784"/>
    <n v="37784"/>
    <m/>
    <m/>
    <m/>
    <m/>
    <n v="0"/>
    <m/>
    <m/>
    <n v="0"/>
    <m/>
    <m/>
    <m/>
    <m/>
    <m/>
    <m/>
    <n v="37784"/>
    <n v="37784"/>
  </r>
  <r>
    <x v="11"/>
    <x v="8"/>
    <s v="Lottery Technology (NR)"/>
    <m/>
    <n v="217989"/>
    <x v="8"/>
    <m/>
    <m/>
    <n v="43278"/>
    <n v="95295"/>
    <m/>
    <m/>
    <m/>
    <m/>
    <n v="0"/>
    <m/>
    <m/>
    <n v="0"/>
    <n v="43278"/>
    <n v="95295"/>
    <m/>
    <m/>
    <m/>
    <m/>
    <n v="0"/>
    <m/>
    <m/>
    <n v="0"/>
    <m/>
    <m/>
    <m/>
    <m/>
    <m/>
    <m/>
    <n v="43278"/>
    <n v="95295"/>
  </r>
  <r>
    <x v="11"/>
    <x v="0"/>
    <s v="Northeastern Technical College"/>
    <m/>
    <n v="217837"/>
    <x v="8"/>
    <n v="1613520"/>
    <n v="1675221"/>
    <m/>
    <m/>
    <n v="703825"/>
    <n v="720680"/>
    <n v="3935478"/>
    <n v="0"/>
    <n v="3935478"/>
    <n v="3935478"/>
    <n v="0"/>
    <n v="3935478"/>
    <n v="6252823"/>
    <n v="6331379"/>
    <m/>
    <m/>
    <m/>
    <m/>
    <n v="0"/>
    <m/>
    <m/>
    <n v="0"/>
    <m/>
    <m/>
    <m/>
    <m/>
    <m/>
    <m/>
    <n v="6252823"/>
    <n v="6331379"/>
  </r>
  <r>
    <x v="11"/>
    <x v="8"/>
    <s v="Special Line items for education operations"/>
    <m/>
    <n v="217837"/>
    <x v="8"/>
    <m/>
    <m/>
    <m/>
    <m/>
    <m/>
    <m/>
    <m/>
    <m/>
    <n v="0"/>
    <m/>
    <m/>
    <n v="0"/>
    <n v="0"/>
    <n v="0"/>
    <m/>
    <m/>
    <m/>
    <m/>
    <n v="0"/>
    <m/>
    <m/>
    <n v="0"/>
    <m/>
    <m/>
    <m/>
    <m/>
    <m/>
    <m/>
    <n v="0"/>
    <n v="0"/>
  </r>
  <r>
    <x v="11"/>
    <x v="8"/>
    <s v="Academic Endowment"/>
    <m/>
    <n v="217837"/>
    <x v="8"/>
    <m/>
    <m/>
    <m/>
    <n v="13"/>
    <m/>
    <m/>
    <m/>
    <m/>
    <n v="0"/>
    <m/>
    <m/>
    <n v="0"/>
    <n v="0"/>
    <n v="13"/>
    <m/>
    <m/>
    <m/>
    <m/>
    <n v="0"/>
    <m/>
    <m/>
    <n v="0"/>
    <m/>
    <m/>
    <m/>
    <m/>
    <m/>
    <m/>
    <n v="0"/>
    <n v="13"/>
  </r>
  <r>
    <x v="11"/>
    <x v="8"/>
    <s v="Deferred Maintenance"/>
    <m/>
    <n v="217837"/>
    <x v="8"/>
    <m/>
    <m/>
    <m/>
    <n v="98699"/>
    <m/>
    <m/>
    <m/>
    <m/>
    <n v="0"/>
    <m/>
    <m/>
    <n v="0"/>
    <n v="0"/>
    <n v="98699"/>
    <m/>
    <m/>
    <m/>
    <m/>
    <n v="0"/>
    <m/>
    <m/>
    <n v="0"/>
    <m/>
    <m/>
    <m/>
    <m/>
    <m/>
    <m/>
    <n v="0"/>
    <n v="98699"/>
  </r>
  <r>
    <x v="11"/>
    <x v="8"/>
    <s v="Pathways to Prosperity"/>
    <m/>
    <n v="217837"/>
    <x v="8"/>
    <m/>
    <m/>
    <n v="37784"/>
    <n v="37784"/>
    <m/>
    <m/>
    <m/>
    <m/>
    <n v="0"/>
    <m/>
    <m/>
    <n v="0"/>
    <n v="37784"/>
    <n v="37784"/>
    <m/>
    <m/>
    <m/>
    <m/>
    <n v="0"/>
    <m/>
    <m/>
    <n v="0"/>
    <m/>
    <m/>
    <m/>
    <m/>
    <m/>
    <m/>
    <n v="37784"/>
    <n v="37784"/>
  </r>
  <r>
    <x v="11"/>
    <x v="8"/>
    <s v="Lottery Technology (NR)"/>
    <m/>
    <n v="217837"/>
    <x v="8"/>
    <m/>
    <m/>
    <n v="43278"/>
    <n v="95295"/>
    <m/>
    <m/>
    <m/>
    <m/>
    <n v="0"/>
    <m/>
    <m/>
    <n v="0"/>
    <n v="43278"/>
    <n v="95295"/>
    <m/>
    <m/>
    <m/>
    <m/>
    <n v="0"/>
    <m/>
    <m/>
    <n v="0"/>
    <m/>
    <m/>
    <m/>
    <m/>
    <m/>
    <m/>
    <n v="43278"/>
    <n v="95295"/>
  </r>
  <r>
    <x v="11"/>
    <x v="0"/>
    <s v="Technical College of the Lowcountry"/>
    <m/>
    <n v="217712"/>
    <x v="8"/>
    <n v="2809081"/>
    <n v="2769043"/>
    <m/>
    <m/>
    <n v="2490430"/>
    <n v="2069000"/>
    <n v="8561414"/>
    <n v="291665"/>
    <n v="8853079"/>
    <n v="8561414"/>
    <n v="291665"/>
    <n v="8853079"/>
    <n v="13860925"/>
    <n v="13399457"/>
    <m/>
    <m/>
    <m/>
    <m/>
    <n v="0"/>
    <m/>
    <m/>
    <n v="0"/>
    <m/>
    <m/>
    <m/>
    <m/>
    <m/>
    <m/>
    <n v="13860925"/>
    <n v="13399457"/>
  </r>
  <r>
    <x v="11"/>
    <x v="8"/>
    <s v="Special Line items for education operations"/>
    <m/>
    <n v="217712"/>
    <x v="8"/>
    <m/>
    <m/>
    <m/>
    <m/>
    <m/>
    <m/>
    <m/>
    <m/>
    <n v="0"/>
    <m/>
    <m/>
    <n v="0"/>
    <n v="0"/>
    <n v="0"/>
    <m/>
    <m/>
    <m/>
    <m/>
    <n v="0"/>
    <m/>
    <m/>
    <n v="0"/>
    <m/>
    <m/>
    <m/>
    <m/>
    <m/>
    <m/>
    <n v="0"/>
    <n v="0"/>
  </r>
  <r>
    <x v="11"/>
    <x v="8"/>
    <s v="Academic Endowment"/>
    <m/>
    <n v="217712"/>
    <x v="8"/>
    <m/>
    <m/>
    <m/>
    <n v="278"/>
    <m/>
    <m/>
    <m/>
    <m/>
    <n v="0"/>
    <m/>
    <m/>
    <n v="0"/>
    <n v="0"/>
    <n v="278"/>
    <m/>
    <m/>
    <m/>
    <m/>
    <n v="0"/>
    <m/>
    <m/>
    <n v="0"/>
    <m/>
    <m/>
    <m/>
    <m/>
    <m/>
    <m/>
    <n v="0"/>
    <n v="278"/>
  </r>
  <r>
    <x v="11"/>
    <x v="8"/>
    <s v="Deferred Maintenance"/>
    <m/>
    <n v="217712"/>
    <x v="8"/>
    <m/>
    <m/>
    <m/>
    <n v="156613"/>
    <m/>
    <m/>
    <m/>
    <m/>
    <n v="0"/>
    <m/>
    <m/>
    <n v="0"/>
    <n v="0"/>
    <n v="156613"/>
    <m/>
    <m/>
    <m/>
    <m/>
    <n v="0"/>
    <m/>
    <m/>
    <n v="0"/>
    <m/>
    <m/>
    <m/>
    <m/>
    <m/>
    <m/>
    <n v="0"/>
    <n v="156613"/>
  </r>
  <r>
    <x v="11"/>
    <x v="8"/>
    <s v="Capital Reserve and Surplus 90.20"/>
    <m/>
    <n v="217712"/>
    <x v="8"/>
    <m/>
    <m/>
    <m/>
    <n v="200000"/>
    <m/>
    <m/>
    <m/>
    <m/>
    <n v="0"/>
    <m/>
    <m/>
    <n v="0"/>
    <n v="0"/>
    <n v="200000"/>
    <m/>
    <m/>
    <m/>
    <m/>
    <n v="0"/>
    <m/>
    <m/>
    <n v="0"/>
    <m/>
    <m/>
    <m/>
    <m/>
    <m/>
    <m/>
    <n v="0"/>
    <n v="200000"/>
  </r>
  <r>
    <x v="11"/>
    <x v="8"/>
    <s v="Pathways to Prosperity"/>
    <m/>
    <n v="217712"/>
    <x v="8"/>
    <m/>
    <m/>
    <n v="37784"/>
    <n v="37784"/>
    <m/>
    <m/>
    <m/>
    <m/>
    <n v="0"/>
    <m/>
    <m/>
    <n v="0"/>
    <n v="37784"/>
    <n v="37784"/>
    <m/>
    <m/>
    <m/>
    <m/>
    <n v="0"/>
    <m/>
    <m/>
    <n v="0"/>
    <m/>
    <m/>
    <m/>
    <m/>
    <m/>
    <m/>
    <n v="37784"/>
    <n v="37784"/>
  </r>
  <r>
    <x v="11"/>
    <x v="8"/>
    <s v="Lottery Technology (NR)"/>
    <m/>
    <n v="217712"/>
    <x v="8"/>
    <m/>
    <m/>
    <n v="45932"/>
    <n v="103245"/>
    <m/>
    <m/>
    <m/>
    <m/>
    <n v="0"/>
    <m/>
    <m/>
    <n v="0"/>
    <n v="45932"/>
    <n v="103245"/>
    <m/>
    <m/>
    <m/>
    <m/>
    <n v="0"/>
    <m/>
    <m/>
    <n v="0"/>
    <m/>
    <m/>
    <m/>
    <m/>
    <m/>
    <m/>
    <n v="45932"/>
    <n v="103245"/>
  </r>
  <r>
    <x v="11"/>
    <x v="0"/>
    <s v="University of South Carolina-Lancaster"/>
    <m/>
    <n v="218672"/>
    <x v="8"/>
    <n v="1200000"/>
    <n v="1244208"/>
    <m/>
    <m/>
    <m/>
    <m/>
    <n v="7567698.3527076421"/>
    <n v="21076.359082559309"/>
    <n v="7588774.7117902013"/>
    <n v="7567698.3527076421"/>
    <n v="21076.359082559309"/>
    <n v="7588774.7117902013"/>
    <n v="8767698.3527076431"/>
    <n v="8811906.3527076431"/>
    <m/>
    <m/>
    <m/>
    <m/>
    <n v="0"/>
    <m/>
    <m/>
    <n v="0"/>
    <m/>
    <m/>
    <m/>
    <m/>
    <m/>
    <m/>
    <n v="8767698.3527076431"/>
    <n v="8811906.3527076431"/>
  </r>
  <r>
    <x v="11"/>
    <x v="0"/>
    <s v="Fringe Benefits"/>
    <m/>
    <n v="218672"/>
    <x v="8"/>
    <n v="268791"/>
    <n v="296526"/>
    <m/>
    <m/>
    <m/>
    <m/>
    <m/>
    <m/>
    <n v="0"/>
    <m/>
    <m/>
    <n v="0"/>
    <n v="268791"/>
    <n v="296526"/>
    <m/>
    <m/>
    <m/>
    <m/>
    <n v="0"/>
    <m/>
    <m/>
    <n v="0"/>
    <m/>
    <m/>
    <m/>
    <m/>
    <m/>
    <m/>
    <n v="268791"/>
    <n v="296526"/>
  </r>
  <r>
    <x v="11"/>
    <x v="8"/>
    <s v="Special Line items for education operations"/>
    <m/>
    <n v="218672"/>
    <x v="8"/>
    <m/>
    <m/>
    <m/>
    <m/>
    <m/>
    <m/>
    <m/>
    <m/>
    <n v="0"/>
    <m/>
    <m/>
    <n v="0"/>
    <n v="0"/>
    <n v="0"/>
    <m/>
    <m/>
    <m/>
    <m/>
    <n v="0"/>
    <m/>
    <m/>
    <n v="0"/>
    <m/>
    <m/>
    <m/>
    <m/>
    <m/>
    <m/>
    <n v="0"/>
    <n v="0"/>
  </r>
  <r>
    <x v="11"/>
    <x v="8"/>
    <s v="Deferred Maintenance (NR &amp; Lottery)"/>
    <m/>
    <n v="218672"/>
    <x v="8"/>
    <m/>
    <m/>
    <m/>
    <n v="208697"/>
    <m/>
    <m/>
    <m/>
    <m/>
    <n v="0"/>
    <m/>
    <m/>
    <n v="0"/>
    <n v="0"/>
    <n v="208697"/>
    <m/>
    <m/>
    <m/>
    <m/>
    <n v="0"/>
    <m/>
    <m/>
    <n v="0"/>
    <m/>
    <m/>
    <m/>
    <m/>
    <m/>
    <m/>
    <n v="0"/>
    <n v="208697"/>
  </r>
  <r>
    <x v="11"/>
    <x v="8"/>
    <s v="Academic Endowment"/>
    <m/>
    <n v="218672"/>
    <x v="8"/>
    <m/>
    <m/>
    <n v="3073"/>
    <n v="4223"/>
    <m/>
    <m/>
    <m/>
    <m/>
    <n v="0"/>
    <m/>
    <m/>
    <n v="0"/>
    <n v="3073"/>
    <n v="4223"/>
    <m/>
    <m/>
    <m/>
    <m/>
    <n v="0"/>
    <m/>
    <m/>
    <n v="0"/>
    <m/>
    <m/>
    <m/>
    <m/>
    <m/>
    <m/>
    <n v="3073"/>
    <n v="4223"/>
  </r>
  <r>
    <x v="11"/>
    <x v="8"/>
    <s v="Lottery Technology (NR)"/>
    <m/>
    <n v="218672"/>
    <x v="8"/>
    <m/>
    <m/>
    <n v="43278"/>
    <n v="102102"/>
    <m/>
    <m/>
    <m/>
    <m/>
    <n v="0"/>
    <m/>
    <m/>
    <n v="0"/>
    <n v="43278"/>
    <n v="102102"/>
    <m/>
    <m/>
    <m/>
    <m/>
    <n v="0"/>
    <m/>
    <m/>
    <n v="0"/>
    <m/>
    <m/>
    <m/>
    <m/>
    <m/>
    <m/>
    <n v="43278"/>
    <n v="102102"/>
  </r>
  <r>
    <x v="11"/>
    <x v="0"/>
    <s v="University of South Carolina-Salkehatchie"/>
    <m/>
    <n v="218681"/>
    <x v="8"/>
    <n v="940000"/>
    <n v="974631"/>
    <m/>
    <m/>
    <m/>
    <m/>
    <n v="6032661.4976320658"/>
    <n v="33870.175802553065"/>
    <n v="6066531.6734346189"/>
    <n v="6032661.4976320658"/>
    <n v="33870.175802553065"/>
    <n v="6066531.6734346189"/>
    <n v="6972661.4976320658"/>
    <n v="7007292.4976320658"/>
    <m/>
    <m/>
    <m/>
    <m/>
    <n v="0"/>
    <m/>
    <m/>
    <n v="0"/>
    <m/>
    <m/>
    <m/>
    <m/>
    <m/>
    <m/>
    <n v="6972661.4976320658"/>
    <n v="7007292.4976320658"/>
  </r>
  <r>
    <x v="11"/>
    <x v="0"/>
    <s v="Fringe Benefits"/>
    <m/>
    <n v="218681"/>
    <x v="8"/>
    <n v="210927"/>
    <n v="233366"/>
    <m/>
    <m/>
    <m/>
    <m/>
    <m/>
    <m/>
    <n v="0"/>
    <m/>
    <m/>
    <n v="0"/>
    <n v="210927"/>
    <n v="233366"/>
    <m/>
    <m/>
    <m/>
    <m/>
    <n v="0"/>
    <m/>
    <m/>
    <n v="0"/>
    <m/>
    <m/>
    <m/>
    <m/>
    <m/>
    <m/>
    <n v="210927"/>
    <n v="233366"/>
  </r>
  <r>
    <x v="11"/>
    <x v="3"/>
    <s v="Community or public service units"/>
    <m/>
    <n v="218681"/>
    <x v="8"/>
    <m/>
    <m/>
    <m/>
    <m/>
    <m/>
    <m/>
    <m/>
    <m/>
    <n v="0"/>
    <m/>
    <m/>
    <n v="0"/>
    <n v="0"/>
    <n v="0"/>
    <m/>
    <m/>
    <m/>
    <m/>
    <n v="0"/>
    <m/>
    <m/>
    <n v="0"/>
    <m/>
    <m/>
    <m/>
    <m/>
    <m/>
    <m/>
    <n v="0"/>
    <n v="0"/>
  </r>
  <r>
    <x v="11"/>
    <x v="3"/>
    <s v="  Salkehatchie Leadership Center"/>
    <m/>
    <n v="218681"/>
    <x v="8"/>
    <m/>
    <m/>
    <n v="100460"/>
    <n v="100460"/>
    <m/>
    <m/>
    <m/>
    <m/>
    <n v="0"/>
    <m/>
    <m/>
    <n v="0"/>
    <n v="100460"/>
    <n v="100460"/>
    <m/>
    <m/>
    <m/>
    <m/>
    <n v="0"/>
    <m/>
    <m/>
    <n v="0"/>
    <m/>
    <m/>
    <m/>
    <m/>
    <m/>
    <m/>
    <n v="100460"/>
    <n v="100460"/>
  </r>
  <r>
    <x v="11"/>
    <x v="8"/>
    <s v="Special Line items for education operations"/>
    <m/>
    <n v="218681"/>
    <x v="8"/>
    <m/>
    <m/>
    <m/>
    <m/>
    <m/>
    <m/>
    <m/>
    <m/>
    <n v="0"/>
    <m/>
    <m/>
    <n v="0"/>
    <n v="0"/>
    <n v="0"/>
    <m/>
    <m/>
    <m/>
    <m/>
    <n v="0"/>
    <m/>
    <m/>
    <n v="0"/>
    <m/>
    <m/>
    <m/>
    <m/>
    <m/>
    <m/>
    <n v="0"/>
    <n v="0"/>
  </r>
  <r>
    <x v="11"/>
    <x v="8"/>
    <s v="Deferred Maintenance (NR &amp; Lottery)"/>
    <m/>
    <n v="218681"/>
    <x v="8"/>
    <m/>
    <m/>
    <m/>
    <n v="377806"/>
    <m/>
    <m/>
    <m/>
    <m/>
    <n v="0"/>
    <m/>
    <m/>
    <n v="0"/>
    <n v="0"/>
    <n v="377806"/>
    <m/>
    <m/>
    <m/>
    <m/>
    <n v="0"/>
    <m/>
    <m/>
    <n v="0"/>
    <m/>
    <m/>
    <m/>
    <m/>
    <m/>
    <m/>
    <n v="0"/>
    <n v="377806"/>
  </r>
  <r>
    <x v="11"/>
    <x v="8"/>
    <s v="Academic Endowment"/>
    <m/>
    <n v="218681"/>
    <x v="8"/>
    <m/>
    <m/>
    <n v="238"/>
    <n v="227"/>
    <m/>
    <m/>
    <m/>
    <m/>
    <n v="0"/>
    <m/>
    <m/>
    <n v="0"/>
    <n v="238"/>
    <n v="227"/>
    <m/>
    <m/>
    <m/>
    <m/>
    <n v="0"/>
    <m/>
    <m/>
    <n v="0"/>
    <m/>
    <m/>
    <m/>
    <m/>
    <m/>
    <m/>
    <n v="238"/>
    <n v="227"/>
  </r>
  <r>
    <x v="11"/>
    <x v="8"/>
    <s v="Lottery Technology (NR)"/>
    <m/>
    <n v="218681"/>
    <x v="8"/>
    <m/>
    <m/>
    <n v="43278"/>
    <n v="102102"/>
    <m/>
    <m/>
    <m/>
    <m/>
    <n v="0"/>
    <m/>
    <m/>
    <n v="0"/>
    <n v="43278"/>
    <n v="102102"/>
    <m/>
    <m/>
    <m/>
    <m/>
    <n v="0"/>
    <m/>
    <m/>
    <n v="0"/>
    <m/>
    <m/>
    <m/>
    <m/>
    <m/>
    <m/>
    <n v="43278"/>
    <n v="102102"/>
  </r>
  <r>
    <x v="11"/>
    <x v="0"/>
    <s v="University of South Carolina-Sumter"/>
    <m/>
    <n v="218690"/>
    <x v="8"/>
    <n v="1885000"/>
    <n v="1954444"/>
    <m/>
    <m/>
    <m/>
    <m/>
    <n v="5808511.8723591417"/>
    <n v="78523.605089206234"/>
    <n v="5887035.477448348"/>
    <n v="5808511.8723591417"/>
    <n v="78523.605089206234"/>
    <n v="5887035.477448348"/>
    <n v="7693511.8723591417"/>
    <n v="7762955.8723591417"/>
    <m/>
    <m/>
    <m/>
    <m/>
    <n v="0"/>
    <m/>
    <m/>
    <n v="0"/>
    <m/>
    <m/>
    <m/>
    <m/>
    <m/>
    <m/>
    <n v="7693511.8723591417"/>
    <n v="7762955.8723591417"/>
  </r>
  <r>
    <x v="11"/>
    <x v="0"/>
    <s v="Fringe Benefits"/>
    <m/>
    <n v="218690"/>
    <x v="8"/>
    <n v="445655"/>
    <n v="492333"/>
    <m/>
    <m/>
    <m/>
    <m/>
    <m/>
    <m/>
    <n v="0"/>
    <m/>
    <m/>
    <n v="0"/>
    <n v="445655"/>
    <n v="492333"/>
    <m/>
    <m/>
    <m/>
    <m/>
    <n v="0"/>
    <m/>
    <m/>
    <n v="0"/>
    <m/>
    <m/>
    <m/>
    <m/>
    <m/>
    <m/>
    <n v="445655"/>
    <n v="492333"/>
  </r>
  <r>
    <x v="11"/>
    <x v="8"/>
    <s v="Special Line items for education operations"/>
    <m/>
    <n v="218690"/>
    <x v="8"/>
    <m/>
    <m/>
    <m/>
    <m/>
    <m/>
    <m/>
    <m/>
    <m/>
    <n v="0"/>
    <m/>
    <m/>
    <n v="0"/>
    <n v="0"/>
    <n v="0"/>
    <m/>
    <m/>
    <m/>
    <m/>
    <n v="0"/>
    <m/>
    <m/>
    <n v="0"/>
    <m/>
    <m/>
    <m/>
    <m/>
    <m/>
    <m/>
    <n v="0"/>
    <n v="0"/>
  </r>
  <r>
    <x v="11"/>
    <x v="8"/>
    <s v="Deferred Maintenance (NR &amp; Lottery)"/>
    <m/>
    <n v="218690"/>
    <x v="8"/>
    <m/>
    <m/>
    <m/>
    <n v="481157"/>
    <m/>
    <m/>
    <m/>
    <m/>
    <n v="0"/>
    <m/>
    <m/>
    <n v="0"/>
    <n v="0"/>
    <n v="481157"/>
    <m/>
    <m/>
    <m/>
    <m/>
    <n v="0"/>
    <m/>
    <m/>
    <n v="0"/>
    <m/>
    <m/>
    <m/>
    <m/>
    <m/>
    <m/>
    <n v="0"/>
    <n v="481157"/>
  </r>
  <r>
    <x v="11"/>
    <x v="8"/>
    <s v="Academic Endowment"/>
    <m/>
    <n v="218690"/>
    <x v="8"/>
    <m/>
    <m/>
    <n v="804"/>
    <n v="881"/>
    <m/>
    <m/>
    <m/>
    <m/>
    <n v="0"/>
    <m/>
    <m/>
    <n v="0"/>
    <n v="804"/>
    <n v="881"/>
    <m/>
    <m/>
    <m/>
    <m/>
    <n v="0"/>
    <m/>
    <m/>
    <n v="0"/>
    <m/>
    <m/>
    <m/>
    <m/>
    <m/>
    <m/>
    <n v="804"/>
    <n v="881"/>
  </r>
  <r>
    <x v="11"/>
    <x v="8"/>
    <s v="Lottery Technology (NR)"/>
    <m/>
    <n v="218690"/>
    <x v="8"/>
    <m/>
    <m/>
    <n v="43278"/>
    <n v="102102"/>
    <m/>
    <m/>
    <m/>
    <m/>
    <n v="0"/>
    <m/>
    <m/>
    <n v="0"/>
    <n v="43278"/>
    <n v="102102"/>
    <m/>
    <m/>
    <m/>
    <m/>
    <n v="0"/>
    <m/>
    <m/>
    <n v="0"/>
    <m/>
    <m/>
    <m/>
    <m/>
    <m/>
    <m/>
    <n v="43278"/>
    <n v="102102"/>
  </r>
  <r>
    <x v="11"/>
    <x v="0"/>
    <s v="University of South Carolina-Union"/>
    <m/>
    <n v="218706"/>
    <x v="8"/>
    <n v="470000"/>
    <n v="487317"/>
    <m/>
    <m/>
    <m/>
    <m/>
    <n v="2421679.293691908"/>
    <n v="25266.53872965441"/>
    <n v="2446945.8324215626"/>
    <n v="2421679.293691908"/>
    <n v="25266.53872965441"/>
    <n v="2446945.8324215626"/>
    <n v="2891679.293691908"/>
    <n v="2908996.293691908"/>
    <m/>
    <m/>
    <m/>
    <m/>
    <n v="0"/>
    <m/>
    <m/>
    <n v="0"/>
    <m/>
    <m/>
    <m/>
    <m/>
    <m/>
    <m/>
    <n v="2891679.293691908"/>
    <n v="2908996.293691908"/>
  </r>
  <r>
    <x v="11"/>
    <x v="0"/>
    <s v="Fringe Benefits"/>
    <m/>
    <n v="218706"/>
    <x v="8"/>
    <n v="100069"/>
    <n v="112435"/>
    <m/>
    <m/>
    <m/>
    <m/>
    <m/>
    <m/>
    <n v="0"/>
    <m/>
    <m/>
    <n v="0"/>
    <n v="100069"/>
    <n v="112435"/>
    <m/>
    <m/>
    <m/>
    <m/>
    <n v="0"/>
    <m/>
    <m/>
    <n v="0"/>
    <m/>
    <m/>
    <m/>
    <m/>
    <m/>
    <m/>
    <n v="100069"/>
    <n v="112435"/>
  </r>
  <r>
    <x v="11"/>
    <x v="8"/>
    <s v="Special Line items for education operations"/>
    <m/>
    <n v="218706"/>
    <x v="8"/>
    <m/>
    <m/>
    <m/>
    <m/>
    <m/>
    <m/>
    <m/>
    <m/>
    <n v="0"/>
    <m/>
    <m/>
    <n v="0"/>
    <n v="0"/>
    <n v="0"/>
    <m/>
    <m/>
    <m/>
    <m/>
    <n v="0"/>
    <m/>
    <m/>
    <n v="0"/>
    <m/>
    <m/>
    <m/>
    <m/>
    <m/>
    <m/>
    <n v="0"/>
    <n v="0"/>
  </r>
  <r>
    <x v="11"/>
    <x v="8"/>
    <s v="Deferred Maintenance (NR &amp; Lottery)"/>
    <m/>
    <n v="218706"/>
    <x v="8"/>
    <m/>
    <m/>
    <m/>
    <n v="81001"/>
    <m/>
    <m/>
    <m/>
    <m/>
    <n v="0"/>
    <m/>
    <m/>
    <n v="0"/>
    <n v="0"/>
    <n v="81001"/>
    <m/>
    <m/>
    <m/>
    <m/>
    <n v="0"/>
    <m/>
    <m/>
    <n v="0"/>
    <m/>
    <m/>
    <m/>
    <m/>
    <m/>
    <m/>
    <n v="0"/>
    <n v="81001"/>
  </r>
  <r>
    <x v="11"/>
    <x v="8"/>
    <s v="Academic Endowment"/>
    <m/>
    <n v="218706"/>
    <x v="8"/>
    <m/>
    <m/>
    <n v="271"/>
    <n v="277"/>
    <m/>
    <m/>
    <m/>
    <m/>
    <n v="0"/>
    <m/>
    <m/>
    <n v="0"/>
    <n v="271"/>
    <n v="277"/>
    <m/>
    <m/>
    <m/>
    <m/>
    <n v="0"/>
    <m/>
    <m/>
    <n v="0"/>
    <m/>
    <m/>
    <m/>
    <m/>
    <m/>
    <m/>
    <n v="271"/>
    <n v="277"/>
  </r>
  <r>
    <x v="11"/>
    <x v="8"/>
    <s v="Lottery Technology (NR)"/>
    <m/>
    <n v="218706"/>
    <x v="8"/>
    <m/>
    <m/>
    <n v="43278"/>
    <n v="102102"/>
    <m/>
    <m/>
    <m/>
    <m/>
    <n v="0"/>
    <m/>
    <m/>
    <n v="0"/>
    <n v="43278"/>
    <n v="102102"/>
    <m/>
    <m/>
    <m/>
    <m/>
    <n v="0"/>
    <m/>
    <m/>
    <n v="0"/>
    <m/>
    <m/>
    <m/>
    <m/>
    <m/>
    <m/>
    <n v="43278"/>
    <n v="102102"/>
  </r>
  <r>
    <x v="11"/>
    <x v="0"/>
    <s v="Willamsburg Technical College "/>
    <m/>
    <n v="218955"/>
    <x v="8"/>
    <n v="1403576"/>
    <n v="1371689"/>
    <m/>
    <m/>
    <n v="516712"/>
    <n v="976932"/>
    <n v="2079280"/>
    <n v="0"/>
    <n v="2079280"/>
    <n v="2079280"/>
    <n v="0"/>
    <n v="2079280"/>
    <n v="3999568"/>
    <n v="4427901"/>
    <m/>
    <m/>
    <m/>
    <m/>
    <n v="0"/>
    <m/>
    <m/>
    <n v="0"/>
    <m/>
    <m/>
    <m/>
    <m/>
    <m/>
    <m/>
    <n v="3999568"/>
    <n v="4427901"/>
  </r>
  <r>
    <x v="11"/>
    <x v="8"/>
    <s v="Special Line items for education operations"/>
    <m/>
    <n v="218955"/>
    <x v="8"/>
    <m/>
    <m/>
    <m/>
    <m/>
    <m/>
    <m/>
    <m/>
    <m/>
    <n v="0"/>
    <m/>
    <m/>
    <n v="0"/>
    <n v="0"/>
    <n v="0"/>
    <m/>
    <m/>
    <m/>
    <m/>
    <n v="0"/>
    <m/>
    <m/>
    <n v="0"/>
    <m/>
    <m/>
    <m/>
    <m/>
    <m/>
    <m/>
    <n v="0"/>
    <n v="0"/>
  </r>
  <r>
    <x v="11"/>
    <x v="8"/>
    <s v="Academic Endowment"/>
    <m/>
    <n v="218955"/>
    <x v="8"/>
    <m/>
    <m/>
    <m/>
    <n v="2"/>
    <m/>
    <m/>
    <m/>
    <m/>
    <n v="0"/>
    <m/>
    <m/>
    <n v="0"/>
    <n v="0"/>
    <n v="2"/>
    <m/>
    <m/>
    <m/>
    <m/>
    <n v="0"/>
    <m/>
    <m/>
    <n v="0"/>
    <m/>
    <m/>
    <m/>
    <m/>
    <m/>
    <m/>
    <n v="0"/>
    <n v="2"/>
  </r>
  <r>
    <x v="11"/>
    <x v="8"/>
    <s v="Deferred Maintenance"/>
    <m/>
    <n v="218955"/>
    <x v="8"/>
    <m/>
    <m/>
    <m/>
    <n v="66555"/>
    <m/>
    <m/>
    <m/>
    <m/>
    <n v="0"/>
    <m/>
    <m/>
    <n v="0"/>
    <n v="0"/>
    <n v="66555"/>
    <m/>
    <m/>
    <m/>
    <m/>
    <n v="0"/>
    <m/>
    <m/>
    <n v="0"/>
    <m/>
    <m/>
    <m/>
    <m/>
    <m/>
    <m/>
    <n v="0"/>
    <n v="66555"/>
  </r>
  <r>
    <x v="11"/>
    <x v="8"/>
    <s v="Pathways to Prosperity"/>
    <m/>
    <n v="218955"/>
    <x v="8"/>
    <m/>
    <m/>
    <n v="37784"/>
    <n v="37784"/>
    <m/>
    <m/>
    <m/>
    <m/>
    <n v="0"/>
    <m/>
    <m/>
    <n v="0"/>
    <n v="37784"/>
    <n v="37784"/>
    <m/>
    <m/>
    <m/>
    <m/>
    <n v="0"/>
    <m/>
    <m/>
    <n v="0"/>
    <m/>
    <m/>
    <m/>
    <m/>
    <m/>
    <m/>
    <n v="37784"/>
    <n v="37784"/>
  </r>
  <r>
    <x v="11"/>
    <x v="8"/>
    <s v="Lottery Technology (NR)"/>
    <m/>
    <n v="218955"/>
    <x v="8"/>
    <m/>
    <m/>
    <n v="43278"/>
    <n v="95295"/>
    <m/>
    <m/>
    <m/>
    <m/>
    <n v="0"/>
    <m/>
    <m/>
    <n v="0"/>
    <n v="43278"/>
    <n v="95295"/>
    <m/>
    <m/>
    <m/>
    <m/>
    <n v="0"/>
    <m/>
    <m/>
    <n v="0"/>
    <m/>
    <m/>
    <m/>
    <m/>
    <m/>
    <m/>
    <n v="43278"/>
    <n v="95295"/>
  </r>
  <r>
    <x v="11"/>
    <x v="41"/>
    <s v="Medical University of South Carolina"/>
    <m/>
    <n v="218335"/>
    <x v="11"/>
    <m/>
    <m/>
    <m/>
    <m/>
    <m/>
    <m/>
    <m/>
    <m/>
    <n v="0"/>
    <m/>
    <m/>
    <n v="0"/>
    <n v="0"/>
    <n v="0"/>
    <m/>
    <m/>
    <m/>
    <m/>
    <n v="0"/>
    <m/>
    <m/>
    <n v="0"/>
    <n v="39796766"/>
    <n v="41266046"/>
    <n v="61971854"/>
    <n v="10656001"/>
    <n v="61971854"/>
    <n v="10656001"/>
    <n v="101768620"/>
    <n v="103237900"/>
  </r>
  <r>
    <x v="11"/>
    <x v="41"/>
    <s v="Fringe Benefits"/>
    <m/>
    <n v="218335"/>
    <x v="11"/>
    <m/>
    <m/>
    <m/>
    <m/>
    <m/>
    <m/>
    <m/>
    <m/>
    <n v="0"/>
    <m/>
    <m/>
    <n v="0"/>
    <n v="0"/>
    <n v="0"/>
    <m/>
    <m/>
    <m/>
    <m/>
    <n v="0"/>
    <m/>
    <m/>
    <n v="0"/>
    <n v="11227330"/>
    <n v="12274811"/>
    <m/>
    <m/>
    <m/>
    <m/>
    <n v="11227330"/>
    <n v="12274811"/>
  </r>
  <r>
    <x v="11"/>
    <x v="8"/>
    <s v="Deferred Maintenance (NR &amp; Lottery)"/>
    <m/>
    <n v="218335"/>
    <x v="11"/>
    <m/>
    <m/>
    <m/>
    <m/>
    <m/>
    <m/>
    <m/>
    <m/>
    <n v="0"/>
    <m/>
    <m/>
    <n v="0"/>
    <n v="0"/>
    <n v="0"/>
    <m/>
    <m/>
    <m/>
    <m/>
    <n v="0"/>
    <m/>
    <m/>
    <n v="0"/>
    <m/>
    <n v="5710334"/>
    <m/>
    <m/>
    <m/>
    <m/>
    <n v="0"/>
    <n v="5710334"/>
  </r>
  <r>
    <x v="11"/>
    <x v="41"/>
    <s v="Academic Endowment"/>
    <m/>
    <n v="218335"/>
    <x v="11"/>
    <m/>
    <m/>
    <m/>
    <m/>
    <m/>
    <m/>
    <m/>
    <m/>
    <n v="0"/>
    <m/>
    <m/>
    <n v="0"/>
    <n v="0"/>
    <n v="0"/>
    <m/>
    <m/>
    <m/>
    <m/>
    <n v="0"/>
    <m/>
    <m/>
    <n v="0"/>
    <n v="41055"/>
    <n v="38802"/>
    <m/>
    <m/>
    <m/>
    <m/>
    <n v="41055"/>
    <n v="38802"/>
  </r>
  <r>
    <x v="11"/>
    <x v="41"/>
    <s v="Hypertension Initiative"/>
    <m/>
    <n v="218335"/>
    <x v="11"/>
    <m/>
    <m/>
    <m/>
    <m/>
    <m/>
    <m/>
    <m/>
    <m/>
    <n v="0"/>
    <m/>
    <m/>
    <n v="0"/>
    <n v="0"/>
    <n v="0"/>
    <m/>
    <m/>
    <m/>
    <m/>
    <n v="0"/>
    <m/>
    <m/>
    <n v="0"/>
    <n v="240433"/>
    <n v="240433"/>
    <m/>
    <m/>
    <m/>
    <m/>
    <n v="240433"/>
    <n v="240433"/>
  </r>
  <r>
    <x v="11"/>
    <x v="41"/>
    <s v="Diabetic Center (MUSC)"/>
    <m/>
    <n v="218335"/>
    <x v="11"/>
    <m/>
    <m/>
    <m/>
    <m/>
    <m/>
    <m/>
    <m/>
    <m/>
    <n v="0"/>
    <m/>
    <m/>
    <n v="0"/>
    <n v="0"/>
    <n v="0"/>
    <m/>
    <m/>
    <m/>
    <m/>
    <n v="0"/>
    <m/>
    <m/>
    <n v="0"/>
    <n v="123470"/>
    <n v="123470"/>
    <m/>
    <m/>
    <m/>
    <m/>
    <n v="123470"/>
    <n v="123470"/>
  </r>
  <r>
    <x v="11"/>
    <x v="41"/>
    <s v="Rural Dentist Incentive(MUSC)"/>
    <m/>
    <n v="218335"/>
    <x v="11"/>
    <m/>
    <m/>
    <m/>
    <m/>
    <m/>
    <m/>
    <m/>
    <m/>
    <n v="0"/>
    <m/>
    <m/>
    <n v="0"/>
    <n v="0"/>
    <n v="0"/>
    <m/>
    <m/>
    <m/>
    <m/>
    <n v="0"/>
    <m/>
    <m/>
    <n v="0"/>
    <n v="176101"/>
    <n v="176101"/>
    <m/>
    <m/>
    <m/>
    <m/>
    <n v="176101"/>
    <n v="176101"/>
  </r>
  <r>
    <x v="11"/>
    <x v="41"/>
    <s v="AHEC-Administration"/>
    <m/>
    <n v="218335"/>
    <x v="11"/>
    <m/>
    <m/>
    <m/>
    <m/>
    <m/>
    <m/>
    <m/>
    <m/>
    <n v="0"/>
    <m/>
    <m/>
    <n v="0"/>
    <n v="0"/>
    <n v="0"/>
    <m/>
    <m/>
    <m/>
    <m/>
    <n v="0"/>
    <m/>
    <m/>
    <n v="0"/>
    <n v="3789247"/>
    <n v="3922744"/>
    <m/>
    <m/>
    <m/>
    <m/>
    <n v="3789247"/>
    <n v="3922744"/>
  </r>
  <r>
    <x v="11"/>
    <x v="41"/>
    <s v="AHEC-Fringe Benefits"/>
    <m/>
    <n v="218335"/>
    <x v="11"/>
    <m/>
    <m/>
    <m/>
    <m/>
    <m/>
    <m/>
    <m/>
    <m/>
    <n v="0"/>
    <m/>
    <m/>
    <n v="0"/>
    <n v="0"/>
    <n v="0"/>
    <m/>
    <m/>
    <m/>
    <m/>
    <n v="0"/>
    <m/>
    <m/>
    <n v="0"/>
    <n v="976761"/>
    <n v="1050045"/>
    <m/>
    <m/>
    <m/>
    <m/>
    <n v="976761"/>
    <n v="1050045"/>
  </r>
  <r>
    <x v="11"/>
    <x v="41"/>
    <s v="AHEC-Operating Expenses"/>
    <m/>
    <n v="218335"/>
    <x v="11"/>
    <m/>
    <m/>
    <m/>
    <m/>
    <m/>
    <m/>
    <m/>
    <m/>
    <n v="0"/>
    <m/>
    <m/>
    <n v="0"/>
    <n v="0"/>
    <n v="0"/>
    <m/>
    <m/>
    <m/>
    <m/>
    <n v="0"/>
    <m/>
    <m/>
    <n v="0"/>
    <n v="3692360"/>
    <n v="3692360"/>
    <m/>
    <m/>
    <m/>
    <m/>
    <n v="3692360"/>
    <n v="3692360"/>
  </r>
  <r>
    <x v="11"/>
    <x v="41"/>
    <s v="AHEC-Rural Physicans Program"/>
    <m/>
    <n v="218335"/>
    <x v="11"/>
    <m/>
    <m/>
    <m/>
    <m/>
    <m/>
    <m/>
    <m/>
    <m/>
    <n v="0"/>
    <m/>
    <m/>
    <n v="0"/>
    <n v="0"/>
    <n v="0"/>
    <m/>
    <m/>
    <m/>
    <m/>
    <n v="0"/>
    <m/>
    <m/>
    <n v="0"/>
    <n v="0"/>
    <n v="500000"/>
    <m/>
    <m/>
    <m/>
    <m/>
    <n v="0"/>
    <n v="500000"/>
  </r>
  <r>
    <x v="11"/>
    <x v="41"/>
    <s v="AHEC-Nursing Recruitment"/>
    <m/>
    <n v="218335"/>
    <x v="11"/>
    <m/>
    <m/>
    <m/>
    <m/>
    <m/>
    <m/>
    <m/>
    <m/>
    <n v="0"/>
    <m/>
    <m/>
    <n v="0"/>
    <n v="0"/>
    <n v="0"/>
    <m/>
    <m/>
    <m/>
    <m/>
    <n v="0"/>
    <m/>
    <m/>
    <n v="0"/>
    <n v="20000"/>
    <n v="20000"/>
    <m/>
    <m/>
    <m/>
    <m/>
    <n v="20000"/>
    <n v="20000"/>
  </r>
  <r>
    <x v="11"/>
    <x v="13"/>
    <s v="Educational special purpose funds — all other"/>
    <m/>
    <m/>
    <x v="12"/>
    <m/>
    <m/>
    <m/>
    <m/>
    <m/>
    <m/>
    <m/>
    <m/>
    <n v="0"/>
    <m/>
    <m/>
    <n v="0"/>
    <n v="0"/>
    <n v="0"/>
    <m/>
    <m/>
    <m/>
    <m/>
    <n v="0"/>
    <m/>
    <m/>
    <n v="0"/>
    <m/>
    <m/>
    <m/>
    <m/>
    <m/>
    <m/>
    <n v="0"/>
    <n v="0"/>
  </r>
  <r>
    <x v="11"/>
    <x v="13"/>
    <s v="Greenville Tech-Univ Center"/>
    <m/>
    <m/>
    <x v="12"/>
    <m/>
    <m/>
    <n v="594390"/>
    <n v="594390"/>
    <m/>
    <m/>
    <m/>
    <m/>
    <n v="0"/>
    <m/>
    <m/>
    <n v="0"/>
    <n v="594390"/>
    <n v="594390"/>
    <m/>
    <m/>
    <m/>
    <m/>
    <n v="0"/>
    <m/>
    <m/>
    <n v="0"/>
    <m/>
    <m/>
    <m/>
    <m/>
    <m/>
    <m/>
    <n v="594390"/>
    <n v="594390"/>
  </r>
  <r>
    <x v="11"/>
    <x v="13"/>
    <s v="Greenville Center Operating Cost"/>
    <m/>
    <m/>
    <x v="12"/>
    <m/>
    <m/>
    <n v="1084899"/>
    <n v="1084899"/>
    <m/>
    <m/>
    <m/>
    <m/>
    <n v="0"/>
    <m/>
    <m/>
    <n v="0"/>
    <n v="1084899"/>
    <n v="1084899"/>
    <m/>
    <m/>
    <m/>
    <m/>
    <n v="0"/>
    <m/>
    <m/>
    <n v="0"/>
    <m/>
    <m/>
    <m/>
    <m/>
    <m/>
    <m/>
    <n v="1084899"/>
    <n v="1084899"/>
  </r>
  <r>
    <x v="11"/>
    <x v="13"/>
    <s v="Lowcountry Graduate Center"/>
    <m/>
    <m/>
    <x v="12"/>
    <m/>
    <m/>
    <n v="785099"/>
    <n v="785099"/>
    <m/>
    <m/>
    <m/>
    <m/>
    <n v="0"/>
    <m/>
    <m/>
    <n v="0"/>
    <n v="785099"/>
    <n v="785099"/>
    <m/>
    <m/>
    <m/>
    <m/>
    <n v="0"/>
    <m/>
    <m/>
    <n v="0"/>
    <m/>
    <m/>
    <m/>
    <m/>
    <m/>
    <m/>
    <n v="785099"/>
    <n v="785099"/>
  </r>
  <r>
    <x v="11"/>
    <x v="13"/>
    <s v=" National Foundation of Teaching Entrepreneurship (NFTE)"/>
    <m/>
    <m/>
    <x v="12"/>
    <m/>
    <m/>
    <n v="0"/>
    <m/>
    <m/>
    <m/>
    <m/>
    <m/>
    <n v="0"/>
    <m/>
    <m/>
    <n v="0"/>
    <n v="0"/>
    <n v="0"/>
    <m/>
    <m/>
    <m/>
    <m/>
    <n v="0"/>
    <m/>
    <m/>
    <n v="0"/>
    <m/>
    <m/>
    <m/>
    <m/>
    <m/>
    <m/>
    <n v="0"/>
    <n v="0"/>
  </r>
  <r>
    <x v="11"/>
    <x v="13"/>
    <s v="South Carolina Manufacturing Extension Program (SCMEP)"/>
    <m/>
    <m/>
    <x v="12"/>
    <m/>
    <m/>
    <n v="682049"/>
    <m/>
    <m/>
    <m/>
    <m/>
    <m/>
    <n v="0"/>
    <m/>
    <m/>
    <n v="0"/>
    <n v="682049"/>
    <n v="0"/>
    <m/>
    <m/>
    <m/>
    <m/>
    <n v="0"/>
    <m/>
    <m/>
    <n v="0"/>
    <m/>
    <m/>
    <m/>
    <m/>
    <m/>
    <m/>
    <n v="682049"/>
    <n v="0"/>
  </r>
  <r>
    <x v="11"/>
    <x v="13"/>
    <s v="GEARUP"/>
    <m/>
    <m/>
    <x v="12"/>
    <m/>
    <m/>
    <n v="177201"/>
    <n v="177201"/>
    <m/>
    <m/>
    <m/>
    <m/>
    <n v="0"/>
    <m/>
    <m/>
    <n v="0"/>
    <n v="177201"/>
    <n v="177201"/>
    <m/>
    <m/>
    <m/>
    <m/>
    <n v="0"/>
    <m/>
    <m/>
    <n v="0"/>
    <m/>
    <m/>
    <m/>
    <m/>
    <m/>
    <m/>
    <n v="177201"/>
    <n v="177201"/>
  </r>
  <r>
    <x v="11"/>
    <x v="13"/>
    <s v="Statewide Electronic Library Supplemental"/>
    <m/>
    <m/>
    <x v="12"/>
    <m/>
    <m/>
    <n v="148140"/>
    <n v="164289"/>
    <m/>
    <m/>
    <m/>
    <m/>
    <n v="0"/>
    <m/>
    <m/>
    <n v="0"/>
    <n v="148140"/>
    <n v="164289"/>
    <m/>
    <m/>
    <m/>
    <m/>
    <n v="0"/>
    <m/>
    <m/>
    <n v="0"/>
    <m/>
    <m/>
    <m/>
    <m/>
    <m/>
    <m/>
    <n v="148140"/>
    <n v="164289"/>
  </r>
  <r>
    <x v="11"/>
    <x v="13"/>
    <s v="Experimental Program for the Stimulation of Competitive Research (EPSCOR) Constorium"/>
    <m/>
    <m/>
    <x v="12"/>
    <m/>
    <m/>
    <n v="161314"/>
    <n v="161314"/>
    <m/>
    <m/>
    <m/>
    <m/>
    <n v="0"/>
    <m/>
    <m/>
    <n v="0"/>
    <n v="161314"/>
    <n v="161314"/>
    <m/>
    <m/>
    <m/>
    <m/>
    <n v="0"/>
    <m/>
    <m/>
    <n v="0"/>
    <m/>
    <m/>
    <m/>
    <m/>
    <m/>
    <m/>
    <n v="161314"/>
    <n v="161314"/>
  </r>
  <r>
    <x v="11"/>
    <x v="13"/>
    <s v="Charleston Transition Connection"/>
    <m/>
    <m/>
    <x v="12"/>
    <m/>
    <m/>
    <n v="179178"/>
    <n v="179178"/>
    <m/>
    <m/>
    <m/>
    <m/>
    <n v="0"/>
    <m/>
    <m/>
    <n v="0"/>
    <n v="179178"/>
    <n v="179178"/>
    <m/>
    <m/>
    <m/>
    <m/>
    <n v="0"/>
    <m/>
    <m/>
    <n v="0"/>
    <m/>
    <m/>
    <m/>
    <m/>
    <m/>
    <m/>
    <n v="179178"/>
    <n v="179178"/>
  </r>
  <r>
    <x v="11"/>
    <x v="13"/>
    <s v="African American Loan Program"/>
    <m/>
    <m/>
    <x v="12"/>
    <m/>
    <m/>
    <n v="87905"/>
    <n v="87905"/>
    <m/>
    <m/>
    <m/>
    <m/>
    <n v="0"/>
    <m/>
    <m/>
    <n v="0"/>
    <n v="87905"/>
    <n v="87905"/>
    <m/>
    <m/>
    <m/>
    <m/>
    <n v="0"/>
    <m/>
    <m/>
    <n v="0"/>
    <m/>
    <m/>
    <m/>
    <m/>
    <m/>
    <m/>
    <n v="87905"/>
    <n v="87905"/>
  </r>
  <r>
    <x v="11"/>
    <x v="14"/>
    <s v="Statewide System Operations"/>
    <m/>
    <m/>
    <x v="12"/>
    <m/>
    <m/>
    <m/>
    <m/>
    <m/>
    <m/>
    <m/>
    <m/>
    <n v="0"/>
    <m/>
    <m/>
    <n v="0"/>
    <n v="0"/>
    <n v="0"/>
    <m/>
    <m/>
    <m/>
    <m/>
    <n v="0"/>
    <m/>
    <m/>
    <n v="0"/>
    <m/>
    <m/>
    <m/>
    <m/>
    <m/>
    <m/>
    <n v="0"/>
    <n v="0"/>
  </r>
  <r>
    <x v="11"/>
    <x v="15"/>
    <s v="Colleges and universities"/>
    <m/>
    <m/>
    <x v="12"/>
    <m/>
    <m/>
    <m/>
    <m/>
    <m/>
    <m/>
    <m/>
    <m/>
    <n v="0"/>
    <m/>
    <m/>
    <n v="0"/>
    <n v="0"/>
    <n v="0"/>
    <m/>
    <m/>
    <m/>
    <m/>
    <n v="0"/>
    <m/>
    <m/>
    <n v="0"/>
    <m/>
    <m/>
    <m/>
    <m/>
    <m/>
    <m/>
    <n v="0"/>
    <n v="0"/>
  </r>
  <r>
    <x v="11"/>
    <x v="15"/>
    <s v="SC Commission on H.Ed."/>
    <m/>
    <m/>
    <x v="12"/>
    <m/>
    <m/>
    <m/>
    <m/>
    <m/>
    <m/>
    <m/>
    <m/>
    <n v="0"/>
    <m/>
    <m/>
    <n v="0"/>
    <n v="0"/>
    <n v="0"/>
    <n v="1869811"/>
    <n v="1939178"/>
    <m/>
    <m/>
    <n v="0"/>
    <m/>
    <m/>
    <n v="0"/>
    <m/>
    <m/>
    <m/>
    <m/>
    <m/>
    <m/>
    <n v="1869811"/>
    <n v="1939178"/>
  </r>
  <r>
    <x v="11"/>
    <x v="15"/>
    <s v="Education &amp; Economic Development Act"/>
    <m/>
    <m/>
    <x v="12"/>
    <m/>
    <m/>
    <m/>
    <m/>
    <m/>
    <m/>
    <m/>
    <m/>
    <n v="0"/>
    <m/>
    <m/>
    <n v="0"/>
    <n v="0"/>
    <n v="0"/>
    <n v="1180576"/>
    <n v="1180576"/>
    <m/>
    <m/>
    <n v="0"/>
    <m/>
    <m/>
    <n v="0"/>
    <m/>
    <m/>
    <m/>
    <m/>
    <m/>
    <m/>
    <n v="1180576"/>
    <n v="1180576"/>
  </r>
  <r>
    <x v="11"/>
    <x v="15"/>
    <s v="African American Loan Program"/>
    <m/>
    <m/>
    <x v="12"/>
    <m/>
    <m/>
    <m/>
    <m/>
    <m/>
    <m/>
    <m/>
    <m/>
    <n v="0"/>
    <m/>
    <m/>
    <n v="0"/>
    <n v="0"/>
    <n v="0"/>
    <n v="31395"/>
    <n v="31395"/>
    <m/>
    <m/>
    <n v="0"/>
    <m/>
    <m/>
    <n v="0"/>
    <m/>
    <m/>
    <m/>
    <m/>
    <m/>
    <m/>
    <n v="31395"/>
    <n v="31395"/>
  </r>
  <r>
    <x v="11"/>
    <x v="15"/>
    <s v="Statewide Electronic Library-Admin"/>
    <m/>
    <m/>
    <x v="12"/>
    <m/>
    <m/>
    <m/>
    <m/>
    <m/>
    <m/>
    <m/>
    <m/>
    <n v="0"/>
    <m/>
    <m/>
    <n v="0"/>
    <n v="0"/>
    <n v="0"/>
    <n v="16149"/>
    <m/>
    <m/>
    <m/>
    <n v="0"/>
    <m/>
    <m/>
    <n v="0"/>
    <m/>
    <m/>
    <m/>
    <m/>
    <m/>
    <m/>
    <n v="16149"/>
    <n v="0"/>
  </r>
  <r>
    <x v="11"/>
    <x v="15"/>
    <s v="National Guard Tuition"/>
    <m/>
    <m/>
    <x v="12"/>
    <m/>
    <m/>
    <m/>
    <m/>
    <m/>
    <m/>
    <m/>
    <m/>
    <n v="0"/>
    <m/>
    <m/>
    <n v="0"/>
    <n v="0"/>
    <n v="0"/>
    <n v="89968"/>
    <n v="89968"/>
    <m/>
    <m/>
    <n v="0"/>
    <m/>
    <m/>
    <n v="0"/>
    <m/>
    <m/>
    <m/>
    <m/>
    <m/>
    <m/>
    <n v="89968"/>
    <n v="89968"/>
  </r>
  <r>
    <x v="11"/>
    <x v="15"/>
    <s v="LIFE Scholarships Admin"/>
    <m/>
    <m/>
    <x v="12"/>
    <m/>
    <m/>
    <m/>
    <m/>
    <m/>
    <m/>
    <m/>
    <m/>
    <n v="0"/>
    <m/>
    <m/>
    <n v="0"/>
    <n v="0"/>
    <n v="0"/>
    <n v="260000"/>
    <n v="260000"/>
    <m/>
    <m/>
    <n v="0"/>
    <m/>
    <m/>
    <n v="0"/>
    <m/>
    <m/>
    <m/>
    <m/>
    <m/>
    <m/>
    <n v="260000"/>
    <n v="260000"/>
  </r>
  <r>
    <x v="11"/>
    <x v="16"/>
    <s v="Two-year system(s), if any"/>
    <m/>
    <m/>
    <x v="12"/>
    <m/>
    <m/>
    <m/>
    <m/>
    <m/>
    <m/>
    <m/>
    <m/>
    <n v="0"/>
    <m/>
    <m/>
    <n v="0"/>
    <n v="0"/>
    <n v="0"/>
    <m/>
    <m/>
    <m/>
    <m/>
    <n v="0"/>
    <m/>
    <m/>
    <n v="0"/>
    <m/>
    <m/>
    <m/>
    <m/>
    <m/>
    <m/>
    <n v="0"/>
    <n v="0"/>
  </r>
  <r>
    <x v="11"/>
    <x v="16"/>
    <s v="SC Tech College System"/>
    <m/>
    <m/>
    <x v="12"/>
    <m/>
    <m/>
    <m/>
    <m/>
    <m/>
    <m/>
    <m/>
    <m/>
    <n v="0"/>
    <m/>
    <m/>
    <n v="0"/>
    <n v="0"/>
    <n v="0"/>
    <n v="2817303"/>
    <n v="3151578"/>
    <m/>
    <m/>
    <n v="0"/>
    <m/>
    <m/>
    <n v="0"/>
    <m/>
    <m/>
    <m/>
    <m/>
    <m/>
    <m/>
    <n v="2817303"/>
    <n v="3151578"/>
  </r>
  <r>
    <x v="11"/>
    <x v="16"/>
    <s v="SC Tech College System-Fringe Benefits"/>
    <m/>
    <m/>
    <x v="12"/>
    <m/>
    <m/>
    <m/>
    <m/>
    <m/>
    <m/>
    <m/>
    <m/>
    <n v="0"/>
    <m/>
    <m/>
    <n v="0"/>
    <n v="0"/>
    <n v="0"/>
    <n v="142760"/>
    <n v="1711596"/>
    <m/>
    <m/>
    <n v="0"/>
    <m/>
    <m/>
    <n v="0"/>
    <m/>
    <m/>
    <m/>
    <m/>
    <m/>
    <m/>
    <n v="142760"/>
    <n v="1711596"/>
  </r>
  <r>
    <x v="11"/>
    <x v="16"/>
    <s v="SC Tech College System Data Processing Support"/>
    <m/>
    <m/>
    <x v="12"/>
    <m/>
    <m/>
    <m/>
    <m/>
    <m/>
    <m/>
    <m/>
    <m/>
    <n v="0"/>
    <m/>
    <m/>
    <n v="0"/>
    <n v="0"/>
    <n v="0"/>
    <n v="813646"/>
    <n v="813646"/>
    <m/>
    <m/>
    <n v="0"/>
    <m/>
    <m/>
    <n v="0"/>
    <m/>
    <m/>
    <m/>
    <m/>
    <m/>
    <m/>
    <n v="813646"/>
    <n v="813646"/>
  </r>
  <r>
    <x v="11"/>
    <x v="16"/>
    <s v="Innovative Technical Training"/>
    <m/>
    <m/>
    <x v="12"/>
    <m/>
    <m/>
    <m/>
    <m/>
    <m/>
    <m/>
    <m/>
    <m/>
    <n v="0"/>
    <m/>
    <m/>
    <n v="0"/>
    <n v="0"/>
    <n v="0"/>
    <n v="20571"/>
    <n v="20571"/>
    <m/>
    <m/>
    <n v="0"/>
    <m/>
    <m/>
    <n v="0"/>
    <m/>
    <m/>
    <m/>
    <m/>
    <m/>
    <m/>
    <n v="20571"/>
    <n v="20571"/>
  </r>
  <r>
    <x v="11"/>
    <x v="16"/>
    <s v="SBTCE Special Schools (Economic Development)"/>
    <m/>
    <m/>
    <x v="12"/>
    <m/>
    <m/>
    <m/>
    <m/>
    <m/>
    <m/>
    <m/>
    <m/>
    <n v="0"/>
    <m/>
    <m/>
    <n v="0"/>
    <n v="0"/>
    <n v="0"/>
    <n v="2354584"/>
    <n v="1134307"/>
    <m/>
    <m/>
    <n v="0"/>
    <m/>
    <m/>
    <n v="0"/>
    <m/>
    <m/>
    <m/>
    <m/>
    <m/>
    <m/>
    <n v="2354584"/>
    <n v="1134307"/>
  </r>
  <r>
    <x v="11"/>
    <x v="17"/>
    <s v="Other Direct Training Costs"/>
    <m/>
    <m/>
    <x v="12"/>
    <m/>
    <m/>
    <m/>
    <m/>
    <m/>
    <m/>
    <m/>
    <m/>
    <n v="0"/>
    <m/>
    <m/>
    <n v="0"/>
    <n v="0"/>
    <n v="0"/>
    <n v="1023916"/>
    <n v="1033566"/>
    <m/>
    <m/>
    <n v="0"/>
    <m/>
    <m/>
    <n v="0"/>
    <m/>
    <m/>
    <m/>
    <m/>
    <m/>
    <m/>
    <n v="1023916"/>
    <n v="1033566"/>
  </r>
  <r>
    <x v="11"/>
    <x v="16"/>
    <s v="SBTCE CATT (NR)"/>
    <m/>
    <m/>
    <x v="12"/>
    <m/>
    <m/>
    <m/>
    <m/>
    <m/>
    <m/>
    <m/>
    <m/>
    <n v="0"/>
    <m/>
    <m/>
    <n v="0"/>
    <n v="0"/>
    <n v="0"/>
    <n v="1000000"/>
    <n v="13250000"/>
    <m/>
    <m/>
    <n v="0"/>
    <m/>
    <m/>
    <n v="0"/>
    <m/>
    <m/>
    <m/>
    <m/>
    <m/>
    <m/>
    <n v="1000000"/>
    <n v="13250000"/>
  </r>
  <r>
    <x v="11"/>
    <x v="17"/>
    <s v="SBTCE CATT"/>
    <m/>
    <m/>
    <x v="12"/>
    <m/>
    <m/>
    <m/>
    <m/>
    <m/>
    <m/>
    <m/>
    <m/>
    <n v="0"/>
    <m/>
    <m/>
    <n v="0"/>
    <n v="0"/>
    <n v="0"/>
    <n v="1000000"/>
    <n v="7970379"/>
    <m/>
    <m/>
    <n v="0"/>
    <m/>
    <m/>
    <n v="0"/>
    <m/>
    <m/>
    <m/>
    <m/>
    <m/>
    <m/>
    <n v="1000000"/>
    <n v="7970379"/>
  </r>
  <r>
    <x v="11"/>
    <x v="17"/>
    <s v="National or regional associations, compacts or consortia"/>
    <m/>
    <m/>
    <x v="12"/>
    <m/>
    <m/>
    <m/>
    <m/>
    <m/>
    <m/>
    <m/>
    <m/>
    <n v="0"/>
    <m/>
    <m/>
    <n v="0"/>
    <n v="0"/>
    <n v="0"/>
    <m/>
    <m/>
    <m/>
    <m/>
    <n v="0"/>
    <m/>
    <m/>
    <n v="0"/>
    <m/>
    <m/>
    <m/>
    <m/>
    <m/>
    <m/>
    <n v="0"/>
    <n v="0"/>
  </r>
  <r>
    <x v="11"/>
    <x v="17"/>
    <s v="SREB"/>
    <m/>
    <m/>
    <x v="12"/>
    <m/>
    <m/>
    <m/>
    <m/>
    <m/>
    <m/>
    <m/>
    <m/>
    <n v="0"/>
    <m/>
    <m/>
    <n v="0"/>
    <n v="0"/>
    <n v="0"/>
    <n v="193550"/>
    <n v="193550"/>
    <m/>
    <m/>
    <n v="0"/>
    <m/>
    <m/>
    <n v="0"/>
    <m/>
    <m/>
    <m/>
    <m/>
    <m/>
    <m/>
    <n v="193550"/>
    <n v="193550"/>
  </r>
  <r>
    <x v="11"/>
    <x v="18"/>
    <s v="SREB - Technology Cooperative"/>
    <m/>
    <m/>
    <x v="12"/>
    <m/>
    <m/>
    <m/>
    <m/>
    <m/>
    <m/>
    <m/>
    <m/>
    <n v="0"/>
    <m/>
    <m/>
    <n v="0"/>
    <n v="0"/>
    <n v="0"/>
    <n v="8000"/>
    <n v="8000"/>
    <m/>
    <m/>
    <n v="0"/>
    <m/>
    <m/>
    <n v="0"/>
    <m/>
    <m/>
    <m/>
    <m/>
    <m/>
    <m/>
    <n v="8000"/>
    <n v="8000"/>
  </r>
  <r>
    <x v="11"/>
    <x v="18"/>
    <s v="Adm. of Statewide Student Aid Progs. (incldng centralized guaranteed student loans)"/>
    <m/>
    <m/>
    <x v="12"/>
    <m/>
    <m/>
    <m/>
    <m/>
    <m/>
    <m/>
    <m/>
    <m/>
    <n v="0"/>
    <m/>
    <m/>
    <n v="0"/>
    <n v="0"/>
    <n v="0"/>
    <m/>
    <m/>
    <m/>
    <m/>
    <n v="0"/>
    <m/>
    <m/>
    <n v="0"/>
    <m/>
    <m/>
    <m/>
    <m/>
    <m/>
    <m/>
    <n v="0"/>
    <n v="0"/>
  </r>
  <r>
    <x v="11"/>
    <x v="19"/>
    <s v="State Support to Private Colleges Other Than Student Aid"/>
    <m/>
    <m/>
    <x v="12"/>
    <m/>
    <m/>
    <m/>
    <m/>
    <m/>
    <m/>
    <m/>
    <m/>
    <n v="0"/>
    <m/>
    <m/>
    <n v="0"/>
    <n v="0"/>
    <n v="0"/>
    <m/>
    <m/>
    <m/>
    <m/>
    <n v="0"/>
    <m/>
    <m/>
    <n v="0"/>
    <m/>
    <m/>
    <m/>
    <m/>
    <m/>
    <m/>
    <n v="0"/>
    <n v="0"/>
  </r>
  <r>
    <x v="11"/>
    <x v="19"/>
    <s v="Higher Education Excellence Enhancement Program (Lottery)"/>
    <m/>
    <m/>
    <x v="12"/>
    <m/>
    <m/>
    <m/>
    <m/>
    <m/>
    <m/>
    <m/>
    <m/>
    <n v="0"/>
    <m/>
    <m/>
    <n v="0"/>
    <n v="0"/>
    <n v="0"/>
    <n v="3000000"/>
    <n v="3000000"/>
    <m/>
    <m/>
    <n v="0"/>
    <m/>
    <m/>
    <n v="0"/>
    <m/>
    <m/>
    <m/>
    <m/>
    <m/>
    <m/>
    <n v="3000000"/>
    <n v="3000000"/>
  </r>
  <r>
    <x v="11"/>
    <x v="20"/>
    <s v="Contract Education Programs"/>
    <m/>
    <m/>
    <x v="12"/>
    <m/>
    <m/>
    <m/>
    <m/>
    <m/>
    <m/>
    <m/>
    <m/>
    <n v="0"/>
    <m/>
    <m/>
    <n v="0"/>
    <n v="0"/>
    <n v="0"/>
    <m/>
    <m/>
    <m/>
    <m/>
    <n v="0"/>
    <m/>
    <m/>
    <n v="0"/>
    <m/>
    <m/>
    <m/>
    <m/>
    <m/>
    <m/>
    <n v="0"/>
    <n v="0"/>
  </r>
  <r>
    <x v="11"/>
    <x v="21"/>
    <s v="SREB contract program with private colleges"/>
    <m/>
    <m/>
    <x v="12"/>
    <m/>
    <m/>
    <m/>
    <m/>
    <m/>
    <m/>
    <m/>
    <m/>
    <n v="0"/>
    <m/>
    <m/>
    <n v="0"/>
    <n v="0"/>
    <n v="0"/>
    <m/>
    <m/>
    <m/>
    <m/>
    <n v="0"/>
    <m/>
    <m/>
    <n v="0"/>
    <m/>
    <m/>
    <m/>
    <m/>
    <m/>
    <m/>
    <n v="0"/>
    <n v="0"/>
  </r>
  <r>
    <x v="11"/>
    <x v="21"/>
    <s v="Tuskegee University (Veterinary Medicine)"/>
    <m/>
    <m/>
    <x v="12"/>
    <m/>
    <m/>
    <m/>
    <m/>
    <m/>
    <m/>
    <m/>
    <m/>
    <n v="0"/>
    <m/>
    <m/>
    <n v="0"/>
    <n v="0"/>
    <n v="0"/>
    <n v="400000"/>
    <n v="387000"/>
    <m/>
    <m/>
    <n v="0"/>
    <m/>
    <m/>
    <n v="0"/>
    <m/>
    <m/>
    <m/>
    <m/>
    <m/>
    <m/>
    <n v="400000"/>
    <n v="387000"/>
  </r>
  <r>
    <x v="11"/>
    <x v="21"/>
    <s v="Southern College of Optometry"/>
    <m/>
    <m/>
    <x v="12"/>
    <m/>
    <m/>
    <m/>
    <m/>
    <m/>
    <m/>
    <m/>
    <m/>
    <n v="0"/>
    <m/>
    <m/>
    <n v="0"/>
    <n v="0"/>
    <n v="0"/>
    <n v="171600"/>
    <n v="207200"/>
    <m/>
    <m/>
    <n v="0"/>
    <m/>
    <m/>
    <n v="0"/>
    <m/>
    <m/>
    <m/>
    <m/>
    <m/>
    <m/>
    <n v="171600"/>
    <n v="207200"/>
  </r>
  <r>
    <x v="11"/>
    <x v="22"/>
    <s v="SREB contract program with public colleges"/>
    <m/>
    <m/>
    <x v="12"/>
    <m/>
    <m/>
    <m/>
    <m/>
    <m/>
    <m/>
    <m/>
    <m/>
    <n v="0"/>
    <m/>
    <m/>
    <n v="0"/>
    <n v="0"/>
    <n v="0"/>
    <m/>
    <m/>
    <m/>
    <m/>
    <n v="0"/>
    <m/>
    <m/>
    <n v="0"/>
    <m/>
    <m/>
    <m/>
    <m/>
    <m/>
    <m/>
    <n v="0"/>
    <n v="0"/>
  </r>
  <r>
    <x v="11"/>
    <x v="22"/>
    <s v="University of Alabama at Birmingham (Optometry)"/>
    <m/>
    <m/>
    <x v="12"/>
    <m/>
    <m/>
    <m/>
    <m/>
    <m/>
    <m/>
    <m/>
    <m/>
    <n v="0"/>
    <m/>
    <m/>
    <n v="0"/>
    <n v="0"/>
    <n v="0"/>
    <n v="114400"/>
    <n v="59200"/>
    <m/>
    <m/>
    <n v="0"/>
    <m/>
    <m/>
    <n v="0"/>
    <m/>
    <m/>
    <m/>
    <m/>
    <m/>
    <m/>
    <n v="114400"/>
    <n v="59200"/>
  </r>
  <r>
    <x v="11"/>
    <x v="22"/>
    <s v="University of Georgia (Veterinary Medicine)"/>
    <m/>
    <m/>
    <x v="12"/>
    <m/>
    <m/>
    <m/>
    <m/>
    <m/>
    <m/>
    <m/>
    <m/>
    <n v="0"/>
    <m/>
    <m/>
    <n v="0"/>
    <n v="0"/>
    <n v="0"/>
    <n v="1675000"/>
    <n v="1728600"/>
    <m/>
    <m/>
    <n v="0"/>
    <m/>
    <m/>
    <n v="0"/>
    <m/>
    <m/>
    <m/>
    <m/>
    <m/>
    <m/>
    <n v="1675000"/>
    <n v="1728600"/>
  </r>
  <r>
    <x v="11"/>
    <x v="22"/>
    <s v="Mississippi State University (Veterinary Medicine)"/>
    <m/>
    <m/>
    <x v="12"/>
    <m/>
    <m/>
    <m/>
    <m/>
    <m/>
    <m/>
    <m/>
    <m/>
    <n v="0"/>
    <m/>
    <m/>
    <n v="0"/>
    <n v="0"/>
    <n v="0"/>
    <n v="500000"/>
    <n v="516000"/>
    <m/>
    <m/>
    <n v="0"/>
    <m/>
    <m/>
    <n v="0"/>
    <m/>
    <m/>
    <m/>
    <m/>
    <m/>
    <m/>
    <n v="500000"/>
    <n v="516000"/>
  </r>
  <r>
    <x v="11"/>
    <x v="23"/>
    <s v="Other contract education programs"/>
    <m/>
    <m/>
    <x v="12"/>
    <m/>
    <m/>
    <m/>
    <m/>
    <m/>
    <m/>
    <m/>
    <m/>
    <n v="0"/>
    <m/>
    <m/>
    <n v="0"/>
    <n v="0"/>
    <n v="0"/>
    <m/>
    <m/>
    <m/>
    <m/>
    <n v="0"/>
    <m/>
    <m/>
    <n v="0"/>
    <m/>
    <m/>
    <m/>
    <m/>
    <m/>
    <m/>
    <n v="0"/>
    <n v="0"/>
  </r>
  <r>
    <x v="11"/>
    <x v="23"/>
    <s v="Doctoral Scholars Program"/>
    <m/>
    <m/>
    <x v="12"/>
    <m/>
    <m/>
    <m/>
    <m/>
    <m/>
    <m/>
    <m/>
    <m/>
    <n v="0"/>
    <m/>
    <m/>
    <n v="0"/>
    <n v="0"/>
    <n v="0"/>
    <n v="300000"/>
    <n v="300000"/>
    <m/>
    <m/>
    <n v="0"/>
    <m/>
    <m/>
    <n v="0"/>
    <m/>
    <m/>
    <m/>
    <m/>
    <m/>
    <m/>
    <n v="300000"/>
    <n v="300000"/>
  </r>
  <r>
    <x v="11"/>
    <x v="23"/>
    <s v="North Carolina School of the Arts"/>
    <m/>
    <m/>
    <x v="12"/>
    <m/>
    <m/>
    <m/>
    <m/>
    <m/>
    <m/>
    <m/>
    <m/>
    <n v="0"/>
    <m/>
    <m/>
    <n v="0"/>
    <n v="0"/>
    <n v="0"/>
    <n v="7177"/>
    <n v="7177"/>
    <m/>
    <m/>
    <n v="0"/>
    <m/>
    <m/>
    <n v="0"/>
    <m/>
    <m/>
    <m/>
    <m/>
    <m/>
    <m/>
    <n v="7177"/>
    <n v="7177"/>
  </r>
  <r>
    <x v="11"/>
    <x v="24"/>
    <s v="Statewide Student Financial Aid Programs Administered Off Campus"/>
    <m/>
    <m/>
    <x v="12"/>
    <m/>
    <m/>
    <m/>
    <m/>
    <m/>
    <m/>
    <m/>
    <m/>
    <n v="0"/>
    <m/>
    <m/>
    <n v="0"/>
    <n v="0"/>
    <n v="0"/>
    <m/>
    <m/>
    <m/>
    <m/>
    <n v="0"/>
    <m/>
    <m/>
    <n v="0"/>
    <m/>
    <m/>
    <m/>
    <m/>
    <m/>
    <m/>
    <n v="0"/>
    <n v="0"/>
  </r>
  <r>
    <x v="11"/>
    <x v="25"/>
    <s v="Available to public &amp; private sector students"/>
    <m/>
    <m/>
    <x v="12"/>
    <m/>
    <m/>
    <m/>
    <m/>
    <m/>
    <m/>
    <m/>
    <m/>
    <n v="0"/>
    <m/>
    <m/>
    <n v="0"/>
    <n v="0"/>
    <n v="0"/>
    <m/>
    <m/>
    <m/>
    <m/>
    <n v="0"/>
    <m/>
    <m/>
    <n v="0"/>
    <m/>
    <m/>
    <m/>
    <m/>
    <m/>
    <m/>
    <n v="0"/>
    <n v="0"/>
  </r>
  <r>
    <x v="11"/>
    <x v="25"/>
    <s v="Life Scholarships"/>
    <m/>
    <m/>
    <x v="12"/>
    <m/>
    <m/>
    <m/>
    <m/>
    <m/>
    <m/>
    <m/>
    <m/>
    <n v="0"/>
    <m/>
    <m/>
    <n v="0"/>
    <n v="0"/>
    <n v="0"/>
    <m/>
    <m/>
    <m/>
    <m/>
    <n v="0"/>
    <m/>
    <m/>
    <n v="0"/>
    <m/>
    <m/>
    <m/>
    <m/>
    <m/>
    <m/>
    <n v="0"/>
    <n v="0"/>
  </r>
  <r>
    <x v="11"/>
    <x v="28"/>
    <s v="Amount to public sector students"/>
    <m/>
    <m/>
    <x v="12"/>
    <m/>
    <m/>
    <m/>
    <m/>
    <m/>
    <m/>
    <m/>
    <m/>
    <n v="0"/>
    <m/>
    <m/>
    <n v="0"/>
    <n v="0"/>
    <n v="0"/>
    <m/>
    <m/>
    <m/>
    <m/>
    <n v="0"/>
    <m/>
    <m/>
    <n v="0"/>
    <m/>
    <m/>
    <m/>
    <m/>
    <m/>
    <m/>
    <n v="0"/>
    <n v="0"/>
  </r>
  <r>
    <x v="11"/>
    <x v="29"/>
    <s v="Need-based"/>
    <m/>
    <m/>
    <x v="12"/>
    <m/>
    <m/>
    <m/>
    <m/>
    <m/>
    <m/>
    <m/>
    <m/>
    <n v="0"/>
    <m/>
    <m/>
    <n v="0"/>
    <n v="0"/>
    <n v="0"/>
    <m/>
    <m/>
    <m/>
    <m/>
    <n v="0"/>
    <m/>
    <m/>
    <n v="0"/>
    <m/>
    <m/>
    <m/>
    <m/>
    <m/>
    <m/>
    <n v="0"/>
    <n v="0"/>
  </r>
  <r>
    <x v="11"/>
    <x v="30"/>
    <s v="Non need-based"/>
    <m/>
    <m/>
    <x v="12"/>
    <m/>
    <m/>
    <m/>
    <m/>
    <m/>
    <m/>
    <m/>
    <m/>
    <n v="0"/>
    <m/>
    <m/>
    <n v="0"/>
    <n v="0"/>
    <n v="0"/>
    <n v="140280693"/>
    <n v="142600786"/>
    <m/>
    <m/>
    <n v="0"/>
    <m/>
    <m/>
    <n v="0"/>
    <m/>
    <m/>
    <m/>
    <m/>
    <m/>
    <m/>
    <n v="140280693"/>
    <n v="142600786"/>
  </r>
  <r>
    <x v="11"/>
    <x v="31"/>
    <s v="Amount to private sector students"/>
    <m/>
    <m/>
    <x v="12"/>
    <m/>
    <m/>
    <m/>
    <m/>
    <m/>
    <m/>
    <m/>
    <m/>
    <n v="0"/>
    <m/>
    <m/>
    <n v="0"/>
    <n v="0"/>
    <n v="0"/>
    <m/>
    <m/>
    <m/>
    <m/>
    <n v="0"/>
    <m/>
    <m/>
    <n v="0"/>
    <m/>
    <m/>
    <m/>
    <m/>
    <m/>
    <m/>
    <n v="0"/>
    <n v="0"/>
  </r>
  <r>
    <x v="11"/>
    <x v="32"/>
    <s v="Need-based"/>
    <m/>
    <m/>
    <x v="12"/>
    <m/>
    <m/>
    <m/>
    <m/>
    <m/>
    <m/>
    <m/>
    <m/>
    <n v="0"/>
    <m/>
    <m/>
    <n v="0"/>
    <n v="0"/>
    <n v="0"/>
    <m/>
    <m/>
    <m/>
    <m/>
    <n v="0"/>
    <m/>
    <m/>
    <n v="0"/>
    <m/>
    <m/>
    <m/>
    <m/>
    <m/>
    <m/>
    <n v="0"/>
    <n v="0"/>
  </r>
  <r>
    <x v="11"/>
    <x v="33"/>
    <s v="Non need-based"/>
    <m/>
    <m/>
    <x v="12"/>
    <m/>
    <m/>
    <m/>
    <m/>
    <m/>
    <m/>
    <m/>
    <m/>
    <n v="0"/>
    <m/>
    <m/>
    <n v="0"/>
    <n v="0"/>
    <n v="0"/>
    <n v="31609592"/>
    <n v="29529499"/>
    <m/>
    <m/>
    <n v="0"/>
    <m/>
    <m/>
    <n v="0"/>
    <m/>
    <m/>
    <m/>
    <m/>
    <m/>
    <m/>
    <n v="31609592"/>
    <n v="29529499"/>
  </r>
  <r>
    <x v="11"/>
    <x v="25"/>
    <s v="Lottery Tuition Assistance Program"/>
    <m/>
    <m/>
    <x v="12"/>
    <m/>
    <m/>
    <m/>
    <m/>
    <m/>
    <m/>
    <m/>
    <m/>
    <n v="0"/>
    <m/>
    <m/>
    <n v="0"/>
    <n v="0"/>
    <n v="0"/>
    <m/>
    <m/>
    <m/>
    <m/>
    <n v="0"/>
    <m/>
    <m/>
    <n v="0"/>
    <m/>
    <m/>
    <m/>
    <m/>
    <m/>
    <m/>
    <n v="0"/>
    <n v="0"/>
  </r>
  <r>
    <x v="11"/>
    <x v="28"/>
    <s v="Amount to public sector students"/>
    <m/>
    <m/>
    <x v="12"/>
    <m/>
    <m/>
    <m/>
    <m/>
    <m/>
    <m/>
    <m/>
    <m/>
    <n v="0"/>
    <m/>
    <m/>
    <n v="0"/>
    <n v="0"/>
    <n v="0"/>
    <m/>
    <m/>
    <m/>
    <m/>
    <n v="0"/>
    <m/>
    <m/>
    <n v="0"/>
    <m/>
    <m/>
    <m/>
    <m/>
    <m/>
    <m/>
    <n v="0"/>
    <n v="0"/>
  </r>
  <r>
    <x v="11"/>
    <x v="29"/>
    <s v="Need-based"/>
    <m/>
    <m/>
    <x v="12"/>
    <m/>
    <m/>
    <m/>
    <m/>
    <m/>
    <m/>
    <m/>
    <m/>
    <n v="0"/>
    <m/>
    <m/>
    <n v="0"/>
    <n v="0"/>
    <n v="0"/>
    <m/>
    <m/>
    <m/>
    <m/>
    <n v="0"/>
    <m/>
    <m/>
    <n v="0"/>
    <m/>
    <m/>
    <m/>
    <m/>
    <m/>
    <m/>
    <n v="0"/>
    <n v="0"/>
  </r>
  <r>
    <x v="11"/>
    <x v="30"/>
    <s v="Non need-based"/>
    <m/>
    <m/>
    <x v="12"/>
    <m/>
    <m/>
    <m/>
    <m/>
    <m/>
    <m/>
    <m/>
    <m/>
    <n v="0"/>
    <m/>
    <m/>
    <n v="0"/>
    <n v="0"/>
    <n v="0"/>
    <n v="46297087"/>
    <n v="48499526"/>
    <m/>
    <m/>
    <n v="0"/>
    <m/>
    <m/>
    <n v="0"/>
    <m/>
    <m/>
    <m/>
    <m/>
    <m/>
    <m/>
    <n v="46297087"/>
    <n v="48499526"/>
  </r>
  <r>
    <x v="11"/>
    <x v="31"/>
    <s v="Amount to private sector students"/>
    <m/>
    <m/>
    <x v="12"/>
    <m/>
    <m/>
    <m/>
    <m/>
    <m/>
    <m/>
    <m/>
    <m/>
    <n v="0"/>
    <m/>
    <m/>
    <n v="0"/>
    <n v="0"/>
    <n v="0"/>
    <m/>
    <m/>
    <m/>
    <m/>
    <n v="0"/>
    <m/>
    <m/>
    <n v="0"/>
    <m/>
    <m/>
    <m/>
    <m/>
    <m/>
    <m/>
    <n v="0"/>
    <n v="0"/>
  </r>
  <r>
    <x v="11"/>
    <x v="32"/>
    <s v="Need-based"/>
    <m/>
    <m/>
    <x v="12"/>
    <m/>
    <m/>
    <m/>
    <m/>
    <m/>
    <m/>
    <m/>
    <m/>
    <n v="0"/>
    <m/>
    <m/>
    <n v="0"/>
    <n v="0"/>
    <n v="0"/>
    <m/>
    <m/>
    <m/>
    <m/>
    <n v="0"/>
    <m/>
    <m/>
    <n v="0"/>
    <m/>
    <m/>
    <m/>
    <m/>
    <m/>
    <m/>
    <n v="0"/>
    <n v="0"/>
  </r>
  <r>
    <x v="11"/>
    <x v="33"/>
    <s v="Non need-based"/>
    <m/>
    <m/>
    <x v="12"/>
    <m/>
    <m/>
    <m/>
    <m/>
    <m/>
    <m/>
    <m/>
    <m/>
    <n v="0"/>
    <m/>
    <m/>
    <n v="0"/>
    <n v="0"/>
    <n v="0"/>
    <n v="702913"/>
    <n v="600474"/>
    <m/>
    <m/>
    <n v="0"/>
    <m/>
    <m/>
    <n v="0"/>
    <m/>
    <m/>
    <m/>
    <m/>
    <m/>
    <m/>
    <n v="702913"/>
    <n v="600474"/>
  </r>
  <r>
    <x v="11"/>
    <x v="25"/>
    <s v="  Palmetto Fellows Scholarships"/>
    <m/>
    <m/>
    <x v="12"/>
    <m/>
    <m/>
    <m/>
    <m/>
    <m/>
    <m/>
    <m/>
    <m/>
    <n v="0"/>
    <m/>
    <m/>
    <n v="0"/>
    <n v="0"/>
    <n v="0"/>
    <m/>
    <m/>
    <m/>
    <m/>
    <n v="0"/>
    <m/>
    <m/>
    <n v="0"/>
    <m/>
    <m/>
    <m/>
    <m/>
    <m/>
    <m/>
    <n v="0"/>
    <n v="0"/>
  </r>
  <r>
    <x v="11"/>
    <x v="28"/>
    <s v="Amount to public sector students"/>
    <m/>
    <m/>
    <x v="12"/>
    <m/>
    <m/>
    <m/>
    <m/>
    <m/>
    <m/>
    <m/>
    <m/>
    <n v="0"/>
    <m/>
    <m/>
    <n v="0"/>
    <n v="0"/>
    <n v="0"/>
    <m/>
    <m/>
    <m/>
    <m/>
    <n v="0"/>
    <m/>
    <m/>
    <n v="0"/>
    <m/>
    <m/>
    <m/>
    <m/>
    <m/>
    <m/>
    <n v="0"/>
    <n v="0"/>
  </r>
  <r>
    <x v="11"/>
    <x v="29"/>
    <s v="Need-based"/>
    <m/>
    <m/>
    <x v="12"/>
    <m/>
    <m/>
    <m/>
    <m/>
    <m/>
    <m/>
    <m/>
    <m/>
    <n v="0"/>
    <m/>
    <m/>
    <n v="0"/>
    <n v="0"/>
    <n v="0"/>
    <m/>
    <m/>
    <m/>
    <m/>
    <n v="0"/>
    <m/>
    <m/>
    <n v="0"/>
    <m/>
    <m/>
    <m/>
    <m/>
    <m/>
    <m/>
    <n v="0"/>
    <n v="0"/>
  </r>
  <r>
    <x v="11"/>
    <x v="30"/>
    <s v="Non need-based"/>
    <m/>
    <m/>
    <x v="12"/>
    <m/>
    <m/>
    <m/>
    <m/>
    <m/>
    <m/>
    <m/>
    <m/>
    <n v="0"/>
    <m/>
    <m/>
    <n v="0"/>
    <n v="0"/>
    <n v="0"/>
    <n v="32308537"/>
    <n v="39182845"/>
    <m/>
    <m/>
    <n v="0"/>
    <m/>
    <m/>
    <n v="0"/>
    <m/>
    <m/>
    <m/>
    <m/>
    <m/>
    <m/>
    <n v="32308537"/>
    <n v="39182845"/>
  </r>
  <r>
    <x v="11"/>
    <x v="31"/>
    <s v="Amount to private sector students"/>
    <m/>
    <m/>
    <x v="12"/>
    <m/>
    <m/>
    <m/>
    <m/>
    <m/>
    <m/>
    <m/>
    <m/>
    <n v="0"/>
    <m/>
    <m/>
    <n v="0"/>
    <n v="0"/>
    <n v="0"/>
    <m/>
    <m/>
    <m/>
    <m/>
    <n v="0"/>
    <m/>
    <m/>
    <n v="0"/>
    <m/>
    <m/>
    <m/>
    <m/>
    <m/>
    <m/>
    <n v="0"/>
    <n v="0"/>
  </r>
  <r>
    <x v="11"/>
    <x v="32"/>
    <s v="Need-based"/>
    <m/>
    <m/>
    <x v="12"/>
    <m/>
    <m/>
    <m/>
    <m/>
    <m/>
    <m/>
    <m/>
    <m/>
    <n v="0"/>
    <m/>
    <m/>
    <n v="0"/>
    <n v="0"/>
    <n v="0"/>
    <m/>
    <m/>
    <m/>
    <m/>
    <n v="0"/>
    <m/>
    <m/>
    <n v="0"/>
    <m/>
    <m/>
    <m/>
    <m/>
    <m/>
    <m/>
    <n v="0"/>
    <n v="0"/>
  </r>
  <r>
    <x v="11"/>
    <x v="33"/>
    <s v="Non need-based"/>
    <m/>
    <m/>
    <x v="12"/>
    <m/>
    <m/>
    <m/>
    <m/>
    <m/>
    <m/>
    <m/>
    <m/>
    <n v="0"/>
    <m/>
    <m/>
    <n v="0"/>
    <n v="0"/>
    <n v="0"/>
    <n v="9968703"/>
    <n v="10703822"/>
    <m/>
    <m/>
    <n v="0"/>
    <m/>
    <m/>
    <n v="0"/>
    <m/>
    <m/>
    <m/>
    <m/>
    <m/>
    <m/>
    <n v="9968703"/>
    <n v="10703822"/>
  </r>
  <r>
    <x v="11"/>
    <x v="25"/>
    <s v="SC HOPE"/>
    <m/>
    <m/>
    <x v="12"/>
    <m/>
    <m/>
    <m/>
    <m/>
    <m/>
    <m/>
    <m/>
    <m/>
    <n v="0"/>
    <m/>
    <m/>
    <n v="0"/>
    <n v="0"/>
    <n v="0"/>
    <m/>
    <m/>
    <m/>
    <m/>
    <n v="0"/>
    <m/>
    <m/>
    <n v="0"/>
    <m/>
    <m/>
    <m/>
    <m/>
    <m/>
    <m/>
    <n v="0"/>
    <n v="0"/>
  </r>
  <r>
    <x v="11"/>
    <x v="28"/>
    <s v="Amount to public sector students"/>
    <m/>
    <m/>
    <x v="12"/>
    <m/>
    <m/>
    <m/>
    <m/>
    <m/>
    <m/>
    <m/>
    <m/>
    <n v="0"/>
    <m/>
    <m/>
    <n v="0"/>
    <n v="0"/>
    <n v="0"/>
    <m/>
    <m/>
    <m/>
    <m/>
    <n v="0"/>
    <m/>
    <m/>
    <n v="0"/>
    <m/>
    <m/>
    <m/>
    <m/>
    <m/>
    <m/>
    <n v="0"/>
    <n v="0"/>
  </r>
  <r>
    <x v="11"/>
    <x v="29"/>
    <s v="Need-based"/>
    <m/>
    <m/>
    <x v="12"/>
    <m/>
    <m/>
    <m/>
    <m/>
    <m/>
    <m/>
    <m/>
    <m/>
    <n v="0"/>
    <m/>
    <m/>
    <n v="0"/>
    <n v="0"/>
    <n v="0"/>
    <m/>
    <m/>
    <m/>
    <m/>
    <n v="0"/>
    <m/>
    <m/>
    <n v="0"/>
    <m/>
    <m/>
    <m/>
    <m/>
    <m/>
    <m/>
    <n v="0"/>
    <n v="0"/>
  </r>
  <r>
    <x v="11"/>
    <x v="30"/>
    <s v="Non need-based"/>
    <m/>
    <m/>
    <x v="12"/>
    <m/>
    <m/>
    <m/>
    <m/>
    <m/>
    <m/>
    <m/>
    <m/>
    <n v="0"/>
    <m/>
    <m/>
    <n v="0"/>
    <n v="0"/>
    <n v="0"/>
    <n v="6081326"/>
    <n v="5885114"/>
    <m/>
    <m/>
    <n v="0"/>
    <m/>
    <m/>
    <n v="0"/>
    <m/>
    <m/>
    <m/>
    <m/>
    <m/>
    <m/>
    <n v="6081326"/>
    <n v="5885114"/>
  </r>
  <r>
    <x v="11"/>
    <x v="31"/>
    <s v="Amount to private sector students"/>
    <m/>
    <m/>
    <x v="12"/>
    <m/>
    <m/>
    <m/>
    <m/>
    <m/>
    <m/>
    <m/>
    <m/>
    <n v="0"/>
    <m/>
    <m/>
    <n v="0"/>
    <n v="0"/>
    <n v="0"/>
    <m/>
    <m/>
    <m/>
    <m/>
    <n v="0"/>
    <m/>
    <m/>
    <n v="0"/>
    <m/>
    <m/>
    <m/>
    <m/>
    <m/>
    <m/>
    <n v="0"/>
    <n v="0"/>
  </r>
  <r>
    <x v="11"/>
    <x v="32"/>
    <s v="Need-based"/>
    <m/>
    <m/>
    <x v="12"/>
    <m/>
    <m/>
    <m/>
    <m/>
    <m/>
    <m/>
    <m/>
    <m/>
    <n v="0"/>
    <m/>
    <m/>
    <n v="0"/>
    <n v="0"/>
    <n v="0"/>
    <m/>
    <m/>
    <m/>
    <m/>
    <n v="0"/>
    <m/>
    <m/>
    <n v="0"/>
    <m/>
    <m/>
    <m/>
    <m/>
    <m/>
    <m/>
    <n v="0"/>
    <n v="0"/>
  </r>
  <r>
    <x v="11"/>
    <x v="33"/>
    <s v="Non need-based"/>
    <m/>
    <m/>
    <x v="12"/>
    <m/>
    <m/>
    <m/>
    <m/>
    <m/>
    <m/>
    <m/>
    <m/>
    <n v="0"/>
    <m/>
    <m/>
    <n v="0"/>
    <n v="0"/>
    <n v="0"/>
    <n v="2173875"/>
    <n v="2126469"/>
    <m/>
    <m/>
    <n v="0"/>
    <m/>
    <m/>
    <n v="0"/>
    <m/>
    <m/>
    <m/>
    <m/>
    <m/>
    <m/>
    <n v="2173875"/>
    <n v="2126469"/>
  </r>
  <r>
    <x v="11"/>
    <x v="25"/>
    <s v="SC Need-Based Grants"/>
    <m/>
    <m/>
    <x v="12"/>
    <m/>
    <m/>
    <m/>
    <m/>
    <m/>
    <m/>
    <m/>
    <m/>
    <n v="0"/>
    <m/>
    <m/>
    <n v="0"/>
    <n v="0"/>
    <n v="0"/>
    <m/>
    <m/>
    <m/>
    <m/>
    <n v="0"/>
    <m/>
    <m/>
    <n v="0"/>
    <m/>
    <m/>
    <m/>
    <m/>
    <m/>
    <m/>
    <n v="0"/>
    <n v="0"/>
  </r>
  <r>
    <x v="11"/>
    <x v="28"/>
    <s v="Amount to public sector students"/>
    <m/>
    <m/>
    <x v="12"/>
    <m/>
    <m/>
    <m/>
    <m/>
    <m/>
    <m/>
    <m/>
    <m/>
    <n v="0"/>
    <m/>
    <m/>
    <n v="0"/>
    <n v="0"/>
    <n v="0"/>
    <m/>
    <m/>
    <m/>
    <m/>
    <n v="0"/>
    <m/>
    <m/>
    <n v="0"/>
    <m/>
    <m/>
    <m/>
    <m/>
    <m/>
    <m/>
    <n v="0"/>
    <n v="0"/>
  </r>
  <r>
    <x v="11"/>
    <x v="29"/>
    <s v="Need-based"/>
    <m/>
    <m/>
    <x v="12"/>
    <m/>
    <m/>
    <m/>
    <m/>
    <m/>
    <m/>
    <m/>
    <m/>
    <n v="0"/>
    <m/>
    <m/>
    <n v="0"/>
    <n v="0"/>
    <n v="0"/>
    <n v="19050328"/>
    <n v="22965949"/>
    <m/>
    <m/>
    <n v="0"/>
    <m/>
    <m/>
    <n v="0"/>
    <m/>
    <m/>
    <m/>
    <m/>
    <m/>
    <m/>
    <n v="19050328"/>
    <n v="22965949"/>
  </r>
  <r>
    <x v="11"/>
    <x v="30"/>
    <s v="Non need-based"/>
    <m/>
    <m/>
    <x v="12"/>
    <m/>
    <m/>
    <m/>
    <m/>
    <m/>
    <m/>
    <m/>
    <m/>
    <n v="0"/>
    <m/>
    <m/>
    <n v="0"/>
    <n v="0"/>
    <n v="0"/>
    <m/>
    <m/>
    <m/>
    <m/>
    <n v="0"/>
    <m/>
    <m/>
    <n v="0"/>
    <m/>
    <m/>
    <m/>
    <m/>
    <m/>
    <m/>
    <n v="0"/>
    <n v="0"/>
  </r>
  <r>
    <x v="11"/>
    <x v="31"/>
    <s v="Amount to private sector students"/>
    <m/>
    <m/>
    <x v="12"/>
    <m/>
    <m/>
    <m/>
    <m/>
    <m/>
    <m/>
    <m/>
    <m/>
    <n v="0"/>
    <m/>
    <m/>
    <n v="0"/>
    <n v="0"/>
    <n v="0"/>
    <m/>
    <m/>
    <m/>
    <m/>
    <n v="0"/>
    <m/>
    <m/>
    <n v="0"/>
    <m/>
    <m/>
    <m/>
    <m/>
    <m/>
    <m/>
    <n v="0"/>
    <n v="0"/>
  </r>
  <r>
    <x v="11"/>
    <x v="32"/>
    <s v="Need-based"/>
    <m/>
    <m/>
    <x v="12"/>
    <m/>
    <m/>
    <m/>
    <m/>
    <m/>
    <m/>
    <m/>
    <m/>
    <n v="0"/>
    <m/>
    <m/>
    <n v="0"/>
    <n v="0"/>
    <n v="0"/>
    <n v="4581238"/>
    <n v="4665617"/>
    <m/>
    <m/>
    <n v="0"/>
    <m/>
    <m/>
    <n v="0"/>
    <m/>
    <m/>
    <m/>
    <m/>
    <m/>
    <m/>
    <n v="4581238"/>
    <n v="4665617"/>
  </r>
  <r>
    <x v="11"/>
    <x v="33"/>
    <s v="Non need-based"/>
    <m/>
    <m/>
    <x v="12"/>
    <m/>
    <m/>
    <m/>
    <m/>
    <m/>
    <m/>
    <m/>
    <m/>
    <n v="0"/>
    <m/>
    <m/>
    <n v="0"/>
    <n v="0"/>
    <n v="0"/>
    <m/>
    <s v=" "/>
    <m/>
    <m/>
    <n v="0"/>
    <m/>
    <m/>
    <n v="0"/>
    <m/>
    <m/>
    <m/>
    <m/>
    <m/>
    <m/>
    <n v="0"/>
    <n v="0"/>
  </r>
  <r>
    <x v="11"/>
    <x v="25"/>
    <s v="National Guard College Assistance Program"/>
    <m/>
    <m/>
    <x v="12"/>
    <m/>
    <m/>
    <m/>
    <m/>
    <m/>
    <m/>
    <m/>
    <m/>
    <n v="0"/>
    <m/>
    <m/>
    <n v="0"/>
    <n v="0"/>
    <n v="0"/>
    <m/>
    <m/>
    <m/>
    <m/>
    <n v="0"/>
    <m/>
    <m/>
    <n v="0"/>
    <m/>
    <m/>
    <m/>
    <m/>
    <m/>
    <m/>
    <n v="0"/>
    <n v="0"/>
  </r>
  <r>
    <x v="11"/>
    <x v="26"/>
    <s v="Need-based"/>
    <m/>
    <m/>
    <x v="12"/>
    <m/>
    <m/>
    <m/>
    <m/>
    <m/>
    <m/>
    <m/>
    <m/>
    <n v="0"/>
    <m/>
    <m/>
    <n v="0"/>
    <n v="0"/>
    <n v="0"/>
    <m/>
    <m/>
    <m/>
    <m/>
    <n v="0"/>
    <m/>
    <m/>
    <n v="0"/>
    <m/>
    <m/>
    <m/>
    <m/>
    <m/>
    <m/>
    <n v="0"/>
    <n v="0"/>
  </r>
  <r>
    <x v="11"/>
    <x v="27"/>
    <s v="Non need-based"/>
    <m/>
    <m/>
    <x v="12"/>
    <m/>
    <m/>
    <m/>
    <m/>
    <m/>
    <m/>
    <m/>
    <m/>
    <n v="0"/>
    <m/>
    <m/>
    <n v="0"/>
    <n v="0"/>
    <n v="0"/>
    <n v="1700000"/>
    <n v="1700000"/>
    <m/>
    <m/>
    <n v="0"/>
    <m/>
    <m/>
    <n v="0"/>
    <m/>
    <m/>
    <m/>
    <m/>
    <m/>
    <m/>
    <n v="1700000"/>
    <n v="1700000"/>
  </r>
  <r>
    <x v="11"/>
    <x v="34"/>
    <s v="Limited to public college students"/>
    <m/>
    <m/>
    <x v="12"/>
    <m/>
    <m/>
    <m/>
    <m/>
    <m/>
    <m/>
    <m/>
    <m/>
    <n v="0"/>
    <m/>
    <m/>
    <n v="0"/>
    <n v="0"/>
    <n v="0"/>
    <m/>
    <m/>
    <m/>
    <m/>
    <n v="0"/>
    <m/>
    <m/>
    <n v="0"/>
    <m/>
    <m/>
    <m/>
    <m/>
    <m/>
    <m/>
    <n v="0"/>
    <n v="0"/>
  </r>
  <r>
    <x v="11"/>
    <x v="37"/>
    <s v="Limited to private college students"/>
    <m/>
    <m/>
    <x v="12"/>
    <m/>
    <m/>
    <m/>
    <m/>
    <m/>
    <m/>
    <m/>
    <m/>
    <n v="0"/>
    <m/>
    <m/>
    <n v="0"/>
    <n v="0"/>
    <n v="0"/>
    <m/>
    <m/>
    <m/>
    <m/>
    <n v="0"/>
    <m/>
    <m/>
    <n v="0"/>
    <m/>
    <m/>
    <m/>
    <m/>
    <m/>
    <m/>
    <n v="0"/>
    <n v="0"/>
  </r>
  <r>
    <x v="11"/>
    <x v="37"/>
    <s v="S.C. Tuition Grants"/>
    <m/>
    <m/>
    <x v="12"/>
    <m/>
    <m/>
    <m/>
    <m/>
    <m/>
    <m/>
    <m/>
    <m/>
    <n v="0"/>
    <m/>
    <m/>
    <n v="0"/>
    <n v="0"/>
    <n v="0"/>
    <m/>
    <m/>
    <m/>
    <m/>
    <n v="0"/>
    <m/>
    <m/>
    <n v="0"/>
    <m/>
    <m/>
    <m/>
    <m/>
    <m/>
    <m/>
    <n v="0"/>
    <n v="0"/>
  </r>
  <r>
    <x v="11"/>
    <x v="38"/>
    <s v="Need-based"/>
    <m/>
    <m/>
    <x v="12"/>
    <m/>
    <m/>
    <m/>
    <m/>
    <m/>
    <m/>
    <m/>
    <m/>
    <n v="0"/>
    <m/>
    <m/>
    <n v="0"/>
    <n v="0"/>
    <n v="0"/>
    <n v="29503042"/>
    <n v="29363042"/>
    <m/>
    <m/>
    <n v="0"/>
    <m/>
    <m/>
    <n v="0"/>
    <m/>
    <m/>
    <m/>
    <m/>
    <m/>
    <m/>
    <n v="29503042"/>
    <n v="29363042"/>
  </r>
  <r>
    <x v="11"/>
    <x v="39"/>
    <s v="Non need-based"/>
    <m/>
    <m/>
    <x v="12"/>
    <m/>
    <m/>
    <m/>
    <m/>
    <m/>
    <m/>
    <m/>
    <m/>
    <n v="0"/>
    <m/>
    <m/>
    <n v="0"/>
    <n v="0"/>
    <n v="0"/>
    <m/>
    <m/>
    <m/>
    <m/>
    <n v="0"/>
    <m/>
    <m/>
    <n v="0"/>
    <m/>
    <m/>
    <m/>
    <m/>
    <m/>
    <m/>
    <n v="0"/>
    <n v="0"/>
  </r>
  <r>
    <x v="12"/>
    <x v="0"/>
    <s v="University of Memphis"/>
    <m/>
    <n v="220862"/>
    <x v="0"/>
    <n v="97973472"/>
    <n v="99642860"/>
    <m/>
    <m/>
    <m/>
    <m/>
    <n v="151004967"/>
    <n v="4255136"/>
    <n v="155260103"/>
    <n v="159874741"/>
    <n v="4045100"/>
    <n v="163919841"/>
    <n v="248978439"/>
    <n v="259517601"/>
    <m/>
    <m/>
    <m/>
    <m/>
    <n v="0"/>
    <m/>
    <m/>
    <n v="0"/>
    <m/>
    <m/>
    <m/>
    <m/>
    <m/>
    <m/>
    <n v="248978439"/>
    <n v="259517601"/>
  </r>
  <r>
    <x v="12"/>
    <x v="0"/>
    <s v="University of Tennessee, Knoxville"/>
    <m/>
    <n v="221759"/>
    <x v="0"/>
    <n v="153760768"/>
    <n v="162203609.7920163"/>
    <m/>
    <m/>
    <m/>
    <m/>
    <n v="239257900"/>
    <n v="1100000"/>
    <n v="240357900"/>
    <n v="256774464"/>
    <n v="1100000"/>
    <n v="257874464"/>
    <n v="393018668"/>
    <n v="418978073.79201627"/>
    <m/>
    <m/>
    <m/>
    <m/>
    <n v="0"/>
    <m/>
    <m/>
    <n v="0"/>
    <m/>
    <m/>
    <m/>
    <m/>
    <m/>
    <m/>
    <n v="393018668"/>
    <n v="418978073.79201627"/>
  </r>
  <r>
    <x v="12"/>
    <x v="3"/>
    <s v="Community/Public Service Units"/>
    <m/>
    <n v="221759"/>
    <x v="0"/>
    <m/>
    <m/>
    <m/>
    <m/>
    <m/>
    <m/>
    <m/>
    <m/>
    <n v="0"/>
    <m/>
    <m/>
    <n v="0"/>
    <n v="0"/>
    <n v="0"/>
    <m/>
    <m/>
    <m/>
    <m/>
    <n v="0"/>
    <m/>
    <m/>
    <n v="0"/>
    <m/>
    <m/>
    <m/>
    <m/>
    <m/>
    <m/>
    <n v="0"/>
    <n v="0"/>
  </r>
  <r>
    <x v="12"/>
    <x v="3"/>
    <s v="Municipal Technology Advisory Service"/>
    <m/>
    <n v="221759"/>
    <x v="0"/>
    <m/>
    <m/>
    <n v="2571285"/>
    <n v="2737969"/>
    <m/>
    <m/>
    <m/>
    <m/>
    <n v="0"/>
    <m/>
    <m/>
    <n v="0"/>
    <n v="2571285"/>
    <n v="2737969"/>
    <m/>
    <m/>
    <m/>
    <m/>
    <n v="0"/>
    <m/>
    <m/>
    <n v="0"/>
    <m/>
    <m/>
    <m/>
    <m/>
    <m/>
    <m/>
    <n v="2571285"/>
    <n v="2737969"/>
  </r>
  <r>
    <x v="12"/>
    <x v="3"/>
    <s v="County Technology Advisory Service"/>
    <m/>
    <n v="221759"/>
    <x v="0"/>
    <m/>
    <m/>
    <n v="1534985"/>
    <n v="1650969"/>
    <m/>
    <m/>
    <m/>
    <m/>
    <n v="0"/>
    <m/>
    <m/>
    <n v="0"/>
    <n v="1534985"/>
    <n v="1650969"/>
    <m/>
    <m/>
    <m/>
    <m/>
    <n v="0"/>
    <m/>
    <m/>
    <n v="0"/>
    <m/>
    <m/>
    <m/>
    <m/>
    <m/>
    <m/>
    <n v="1534985"/>
    <n v="1650969"/>
  </r>
  <r>
    <x v="12"/>
    <x v="3"/>
    <s v="Institute for Public Service"/>
    <m/>
    <n v="221759"/>
    <x v="0"/>
    <m/>
    <m/>
    <n v="4371815"/>
    <n v="5058459"/>
    <m/>
    <m/>
    <m/>
    <m/>
    <n v="0"/>
    <m/>
    <m/>
    <n v="0"/>
    <n v="4371815"/>
    <n v="5058459"/>
    <m/>
    <m/>
    <m/>
    <m/>
    <n v="0"/>
    <m/>
    <m/>
    <n v="0"/>
    <m/>
    <m/>
    <m/>
    <m/>
    <m/>
    <m/>
    <n v="4371815"/>
    <n v="5058459"/>
  </r>
  <r>
    <x v="12"/>
    <x v="5"/>
    <s v="Agricultural cooperative extension"/>
    <m/>
    <n v="221759"/>
    <x v="0"/>
    <m/>
    <m/>
    <n v="28107881"/>
    <n v="29580016"/>
    <m/>
    <m/>
    <m/>
    <m/>
    <n v="0"/>
    <m/>
    <m/>
    <n v="0"/>
    <n v="28107881"/>
    <n v="29580016"/>
    <m/>
    <m/>
    <m/>
    <m/>
    <n v="0"/>
    <m/>
    <m/>
    <n v="0"/>
    <m/>
    <m/>
    <m/>
    <m/>
    <m/>
    <m/>
    <n v="28107881"/>
    <n v="29580016"/>
  </r>
  <r>
    <x v="12"/>
    <x v="6"/>
    <s v="Agricultural experiment stations"/>
    <m/>
    <n v="221759"/>
    <x v="0"/>
    <m/>
    <m/>
    <n v="23333760"/>
    <n v="24480573"/>
    <m/>
    <m/>
    <m/>
    <m/>
    <n v="0"/>
    <m/>
    <m/>
    <n v="0"/>
    <n v="23333760"/>
    <n v="24480573"/>
    <m/>
    <m/>
    <m/>
    <m/>
    <n v="0"/>
    <m/>
    <m/>
    <n v="0"/>
    <m/>
    <m/>
    <m/>
    <m/>
    <m/>
    <m/>
    <n v="23333760"/>
    <n v="24480573"/>
  </r>
  <r>
    <x v="12"/>
    <x v="0"/>
    <s v="Tennessee State University "/>
    <m/>
    <n v="221838"/>
    <x v="1"/>
    <n v="33047340"/>
    <n v="34167155"/>
    <m/>
    <m/>
    <m/>
    <m/>
    <n v="65744000"/>
    <n v="1576000"/>
    <n v="67320000"/>
    <n v="65496600"/>
    <n v="1500000"/>
    <n v="66996600"/>
    <n v="98791340"/>
    <n v="99663755"/>
    <m/>
    <m/>
    <m/>
    <m/>
    <n v="0"/>
    <m/>
    <m/>
    <n v="0"/>
    <m/>
    <m/>
    <m/>
    <m/>
    <m/>
    <m/>
    <n v="98791340"/>
    <n v="99663755"/>
  </r>
  <r>
    <x v="12"/>
    <x v="5"/>
    <s v="Agricultural experiment stations"/>
    <m/>
    <n v="221838"/>
    <x v="1"/>
    <m/>
    <m/>
    <m/>
    <m/>
    <m/>
    <m/>
    <m/>
    <m/>
    <n v="0"/>
    <m/>
    <m/>
    <n v="0"/>
    <n v="0"/>
    <n v="0"/>
    <m/>
    <m/>
    <m/>
    <m/>
    <n v="0"/>
    <m/>
    <m/>
    <n v="0"/>
    <m/>
    <m/>
    <m/>
    <m/>
    <m/>
    <m/>
    <n v="0"/>
    <n v="0"/>
  </r>
  <r>
    <x v="12"/>
    <x v="5"/>
    <s v="McMinnville Center Station"/>
    <m/>
    <n v="221838"/>
    <x v="1"/>
    <m/>
    <m/>
    <n v="528800"/>
    <n v="543600"/>
    <m/>
    <m/>
    <m/>
    <m/>
    <n v="0"/>
    <m/>
    <m/>
    <n v="0"/>
    <n v="528800"/>
    <n v="543600"/>
    <m/>
    <m/>
    <m/>
    <m/>
    <n v="0"/>
    <m/>
    <m/>
    <n v="0"/>
    <m/>
    <m/>
    <m/>
    <m/>
    <m/>
    <m/>
    <n v="528800"/>
    <n v="543600"/>
  </r>
  <r>
    <x v="12"/>
    <x v="5"/>
    <s v="TSU Institute of Agr and Environmental Research"/>
    <m/>
    <n v="221838"/>
    <x v="1"/>
    <m/>
    <m/>
    <n v="2145000"/>
    <n v="2208900"/>
    <m/>
    <m/>
    <m/>
    <m/>
    <n v="0"/>
    <m/>
    <m/>
    <n v="0"/>
    <n v="2145000"/>
    <n v="2208900"/>
    <m/>
    <m/>
    <m/>
    <m/>
    <n v="0"/>
    <m/>
    <m/>
    <n v="0"/>
    <m/>
    <m/>
    <m/>
    <m/>
    <m/>
    <m/>
    <n v="2145000"/>
    <n v="2208900"/>
  </r>
  <r>
    <x v="12"/>
    <x v="5"/>
    <s v="TSU Cooperative Education"/>
    <m/>
    <n v="221838"/>
    <x v="1"/>
    <m/>
    <m/>
    <n v="2918200"/>
    <n v="3010500"/>
    <m/>
    <m/>
    <m/>
    <m/>
    <n v="0"/>
    <m/>
    <m/>
    <n v="0"/>
    <n v="2918200"/>
    <n v="3010500"/>
    <m/>
    <m/>
    <m/>
    <m/>
    <n v="0"/>
    <m/>
    <m/>
    <n v="0"/>
    <m/>
    <m/>
    <m/>
    <m/>
    <m/>
    <m/>
    <n v="2918200"/>
    <n v="3010500"/>
  </r>
  <r>
    <x v="12"/>
    <x v="5"/>
    <s v="TSU McIntire-Stennis Forestry Research"/>
    <m/>
    <n v="221838"/>
    <x v="1"/>
    <m/>
    <m/>
    <n v="170600"/>
    <n v="174100"/>
    <m/>
    <m/>
    <m/>
    <m/>
    <n v="0"/>
    <m/>
    <m/>
    <n v="0"/>
    <n v="170600"/>
    <n v="174100"/>
    <m/>
    <m/>
    <m/>
    <m/>
    <n v="0"/>
    <m/>
    <m/>
    <n v="0"/>
    <m/>
    <m/>
    <m/>
    <m/>
    <m/>
    <m/>
    <n v="170600"/>
    <n v="174100"/>
  </r>
  <r>
    <x v="12"/>
    <x v="0"/>
    <s v="Austin Peay State University "/>
    <m/>
    <n v="219602"/>
    <x v="2"/>
    <n v="27676325"/>
    <n v="29936158.329999998"/>
    <m/>
    <m/>
    <m/>
    <m/>
    <n v="60710300"/>
    <n v="2300000"/>
    <n v="63010300"/>
    <n v="62016400"/>
    <n v="2370800"/>
    <n v="64387200"/>
    <n v="88386625"/>
    <n v="91952558.329999998"/>
    <m/>
    <m/>
    <m/>
    <m/>
    <n v="0"/>
    <m/>
    <m/>
    <n v="0"/>
    <m/>
    <m/>
    <m/>
    <m/>
    <m/>
    <m/>
    <n v="88386625"/>
    <n v="91952558.329999998"/>
  </r>
  <r>
    <x v="12"/>
    <x v="0"/>
    <s v="East Tennessee State University "/>
    <m/>
    <n v="220075"/>
    <x v="2"/>
    <n v="47591561"/>
    <n v="48191905.329999998"/>
    <m/>
    <m/>
    <m/>
    <m/>
    <n v="92047170"/>
    <n v="2641000"/>
    <n v="94688170"/>
    <n v="101066380"/>
    <n v="2641000"/>
    <n v="103707380"/>
    <n v="139638731"/>
    <n v="149258285.32999998"/>
    <m/>
    <m/>
    <m/>
    <m/>
    <n v="0"/>
    <m/>
    <m/>
    <n v="0"/>
    <m/>
    <m/>
    <m/>
    <m/>
    <m/>
    <m/>
    <n v="139638731"/>
    <n v="149258285.32999998"/>
  </r>
  <r>
    <x v="12"/>
    <x v="1"/>
    <s v="Medical School"/>
    <m/>
    <n v="220075"/>
    <x v="2"/>
    <m/>
    <m/>
    <m/>
    <m/>
    <m/>
    <m/>
    <m/>
    <m/>
    <n v="0"/>
    <m/>
    <m/>
    <n v="0"/>
    <n v="0"/>
    <n v="0"/>
    <m/>
    <m/>
    <m/>
    <m/>
    <n v="0"/>
    <m/>
    <m/>
    <n v="0"/>
    <n v="31519300"/>
    <n v="33277200"/>
    <n v="8332900"/>
    <n v="188300"/>
    <n v="8874700"/>
    <n v="166600"/>
    <n v="39852200"/>
    <n v="42151900"/>
  </r>
  <r>
    <x v="12"/>
    <x v="0"/>
    <s v="Middle Tennessee State University "/>
    <m/>
    <n v="220978"/>
    <x v="2"/>
    <n v="75977728"/>
    <n v="79109080"/>
    <m/>
    <m/>
    <m/>
    <m/>
    <n v="157353100"/>
    <n v="10153500"/>
    <n v="167506600"/>
    <n v="161137600"/>
    <n v="9587500"/>
    <n v="170725100"/>
    <n v="233330828"/>
    <n v="240246680"/>
    <m/>
    <m/>
    <m/>
    <m/>
    <n v="0"/>
    <m/>
    <m/>
    <n v="0"/>
    <m/>
    <m/>
    <m/>
    <m/>
    <m/>
    <m/>
    <n v="233330828"/>
    <n v="240246680"/>
  </r>
  <r>
    <x v="12"/>
    <x v="0"/>
    <s v="Tennessee Technological University "/>
    <m/>
    <n v="221847"/>
    <x v="2"/>
    <n v="40197840"/>
    <n v="41449740"/>
    <m/>
    <m/>
    <m/>
    <m/>
    <n v="65596300"/>
    <n v="568300"/>
    <n v="66164600"/>
    <n v="73123680"/>
    <n v="578300"/>
    <n v="73701980"/>
    <n v="105794140"/>
    <n v="114573420"/>
    <m/>
    <m/>
    <m/>
    <m/>
    <n v="0"/>
    <m/>
    <m/>
    <n v="0"/>
    <m/>
    <m/>
    <m/>
    <m/>
    <m/>
    <m/>
    <n v="105794140"/>
    <n v="114573420"/>
  </r>
  <r>
    <x v="12"/>
    <x v="0"/>
    <s v="University of Tennessee at Chattanooga"/>
    <m/>
    <n v="221740"/>
    <x v="2"/>
    <n v="36035946"/>
    <n v="36692961.896684311"/>
    <m/>
    <m/>
    <m/>
    <m/>
    <n v="62036210"/>
    <n v="2500000"/>
    <n v="64536210"/>
    <n v="69129303"/>
    <n v="3000000"/>
    <n v="72129303"/>
    <n v="98072156"/>
    <n v="105822264.89668432"/>
    <m/>
    <m/>
    <m/>
    <m/>
    <n v="0"/>
    <m/>
    <m/>
    <n v="0"/>
    <m/>
    <m/>
    <m/>
    <m/>
    <m/>
    <m/>
    <n v="98072156"/>
    <n v="105822264.89668432"/>
  </r>
  <r>
    <x v="12"/>
    <x v="0"/>
    <s v="University of Tennessee at Martin"/>
    <m/>
    <n v="221768"/>
    <x v="4"/>
    <n v="25588201"/>
    <n v="26633618.531082422"/>
    <m/>
    <m/>
    <m/>
    <m/>
    <n v="47601500"/>
    <n v="2500000"/>
    <n v="50101500"/>
    <n v="50002855"/>
    <n v="2500000"/>
    <n v="52502855"/>
    <n v="73189701"/>
    <n v="76636473.531082422"/>
    <m/>
    <m/>
    <m/>
    <m/>
    <n v="0"/>
    <m/>
    <m/>
    <n v="0"/>
    <m/>
    <m/>
    <m/>
    <m/>
    <m/>
    <m/>
    <n v="73189701"/>
    <n v="76636473.531082422"/>
  </r>
  <r>
    <x v="12"/>
    <x v="0"/>
    <s v="Chattanooga State Technical Community College "/>
    <m/>
    <n v="219824"/>
    <x v="6"/>
    <n v="20797342"/>
    <n v="22396107.111578938"/>
    <m/>
    <m/>
    <m/>
    <m/>
    <n v="30825000"/>
    <m/>
    <n v="30825000"/>
    <n v="31250000"/>
    <m/>
    <n v="31250000"/>
    <n v="51622342"/>
    <n v="53646107.111578941"/>
    <m/>
    <m/>
    <m/>
    <m/>
    <n v="0"/>
    <m/>
    <m/>
    <n v="0"/>
    <m/>
    <m/>
    <m/>
    <m/>
    <m/>
    <m/>
    <n v="51622342"/>
    <n v="53646107.111578941"/>
  </r>
  <r>
    <x v="12"/>
    <x v="0"/>
    <s v="Nashville State Technical Community College"/>
    <m/>
    <n v="221184"/>
    <x v="6"/>
    <n v="14125604"/>
    <n v="14678041.782376755"/>
    <m/>
    <m/>
    <m/>
    <m/>
    <n v="25410400"/>
    <m/>
    <n v="25410400"/>
    <n v="25124800"/>
    <m/>
    <n v="25124800"/>
    <n v="39536004"/>
    <n v="39802841.782376751"/>
    <m/>
    <m/>
    <m/>
    <m/>
    <n v="0"/>
    <m/>
    <m/>
    <n v="0"/>
    <m/>
    <m/>
    <m/>
    <m/>
    <m/>
    <m/>
    <n v="39536004"/>
    <n v="39802841.782376751"/>
  </r>
  <r>
    <x v="12"/>
    <x v="0"/>
    <s v="Pellissippi State Technical Community College"/>
    <m/>
    <n v="221643"/>
    <x v="6"/>
    <n v="19168340"/>
    <n v="20866585.360912781"/>
    <m/>
    <m/>
    <m/>
    <m/>
    <n v="33460000"/>
    <n v="330000"/>
    <n v="33790000"/>
    <n v="32420000"/>
    <n v="330000"/>
    <n v="32750000"/>
    <n v="52628340"/>
    <n v="53286585.360912785"/>
    <m/>
    <m/>
    <m/>
    <m/>
    <n v="0"/>
    <m/>
    <m/>
    <n v="0"/>
    <m/>
    <m/>
    <m/>
    <m/>
    <m/>
    <m/>
    <n v="52628340"/>
    <n v="53286585.360912785"/>
  </r>
  <r>
    <x v="12"/>
    <x v="0"/>
    <s v="Southwest Tennessee Community College"/>
    <m/>
    <n v="221485"/>
    <x v="6"/>
    <n v="32773596"/>
    <n v="32240883.349216558"/>
    <m/>
    <m/>
    <m/>
    <m/>
    <n v="39115900"/>
    <m/>
    <n v="39115900"/>
    <n v="38724700"/>
    <m/>
    <n v="38724700"/>
    <n v="71889496"/>
    <n v="70965583.349216551"/>
    <m/>
    <m/>
    <m/>
    <m/>
    <n v="0"/>
    <m/>
    <m/>
    <n v="0"/>
    <m/>
    <m/>
    <m/>
    <m/>
    <m/>
    <m/>
    <n v="71889496"/>
    <n v="70965583.349216551"/>
  </r>
  <r>
    <x v="12"/>
    <x v="0"/>
    <s v="Volunteer State Community College "/>
    <m/>
    <n v="222053"/>
    <x v="6"/>
    <n v="15807600"/>
    <n v="16105116.826886179"/>
    <m/>
    <m/>
    <m/>
    <m/>
    <n v="22114950"/>
    <m/>
    <n v="22114950"/>
    <n v="23279300"/>
    <m/>
    <n v="23279300"/>
    <n v="37922550"/>
    <n v="39384416.826886177"/>
    <m/>
    <m/>
    <m/>
    <m/>
    <n v="0"/>
    <m/>
    <m/>
    <n v="0"/>
    <m/>
    <m/>
    <m/>
    <m/>
    <m/>
    <m/>
    <n v="37922550"/>
    <n v="39384416.826886177"/>
  </r>
  <r>
    <x v="12"/>
    <x v="0"/>
    <s v="Cleveland State Community College "/>
    <m/>
    <n v="219879"/>
    <x v="7"/>
    <n v="9188135"/>
    <n v="9108168.1996789481"/>
    <m/>
    <m/>
    <m/>
    <m/>
    <n v="10832400"/>
    <m/>
    <n v="10832400"/>
    <n v="10611800"/>
    <m/>
    <n v="10611800"/>
    <n v="20020535"/>
    <n v="19719968.19967895"/>
    <m/>
    <m/>
    <m/>
    <m/>
    <n v="0"/>
    <m/>
    <m/>
    <n v="0"/>
    <m/>
    <m/>
    <m/>
    <m/>
    <m/>
    <m/>
    <n v="20020535"/>
    <n v="19719968.19967895"/>
  </r>
  <r>
    <x v="12"/>
    <x v="0"/>
    <s v="Columbia State Community College "/>
    <m/>
    <n v="219888"/>
    <x v="7"/>
    <n v="11733140"/>
    <n v="11768762.370349752"/>
    <m/>
    <m/>
    <m/>
    <m/>
    <n v="14047400"/>
    <m/>
    <n v="14047400"/>
    <n v="13650700"/>
    <m/>
    <n v="13650700"/>
    <n v="25780540"/>
    <n v="25419462.37034975"/>
    <m/>
    <m/>
    <m/>
    <m/>
    <n v="0"/>
    <m/>
    <m/>
    <n v="0"/>
    <m/>
    <m/>
    <m/>
    <m/>
    <m/>
    <m/>
    <n v="25780540"/>
    <n v="25419462.37034975"/>
  </r>
  <r>
    <x v="12"/>
    <x v="0"/>
    <s v="Dyersburg State Community College "/>
    <m/>
    <n v="220057"/>
    <x v="7"/>
    <n v="6743880"/>
    <n v="7143990.088208111"/>
    <m/>
    <m/>
    <m/>
    <m/>
    <n v="9394700"/>
    <m/>
    <n v="9394700"/>
    <n v="9358600"/>
    <m/>
    <n v="9358600"/>
    <n v="16138580"/>
    <n v="16502590.088208111"/>
    <m/>
    <m/>
    <m/>
    <m/>
    <n v="0"/>
    <m/>
    <m/>
    <n v="0"/>
    <m/>
    <m/>
    <m/>
    <m/>
    <m/>
    <m/>
    <n v="16138580"/>
    <n v="16502590.088208111"/>
  </r>
  <r>
    <x v="12"/>
    <x v="0"/>
    <s v="Jackson State Community College "/>
    <m/>
    <n v="220400"/>
    <x v="7"/>
    <n v="10819880"/>
    <n v="11304820.50162958"/>
    <m/>
    <m/>
    <m/>
    <m/>
    <n v="14290500"/>
    <m/>
    <n v="14290500"/>
    <n v="13568800"/>
    <m/>
    <n v="13568800"/>
    <n v="25110380"/>
    <n v="24873620.50162958"/>
    <m/>
    <m/>
    <m/>
    <m/>
    <n v="0"/>
    <m/>
    <m/>
    <n v="0"/>
    <m/>
    <m/>
    <m/>
    <m/>
    <m/>
    <m/>
    <n v="25110380"/>
    <n v="24873620.50162958"/>
  </r>
  <r>
    <x v="12"/>
    <x v="0"/>
    <s v="Motlow State Community College "/>
    <m/>
    <n v="221096"/>
    <x v="7"/>
    <n v="9928120"/>
    <n v="10485536.956333742"/>
    <m/>
    <m/>
    <m/>
    <m/>
    <n v="12716100"/>
    <m/>
    <n v="12716100"/>
    <n v="12463700"/>
    <m/>
    <n v="12463700"/>
    <n v="22644220"/>
    <n v="22949236.956333742"/>
    <m/>
    <m/>
    <m/>
    <m/>
    <n v="0"/>
    <m/>
    <m/>
    <n v="0"/>
    <m/>
    <m/>
    <m/>
    <m/>
    <m/>
    <m/>
    <n v="22644220"/>
    <n v="22949236.956333742"/>
  </r>
  <r>
    <x v="12"/>
    <x v="0"/>
    <s v="Northeast State Technical Community College"/>
    <m/>
    <n v="221908"/>
    <x v="7"/>
    <n v="12220620"/>
    <n v="13012122.194598334"/>
    <m/>
    <m/>
    <m/>
    <m/>
    <n v="18258800"/>
    <m/>
    <n v="18258800"/>
    <n v="18362900"/>
    <m/>
    <n v="18362900"/>
    <n v="30479420"/>
    <n v="31375022.194598332"/>
    <m/>
    <m/>
    <m/>
    <m/>
    <n v="0"/>
    <m/>
    <m/>
    <n v="0"/>
    <m/>
    <m/>
    <m/>
    <m/>
    <m/>
    <m/>
    <n v="30479420"/>
    <n v="31375022.194598332"/>
  </r>
  <r>
    <x v="12"/>
    <x v="0"/>
    <s v="Roane State Community College "/>
    <m/>
    <n v="221397"/>
    <x v="7"/>
    <n v="15994603.02"/>
    <n v="16173651.364684867"/>
    <m/>
    <m/>
    <m/>
    <m/>
    <n v="18413000"/>
    <m/>
    <n v="18413000"/>
    <n v="18423500"/>
    <m/>
    <n v="18423500"/>
    <n v="34407603.019999996"/>
    <n v="34597151.364684865"/>
    <m/>
    <m/>
    <m/>
    <m/>
    <n v="0"/>
    <m/>
    <m/>
    <n v="0"/>
    <m/>
    <m/>
    <m/>
    <m/>
    <m/>
    <m/>
    <n v="34407603.019999996"/>
    <n v="34597151.364684865"/>
  </r>
  <r>
    <x v="12"/>
    <x v="0"/>
    <s v="Walters State Community College "/>
    <m/>
    <n v="222062"/>
    <x v="7"/>
    <n v="16235860"/>
    <n v="17297582.593545459"/>
    <m/>
    <m/>
    <m/>
    <m/>
    <n v="20353600"/>
    <m/>
    <n v="20353600"/>
    <n v="20451700"/>
    <m/>
    <n v="20451700"/>
    <n v="36589460"/>
    <n v="37749282.593545459"/>
    <m/>
    <m/>
    <m/>
    <m/>
    <n v="0"/>
    <m/>
    <m/>
    <n v="0"/>
    <m/>
    <m/>
    <m/>
    <m/>
    <m/>
    <m/>
    <n v="36589460"/>
    <n v="37749282.593545459"/>
  </r>
  <r>
    <x v="12"/>
    <x v="0"/>
    <s v="Tennessee Technology Center at Chattanooga"/>
    <s v="Reclassified: Met the criteria for Technical Institute or College 1 in 2010-11, 2011-12, and 2012-13."/>
    <s v="219824B"/>
    <x v="9"/>
    <n v="3116500"/>
    <n v="3214800"/>
    <m/>
    <m/>
    <m/>
    <m/>
    <n v="2210100"/>
    <m/>
    <n v="2210100"/>
    <n v="2368000"/>
    <m/>
    <n v="2368000"/>
    <n v="5326600"/>
    <n v="5582800"/>
    <m/>
    <m/>
    <m/>
    <m/>
    <n v="0"/>
    <m/>
    <m/>
    <n v="0"/>
    <m/>
    <m/>
    <m/>
    <m/>
    <m/>
    <m/>
    <n v="5326600"/>
    <n v="5582800"/>
  </r>
  <r>
    <x v="12"/>
    <x v="0"/>
    <s v="Tennessee Technology Center at Athens"/>
    <m/>
    <n v="219596"/>
    <x v="10"/>
    <n v="1355800"/>
    <n v="1398600"/>
    <m/>
    <m/>
    <m/>
    <m/>
    <n v="546000"/>
    <m/>
    <n v="546000"/>
    <n v="553500"/>
    <m/>
    <n v="553500"/>
    <n v="1901800"/>
    <n v="1952100"/>
    <m/>
    <m/>
    <m/>
    <m/>
    <n v="0"/>
    <m/>
    <m/>
    <n v="0"/>
    <m/>
    <m/>
    <m/>
    <m/>
    <m/>
    <m/>
    <n v="1901800"/>
    <n v="1952100"/>
  </r>
  <r>
    <x v="12"/>
    <x v="0"/>
    <s v="Tennessee Technology Center at Covington"/>
    <m/>
    <n v="219921"/>
    <x v="10"/>
    <n v="1136900"/>
    <n v="1172700"/>
    <m/>
    <m/>
    <m/>
    <m/>
    <n v="324300"/>
    <m/>
    <n v="324300"/>
    <n v="496900"/>
    <m/>
    <n v="496900"/>
    <n v="1461200"/>
    <n v="1669600"/>
    <m/>
    <m/>
    <m/>
    <m/>
    <n v="0"/>
    <m/>
    <m/>
    <n v="0"/>
    <m/>
    <m/>
    <m/>
    <m/>
    <m/>
    <m/>
    <n v="1461200"/>
    <n v="1669600"/>
  </r>
  <r>
    <x v="12"/>
    <x v="0"/>
    <s v="Tennessee Technology Center at Crossville"/>
    <m/>
    <n v="221591"/>
    <x v="10"/>
    <n v="2274200"/>
    <n v="2346000"/>
    <m/>
    <m/>
    <m/>
    <m/>
    <n v="933000"/>
    <m/>
    <n v="933000"/>
    <n v="779000"/>
    <m/>
    <n v="779000"/>
    <n v="3207200"/>
    <n v="3125000"/>
    <m/>
    <m/>
    <m/>
    <m/>
    <n v="0"/>
    <m/>
    <m/>
    <n v="0"/>
    <m/>
    <m/>
    <m/>
    <m/>
    <m/>
    <m/>
    <n v="3207200"/>
    <n v="3125000"/>
  </r>
  <r>
    <x v="12"/>
    <x v="0"/>
    <s v="Tennessee Technology Center at Crump"/>
    <m/>
    <n v="221430"/>
    <x v="10"/>
    <n v="1565500"/>
    <n v="1614800"/>
    <m/>
    <m/>
    <m/>
    <m/>
    <n v="681000"/>
    <m/>
    <n v="681000"/>
    <n v="671600"/>
    <m/>
    <n v="671600"/>
    <n v="2246500"/>
    <n v="2286400"/>
    <m/>
    <m/>
    <m/>
    <m/>
    <n v="0"/>
    <m/>
    <m/>
    <n v="0"/>
    <m/>
    <m/>
    <m/>
    <m/>
    <m/>
    <m/>
    <n v="2246500"/>
    <n v="2286400"/>
  </r>
  <r>
    <x v="12"/>
    <x v="0"/>
    <s v="Tennessee Technology Center at Dickson"/>
    <m/>
    <n v="219994"/>
    <x v="10"/>
    <n v="2317300"/>
    <n v="2390400"/>
    <m/>
    <m/>
    <m/>
    <m/>
    <n v="1385000"/>
    <m/>
    <n v="1385000"/>
    <n v="1345000"/>
    <m/>
    <n v="1345000"/>
    <n v="3702300"/>
    <n v="3735400"/>
    <m/>
    <m/>
    <m/>
    <m/>
    <n v="0"/>
    <m/>
    <m/>
    <n v="0"/>
    <m/>
    <m/>
    <m/>
    <m/>
    <m/>
    <m/>
    <n v="3702300"/>
    <n v="3735400"/>
  </r>
  <r>
    <x v="12"/>
    <x v="0"/>
    <s v="Tennessee Technology Center at Elizabethton"/>
    <m/>
    <n v="220127"/>
    <x v="10"/>
    <n v="1499200"/>
    <n v="1546400"/>
    <m/>
    <m/>
    <m/>
    <m/>
    <n v="1275400"/>
    <m/>
    <n v="1275400"/>
    <n v="1401350"/>
    <m/>
    <n v="1401350"/>
    <n v="2774600"/>
    <n v="2947750"/>
    <m/>
    <m/>
    <m/>
    <m/>
    <n v="0"/>
    <m/>
    <m/>
    <n v="0"/>
    <m/>
    <m/>
    <m/>
    <m/>
    <m/>
    <m/>
    <n v="2774600"/>
    <n v="2947750"/>
  </r>
  <r>
    <x v="12"/>
    <x v="0"/>
    <s v="Tennessee Technology Center at Harriman"/>
    <m/>
    <n v="220251"/>
    <x v="10"/>
    <n v="1399200"/>
    <n v="1443300"/>
    <m/>
    <m/>
    <m/>
    <m/>
    <n v="618500"/>
    <m/>
    <n v="618500"/>
    <n v="647400"/>
    <m/>
    <n v="647400"/>
    <n v="2017700"/>
    <n v="2090700"/>
    <m/>
    <m/>
    <m/>
    <m/>
    <n v="0"/>
    <m/>
    <m/>
    <n v="0"/>
    <m/>
    <m/>
    <m/>
    <m/>
    <m/>
    <m/>
    <n v="2017700"/>
    <n v="2090700"/>
  </r>
  <r>
    <x v="12"/>
    <x v="0"/>
    <s v="Tennessee Technology Center at Hartsville"/>
    <m/>
    <n v="220279"/>
    <x v="10"/>
    <n v="1113000"/>
    <n v="1148100"/>
    <m/>
    <m/>
    <m/>
    <m/>
    <n v="942400"/>
    <m/>
    <n v="942400"/>
    <n v="935700"/>
    <m/>
    <n v="935700"/>
    <n v="2055400"/>
    <n v="2083800"/>
    <m/>
    <m/>
    <m/>
    <m/>
    <n v="0"/>
    <m/>
    <m/>
    <n v="0"/>
    <m/>
    <m/>
    <m/>
    <m/>
    <m/>
    <m/>
    <n v="2055400"/>
    <n v="2083800"/>
  </r>
  <r>
    <x v="12"/>
    <x v="0"/>
    <s v="Tennessee Technology Center at Hohenwald"/>
    <m/>
    <n v="220321"/>
    <x v="10"/>
    <n v="1522500"/>
    <n v="1570500"/>
    <m/>
    <m/>
    <m/>
    <m/>
    <n v="1055000"/>
    <m/>
    <n v="1055000"/>
    <n v="1052300"/>
    <m/>
    <n v="1052300"/>
    <n v="2577500"/>
    <n v="2622800"/>
    <m/>
    <m/>
    <m/>
    <m/>
    <n v="0"/>
    <m/>
    <m/>
    <n v="0"/>
    <m/>
    <m/>
    <m/>
    <m/>
    <m/>
    <m/>
    <n v="2577500"/>
    <n v="2622800"/>
  </r>
  <r>
    <x v="12"/>
    <x v="0"/>
    <s v="Tennessee Technology Center at Jacksboro"/>
    <m/>
    <n v="220394"/>
    <x v="10"/>
    <n v="1305700"/>
    <n v="1346800"/>
    <m/>
    <m/>
    <m/>
    <m/>
    <n v="370400"/>
    <m/>
    <n v="370400"/>
    <n v="403400"/>
    <m/>
    <n v="403400"/>
    <n v="1676100"/>
    <n v="1750200"/>
    <m/>
    <m/>
    <m/>
    <m/>
    <n v="0"/>
    <m/>
    <m/>
    <n v="0"/>
    <m/>
    <m/>
    <m/>
    <m/>
    <m/>
    <m/>
    <n v="1676100"/>
    <n v="1750200"/>
  </r>
  <r>
    <x v="12"/>
    <x v="0"/>
    <s v="Tennessee Technology Center at Jackson"/>
    <m/>
    <n v="221616"/>
    <x v="10"/>
    <n v="3008500"/>
    <n v="3103200"/>
    <m/>
    <m/>
    <m/>
    <m/>
    <n v="1293000"/>
    <m/>
    <n v="1293000"/>
    <n v="1348100"/>
    <m/>
    <n v="1348100"/>
    <n v="4301500"/>
    <n v="4451300"/>
    <m/>
    <m/>
    <m/>
    <m/>
    <n v="0"/>
    <m/>
    <m/>
    <n v="0"/>
    <m/>
    <m/>
    <m/>
    <m/>
    <m/>
    <m/>
    <n v="4301500"/>
    <n v="4451300"/>
  </r>
  <r>
    <x v="12"/>
    <x v="0"/>
    <s v="Tennessee Technology Center at Knoxville"/>
    <m/>
    <n v="221625"/>
    <x v="10"/>
    <n v="3150100"/>
    <n v="3249400"/>
    <m/>
    <m/>
    <m/>
    <m/>
    <n v="1563000"/>
    <m/>
    <n v="1563000"/>
    <n v="1747500"/>
    <m/>
    <n v="1747500"/>
    <n v="4713100"/>
    <n v="4996900"/>
    <m/>
    <m/>
    <m/>
    <m/>
    <n v="0"/>
    <m/>
    <m/>
    <n v="0"/>
    <m/>
    <m/>
    <m/>
    <m/>
    <m/>
    <m/>
    <n v="4713100"/>
    <n v="4996900"/>
  </r>
  <r>
    <x v="12"/>
    <x v="0"/>
    <s v="Tennessee Technology Center at Livingston"/>
    <m/>
    <n v="220640"/>
    <x v="10"/>
    <n v="2095800"/>
    <n v="2161900"/>
    <m/>
    <m/>
    <m/>
    <m/>
    <n v="982900"/>
    <m/>
    <n v="982900"/>
    <n v="948100"/>
    <m/>
    <n v="948100"/>
    <n v="3078700"/>
    <n v="3110000"/>
    <m/>
    <m/>
    <m/>
    <m/>
    <n v="0"/>
    <m/>
    <m/>
    <n v="0"/>
    <m/>
    <m/>
    <m/>
    <m/>
    <m/>
    <m/>
    <n v="3078700"/>
    <n v="3110000"/>
  </r>
  <r>
    <x v="12"/>
    <x v="0"/>
    <s v="Tennessee Technology Center at McKenzie"/>
    <m/>
    <n v="220756"/>
    <x v="10"/>
    <n v="1255500"/>
    <n v="1295100"/>
    <m/>
    <m/>
    <m/>
    <m/>
    <n v="587500"/>
    <m/>
    <n v="587500"/>
    <n v="658000"/>
    <m/>
    <n v="658000"/>
    <n v="1843000"/>
    <n v="1953100"/>
    <m/>
    <m/>
    <m/>
    <m/>
    <n v="0"/>
    <m/>
    <m/>
    <n v="0"/>
    <m/>
    <m/>
    <m/>
    <m/>
    <m/>
    <m/>
    <n v="1843000"/>
    <n v="1953100"/>
  </r>
  <r>
    <x v="12"/>
    <x v="0"/>
    <s v="Tennessee Technology Center at McMinnville"/>
    <m/>
    <n v="221607"/>
    <x v="10"/>
    <n v="1376100"/>
    <n v="1419500"/>
    <m/>
    <m/>
    <m/>
    <m/>
    <n v="589700"/>
    <m/>
    <n v="589700"/>
    <n v="612000"/>
    <m/>
    <n v="612000"/>
    <n v="1965800"/>
    <n v="2031500"/>
    <m/>
    <m/>
    <m/>
    <m/>
    <n v="0"/>
    <m/>
    <m/>
    <n v="0"/>
    <m/>
    <m/>
    <m/>
    <m/>
    <m/>
    <m/>
    <n v="1965800"/>
    <n v="2031500"/>
  </r>
  <r>
    <x v="12"/>
    <x v="0"/>
    <s v="Tennessee Technology Center at Memphis"/>
    <m/>
    <n v="220853"/>
    <x v="10"/>
    <n v="4165700"/>
    <n v="4296900"/>
    <m/>
    <m/>
    <m/>
    <m/>
    <n v="2027300"/>
    <m/>
    <n v="2027300"/>
    <n v="2358700"/>
    <m/>
    <n v="2358700"/>
    <n v="6193000"/>
    <n v="6655600"/>
    <m/>
    <m/>
    <m/>
    <m/>
    <n v="0"/>
    <m/>
    <m/>
    <n v="0"/>
    <m/>
    <m/>
    <m/>
    <m/>
    <m/>
    <m/>
    <n v="6193000"/>
    <n v="6655600"/>
  </r>
  <r>
    <x v="12"/>
    <x v="0"/>
    <s v="Tennessee Technology Center at Morristown"/>
    <m/>
    <n v="221050"/>
    <x v="10"/>
    <n v="3847000"/>
    <n v="3968200"/>
    <m/>
    <m/>
    <m/>
    <m/>
    <n v="1490300"/>
    <m/>
    <n v="1490300"/>
    <n v="1554000"/>
    <m/>
    <n v="1554000"/>
    <n v="5337300"/>
    <n v="5522200"/>
    <m/>
    <m/>
    <m/>
    <m/>
    <n v="0"/>
    <m/>
    <m/>
    <n v="0"/>
    <m/>
    <m/>
    <m/>
    <m/>
    <m/>
    <m/>
    <n v="5337300"/>
    <n v="5522200"/>
  </r>
  <r>
    <x v="12"/>
    <x v="0"/>
    <s v="Tennessee Technology Center at Murfreesboro"/>
    <m/>
    <n v="221102"/>
    <x v="10"/>
    <n v="1703800"/>
    <n v="1757400"/>
    <m/>
    <m/>
    <m/>
    <m/>
    <n v="898700"/>
    <m/>
    <n v="898700"/>
    <n v="1107900"/>
    <m/>
    <n v="1107900"/>
    <n v="2602500"/>
    <n v="2865300"/>
    <m/>
    <m/>
    <m/>
    <m/>
    <n v="0"/>
    <m/>
    <m/>
    <n v="0"/>
    <m/>
    <m/>
    <m/>
    <m/>
    <m/>
    <m/>
    <n v="2602500"/>
    <n v="2865300"/>
  </r>
  <r>
    <x v="12"/>
    <x v="0"/>
    <s v="Tennessee Technology Center at Nashville"/>
    <m/>
    <n v="248925"/>
    <x v="10"/>
    <n v="3606500"/>
    <n v="3720100"/>
    <m/>
    <m/>
    <m/>
    <m/>
    <n v="2005000"/>
    <m/>
    <n v="2005000"/>
    <n v="2323800"/>
    <m/>
    <n v="2323800"/>
    <n v="5611500"/>
    <n v="6043900"/>
    <m/>
    <m/>
    <m/>
    <m/>
    <n v="0"/>
    <m/>
    <m/>
    <n v="0"/>
    <m/>
    <m/>
    <m/>
    <m/>
    <m/>
    <m/>
    <n v="5611500"/>
    <n v="6043900"/>
  </r>
  <r>
    <x v="12"/>
    <x v="0"/>
    <s v="Tennessee Technology Center at Newbern"/>
    <m/>
    <n v="221236"/>
    <x v="10"/>
    <n v="1366100"/>
    <n v="1409200"/>
    <m/>
    <m/>
    <m/>
    <m/>
    <n v="594600"/>
    <m/>
    <n v="594600"/>
    <n v="722000"/>
    <m/>
    <n v="722000"/>
    <n v="1960700"/>
    <n v="2131200"/>
    <m/>
    <m/>
    <m/>
    <m/>
    <n v="0"/>
    <m/>
    <m/>
    <n v="0"/>
    <m/>
    <m/>
    <m/>
    <m/>
    <m/>
    <m/>
    <n v="1960700"/>
    <n v="2131200"/>
  </r>
  <r>
    <x v="12"/>
    <x v="0"/>
    <s v="Tennessee Technology Center at Oneida"/>
    <m/>
    <n v="221582"/>
    <x v="10"/>
    <n v="1305800"/>
    <n v="1346900"/>
    <m/>
    <m/>
    <m/>
    <m/>
    <n v="652100"/>
    <m/>
    <n v="652100"/>
    <n v="649000"/>
    <m/>
    <n v="649000"/>
    <n v="1957900"/>
    <n v="1995900"/>
    <m/>
    <m/>
    <m/>
    <m/>
    <n v="0"/>
    <m/>
    <m/>
    <n v="0"/>
    <m/>
    <m/>
    <m/>
    <m/>
    <m/>
    <m/>
    <n v="1957900"/>
    <n v="1995900"/>
  </r>
  <r>
    <x v="12"/>
    <x v="0"/>
    <s v="Tennessee Technology Center at Paris"/>
    <m/>
    <n v="221281"/>
    <x v="10"/>
    <n v="1748000"/>
    <n v="1803200"/>
    <m/>
    <m/>
    <m/>
    <m/>
    <n v="941600"/>
    <m/>
    <n v="941600"/>
    <n v="1008900"/>
    <m/>
    <n v="1008900"/>
    <n v="2689600"/>
    <n v="2812100"/>
    <m/>
    <m/>
    <m/>
    <m/>
    <n v="0"/>
    <m/>
    <m/>
    <n v="0"/>
    <m/>
    <m/>
    <m/>
    <m/>
    <m/>
    <m/>
    <n v="2689600"/>
    <n v="2812100"/>
  </r>
  <r>
    <x v="12"/>
    <x v="0"/>
    <s v="Tennessee Technology Center at Pulaski"/>
    <m/>
    <n v="221333"/>
    <x v="10"/>
    <n v="1386800"/>
    <n v="1430500"/>
    <m/>
    <m/>
    <m/>
    <m/>
    <n v="814100"/>
    <m/>
    <n v="814100"/>
    <n v="695700"/>
    <m/>
    <n v="695700"/>
    <n v="2200900"/>
    <n v="2126200"/>
    <m/>
    <m/>
    <m/>
    <m/>
    <n v="0"/>
    <m/>
    <m/>
    <n v="0"/>
    <m/>
    <m/>
    <m/>
    <m/>
    <m/>
    <m/>
    <n v="2200900"/>
    <n v="2126200"/>
  </r>
  <r>
    <x v="12"/>
    <x v="0"/>
    <s v="Tennessee Technology Center at Ripley"/>
    <m/>
    <n v="221388"/>
    <x v="10"/>
    <n v="1112300"/>
    <n v="1147400"/>
    <m/>
    <m/>
    <m/>
    <m/>
    <n v="361000"/>
    <m/>
    <n v="361000"/>
    <n v="399700"/>
    <m/>
    <n v="399700"/>
    <n v="1473300"/>
    <n v="1547100"/>
    <m/>
    <m/>
    <m/>
    <m/>
    <n v="0"/>
    <m/>
    <m/>
    <n v="0"/>
    <m/>
    <m/>
    <m/>
    <m/>
    <m/>
    <m/>
    <n v="1473300"/>
    <n v="1547100"/>
  </r>
  <r>
    <x v="12"/>
    <x v="0"/>
    <s v="Tennessee Technology Center at Shelbyville"/>
    <m/>
    <n v="221494"/>
    <x v="10"/>
    <n v="1958000"/>
    <n v="2019700"/>
    <m/>
    <m/>
    <m/>
    <m/>
    <n v="1284000"/>
    <m/>
    <n v="1284000"/>
    <n v="1303600"/>
    <m/>
    <n v="1303600"/>
    <n v="3242000"/>
    <n v="3323300"/>
    <m/>
    <m/>
    <m/>
    <m/>
    <n v="0"/>
    <m/>
    <m/>
    <n v="0"/>
    <m/>
    <m/>
    <m/>
    <m/>
    <m/>
    <m/>
    <n v="3242000"/>
    <n v="3323300"/>
  </r>
  <r>
    <x v="12"/>
    <x v="0"/>
    <s v="Tennessee Technology Center at Whiteville"/>
    <m/>
    <n v="221634"/>
    <x v="10"/>
    <n v="1278500"/>
    <n v="1318800"/>
    <m/>
    <m/>
    <m/>
    <m/>
    <n v="436700"/>
    <m/>
    <n v="436700"/>
    <n v="443000"/>
    <m/>
    <n v="443000"/>
    <n v="1715200"/>
    <n v="1761800"/>
    <m/>
    <m/>
    <m/>
    <m/>
    <n v="0"/>
    <m/>
    <m/>
    <n v="0"/>
    <m/>
    <m/>
    <m/>
    <m/>
    <m/>
    <m/>
    <n v="1715200"/>
    <n v="1761800"/>
  </r>
  <r>
    <x v="12"/>
    <x v="41"/>
    <s v="University of Tennessee Health Science Center"/>
    <m/>
    <n v="221704"/>
    <x v="11"/>
    <m/>
    <m/>
    <m/>
    <m/>
    <m/>
    <m/>
    <m/>
    <m/>
    <n v="0"/>
    <m/>
    <m/>
    <n v="0"/>
    <n v="0"/>
    <n v="0"/>
    <m/>
    <m/>
    <m/>
    <m/>
    <n v="0"/>
    <m/>
    <m/>
    <n v="0"/>
    <m/>
    <m/>
    <m/>
    <m/>
    <m/>
    <m/>
    <n v="0"/>
    <n v="0"/>
  </r>
  <r>
    <x v="12"/>
    <x v="41"/>
    <s v="Health professions education"/>
    <m/>
    <n v="221704"/>
    <x v="11"/>
    <m/>
    <m/>
    <m/>
    <m/>
    <m/>
    <m/>
    <m/>
    <m/>
    <n v="0"/>
    <m/>
    <m/>
    <n v="0"/>
    <n v="0"/>
    <n v="0"/>
    <m/>
    <m/>
    <m/>
    <m/>
    <n v="0"/>
    <m/>
    <m/>
    <n v="0"/>
    <n v="67061708"/>
    <n v="70689554.913460776"/>
    <n v="40924360"/>
    <n v="128000"/>
    <n v="42921860"/>
    <n v="157779"/>
    <n v="107986068"/>
    <n v="113611414.91346078"/>
  </r>
  <r>
    <x v="12"/>
    <x v="41"/>
    <s v="Medical School"/>
    <m/>
    <n v="221704"/>
    <x v="11"/>
    <m/>
    <m/>
    <m/>
    <m/>
    <m/>
    <m/>
    <m/>
    <m/>
    <n v="0"/>
    <m/>
    <m/>
    <n v="0"/>
    <n v="0"/>
    <n v="0"/>
    <m/>
    <m/>
    <m/>
    <m/>
    <n v="0"/>
    <m/>
    <m/>
    <n v="0"/>
    <n v="52373800"/>
    <n v="54816500"/>
    <n v="21515600"/>
    <m/>
    <n v="23242700"/>
    <m/>
    <n v="73889400"/>
    <n v="78059200"/>
  </r>
  <r>
    <x v="12"/>
    <x v="41"/>
    <s v="Veterinary School"/>
    <m/>
    <n v="221704"/>
    <x v="11"/>
    <m/>
    <m/>
    <m/>
    <m/>
    <m/>
    <m/>
    <m/>
    <m/>
    <n v="0"/>
    <m/>
    <m/>
    <n v="0"/>
    <n v="0"/>
    <n v="0"/>
    <m/>
    <m/>
    <m/>
    <m/>
    <n v="0"/>
    <m/>
    <m/>
    <n v="0"/>
    <n v="15620859.439999999"/>
    <n v="16225882.273752548"/>
    <n v="10488175"/>
    <m/>
    <n v="10624133"/>
    <m/>
    <n v="26109034.439999998"/>
    <n v="26850015.273752548"/>
  </r>
  <r>
    <x v="12"/>
    <x v="9"/>
    <s v="University of Tennessee Space Institute"/>
    <m/>
    <n v="221704"/>
    <x v="11"/>
    <m/>
    <m/>
    <m/>
    <m/>
    <m/>
    <m/>
    <m/>
    <m/>
    <n v="0"/>
    <m/>
    <m/>
    <n v="0"/>
    <n v="0"/>
    <n v="0"/>
    <n v="8270964"/>
    <n v="8589981.1774581838"/>
    <n v="1640415"/>
    <m/>
    <n v="1640415"/>
    <n v="1766048"/>
    <m/>
    <n v="1766048"/>
    <m/>
    <m/>
    <m/>
    <m/>
    <m/>
    <m/>
    <n v="9911379"/>
    <n v="10356029.177458184"/>
  </r>
  <r>
    <x v="12"/>
    <x v="13"/>
    <s v="Educational special purpose funds — all other"/>
    <m/>
    <m/>
    <x v="12"/>
    <m/>
    <m/>
    <m/>
    <m/>
    <m/>
    <m/>
    <m/>
    <m/>
    <n v="0"/>
    <m/>
    <m/>
    <n v="0"/>
    <n v="0"/>
    <n v="0"/>
    <m/>
    <m/>
    <m/>
    <m/>
    <n v="0"/>
    <m/>
    <m/>
    <n v="0"/>
    <m/>
    <m/>
    <m/>
    <m/>
    <m/>
    <m/>
    <n v="0"/>
    <n v="0"/>
  </r>
  <r>
    <x v="12"/>
    <x v="13"/>
    <s v="Foreign Language Institute"/>
    <m/>
    <m/>
    <x v="12"/>
    <m/>
    <m/>
    <n v="367900"/>
    <n v="394700"/>
    <m/>
    <m/>
    <m/>
    <m/>
    <n v="0"/>
    <m/>
    <m/>
    <n v="0"/>
    <n v="367900"/>
    <n v="394700"/>
    <m/>
    <m/>
    <m/>
    <m/>
    <n v="0"/>
    <m/>
    <m/>
    <n v="0"/>
    <m/>
    <m/>
    <m/>
    <m/>
    <m/>
    <m/>
    <n v="367900"/>
    <n v="394700"/>
  </r>
  <r>
    <x v="12"/>
    <x v="14"/>
    <s v="Statewide System Operations"/>
    <m/>
    <m/>
    <x v="12"/>
    <m/>
    <m/>
    <m/>
    <m/>
    <m/>
    <m/>
    <m/>
    <m/>
    <n v="0"/>
    <m/>
    <m/>
    <n v="0"/>
    <n v="0"/>
    <n v="0"/>
    <m/>
    <m/>
    <m/>
    <m/>
    <n v="0"/>
    <m/>
    <m/>
    <n v="0"/>
    <m/>
    <m/>
    <m/>
    <m/>
    <m/>
    <m/>
    <n v="0"/>
    <n v="0"/>
  </r>
  <r>
    <x v="12"/>
    <x v="15"/>
    <s v="Colleges and universities"/>
    <m/>
    <m/>
    <x v="12"/>
    <m/>
    <m/>
    <m/>
    <m/>
    <m/>
    <m/>
    <m/>
    <m/>
    <n v="0"/>
    <m/>
    <m/>
    <n v="0"/>
    <n v="0"/>
    <n v="0"/>
    <m/>
    <m/>
    <m/>
    <m/>
    <n v="0"/>
    <m/>
    <m/>
    <n v="0"/>
    <m/>
    <m/>
    <m/>
    <m/>
    <m/>
    <m/>
    <n v="0"/>
    <n v="0"/>
  </r>
  <r>
    <x v="12"/>
    <x v="15"/>
    <s v="TN H.Ed. Commission"/>
    <m/>
    <m/>
    <x v="12"/>
    <m/>
    <m/>
    <m/>
    <m/>
    <m/>
    <m/>
    <m/>
    <m/>
    <n v="0"/>
    <m/>
    <m/>
    <n v="0"/>
    <n v="0"/>
    <n v="0"/>
    <n v="2224100"/>
    <n v="2292100"/>
    <m/>
    <m/>
    <n v="0"/>
    <m/>
    <m/>
    <n v="0"/>
    <m/>
    <m/>
    <m/>
    <m/>
    <m/>
    <m/>
    <n v="2224100"/>
    <n v="2292100"/>
  </r>
  <r>
    <x v="12"/>
    <x v="15"/>
    <s v="Univ TN System Adm &amp; TN Board of Regents"/>
    <m/>
    <m/>
    <x v="12"/>
    <m/>
    <m/>
    <m/>
    <m/>
    <m/>
    <m/>
    <m/>
    <m/>
    <n v="0"/>
    <m/>
    <m/>
    <n v="0"/>
    <n v="0"/>
    <n v="0"/>
    <n v="9577573"/>
    <n v="9922878"/>
    <m/>
    <m/>
    <n v="0"/>
    <m/>
    <m/>
    <n v="0"/>
    <m/>
    <m/>
    <m/>
    <m/>
    <m/>
    <m/>
    <n v="9577573"/>
    <n v="9922878"/>
  </r>
  <r>
    <x v="12"/>
    <x v="17"/>
    <s v="National or regional associations, compacts or consortia"/>
    <m/>
    <m/>
    <x v="12"/>
    <m/>
    <m/>
    <m/>
    <m/>
    <m/>
    <m/>
    <m/>
    <m/>
    <n v="0"/>
    <m/>
    <m/>
    <n v="0"/>
    <n v="0"/>
    <n v="0"/>
    <m/>
    <m/>
    <m/>
    <m/>
    <n v="0"/>
    <m/>
    <m/>
    <n v="0"/>
    <m/>
    <m/>
    <m/>
    <m/>
    <m/>
    <m/>
    <n v="0"/>
    <n v="0"/>
  </r>
  <r>
    <x v="12"/>
    <x v="17"/>
    <s v="SREB"/>
    <m/>
    <m/>
    <x v="12"/>
    <m/>
    <m/>
    <m/>
    <m/>
    <m/>
    <m/>
    <m/>
    <m/>
    <n v="0"/>
    <m/>
    <m/>
    <n v="0"/>
    <n v="0"/>
    <n v="0"/>
    <m/>
    <m/>
    <m/>
    <m/>
    <n v="0"/>
    <m/>
    <m/>
    <n v="0"/>
    <m/>
    <m/>
    <m/>
    <m/>
    <m/>
    <m/>
    <n v="0"/>
    <n v="0"/>
  </r>
  <r>
    <x v="12"/>
    <x v="18"/>
    <s v="Adm. of Statewide Student Aid Progs. (incldng centralized guaranteed student loans)"/>
    <m/>
    <m/>
    <x v="12"/>
    <m/>
    <m/>
    <m/>
    <m/>
    <m/>
    <m/>
    <m/>
    <m/>
    <n v="0"/>
    <m/>
    <m/>
    <n v="0"/>
    <n v="0"/>
    <n v="0"/>
    <n v="1225000"/>
    <n v="1251900"/>
    <m/>
    <m/>
    <n v="0"/>
    <m/>
    <m/>
    <n v="0"/>
    <m/>
    <m/>
    <m/>
    <m/>
    <m/>
    <m/>
    <n v="1225000"/>
    <n v="1251900"/>
  </r>
  <r>
    <x v="12"/>
    <x v="19"/>
    <s v="State Support to Private Colleges Other Than Student Aid"/>
    <m/>
    <m/>
    <x v="12"/>
    <m/>
    <m/>
    <m/>
    <m/>
    <m/>
    <m/>
    <m/>
    <m/>
    <n v="0"/>
    <m/>
    <m/>
    <n v="0"/>
    <n v="0"/>
    <n v="0"/>
    <m/>
    <m/>
    <m/>
    <m/>
    <n v="0"/>
    <m/>
    <m/>
    <n v="0"/>
    <m/>
    <m/>
    <m/>
    <m/>
    <m/>
    <m/>
    <n v="0"/>
    <n v="0"/>
  </r>
  <r>
    <x v="12"/>
    <x v="20"/>
    <s v="Contract Education Programs"/>
    <m/>
    <m/>
    <x v="12"/>
    <m/>
    <m/>
    <m/>
    <m/>
    <m/>
    <m/>
    <m/>
    <m/>
    <n v="0"/>
    <m/>
    <m/>
    <n v="0"/>
    <n v="0"/>
    <n v="0"/>
    <m/>
    <m/>
    <m/>
    <m/>
    <n v="0"/>
    <m/>
    <m/>
    <n v="0"/>
    <m/>
    <m/>
    <m/>
    <m/>
    <m/>
    <m/>
    <n v="0"/>
    <n v="0"/>
  </r>
  <r>
    <x v="12"/>
    <x v="21"/>
    <s v="SREB contract program with private colleges"/>
    <m/>
    <m/>
    <x v="12"/>
    <m/>
    <m/>
    <m/>
    <m/>
    <m/>
    <m/>
    <m/>
    <m/>
    <n v="0"/>
    <m/>
    <m/>
    <n v="0"/>
    <n v="0"/>
    <n v="0"/>
    <n v="1986200"/>
    <n v="1966400"/>
    <m/>
    <m/>
    <n v="0"/>
    <m/>
    <m/>
    <n v="0"/>
    <m/>
    <m/>
    <m/>
    <m/>
    <m/>
    <m/>
    <n v="1986200"/>
    <n v="1966400"/>
  </r>
  <r>
    <x v="12"/>
    <x v="21"/>
    <s v="Meharry Medical College (Dentistry, Medicine, Special Aid)"/>
    <m/>
    <m/>
    <x v="12"/>
    <m/>
    <m/>
    <m/>
    <m/>
    <m/>
    <m/>
    <m/>
    <m/>
    <n v="0"/>
    <m/>
    <m/>
    <n v="0"/>
    <n v="0"/>
    <n v="0"/>
    <m/>
    <m/>
    <m/>
    <m/>
    <n v="0"/>
    <m/>
    <m/>
    <n v="0"/>
    <m/>
    <m/>
    <m/>
    <m/>
    <m/>
    <m/>
    <n v="0"/>
    <n v="0"/>
  </r>
  <r>
    <x v="12"/>
    <x v="21"/>
    <s v="Southern College of Optometry"/>
    <m/>
    <m/>
    <x v="12"/>
    <m/>
    <m/>
    <m/>
    <m/>
    <m/>
    <m/>
    <m/>
    <m/>
    <n v="0"/>
    <m/>
    <m/>
    <n v="0"/>
    <n v="0"/>
    <n v="0"/>
    <m/>
    <m/>
    <m/>
    <m/>
    <n v="0"/>
    <m/>
    <m/>
    <n v="0"/>
    <m/>
    <m/>
    <m/>
    <m/>
    <m/>
    <m/>
    <n v="0"/>
    <n v="0"/>
  </r>
  <r>
    <x v="12"/>
    <x v="22"/>
    <s v="SREB contract program with public colleges"/>
    <m/>
    <m/>
    <x v="12"/>
    <m/>
    <m/>
    <m/>
    <m/>
    <m/>
    <m/>
    <m/>
    <m/>
    <n v="0"/>
    <m/>
    <m/>
    <n v="0"/>
    <n v="0"/>
    <n v="0"/>
    <m/>
    <m/>
    <m/>
    <m/>
    <n v="0"/>
    <m/>
    <m/>
    <n v="0"/>
    <m/>
    <m/>
    <m/>
    <m/>
    <m/>
    <m/>
    <n v="0"/>
    <n v="0"/>
  </r>
  <r>
    <x v="12"/>
    <x v="23"/>
    <s v="Other contract education programs"/>
    <m/>
    <m/>
    <x v="12"/>
    <m/>
    <m/>
    <m/>
    <m/>
    <m/>
    <m/>
    <m/>
    <m/>
    <n v="0"/>
    <m/>
    <m/>
    <n v="0"/>
    <n v="0"/>
    <n v="0"/>
    <m/>
    <m/>
    <m/>
    <m/>
    <n v="0"/>
    <m/>
    <m/>
    <n v="0"/>
    <m/>
    <m/>
    <m/>
    <m/>
    <m/>
    <m/>
    <n v="0"/>
    <n v="0"/>
  </r>
  <r>
    <x v="12"/>
    <x v="24"/>
    <s v="Statewide Student Financial Aid Programs Administered Off Campus"/>
    <m/>
    <m/>
    <x v="12"/>
    <m/>
    <m/>
    <m/>
    <m/>
    <m/>
    <m/>
    <m/>
    <m/>
    <n v="0"/>
    <m/>
    <m/>
    <n v="0"/>
    <n v="0"/>
    <n v="0"/>
    <m/>
    <m/>
    <m/>
    <m/>
    <n v="0"/>
    <m/>
    <m/>
    <n v="0"/>
    <m/>
    <m/>
    <m/>
    <m/>
    <m/>
    <m/>
    <n v="0"/>
    <n v="0"/>
  </r>
  <r>
    <x v="12"/>
    <x v="25"/>
    <s v="Available to public &amp; private sector students"/>
    <m/>
    <m/>
    <x v="12"/>
    <m/>
    <m/>
    <m/>
    <m/>
    <m/>
    <m/>
    <m/>
    <m/>
    <n v="0"/>
    <m/>
    <m/>
    <n v="0"/>
    <n v="0"/>
    <n v="0"/>
    <m/>
    <m/>
    <m/>
    <m/>
    <n v="0"/>
    <m/>
    <m/>
    <n v="0"/>
    <m/>
    <m/>
    <m/>
    <m/>
    <m/>
    <m/>
    <n v="0"/>
    <n v="0"/>
  </r>
  <r>
    <x v="12"/>
    <x v="25"/>
    <s v="Academic Scholarships"/>
    <m/>
    <m/>
    <x v="12"/>
    <m/>
    <m/>
    <m/>
    <m/>
    <m/>
    <m/>
    <m/>
    <m/>
    <n v="0"/>
    <m/>
    <m/>
    <n v="0"/>
    <n v="0"/>
    <n v="0"/>
    <m/>
    <m/>
    <m/>
    <m/>
    <n v="0"/>
    <m/>
    <m/>
    <n v="0"/>
    <m/>
    <m/>
    <m/>
    <m/>
    <m/>
    <m/>
    <n v="0"/>
    <n v="0"/>
  </r>
  <r>
    <x v="12"/>
    <x v="28"/>
    <s v="Amount to public sector students"/>
    <m/>
    <m/>
    <x v="12"/>
    <m/>
    <m/>
    <m/>
    <m/>
    <m/>
    <m/>
    <m/>
    <m/>
    <n v="0"/>
    <m/>
    <m/>
    <n v="0"/>
    <n v="0"/>
    <n v="0"/>
    <m/>
    <m/>
    <m/>
    <m/>
    <n v="0"/>
    <m/>
    <m/>
    <n v="0"/>
    <m/>
    <m/>
    <m/>
    <m/>
    <m/>
    <m/>
    <n v="0"/>
    <n v="0"/>
  </r>
  <r>
    <x v="12"/>
    <x v="29"/>
    <s v="Need-based"/>
    <m/>
    <m/>
    <x v="12"/>
    <m/>
    <m/>
    <m/>
    <m/>
    <m/>
    <m/>
    <m/>
    <m/>
    <n v="0"/>
    <m/>
    <m/>
    <n v="0"/>
    <n v="0"/>
    <n v="0"/>
    <n v="115985175.75"/>
    <n v="120677649"/>
    <m/>
    <m/>
    <n v="0"/>
    <m/>
    <m/>
    <n v="0"/>
    <m/>
    <m/>
    <m/>
    <m/>
    <m/>
    <m/>
    <n v="115985175.75"/>
    <n v="120677649"/>
  </r>
  <r>
    <x v="12"/>
    <x v="30"/>
    <s v="Non need-based"/>
    <m/>
    <m/>
    <x v="12"/>
    <m/>
    <m/>
    <m/>
    <m/>
    <m/>
    <m/>
    <m/>
    <m/>
    <n v="0"/>
    <m/>
    <m/>
    <n v="0"/>
    <n v="0"/>
    <n v="0"/>
    <n v="168165303"/>
    <n v="167356454"/>
    <m/>
    <m/>
    <n v="0"/>
    <m/>
    <m/>
    <n v="0"/>
    <m/>
    <m/>
    <m/>
    <m/>
    <m/>
    <m/>
    <n v="168165303"/>
    <n v="167356454"/>
  </r>
  <r>
    <x v="12"/>
    <x v="31"/>
    <s v="Amount to private sector students"/>
    <m/>
    <m/>
    <x v="12"/>
    <m/>
    <m/>
    <m/>
    <m/>
    <m/>
    <m/>
    <m/>
    <m/>
    <n v="0"/>
    <m/>
    <m/>
    <n v="0"/>
    <n v="0"/>
    <n v="0"/>
    <m/>
    <m/>
    <m/>
    <m/>
    <n v="0"/>
    <m/>
    <m/>
    <n v="0"/>
    <m/>
    <m/>
    <m/>
    <m/>
    <m/>
    <m/>
    <n v="0"/>
    <n v="0"/>
  </r>
  <r>
    <x v="12"/>
    <x v="32"/>
    <s v="Need-based"/>
    <m/>
    <m/>
    <x v="12"/>
    <m/>
    <m/>
    <m/>
    <m/>
    <m/>
    <m/>
    <m/>
    <m/>
    <n v="0"/>
    <m/>
    <m/>
    <n v="0"/>
    <n v="0"/>
    <n v="0"/>
    <n v="44815632"/>
    <n v="47269831"/>
    <m/>
    <m/>
    <n v="0"/>
    <m/>
    <m/>
    <n v="0"/>
    <m/>
    <m/>
    <m/>
    <m/>
    <m/>
    <m/>
    <n v="44815632"/>
    <n v="47269831"/>
  </r>
  <r>
    <x v="12"/>
    <x v="33"/>
    <s v="Non need-based"/>
    <m/>
    <m/>
    <x v="12"/>
    <m/>
    <m/>
    <m/>
    <m/>
    <m/>
    <m/>
    <m/>
    <m/>
    <n v="0"/>
    <m/>
    <m/>
    <n v="0"/>
    <n v="0"/>
    <n v="0"/>
    <n v="40299034"/>
    <n v="40256143"/>
    <m/>
    <m/>
    <n v="0"/>
    <m/>
    <m/>
    <n v="0"/>
    <m/>
    <m/>
    <m/>
    <m/>
    <m/>
    <m/>
    <n v="40299034"/>
    <n v="40256143"/>
  </r>
  <r>
    <x v="12"/>
    <x v="34"/>
    <s v="Limited to public college students only"/>
    <m/>
    <m/>
    <x v="12"/>
    <m/>
    <m/>
    <m/>
    <m/>
    <m/>
    <m/>
    <m/>
    <m/>
    <n v="0"/>
    <m/>
    <m/>
    <n v="0"/>
    <n v="0"/>
    <n v="0"/>
    <m/>
    <m/>
    <m/>
    <m/>
    <n v="0"/>
    <m/>
    <m/>
    <n v="0"/>
    <m/>
    <m/>
    <m/>
    <m/>
    <m/>
    <m/>
    <n v="0"/>
    <n v="0"/>
  </r>
  <r>
    <x v="12"/>
    <x v="35"/>
    <s v="Need-based"/>
    <m/>
    <m/>
    <x v="12"/>
    <m/>
    <m/>
    <m/>
    <m/>
    <m/>
    <m/>
    <m/>
    <m/>
    <n v="0"/>
    <m/>
    <m/>
    <n v="0"/>
    <n v="0"/>
    <n v="0"/>
    <m/>
    <m/>
    <m/>
    <m/>
    <n v="0"/>
    <m/>
    <m/>
    <n v="0"/>
    <m/>
    <m/>
    <m/>
    <m/>
    <m/>
    <m/>
    <n v="0"/>
    <n v="0"/>
  </r>
  <r>
    <x v="12"/>
    <x v="36"/>
    <s v="Non need-based"/>
    <m/>
    <m/>
    <x v="12"/>
    <m/>
    <m/>
    <m/>
    <m/>
    <m/>
    <m/>
    <m/>
    <m/>
    <n v="0"/>
    <m/>
    <m/>
    <n v="0"/>
    <n v="0"/>
    <n v="0"/>
    <m/>
    <m/>
    <m/>
    <m/>
    <n v="0"/>
    <m/>
    <m/>
    <n v="0"/>
    <m/>
    <m/>
    <m/>
    <m/>
    <m/>
    <m/>
    <n v="0"/>
    <n v="0"/>
  </r>
  <r>
    <x v="12"/>
    <x v="37"/>
    <s v="Limited to private college students"/>
    <m/>
    <m/>
    <x v="12"/>
    <m/>
    <m/>
    <m/>
    <m/>
    <m/>
    <m/>
    <m/>
    <m/>
    <n v="0"/>
    <m/>
    <m/>
    <n v="0"/>
    <n v="0"/>
    <n v="0"/>
    <m/>
    <m/>
    <m/>
    <m/>
    <n v="0"/>
    <m/>
    <m/>
    <n v="0"/>
    <m/>
    <m/>
    <m/>
    <m/>
    <m/>
    <m/>
    <n v="0"/>
    <n v="0"/>
  </r>
  <r>
    <x v="12"/>
    <x v="38"/>
    <s v="Need-based"/>
    <m/>
    <m/>
    <x v="12"/>
    <m/>
    <m/>
    <m/>
    <m/>
    <m/>
    <m/>
    <m/>
    <m/>
    <n v="0"/>
    <m/>
    <m/>
    <n v="0"/>
    <n v="0"/>
    <n v="0"/>
    <m/>
    <m/>
    <m/>
    <m/>
    <n v="0"/>
    <m/>
    <m/>
    <n v="0"/>
    <m/>
    <m/>
    <m/>
    <m/>
    <m/>
    <m/>
    <n v="0"/>
    <n v="0"/>
  </r>
  <r>
    <x v="12"/>
    <x v="39"/>
    <s v="Non need-based"/>
    <m/>
    <m/>
    <x v="12"/>
    <m/>
    <m/>
    <m/>
    <m/>
    <m/>
    <m/>
    <m/>
    <m/>
    <n v="0"/>
    <m/>
    <m/>
    <n v="0"/>
    <n v="0"/>
    <n v="0"/>
    <m/>
    <m/>
    <m/>
    <m/>
    <n v="0"/>
    <m/>
    <m/>
    <n v="0"/>
    <m/>
    <m/>
    <m/>
    <m/>
    <m/>
    <m/>
    <n v="0"/>
    <n v="0"/>
  </r>
  <r>
    <x v="13"/>
    <x v="0"/>
    <s v="Texas A&amp;M University "/>
    <m/>
    <n v="228723"/>
    <x v="0"/>
    <n v="379571549"/>
    <n v="381192862"/>
    <m/>
    <m/>
    <m/>
    <m/>
    <n v="415160019"/>
    <m/>
    <n v="415160019"/>
    <n v="442787173"/>
    <m/>
    <n v="442787173"/>
    <n v="794731568"/>
    <n v="823980035"/>
    <m/>
    <m/>
    <m/>
    <m/>
    <n v="0"/>
    <m/>
    <m/>
    <n v="0"/>
    <n v="22450000"/>
    <n v="22450000"/>
    <n v="8080050"/>
    <m/>
    <n v="13464167.4"/>
    <m/>
    <n v="825261618"/>
    <n v="859894202.39999998"/>
  </r>
  <r>
    <x v="13"/>
    <x v="1"/>
    <s v="Health professions education"/>
    <m/>
    <n v="228723"/>
    <x v="0"/>
    <m/>
    <m/>
    <m/>
    <m/>
    <m/>
    <m/>
    <m/>
    <m/>
    <n v="0"/>
    <m/>
    <m/>
    <n v="0"/>
    <n v="0"/>
    <n v="0"/>
    <m/>
    <m/>
    <m/>
    <m/>
    <n v="0"/>
    <m/>
    <m/>
    <n v="0"/>
    <m/>
    <m/>
    <m/>
    <m/>
    <m/>
    <m/>
    <n v="0"/>
    <n v="0"/>
  </r>
  <r>
    <x v="13"/>
    <x v="1"/>
    <s v="Veterinary Medicine School"/>
    <m/>
    <n v="228723"/>
    <x v="0"/>
    <m/>
    <m/>
    <m/>
    <m/>
    <m/>
    <m/>
    <m/>
    <m/>
    <n v="0"/>
    <m/>
    <m/>
    <n v="0"/>
    <n v="0"/>
    <n v="0"/>
    <m/>
    <m/>
    <m/>
    <m/>
    <n v="0"/>
    <m/>
    <m/>
    <n v="0"/>
    <m/>
    <m/>
    <m/>
    <m/>
    <m/>
    <m/>
    <n v="0"/>
    <n v="0"/>
  </r>
  <r>
    <x v="13"/>
    <x v="6"/>
    <s v="Texas AgriLife Research"/>
    <m/>
    <n v="228723"/>
    <x v="0"/>
    <m/>
    <m/>
    <n v="64333816"/>
    <n v="64822451"/>
    <m/>
    <m/>
    <m/>
    <m/>
    <n v="0"/>
    <m/>
    <m/>
    <n v="0"/>
    <n v="64333816"/>
    <n v="64822451"/>
    <m/>
    <m/>
    <m/>
    <m/>
    <n v="0"/>
    <m/>
    <m/>
    <n v="0"/>
    <m/>
    <m/>
    <m/>
    <m/>
    <m/>
    <m/>
    <n v="64333816"/>
    <n v="64822451"/>
  </r>
  <r>
    <x v="13"/>
    <x v="5"/>
    <s v="Texas AgriLife Extension Service"/>
    <m/>
    <n v="228723"/>
    <x v="0"/>
    <m/>
    <m/>
    <n v="58587103"/>
    <n v="59332900"/>
    <m/>
    <m/>
    <m/>
    <m/>
    <n v="0"/>
    <m/>
    <m/>
    <n v="0"/>
    <n v="58587103"/>
    <n v="59332900"/>
    <m/>
    <m/>
    <m/>
    <m/>
    <n v="0"/>
    <m/>
    <m/>
    <n v="0"/>
    <m/>
    <m/>
    <m/>
    <m/>
    <m/>
    <m/>
    <n v="58587103"/>
    <n v="59332900"/>
  </r>
  <r>
    <x v="13"/>
    <x v="43"/>
    <s v="Texas Engineering Experiment Station"/>
    <m/>
    <n v="228723"/>
    <x v="0"/>
    <m/>
    <m/>
    <n v="18957656"/>
    <n v="17084455"/>
    <m/>
    <m/>
    <m/>
    <m/>
    <n v="0"/>
    <m/>
    <m/>
    <n v="0"/>
    <n v="18957656"/>
    <n v="17084455"/>
    <m/>
    <m/>
    <m/>
    <m/>
    <n v="0"/>
    <m/>
    <m/>
    <n v="0"/>
    <m/>
    <m/>
    <m/>
    <m/>
    <m/>
    <m/>
    <n v="18957656"/>
    <n v="17084455"/>
  </r>
  <r>
    <x v="13"/>
    <x v="3"/>
    <s v="Texas Transportation Institute"/>
    <m/>
    <n v="228723"/>
    <x v="0"/>
    <m/>
    <m/>
    <n v="1276756"/>
    <n v="1295411"/>
    <m/>
    <m/>
    <m/>
    <m/>
    <n v="0"/>
    <m/>
    <m/>
    <n v="0"/>
    <n v="1276756"/>
    <n v="1295411"/>
    <m/>
    <m/>
    <m/>
    <m/>
    <n v="0"/>
    <m/>
    <m/>
    <n v="0"/>
    <m/>
    <m/>
    <m/>
    <m/>
    <m/>
    <m/>
    <n v="1276756"/>
    <n v="1295411"/>
  </r>
  <r>
    <x v="13"/>
    <x v="45"/>
    <s v="Texas Engineering extension service"/>
    <m/>
    <n v="228723"/>
    <x v="0"/>
    <m/>
    <m/>
    <n v="7725359"/>
    <n v="7688729"/>
    <m/>
    <m/>
    <m/>
    <m/>
    <n v="0"/>
    <m/>
    <m/>
    <n v="0"/>
    <n v="7725359"/>
    <n v="7688729"/>
    <m/>
    <m/>
    <m/>
    <m/>
    <n v="0"/>
    <m/>
    <m/>
    <n v="0"/>
    <m/>
    <m/>
    <m/>
    <m/>
    <m/>
    <m/>
    <n v="7725359"/>
    <n v="7688729"/>
  </r>
  <r>
    <x v="13"/>
    <x v="3"/>
    <s v="Texas Forest Service"/>
    <m/>
    <n v="228723"/>
    <x v="0"/>
    <m/>
    <m/>
    <n v="143885981"/>
    <n v="22843909"/>
    <m/>
    <m/>
    <m/>
    <m/>
    <n v="0"/>
    <m/>
    <m/>
    <n v="0"/>
    <n v="143885981"/>
    <n v="22843909"/>
    <m/>
    <m/>
    <m/>
    <m/>
    <n v="0"/>
    <m/>
    <m/>
    <n v="0"/>
    <m/>
    <m/>
    <m/>
    <m/>
    <m/>
    <m/>
    <n v="143885981"/>
    <n v="22843909"/>
  </r>
  <r>
    <x v="13"/>
    <x v="3"/>
    <s v="Texas Vet Med Diagnostic Lab"/>
    <m/>
    <n v="228723"/>
    <x v="0"/>
    <m/>
    <m/>
    <n v="6911312"/>
    <n v="6727879"/>
    <m/>
    <m/>
    <m/>
    <m/>
    <n v="0"/>
    <m/>
    <m/>
    <n v="0"/>
    <n v="6911312"/>
    <n v="6727879"/>
    <m/>
    <m/>
    <m/>
    <m/>
    <n v="0"/>
    <m/>
    <m/>
    <n v="0"/>
    <m/>
    <m/>
    <m/>
    <m/>
    <m/>
    <m/>
    <n v="6911312"/>
    <n v="6727879"/>
  </r>
  <r>
    <x v="13"/>
    <x v="3"/>
    <s v="Community or public service units"/>
    <m/>
    <n v="228723"/>
    <x v="0"/>
    <m/>
    <m/>
    <m/>
    <m/>
    <m/>
    <m/>
    <m/>
    <m/>
    <n v="0"/>
    <m/>
    <m/>
    <n v="0"/>
    <n v="0"/>
    <n v="0"/>
    <m/>
    <m/>
    <m/>
    <m/>
    <n v="0"/>
    <m/>
    <m/>
    <n v="0"/>
    <m/>
    <m/>
    <m/>
    <m/>
    <m/>
    <m/>
    <n v="0"/>
    <n v="0"/>
  </r>
  <r>
    <x v="13"/>
    <x v="0"/>
    <s v="Texas Tech University "/>
    <m/>
    <n v="229115"/>
    <x v="0"/>
    <n v="157201067"/>
    <n v="152892441"/>
    <n v="3814941"/>
    <n v="3814941"/>
    <m/>
    <m/>
    <n v="288527847"/>
    <m/>
    <n v="288527847"/>
    <n v="315037437"/>
    <m/>
    <n v="315037437"/>
    <n v="449543855"/>
    <n v="471744819"/>
    <m/>
    <m/>
    <m/>
    <m/>
    <n v="0"/>
    <m/>
    <m/>
    <n v="0"/>
    <m/>
    <m/>
    <m/>
    <m/>
    <m/>
    <m/>
    <n v="449543855"/>
    <n v="471744819"/>
  </r>
  <r>
    <x v="13"/>
    <x v="0"/>
    <s v="University of Houston"/>
    <m/>
    <n v="225511"/>
    <x v="0"/>
    <n v="163690536"/>
    <n v="156557863"/>
    <n v="8177744"/>
    <n v="8177744"/>
    <m/>
    <m/>
    <n v="333863817"/>
    <m/>
    <n v="333863817"/>
    <n v="360783888"/>
    <m/>
    <n v="360783888"/>
    <n v="505732097"/>
    <n v="525519495"/>
    <m/>
    <m/>
    <m/>
    <m/>
    <n v="0"/>
    <m/>
    <m/>
    <n v="0"/>
    <m/>
    <m/>
    <m/>
    <m/>
    <m/>
    <m/>
    <n v="505732097"/>
    <n v="525519495"/>
  </r>
  <r>
    <x v="13"/>
    <x v="0"/>
    <s v="University of North Texas"/>
    <m/>
    <n v="227216"/>
    <x v="0"/>
    <n v="132577743"/>
    <n v="127640258"/>
    <n v="925382"/>
    <n v="925382"/>
    <m/>
    <m/>
    <n v="262046575"/>
    <m/>
    <n v="262046575"/>
    <n v="277608690"/>
    <m/>
    <n v="277608690"/>
    <n v="395549700"/>
    <n v="406174330"/>
    <m/>
    <m/>
    <m/>
    <m/>
    <n v="0"/>
    <m/>
    <m/>
    <n v="0"/>
    <m/>
    <m/>
    <m/>
    <m/>
    <m/>
    <m/>
    <n v="395549700"/>
    <n v="406174330"/>
  </r>
  <r>
    <x v="13"/>
    <x v="0"/>
    <s v="University of Texas at Arlington"/>
    <m/>
    <n v="228769"/>
    <x v="0"/>
    <n v="111744041"/>
    <n v="107623036"/>
    <n v="90663"/>
    <n v="90663"/>
    <m/>
    <m/>
    <n v="242995362"/>
    <m/>
    <n v="242995362"/>
    <n v="275609120"/>
    <m/>
    <n v="275609120"/>
    <n v="354830066"/>
    <n v="383322819"/>
    <m/>
    <m/>
    <m/>
    <m/>
    <n v="0"/>
    <m/>
    <m/>
    <n v="0"/>
    <m/>
    <m/>
    <m/>
    <m/>
    <m/>
    <m/>
    <n v="354830066"/>
    <n v="383322819"/>
  </r>
  <r>
    <x v="13"/>
    <x v="0"/>
    <s v="University of Texas at Austin"/>
    <m/>
    <n v="228778"/>
    <x v="0"/>
    <n v="479841652"/>
    <n v="479983244"/>
    <m/>
    <m/>
    <m/>
    <m/>
    <n v="545139599"/>
    <m/>
    <n v="545139599"/>
    <n v="555019935"/>
    <m/>
    <n v="555019935"/>
    <n v="1024981251"/>
    <n v="1035003179"/>
    <m/>
    <m/>
    <m/>
    <m/>
    <n v="0"/>
    <m/>
    <m/>
    <n v="0"/>
    <m/>
    <m/>
    <m/>
    <m/>
    <m/>
    <m/>
    <n v="1024981251"/>
    <n v="1035003179"/>
  </r>
  <r>
    <x v="13"/>
    <x v="0"/>
    <s v="University of Texas at Dallas"/>
    <m/>
    <n v="228787"/>
    <x v="0"/>
    <n v="91455556"/>
    <n v="88558530"/>
    <n v="1715388"/>
    <n v="1715388"/>
    <m/>
    <m/>
    <n v="175865287"/>
    <m/>
    <n v="175865287"/>
    <n v="212564536"/>
    <m/>
    <n v="212564536"/>
    <n v="269036231"/>
    <n v="302838454"/>
    <m/>
    <m/>
    <m/>
    <m/>
    <n v="0"/>
    <m/>
    <m/>
    <n v="0"/>
    <m/>
    <m/>
    <m/>
    <m/>
    <m/>
    <m/>
    <n v="269036231"/>
    <n v="302838454"/>
  </r>
  <r>
    <x v="13"/>
    <x v="0"/>
    <s v="Texas Woman's University"/>
    <m/>
    <n v="229179"/>
    <x v="1"/>
    <n v="56717555"/>
    <n v="54920298"/>
    <m/>
    <m/>
    <m/>
    <m/>
    <n v="83063104"/>
    <m/>
    <n v="83063104"/>
    <n v="90314341"/>
    <m/>
    <n v="90314341"/>
    <n v="139780659"/>
    <n v="145234639"/>
    <m/>
    <m/>
    <m/>
    <m/>
    <n v="0"/>
    <m/>
    <m/>
    <n v="0"/>
    <m/>
    <m/>
    <m/>
    <m/>
    <m/>
    <m/>
    <n v="139780659"/>
    <n v="145234639"/>
  </r>
  <r>
    <x v="13"/>
    <x v="0"/>
    <s v="University of Texas at El Paso"/>
    <m/>
    <n v="228796"/>
    <x v="1"/>
    <n v="84475179"/>
    <n v="85444716"/>
    <n v="1996498"/>
    <n v="1996498"/>
    <m/>
    <m/>
    <n v="118907200"/>
    <m/>
    <n v="118907200"/>
    <n v="127133198"/>
    <m/>
    <n v="127133198"/>
    <n v="205378877"/>
    <n v="214574412"/>
    <m/>
    <m/>
    <m/>
    <m/>
    <n v="0"/>
    <m/>
    <m/>
    <n v="0"/>
    <m/>
    <m/>
    <m/>
    <m/>
    <m/>
    <m/>
    <n v="205378877"/>
    <n v="214574412"/>
  </r>
  <r>
    <x v="13"/>
    <x v="0"/>
    <s v="University of Texas at San Antonio"/>
    <m/>
    <n v="229027"/>
    <x v="1"/>
    <n v="101644704"/>
    <n v="102569480"/>
    <n v="1091884"/>
    <n v="1091884"/>
    <m/>
    <m/>
    <n v="210358709"/>
    <m/>
    <n v="210358709"/>
    <n v="218060141"/>
    <m/>
    <n v="218060141"/>
    <n v="313095297"/>
    <n v="321721505"/>
    <m/>
    <m/>
    <m/>
    <m/>
    <n v="0"/>
    <m/>
    <m/>
    <n v="0"/>
    <m/>
    <m/>
    <m/>
    <m/>
    <m/>
    <m/>
    <n v="313095297"/>
    <n v="321721505"/>
  </r>
  <r>
    <x v="13"/>
    <x v="0"/>
    <s v="Angelo State University"/>
    <m/>
    <n v="222831"/>
    <x v="2"/>
    <n v="26802599"/>
    <n v="26349487"/>
    <m/>
    <m/>
    <m/>
    <m/>
    <n v="36549404"/>
    <m/>
    <n v="36549404"/>
    <n v="42723540"/>
    <m/>
    <n v="42723540"/>
    <n v="63352003"/>
    <n v="69073027"/>
    <m/>
    <m/>
    <m/>
    <m/>
    <n v="0"/>
    <m/>
    <m/>
    <n v="0"/>
    <m/>
    <m/>
    <m/>
    <m/>
    <m/>
    <m/>
    <n v="63352003"/>
    <n v="69073027"/>
  </r>
  <r>
    <x v="13"/>
    <x v="0"/>
    <s v="Lamar University"/>
    <m/>
    <n v="226091"/>
    <x v="2"/>
    <n v="47278482"/>
    <n v="45769417"/>
    <m/>
    <m/>
    <m/>
    <m/>
    <n v="69523516"/>
    <m/>
    <n v="69523516"/>
    <n v="81842454"/>
    <m/>
    <n v="81842454"/>
    <n v="116801998"/>
    <n v="127611871"/>
    <m/>
    <m/>
    <m/>
    <m/>
    <n v="0"/>
    <m/>
    <m/>
    <n v="0"/>
    <m/>
    <m/>
    <m/>
    <m/>
    <m/>
    <m/>
    <n v="116801998"/>
    <n v="127611871"/>
  </r>
  <r>
    <x v="13"/>
    <x v="0"/>
    <s v="Midwestern State University  "/>
    <m/>
    <n v="226833"/>
    <x v="2"/>
    <n v="20817697"/>
    <n v="20129999"/>
    <m/>
    <m/>
    <m/>
    <m/>
    <n v="40158869"/>
    <m/>
    <n v="40158869"/>
    <n v="40365031"/>
    <m/>
    <n v="40365031"/>
    <n v="60976566"/>
    <n v="60495030"/>
    <m/>
    <m/>
    <m/>
    <m/>
    <n v="0"/>
    <m/>
    <m/>
    <n v="0"/>
    <m/>
    <m/>
    <m/>
    <m/>
    <m/>
    <m/>
    <n v="60976566"/>
    <n v="60495030"/>
  </r>
  <r>
    <x v="13"/>
    <x v="0"/>
    <s v="Prairie View A&amp;M University"/>
    <m/>
    <n v="227526"/>
    <x v="2"/>
    <n v="67924910"/>
    <n v="68136581"/>
    <m/>
    <m/>
    <m/>
    <m/>
    <n v="52962797"/>
    <m/>
    <n v="52962797"/>
    <n v="55695827"/>
    <m/>
    <n v="55695827"/>
    <n v="120887707"/>
    <n v="123832408"/>
    <m/>
    <m/>
    <m/>
    <m/>
    <n v="0"/>
    <m/>
    <m/>
    <n v="0"/>
    <m/>
    <m/>
    <m/>
    <m/>
    <m/>
    <m/>
    <n v="120887707"/>
    <n v="123832408"/>
  </r>
  <r>
    <x v="13"/>
    <x v="0"/>
    <s v="Sam Houston State University "/>
    <m/>
    <n v="227881"/>
    <x v="2"/>
    <n v="52913913"/>
    <n v="50885369"/>
    <m/>
    <m/>
    <m/>
    <m/>
    <n v="101615112"/>
    <m/>
    <n v="101615112"/>
    <n v="118629043"/>
    <m/>
    <n v="118629043"/>
    <n v="154529025"/>
    <n v="169514412"/>
    <m/>
    <m/>
    <m/>
    <m/>
    <n v="0"/>
    <m/>
    <m/>
    <n v="0"/>
    <m/>
    <m/>
    <m/>
    <m/>
    <m/>
    <m/>
    <n v="154529025"/>
    <n v="169514412"/>
  </r>
  <r>
    <x v="13"/>
    <x v="0"/>
    <s v="Stephen F. Austin State University"/>
    <m/>
    <n v="228431"/>
    <x v="2"/>
    <n v="48666441"/>
    <n v="47457074"/>
    <m/>
    <m/>
    <m/>
    <m/>
    <n v="79762927"/>
    <m/>
    <n v="79762927"/>
    <n v="84986347"/>
    <m/>
    <n v="84986347"/>
    <n v="128429368"/>
    <n v="132443421"/>
    <m/>
    <m/>
    <m/>
    <m/>
    <n v="0"/>
    <m/>
    <m/>
    <n v="0"/>
    <m/>
    <m/>
    <m/>
    <m/>
    <m/>
    <m/>
    <n v="128429368"/>
    <n v="132443421"/>
  </r>
  <r>
    <x v="13"/>
    <x v="0"/>
    <s v="Sul Ross State University "/>
    <m/>
    <n v="228501"/>
    <x v="2"/>
    <n v="20713251"/>
    <n v="13505143"/>
    <m/>
    <m/>
    <m/>
    <m/>
    <n v="16470361"/>
    <m/>
    <n v="16470361"/>
    <n v="15640621"/>
    <m/>
    <n v="15640621"/>
    <n v="37183612"/>
    <n v="29145764"/>
    <m/>
    <m/>
    <m/>
    <m/>
    <n v="0"/>
    <m/>
    <m/>
    <n v="0"/>
    <m/>
    <m/>
    <m/>
    <m/>
    <m/>
    <m/>
    <n v="37183612"/>
    <n v="29145764"/>
  </r>
  <r>
    <x v="13"/>
    <x v="0"/>
    <s v="Tarleton State University  "/>
    <m/>
    <n v="228529"/>
    <x v="2"/>
    <n v="32171194"/>
    <n v="32388194"/>
    <m/>
    <m/>
    <m/>
    <m/>
    <n v="44746641"/>
    <m/>
    <n v="44746641"/>
    <n v="50395189"/>
    <m/>
    <n v="50395189"/>
    <n v="76917835"/>
    <n v="82783383"/>
    <m/>
    <m/>
    <m/>
    <m/>
    <n v="0"/>
    <m/>
    <m/>
    <n v="0"/>
    <m/>
    <m/>
    <m/>
    <m/>
    <m/>
    <m/>
    <n v="76917835"/>
    <n v="82783383"/>
  </r>
  <r>
    <x v="13"/>
    <x v="0"/>
    <s v="Texas A&amp;M International University"/>
    <m/>
    <n v="226152"/>
    <x v="2"/>
    <n v="26822830"/>
    <n v="26131971"/>
    <m/>
    <m/>
    <m/>
    <m/>
    <n v="30818512"/>
    <m/>
    <n v="30818512"/>
    <n v="31275502"/>
    <m/>
    <n v="31275502"/>
    <n v="57641342"/>
    <n v="57407473"/>
    <m/>
    <m/>
    <m/>
    <m/>
    <n v="0"/>
    <m/>
    <m/>
    <n v="0"/>
    <m/>
    <m/>
    <m/>
    <m/>
    <m/>
    <m/>
    <n v="57641342"/>
    <n v="57407473"/>
  </r>
  <r>
    <x v="13"/>
    <x v="0"/>
    <s v="Texas A&amp;M University-Commerce"/>
    <m/>
    <n v="224554"/>
    <x v="2"/>
    <n v="41600082"/>
    <n v="40822145"/>
    <m/>
    <m/>
    <m/>
    <m/>
    <n v="51926039"/>
    <m/>
    <n v="51926039"/>
    <n v="63897294"/>
    <m/>
    <n v="63897294"/>
    <n v="93526121"/>
    <n v="104719439"/>
    <m/>
    <m/>
    <m/>
    <m/>
    <n v="0"/>
    <m/>
    <m/>
    <n v="0"/>
    <m/>
    <m/>
    <m/>
    <m/>
    <m/>
    <m/>
    <n v="93526121"/>
    <n v="104719439"/>
  </r>
  <r>
    <x v="13"/>
    <x v="0"/>
    <s v="Texas A&amp;M University-Corpus Christi "/>
    <m/>
    <n v="224147"/>
    <x v="2"/>
    <n v="44969756"/>
    <n v="43277425"/>
    <m/>
    <m/>
    <m/>
    <m/>
    <n v="51875036"/>
    <m/>
    <n v="51875036"/>
    <n v="57496755"/>
    <m/>
    <n v="57496755"/>
    <n v="96844792"/>
    <n v="100774180"/>
    <m/>
    <m/>
    <m/>
    <m/>
    <n v="0"/>
    <m/>
    <m/>
    <n v="0"/>
    <m/>
    <m/>
    <m/>
    <m/>
    <m/>
    <m/>
    <n v="96844792"/>
    <n v="100774180"/>
  </r>
  <r>
    <x v="13"/>
    <x v="0"/>
    <s v="Texas A&amp;M University-Kingsville"/>
    <m/>
    <n v="228705"/>
    <x v="2"/>
    <n v="34172958"/>
    <n v="33264727"/>
    <m/>
    <m/>
    <m/>
    <m/>
    <n v="32679438"/>
    <m/>
    <n v="32679438"/>
    <n v="35270243"/>
    <m/>
    <n v="35270243"/>
    <n v="66852396"/>
    <n v="68534970"/>
    <m/>
    <m/>
    <m/>
    <m/>
    <n v="0"/>
    <m/>
    <m/>
    <n v="0"/>
    <m/>
    <m/>
    <m/>
    <m/>
    <m/>
    <m/>
    <n v="66852396"/>
    <n v="68534970"/>
  </r>
  <r>
    <x v="13"/>
    <x v="0"/>
    <s v="Texas Southern University "/>
    <m/>
    <n v="229063"/>
    <x v="2"/>
    <n v="55202673"/>
    <n v="53320399"/>
    <m/>
    <m/>
    <m/>
    <m/>
    <n v="75302740"/>
    <m/>
    <n v="75302740"/>
    <n v="75116720"/>
    <m/>
    <n v="75116720"/>
    <n v="130505413"/>
    <n v="128437119"/>
    <m/>
    <m/>
    <m/>
    <m/>
    <n v="0"/>
    <m/>
    <m/>
    <n v="0"/>
    <m/>
    <m/>
    <m/>
    <m/>
    <m/>
    <m/>
    <n v="130505413"/>
    <n v="128437119"/>
  </r>
  <r>
    <x v="13"/>
    <x v="0"/>
    <s v="Texas State University - San Marcos"/>
    <m/>
    <n v="228459"/>
    <x v="2"/>
    <n v="101343012"/>
    <n v="97874062"/>
    <m/>
    <m/>
    <m/>
    <m/>
    <n v="199384599"/>
    <m/>
    <n v="199384599"/>
    <n v="225107175"/>
    <m/>
    <n v="225107175"/>
    <n v="300727611"/>
    <n v="322981237"/>
    <m/>
    <m/>
    <m/>
    <m/>
    <n v="0"/>
    <m/>
    <m/>
    <n v="0"/>
    <m/>
    <m/>
    <m/>
    <m/>
    <m/>
    <m/>
    <n v="300727611"/>
    <n v="322981237"/>
  </r>
  <r>
    <x v="13"/>
    <x v="0"/>
    <s v="University of Houston-Clear Lake "/>
    <m/>
    <n v="225414"/>
    <x v="2"/>
    <n v="28586429"/>
    <n v="27569666"/>
    <m/>
    <m/>
    <m/>
    <m/>
    <n v="46244981"/>
    <m/>
    <n v="46244981"/>
    <n v="46663944"/>
    <m/>
    <n v="46663944"/>
    <n v="74831410"/>
    <n v="74233610"/>
    <m/>
    <m/>
    <m/>
    <m/>
    <n v="0"/>
    <m/>
    <m/>
    <n v="0"/>
    <m/>
    <m/>
    <m/>
    <m/>
    <m/>
    <m/>
    <n v="74831410"/>
    <n v="74233610"/>
  </r>
  <r>
    <x v="13"/>
    <x v="0"/>
    <s v="University of Texas at Brownsville"/>
    <m/>
    <n v="227377"/>
    <x v="2"/>
    <n v="26764895"/>
    <n v="26041686"/>
    <m/>
    <m/>
    <m/>
    <m/>
    <n v="23364815"/>
    <m/>
    <n v="23364815"/>
    <n v="25199806"/>
    <m/>
    <n v="25199806"/>
    <n v="50129710"/>
    <n v="51241492"/>
    <m/>
    <m/>
    <m/>
    <m/>
    <n v="0"/>
    <m/>
    <m/>
    <n v="0"/>
    <m/>
    <m/>
    <m/>
    <m/>
    <m/>
    <m/>
    <n v="50129710"/>
    <n v="51241492"/>
  </r>
  <r>
    <x v="13"/>
    <x v="0"/>
    <s v="University of Texas at Tyler"/>
    <m/>
    <n v="228802"/>
    <x v="2"/>
    <n v="27419501"/>
    <n v="27682370"/>
    <m/>
    <m/>
    <m/>
    <m/>
    <n v="35842301"/>
    <m/>
    <n v="35842301"/>
    <n v="38730781"/>
    <m/>
    <n v="38730781"/>
    <n v="63261802"/>
    <n v="66413151"/>
    <m/>
    <m/>
    <m/>
    <m/>
    <n v="0"/>
    <m/>
    <m/>
    <n v="0"/>
    <m/>
    <m/>
    <m/>
    <m/>
    <m/>
    <m/>
    <n v="63261802"/>
    <n v="66413151"/>
  </r>
  <r>
    <x v="13"/>
    <x v="0"/>
    <s v="University of Texas of the Permian Basin"/>
    <m/>
    <n v="229018"/>
    <x v="2"/>
    <n v="20843540"/>
    <n v="19293448"/>
    <m/>
    <m/>
    <m/>
    <m/>
    <n v="16940715"/>
    <m/>
    <n v="16940715"/>
    <n v="15799442"/>
    <m/>
    <n v="15799442"/>
    <n v="37784255"/>
    <n v="35092890"/>
    <m/>
    <m/>
    <m/>
    <m/>
    <n v="0"/>
    <m/>
    <m/>
    <n v="0"/>
    <m/>
    <m/>
    <m/>
    <m/>
    <m/>
    <m/>
    <n v="37784255"/>
    <n v="35092890"/>
  </r>
  <r>
    <x v="13"/>
    <x v="0"/>
    <s v="University of Texas-Pan American"/>
    <m/>
    <n v="227368"/>
    <x v="2"/>
    <n v="67022328"/>
    <n v="64945648"/>
    <m/>
    <m/>
    <m/>
    <m/>
    <n v="95716420"/>
    <m/>
    <n v="95716420"/>
    <n v="99490730"/>
    <m/>
    <n v="99490730"/>
    <n v="162738748"/>
    <n v="164436378"/>
    <m/>
    <m/>
    <m/>
    <m/>
    <n v="0"/>
    <m/>
    <m/>
    <n v="0"/>
    <m/>
    <m/>
    <m/>
    <m/>
    <m/>
    <m/>
    <n v="162738748"/>
    <n v="164436378"/>
  </r>
  <r>
    <x v="13"/>
    <x v="0"/>
    <s v="West Texas A&amp;M University"/>
    <m/>
    <n v="229814"/>
    <x v="2"/>
    <n v="31913247"/>
    <n v="31019675"/>
    <m/>
    <m/>
    <m/>
    <m/>
    <n v="37860864"/>
    <m/>
    <n v="37860864"/>
    <n v="41305024"/>
    <m/>
    <n v="41305024"/>
    <n v="69774111"/>
    <n v="72324699"/>
    <m/>
    <m/>
    <m/>
    <m/>
    <n v="0"/>
    <m/>
    <m/>
    <n v="0"/>
    <m/>
    <m/>
    <m/>
    <m/>
    <m/>
    <m/>
    <n v="69774111"/>
    <n v="72324699"/>
  </r>
  <r>
    <x v="13"/>
    <x v="0"/>
    <s v="Texas A&amp;M -Texarkana"/>
    <m/>
    <n v="224545"/>
    <x v="3"/>
    <n v="11871556"/>
    <n v="11561613"/>
    <m/>
    <m/>
    <m/>
    <m/>
    <n v="7116279"/>
    <m/>
    <n v="7116279"/>
    <n v="7925050"/>
    <m/>
    <n v="7925050"/>
    <n v="18987835"/>
    <n v="19486663"/>
    <m/>
    <m/>
    <m/>
    <m/>
    <n v="0"/>
    <m/>
    <m/>
    <n v="0"/>
    <m/>
    <m/>
    <m/>
    <m/>
    <m/>
    <m/>
    <n v="18987835"/>
    <n v="19486663"/>
  </r>
  <r>
    <x v="13"/>
    <x v="0"/>
    <s v="TEXAS A&amp;M UNIV-CENTRAL TEXAS"/>
    <s v="Reclassified: Met the criteria for Four-Year 4 in 2010-11, 2011-12, and 2012-13."/>
    <s v="???"/>
    <x v="3"/>
    <n v="12534852"/>
    <n v="12522361"/>
    <m/>
    <m/>
    <m/>
    <m/>
    <n v="9562519"/>
    <m/>
    <n v="9562519"/>
    <n v="10441918"/>
    <m/>
    <n v="10441918"/>
    <n v="22097371"/>
    <n v="22964279"/>
    <m/>
    <m/>
    <m/>
    <m/>
    <n v="0"/>
    <m/>
    <m/>
    <n v="0"/>
    <m/>
    <m/>
    <m/>
    <m/>
    <m/>
    <m/>
    <n v="22097371"/>
    <n v="22964279"/>
  </r>
  <r>
    <x v="13"/>
    <x v="0"/>
    <s v="University of Houston-Victoria"/>
    <m/>
    <n v="225502"/>
    <x v="3"/>
    <n v="13591205"/>
    <n v="13483764"/>
    <m/>
    <m/>
    <m/>
    <m/>
    <n v="18871708"/>
    <m/>
    <n v="18871708"/>
    <n v="20038361"/>
    <m/>
    <n v="20038361"/>
    <n v="32462913"/>
    <n v="33522125"/>
    <m/>
    <m/>
    <m/>
    <m/>
    <n v="0"/>
    <m/>
    <m/>
    <n v="0"/>
    <m/>
    <m/>
    <m/>
    <m/>
    <m/>
    <m/>
    <n v="32462913"/>
    <n v="33522125"/>
  </r>
  <r>
    <x v="13"/>
    <x v="0"/>
    <s v="Sul Ross State University-Rio Grande College"/>
    <m/>
    <n v="227924"/>
    <x v="4"/>
    <n v="5750249"/>
    <n v="5700083"/>
    <m/>
    <m/>
    <m/>
    <m/>
    <m/>
    <m/>
    <n v="0"/>
    <m/>
    <m/>
    <n v="0"/>
    <n v="5750249"/>
    <n v="5700083"/>
    <m/>
    <m/>
    <m/>
    <m/>
    <n v="0"/>
    <m/>
    <m/>
    <n v="0"/>
    <m/>
    <m/>
    <m/>
    <m/>
    <m/>
    <m/>
    <n v="5750249"/>
    <n v="5700083"/>
  </r>
  <r>
    <x v="13"/>
    <x v="0"/>
    <s v="TEXAS A&amp;M UNIV-SAN ANTONIO"/>
    <s v="Reclassified: Met the criteria for Four-Year 5 in 2010-11, 2011-12, and 2012-13."/>
    <n v="870501"/>
    <x v="4"/>
    <n v="13904319"/>
    <n v="13971199"/>
    <m/>
    <m/>
    <m/>
    <m/>
    <n v="14586641"/>
    <m/>
    <n v="14586641"/>
    <n v="18423459"/>
    <m/>
    <n v="18423459"/>
    <n v="28490960"/>
    <n v="32394658"/>
    <m/>
    <m/>
    <m/>
    <m/>
    <n v="0"/>
    <m/>
    <m/>
    <n v="0"/>
    <m/>
    <m/>
    <m/>
    <m/>
    <m/>
    <m/>
    <n v="28490960"/>
    <n v="32394658"/>
  </r>
  <r>
    <x v="13"/>
    <x v="0"/>
    <s v="University of Houston-Downtown"/>
    <m/>
    <n v="225432"/>
    <x v="4"/>
    <n v="22085536"/>
    <n v="20683584"/>
    <m/>
    <m/>
    <m/>
    <m/>
    <n v="55336538"/>
    <m/>
    <n v="55336538"/>
    <n v="59516036"/>
    <m/>
    <n v="59516036"/>
    <n v="77422074"/>
    <n v="80199620"/>
    <m/>
    <m/>
    <m/>
    <m/>
    <n v="0"/>
    <m/>
    <m/>
    <n v="0"/>
    <m/>
    <m/>
    <m/>
    <m/>
    <m/>
    <m/>
    <n v="77422074"/>
    <n v="80199620"/>
  </r>
  <r>
    <x v="13"/>
    <x v="0"/>
    <s v="Texas A&amp;M University at Galveston"/>
    <m/>
    <n v="228714"/>
    <x v="5"/>
    <n v="14663930"/>
    <n v="14735656"/>
    <m/>
    <m/>
    <m/>
    <m/>
    <n v="16125426"/>
    <m/>
    <n v="16125426"/>
    <n v="17599987"/>
    <m/>
    <n v="17599987"/>
    <n v="30789356"/>
    <n v="32335643"/>
    <m/>
    <m/>
    <m/>
    <m/>
    <n v="0"/>
    <m/>
    <m/>
    <n v="0"/>
    <m/>
    <m/>
    <m/>
    <m/>
    <m/>
    <m/>
    <n v="30789356"/>
    <n v="32335643"/>
  </r>
  <r>
    <x v="13"/>
    <x v="0"/>
    <s v="Brazosport College "/>
    <m/>
    <n v="223506"/>
    <x v="14"/>
    <n v="6005626"/>
    <n v="6059177"/>
    <m/>
    <m/>
    <n v="11713488"/>
    <n v="14704892"/>
    <n v="7979619"/>
    <m/>
    <n v="7979619"/>
    <n v="9490189"/>
    <m/>
    <n v="9490189"/>
    <n v="25698733"/>
    <n v="30254258"/>
    <m/>
    <m/>
    <m/>
    <m/>
    <n v="0"/>
    <m/>
    <m/>
    <n v="0"/>
    <m/>
    <m/>
    <m/>
    <m/>
    <m/>
    <m/>
    <n v="25698733"/>
    <n v="30254258"/>
  </r>
  <r>
    <x v="13"/>
    <x v="0"/>
    <s v="Midland College "/>
    <m/>
    <n v="226806"/>
    <x v="14"/>
    <n v="10537630"/>
    <n v="10615032"/>
    <m/>
    <m/>
    <n v="20004552"/>
    <n v="21180225"/>
    <n v="13560751"/>
    <m/>
    <n v="13560751"/>
    <n v="14517694"/>
    <m/>
    <n v="14517694"/>
    <n v="44102933"/>
    <n v="46312951"/>
    <m/>
    <m/>
    <m/>
    <m/>
    <n v="0"/>
    <m/>
    <m/>
    <n v="0"/>
    <m/>
    <m/>
    <m/>
    <m/>
    <m/>
    <m/>
    <n v="44102933"/>
    <n v="46312951"/>
  </r>
  <r>
    <x v="13"/>
    <x v="0"/>
    <s v="South Texas College"/>
    <m/>
    <n v="409315"/>
    <x v="14"/>
    <n v="37191291"/>
    <n v="37410347"/>
    <m/>
    <m/>
    <n v="45985951"/>
    <n v="45520883"/>
    <n v="69135753"/>
    <m/>
    <n v="69135753"/>
    <n v="74839161"/>
    <m/>
    <n v="74839161"/>
    <n v="152312995"/>
    <n v="157770391"/>
    <m/>
    <m/>
    <m/>
    <m/>
    <n v="0"/>
    <m/>
    <m/>
    <n v="0"/>
    <m/>
    <m/>
    <m/>
    <m/>
    <m/>
    <m/>
    <n v="152312995"/>
    <n v="157770391"/>
  </r>
  <r>
    <x v="13"/>
    <x v="0"/>
    <s v="Amarillo College "/>
    <m/>
    <n v="222576"/>
    <x v="6"/>
    <n v="18279492"/>
    <n v="18419591"/>
    <m/>
    <m/>
    <n v="14075247"/>
    <n v="14428247"/>
    <n v="19007211"/>
    <m/>
    <n v="19007211"/>
    <n v="22679768"/>
    <m/>
    <n v="22679768"/>
    <n v="51361950"/>
    <n v="55527606"/>
    <m/>
    <m/>
    <m/>
    <m/>
    <n v="0"/>
    <m/>
    <m/>
    <n v="0"/>
    <m/>
    <m/>
    <m/>
    <m/>
    <m/>
    <m/>
    <n v="51361950"/>
    <n v="55527606"/>
  </r>
  <r>
    <x v="13"/>
    <x v="0"/>
    <s v="Austin Community College "/>
    <m/>
    <n v="222992"/>
    <x v="6"/>
    <n v="53154443"/>
    <n v="53508371"/>
    <m/>
    <m/>
    <n v="100785060"/>
    <n v="106213851"/>
    <n v="80521915"/>
    <m/>
    <n v="80521915"/>
    <n v="93222548"/>
    <m/>
    <n v="93222548"/>
    <n v="234461418"/>
    <n v="252944770"/>
    <m/>
    <m/>
    <m/>
    <m/>
    <n v="0"/>
    <m/>
    <m/>
    <n v="0"/>
    <m/>
    <m/>
    <m/>
    <m/>
    <m/>
    <m/>
    <n v="234461418"/>
    <n v="252944770"/>
  </r>
  <r>
    <x v="13"/>
    <x v="0"/>
    <s v="Blinn College "/>
    <m/>
    <n v="223427"/>
    <x v="6"/>
    <n v="24002920"/>
    <n v="24148326"/>
    <m/>
    <m/>
    <n v="1428819"/>
    <n v="1470887"/>
    <n v="40820388"/>
    <m/>
    <n v="40820388"/>
    <n v="47810017"/>
    <m/>
    <n v="47810017"/>
    <n v="66252127"/>
    <n v="73429230"/>
    <m/>
    <m/>
    <m/>
    <m/>
    <n v="0"/>
    <m/>
    <m/>
    <n v="0"/>
    <m/>
    <m/>
    <m/>
    <m/>
    <m/>
    <m/>
    <n v="66252127"/>
    <n v="73429230"/>
  </r>
  <r>
    <x v="13"/>
    <x v="0"/>
    <s v="Brookhaven College  (DCCCD)"/>
    <m/>
    <n v="223524"/>
    <x v="6"/>
    <m/>
    <n v="0"/>
    <m/>
    <m/>
    <m/>
    <m/>
    <m/>
    <m/>
    <n v="0"/>
    <m/>
    <m/>
    <n v="0"/>
    <n v="0"/>
    <n v="0"/>
    <m/>
    <m/>
    <m/>
    <m/>
    <n v="0"/>
    <m/>
    <m/>
    <n v="0"/>
    <m/>
    <m/>
    <m/>
    <m/>
    <m/>
    <m/>
    <n v="0"/>
    <n v="0"/>
  </r>
  <r>
    <x v="13"/>
    <x v="0"/>
    <s v="Central Texas College "/>
    <m/>
    <n v="223816"/>
    <x v="6"/>
    <n v="22572922"/>
    <n v="22693502"/>
    <m/>
    <m/>
    <n v="10954001"/>
    <n v="11314027"/>
    <n v="63366551"/>
    <m/>
    <n v="63366551"/>
    <n v="63485149"/>
    <m/>
    <n v="63485149"/>
    <n v="96893474"/>
    <n v="97492678"/>
    <m/>
    <m/>
    <m/>
    <m/>
    <n v="0"/>
    <m/>
    <m/>
    <n v="0"/>
    <m/>
    <m/>
    <m/>
    <m/>
    <m/>
    <m/>
    <n v="96893474"/>
    <n v="97492678"/>
  </r>
  <r>
    <x v="13"/>
    <x v="0"/>
    <s v="Collin County Community College District"/>
    <m/>
    <n v="247834"/>
    <x v="6"/>
    <n v="34293421"/>
    <n v="34479711"/>
    <m/>
    <m/>
    <n v="57333833"/>
    <n v="58695932"/>
    <n v="29755975"/>
    <m/>
    <n v="29755975"/>
    <n v="30517661"/>
    <m/>
    <n v="30517661"/>
    <n v="121383229"/>
    <n v="123693304"/>
    <m/>
    <m/>
    <m/>
    <m/>
    <n v="0"/>
    <m/>
    <m/>
    <n v="0"/>
    <m/>
    <m/>
    <m/>
    <m/>
    <m/>
    <m/>
    <n v="121383229"/>
    <n v="123693304"/>
  </r>
  <r>
    <x v="13"/>
    <x v="0"/>
    <s v="Del Mar College "/>
    <m/>
    <n v="224350"/>
    <x v="6"/>
    <n v="19913765"/>
    <n v="20070755"/>
    <m/>
    <m/>
    <n v="43767128"/>
    <n v="44521137"/>
    <n v="25362609"/>
    <m/>
    <n v="25362609"/>
    <n v="26446055"/>
    <m/>
    <n v="26446055"/>
    <n v="89043502"/>
    <n v="91037947"/>
    <m/>
    <m/>
    <m/>
    <m/>
    <n v="0"/>
    <m/>
    <m/>
    <n v="0"/>
    <m/>
    <m/>
    <m/>
    <m/>
    <m/>
    <m/>
    <n v="89043502"/>
    <n v="91037947"/>
  </r>
  <r>
    <x v="13"/>
    <x v="0"/>
    <s v="Eastfield College  (DCCCD)"/>
    <m/>
    <n v="224572"/>
    <x v="6"/>
    <m/>
    <n v="0"/>
    <m/>
    <m/>
    <m/>
    <m/>
    <m/>
    <m/>
    <n v="0"/>
    <m/>
    <m/>
    <n v="0"/>
    <n v="0"/>
    <n v="0"/>
    <m/>
    <m/>
    <m/>
    <m/>
    <n v="0"/>
    <m/>
    <m/>
    <n v="0"/>
    <m/>
    <m/>
    <m/>
    <m/>
    <m/>
    <m/>
    <n v="0"/>
    <n v="0"/>
  </r>
  <r>
    <x v="13"/>
    <x v="0"/>
    <s v="El Centro College  (DCCCD)"/>
    <m/>
    <n v="224615"/>
    <x v="6"/>
    <m/>
    <n v="0"/>
    <m/>
    <m/>
    <m/>
    <m/>
    <m/>
    <m/>
    <n v="0"/>
    <m/>
    <m/>
    <n v="0"/>
    <n v="0"/>
    <n v="0"/>
    <m/>
    <m/>
    <m/>
    <m/>
    <n v="0"/>
    <m/>
    <m/>
    <n v="0"/>
    <m/>
    <m/>
    <m/>
    <m/>
    <m/>
    <m/>
    <n v="0"/>
    <n v="0"/>
  </r>
  <r>
    <x v="13"/>
    <x v="0"/>
    <s v="El Paso County Community College District"/>
    <m/>
    <n v="224642"/>
    <x v="6"/>
    <n v="36698542"/>
    <n v="36958895"/>
    <m/>
    <m/>
    <n v="37689872"/>
    <n v="42055081"/>
    <n v="47850733"/>
    <m/>
    <n v="47850733"/>
    <n v="55859205"/>
    <m/>
    <n v="55859205"/>
    <n v="122239147"/>
    <n v="134873181"/>
    <m/>
    <m/>
    <m/>
    <m/>
    <n v="0"/>
    <m/>
    <m/>
    <n v="0"/>
    <m/>
    <m/>
    <m/>
    <m/>
    <m/>
    <m/>
    <n v="122239147"/>
    <n v="134873181"/>
  </r>
  <r>
    <x v="13"/>
    <x v="0"/>
    <s v="Houston Community College"/>
    <m/>
    <n v="225423"/>
    <x v="6"/>
    <n v="82178404"/>
    <n v="82719005"/>
    <m/>
    <m/>
    <n v="115820065"/>
    <n v="123638019"/>
    <n v="116421467"/>
    <m/>
    <n v="116421467"/>
    <n v="130214267"/>
    <m/>
    <n v="130214267"/>
    <n v="314419936"/>
    <n v="336571291"/>
    <m/>
    <m/>
    <m/>
    <m/>
    <n v="0"/>
    <m/>
    <m/>
    <n v="0"/>
    <m/>
    <m/>
    <m/>
    <m/>
    <m/>
    <m/>
    <n v="314419936"/>
    <n v="336571291"/>
  </r>
  <r>
    <x v="13"/>
    <x v="0"/>
    <s v="Kilgore College "/>
    <m/>
    <n v="226019"/>
    <x v="6"/>
    <n v="13157601"/>
    <n v="13245567"/>
    <m/>
    <m/>
    <n v="5900201"/>
    <n v="6006097"/>
    <n v="14758719"/>
    <m/>
    <n v="14758719"/>
    <n v="15395755"/>
    <m/>
    <n v="15395755"/>
    <n v="33816521"/>
    <n v="34647419"/>
    <m/>
    <m/>
    <m/>
    <m/>
    <n v="0"/>
    <m/>
    <m/>
    <n v="0"/>
    <m/>
    <m/>
    <m/>
    <m/>
    <m/>
    <m/>
    <n v="33816521"/>
    <n v="34647419"/>
  </r>
  <r>
    <x v="13"/>
    <x v="0"/>
    <s v="Laredo Community College "/>
    <m/>
    <n v="226134"/>
    <x v="6"/>
    <n v="13611942"/>
    <n v="13734760"/>
    <m/>
    <m/>
    <n v="21143950"/>
    <n v="23505136"/>
    <n v="18985866"/>
    <m/>
    <n v="18985866"/>
    <n v="20870691"/>
    <m/>
    <n v="20870691"/>
    <n v="53741758"/>
    <n v="58110587"/>
    <m/>
    <m/>
    <m/>
    <m/>
    <n v="0"/>
    <m/>
    <m/>
    <n v="0"/>
    <m/>
    <m/>
    <m/>
    <m/>
    <m/>
    <m/>
    <n v="53741758"/>
    <n v="58110587"/>
  </r>
  <r>
    <x v="13"/>
    <x v="0"/>
    <s v="Lone Star College System District"/>
    <m/>
    <n v="227182"/>
    <x v="6"/>
    <n v="72829601"/>
    <n v="73252471"/>
    <m/>
    <m/>
    <n v="96232370"/>
    <n v="101461010"/>
    <n v="82865009"/>
    <m/>
    <n v="82865009"/>
    <n v="95469310"/>
    <m/>
    <n v="95469310"/>
    <n v="251926980"/>
    <n v="270182791"/>
    <m/>
    <m/>
    <m/>
    <m/>
    <n v="0"/>
    <m/>
    <m/>
    <n v="0"/>
    <m/>
    <m/>
    <m/>
    <m/>
    <m/>
    <m/>
    <n v="251926980"/>
    <n v="270182791"/>
  </r>
  <r>
    <x v="13"/>
    <x v="0"/>
    <s v="McLennan Community College "/>
    <m/>
    <n v="226578"/>
    <x v="6"/>
    <n v="16327154"/>
    <n v="16439044"/>
    <m/>
    <m/>
    <n v="17770718"/>
    <n v="18282635"/>
    <n v="25132982"/>
    <m/>
    <n v="25132982"/>
    <n v="28267960"/>
    <m/>
    <n v="28267960"/>
    <n v="59230854"/>
    <n v="62989639"/>
    <m/>
    <m/>
    <m/>
    <m/>
    <n v="0"/>
    <m/>
    <m/>
    <n v="0"/>
    <m/>
    <m/>
    <m/>
    <m/>
    <m/>
    <m/>
    <n v="59230854"/>
    <n v="62989639"/>
  </r>
  <r>
    <x v="13"/>
    <x v="0"/>
    <s v="Navarro College "/>
    <m/>
    <n v="227146"/>
    <x v="6"/>
    <n v="17466008"/>
    <n v="17543562"/>
    <m/>
    <m/>
    <n v="3122756"/>
    <n v="3228761"/>
    <n v="20587347"/>
    <m/>
    <n v="20587347"/>
    <n v="21083365"/>
    <m/>
    <n v="21083365"/>
    <n v="41176111"/>
    <n v="41855688"/>
    <m/>
    <m/>
    <m/>
    <m/>
    <n v="0"/>
    <m/>
    <m/>
    <n v="0"/>
    <m/>
    <m/>
    <m/>
    <m/>
    <m/>
    <m/>
    <n v="41176111"/>
    <n v="41855688"/>
  </r>
  <r>
    <x v="13"/>
    <x v="0"/>
    <s v="North Central Texas Community College"/>
    <m/>
    <n v="224110"/>
    <x v="6"/>
    <n v="11075985"/>
    <n v="11142109"/>
    <m/>
    <m/>
    <n v="2162218"/>
    <n v="2182708"/>
    <n v="16366796"/>
    <m/>
    <n v="16366796"/>
    <n v="18776603"/>
    <m/>
    <n v="18776603"/>
    <n v="29604999"/>
    <n v="32101420"/>
    <m/>
    <m/>
    <m/>
    <m/>
    <n v="0"/>
    <m/>
    <m/>
    <n v="0"/>
    <m/>
    <m/>
    <m/>
    <m/>
    <m/>
    <m/>
    <n v="29604999"/>
    <n v="32101420"/>
  </r>
  <r>
    <x v="13"/>
    <x v="0"/>
    <s v="North Lake College  (DCCCD)"/>
    <m/>
    <n v="227191"/>
    <x v="6"/>
    <m/>
    <n v="0"/>
    <m/>
    <m/>
    <m/>
    <m/>
    <m/>
    <m/>
    <n v="0"/>
    <m/>
    <m/>
    <n v="0"/>
    <n v="0"/>
    <n v="0"/>
    <m/>
    <m/>
    <m/>
    <m/>
    <n v="0"/>
    <m/>
    <m/>
    <n v="0"/>
    <m/>
    <m/>
    <m/>
    <m/>
    <m/>
    <m/>
    <n v="0"/>
    <n v="0"/>
  </r>
  <r>
    <x v="13"/>
    <x v="0"/>
    <s v="Northwest Vista College (ACCD)"/>
    <m/>
    <n v="420398"/>
    <x v="6"/>
    <m/>
    <n v="0"/>
    <m/>
    <m/>
    <m/>
    <m/>
    <m/>
    <m/>
    <n v="0"/>
    <m/>
    <m/>
    <n v="0"/>
    <n v="0"/>
    <n v="0"/>
    <m/>
    <m/>
    <m/>
    <m/>
    <n v="0"/>
    <m/>
    <m/>
    <n v="0"/>
    <m/>
    <m/>
    <m/>
    <m/>
    <m/>
    <m/>
    <n v="0"/>
    <n v="0"/>
  </r>
  <r>
    <x v="13"/>
    <x v="0"/>
    <s v="Palo Alto College  (ACCD)"/>
    <m/>
    <n v="246354"/>
    <x v="6"/>
    <m/>
    <n v="0"/>
    <m/>
    <m/>
    <m/>
    <m/>
    <m/>
    <m/>
    <n v="0"/>
    <m/>
    <m/>
    <n v="0"/>
    <n v="0"/>
    <n v="0"/>
    <m/>
    <m/>
    <m/>
    <m/>
    <n v="0"/>
    <m/>
    <m/>
    <n v="0"/>
    <m/>
    <m/>
    <m/>
    <m/>
    <m/>
    <m/>
    <n v="0"/>
    <n v="0"/>
  </r>
  <r>
    <x v="13"/>
    <x v="0"/>
    <s v="Richland College  (DCCCD)"/>
    <m/>
    <n v="227766"/>
    <x v="6"/>
    <m/>
    <n v="0"/>
    <m/>
    <m/>
    <m/>
    <m/>
    <m/>
    <m/>
    <n v="0"/>
    <m/>
    <m/>
    <n v="0"/>
    <n v="0"/>
    <n v="0"/>
    <m/>
    <m/>
    <m/>
    <m/>
    <n v="0"/>
    <m/>
    <m/>
    <n v="0"/>
    <m/>
    <m/>
    <m/>
    <m/>
    <m/>
    <m/>
    <n v="0"/>
    <n v="0"/>
  </r>
  <r>
    <x v="13"/>
    <x v="0"/>
    <s v="San Antonio College (ACCD)"/>
    <m/>
    <n v="227924"/>
    <x v="6"/>
    <m/>
    <n v="0"/>
    <m/>
    <m/>
    <m/>
    <m/>
    <m/>
    <m/>
    <n v="0"/>
    <m/>
    <m/>
    <n v="0"/>
    <n v="0"/>
    <n v="0"/>
    <m/>
    <m/>
    <m/>
    <m/>
    <n v="0"/>
    <m/>
    <m/>
    <n v="0"/>
    <m/>
    <m/>
    <m/>
    <m/>
    <m/>
    <m/>
    <n v="0"/>
    <n v="0"/>
  </r>
  <r>
    <x v="13"/>
    <x v="0"/>
    <s v="San Jacinto College (SJCDS)"/>
    <m/>
    <n v="227979"/>
    <x v="6"/>
    <n v="42586182"/>
    <n v="42883972"/>
    <m/>
    <m/>
    <n v="64805667"/>
    <n v="68648794"/>
    <n v="50728190"/>
    <m/>
    <n v="50728190"/>
    <n v="51438419"/>
    <m/>
    <n v="51438419"/>
    <n v="158120039"/>
    <n v="162971185"/>
    <m/>
    <m/>
    <m/>
    <m/>
    <n v="0"/>
    <m/>
    <m/>
    <n v="0"/>
    <m/>
    <m/>
    <m/>
    <m/>
    <m/>
    <m/>
    <n v="158120039"/>
    <n v="162971185"/>
  </r>
  <r>
    <x v="13"/>
    <x v="0"/>
    <s v="South Plains College "/>
    <m/>
    <n v="228158"/>
    <x v="6"/>
    <n v="16354879"/>
    <n v="16484392"/>
    <m/>
    <m/>
    <n v="10651591"/>
    <n v="10657240"/>
    <n v="13024576"/>
    <m/>
    <n v="13024576"/>
    <n v="24666121"/>
    <m/>
    <n v="24666121"/>
    <n v="40031046"/>
    <n v="51807753"/>
    <m/>
    <m/>
    <m/>
    <m/>
    <n v="0"/>
    <m/>
    <m/>
    <n v="0"/>
    <m/>
    <m/>
    <m/>
    <m/>
    <m/>
    <m/>
    <n v="40031046"/>
    <n v="51807753"/>
  </r>
  <r>
    <x v="13"/>
    <x v="0"/>
    <s v="St. Philip's College  (ACCD)"/>
    <m/>
    <n v="227854"/>
    <x v="6"/>
    <m/>
    <n v="0"/>
    <m/>
    <m/>
    <m/>
    <m/>
    <m/>
    <m/>
    <n v="0"/>
    <m/>
    <m/>
    <n v="0"/>
    <n v="0"/>
    <n v="0"/>
    <m/>
    <m/>
    <m/>
    <m/>
    <n v="0"/>
    <m/>
    <m/>
    <n v="0"/>
    <m/>
    <m/>
    <m/>
    <m/>
    <m/>
    <m/>
    <n v="0"/>
    <n v="0"/>
  </r>
  <r>
    <x v="13"/>
    <x v="0"/>
    <s v="Tarrant County College (TCJCD)"/>
    <m/>
    <n v="228547"/>
    <x v="6"/>
    <n v="61513152"/>
    <n v="61964956"/>
    <m/>
    <m/>
    <n v="163339387"/>
    <n v="180009933"/>
    <n v="60673789"/>
    <m/>
    <n v="60673789"/>
    <n v="60283702"/>
    <m/>
    <n v="60283702"/>
    <n v="285526328"/>
    <n v="302258591"/>
    <m/>
    <m/>
    <m/>
    <m/>
    <n v="0"/>
    <m/>
    <m/>
    <n v="0"/>
    <m/>
    <m/>
    <m/>
    <m/>
    <m/>
    <m/>
    <n v="285526328"/>
    <n v="302258591"/>
  </r>
  <r>
    <x v="13"/>
    <x v="0"/>
    <s v="Texas Southmost College "/>
    <s v="Met criteria for Two-Year 2 in 2012-13."/>
    <n v="229072"/>
    <x v="6"/>
    <n v="13544455"/>
    <n v="13645409"/>
    <m/>
    <m/>
    <n v="17049071"/>
    <n v="17459754"/>
    <n v="38321948"/>
    <m/>
    <n v="38321948"/>
    <n v="36827695"/>
    <m/>
    <n v="36827695"/>
    <n v="68915474"/>
    <n v="67932858"/>
    <m/>
    <m/>
    <m/>
    <m/>
    <n v="0"/>
    <m/>
    <m/>
    <n v="0"/>
    <m/>
    <m/>
    <m/>
    <m/>
    <m/>
    <m/>
    <n v="68915474"/>
    <n v="67932858"/>
  </r>
  <r>
    <x v="13"/>
    <x v="0"/>
    <s v="Texas State Technical College-Waco"/>
    <s v="Met criteria for Two-Year 2 in 2012-13."/>
    <n v="228680"/>
    <x v="6"/>
    <n v="32032772"/>
    <n v="30239291"/>
    <m/>
    <m/>
    <m/>
    <m/>
    <n v="19424522"/>
    <m/>
    <n v="19424522"/>
    <n v="21531561"/>
    <m/>
    <n v="21531561"/>
    <n v="51457294"/>
    <n v="51770852"/>
    <m/>
    <m/>
    <m/>
    <m/>
    <n v="0"/>
    <m/>
    <m/>
    <n v="0"/>
    <m/>
    <m/>
    <m/>
    <m/>
    <m/>
    <m/>
    <n v="51457294"/>
    <n v="51770852"/>
  </r>
  <r>
    <x v="13"/>
    <x v="0"/>
    <s v="Trinity Valley Community College"/>
    <m/>
    <n v="225308"/>
    <x v="6"/>
    <n v="12860729"/>
    <n v="12938340"/>
    <m/>
    <m/>
    <n v="7670212"/>
    <n v="7983304"/>
    <n v="11163125"/>
    <m/>
    <n v="11163125"/>
    <n v="13581347"/>
    <m/>
    <n v="13581347"/>
    <n v="31694066"/>
    <n v="34502991"/>
    <m/>
    <m/>
    <m/>
    <m/>
    <n v="0"/>
    <m/>
    <m/>
    <n v="0"/>
    <m/>
    <m/>
    <m/>
    <m/>
    <m/>
    <m/>
    <n v="31694066"/>
    <n v="34502991"/>
  </r>
  <r>
    <x v="13"/>
    <x v="0"/>
    <s v="Tyler Junior College "/>
    <m/>
    <n v="229355"/>
    <x v="6"/>
    <n v="20454648"/>
    <n v="20592403"/>
    <m/>
    <m/>
    <n v="18638057"/>
    <n v="18937231"/>
    <n v="28457147"/>
    <m/>
    <n v="28457147"/>
    <n v="29509022"/>
    <m/>
    <n v="29509022"/>
    <n v="67549852"/>
    <n v="69038656"/>
    <m/>
    <m/>
    <m/>
    <m/>
    <n v="0"/>
    <m/>
    <m/>
    <n v="0"/>
    <m/>
    <m/>
    <m/>
    <m/>
    <m/>
    <m/>
    <n v="67549852"/>
    <n v="69038656"/>
  </r>
  <r>
    <x v="13"/>
    <x v="0"/>
    <s v="Alvin Community College "/>
    <m/>
    <n v="222567"/>
    <x v="7"/>
    <n v="8675792"/>
    <n v="8736742"/>
    <m/>
    <m/>
    <n v="11574914"/>
    <n v="11886948"/>
    <n v="10517449"/>
    <m/>
    <n v="10517449"/>
    <n v="11270172"/>
    <m/>
    <n v="11270172"/>
    <n v="30768155"/>
    <n v="31893862"/>
    <m/>
    <m/>
    <m/>
    <m/>
    <n v="0"/>
    <m/>
    <m/>
    <n v="0"/>
    <m/>
    <m/>
    <m/>
    <m/>
    <m/>
    <m/>
    <n v="30768155"/>
    <n v="31893862"/>
  </r>
  <r>
    <x v="13"/>
    <x v="0"/>
    <s v="Angelina College "/>
    <m/>
    <n v="222822"/>
    <x v="7"/>
    <n v="9055731"/>
    <n v="9112960"/>
    <m/>
    <m/>
    <n v="5855381"/>
    <n v="6217240"/>
    <n v="7460325"/>
    <m/>
    <n v="7460325"/>
    <n v="8988316"/>
    <m/>
    <n v="8988316"/>
    <n v="22371437"/>
    <n v="24318516"/>
    <m/>
    <m/>
    <m/>
    <m/>
    <n v="0"/>
    <m/>
    <m/>
    <n v="0"/>
    <m/>
    <m/>
    <m/>
    <m/>
    <m/>
    <m/>
    <n v="22371437"/>
    <n v="24318516"/>
  </r>
  <r>
    <x v="13"/>
    <x v="0"/>
    <s v="Cedar Valley College  (DCCCD)"/>
    <m/>
    <n v="223773"/>
    <x v="7"/>
    <m/>
    <n v="0"/>
    <m/>
    <m/>
    <m/>
    <m/>
    <m/>
    <m/>
    <n v="0"/>
    <m/>
    <m/>
    <n v="0"/>
    <n v="0"/>
    <n v="0"/>
    <m/>
    <m/>
    <m/>
    <m/>
    <n v="0"/>
    <m/>
    <m/>
    <n v="0"/>
    <m/>
    <m/>
    <m/>
    <m/>
    <m/>
    <m/>
    <n v="0"/>
    <n v="0"/>
  </r>
  <r>
    <x v="13"/>
    <x v="0"/>
    <s v="Cisco Junior College "/>
    <m/>
    <n v="223898"/>
    <x v="7"/>
    <n v="6366473"/>
    <n v="6403939"/>
    <m/>
    <m/>
    <n v="505261"/>
    <n v="541405"/>
    <n v="9633517"/>
    <m/>
    <n v="9633517"/>
    <n v="9769294"/>
    <m/>
    <n v="9769294"/>
    <n v="16505251"/>
    <n v="16714638"/>
    <m/>
    <m/>
    <m/>
    <m/>
    <n v="0"/>
    <m/>
    <m/>
    <n v="0"/>
    <m/>
    <m/>
    <m/>
    <m/>
    <m/>
    <m/>
    <n v="16505251"/>
    <n v="16714638"/>
  </r>
  <r>
    <x v="13"/>
    <x v="0"/>
    <s v="Coastal Bend College"/>
    <m/>
    <n v="223320"/>
    <x v="7"/>
    <n v="7693912"/>
    <n v="7749789"/>
    <m/>
    <m/>
    <n v="1812993"/>
    <n v="1767948"/>
    <n v="9958376"/>
    <m/>
    <n v="9958376"/>
    <n v="8876007"/>
    <m/>
    <n v="8876007"/>
    <n v="19465281"/>
    <n v="18393744"/>
    <m/>
    <m/>
    <m/>
    <m/>
    <n v="0"/>
    <m/>
    <m/>
    <n v="0"/>
    <m/>
    <m/>
    <m/>
    <m/>
    <m/>
    <m/>
    <n v="19465281"/>
    <n v="18393744"/>
  </r>
  <r>
    <x v="13"/>
    <x v="0"/>
    <s v="College of the Mainland"/>
    <m/>
    <n v="226408"/>
    <x v="7"/>
    <n v="7591941"/>
    <n v="7668700"/>
    <m/>
    <m/>
    <n v="20556458"/>
    <n v="20772062"/>
    <n v="6300965"/>
    <m/>
    <n v="6300965"/>
    <n v="7916817"/>
    <m/>
    <n v="7916817"/>
    <n v="34449364"/>
    <n v="36357579"/>
    <m/>
    <m/>
    <m/>
    <m/>
    <n v="0"/>
    <m/>
    <m/>
    <n v="0"/>
    <m/>
    <m/>
    <m/>
    <m/>
    <m/>
    <m/>
    <n v="34449364"/>
    <n v="36357579"/>
  </r>
  <r>
    <x v="13"/>
    <x v="0"/>
    <s v="Grayson County College "/>
    <m/>
    <n v="225070"/>
    <x v="7"/>
    <n v="8853764"/>
    <n v="8911824"/>
    <m/>
    <m/>
    <n v="9208795"/>
    <n v="9445550"/>
    <n v="8528537"/>
    <m/>
    <n v="8528537"/>
    <n v="8921304"/>
    <m/>
    <n v="8921304"/>
    <n v="26591096"/>
    <n v="27278678"/>
    <m/>
    <m/>
    <m/>
    <m/>
    <n v="0"/>
    <m/>
    <m/>
    <n v="0"/>
    <m/>
    <m/>
    <m/>
    <m/>
    <m/>
    <m/>
    <n v="26591096"/>
    <n v="27278678"/>
  </r>
  <r>
    <x v="13"/>
    <x v="0"/>
    <s v="Hill College"/>
    <m/>
    <n v="225371"/>
    <x v="7"/>
    <n v="7969394"/>
    <n v="8014842"/>
    <m/>
    <m/>
    <n v="3993303"/>
    <n v="4307633"/>
    <n v="6270053"/>
    <m/>
    <n v="6270053"/>
    <n v="6839940"/>
    <m/>
    <n v="6839940"/>
    <n v="18232750"/>
    <n v="19162415"/>
    <m/>
    <m/>
    <m/>
    <m/>
    <n v="0"/>
    <m/>
    <m/>
    <n v="0"/>
    <m/>
    <m/>
    <m/>
    <m/>
    <m/>
    <m/>
    <n v="18232750"/>
    <n v="19162415"/>
  </r>
  <r>
    <x v="13"/>
    <x v="0"/>
    <s v="Howard College (HCJCD)"/>
    <m/>
    <n v="225520"/>
    <x v="7"/>
    <n v="12170711"/>
    <n v="12237388"/>
    <m/>
    <m/>
    <n v="6113570"/>
    <n v="6031636"/>
    <n v="6940275"/>
    <m/>
    <n v="6940275"/>
    <n v="8407908"/>
    <m/>
    <n v="8407908"/>
    <n v="25224556"/>
    <n v="26676932"/>
    <m/>
    <m/>
    <m/>
    <m/>
    <n v="0"/>
    <m/>
    <m/>
    <n v="0"/>
    <m/>
    <m/>
    <m/>
    <m/>
    <m/>
    <m/>
    <n v="25224556"/>
    <n v="26676932"/>
  </r>
  <r>
    <x v="13"/>
    <x v="0"/>
    <s v="Lamar Institute of Technology"/>
    <m/>
    <n v="441760"/>
    <x v="7"/>
    <n v="15191153"/>
    <n v="9775712"/>
    <m/>
    <m/>
    <m/>
    <m/>
    <n v="9110779"/>
    <m/>
    <n v="9110779"/>
    <n v="9106033"/>
    <m/>
    <n v="9106033"/>
    <n v="24301932"/>
    <n v="18881745"/>
    <m/>
    <m/>
    <m/>
    <m/>
    <n v="0"/>
    <m/>
    <m/>
    <n v="0"/>
    <m/>
    <m/>
    <m/>
    <m/>
    <m/>
    <m/>
    <n v="24301932"/>
    <n v="18881745"/>
  </r>
  <r>
    <x v="13"/>
    <x v="0"/>
    <s v="Lamar State College-Port Arthur"/>
    <s v="Reclassified: Met the criteria for Two-Year 2 in 2010-11, 2011-12, and 2012-13."/>
    <n v="226116"/>
    <x v="7"/>
    <n v="9793250"/>
    <n v="9608340"/>
    <m/>
    <m/>
    <m/>
    <m/>
    <n v="6303208"/>
    <m/>
    <n v="6303208"/>
    <n v="6744419"/>
    <m/>
    <n v="6744419"/>
    <n v="16096458"/>
    <n v="16352759"/>
    <m/>
    <m/>
    <m/>
    <m/>
    <n v="0"/>
    <m/>
    <m/>
    <n v="0"/>
    <m/>
    <m/>
    <m/>
    <m/>
    <m/>
    <m/>
    <n v="16096458"/>
    <n v="16352759"/>
  </r>
  <r>
    <x v="13"/>
    <x v="0"/>
    <s v="Lee College "/>
    <m/>
    <n v="226204"/>
    <x v="7"/>
    <n v="11043022"/>
    <n v="11123200"/>
    <m/>
    <m/>
    <n v="17881845"/>
    <n v="18657446"/>
    <n v="11128840"/>
    <m/>
    <n v="11128840"/>
    <n v="11796136"/>
    <m/>
    <n v="11796136"/>
    <n v="40053707"/>
    <n v="41576782"/>
    <m/>
    <m/>
    <m/>
    <m/>
    <n v="0"/>
    <m/>
    <m/>
    <n v="0"/>
    <m/>
    <m/>
    <m/>
    <m/>
    <m/>
    <m/>
    <n v="40053707"/>
    <n v="41576782"/>
  </r>
  <r>
    <x v="13"/>
    <x v="0"/>
    <s v="Mountain View College  (DCCCD)"/>
    <m/>
    <n v="226930"/>
    <x v="7"/>
    <m/>
    <n v="0"/>
    <m/>
    <m/>
    <m/>
    <m/>
    <m/>
    <m/>
    <n v="0"/>
    <m/>
    <m/>
    <n v="0"/>
    <n v="0"/>
    <n v="0"/>
    <m/>
    <m/>
    <m/>
    <m/>
    <n v="0"/>
    <m/>
    <m/>
    <n v="0"/>
    <m/>
    <m/>
    <m/>
    <m/>
    <m/>
    <m/>
    <n v="0"/>
    <n v="0"/>
  </r>
  <r>
    <x v="13"/>
    <x v="0"/>
    <s v="Northeast Texas Community College "/>
    <m/>
    <n v="227225"/>
    <x v="7"/>
    <n v="5002735"/>
    <n v="5035086"/>
    <m/>
    <m/>
    <n v="3610446"/>
    <n v="3458064"/>
    <n v="6435108"/>
    <m/>
    <n v="6435108"/>
    <n v="7289241"/>
    <m/>
    <n v="7289241"/>
    <n v="15048289"/>
    <n v="15782391"/>
    <m/>
    <m/>
    <m/>
    <m/>
    <n v="0"/>
    <m/>
    <m/>
    <n v="0"/>
    <m/>
    <m/>
    <m/>
    <m/>
    <m/>
    <m/>
    <n v="15048289"/>
    <n v="15782391"/>
  </r>
  <r>
    <x v="13"/>
    <x v="0"/>
    <s v="Odessa College "/>
    <m/>
    <n v="227304"/>
    <x v="7"/>
    <n v="8300638"/>
    <n v="8373993"/>
    <m/>
    <m/>
    <n v="16026859"/>
    <n v="20975634"/>
    <n v="9243946"/>
    <m/>
    <n v="9243946"/>
    <n v="10769824"/>
    <m/>
    <n v="10769824"/>
    <n v="33571443"/>
    <n v="40119451"/>
    <m/>
    <m/>
    <m/>
    <m/>
    <n v="0"/>
    <m/>
    <m/>
    <n v="0"/>
    <m/>
    <m/>
    <m/>
    <m/>
    <m/>
    <m/>
    <n v="33571443"/>
    <n v="40119451"/>
  </r>
  <r>
    <x v="13"/>
    <x v="0"/>
    <s v="Paris Junior College"/>
    <m/>
    <n v="227401"/>
    <x v="7"/>
    <n v="10184047"/>
    <n v="10240573"/>
    <m/>
    <m/>
    <n v="2898389"/>
    <n v="2900541"/>
    <n v="11872465"/>
    <m/>
    <n v="11872465"/>
    <n v="12771912"/>
    <m/>
    <n v="12771912"/>
    <n v="24954901"/>
    <n v="25913026"/>
    <m/>
    <m/>
    <m/>
    <m/>
    <n v="0"/>
    <m/>
    <m/>
    <n v="0"/>
    <m/>
    <m/>
    <m/>
    <m/>
    <m/>
    <m/>
    <n v="24954901"/>
    <n v="25913026"/>
  </r>
  <r>
    <x v="13"/>
    <x v="0"/>
    <s v="Southwest Texas Junior College "/>
    <m/>
    <n v="228316"/>
    <x v="7"/>
    <n v="8562698"/>
    <n v="8621420"/>
    <m/>
    <m/>
    <n v="2486117"/>
    <n v="2572349"/>
    <n v="13831100"/>
    <m/>
    <n v="13831100"/>
    <n v="13959178"/>
    <m/>
    <n v="13959178"/>
    <n v="24879915"/>
    <n v="25152947"/>
    <m/>
    <m/>
    <m/>
    <m/>
    <n v="0"/>
    <m/>
    <m/>
    <n v="0"/>
    <m/>
    <m/>
    <m/>
    <m/>
    <m/>
    <m/>
    <n v="24879915"/>
    <n v="25152947"/>
  </r>
  <r>
    <x v="13"/>
    <x v="0"/>
    <s v="Temple College "/>
    <m/>
    <n v="228608"/>
    <x v="7"/>
    <n v="9111737"/>
    <n v="9170367"/>
    <m/>
    <m/>
    <n v="7090970"/>
    <n v="7168855"/>
    <n v="16669210"/>
    <m/>
    <n v="16669210"/>
    <n v="18556015"/>
    <m/>
    <n v="18556015"/>
    <n v="32871917"/>
    <n v="34895237"/>
    <m/>
    <m/>
    <m/>
    <m/>
    <n v="0"/>
    <m/>
    <m/>
    <n v="0"/>
    <m/>
    <m/>
    <m/>
    <m/>
    <m/>
    <m/>
    <n v="32871917"/>
    <n v="34895237"/>
  </r>
  <r>
    <x v="13"/>
    <x v="0"/>
    <s v="Texarkana College "/>
    <m/>
    <n v="228699"/>
    <x v="7"/>
    <n v="9060745"/>
    <n v="9124890"/>
    <m/>
    <m/>
    <n v="1245710"/>
    <n v="1354269"/>
    <n v="6760062"/>
    <m/>
    <n v="6760062"/>
    <n v="8609627"/>
    <m/>
    <n v="8609627"/>
    <n v="17066517"/>
    <n v="19088786"/>
    <m/>
    <m/>
    <m/>
    <m/>
    <n v="0"/>
    <m/>
    <m/>
    <n v="0"/>
    <m/>
    <m/>
    <m/>
    <m/>
    <m/>
    <m/>
    <n v="17066517"/>
    <n v="19088786"/>
  </r>
  <r>
    <x v="13"/>
    <x v="0"/>
    <s v="Texas State Technical College-Harlingen "/>
    <m/>
    <n v="229319"/>
    <x v="7"/>
    <n v="21496347"/>
    <n v="21639600"/>
    <m/>
    <m/>
    <m/>
    <m/>
    <n v="15103936"/>
    <m/>
    <n v="15103936"/>
    <n v="16570893"/>
    <m/>
    <n v="16570893"/>
    <n v="36600283"/>
    <n v="38210493"/>
    <m/>
    <m/>
    <m/>
    <m/>
    <n v="0"/>
    <m/>
    <m/>
    <n v="0"/>
    <m/>
    <m/>
    <m/>
    <m/>
    <m/>
    <m/>
    <n v="36600283"/>
    <n v="38210493"/>
  </r>
  <r>
    <x v="13"/>
    <x v="0"/>
    <s v="Vernon College "/>
    <m/>
    <n v="229504"/>
    <x v="7"/>
    <n v="6785444"/>
    <n v="6828118"/>
    <m/>
    <m/>
    <n v="2038823"/>
    <n v="2167943"/>
    <n v="9028075"/>
    <m/>
    <n v="9028075"/>
    <n v="9918595"/>
    <m/>
    <n v="9918595"/>
    <n v="17852342"/>
    <n v="18914656"/>
    <m/>
    <m/>
    <m/>
    <m/>
    <n v="0"/>
    <m/>
    <m/>
    <n v="0"/>
    <m/>
    <m/>
    <m/>
    <m/>
    <m/>
    <m/>
    <n v="17852342"/>
    <n v="18914656"/>
  </r>
  <r>
    <x v="13"/>
    <x v="0"/>
    <s v="Victoria College "/>
    <m/>
    <n v="229540"/>
    <x v="7"/>
    <n v="7081615"/>
    <n v="7137980"/>
    <m/>
    <m/>
    <n v="6006111"/>
    <n v="6588399"/>
    <n v="13130240"/>
    <m/>
    <n v="13130240"/>
    <n v="14389531"/>
    <m/>
    <n v="14389531"/>
    <n v="26217966"/>
    <n v="28115910"/>
    <m/>
    <m/>
    <m/>
    <m/>
    <n v="0"/>
    <m/>
    <m/>
    <n v="0"/>
    <m/>
    <m/>
    <m/>
    <m/>
    <m/>
    <m/>
    <n v="26217966"/>
    <n v="28115910"/>
  </r>
  <r>
    <x v="13"/>
    <x v="0"/>
    <s v="Weatherford College "/>
    <m/>
    <n v="229799"/>
    <x v="7"/>
    <n v="9008802"/>
    <n v="9069994"/>
    <m/>
    <m/>
    <n v="10070929"/>
    <n v="10271040"/>
    <n v="11494480"/>
    <m/>
    <n v="11494480"/>
    <n v="11836950"/>
    <m/>
    <n v="11836950"/>
    <n v="30574211"/>
    <n v="31177984"/>
    <m/>
    <m/>
    <m/>
    <m/>
    <n v="0"/>
    <m/>
    <m/>
    <n v="0"/>
    <m/>
    <m/>
    <m/>
    <m/>
    <m/>
    <m/>
    <n v="30574211"/>
    <n v="31177984"/>
  </r>
  <r>
    <x v="13"/>
    <x v="0"/>
    <s v="Wharton County Junior College "/>
    <m/>
    <n v="229841"/>
    <x v="7"/>
    <n v="10075147"/>
    <n v="10146747"/>
    <m/>
    <m/>
    <n v="5171594"/>
    <n v="5169609"/>
    <n v="17976465"/>
    <m/>
    <n v="17976465"/>
    <n v="19710836"/>
    <m/>
    <n v="19710836"/>
    <n v="33223206"/>
    <n v="35027192"/>
    <m/>
    <m/>
    <m/>
    <m/>
    <n v="0"/>
    <m/>
    <m/>
    <n v="0"/>
    <m/>
    <m/>
    <m/>
    <m/>
    <m/>
    <m/>
    <n v="33223206"/>
    <n v="35027192"/>
  </r>
  <r>
    <x v="13"/>
    <x v="0"/>
    <s v="Clarendon College "/>
    <m/>
    <n v="223922"/>
    <x v="8"/>
    <n v="2973439"/>
    <n v="2992787"/>
    <m/>
    <m/>
    <n v="442331"/>
    <n v="410816"/>
    <n v="3646518"/>
    <m/>
    <n v="3646518"/>
    <n v="3570983"/>
    <m/>
    <n v="3570983"/>
    <n v="7062288"/>
    <n v="6974586"/>
    <m/>
    <m/>
    <m/>
    <m/>
    <n v="0"/>
    <m/>
    <m/>
    <n v="0"/>
    <m/>
    <m/>
    <m/>
    <m/>
    <m/>
    <m/>
    <n v="7062288"/>
    <n v="6974586"/>
  </r>
  <r>
    <x v="13"/>
    <x v="0"/>
    <s v="Frank Phillips College "/>
    <m/>
    <n v="224891"/>
    <x v="8"/>
    <n v="2490454"/>
    <n v="2511021"/>
    <m/>
    <m/>
    <n v="1376499"/>
    <n v="1382564"/>
    <n v="3002646"/>
    <m/>
    <n v="3002646"/>
    <n v="2765134"/>
    <m/>
    <n v="2765134"/>
    <n v="6869599"/>
    <n v="6658719"/>
    <m/>
    <m/>
    <m/>
    <m/>
    <n v="0"/>
    <m/>
    <m/>
    <n v="0"/>
    <m/>
    <m/>
    <m/>
    <m/>
    <m/>
    <m/>
    <n v="6869599"/>
    <n v="6658719"/>
  </r>
  <r>
    <x v="13"/>
    <x v="0"/>
    <s v="Galveston College "/>
    <m/>
    <n v="224961"/>
    <x v="8"/>
    <n v="4027969"/>
    <n v="4059276"/>
    <m/>
    <m/>
    <n v="8962451"/>
    <n v="9483072"/>
    <n v="3554771"/>
    <m/>
    <n v="3554771"/>
    <n v="4270434"/>
    <m/>
    <n v="4270434"/>
    <n v="16545191"/>
    <n v="17812782"/>
    <m/>
    <m/>
    <m/>
    <m/>
    <n v="0"/>
    <m/>
    <m/>
    <n v="0"/>
    <m/>
    <m/>
    <m/>
    <m/>
    <m/>
    <m/>
    <n v="16545191"/>
    <n v="17812782"/>
  </r>
  <r>
    <x v="13"/>
    <x v="0"/>
    <s v="Lamar State College-Orange"/>
    <m/>
    <n v="226107"/>
    <x v="8"/>
    <n v="8086718"/>
    <n v="7874646"/>
    <m/>
    <m/>
    <m/>
    <m/>
    <n v="7568718"/>
    <m/>
    <n v="7568718"/>
    <n v="6846094"/>
    <m/>
    <n v="6846094"/>
    <n v="15655436"/>
    <n v="14720740"/>
    <m/>
    <m/>
    <m/>
    <m/>
    <n v="0"/>
    <m/>
    <m/>
    <n v="0"/>
    <m/>
    <m/>
    <m/>
    <m/>
    <m/>
    <m/>
    <n v="15655436"/>
    <n v="14720740"/>
  </r>
  <r>
    <x v="13"/>
    <x v="0"/>
    <s v="Northeast Lakeview College (ACCD)"/>
    <m/>
    <s v="???"/>
    <x v="8"/>
    <m/>
    <n v="0"/>
    <m/>
    <m/>
    <m/>
    <m/>
    <m/>
    <m/>
    <n v="0"/>
    <m/>
    <m/>
    <n v="0"/>
    <n v="0"/>
    <n v="0"/>
    <m/>
    <m/>
    <m/>
    <m/>
    <n v="0"/>
    <m/>
    <m/>
    <n v="0"/>
    <m/>
    <m/>
    <m/>
    <m/>
    <m/>
    <m/>
    <n v="0"/>
    <n v="0"/>
  </r>
  <r>
    <x v="13"/>
    <x v="0"/>
    <s v="Panola College"/>
    <m/>
    <n v="227386"/>
    <x v="8"/>
    <n v="4109903"/>
    <n v="4143837"/>
    <m/>
    <m/>
    <n v="5661200"/>
    <n v="5750320"/>
    <n v="5615366"/>
    <m/>
    <n v="5615366"/>
    <n v="6757863"/>
    <m/>
    <n v="6757863"/>
    <n v="15386469"/>
    <n v="16652020"/>
    <m/>
    <m/>
    <m/>
    <m/>
    <n v="0"/>
    <m/>
    <m/>
    <n v="0"/>
    <m/>
    <m/>
    <m/>
    <m/>
    <m/>
    <m/>
    <n v="15386469"/>
    <n v="16652020"/>
  </r>
  <r>
    <x v="13"/>
    <x v="0"/>
    <s v="Ranger College "/>
    <m/>
    <n v="227687"/>
    <x v="8"/>
    <n v="2596094"/>
    <n v="2612936"/>
    <m/>
    <m/>
    <n v="237348"/>
    <n v="252523"/>
    <n v="3048836"/>
    <m/>
    <n v="3048836"/>
    <n v="4477181"/>
    <m/>
    <n v="4477181"/>
    <n v="5882278"/>
    <n v="7342640"/>
    <m/>
    <m/>
    <m/>
    <m/>
    <n v="0"/>
    <m/>
    <m/>
    <n v="0"/>
    <m/>
    <m/>
    <m/>
    <m/>
    <m/>
    <m/>
    <n v="5882278"/>
    <n v="7342640"/>
  </r>
  <r>
    <x v="13"/>
    <x v="0"/>
    <s v="Southwest Collegiate Institute for the Deaf (HCJCD)"/>
    <m/>
    <n v="382911"/>
    <x v="8"/>
    <m/>
    <n v="0"/>
    <m/>
    <m/>
    <m/>
    <m/>
    <m/>
    <m/>
    <n v="0"/>
    <m/>
    <m/>
    <n v="0"/>
    <n v="0"/>
    <n v="0"/>
    <m/>
    <m/>
    <m/>
    <m/>
    <n v="0"/>
    <m/>
    <m/>
    <n v="0"/>
    <m/>
    <m/>
    <m/>
    <m/>
    <m/>
    <m/>
    <n v="0"/>
    <n v="0"/>
  </r>
  <r>
    <x v="13"/>
    <x v="0"/>
    <s v="Texas State Technical College-Marshall"/>
    <m/>
    <n v="408394"/>
    <x v="8"/>
    <n v="6543455"/>
    <n v="6579112"/>
    <m/>
    <m/>
    <m/>
    <m/>
    <n v="3284460"/>
    <m/>
    <n v="3284460"/>
    <n v="3167042"/>
    <m/>
    <n v="3167042"/>
    <n v="9827915"/>
    <n v="9746154"/>
    <m/>
    <m/>
    <m/>
    <m/>
    <n v="0"/>
    <m/>
    <m/>
    <n v="0"/>
    <m/>
    <m/>
    <m/>
    <m/>
    <m/>
    <m/>
    <n v="9827915"/>
    <n v="9746154"/>
  </r>
  <r>
    <x v="13"/>
    <x v="0"/>
    <s v="Texas State Technical College-West Texas"/>
    <m/>
    <n v="229328"/>
    <x v="8"/>
    <n v="12422600"/>
    <n v="12515590"/>
    <m/>
    <m/>
    <m/>
    <m/>
    <n v="3381581"/>
    <m/>
    <n v="3381581"/>
    <n v="3355277"/>
    <m/>
    <n v="3355277"/>
    <n v="15804181"/>
    <n v="15870867"/>
    <m/>
    <m/>
    <m/>
    <m/>
    <n v="0"/>
    <m/>
    <m/>
    <n v="0"/>
    <m/>
    <m/>
    <m/>
    <m/>
    <m/>
    <m/>
    <n v="15804181"/>
    <n v="15870867"/>
  </r>
  <r>
    <x v="13"/>
    <x v="0"/>
    <s v="Western Texas College "/>
    <m/>
    <n v="229832"/>
    <x v="8"/>
    <n v="4223161"/>
    <n v="4253834"/>
    <m/>
    <m/>
    <n v="4066974"/>
    <n v="5686282"/>
    <n v="5615366"/>
    <m/>
    <n v="5615366"/>
    <n v="4739150"/>
    <m/>
    <n v="4739150"/>
    <n v="13905501"/>
    <n v="14679266"/>
    <m/>
    <m/>
    <m/>
    <m/>
    <n v="0"/>
    <m/>
    <m/>
    <n v="0"/>
    <m/>
    <m/>
    <m/>
    <m/>
    <m/>
    <m/>
    <n v="13905501"/>
    <n v="14679266"/>
  </r>
  <r>
    <x v="13"/>
    <x v="0"/>
    <s v="Alamo Community College District (ACCD)"/>
    <m/>
    <m/>
    <x v="15"/>
    <n v="77621368"/>
    <n v="78158475"/>
    <m/>
    <m/>
    <n v="136712543"/>
    <n v="139159943"/>
    <n v="3048836"/>
    <m/>
    <n v="3048836"/>
    <n v="118269682"/>
    <m/>
    <n v="118269682"/>
    <n v="217382747"/>
    <n v="335588100"/>
    <m/>
    <m/>
    <m/>
    <m/>
    <n v="0"/>
    <m/>
    <m/>
    <n v="0"/>
    <m/>
    <m/>
    <m/>
    <m/>
    <m/>
    <m/>
    <n v="217382747"/>
    <n v="335588100"/>
  </r>
  <r>
    <x v="13"/>
    <x v="0"/>
    <s v="Dallas County Community College District (DCCD)"/>
    <m/>
    <m/>
    <x v="15"/>
    <n v="106506726"/>
    <n v="107171623"/>
    <m/>
    <m/>
    <n v="158309361"/>
    <n v="156741112"/>
    <n v="96794829"/>
    <m/>
    <n v="96794829"/>
    <n v="97648888"/>
    <m/>
    <n v="97648888"/>
    <n v="361610916"/>
    <n v="361561623"/>
    <m/>
    <m/>
    <m/>
    <m/>
    <n v="0"/>
    <m/>
    <m/>
    <n v="0"/>
    <m/>
    <m/>
    <m/>
    <m/>
    <m/>
    <m/>
    <n v="361610916"/>
    <n v="361561623"/>
  </r>
  <r>
    <x v="13"/>
    <x v="0"/>
    <s v="Howard College (HCJCD)"/>
    <m/>
    <m/>
    <x v="15"/>
    <m/>
    <n v="0"/>
    <m/>
    <m/>
    <m/>
    <m/>
    <m/>
    <m/>
    <n v="0"/>
    <m/>
    <m/>
    <n v="0"/>
    <n v="0"/>
    <n v="0"/>
    <m/>
    <m/>
    <m/>
    <m/>
    <n v="0"/>
    <m/>
    <m/>
    <n v="0"/>
    <m/>
    <m/>
    <m/>
    <m/>
    <m/>
    <m/>
    <n v="0"/>
    <n v="0"/>
  </r>
  <r>
    <x v="13"/>
    <x v="1"/>
    <s v="Texas A&amp;M Health Science Center"/>
    <m/>
    <n v="223214"/>
    <x v="11"/>
    <m/>
    <m/>
    <m/>
    <m/>
    <m/>
    <m/>
    <m/>
    <m/>
    <n v="0"/>
    <m/>
    <m/>
    <n v="0"/>
    <n v="0"/>
    <n v="0"/>
    <m/>
    <m/>
    <m/>
    <m/>
    <n v="0"/>
    <m/>
    <m/>
    <n v="0"/>
    <n v="111006858"/>
    <n v="101565161"/>
    <n v="25311287"/>
    <m/>
    <n v="29184204"/>
    <m/>
    <n v="136318145"/>
    <n v="130749365"/>
  </r>
  <r>
    <x v="13"/>
    <x v="1"/>
    <s v="Texas Tech University Health Sciences Center"/>
    <m/>
    <n v="229337"/>
    <x v="11"/>
    <m/>
    <m/>
    <m/>
    <m/>
    <m/>
    <m/>
    <m/>
    <m/>
    <n v="0"/>
    <m/>
    <m/>
    <n v="0"/>
    <n v="0"/>
    <n v="0"/>
    <m/>
    <m/>
    <m/>
    <m/>
    <n v="0"/>
    <m/>
    <m/>
    <n v="0"/>
    <n v="182939413"/>
    <n v="163433831"/>
    <n v="37371215"/>
    <m/>
    <n v="44311665"/>
    <m/>
    <n v="220310628"/>
    <n v="207745496"/>
  </r>
  <r>
    <x v="13"/>
    <x v="1"/>
    <s v="University of North Texas Health Science Center at Fort Worth"/>
    <m/>
    <n v="228909"/>
    <x v="11"/>
    <m/>
    <m/>
    <m/>
    <m/>
    <m/>
    <m/>
    <m/>
    <m/>
    <n v="0"/>
    <m/>
    <m/>
    <n v="0"/>
    <n v="0"/>
    <n v="0"/>
    <m/>
    <m/>
    <m/>
    <m/>
    <n v="0"/>
    <m/>
    <m/>
    <n v="0"/>
    <n v="70365140"/>
    <n v="59091971"/>
    <n v="16344909"/>
    <m/>
    <n v="21616750"/>
    <m/>
    <n v="86710049"/>
    <n v="80708721"/>
  </r>
  <r>
    <x v="13"/>
    <x v="1"/>
    <s v="University of Texas Health Science Center at Houston"/>
    <m/>
    <n v="229300"/>
    <x v="11"/>
    <m/>
    <m/>
    <m/>
    <m/>
    <m/>
    <m/>
    <m/>
    <m/>
    <n v="0"/>
    <m/>
    <m/>
    <n v="0"/>
    <n v="0"/>
    <n v="0"/>
    <m/>
    <m/>
    <m/>
    <m/>
    <n v="0"/>
    <m/>
    <m/>
    <n v="0"/>
    <n v="180698573"/>
    <n v="157905130"/>
    <n v="31552995"/>
    <m/>
    <n v="37304922"/>
    <m/>
    <n v="212251568"/>
    <n v="195210052"/>
  </r>
  <r>
    <x v="13"/>
    <x v="1"/>
    <s v="University of Texas Health Science Center at San Antonio"/>
    <m/>
    <n v="228644"/>
    <x v="11"/>
    <m/>
    <m/>
    <m/>
    <m/>
    <m/>
    <m/>
    <m/>
    <m/>
    <n v="0"/>
    <m/>
    <m/>
    <n v="0"/>
    <n v="0"/>
    <n v="0"/>
    <m/>
    <m/>
    <m/>
    <m/>
    <n v="0"/>
    <m/>
    <m/>
    <n v="0"/>
    <n v="186446102"/>
    <n v="156158066"/>
    <n v="32390794"/>
    <m/>
    <n v="35567379"/>
    <m/>
    <n v="218836896"/>
    <n v="191725445"/>
  </r>
  <r>
    <x v="13"/>
    <x v="1"/>
    <s v="University of Texas M.D. Anderson Cancer Center"/>
    <m/>
    <n v="416801"/>
    <x v="11"/>
    <m/>
    <m/>
    <m/>
    <m/>
    <m/>
    <m/>
    <m/>
    <m/>
    <n v="0"/>
    <m/>
    <m/>
    <n v="0"/>
    <n v="0"/>
    <n v="0"/>
    <m/>
    <m/>
    <m/>
    <m/>
    <n v="0"/>
    <m/>
    <m/>
    <n v="0"/>
    <n v="212539878"/>
    <n v="197958544"/>
    <n v="1097748"/>
    <m/>
    <n v="1294519"/>
    <m/>
    <n v="213637626"/>
    <n v="199253063"/>
  </r>
  <r>
    <x v="13"/>
    <x v="1"/>
    <s v="University of Texas Medical Branch at Galveston"/>
    <m/>
    <n v="228653"/>
    <x v="11"/>
    <m/>
    <m/>
    <m/>
    <m/>
    <m/>
    <m/>
    <m/>
    <m/>
    <n v="0"/>
    <m/>
    <m/>
    <n v="0"/>
    <n v="0"/>
    <n v="0"/>
    <m/>
    <m/>
    <m/>
    <m/>
    <n v="0"/>
    <m/>
    <m/>
    <n v="0"/>
    <n v="342767552"/>
    <n v="324663239"/>
    <n v="28920990"/>
    <m/>
    <n v="30910391"/>
    <m/>
    <n v="371688542"/>
    <n v="355573630"/>
  </r>
  <r>
    <x v="13"/>
    <x v="1"/>
    <s v="University of Texas Southwestern Medical Center at Dallas"/>
    <m/>
    <n v="228635"/>
    <x v="11"/>
    <m/>
    <m/>
    <m/>
    <m/>
    <m/>
    <m/>
    <m/>
    <m/>
    <n v="0"/>
    <m/>
    <m/>
    <n v="0"/>
    <n v="0"/>
    <n v="0"/>
    <m/>
    <m/>
    <m/>
    <m/>
    <n v="0"/>
    <m/>
    <m/>
    <n v="0"/>
    <n v="153236562"/>
    <n v="141738226"/>
    <n v="19674547"/>
    <m/>
    <n v="24680849"/>
    <m/>
    <n v="172911109"/>
    <n v="166419075"/>
  </r>
  <r>
    <x v="13"/>
    <x v="42"/>
    <s v="University of Texas Health Center at Tyler"/>
    <m/>
    <m/>
    <x v="11"/>
    <m/>
    <m/>
    <m/>
    <m/>
    <m/>
    <m/>
    <m/>
    <m/>
    <n v="0"/>
    <m/>
    <m/>
    <n v="0"/>
    <n v="0"/>
    <n v="0"/>
    <m/>
    <m/>
    <m/>
    <m/>
    <n v="0"/>
    <m/>
    <m/>
    <n v="0"/>
    <n v="46863887"/>
    <n v="38368698"/>
    <m/>
    <m/>
    <m/>
    <m/>
    <n v="46863887"/>
    <n v="38368698"/>
  </r>
  <r>
    <x v="13"/>
    <x v="0"/>
    <s v="UNIV. OF NORTH TEXAS AT DALLAS"/>
    <s v="New fall 2009. No degrees yet granted."/>
    <s v="???"/>
    <x v="13"/>
    <n v="11617131"/>
    <n v="11672435"/>
    <m/>
    <m/>
    <m/>
    <m/>
    <n v="8256208"/>
    <m/>
    <n v="8256208"/>
    <n v="8956837"/>
    <m/>
    <n v="8956837"/>
    <n v="19873339"/>
    <n v="20629272"/>
    <m/>
    <m/>
    <m/>
    <m/>
    <n v="0"/>
    <m/>
    <m/>
    <n v="0"/>
    <m/>
    <m/>
    <m/>
    <m/>
    <m/>
    <m/>
    <n v="19873339"/>
    <n v="20629272"/>
  </r>
  <r>
    <x v="13"/>
    <x v="10"/>
    <s v="Statewide Special-Purpose Units"/>
    <m/>
    <m/>
    <x v="12"/>
    <m/>
    <n v="0"/>
    <m/>
    <m/>
    <m/>
    <m/>
    <m/>
    <m/>
    <n v="0"/>
    <m/>
    <m/>
    <n v="0"/>
    <n v="0"/>
    <n v="0"/>
    <m/>
    <m/>
    <m/>
    <m/>
    <n v="0"/>
    <m/>
    <m/>
    <n v="0"/>
    <m/>
    <m/>
    <m/>
    <m/>
    <m/>
    <m/>
    <n v="0"/>
    <n v="0"/>
  </r>
  <r>
    <x v="13"/>
    <x v="12"/>
    <s v="Family practice residency "/>
    <m/>
    <m/>
    <x v="12"/>
    <m/>
    <m/>
    <m/>
    <m/>
    <m/>
    <m/>
    <m/>
    <m/>
    <n v="0"/>
    <m/>
    <m/>
    <n v="0"/>
    <n v="0"/>
    <n v="0"/>
    <m/>
    <m/>
    <m/>
    <m/>
    <n v="0"/>
    <m/>
    <m/>
    <n v="0"/>
    <n v="2800000"/>
    <n v="2800000"/>
    <m/>
    <m/>
    <m/>
    <m/>
    <n v="2800000"/>
    <n v="2800000"/>
  </r>
  <r>
    <x v="13"/>
    <x v="12"/>
    <s v="Other Health Related- Tobacco Settle-Minority Health Res. &amp; Ed."/>
    <m/>
    <m/>
    <x v="12"/>
    <m/>
    <m/>
    <m/>
    <m/>
    <m/>
    <m/>
    <m/>
    <m/>
    <n v="0"/>
    <m/>
    <m/>
    <n v="0"/>
    <n v="0"/>
    <n v="0"/>
    <m/>
    <m/>
    <m/>
    <m/>
    <n v="0"/>
    <m/>
    <m/>
    <n v="0"/>
    <n v="3149018"/>
    <n v="1649017"/>
    <m/>
    <m/>
    <m/>
    <m/>
    <n v="3149018"/>
    <n v="1649017"/>
  </r>
  <r>
    <x v="13"/>
    <x v="12"/>
    <s v="Other Health Related- Tobacco Settle-Nursing, Allied Health, etc."/>
    <m/>
    <m/>
    <x v="12"/>
    <m/>
    <m/>
    <m/>
    <m/>
    <m/>
    <m/>
    <m/>
    <m/>
    <n v="0"/>
    <m/>
    <m/>
    <n v="0"/>
    <n v="0"/>
    <n v="0"/>
    <m/>
    <m/>
    <m/>
    <m/>
    <n v="0"/>
    <m/>
    <m/>
    <n v="0"/>
    <n v="4600789"/>
    <n v="2700788"/>
    <m/>
    <m/>
    <m/>
    <m/>
    <n v="4600789"/>
    <n v="2700788"/>
  </r>
  <r>
    <x v="13"/>
    <x v="12"/>
    <s v="Nursing Shortage Reduction Program"/>
    <m/>
    <m/>
    <x v="12"/>
    <m/>
    <m/>
    <m/>
    <m/>
    <m/>
    <m/>
    <m/>
    <m/>
    <n v="0"/>
    <m/>
    <m/>
    <n v="0"/>
    <n v="0"/>
    <n v="0"/>
    <m/>
    <m/>
    <m/>
    <m/>
    <n v="0"/>
    <m/>
    <m/>
    <n v="0"/>
    <n v="15000000"/>
    <n v="15000000"/>
    <m/>
    <m/>
    <m/>
    <m/>
    <n v="15000000"/>
    <n v="15000000"/>
  </r>
  <r>
    <x v="13"/>
    <x v="13"/>
    <s v="Educational special purpose funds — all other"/>
    <m/>
    <m/>
    <x v="12"/>
    <m/>
    <m/>
    <m/>
    <m/>
    <m/>
    <m/>
    <m/>
    <m/>
    <n v="0"/>
    <m/>
    <m/>
    <n v="0"/>
    <n v="0"/>
    <n v="0"/>
    <m/>
    <m/>
    <m/>
    <m/>
    <n v="0"/>
    <m/>
    <m/>
    <n v="0"/>
    <m/>
    <m/>
    <m/>
    <m/>
    <m/>
    <m/>
    <n v="0"/>
    <n v="0"/>
  </r>
  <r>
    <x v="13"/>
    <x v="13"/>
    <s v="African American Museum"/>
    <m/>
    <m/>
    <x v="12"/>
    <m/>
    <m/>
    <n v="66716"/>
    <n v="66716"/>
    <m/>
    <m/>
    <m/>
    <m/>
    <n v="0"/>
    <m/>
    <m/>
    <n v="0"/>
    <n v="66716"/>
    <n v="66716"/>
    <m/>
    <m/>
    <m/>
    <m/>
    <n v="0"/>
    <m/>
    <m/>
    <n v="0"/>
    <m/>
    <m/>
    <m/>
    <m/>
    <m/>
    <m/>
    <n v="66716"/>
    <n v="66716"/>
  </r>
  <r>
    <x v="13"/>
    <x v="14"/>
    <s v="Statewide System Operations"/>
    <m/>
    <m/>
    <x v="12"/>
    <m/>
    <m/>
    <m/>
    <m/>
    <m/>
    <m/>
    <m/>
    <m/>
    <n v="0"/>
    <m/>
    <m/>
    <n v="0"/>
    <n v="0"/>
    <n v="0"/>
    <m/>
    <m/>
    <m/>
    <m/>
    <n v="0"/>
    <m/>
    <m/>
    <n v="0"/>
    <m/>
    <m/>
    <m/>
    <m/>
    <m/>
    <m/>
    <n v="0"/>
    <n v="0"/>
  </r>
  <r>
    <x v="13"/>
    <x v="15"/>
    <s v="Colleges and universities System Admin."/>
    <m/>
    <m/>
    <x v="12"/>
    <m/>
    <m/>
    <m/>
    <m/>
    <m/>
    <m/>
    <m/>
    <m/>
    <n v="0"/>
    <m/>
    <m/>
    <n v="0"/>
    <n v="0"/>
    <n v="0"/>
    <n v="52211700"/>
    <n v="50540802"/>
    <m/>
    <m/>
    <n v="0"/>
    <m/>
    <m/>
    <n v="0"/>
    <m/>
    <m/>
    <m/>
    <m/>
    <m/>
    <m/>
    <n v="52211700"/>
    <n v="50540802"/>
  </r>
  <r>
    <x v="13"/>
    <x v="15"/>
    <s v="Texas Higher Education Coordinating Board"/>
    <m/>
    <m/>
    <x v="12"/>
    <m/>
    <m/>
    <m/>
    <m/>
    <m/>
    <m/>
    <m/>
    <m/>
    <n v="0"/>
    <m/>
    <m/>
    <n v="0"/>
    <n v="0"/>
    <n v="0"/>
    <n v="52804152"/>
    <n v="42752455"/>
    <m/>
    <m/>
    <n v="0"/>
    <m/>
    <m/>
    <n v="0"/>
    <m/>
    <m/>
    <m/>
    <m/>
    <m/>
    <m/>
    <n v="52804152"/>
    <n v="42752455"/>
  </r>
  <r>
    <x v="13"/>
    <x v="16"/>
    <s v="Two-year system(s), if any"/>
    <m/>
    <m/>
    <x v="12"/>
    <m/>
    <m/>
    <m/>
    <m/>
    <m/>
    <m/>
    <m/>
    <m/>
    <n v="0"/>
    <m/>
    <m/>
    <n v="0"/>
    <n v="0"/>
    <n v="0"/>
    <m/>
    <m/>
    <m/>
    <m/>
    <n v="0"/>
    <m/>
    <m/>
    <n v="0"/>
    <m/>
    <m/>
    <m/>
    <m/>
    <m/>
    <m/>
    <n v="0"/>
    <n v="0"/>
  </r>
  <r>
    <x v="13"/>
    <x v="16"/>
    <s v="Texas State Technical College System Office"/>
    <m/>
    <m/>
    <x v="12"/>
    <m/>
    <m/>
    <m/>
    <m/>
    <m/>
    <m/>
    <m/>
    <m/>
    <n v="0"/>
    <m/>
    <m/>
    <n v="0"/>
    <n v="0"/>
    <n v="0"/>
    <n v="6655294"/>
    <n v="5603862"/>
    <m/>
    <m/>
    <n v="0"/>
    <m/>
    <m/>
    <n v="0"/>
    <m/>
    <m/>
    <m/>
    <m/>
    <m/>
    <m/>
    <n v="6655294"/>
    <n v="5603862"/>
  </r>
  <r>
    <x v="13"/>
    <x v="18"/>
    <s v="Adm. of Statewide Student Aid Progs. (including centralized guaranteed student loans)"/>
    <m/>
    <m/>
    <x v="12"/>
    <m/>
    <m/>
    <m/>
    <m/>
    <m/>
    <m/>
    <m/>
    <m/>
    <n v="0"/>
    <m/>
    <m/>
    <n v="0"/>
    <n v="0"/>
    <n v="0"/>
    <m/>
    <m/>
    <m/>
    <m/>
    <n v="0"/>
    <m/>
    <m/>
    <n v="0"/>
    <m/>
    <m/>
    <m/>
    <m/>
    <m/>
    <m/>
    <n v="0"/>
    <n v="0"/>
  </r>
  <r>
    <x v="13"/>
    <x v="19"/>
    <s v="State Support to Private Colleges Other Than Student Aid"/>
    <m/>
    <m/>
    <x v="12"/>
    <m/>
    <m/>
    <m/>
    <m/>
    <m/>
    <m/>
    <m/>
    <m/>
    <n v="0"/>
    <m/>
    <m/>
    <n v="0"/>
    <n v="0"/>
    <n v="0"/>
    <m/>
    <m/>
    <m/>
    <m/>
    <n v="0"/>
    <m/>
    <m/>
    <n v="0"/>
    <m/>
    <m/>
    <m/>
    <m/>
    <m/>
    <m/>
    <n v="0"/>
    <n v="0"/>
  </r>
  <r>
    <x v="13"/>
    <x v="19"/>
    <s v="Baylor College of Medicine"/>
    <s v="Funding for 11-12 Moved to Part C: Medical Education"/>
    <m/>
    <x v="12"/>
    <m/>
    <m/>
    <m/>
    <m/>
    <m/>
    <m/>
    <m/>
    <m/>
    <n v="0"/>
    <m/>
    <m/>
    <n v="0"/>
    <n v="0"/>
    <n v="0"/>
    <m/>
    <m/>
    <m/>
    <m/>
    <n v="0"/>
    <m/>
    <m/>
    <n v="0"/>
    <n v="48440962"/>
    <n v="43958524"/>
    <m/>
    <m/>
    <m/>
    <m/>
    <n v="48440962"/>
    <n v="43958524"/>
  </r>
  <r>
    <x v="13"/>
    <x v="19"/>
    <s v="Centers for Teacher Education"/>
    <m/>
    <m/>
    <x v="12"/>
    <m/>
    <m/>
    <m/>
    <m/>
    <m/>
    <m/>
    <m/>
    <m/>
    <n v="0"/>
    <m/>
    <m/>
    <n v="0"/>
    <n v="0"/>
    <n v="0"/>
    <n v="1520353"/>
    <n v="1520353"/>
    <m/>
    <m/>
    <n v="0"/>
    <m/>
    <m/>
    <n v="0"/>
    <m/>
    <m/>
    <m/>
    <m/>
    <m/>
    <m/>
    <n v="1520353"/>
    <n v="1520353"/>
  </r>
  <r>
    <x v="13"/>
    <x v="24"/>
    <s v="Statewide Student Financial Aid Programs Administered Off Campus"/>
    <m/>
    <m/>
    <x v="12"/>
    <m/>
    <m/>
    <m/>
    <m/>
    <m/>
    <m/>
    <m/>
    <m/>
    <n v="0"/>
    <m/>
    <m/>
    <n v="0"/>
    <n v="0"/>
    <n v="0"/>
    <m/>
    <m/>
    <m/>
    <m/>
    <n v="0"/>
    <m/>
    <m/>
    <n v="0"/>
    <m/>
    <m/>
    <m/>
    <m/>
    <m/>
    <m/>
    <n v="0"/>
    <n v="0"/>
  </r>
  <r>
    <x v="13"/>
    <x v="25"/>
    <s v="Available to public &amp; private sector students"/>
    <m/>
    <m/>
    <x v="12"/>
    <m/>
    <m/>
    <m/>
    <m/>
    <m/>
    <m/>
    <m/>
    <m/>
    <n v="0"/>
    <m/>
    <m/>
    <n v="0"/>
    <n v="0"/>
    <n v="0"/>
    <m/>
    <m/>
    <m/>
    <m/>
    <n v="0"/>
    <m/>
    <m/>
    <n v="0"/>
    <m/>
    <m/>
    <m/>
    <m/>
    <m/>
    <m/>
    <n v="0"/>
    <n v="0"/>
  </r>
  <r>
    <x v="13"/>
    <x v="25"/>
    <s v="TX Student Aid"/>
    <m/>
    <m/>
    <x v="12"/>
    <m/>
    <m/>
    <m/>
    <m/>
    <m/>
    <m/>
    <m/>
    <m/>
    <n v="0"/>
    <m/>
    <m/>
    <n v="0"/>
    <n v="0"/>
    <n v="0"/>
    <n v="446451527"/>
    <n v="352460831"/>
    <m/>
    <m/>
    <n v="0"/>
    <m/>
    <m/>
    <n v="0"/>
    <m/>
    <m/>
    <m/>
    <m/>
    <m/>
    <m/>
    <n v="446451527"/>
    <n v="352460831"/>
  </r>
  <r>
    <x v="13"/>
    <x v="27"/>
    <s v="Non need-based"/>
    <m/>
    <m/>
    <x v="12"/>
    <m/>
    <m/>
    <m/>
    <m/>
    <m/>
    <m/>
    <m/>
    <m/>
    <n v="0"/>
    <m/>
    <m/>
    <n v="0"/>
    <n v="0"/>
    <n v="0"/>
    <n v="20864000"/>
    <n v="17664000"/>
    <m/>
    <m/>
    <n v="0"/>
    <m/>
    <m/>
    <n v="0"/>
    <m/>
    <m/>
    <m/>
    <m/>
    <m/>
    <m/>
    <n v="20864000"/>
    <n v="17664000"/>
  </r>
  <r>
    <x v="13"/>
    <x v="25"/>
    <s v="Teach for TX Conditional Grants"/>
    <m/>
    <m/>
    <x v="12"/>
    <m/>
    <m/>
    <m/>
    <m/>
    <m/>
    <m/>
    <m/>
    <m/>
    <n v="0"/>
    <m/>
    <m/>
    <n v="0"/>
    <n v="0"/>
    <n v="0"/>
    <n v="500000"/>
    <n v="500000"/>
    <m/>
    <m/>
    <n v="0"/>
    <m/>
    <m/>
    <n v="0"/>
    <m/>
    <m/>
    <m/>
    <m/>
    <m/>
    <m/>
    <n v="500000"/>
    <n v="500000"/>
  </r>
  <r>
    <x v="13"/>
    <x v="25"/>
    <s v="Joint Admission Medical Program"/>
    <m/>
    <m/>
    <x v="12"/>
    <m/>
    <m/>
    <m/>
    <m/>
    <m/>
    <m/>
    <m/>
    <m/>
    <n v="0"/>
    <m/>
    <m/>
    <n v="0"/>
    <n v="0"/>
    <n v="0"/>
    <n v="7006794"/>
    <n v="0"/>
    <m/>
    <m/>
    <n v="0"/>
    <m/>
    <m/>
    <n v="0"/>
    <m/>
    <m/>
    <m/>
    <m/>
    <m/>
    <m/>
    <n v="7006794"/>
    <n v="0"/>
  </r>
  <r>
    <x v="13"/>
    <x v="25"/>
    <s v="Border Faculty Loan Repayment Program"/>
    <m/>
    <m/>
    <x v="12"/>
    <m/>
    <m/>
    <m/>
    <m/>
    <m/>
    <m/>
    <m/>
    <m/>
    <n v="0"/>
    <m/>
    <m/>
    <n v="0"/>
    <n v="0"/>
    <n v="0"/>
    <n v="187813"/>
    <n v="187813"/>
    <m/>
    <m/>
    <n v="0"/>
    <m/>
    <m/>
    <n v="0"/>
    <m/>
    <m/>
    <m/>
    <m/>
    <m/>
    <m/>
    <n v="187813"/>
    <n v="187813"/>
  </r>
  <r>
    <x v="14"/>
    <x v="0"/>
    <s v="George Mason University "/>
    <m/>
    <n v="232186"/>
    <x v="0"/>
    <n v="107701785"/>
    <n v="112149834"/>
    <n v="956250"/>
    <n v="956250"/>
    <m/>
    <m/>
    <n v="293642073"/>
    <n v="1819170"/>
    <n v="295461243"/>
    <n v="292258478"/>
    <n v="2281257"/>
    <n v="294539735"/>
    <n v="402300108"/>
    <n v="405364562"/>
    <m/>
    <m/>
    <m/>
    <m/>
    <n v="0"/>
    <m/>
    <m/>
    <n v="0"/>
    <m/>
    <m/>
    <m/>
    <m/>
    <m/>
    <m/>
    <n v="402300108"/>
    <n v="405364562"/>
  </r>
  <r>
    <x v="14"/>
    <x v="0"/>
    <s v="Old Dominion University "/>
    <m/>
    <n v="232982"/>
    <x v="0"/>
    <n v="91185656"/>
    <n v="97649766"/>
    <n v="2349838"/>
    <n v="3099838"/>
    <m/>
    <m/>
    <n v="127804777"/>
    <n v="886050"/>
    <n v="128690827"/>
    <n v="124638183"/>
    <n v="1063161"/>
    <n v="125701344"/>
    <n v="221340271"/>
    <n v="225387787"/>
    <m/>
    <m/>
    <m/>
    <m/>
    <n v="0"/>
    <m/>
    <m/>
    <n v="0"/>
    <m/>
    <m/>
    <m/>
    <m/>
    <m/>
    <m/>
    <n v="221340271"/>
    <n v="225387787"/>
  </r>
  <r>
    <x v="14"/>
    <x v="0"/>
    <s v="University of Virginia"/>
    <m/>
    <n v="234076"/>
    <x v="0"/>
    <n v="95875598"/>
    <n v="99331142"/>
    <n v="2482332"/>
    <n v="4732332"/>
    <m/>
    <m/>
    <n v="372329385"/>
    <n v="4304700"/>
    <n v="376634085"/>
    <n v="459701000"/>
    <n v="4768632"/>
    <n v="464469632"/>
    <n v="470687315"/>
    <n v="563764474"/>
    <m/>
    <m/>
    <m/>
    <m/>
    <n v="0"/>
    <m/>
    <m/>
    <n v="0"/>
    <m/>
    <m/>
    <m/>
    <m/>
    <m/>
    <m/>
    <n v="470687315"/>
    <n v="563764474"/>
  </r>
  <r>
    <x v="14"/>
    <x v="1"/>
    <s v="Medical School"/>
    <m/>
    <n v="234076"/>
    <x v="0"/>
    <m/>
    <m/>
    <m/>
    <m/>
    <m/>
    <m/>
    <m/>
    <m/>
    <n v="0"/>
    <m/>
    <m/>
    <n v="0"/>
    <n v="0"/>
    <n v="0"/>
    <m/>
    <m/>
    <m/>
    <m/>
    <n v="0"/>
    <m/>
    <m/>
    <n v="0"/>
    <n v="14468917"/>
    <n v="16414805"/>
    <n v="40768615"/>
    <m/>
    <m/>
    <m/>
    <n v="55237532"/>
    <n v="16414805"/>
  </r>
  <r>
    <x v="14"/>
    <x v="0"/>
    <s v="Virginia Tech "/>
    <m/>
    <n v="233921"/>
    <x v="0"/>
    <n v="122014085"/>
    <n v="126674291"/>
    <n v="2388544"/>
    <n v="3138544"/>
    <m/>
    <m/>
    <n v="359286138"/>
    <n v="4053330"/>
    <n v="363339468"/>
    <n v="371133106"/>
    <n v="4625280"/>
    <n v="375758386"/>
    <n v="483688767"/>
    <n v="500945941"/>
    <m/>
    <m/>
    <m/>
    <m/>
    <n v="0"/>
    <m/>
    <m/>
    <n v="0"/>
    <m/>
    <m/>
    <m/>
    <m/>
    <m/>
    <m/>
    <n v="483688767"/>
    <n v="500945941"/>
  </r>
  <r>
    <x v="14"/>
    <x v="1"/>
    <s v="Veterinary School"/>
    <m/>
    <n v="233921"/>
    <x v="0"/>
    <m/>
    <m/>
    <m/>
    <m/>
    <m/>
    <m/>
    <m/>
    <m/>
    <n v="0"/>
    <m/>
    <m/>
    <n v="0"/>
    <n v="0"/>
    <n v="0"/>
    <m/>
    <m/>
    <m/>
    <m/>
    <n v="0"/>
    <m/>
    <m/>
    <n v="0"/>
    <n v="10704795"/>
    <n v="11273617"/>
    <n v="11349922"/>
    <m/>
    <m/>
    <m/>
    <n v="22054717"/>
    <n v="11273617"/>
  </r>
  <r>
    <x v="14"/>
    <x v="5"/>
    <s v="Agricultural &amp; Foresty Research"/>
    <m/>
    <n v="233921"/>
    <x v="0"/>
    <m/>
    <m/>
    <n v="29690260"/>
    <n v="30461149"/>
    <m/>
    <m/>
    <m/>
    <m/>
    <n v="0"/>
    <m/>
    <m/>
    <n v="0"/>
    <n v="29690260"/>
    <n v="30461149"/>
    <m/>
    <m/>
    <m/>
    <m/>
    <n v="0"/>
    <m/>
    <m/>
    <n v="0"/>
    <m/>
    <m/>
    <m/>
    <m/>
    <m/>
    <m/>
    <n v="29690260"/>
    <n v="30461149"/>
  </r>
  <r>
    <x v="14"/>
    <x v="6"/>
    <s v="Cooperative Extension"/>
    <m/>
    <n v="233921"/>
    <x v="0"/>
    <m/>
    <m/>
    <n v="29847594"/>
    <n v="30030646"/>
    <m/>
    <m/>
    <m/>
    <m/>
    <n v="0"/>
    <m/>
    <m/>
    <n v="0"/>
    <n v="29847594"/>
    <n v="30030646"/>
    <m/>
    <m/>
    <m/>
    <m/>
    <n v="0"/>
    <m/>
    <m/>
    <n v="0"/>
    <m/>
    <m/>
    <m/>
    <m/>
    <m/>
    <m/>
    <n v="29847594"/>
    <n v="30030646"/>
  </r>
  <r>
    <x v="14"/>
    <x v="0"/>
    <s v="College of William &amp; Mary"/>
    <m/>
    <n v="231624"/>
    <x v="1"/>
    <n v="35455479"/>
    <n v="36843298"/>
    <n v="75000"/>
    <n v="75000"/>
    <m/>
    <m/>
    <n v="111185873"/>
    <n v="1256580"/>
    <n v="112442453"/>
    <n v="112748169"/>
    <n v="1412532"/>
    <n v="114160701"/>
    <n v="146716352"/>
    <n v="149666467"/>
    <m/>
    <m/>
    <m/>
    <m/>
    <n v="0"/>
    <m/>
    <m/>
    <n v="0"/>
    <m/>
    <m/>
    <m/>
    <m/>
    <m/>
    <m/>
    <n v="146716352"/>
    <n v="149666467"/>
  </r>
  <r>
    <x v="14"/>
    <x v="7"/>
    <s v="Research centers/institutes"/>
    <m/>
    <n v="231624"/>
    <x v="1"/>
    <m/>
    <m/>
    <m/>
    <m/>
    <m/>
    <m/>
    <m/>
    <m/>
    <n v="0"/>
    <m/>
    <m/>
    <n v="0"/>
    <n v="0"/>
    <n v="0"/>
    <m/>
    <m/>
    <m/>
    <m/>
    <n v="0"/>
    <m/>
    <m/>
    <n v="0"/>
    <m/>
    <m/>
    <m/>
    <m/>
    <m/>
    <m/>
    <n v="0"/>
    <n v="0"/>
  </r>
  <r>
    <x v="14"/>
    <x v="7"/>
    <s v="Va Inst of Marine Science"/>
    <m/>
    <n v="231624"/>
    <x v="1"/>
    <m/>
    <m/>
    <n v="16450327"/>
    <n v="17160545"/>
    <m/>
    <m/>
    <m/>
    <m/>
    <n v="0"/>
    <m/>
    <m/>
    <n v="0"/>
    <n v="16450327"/>
    <n v="17160545"/>
    <m/>
    <m/>
    <m/>
    <m/>
    <n v="0"/>
    <m/>
    <m/>
    <n v="0"/>
    <m/>
    <m/>
    <m/>
    <m/>
    <m/>
    <m/>
    <n v="16450327"/>
    <n v="17160545"/>
  </r>
  <r>
    <x v="14"/>
    <x v="0"/>
    <s v="Virginia Commonwealth University"/>
    <m/>
    <n v="234030"/>
    <x v="1"/>
    <n v="103705767"/>
    <n v="112508868"/>
    <n v="7162500"/>
    <n v="8912500"/>
    <m/>
    <m/>
    <n v="322880207"/>
    <n v="1906560"/>
    <n v="324786767"/>
    <n v="313162213"/>
    <n v="1714383"/>
    <n v="314876596"/>
    <n v="433748474"/>
    <n v="434583581"/>
    <m/>
    <m/>
    <m/>
    <m/>
    <n v="0"/>
    <m/>
    <m/>
    <n v="0"/>
    <m/>
    <m/>
    <m/>
    <m/>
    <m/>
    <m/>
    <n v="433748474"/>
    <n v="434583581"/>
  </r>
  <r>
    <x v="14"/>
    <x v="1"/>
    <s v="Medical School"/>
    <m/>
    <n v="234030"/>
    <x v="1"/>
    <m/>
    <m/>
    <m/>
    <m/>
    <m/>
    <m/>
    <m/>
    <m/>
    <n v="0"/>
    <m/>
    <m/>
    <n v="0"/>
    <n v="0"/>
    <n v="0"/>
    <m/>
    <m/>
    <m/>
    <m/>
    <n v="0"/>
    <m/>
    <m/>
    <n v="0"/>
    <n v="38682686"/>
    <n v="38041247"/>
    <n v="39736200"/>
    <m/>
    <m/>
    <m/>
    <n v="78418886"/>
    <n v="38041247"/>
  </r>
  <r>
    <x v="14"/>
    <x v="0"/>
    <s v="James Madison University  "/>
    <m/>
    <n v="232423"/>
    <x v="2"/>
    <n v="62612561"/>
    <n v="66728837"/>
    <m/>
    <m/>
    <m/>
    <m/>
    <n v="168461428"/>
    <n v="2443140"/>
    <n v="170904568"/>
    <n v="174002043"/>
    <n v="2672109"/>
    <n v="176674152"/>
    <n v="231073989"/>
    <n v="240730880"/>
    <m/>
    <m/>
    <m/>
    <m/>
    <n v="0"/>
    <m/>
    <m/>
    <n v="0"/>
    <m/>
    <m/>
    <m/>
    <m/>
    <m/>
    <m/>
    <n v="231073989"/>
    <n v="240730880"/>
  </r>
  <r>
    <x v="14"/>
    <x v="0"/>
    <s v="Norfolk State University "/>
    <m/>
    <n v="232937"/>
    <x v="2"/>
    <n v="37768961"/>
    <n v="39740782"/>
    <m/>
    <m/>
    <m/>
    <m/>
    <n v="34288090"/>
    <n v="459990"/>
    <n v="34748080"/>
    <n v="36221177"/>
    <n v="499356"/>
    <n v="36720533"/>
    <n v="72057051"/>
    <n v="75961959"/>
    <m/>
    <m/>
    <m/>
    <m/>
    <n v="0"/>
    <m/>
    <m/>
    <n v="0"/>
    <m/>
    <m/>
    <m/>
    <m/>
    <m/>
    <m/>
    <n v="72057051"/>
    <n v="75961959"/>
  </r>
  <r>
    <x v="14"/>
    <x v="0"/>
    <s v="Longwood University "/>
    <s v="Met the criteria for Four-Year 3 in 2011-12 and 2012-13."/>
    <n v="232566"/>
    <x v="3"/>
    <n v="22022029"/>
    <n v="23038180"/>
    <m/>
    <m/>
    <m/>
    <m/>
    <n v="31657984"/>
    <n v="120600"/>
    <n v="31778584"/>
    <n v="31364011"/>
    <n v="118701"/>
    <n v="31482712"/>
    <n v="53680013"/>
    <n v="54402191"/>
    <m/>
    <m/>
    <m/>
    <m/>
    <n v="0"/>
    <m/>
    <m/>
    <n v="0"/>
    <m/>
    <m/>
    <m/>
    <m/>
    <m/>
    <m/>
    <n v="53680013"/>
    <n v="54402191"/>
  </r>
  <r>
    <x v="14"/>
    <x v="0"/>
    <s v="Radford University"/>
    <s v="Met the criteria for Four-Year 3 in 2011-12 and 2012-13."/>
    <n v="233277"/>
    <x v="3"/>
    <n v="39655799"/>
    <n v="42168708"/>
    <m/>
    <m/>
    <m/>
    <m/>
    <n v="59187010"/>
    <n v="266040"/>
    <n v="59453050"/>
    <n v="57411711"/>
    <n v="277002"/>
    <n v="57688713"/>
    <n v="98842809"/>
    <n v="99580419"/>
    <m/>
    <m/>
    <m/>
    <m/>
    <n v="0"/>
    <m/>
    <m/>
    <n v="0"/>
    <m/>
    <m/>
    <m/>
    <m/>
    <m/>
    <m/>
    <n v="98842809"/>
    <n v="99580419"/>
  </r>
  <r>
    <x v="14"/>
    <x v="0"/>
    <s v="Virginia State University "/>
    <s v="Met the criteria for Four-Year 3 in 2011-12 and 2012-13."/>
    <n v="234155"/>
    <x v="3"/>
    <n v="27994002"/>
    <n v="29672881"/>
    <m/>
    <m/>
    <m/>
    <m/>
    <n v="42842784"/>
    <n v="765990"/>
    <n v="43608774"/>
    <n v="42881727"/>
    <n v="858726"/>
    <n v="43740453"/>
    <n v="70836786"/>
    <n v="72554608"/>
    <m/>
    <m/>
    <m/>
    <m/>
    <n v="0"/>
    <m/>
    <m/>
    <n v="0"/>
    <m/>
    <m/>
    <m/>
    <m/>
    <m/>
    <m/>
    <n v="70836786"/>
    <n v="72554608"/>
  </r>
  <r>
    <x v="14"/>
    <x v="5"/>
    <s v="Agricultural cooperative extension"/>
    <m/>
    <n v="234155"/>
    <x v="3"/>
    <m/>
    <m/>
    <n v="5110671"/>
    <n v="5136690"/>
    <m/>
    <m/>
    <m/>
    <m/>
    <n v="0"/>
    <m/>
    <m/>
    <n v="0"/>
    <n v="5110671"/>
    <n v="5136690"/>
    <m/>
    <m/>
    <m/>
    <m/>
    <n v="0"/>
    <m/>
    <m/>
    <n v="0"/>
    <m/>
    <m/>
    <m/>
    <m/>
    <m/>
    <m/>
    <n v="5110671"/>
    <n v="5136690"/>
  </r>
  <r>
    <x v="14"/>
    <x v="0"/>
    <s v="Christopher Newport University"/>
    <s v="Met the criteria for Four-Year 4 in 2011-12 and 2012-13."/>
    <n v="231712"/>
    <x v="4"/>
    <n v="22294146"/>
    <n v="23779417"/>
    <m/>
    <m/>
    <m/>
    <m/>
    <n v="31606662"/>
    <n v="118800"/>
    <n v="31725462"/>
    <n v="32896824"/>
    <n v="119097"/>
    <n v="33015921"/>
    <n v="53900808"/>
    <n v="56676241"/>
    <m/>
    <m/>
    <m/>
    <m/>
    <n v="0"/>
    <m/>
    <m/>
    <n v="0"/>
    <m/>
    <m/>
    <m/>
    <m/>
    <m/>
    <m/>
    <n v="53900808"/>
    <n v="56676241"/>
  </r>
  <r>
    <x v="14"/>
    <x v="0"/>
    <s v="University of Mary Washington"/>
    <s v="Met the criteria for Four-Year 3 in 2011-12 and 2012-13."/>
    <n v="232681"/>
    <x v="4"/>
    <n v="18009108"/>
    <n v="19195775"/>
    <m/>
    <n v="1900000"/>
    <m/>
    <m/>
    <n v="39883236"/>
    <n v="373500"/>
    <n v="40256736"/>
    <n v="40124236"/>
    <n v="339669"/>
    <n v="40463905"/>
    <n v="57892344"/>
    <n v="61220011"/>
    <n v="1250000"/>
    <m/>
    <m/>
    <m/>
    <n v="0"/>
    <m/>
    <m/>
    <n v="0"/>
    <m/>
    <m/>
    <m/>
    <m/>
    <m/>
    <m/>
    <n v="59142344"/>
    <n v="61220011"/>
  </r>
  <r>
    <x v="14"/>
    <x v="0"/>
    <s v="University of Virginia's College at Wise "/>
    <m/>
    <n v="233897"/>
    <x v="5"/>
    <n v="11317374"/>
    <n v="12560895"/>
    <m/>
    <m/>
    <m/>
    <m/>
    <n v="8284639"/>
    <n v="34650"/>
    <n v="8319289"/>
    <n v="7603241"/>
    <n v="41085"/>
    <n v="7644326"/>
    <n v="19602013"/>
    <n v="20164136"/>
    <m/>
    <m/>
    <m/>
    <m/>
    <n v="0"/>
    <m/>
    <m/>
    <n v="0"/>
    <m/>
    <m/>
    <m/>
    <m/>
    <m/>
    <m/>
    <n v="19602013"/>
    <n v="20164136"/>
  </r>
  <r>
    <x v="14"/>
    <x v="0"/>
    <s v="J.S. Reynolds Community College"/>
    <m/>
    <n v="232414"/>
    <x v="6"/>
    <m/>
    <m/>
    <m/>
    <m/>
    <m/>
    <m/>
    <m/>
    <m/>
    <n v="0"/>
    <m/>
    <m/>
    <n v="0"/>
    <n v="0"/>
    <n v="0"/>
    <m/>
    <m/>
    <m/>
    <m/>
    <n v="0"/>
    <m/>
    <m/>
    <n v="0"/>
    <m/>
    <m/>
    <m/>
    <m/>
    <m/>
    <m/>
    <n v="0"/>
    <n v="0"/>
  </r>
  <r>
    <x v="14"/>
    <x v="0"/>
    <s v="Northern Virginia Community College "/>
    <m/>
    <n v="232946"/>
    <x v="6"/>
    <m/>
    <m/>
    <m/>
    <m/>
    <m/>
    <m/>
    <m/>
    <m/>
    <n v="0"/>
    <m/>
    <m/>
    <n v="0"/>
    <n v="0"/>
    <n v="0"/>
    <m/>
    <m/>
    <m/>
    <m/>
    <n v="0"/>
    <m/>
    <m/>
    <n v="0"/>
    <m/>
    <m/>
    <m/>
    <m/>
    <m/>
    <m/>
    <n v="0"/>
    <n v="0"/>
  </r>
  <r>
    <x v="14"/>
    <x v="0"/>
    <s v="Thomas Nelson Community College "/>
    <m/>
    <n v="233754"/>
    <x v="6"/>
    <m/>
    <m/>
    <m/>
    <m/>
    <m/>
    <m/>
    <m/>
    <m/>
    <n v="0"/>
    <m/>
    <m/>
    <n v="0"/>
    <n v="0"/>
    <n v="0"/>
    <m/>
    <m/>
    <m/>
    <m/>
    <n v="0"/>
    <m/>
    <m/>
    <n v="0"/>
    <m/>
    <m/>
    <m/>
    <m/>
    <m/>
    <m/>
    <n v="0"/>
    <n v="0"/>
  </r>
  <r>
    <x v="14"/>
    <x v="0"/>
    <s v="Tidewater Community College "/>
    <m/>
    <n v="233772"/>
    <x v="6"/>
    <m/>
    <m/>
    <m/>
    <m/>
    <m/>
    <m/>
    <m/>
    <m/>
    <n v="0"/>
    <m/>
    <m/>
    <n v="0"/>
    <n v="0"/>
    <n v="0"/>
    <m/>
    <m/>
    <m/>
    <m/>
    <n v="0"/>
    <m/>
    <m/>
    <n v="0"/>
    <m/>
    <m/>
    <m/>
    <m/>
    <m/>
    <m/>
    <n v="0"/>
    <n v="0"/>
  </r>
  <r>
    <x v="14"/>
    <x v="0"/>
    <s v="Blue Ridge Community College "/>
    <m/>
    <n v="231536"/>
    <x v="7"/>
    <m/>
    <m/>
    <m/>
    <m/>
    <m/>
    <m/>
    <m/>
    <m/>
    <n v="0"/>
    <m/>
    <m/>
    <n v="0"/>
    <n v="0"/>
    <n v="0"/>
    <m/>
    <m/>
    <m/>
    <m/>
    <n v="0"/>
    <m/>
    <m/>
    <n v="0"/>
    <m/>
    <m/>
    <m/>
    <m/>
    <m/>
    <m/>
    <n v="0"/>
    <n v="0"/>
  </r>
  <r>
    <x v="14"/>
    <x v="0"/>
    <s v="Central Virginia Community College "/>
    <m/>
    <n v="231697"/>
    <x v="7"/>
    <m/>
    <m/>
    <m/>
    <m/>
    <m/>
    <m/>
    <m/>
    <m/>
    <n v="0"/>
    <m/>
    <m/>
    <n v="0"/>
    <n v="0"/>
    <n v="0"/>
    <m/>
    <m/>
    <m/>
    <m/>
    <n v="0"/>
    <m/>
    <m/>
    <n v="0"/>
    <m/>
    <m/>
    <m/>
    <m/>
    <m/>
    <m/>
    <n v="0"/>
    <n v="0"/>
  </r>
  <r>
    <x v="14"/>
    <x v="0"/>
    <s v="Danville Community College "/>
    <m/>
    <n v="231882"/>
    <x v="7"/>
    <m/>
    <m/>
    <m/>
    <m/>
    <m/>
    <m/>
    <m/>
    <m/>
    <n v="0"/>
    <m/>
    <m/>
    <n v="0"/>
    <n v="0"/>
    <n v="0"/>
    <m/>
    <m/>
    <m/>
    <m/>
    <n v="0"/>
    <m/>
    <m/>
    <n v="0"/>
    <m/>
    <m/>
    <m/>
    <m/>
    <m/>
    <m/>
    <n v="0"/>
    <n v="0"/>
  </r>
  <r>
    <x v="14"/>
    <x v="0"/>
    <s v="Germanna Community College"/>
    <m/>
    <n v="232195"/>
    <x v="7"/>
    <m/>
    <m/>
    <m/>
    <m/>
    <m/>
    <m/>
    <m/>
    <m/>
    <n v="0"/>
    <m/>
    <m/>
    <n v="0"/>
    <n v="0"/>
    <n v="0"/>
    <m/>
    <m/>
    <m/>
    <m/>
    <n v="0"/>
    <m/>
    <m/>
    <n v="0"/>
    <m/>
    <m/>
    <m/>
    <m/>
    <m/>
    <m/>
    <n v="0"/>
    <n v="0"/>
  </r>
  <r>
    <x v="14"/>
    <x v="0"/>
    <s v="John Tyler Community College"/>
    <s v="Met the criteria for Two-Year 1 in 2011-12 and 2012-13."/>
    <n v="232450"/>
    <x v="7"/>
    <m/>
    <m/>
    <m/>
    <m/>
    <m/>
    <m/>
    <m/>
    <m/>
    <n v="0"/>
    <m/>
    <m/>
    <n v="0"/>
    <n v="0"/>
    <n v="0"/>
    <m/>
    <m/>
    <m/>
    <m/>
    <n v="0"/>
    <m/>
    <m/>
    <n v="0"/>
    <m/>
    <m/>
    <m/>
    <m/>
    <m/>
    <m/>
    <n v="0"/>
    <n v="0"/>
  </r>
  <r>
    <x v="14"/>
    <x v="0"/>
    <s v="Lord Fairfax Community College  "/>
    <m/>
    <n v="232575"/>
    <x v="7"/>
    <m/>
    <m/>
    <m/>
    <m/>
    <m/>
    <m/>
    <m/>
    <m/>
    <n v="0"/>
    <m/>
    <m/>
    <n v="0"/>
    <n v="0"/>
    <n v="0"/>
    <m/>
    <m/>
    <m/>
    <m/>
    <n v="0"/>
    <m/>
    <m/>
    <n v="0"/>
    <m/>
    <m/>
    <m/>
    <m/>
    <m/>
    <m/>
    <n v="0"/>
    <n v="0"/>
  </r>
  <r>
    <x v="14"/>
    <x v="0"/>
    <s v="Mountain Empire Community College"/>
    <s v="Reclassified: Met the criteria for Two-Year 2 in 2010-11, 2011-12, and 2012-13."/>
    <n v="232788"/>
    <x v="7"/>
    <m/>
    <m/>
    <m/>
    <m/>
    <m/>
    <m/>
    <m/>
    <m/>
    <n v="0"/>
    <m/>
    <m/>
    <n v="0"/>
    <n v="0"/>
    <n v="0"/>
    <m/>
    <m/>
    <m/>
    <m/>
    <n v="0"/>
    <m/>
    <m/>
    <n v="0"/>
    <m/>
    <m/>
    <m/>
    <m/>
    <m/>
    <m/>
    <n v="0"/>
    <n v="0"/>
  </r>
  <r>
    <x v="14"/>
    <x v="0"/>
    <s v="New River Community College "/>
    <m/>
    <n v="232867"/>
    <x v="7"/>
    <m/>
    <m/>
    <m/>
    <m/>
    <m/>
    <m/>
    <m/>
    <m/>
    <n v="0"/>
    <m/>
    <m/>
    <n v="0"/>
    <n v="0"/>
    <n v="0"/>
    <m/>
    <m/>
    <m/>
    <m/>
    <n v="0"/>
    <m/>
    <m/>
    <n v="0"/>
    <m/>
    <m/>
    <m/>
    <m/>
    <m/>
    <m/>
    <n v="0"/>
    <n v="0"/>
  </r>
  <r>
    <x v="14"/>
    <x v="0"/>
    <s v="Patrick Henry Community College "/>
    <m/>
    <n v="233019"/>
    <x v="7"/>
    <m/>
    <m/>
    <m/>
    <m/>
    <m/>
    <m/>
    <m/>
    <m/>
    <n v="0"/>
    <m/>
    <m/>
    <n v="0"/>
    <n v="0"/>
    <n v="0"/>
    <m/>
    <m/>
    <m/>
    <m/>
    <n v="0"/>
    <m/>
    <m/>
    <n v="0"/>
    <m/>
    <m/>
    <m/>
    <m/>
    <m/>
    <m/>
    <n v="0"/>
    <n v="0"/>
  </r>
  <r>
    <x v="14"/>
    <x v="0"/>
    <s v="Piedmont Virginia Community College "/>
    <m/>
    <n v="233116"/>
    <x v="7"/>
    <m/>
    <m/>
    <m/>
    <m/>
    <m/>
    <m/>
    <m/>
    <m/>
    <n v="0"/>
    <m/>
    <m/>
    <n v="0"/>
    <n v="0"/>
    <n v="0"/>
    <m/>
    <m/>
    <m/>
    <m/>
    <n v="0"/>
    <m/>
    <m/>
    <n v="0"/>
    <m/>
    <m/>
    <m/>
    <m/>
    <m/>
    <m/>
    <n v="0"/>
    <n v="0"/>
  </r>
  <r>
    <x v="14"/>
    <x v="0"/>
    <s v="Southside Virginia Community College  "/>
    <m/>
    <n v="233639"/>
    <x v="7"/>
    <m/>
    <m/>
    <m/>
    <m/>
    <m/>
    <m/>
    <m/>
    <m/>
    <n v="0"/>
    <m/>
    <m/>
    <n v="0"/>
    <n v="0"/>
    <n v="0"/>
    <m/>
    <m/>
    <m/>
    <m/>
    <n v="0"/>
    <m/>
    <m/>
    <n v="0"/>
    <m/>
    <m/>
    <m/>
    <m/>
    <m/>
    <m/>
    <n v="0"/>
    <n v="0"/>
  </r>
  <r>
    <x v="14"/>
    <x v="0"/>
    <s v="Southwest Virginia Community College "/>
    <s v="Met the criteria for Two-Year 3 in 2012-13."/>
    <n v="233648"/>
    <x v="7"/>
    <m/>
    <m/>
    <m/>
    <m/>
    <m/>
    <m/>
    <m/>
    <m/>
    <n v="0"/>
    <m/>
    <m/>
    <n v="0"/>
    <n v="0"/>
    <n v="0"/>
    <m/>
    <m/>
    <m/>
    <m/>
    <n v="0"/>
    <m/>
    <m/>
    <n v="0"/>
    <m/>
    <m/>
    <m/>
    <m/>
    <m/>
    <m/>
    <n v="0"/>
    <n v="0"/>
  </r>
  <r>
    <x v="14"/>
    <x v="0"/>
    <s v="Virginia Western Community College "/>
    <m/>
    <n v="233949"/>
    <x v="7"/>
    <m/>
    <m/>
    <m/>
    <m/>
    <m/>
    <m/>
    <m/>
    <m/>
    <n v="0"/>
    <m/>
    <m/>
    <n v="0"/>
    <n v="0"/>
    <n v="0"/>
    <m/>
    <m/>
    <m/>
    <m/>
    <n v="0"/>
    <m/>
    <m/>
    <n v="0"/>
    <m/>
    <m/>
    <m/>
    <m/>
    <m/>
    <m/>
    <n v="0"/>
    <n v="0"/>
  </r>
  <r>
    <x v="14"/>
    <x v="0"/>
    <s v="Wytheville Community College "/>
    <m/>
    <n v="234377"/>
    <x v="7"/>
    <m/>
    <m/>
    <m/>
    <m/>
    <m/>
    <m/>
    <m/>
    <m/>
    <n v="0"/>
    <m/>
    <m/>
    <n v="0"/>
    <n v="0"/>
    <n v="0"/>
    <m/>
    <m/>
    <m/>
    <m/>
    <n v="0"/>
    <m/>
    <m/>
    <n v="0"/>
    <m/>
    <m/>
    <m/>
    <m/>
    <m/>
    <m/>
    <n v="0"/>
    <n v="0"/>
  </r>
  <r>
    <x v="14"/>
    <x v="0"/>
    <s v="D.S. Lancaster Community College "/>
    <m/>
    <n v="231873"/>
    <x v="8"/>
    <m/>
    <m/>
    <m/>
    <m/>
    <m/>
    <m/>
    <m/>
    <m/>
    <n v="0"/>
    <m/>
    <m/>
    <n v="0"/>
    <n v="0"/>
    <n v="0"/>
    <m/>
    <m/>
    <m/>
    <m/>
    <n v="0"/>
    <m/>
    <m/>
    <n v="0"/>
    <m/>
    <m/>
    <m/>
    <m/>
    <m/>
    <m/>
    <n v="0"/>
    <n v="0"/>
  </r>
  <r>
    <x v="14"/>
    <x v="0"/>
    <s v="Eastern Shore Community College  "/>
    <m/>
    <n v="232052"/>
    <x v="8"/>
    <m/>
    <m/>
    <m/>
    <m/>
    <m/>
    <m/>
    <m/>
    <m/>
    <n v="0"/>
    <m/>
    <m/>
    <n v="0"/>
    <n v="0"/>
    <n v="0"/>
    <m/>
    <m/>
    <m/>
    <m/>
    <n v="0"/>
    <m/>
    <m/>
    <n v="0"/>
    <m/>
    <m/>
    <m/>
    <m/>
    <m/>
    <m/>
    <n v="0"/>
    <n v="0"/>
  </r>
  <r>
    <x v="14"/>
    <x v="0"/>
    <s v="Paul D. Camp Community College  "/>
    <m/>
    <n v="233037"/>
    <x v="8"/>
    <m/>
    <m/>
    <m/>
    <m/>
    <m/>
    <m/>
    <m/>
    <m/>
    <n v="0"/>
    <m/>
    <m/>
    <n v="0"/>
    <n v="0"/>
    <n v="0"/>
    <m/>
    <m/>
    <m/>
    <m/>
    <n v="0"/>
    <m/>
    <m/>
    <n v="0"/>
    <m/>
    <m/>
    <m/>
    <m/>
    <m/>
    <m/>
    <n v="0"/>
    <n v="0"/>
  </r>
  <r>
    <x v="14"/>
    <x v="0"/>
    <s v="Rappahannock Community College  "/>
    <s v="Met the criteria for Two-Year 2 in 2011-12 and 2012-13."/>
    <n v="233310"/>
    <x v="8"/>
    <m/>
    <m/>
    <m/>
    <m/>
    <m/>
    <m/>
    <m/>
    <m/>
    <n v="0"/>
    <m/>
    <m/>
    <n v="0"/>
    <n v="0"/>
    <n v="0"/>
    <m/>
    <m/>
    <m/>
    <m/>
    <n v="0"/>
    <m/>
    <m/>
    <n v="0"/>
    <m/>
    <m/>
    <m/>
    <m/>
    <m/>
    <m/>
    <n v="0"/>
    <n v="0"/>
  </r>
  <r>
    <x v="14"/>
    <x v="0"/>
    <s v="Richard Bland College "/>
    <m/>
    <n v="233338"/>
    <x v="8"/>
    <n v="4951071"/>
    <n v="5238116"/>
    <m/>
    <m/>
    <m/>
    <m/>
    <n v="4254500"/>
    <n v="4950"/>
    <n v="4259450"/>
    <n v="3998500"/>
    <n v="6930"/>
    <n v="4005430"/>
    <n v="9205571"/>
    <n v="9236616"/>
    <m/>
    <m/>
    <m/>
    <m/>
    <n v="0"/>
    <m/>
    <m/>
    <n v="0"/>
    <m/>
    <m/>
    <m/>
    <m/>
    <m/>
    <m/>
    <n v="9205571"/>
    <n v="9236616"/>
  </r>
  <r>
    <x v="14"/>
    <x v="0"/>
    <s v="Virginia Highlands Community College "/>
    <m/>
    <n v="233903"/>
    <x v="8"/>
    <m/>
    <m/>
    <m/>
    <m/>
    <m/>
    <m/>
    <m/>
    <m/>
    <n v="0"/>
    <m/>
    <m/>
    <n v="0"/>
    <n v="0"/>
    <n v="0"/>
    <m/>
    <m/>
    <m/>
    <m/>
    <n v="0"/>
    <m/>
    <m/>
    <n v="0"/>
    <m/>
    <m/>
    <m/>
    <m/>
    <m/>
    <m/>
    <n v="0"/>
    <n v="0"/>
  </r>
  <r>
    <x v="14"/>
    <x v="0"/>
    <s v="All Community Colleges except R.Bland"/>
    <m/>
    <m/>
    <x v="15"/>
    <n v="302908157"/>
    <n v="316706416"/>
    <n v="4211982"/>
    <n v="0"/>
    <n v="14697584"/>
    <n v="10779805"/>
    <n v="496771296"/>
    <n v="2758500"/>
    <n v="499529796"/>
    <n v="550201661"/>
    <n v="3406095"/>
    <n v="553607756"/>
    <n v="818589019"/>
    <n v="877687882"/>
    <m/>
    <m/>
    <m/>
    <m/>
    <n v="0"/>
    <m/>
    <m/>
    <n v="0"/>
    <m/>
    <m/>
    <m/>
    <m/>
    <m/>
    <m/>
    <n v="818589019"/>
    <n v="877687882"/>
  </r>
  <r>
    <x v="14"/>
    <x v="9"/>
    <s v="Virginia Military Institute"/>
    <m/>
    <n v="234085"/>
    <x v="11"/>
    <m/>
    <m/>
    <m/>
    <m/>
    <m/>
    <m/>
    <m/>
    <m/>
    <n v="0"/>
    <m/>
    <m/>
    <n v="0"/>
    <n v="0"/>
    <n v="0"/>
    <n v="10569011"/>
    <n v="11359955"/>
    <n v="24670717"/>
    <n v="311400"/>
    <n v="24982117"/>
    <n v="25590717"/>
    <n v="347490"/>
    <n v="25938207"/>
    <m/>
    <m/>
    <m/>
    <m/>
    <m/>
    <m/>
    <n v="35239728"/>
    <n v="36950672"/>
  </r>
  <r>
    <x v="14"/>
    <x v="10"/>
    <s v="Statewide Special-Purpose Units"/>
    <m/>
    <m/>
    <x v="12"/>
    <m/>
    <m/>
    <m/>
    <m/>
    <m/>
    <m/>
    <m/>
    <m/>
    <n v="0"/>
    <m/>
    <m/>
    <n v="0"/>
    <n v="0"/>
    <n v="0"/>
    <m/>
    <m/>
    <m/>
    <m/>
    <n v="0"/>
    <m/>
    <m/>
    <n v="0"/>
    <m/>
    <m/>
    <m/>
    <m/>
    <m/>
    <m/>
    <n v="0"/>
    <n v="0"/>
  </r>
  <r>
    <x v="14"/>
    <x v="11"/>
    <s v="Research centers/institutes"/>
    <m/>
    <m/>
    <x v="12"/>
    <m/>
    <m/>
    <m/>
    <m/>
    <m/>
    <m/>
    <m/>
    <m/>
    <n v="0"/>
    <m/>
    <m/>
    <n v="0"/>
    <n v="0"/>
    <n v="0"/>
    <m/>
    <m/>
    <m/>
    <m/>
    <n v="0"/>
    <m/>
    <m/>
    <n v="0"/>
    <m/>
    <m/>
    <m/>
    <m/>
    <m/>
    <m/>
    <n v="0"/>
    <n v="0"/>
  </r>
  <r>
    <x v="14"/>
    <x v="11"/>
    <s v="Innovative Technology Authority"/>
    <m/>
    <m/>
    <x v="12"/>
    <m/>
    <m/>
    <n v="4973750"/>
    <n v="4973750"/>
    <m/>
    <m/>
    <m/>
    <m/>
    <n v="0"/>
    <m/>
    <m/>
    <n v="0"/>
    <n v="4973750"/>
    <n v="4973750"/>
    <m/>
    <m/>
    <m/>
    <m/>
    <n v="0"/>
    <m/>
    <m/>
    <n v="0"/>
    <m/>
    <m/>
    <m/>
    <m/>
    <m/>
    <m/>
    <n v="4973750"/>
    <n v="4973750"/>
  </r>
  <r>
    <x v="14"/>
    <x v="11"/>
    <s v="Jefferson Science Associates"/>
    <m/>
    <m/>
    <x v="12"/>
    <m/>
    <m/>
    <n v="1149891"/>
    <n v="1149891"/>
    <m/>
    <m/>
    <m/>
    <m/>
    <n v="0"/>
    <m/>
    <m/>
    <n v="0"/>
    <n v="1149891"/>
    <n v="1149891"/>
    <m/>
    <m/>
    <m/>
    <m/>
    <n v="0"/>
    <m/>
    <m/>
    <n v="0"/>
    <m/>
    <m/>
    <m/>
    <m/>
    <m/>
    <m/>
    <n v="1149891"/>
    <n v="1149891"/>
  </r>
  <r>
    <x v="14"/>
    <x v="11"/>
    <s v="Higher Education Research Initiatives"/>
    <m/>
    <m/>
    <x v="12"/>
    <m/>
    <m/>
    <n v="510000"/>
    <n v="2980000"/>
    <m/>
    <m/>
    <m/>
    <m/>
    <n v="0"/>
    <m/>
    <m/>
    <n v="0"/>
    <n v="510000"/>
    <n v="2980000"/>
    <m/>
    <m/>
    <m/>
    <m/>
    <n v="0"/>
    <m/>
    <m/>
    <n v="0"/>
    <m/>
    <m/>
    <m/>
    <m/>
    <m/>
    <m/>
    <n v="510000"/>
    <n v="2980000"/>
  </r>
  <r>
    <x v="14"/>
    <x v="12"/>
    <s v="Special Line items for education operations"/>
    <m/>
    <m/>
    <x v="12"/>
    <m/>
    <m/>
    <m/>
    <m/>
    <m/>
    <m/>
    <m/>
    <m/>
    <n v="0"/>
    <m/>
    <m/>
    <n v="0"/>
    <n v="0"/>
    <n v="0"/>
    <m/>
    <m/>
    <m/>
    <m/>
    <n v="0"/>
    <m/>
    <m/>
    <n v="0"/>
    <m/>
    <m/>
    <m/>
    <m/>
    <m/>
    <m/>
    <n v="0"/>
    <n v="0"/>
  </r>
  <r>
    <x v="14"/>
    <x v="12"/>
    <s v="New College Institute"/>
    <m/>
    <m/>
    <x v="12"/>
    <m/>
    <m/>
    <n v="1464107"/>
    <n v="1471039"/>
    <m/>
    <m/>
    <m/>
    <m/>
    <n v="0"/>
    <m/>
    <m/>
    <n v="0"/>
    <n v="1464107"/>
    <n v="1471039"/>
    <m/>
    <m/>
    <m/>
    <m/>
    <n v="0"/>
    <m/>
    <m/>
    <n v="0"/>
    <m/>
    <m/>
    <m/>
    <m/>
    <m/>
    <m/>
    <n v="1464107"/>
    <n v="1471039"/>
  </r>
  <r>
    <x v="14"/>
    <x v="13"/>
    <s v="Educational special purpose funds — all other"/>
    <m/>
    <m/>
    <x v="12"/>
    <m/>
    <m/>
    <m/>
    <m/>
    <m/>
    <m/>
    <m/>
    <m/>
    <n v="0"/>
    <m/>
    <m/>
    <n v="0"/>
    <n v="0"/>
    <n v="0"/>
    <m/>
    <m/>
    <m/>
    <m/>
    <n v="0"/>
    <m/>
    <m/>
    <n v="0"/>
    <m/>
    <m/>
    <m/>
    <m/>
    <m/>
    <m/>
    <n v="0"/>
    <n v="0"/>
  </r>
  <r>
    <x v="14"/>
    <x v="13"/>
    <s v="Eminent Scholars"/>
    <m/>
    <m/>
    <x v="12"/>
    <m/>
    <m/>
    <n v="1707499"/>
    <n v="0"/>
    <m/>
    <m/>
    <m/>
    <m/>
    <n v="0"/>
    <m/>
    <m/>
    <n v="0"/>
    <n v="1707499"/>
    <n v="0"/>
    <m/>
    <m/>
    <m/>
    <m/>
    <n v="0"/>
    <m/>
    <m/>
    <n v="0"/>
    <m/>
    <m/>
    <m/>
    <m/>
    <m/>
    <m/>
    <n v="1707499"/>
    <n v="0"/>
  </r>
  <r>
    <x v="14"/>
    <x v="13"/>
    <s v="Library Sharing"/>
    <m/>
    <m/>
    <x v="12"/>
    <m/>
    <m/>
    <n v="6003177"/>
    <n v="7403177"/>
    <m/>
    <m/>
    <m/>
    <m/>
    <n v="0"/>
    <m/>
    <m/>
    <n v="0"/>
    <n v="6003177"/>
    <n v="7403177"/>
    <m/>
    <m/>
    <m/>
    <m/>
    <n v="0"/>
    <m/>
    <m/>
    <n v="0"/>
    <m/>
    <m/>
    <m/>
    <m/>
    <m/>
    <m/>
    <n v="6003177"/>
    <n v="7403177"/>
  </r>
  <r>
    <x v="14"/>
    <x v="13"/>
    <s v="VMI/MBC Contract"/>
    <m/>
    <m/>
    <x v="12"/>
    <m/>
    <m/>
    <n v="307899"/>
    <n v="307899"/>
    <m/>
    <m/>
    <m/>
    <m/>
    <n v="0"/>
    <m/>
    <m/>
    <n v="0"/>
    <n v="307899"/>
    <n v="307899"/>
    <m/>
    <m/>
    <m/>
    <m/>
    <n v="0"/>
    <m/>
    <m/>
    <n v="0"/>
    <m/>
    <m/>
    <m/>
    <m/>
    <m/>
    <m/>
    <n v="307899"/>
    <n v="307899"/>
  </r>
  <r>
    <x v="14"/>
    <x v="13"/>
    <s v="Space Grant"/>
    <m/>
    <m/>
    <x v="12"/>
    <m/>
    <m/>
    <n v="595000"/>
    <n v="695000"/>
    <m/>
    <m/>
    <m/>
    <m/>
    <n v="0"/>
    <m/>
    <m/>
    <n v="0"/>
    <n v="595000"/>
    <n v="695000"/>
    <m/>
    <m/>
    <m/>
    <m/>
    <n v="0"/>
    <m/>
    <m/>
    <n v="0"/>
    <m/>
    <m/>
    <m/>
    <m/>
    <m/>
    <m/>
    <n v="595000"/>
    <n v="695000"/>
  </r>
  <r>
    <x v="14"/>
    <x v="13"/>
    <s v="Melcher's-Monroe Memorials"/>
    <m/>
    <m/>
    <x v="12"/>
    <m/>
    <m/>
    <n v="664969"/>
    <n v="664969"/>
    <m/>
    <m/>
    <m/>
    <m/>
    <n v="0"/>
    <m/>
    <m/>
    <n v="0"/>
    <n v="664969"/>
    <n v="664969"/>
    <m/>
    <m/>
    <m/>
    <m/>
    <n v="0"/>
    <m/>
    <m/>
    <n v="0"/>
    <m/>
    <m/>
    <m/>
    <m/>
    <m/>
    <m/>
    <n v="664969"/>
    <n v="664969"/>
  </r>
  <r>
    <x v="14"/>
    <x v="13"/>
    <s v="Medical College Hampton Rds./Eastern VA Medical Auth."/>
    <m/>
    <m/>
    <x v="12"/>
    <m/>
    <m/>
    <m/>
    <m/>
    <m/>
    <m/>
    <m/>
    <m/>
    <n v="0"/>
    <m/>
    <m/>
    <n v="0"/>
    <n v="0"/>
    <n v="0"/>
    <m/>
    <m/>
    <m/>
    <m/>
    <n v="0"/>
    <m/>
    <m/>
    <n v="0"/>
    <n v="20582978"/>
    <n v="24145660"/>
    <m/>
    <m/>
    <m/>
    <m/>
    <n v="20582978"/>
    <n v="24145660"/>
  </r>
  <r>
    <x v="14"/>
    <x v="13"/>
    <s v="VCBA-Eq Trust Fund"/>
    <m/>
    <m/>
    <x v="12"/>
    <m/>
    <m/>
    <n v="49351490"/>
    <n v="38491738"/>
    <m/>
    <m/>
    <m/>
    <m/>
    <n v="0"/>
    <m/>
    <m/>
    <n v="0"/>
    <n v="49351490"/>
    <n v="38491738"/>
    <m/>
    <m/>
    <m/>
    <m/>
    <n v="0"/>
    <m/>
    <m/>
    <n v="0"/>
    <m/>
    <m/>
    <m/>
    <m/>
    <m/>
    <m/>
    <n v="49351490"/>
    <n v="38491738"/>
  </r>
  <r>
    <x v="14"/>
    <x v="13"/>
    <s v="Southern Virginia Higher Education Center"/>
    <m/>
    <m/>
    <x v="12"/>
    <m/>
    <m/>
    <n v="1930643"/>
    <n v="2158993"/>
    <m/>
    <m/>
    <m/>
    <m/>
    <n v="0"/>
    <m/>
    <m/>
    <n v="0"/>
    <n v="1930643"/>
    <n v="2158993"/>
    <m/>
    <m/>
    <m/>
    <m/>
    <n v="0"/>
    <m/>
    <m/>
    <n v="0"/>
    <m/>
    <m/>
    <m/>
    <m/>
    <m/>
    <m/>
    <n v="1930643"/>
    <n v="2158993"/>
  </r>
  <r>
    <x v="14"/>
    <x v="13"/>
    <s v="SW Va Higher Education Center"/>
    <m/>
    <m/>
    <x v="12"/>
    <m/>
    <m/>
    <n v="1804919"/>
    <n v="1815339"/>
    <m/>
    <m/>
    <m/>
    <m/>
    <n v="0"/>
    <m/>
    <m/>
    <n v="0"/>
    <n v="1804919"/>
    <n v="1815339"/>
    <m/>
    <m/>
    <m/>
    <m/>
    <n v="0"/>
    <m/>
    <m/>
    <n v="0"/>
    <m/>
    <m/>
    <m/>
    <m/>
    <m/>
    <m/>
    <n v="1804919"/>
    <n v="1815339"/>
  </r>
  <r>
    <x v="14"/>
    <x v="13"/>
    <s v="Roanoke H. Ed. Authority"/>
    <m/>
    <m/>
    <x v="12"/>
    <m/>
    <m/>
    <n v="1121896"/>
    <n v="1121896"/>
    <m/>
    <m/>
    <m/>
    <m/>
    <n v="0"/>
    <m/>
    <m/>
    <n v="0"/>
    <n v="1121896"/>
    <n v="1121896"/>
    <m/>
    <m/>
    <m/>
    <m/>
    <n v="0"/>
    <m/>
    <m/>
    <n v="0"/>
    <m/>
    <m/>
    <m/>
    <m/>
    <m/>
    <m/>
    <n v="1121896"/>
    <n v="1121896"/>
  </r>
  <r>
    <x v="14"/>
    <x v="13"/>
    <s v="Institute of Advanced Learning and Research"/>
    <m/>
    <m/>
    <x v="12"/>
    <m/>
    <m/>
    <n v="5525061"/>
    <n v="6122968"/>
    <m/>
    <m/>
    <m/>
    <m/>
    <n v="0"/>
    <m/>
    <m/>
    <n v="0"/>
    <n v="5525061"/>
    <n v="6122968"/>
    <m/>
    <m/>
    <m/>
    <m/>
    <n v="0"/>
    <m/>
    <m/>
    <n v="0"/>
    <m/>
    <m/>
    <m/>
    <m/>
    <m/>
    <m/>
    <n v="5525061"/>
    <n v="6122968"/>
  </r>
  <r>
    <x v="14"/>
    <x v="14"/>
    <s v="Statewide System Operations"/>
    <m/>
    <m/>
    <x v="12"/>
    <m/>
    <m/>
    <m/>
    <m/>
    <m/>
    <m/>
    <m/>
    <m/>
    <n v="0"/>
    <m/>
    <m/>
    <n v="0"/>
    <n v="0"/>
    <n v="0"/>
    <m/>
    <m/>
    <m/>
    <m/>
    <n v="0"/>
    <m/>
    <m/>
    <n v="0"/>
    <m/>
    <m/>
    <m/>
    <m/>
    <m/>
    <m/>
    <n v="0"/>
    <n v="0"/>
  </r>
  <r>
    <x v="14"/>
    <x v="15"/>
    <s v="Colleges and universities"/>
    <m/>
    <m/>
    <x v="12"/>
    <m/>
    <m/>
    <m/>
    <m/>
    <m/>
    <m/>
    <m/>
    <m/>
    <n v="0"/>
    <m/>
    <m/>
    <n v="0"/>
    <n v="0"/>
    <n v="0"/>
    <n v="3728391"/>
    <n v="3863369"/>
    <m/>
    <m/>
    <n v="0"/>
    <m/>
    <m/>
    <n v="0"/>
    <m/>
    <m/>
    <m/>
    <m/>
    <m/>
    <m/>
    <n v="3728391"/>
    <n v="3863369"/>
  </r>
  <r>
    <x v="14"/>
    <x v="16"/>
    <s v="Two-year system(s), if any"/>
    <m/>
    <m/>
    <x v="12"/>
    <m/>
    <m/>
    <m/>
    <m/>
    <m/>
    <m/>
    <m/>
    <m/>
    <n v="0"/>
    <m/>
    <m/>
    <n v="0"/>
    <n v="0"/>
    <n v="0"/>
    <n v="15940124"/>
    <n v="15943079"/>
    <m/>
    <m/>
    <n v="0"/>
    <m/>
    <m/>
    <n v="0"/>
    <m/>
    <m/>
    <m/>
    <m/>
    <m/>
    <m/>
    <n v="15940124"/>
    <n v="15943079"/>
  </r>
  <r>
    <x v="14"/>
    <x v="16"/>
    <s v="interest earnings"/>
    <m/>
    <m/>
    <x v="12"/>
    <m/>
    <m/>
    <m/>
    <n v="3233293"/>
    <m/>
    <m/>
    <m/>
    <m/>
    <n v="0"/>
    <m/>
    <m/>
    <n v="0"/>
    <n v="0"/>
    <n v="3233293"/>
    <m/>
    <m/>
    <m/>
    <m/>
    <n v="0"/>
    <m/>
    <m/>
    <n v="0"/>
    <m/>
    <m/>
    <m/>
    <m/>
    <m/>
    <m/>
    <n v="0"/>
    <n v="3233293"/>
  </r>
  <r>
    <x v="14"/>
    <x v="16"/>
    <s v="VCCS economic development"/>
    <m/>
    <m/>
    <x v="12"/>
    <m/>
    <m/>
    <m/>
    <n v="8992017"/>
    <m/>
    <m/>
    <m/>
    <m/>
    <n v="0"/>
    <m/>
    <m/>
    <n v="0"/>
    <n v="0"/>
    <n v="8992017"/>
    <m/>
    <m/>
    <m/>
    <m/>
    <n v="0"/>
    <m/>
    <m/>
    <n v="0"/>
    <m/>
    <m/>
    <m/>
    <m/>
    <m/>
    <m/>
    <n v="0"/>
    <n v="8992017"/>
  </r>
  <r>
    <x v="14"/>
    <x v="16"/>
    <s v="VCU state health service"/>
    <m/>
    <m/>
    <x v="12"/>
    <m/>
    <m/>
    <m/>
    <n v="250000"/>
    <m/>
    <m/>
    <m/>
    <m/>
    <n v="0"/>
    <m/>
    <m/>
    <n v="0"/>
    <n v="0"/>
    <n v="250000"/>
    <m/>
    <m/>
    <m/>
    <m/>
    <n v="0"/>
    <m/>
    <m/>
    <n v="0"/>
    <m/>
    <m/>
    <m/>
    <m/>
    <m/>
    <m/>
    <n v="0"/>
    <n v="250000"/>
  </r>
  <r>
    <x v="14"/>
    <x v="17"/>
    <s v="SREB"/>
    <m/>
    <m/>
    <x v="12"/>
    <m/>
    <m/>
    <m/>
    <m/>
    <m/>
    <m/>
    <m/>
    <m/>
    <n v="0"/>
    <m/>
    <m/>
    <n v="0"/>
    <n v="0"/>
    <n v="0"/>
    <m/>
    <m/>
    <m/>
    <m/>
    <n v="0"/>
    <m/>
    <m/>
    <n v="0"/>
    <m/>
    <m/>
    <m/>
    <m/>
    <m/>
    <m/>
    <n v="0"/>
    <n v="0"/>
  </r>
  <r>
    <x v="14"/>
    <x v="18"/>
    <s v="Adm. of Statewide Student Aid Progs. (incldng centralized guaranteed student loans)"/>
    <m/>
    <m/>
    <x v="12"/>
    <m/>
    <m/>
    <m/>
    <m/>
    <m/>
    <m/>
    <m/>
    <m/>
    <n v="0"/>
    <m/>
    <m/>
    <n v="0"/>
    <n v="0"/>
    <n v="0"/>
    <m/>
    <m/>
    <m/>
    <m/>
    <n v="0"/>
    <m/>
    <m/>
    <n v="0"/>
    <m/>
    <m/>
    <m/>
    <m/>
    <m/>
    <m/>
    <n v="0"/>
    <n v="0"/>
  </r>
  <r>
    <x v="14"/>
    <x v="19"/>
    <s v="State Support to Private Colleges Other Than Student Aid"/>
    <m/>
    <m/>
    <x v="12"/>
    <m/>
    <m/>
    <m/>
    <m/>
    <m/>
    <m/>
    <m/>
    <m/>
    <n v="0"/>
    <m/>
    <m/>
    <n v="0"/>
    <n v="0"/>
    <n v="0"/>
    <m/>
    <m/>
    <m/>
    <m/>
    <n v="0"/>
    <m/>
    <m/>
    <n v="0"/>
    <m/>
    <m/>
    <m/>
    <m/>
    <m/>
    <m/>
    <n v="0"/>
    <n v="0"/>
  </r>
  <r>
    <x v="14"/>
    <x v="20"/>
    <s v="Contract Education Programs"/>
    <m/>
    <m/>
    <x v="12"/>
    <m/>
    <m/>
    <m/>
    <m/>
    <m/>
    <m/>
    <m/>
    <m/>
    <n v="0"/>
    <m/>
    <m/>
    <n v="0"/>
    <n v="0"/>
    <n v="0"/>
    <m/>
    <m/>
    <m/>
    <m/>
    <n v="0"/>
    <m/>
    <m/>
    <n v="0"/>
    <m/>
    <m/>
    <m/>
    <m/>
    <m/>
    <m/>
    <n v="0"/>
    <n v="0"/>
  </r>
  <r>
    <x v="14"/>
    <x v="21"/>
    <s v="SREB contract program with private colleges"/>
    <m/>
    <m/>
    <x v="12"/>
    <m/>
    <m/>
    <m/>
    <m/>
    <m/>
    <m/>
    <m/>
    <m/>
    <n v="0"/>
    <m/>
    <m/>
    <n v="0"/>
    <n v="0"/>
    <n v="0"/>
    <m/>
    <m/>
    <m/>
    <m/>
    <n v="0"/>
    <m/>
    <m/>
    <n v="0"/>
    <m/>
    <m/>
    <m/>
    <m/>
    <m/>
    <m/>
    <n v="0"/>
    <n v="0"/>
  </r>
  <r>
    <x v="14"/>
    <x v="21"/>
    <s v="Southern College of Optometry"/>
    <m/>
    <m/>
    <x v="12"/>
    <m/>
    <m/>
    <m/>
    <m/>
    <m/>
    <m/>
    <m/>
    <m/>
    <n v="0"/>
    <m/>
    <m/>
    <n v="0"/>
    <n v="0"/>
    <n v="0"/>
    <n v="20000"/>
    <n v="20000"/>
    <m/>
    <m/>
    <n v="0"/>
    <m/>
    <m/>
    <n v="0"/>
    <m/>
    <m/>
    <m/>
    <m/>
    <m/>
    <m/>
    <n v="20000"/>
    <n v="20000"/>
  </r>
  <r>
    <x v="14"/>
    <x v="22"/>
    <s v="SREB contract program with public colleges"/>
    <m/>
    <m/>
    <x v="12"/>
    <m/>
    <m/>
    <m/>
    <m/>
    <m/>
    <m/>
    <m/>
    <m/>
    <n v="0"/>
    <m/>
    <m/>
    <n v="0"/>
    <n v="0"/>
    <n v="0"/>
    <m/>
    <m/>
    <m/>
    <m/>
    <n v="0"/>
    <m/>
    <m/>
    <n v="0"/>
    <m/>
    <m/>
    <m/>
    <m/>
    <m/>
    <m/>
    <n v="0"/>
    <n v="0"/>
  </r>
  <r>
    <x v="14"/>
    <x v="22"/>
    <s v="University of North Carolina at Chapel Hill (Library Science)"/>
    <m/>
    <m/>
    <x v="12"/>
    <m/>
    <m/>
    <m/>
    <m/>
    <m/>
    <m/>
    <m/>
    <m/>
    <n v="0"/>
    <m/>
    <m/>
    <n v="0"/>
    <n v="0"/>
    <n v="0"/>
    <m/>
    <m/>
    <m/>
    <m/>
    <n v="0"/>
    <m/>
    <m/>
    <n v="0"/>
    <m/>
    <m/>
    <m/>
    <m/>
    <m/>
    <m/>
    <n v="0"/>
    <n v="0"/>
  </r>
  <r>
    <x v="14"/>
    <x v="22"/>
    <s v="North Carolina State University (Pulp/Paper)"/>
    <m/>
    <m/>
    <x v="12"/>
    <m/>
    <m/>
    <m/>
    <m/>
    <m/>
    <m/>
    <m/>
    <m/>
    <n v="0"/>
    <m/>
    <m/>
    <n v="0"/>
    <n v="0"/>
    <n v="0"/>
    <m/>
    <m/>
    <m/>
    <m/>
    <n v="0"/>
    <m/>
    <m/>
    <n v="0"/>
    <m/>
    <m/>
    <m/>
    <m/>
    <m/>
    <m/>
    <n v="0"/>
    <n v="0"/>
  </r>
  <r>
    <x v="14"/>
    <x v="22"/>
    <s v="University of Alabama at Birmingham (Optometry)"/>
    <m/>
    <m/>
    <x v="12"/>
    <m/>
    <m/>
    <m/>
    <m/>
    <m/>
    <m/>
    <m/>
    <m/>
    <n v="0"/>
    <m/>
    <m/>
    <n v="0"/>
    <n v="0"/>
    <n v="0"/>
    <m/>
    <m/>
    <m/>
    <m/>
    <n v="0"/>
    <m/>
    <m/>
    <n v="0"/>
    <m/>
    <m/>
    <m/>
    <m/>
    <m/>
    <m/>
    <n v="0"/>
    <n v="0"/>
  </r>
  <r>
    <x v="14"/>
    <x v="22"/>
    <s v="North Carolina Central University (Library Science)"/>
    <m/>
    <m/>
    <x v="12"/>
    <m/>
    <m/>
    <m/>
    <m/>
    <m/>
    <m/>
    <m/>
    <m/>
    <n v="0"/>
    <m/>
    <m/>
    <n v="0"/>
    <n v="0"/>
    <n v="0"/>
    <m/>
    <m/>
    <m/>
    <m/>
    <n v="0"/>
    <m/>
    <m/>
    <n v="0"/>
    <m/>
    <m/>
    <m/>
    <m/>
    <m/>
    <m/>
    <n v="0"/>
    <n v="0"/>
  </r>
  <r>
    <x v="14"/>
    <x v="23"/>
    <s v="Other contract education programs"/>
    <m/>
    <m/>
    <x v="12"/>
    <m/>
    <m/>
    <m/>
    <m/>
    <m/>
    <m/>
    <m/>
    <m/>
    <n v="0"/>
    <m/>
    <m/>
    <n v="0"/>
    <n v="0"/>
    <n v="0"/>
    <n v="170000"/>
    <n v="170000"/>
    <m/>
    <m/>
    <n v="0"/>
    <m/>
    <m/>
    <n v="0"/>
    <m/>
    <m/>
    <m/>
    <m/>
    <m/>
    <m/>
    <n v="170000"/>
    <n v="170000"/>
  </r>
  <r>
    <x v="14"/>
    <x v="24"/>
    <s v="Statewide Student Financial Aid Programs Administered Off Campus"/>
    <m/>
    <m/>
    <x v="12"/>
    <m/>
    <m/>
    <m/>
    <m/>
    <m/>
    <m/>
    <m/>
    <m/>
    <n v="0"/>
    <m/>
    <m/>
    <n v="0"/>
    <n v="0"/>
    <n v="0"/>
    <m/>
    <m/>
    <m/>
    <m/>
    <n v="0"/>
    <m/>
    <m/>
    <n v="0"/>
    <m/>
    <m/>
    <m/>
    <m/>
    <m/>
    <m/>
    <n v="0"/>
    <n v="0"/>
  </r>
  <r>
    <x v="14"/>
    <x v="25"/>
    <s v="Available to public &amp; private sector students"/>
    <m/>
    <m/>
    <x v="12"/>
    <m/>
    <m/>
    <m/>
    <m/>
    <m/>
    <m/>
    <m/>
    <m/>
    <n v="0"/>
    <m/>
    <m/>
    <n v="0"/>
    <n v="0"/>
    <n v="0"/>
    <m/>
    <m/>
    <m/>
    <m/>
    <n v="0"/>
    <m/>
    <m/>
    <n v="0"/>
    <m/>
    <m/>
    <m/>
    <m/>
    <m/>
    <m/>
    <n v="0"/>
    <n v="0"/>
  </r>
  <r>
    <x v="14"/>
    <x v="25"/>
    <s v="Program name(s)???"/>
    <m/>
    <m/>
    <x v="12"/>
    <m/>
    <m/>
    <m/>
    <m/>
    <m/>
    <m/>
    <m/>
    <m/>
    <n v="0"/>
    <m/>
    <m/>
    <n v="0"/>
    <n v="0"/>
    <n v="0"/>
    <m/>
    <m/>
    <m/>
    <m/>
    <n v="0"/>
    <m/>
    <m/>
    <n v="0"/>
    <m/>
    <m/>
    <m/>
    <m/>
    <m/>
    <m/>
    <n v="0"/>
    <n v="0"/>
  </r>
  <r>
    <x v="14"/>
    <x v="28"/>
    <s v="Amount to public sector students"/>
    <m/>
    <m/>
    <x v="12"/>
    <m/>
    <m/>
    <m/>
    <m/>
    <m/>
    <m/>
    <m/>
    <m/>
    <n v="0"/>
    <m/>
    <m/>
    <n v="0"/>
    <n v="0"/>
    <n v="0"/>
    <m/>
    <m/>
    <m/>
    <m/>
    <n v="0"/>
    <m/>
    <m/>
    <n v="0"/>
    <m/>
    <m/>
    <m/>
    <m/>
    <m/>
    <m/>
    <n v="0"/>
    <n v="0"/>
  </r>
  <r>
    <x v="14"/>
    <x v="29"/>
    <s v="Need-based"/>
    <m/>
    <m/>
    <x v="12"/>
    <m/>
    <m/>
    <m/>
    <m/>
    <m/>
    <m/>
    <m/>
    <m/>
    <n v="0"/>
    <m/>
    <m/>
    <n v="0"/>
    <n v="0"/>
    <n v="0"/>
    <n v="3372105"/>
    <n v="3372105"/>
    <m/>
    <m/>
    <n v="0"/>
    <m/>
    <m/>
    <n v="0"/>
    <m/>
    <m/>
    <m/>
    <m/>
    <m/>
    <m/>
    <n v="3372105"/>
    <n v="3372105"/>
  </r>
  <r>
    <x v="14"/>
    <x v="30"/>
    <s v="(Military tuition waiver) Non need-based"/>
    <m/>
    <m/>
    <x v="12"/>
    <m/>
    <m/>
    <m/>
    <m/>
    <m/>
    <m/>
    <m/>
    <m/>
    <n v="0"/>
    <m/>
    <m/>
    <n v="0"/>
    <n v="0"/>
    <n v="0"/>
    <n v="1250000"/>
    <n v="1250000"/>
    <m/>
    <m/>
    <n v="0"/>
    <m/>
    <m/>
    <n v="0"/>
    <m/>
    <m/>
    <m/>
    <m/>
    <m/>
    <m/>
    <n v="1250000"/>
    <n v="1250000"/>
  </r>
  <r>
    <x v="14"/>
    <x v="31"/>
    <s v="Amount to private sector students"/>
    <m/>
    <m/>
    <x v="12"/>
    <m/>
    <m/>
    <m/>
    <m/>
    <m/>
    <m/>
    <m/>
    <m/>
    <n v="0"/>
    <m/>
    <m/>
    <n v="0"/>
    <n v="0"/>
    <n v="0"/>
    <m/>
    <m/>
    <m/>
    <m/>
    <n v="0"/>
    <m/>
    <m/>
    <n v="0"/>
    <m/>
    <m/>
    <m/>
    <m/>
    <m/>
    <m/>
    <n v="0"/>
    <n v="0"/>
  </r>
  <r>
    <x v="14"/>
    <x v="32"/>
    <s v="Need-based"/>
    <m/>
    <m/>
    <x v="12"/>
    <m/>
    <m/>
    <m/>
    <m/>
    <m/>
    <m/>
    <m/>
    <m/>
    <n v="0"/>
    <m/>
    <m/>
    <n v="0"/>
    <n v="0"/>
    <n v="0"/>
    <n v="1041645"/>
    <n v="1041645"/>
    <m/>
    <m/>
    <n v="0"/>
    <m/>
    <m/>
    <n v="0"/>
    <m/>
    <m/>
    <m/>
    <m/>
    <m/>
    <m/>
    <n v="1041645"/>
    <n v="1041645"/>
  </r>
  <r>
    <x v="14"/>
    <x v="33"/>
    <s v="Non need-based"/>
    <m/>
    <m/>
    <x v="12"/>
    <m/>
    <m/>
    <m/>
    <m/>
    <m/>
    <m/>
    <m/>
    <m/>
    <n v="0"/>
    <m/>
    <m/>
    <n v="0"/>
    <n v="0"/>
    <n v="0"/>
    <m/>
    <m/>
    <m/>
    <m/>
    <n v="0"/>
    <m/>
    <m/>
    <n v="0"/>
    <m/>
    <m/>
    <m/>
    <m/>
    <m/>
    <m/>
    <n v="0"/>
    <n v="0"/>
  </r>
  <r>
    <x v="14"/>
    <x v="34"/>
    <s v="Limited to public college students only"/>
    <m/>
    <m/>
    <x v="12"/>
    <m/>
    <m/>
    <m/>
    <m/>
    <m/>
    <m/>
    <m/>
    <m/>
    <n v="0"/>
    <m/>
    <m/>
    <n v="0"/>
    <n v="0"/>
    <n v="0"/>
    <m/>
    <m/>
    <m/>
    <m/>
    <n v="0"/>
    <m/>
    <m/>
    <n v="0"/>
    <m/>
    <m/>
    <m/>
    <m/>
    <m/>
    <m/>
    <n v="0"/>
    <n v="0"/>
  </r>
  <r>
    <x v="14"/>
    <x v="34"/>
    <s v="Program name(s)???"/>
    <m/>
    <m/>
    <x v="12"/>
    <m/>
    <m/>
    <m/>
    <m/>
    <m/>
    <m/>
    <m/>
    <m/>
    <n v="0"/>
    <m/>
    <m/>
    <n v="0"/>
    <n v="0"/>
    <n v="0"/>
    <m/>
    <m/>
    <m/>
    <m/>
    <n v="0"/>
    <m/>
    <m/>
    <n v="0"/>
    <m/>
    <m/>
    <m/>
    <m/>
    <m/>
    <m/>
    <n v="0"/>
    <n v="0"/>
  </r>
  <r>
    <x v="14"/>
    <x v="35"/>
    <s v="Need-based"/>
    <m/>
    <m/>
    <x v="12"/>
    <m/>
    <m/>
    <m/>
    <m/>
    <m/>
    <m/>
    <m/>
    <m/>
    <n v="0"/>
    <m/>
    <m/>
    <n v="0"/>
    <n v="0"/>
    <n v="0"/>
    <n v="146433668"/>
    <n v="154794742"/>
    <m/>
    <m/>
    <n v="0"/>
    <m/>
    <m/>
    <n v="0"/>
    <m/>
    <m/>
    <m/>
    <m/>
    <m/>
    <m/>
    <n v="146433668"/>
    <n v="154794742"/>
  </r>
  <r>
    <x v="14"/>
    <x v="36"/>
    <s v="Non need-based"/>
    <m/>
    <m/>
    <x v="12"/>
    <m/>
    <m/>
    <m/>
    <m/>
    <m/>
    <m/>
    <m/>
    <m/>
    <n v="0"/>
    <m/>
    <m/>
    <n v="0"/>
    <n v="0"/>
    <n v="0"/>
    <n v="12359822"/>
    <n v="12359822"/>
    <m/>
    <m/>
    <n v="0"/>
    <m/>
    <m/>
    <n v="0"/>
    <m/>
    <m/>
    <m/>
    <m/>
    <m/>
    <m/>
    <n v="12359822"/>
    <n v="12359822"/>
  </r>
  <r>
    <x v="14"/>
    <x v="34"/>
    <s v="Transfer grant"/>
    <m/>
    <m/>
    <x v="12"/>
    <m/>
    <m/>
    <m/>
    <m/>
    <m/>
    <m/>
    <m/>
    <m/>
    <n v="0"/>
    <m/>
    <m/>
    <n v="0"/>
    <n v="0"/>
    <n v="0"/>
    <n v="1050000"/>
    <n v="1650000"/>
    <m/>
    <m/>
    <n v="0"/>
    <m/>
    <m/>
    <n v="0"/>
    <m/>
    <m/>
    <m/>
    <m/>
    <m/>
    <m/>
    <n v="1050000"/>
    <n v="1650000"/>
  </r>
  <r>
    <x v="14"/>
    <x v="37"/>
    <s v="Limited to private college students"/>
    <m/>
    <m/>
    <x v="12"/>
    <m/>
    <m/>
    <m/>
    <m/>
    <m/>
    <m/>
    <m/>
    <m/>
    <n v="0"/>
    <m/>
    <m/>
    <n v="0"/>
    <n v="0"/>
    <n v="0"/>
    <m/>
    <m/>
    <m/>
    <m/>
    <n v="0"/>
    <m/>
    <m/>
    <n v="0"/>
    <m/>
    <m/>
    <m/>
    <m/>
    <m/>
    <m/>
    <n v="0"/>
    <n v="0"/>
  </r>
  <r>
    <x v="14"/>
    <x v="37"/>
    <s v="Student Tuition Aid Grant"/>
    <m/>
    <m/>
    <x v="12"/>
    <m/>
    <m/>
    <m/>
    <m/>
    <m/>
    <m/>
    <m/>
    <m/>
    <n v="0"/>
    <m/>
    <m/>
    <n v="0"/>
    <n v="0"/>
    <n v="0"/>
    <m/>
    <m/>
    <m/>
    <m/>
    <n v="0"/>
    <m/>
    <m/>
    <n v="0"/>
    <m/>
    <m/>
    <m/>
    <m/>
    <m/>
    <m/>
    <n v="0"/>
    <n v="0"/>
  </r>
  <r>
    <x v="14"/>
    <x v="38"/>
    <s v="Need-based"/>
    <m/>
    <m/>
    <x v="12"/>
    <m/>
    <m/>
    <m/>
    <m/>
    <m/>
    <m/>
    <m/>
    <m/>
    <n v="0"/>
    <m/>
    <m/>
    <n v="0"/>
    <n v="0"/>
    <n v="0"/>
    <m/>
    <m/>
    <m/>
    <m/>
    <n v="0"/>
    <m/>
    <m/>
    <n v="0"/>
    <m/>
    <m/>
    <m/>
    <m/>
    <m/>
    <m/>
    <n v="0"/>
    <n v="0"/>
  </r>
  <r>
    <x v="14"/>
    <x v="39"/>
    <s v="Non need-based"/>
    <m/>
    <m/>
    <x v="12"/>
    <m/>
    <m/>
    <m/>
    <m/>
    <m/>
    <m/>
    <m/>
    <m/>
    <n v="0"/>
    <m/>
    <m/>
    <n v="0"/>
    <n v="0"/>
    <n v="0"/>
    <n v="55956233"/>
    <n v="61812665"/>
    <m/>
    <m/>
    <n v="0"/>
    <m/>
    <m/>
    <n v="0"/>
    <m/>
    <m/>
    <m/>
    <m/>
    <m/>
    <m/>
    <n v="55956233"/>
    <n v="61812665"/>
  </r>
  <r>
    <x v="14"/>
    <x v="37"/>
    <s v="Other Student Financial Aid"/>
    <m/>
    <m/>
    <x v="12"/>
    <m/>
    <m/>
    <m/>
    <m/>
    <m/>
    <m/>
    <m/>
    <m/>
    <n v="0"/>
    <m/>
    <m/>
    <n v="0"/>
    <n v="0"/>
    <n v="0"/>
    <m/>
    <m/>
    <m/>
    <m/>
    <n v="0"/>
    <m/>
    <m/>
    <n v="0"/>
    <m/>
    <m/>
    <m/>
    <m/>
    <m/>
    <m/>
    <n v="0"/>
    <n v="0"/>
  </r>
  <r>
    <x v="14"/>
    <x v="38"/>
    <s v="Need-based"/>
    <m/>
    <m/>
    <x v="12"/>
    <m/>
    <m/>
    <m/>
    <m/>
    <m/>
    <m/>
    <m/>
    <m/>
    <n v="0"/>
    <m/>
    <m/>
    <n v="0"/>
    <n v="0"/>
    <n v="0"/>
    <m/>
    <m/>
    <m/>
    <m/>
    <n v="0"/>
    <m/>
    <m/>
    <n v="0"/>
    <m/>
    <m/>
    <m/>
    <m/>
    <m/>
    <m/>
    <n v="0"/>
    <n v="0"/>
  </r>
  <r>
    <x v="14"/>
    <x v="39"/>
    <s v="Non need-based"/>
    <m/>
    <m/>
    <x v="12"/>
    <m/>
    <m/>
    <m/>
    <m/>
    <m/>
    <m/>
    <m/>
    <m/>
    <n v="0"/>
    <m/>
    <m/>
    <n v="0"/>
    <n v="0"/>
    <n v="0"/>
    <n v="3139170"/>
    <n v="3139944"/>
    <m/>
    <m/>
    <n v="0"/>
    <m/>
    <m/>
    <n v="0"/>
    <m/>
    <m/>
    <m/>
    <m/>
    <m/>
    <m/>
    <n v="3139170"/>
    <n v="3139944"/>
  </r>
  <r>
    <x v="15"/>
    <x v="0"/>
    <s v="West Virginia University"/>
    <m/>
    <n v="238032"/>
    <x v="0"/>
    <n v="80553201"/>
    <n v="78213821"/>
    <m/>
    <m/>
    <m/>
    <m/>
    <n v="258550401"/>
    <n v="10006022"/>
    <n v="268556423"/>
    <n v="273315032"/>
    <n v="10768759"/>
    <n v="284083791"/>
    <n v="339103602"/>
    <n v="351528853"/>
    <m/>
    <m/>
    <m/>
    <m/>
    <n v="0"/>
    <m/>
    <m/>
    <n v="0"/>
    <m/>
    <m/>
    <m/>
    <m/>
    <m/>
    <m/>
    <n v="339103602"/>
    <n v="351528853"/>
  </r>
  <r>
    <x v="15"/>
    <x v="1"/>
    <s v="Health professions education"/>
    <m/>
    <n v="238032"/>
    <x v="0"/>
    <m/>
    <m/>
    <m/>
    <m/>
    <m/>
    <m/>
    <m/>
    <m/>
    <n v="0"/>
    <m/>
    <m/>
    <n v="0"/>
    <n v="0"/>
    <n v="0"/>
    <m/>
    <m/>
    <m/>
    <m/>
    <n v="0"/>
    <m/>
    <m/>
    <n v="0"/>
    <m/>
    <m/>
    <m/>
    <m/>
    <m/>
    <m/>
    <n v="0"/>
    <n v="0"/>
  </r>
  <r>
    <x v="15"/>
    <x v="1"/>
    <s v="School of Health Sciences"/>
    <m/>
    <n v="238032"/>
    <x v="0"/>
    <m/>
    <m/>
    <m/>
    <m/>
    <m/>
    <m/>
    <m/>
    <m/>
    <n v="0"/>
    <m/>
    <m/>
    <n v="0"/>
    <n v="0"/>
    <n v="0"/>
    <m/>
    <m/>
    <m/>
    <m/>
    <n v="0"/>
    <m/>
    <m/>
    <n v="0"/>
    <n v="68296925"/>
    <n v="69527816"/>
    <n v="41990933"/>
    <m/>
    <n v="45880496"/>
    <m/>
    <n v="110287858"/>
    <n v="115408312"/>
  </r>
  <r>
    <x v="15"/>
    <x v="1"/>
    <s v="BRIM insurance subsidy"/>
    <m/>
    <n v="238032"/>
    <x v="0"/>
    <m/>
    <m/>
    <m/>
    <m/>
    <m/>
    <m/>
    <m/>
    <m/>
    <n v="0"/>
    <m/>
    <m/>
    <n v="0"/>
    <n v="0"/>
    <n v="0"/>
    <m/>
    <m/>
    <m/>
    <m/>
    <n v="0"/>
    <m/>
    <m/>
    <n v="0"/>
    <n v="1400038"/>
    <n v="1400038"/>
    <m/>
    <m/>
    <m/>
    <m/>
    <n v="1400038"/>
    <n v="1400038"/>
  </r>
  <r>
    <x v="15"/>
    <x v="13"/>
    <s v="HSTA Program"/>
    <m/>
    <n v="238032"/>
    <x v="0"/>
    <m/>
    <m/>
    <n v="1539068"/>
    <n v="1543868"/>
    <m/>
    <m/>
    <m/>
    <m/>
    <n v="0"/>
    <m/>
    <m/>
    <n v="0"/>
    <n v="1539068"/>
    <n v="1543868"/>
    <m/>
    <m/>
    <m/>
    <m/>
    <n v="0"/>
    <m/>
    <m/>
    <n v="0"/>
    <m/>
    <n v="0"/>
    <m/>
    <m/>
    <m/>
    <m/>
    <n v="1539068"/>
    <n v="1543868"/>
  </r>
  <r>
    <x v="15"/>
    <x v="13"/>
    <s v="Health Sciences Career Opportunities"/>
    <m/>
    <n v="238032"/>
    <x v="0"/>
    <m/>
    <m/>
    <n v="376992"/>
    <n v="378192"/>
    <m/>
    <m/>
    <m/>
    <m/>
    <n v="0"/>
    <m/>
    <m/>
    <n v="0"/>
    <n v="376992"/>
    <n v="378192"/>
    <m/>
    <m/>
    <m/>
    <m/>
    <n v="0"/>
    <m/>
    <m/>
    <n v="0"/>
    <m/>
    <n v="0"/>
    <m/>
    <m/>
    <m/>
    <m/>
    <n v="376992"/>
    <n v="378192"/>
  </r>
  <r>
    <x v="15"/>
    <x v="1"/>
    <s v="Community or public service units"/>
    <m/>
    <n v="238032"/>
    <x v="0"/>
    <m/>
    <m/>
    <n v="2353246"/>
    <n v="2267147"/>
    <m/>
    <m/>
    <m/>
    <m/>
    <n v="0"/>
    <m/>
    <m/>
    <n v="0"/>
    <n v="2353246"/>
    <n v="2267147"/>
    <m/>
    <m/>
    <m/>
    <m/>
    <n v="0"/>
    <m/>
    <m/>
    <n v="0"/>
    <m/>
    <n v="0"/>
    <m/>
    <m/>
    <m/>
    <m/>
    <n v="2353246"/>
    <n v="2267147"/>
  </r>
  <r>
    <x v="15"/>
    <x v="1"/>
    <s v="WVU HSC - Blanchette Rockefeller Neuroligical Institute"/>
    <m/>
    <n v="238032"/>
    <x v="0"/>
    <m/>
    <m/>
    <m/>
    <m/>
    <m/>
    <m/>
    <m/>
    <m/>
    <n v="0"/>
    <m/>
    <m/>
    <n v="0"/>
    <n v="0"/>
    <n v="0"/>
    <m/>
    <m/>
    <m/>
    <m/>
    <n v="0"/>
    <m/>
    <m/>
    <n v="0"/>
    <n v="1000000"/>
    <n v="1000000"/>
    <m/>
    <m/>
    <m/>
    <m/>
    <n v="1000000"/>
    <n v="1000000"/>
  </r>
  <r>
    <x v="15"/>
    <x v="13"/>
    <s v="Public Health Program &amp; Health Science Technology"/>
    <m/>
    <n v="238032"/>
    <x v="0"/>
    <m/>
    <m/>
    <n v="62291"/>
    <n v="62483"/>
    <m/>
    <m/>
    <m/>
    <m/>
    <n v="0"/>
    <m/>
    <m/>
    <n v="0"/>
    <n v="62291"/>
    <n v="62483"/>
    <m/>
    <m/>
    <m/>
    <m/>
    <n v="0"/>
    <m/>
    <m/>
    <n v="0"/>
    <m/>
    <n v="0"/>
    <m/>
    <m/>
    <m/>
    <m/>
    <n v="62291"/>
    <n v="62483"/>
  </r>
  <r>
    <x v="15"/>
    <x v="1"/>
    <s v="WVUHSC - Graduate Medical Education"/>
    <m/>
    <n v="238032"/>
    <x v="0"/>
    <m/>
    <m/>
    <m/>
    <m/>
    <m/>
    <m/>
    <m/>
    <m/>
    <n v="0"/>
    <m/>
    <m/>
    <n v="0"/>
    <n v="0"/>
    <n v="0"/>
    <m/>
    <m/>
    <m/>
    <m/>
    <n v="0"/>
    <m/>
    <m/>
    <n v="0"/>
    <n v="943080"/>
    <n v="943080"/>
    <m/>
    <m/>
    <m/>
    <m/>
    <n v="943080"/>
    <n v="943080"/>
  </r>
  <r>
    <x v="15"/>
    <x v="1"/>
    <s v="WVU Health Sciences Center - Academy of Family Physicians Doc of the Day Program"/>
    <m/>
    <n v="238032"/>
    <x v="0"/>
    <m/>
    <m/>
    <m/>
    <m/>
    <m/>
    <m/>
    <m/>
    <m/>
    <n v="0"/>
    <m/>
    <m/>
    <n v="0"/>
    <n v="0"/>
    <n v="0"/>
    <m/>
    <m/>
    <m/>
    <m/>
    <n v="0"/>
    <m/>
    <m/>
    <n v="0"/>
    <n v="5000"/>
    <n v="5000"/>
    <m/>
    <m/>
    <m/>
    <m/>
    <n v="5000"/>
    <n v="5000"/>
  </r>
  <r>
    <x v="15"/>
    <x v="5"/>
    <s v="Agricultural cooperative extension"/>
    <m/>
    <n v="238032"/>
    <x v="0"/>
    <m/>
    <m/>
    <n v="16720323"/>
    <n v="17735741"/>
    <m/>
    <m/>
    <m/>
    <m/>
    <n v="0"/>
    <m/>
    <m/>
    <n v="0"/>
    <n v="16720323"/>
    <n v="17735741"/>
    <m/>
    <m/>
    <m/>
    <m/>
    <n v="0"/>
    <m/>
    <m/>
    <n v="0"/>
    <m/>
    <n v="0"/>
    <m/>
    <m/>
    <m/>
    <m/>
    <n v="16720323"/>
    <n v="17735741"/>
  </r>
  <r>
    <x v="15"/>
    <x v="6"/>
    <s v="Agricultural experiment stations"/>
    <m/>
    <n v="238032"/>
    <x v="0"/>
    <m/>
    <m/>
    <n v="7812386"/>
    <n v="8785626"/>
    <m/>
    <m/>
    <m/>
    <m/>
    <n v="0"/>
    <m/>
    <m/>
    <n v="0"/>
    <n v="7812386"/>
    <n v="8785626"/>
    <m/>
    <m/>
    <m/>
    <m/>
    <n v="0"/>
    <m/>
    <m/>
    <n v="0"/>
    <m/>
    <n v="0"/>
    <m/>
    <m/>
    <m/>
    <m/>
    <n v="7812386"/>
    <n v="8785626"/>
  </r>
  <r>
    <x v="15"/>
    <x v="43"/>
    <s v="Engineering experiment stations"/>
    <m/>
    <n v="238032"/>
    <x v="0"/>
    <m/>
    <m/>
    <n v="3061480"/>
    <n v="3285798"/>
    <m/>
    <m/>
    <m/>
    <m/>
    <n v="0"/>
    <m/>
    <m/>
    <n v="0"/>
    <n v="3061480"/>
    <n v="3285798"/>
    <m/>
    <m/>
    <m/>
    <m/>
    <n v="0"/>
    <m/>
    <m/>
    <n v="0"/>
    <m/>
    <n v="0"/>
    <m/>
    <m/>
    <m/>
    <m/>
    <n v="3061480"/>
    <n v="3285798"/>
  </r>
  <r>
    <x v="15"/>
    <x v="7"/>
    <s v="Research centers/institutes"/>
    <m/>
    <n v="238032"/>
    <x v="0"/>
    <m/>
    <m/>
    <n v="2641096"/>
    <n v="2748978"/>
    <m/>
    <m/>
    <m/>
    <m/>
    <n v="0"/>
    <m/>
    <m/>
    <n v="0"/>
    <n v="2641096"/>
    <n v="2748978"/>
    <m/>
    <m/>
    <m/>
    <m/>
    <n v="0"/>
    <m/>
    <m/>
    <n v="0"/>
    <m/>
    <n v="0"/>
    <m/>
    <m/>
    <m/>
    <m/>
    <n v="2641096"/>
    <n v="2748978"/>
  </r>
  <r>
    <x v="15"/>
    <x v="7"/>
    <s v="WVU - PRT"/>
    <m/>
    <n v="238032"/>
    <x v="0"/>
    <m/>
    <m/>
    <n v="2029624"/>
    <n v="2134245"/>
    <m/>
    <m/>
    <m/>
    <m/>
    <n v="0"/>
    <m/>
    <m/>
    <n v="0"/>
    <n v="2029624"/>
    <n v="2134245"/>
    <m/>
    <m/>
    <m/>
    <m/>
    <n v="0"/>
    <m/>
    <m/>
    <n v="0"/>
    <m/>
    <n v="0"/>
    <m/>
    <m/>
    <m/>
    <m/>
    <n v="2029624"/>
    <n v="2134245"/>
  </r>
  <r>
    <x v="15"/>
    <x v="8"/>
    <s v="Special Line items for education operations"/>
    <m/>
    <n v="238032"/>
    <x v="0"/>
    <m/>
    <m/>
    <n v="1853728"/>
    <n v="2155508"/>
    <m/>
    <m/>
    <m/>
    <m/>
    <n v="0"/>
    <m/>
    <m/>
    <n v="0"/>
    <n v="1853728"/>
    <n v="2155508"/>
    <m/>
    <m/>
    <m/>
    <m/>
    <n v="0"/>
    <m/>
    <m/>
    <n v="0"/>
    <m/>
    <n v="0"/>
    <m/>
    <m/>
    <m/>
    <m/>
    <n v="1853728"/>
    <n v="2155508"/>
  </r>
  <r>
    <x v="15"/>
    <x v="8"/>
    <s v="Center for Excellence in Disabilities"/>
    <m/>
    <n v="238032"/>
    <x v="0"/>
    <m/>
    <m/>
    <n v="320000"/>
    <n v="350000"/>
    <m/>
    <m/>
    <m/>
    <m/>
    <n v="0"/>
    <m/>
    <m/>
    <n v="0"/>
    <n v="320000"/>
    <n v="350000"/>
    <m/>
    <m/>
    <m/>
    <m/>
    <n v="0"/>
    <m/>
    <m/>
    <n v="0"/>
    <m/>
    <n v="0"/>
    <m/>
    <m/>
    <m/>
    <m/>
    <n v="320000"/>
    <n v="350000"/>
  </r>
  <r>
    <x v="15"/>
    <x v="0"/>
    <s v="Marshall University "/>
    <m/>
    <n v="237525"/>
    <x v="2"/>
    <n v="50657146"/>
    <n v="51457526"/>
    <m/>
    <m/>
    <m/>
    <m/>
    <n v="79942727"/>
    <n v="4310369"/>
    <n v="84253096"/>
    <n v="86387548"/>
    <n v="2492352"/>
    <n v="88879900"/>
    <n v="130599873"/>
    <n v="137845074"/>
    <m/>
    <m/>
    <m/>
    <m/>
    <n v="0"/>
    <m/>
    <m/>
    <n v="0"/>
    <m/>
    <m/>
    <m/>
    <m/>
    <m/>
    <m/>
    <n v="130599873"/>
    <n v="137845074"/>
  </r>
  <r>
    <x v="15"/>
    <x v="7"/>
    <s v="Research centers/institutes"/>
    <m/>
    <n v="237525"/>
    <x v="2"/>
    <m/>
    <m/>
    <m/>
    <m/>
    <m/>
    <m/>
    <m/>
    <m/>
    <n v="0"/>
    <m/>
    <m/>
    <n v="0"/>
    <n v="0"/>
    <n v="0"/>
    <m/>
    <m/>
    <m/>
    <m/>
    <n v="0"/>
    <m/>
    <m/>
    <n v="0"/>
    <m/>
    <m/>
    <m/>
    <m/>
    <m/>
    <m/>
    <n v="0"/>
    <n v="0"/>
  </r>
  <r>
    <x v="15"/>
    <x v="8"/>
    <s v="MU/SWVVCTC 2+2 Program"/>
    <m/>
    <n v="237525"/>
    <x v="2"/>
    <m/>
    <m/>
    <n v="181280"/>
    <n v="181280"/>
    <m/>
    <m/>
    <m/>
    <m/>
    <n v="0"/>
    <m/>
    <m/>
    <n v="0"/>
    <n v="181280"/>
    <n v="181280"/>
    <m/>
    <m/>
    <m/>
    <m/>
    <n v="0"/>
    <m/>
    <m/>
    <n v="0"/>
    <m/>
    <m/>
    <m/>
    <m/>
    <m/>
    <m/>
    <n v="181280"/>
    <n v="181280"/>
  </r>
  <r>
    <x v="15"/>
    <x v="7"/>
    <s v="Autism Training Center"/>
    <m/>
    <n v="237525"/>
    <x v="2"/>
    <m/>
    <m/>
    <n v="2105796"/>
    <n v="2111572"/>
    <m/>
    <m/>
    <m/>
    <m/>
    <n v="0"/>
    <m/>
    <m/>
    <n v="0"/>
    <n v="2105796"/>
    <n v="2111572"/>
    <m/>
    <m/>
    <m/>
    <m/>
    <n v="0"/>
    <m/>
    <m/>
    <n v="0"/>
    <m/>
    <m/>
    <m/>
    <m/>
    <m/>
    <m/>
    <n v="2105796"/>
    <n v="2111572"/>
  </r>
  <r>
    <x v="15"/>
    <x v="8"/>
    <s v="Special Line items for education operations"/>
    <m/>
    <n v="237525"/>
    <x v="2"/>
    <m/>
    <m/>
    <n v="702799"/>
    <n v="703099"/>
    <m/>
    <m/>
    <m/>
    <m/>
    <n v="0"/>
    <m/>
    <m/>
    <n v="0"/>
    <n v="702799"/>
    <n v="703099"/>
    <m/>
    <m/>
    <m/>
    <m/>
    <n v="0"/>
    <m/>
    <m/>
    <n v="0"/>
    <m/>
    <m/>
    <m/>
    <m/>
    <m/>
    <m/>
    <n v="702799"/>
    <n v="703099"/>
  </r>
  <r>
    <x v="15"/>
    <x v="1"/>
    <s v="Medical School"/>
    <m/>
    <n v="237525"/>
    <x v="2"/>
    <m/>
    <m/>
    <m/>
    <m/>
    <m/>
    <m/>
    <m/>
    <m/>
    <n v="0"/>
    <m/>
    <m/>
    <n v="0"/>
    <n v="0"/>
    <n v="0"/>
    <m/>
    <m/>
    <m/>
    <m/>
    <n v="0"/>
    <m/>
    <m/>
    <n v="0"/>
    <n v="18933328"/>
    <n v="19286846"/>
    <n v="8282990"/>
    <m/>
    <n v="8855321"/>
    <m/>
    <n v="27216318"/>
    <n v="28142167"/>
  </r>
  <r>
    <x v="15"/>
    <x v="1"/>
    <s v="MU SOM- Graduate Medical Education"/>
    <m/>
    <n v="237525"/>
    <x v="2"/>
    <m/>
    <m/>
    <m/>
    <m/>
    <m/>
    <m/>
    <m/>
    <m/>
    <n v="0"/>
    <m/>
    <m/>
    <n v="0"/>
    <n v="0"/>
    <n v="0"/>
    <m/>
    <m/>
    <m/>
    <m/>
    <n v="0"/>
    <m/>
    <m/>
    <n v="0"/>
    <n v="295477"/>
    <n v="295477"/>
    <m/>
    <m/>
    <m/>
    <m/>
    <n v="295477"/>
    <n v="295477"/>
  </r>
  <r>
    <x v="15"/>
    <x v="1"/>
    <s v="MU SOM- Academy of Family Physicians Doc of the Day Program"/>
    <m/>
    <n v="237525"/>
    <x v="2"/>
    <m/>
    <m/>
    <m/>
    <m/>
    <m/>
    <m/>
    <m/>
    <m/>
    <n v="0"/>
    <m/>
    <m/>
    <n v="0"/>
    <n v="0"/>
    <n v="0"/>
    <m/>
    <m/>
    <m/>
    <m/>
    <n v="0"/>
    <m/>
    <m/>
    <n v="0"/>
    <n v="5000"/>
    <n v="5000"/>
    <m/>
    <m/>
    <m/>
    <m/>
    <n v="5000"/>
    <n v="5000"/>
  </r>
  <r>
    <x v="15"/>
    <x v="1"/>
    <s v="MUSOM - Center for Rural Health"/>
    <m/>
    <n v="237525"/>
    <x v="2"/>
    <m/>
    <m/>
    <m/>
    <m/>
    <m/>
    <m/>
    <m/>
    <m/>
    <n v="0"/>
    <m/>
    <m/>
    <n v="0"/>
    <n v="0"/>
    <n v="0"/>
    <m/>
    <m/>
    <m/>
    <m/>
    <n v="0"/>
    <m/>
    <m/>
    <n v="0"/>
    <n v="275061"/>
    <n v="275061"/>
    <m/>
    <m/>
    <m/>
    <m/>
    <n v="275061"/>
    <n v="275061"/>
  </r>
  <r>
    <x v="15"/>
    <x v="7"/>
    <s v="Forensic Lab"/>
    <m/>
    <n v="237525"/>
    <x v="2"/>
    <m/>
    <m/>
    <m/>
    <m/>
    <m/>
    <m/>
    <m/>
    <m/>
    <n v="0"/>
    <m/>
    <m/>
    <n v="0"/>
    <n v="0"/>
    <n v="0"/>
    <m/>
    <m/>
    <m/>
    <m/>
    <n v="0"/>
    <m/>
    <m/>
    <n v="0"/>
    <n v="417351"/>
    <n v="417351"/>
    <m/>
    <m/>
    <m/>
    <m/>
    <n v="417351"/>
    <n v="417351"/>
  </r>
  <r>
    <x v="15"/>
    <x v="8"/>
    <s v="BRIM insurance subsidy"/>
    <m/>
    <n v="237525"/>
    <x v="2"/>
    <m/>
    <m/>
    <m/>
    <m/>
    <m/>
    <m/>
    <m/>
    <m/>
    <n v="0"/>
    <m/>
    <m/>
    <n v="0"/>
    <n v="0"/>
    <n v="0"/>
    <m/>
    <m/>
    <m/>
    <m/>
    <n v="0"/>
    <m/>
    <m/>
    <n v="0"/>
    <n v="1015462"/>
    <n v="1015462"/>
    <m/>
    <m/>
    <m/>
    <m/>
    <n v="1015462"/>
    <n v="1015462"/>
  </r>
  <r>
    <x v="15"/>
    <x v="0"/>
    <s v="Fairmont State University"/>
    <m/>
    <n v="237367"/>
    <x v="4"/>
    <n v="17803627"/>
    <n v="17880671"/>
    <m/>
    <m/>
    <m/>
    <m/>
    <n v="21131248"/>
    <n v="1873783.82"/>
    <n v="23005031.82"/>
    <n v="21427663"/>
    <n v="1577369"/>
    <n v="23005032"/>
    <n v="38934875"/>
    <n v="39308334"/>
    <m/>
    <m/>
    <m/>
    <m/>
    <n v="0"/>
    <m/>
    <m/>
    <n v="0"/>
    <m/>
    <m/>
    <m/>
    <m/>
    <m/>
    <m/>
    <n v="38934875"/>
    <n v="39308334"/>
  </r>
  <r>
    <x v="15"/>
    <x v="0"/>
    <s v="Shepherd University "/>
    <m/>
    <n v="237792"/>
    <x v="4"/>
    <n v="11102798"/>
    <n v="11128474"/>
    <m/>
    <m/>
    <m/>
    <m/>
    <n v="26156317"/>
    <n v="905948"/>
    <n v="27062265"/>
    <n v="27740613"/>
    <n v="674765"/>
    <n v="28415378"/>
    <n v="37259115"/>
    <n v="38869087"/>
    <m/>
    <m/>
    <m/>
    <m/>
    <n v="0"/>
    <m/>
    <m/>
    <n v="0"/>
    <m/>
    <m/>
    <m/>
    <m/>
    <m/>
    <m/>
    <n v="37259115"/>
    <n v="38869087"/>
  </r>
  <r>
    <x v="15"/>
    <x v="8"/>
    <s v="Special Line items for education operations"/>
    <m/>
    <n v="237792"/>
    <x v="4"/>
    <m/>
    <n v="0"/>
    <n v="100000"/>
    <n v="100000"/>
    <m/>
    <m/>
    <m/>
    <m/>
    <n v="0"/>
    <m/>
    <m/>
    <n v="0"/>
    <n v="100000"/>
    <n v="100000"/>
    <m/>
    <m/>
    <m/>
    <m/>
    <n v="0"/>
    <m/>
    <m/>
    <n v="0"/>
    <m/>
    <m/>
    <m/>
    <m/>
    <m/>
    <m/>
    <n v="100000"/>
    <n v="100000"/>
  </r>
  <r>
    <x v="15"/>
    <x v="0"/>
    <s v="Bluefield State College "/>
    <m/>
    <n v="237215"/>
    <x v="5"/>
    <n v="6570942"/>
    <n v="6593442"/>
    <m/>
    <m/>
    <m/>
    <m/>
    <n v="10254909"/>
    <n v="12728"/>
    <n v="10267637"/>
    <n v="10830565"/>
    <n v="1792"/>
    <n v="10832357"/>
    <n v="16825851"/>
    <n v="17424007"/>
    <m/>
    <m/>
    <m/>
    <m/>
    <n v="0"/>
    <m/>
    <m/>
    <n v="0"/>
    <m/>
    <m/>
    <m/>
    <m/>
    <m/>
    <m/>
    <n v="16825851"/>
    <n v="17424007"/>
  </r>
  <r>
    <x v="15"/>
    <x v="0"/>
    <s v="Concord University "/>
    <m/>
    <n v="237330"/>
    <x v="5"/>
    <n v="10064340"/>
    <n v="10106804"/>
    <m/>
    <m/>
    <m/>
    <m/>
    <n v="15007382"/>
    <n v="161969"/>
    <n v="15169351"/>
    <n v="15905008"/>
    <n v="22811"/>
    <n v="15927819"/>
    <n v="25071722"/>
    <n v="26011812"/>
    <m/>
    <m/>
    <m/>
    <m/>
    <n v="0"/>
    <m/>
    <m/>
    <n v="0"/>
    <m/>
    <m/>
    <m/>
    <m/>
    <m/>
    <m/>
    <n v="25071722"/>
    <n v="26011812"/>
  </r>
  <r>
    <x v="15"/>
    <x v="8"/>
    <s v="Special Line items for education operations"/>
    <m/>
    <n v="237330"/>
    <x v="5"/>
    <m/>
    <m/>
    <n v="100000"/>
    <n v="100000"/>
    <m/>
    <m/>
    <m/>
    <m/>
    <n v="0"/>
    <m/>
    <m/>
    <n v="0"/>
    <n v="100000"/>
    <n v="100000"/>
    <m/>
    <m/>
    <m/>
    <m/>
    <n v="0"/>
    <m/>
    <m/>
    <n v="0"/>
    <m/>
    <m/>
    <m/>
    <m/>
    <m/>
    <m/>
    <n v="100000"/>
    <n v="100000"/>
  </r>
  <r>
    <x v="15"/>
    <x v="0"/>
    <s v="Glenville State College "/>
    <m/>
    <n v="237385"/>
    <x v="5"/>
    <n v="6497804"/>
    <n v="6606804"/>
    <m/>
    <m/>
    <m/>
    <m/>
    <n v="7732430"/>
    <n v="430680.12"/>
    <n v="8163110.1200000001"/>
    <n v="8575966"/>
    <n v="362639"/>
    <n v="8938605"/>
    <n v="14230234"/>
    <n v="15182770"/>
    <m/>
    <m/>
    <m/>
    <m/>
    <n v="0"/>
    <m/>
    <m/>
    <n v="0"/>
    <m/>
    <m/>
    <m/>
    <m/>
    <m/>
    <m/>
    <n v="14230234"/>
    <n v="15182770"/>
  </r>
  <r>
    <x v="15"/>
    <x v="8"/>
    <s v="Special Line items for education operations"/>
    <m/>
    <n v="237385"/>
    <x v="5"/>
    <m/>
    <m/>
    <n v="700000"/>
    <n v="600000"/>
    <m/>
    <m/>
    <m/>
    <m/>
    <n v="0"/>
    <m/>
    <m/>
    <n v="0"/>
    <n v="700000"/>
    <n v="600000"/>
    <m/>
    <m/>
    <m/>
    <m/>
    <n v="0"/>
    <m/>
    <m/>
    <n v="0"/>
    <m/>
    <m/>
    <m/>
    <m/>
    <m/>
    <m/>
    <n v="700000"/>
    <n v="600000"/>
  </r>
  <r>
    <x v="15"/>
    <x v="0"/>
    <s v="West Liberty University"/>
    <m/>
    <n v="237932"/>
    <x v="5"/>
    <n v="9299524"/>
    <n v="9322524"/>
    <m/>
    <m/>
    <m/>
    <m/>
    <n v="17014146"/>
    <n v="746908"/>
    <n v="17761054"/>
    <n v="18088410"/>
    <n v="560697"/>
    <n v="18649107"/>
    <n v="26313670"/>
    <n v="27410934"/>
    <m/>
    <m/>
    <m/>
    <m/>
    <n v="0"/>
    <m/>
    <m/>
    <n v="0"/>
    <m/>
    <m/>
    <m/>
    <m/>
    <m/>
    <m/>
    <n v="26313670"/>
    <n v="27410934"/>
  </r>
  <r>
    <x v="15"/>
    <x v="0"/>
    <s v="West Virginia State University "/>
    <m/>
    <n v="237899"/>
    <x v="5"/>
    <n v="12835589"/>
    <n v="13612389"/>
    <m/>
    <m/>
    <m/>
    <m/>
    <n v="12078135"/>
    <n v="135337"/>
    <n v="12213472"/>
    <n v="13171490"/>
    <n v="19060"/>
    <n v="13190550"/>
    <n v="24913724"/>
    <n v="26783879"/>
    <m/>
    <m/>
    <m/>
    <m/>
    <n v="0"/>
    <m/>
    <m/>
    <n v="0"/>
    <m/>
    <m/>
    <m/>
    <m/>
    <m/>
    <m/>
    <n v="24913724"/>
    <n v="26783879"/>
  </r>
  <r>
    <x v="15"/>
    <x v="0"/>
    <s v="West Virginia University Institute of Technology"/>
    <m/>
    <n v="237950"/>
    <x v="5"/>
    <n v="8686192"/>
    <n v="9467640"/>
    <m/>
    <m/>
    <m/>
    <m/>
    <n v="6173738"/>
    <n v="90286"/>
    <n v="6264024"/>
    <n v="6564509"/>
    <n v="12716"/>
    <n v="6577225"/>
    <n v="14859930"/>
    <n v="16032149"/>
    <m/>
    <m/>
    <m/>
    <m/>
    <n v="0"/>
    <m/>
    <m/>
    <n v="0"/>
    <m/>
    <m/>
    <m/>
    <m/>
    <m/>
    <m/>
    <n v="14859930"/>
    <n v="16032149"/>
  </r>
  <r>
    <x v="15"/>
    <x v="8"/>
    <s v="Accreditation supplement"/>
    <m/>
    <n v="237950"/>
    <x v="5"/>
    <m/>
    <m/>
    <m/>
    <m/>
    <m/>
    <m/>
    <s v=" "/>
    <s v=" "/>
    <n v="0"/>
    <s v=" "/>
    <s v=" "/>
    <n v="0"/>
    <n v="0"/>
    <n v="0"/>
    <m/>
    <m/>
    <m/>
    <m/>
    <n v="0"/>
    <m/>
    <m/>
    <n v="0"/>
    <m/>
    <m/>
    <m/>
    <m/>
    <m/>
    <m/>
    <n v="0"/>
    <n v="0"/>
  </r>
  <r>
    <x v="15"/>
    <x v="0"/>
    <s v="Potomac State College of West Virginia University"/>
    <m/>
    <n v="237701"/>
    <x v="14"/>
    <n v="4482109"/>
    <n v="4482689"/>
    <m/>
    <m/>
    <m/>
    <m/>
    <n v="5009672"/>
    <n v="84793"/>
    <n v="5094465"/>
    <n v="5347083"/>
    <n v="2105"/>
    <n v="5349188"/>
    <n v="9491781"/>
    <n v="9829772"/>
    <m/>
    <m/>
    <m/>
    <m/>
    <n v="0"/>
    <m/>
    <m/>
    <n v="0"/>
    <m/>
    <m/>
    <m/>
    <m/>
    <m/>
    <m/>
    <n v="9491781"/>
    <n v="9829772"/>
  </r>
  <r>
    <x v="15"/>
    <x v="8"/>
    <s v="Special Line items for education operations"/>
    <m/>
    <n v="237701"/>
    <x v="14"/>
    <m/>
    <m/>
    <n v="207500"/>
    <n v="207500"/>
    <m/>
    <m/>
    <m/>
    <m/>
    <n v="0"/>
    <m/>
    <m/>
    <n v="0"/>
    <n v="207500"/>
    <n v="207500"/>
    <m/>
    <m/>
    <m/>
    <m/>
    <n v="0"/>
    <m/>
    <m/>
    <n v="0"/>
    <m/>
    <m/>
    <m/>
    <m/>
    <m/>
    <m/>
    <n v="207500"/>
    <n v="207500"/>
  </r>
  <r>
    <x v="15"/>
    <x v="0"/>
    <s v="West Virginia University at Parkersburg"/>
    <m/>
    <n v="237686"/>
    <x v="14"/>
    <n v="10416188"/>
    <n v="10916188"/>
    <m/>
    <m/>
    <m/>
    <m/>
    <n v="9913811"/>
    <n v="127189"/>
    <n v="10041000"/>
    <n v="11008807"/>
    <n v="3158"/>
    <n v="11011965"/>
    <n v="20329999"/>
    <n v="21924995"/>
    <m/>
    <m/>
    <m/>
    <m/>
    <n v="0"/>
    <m/>
    <m/>
    <n v="0"/>
    <m/>
    <m/>
    <m/>
    <m/>
    <m/>
    <m/>
    <n v="20329999"/>
    <n v="21924995"/>
  </r>
  <r>
    <x v="15"/>
    <x v="8"/>
    <s v="Special Line items for education operations"/>
    <m/>
    <n v="237686"/>
    <x v="14"/>
    <m/>
    <m/>
    <m/>
    <m/>
    <m/>
    <m/>
    <m/>
    <m/>
    <n v="0"/>
    <m/>
    <m/>
    <n v="0"/>
    <n v="0"/>
    <n v="0"/>
    <m/>
    <m/>
    <m/>
    <m/>
    <n v="0"/>
    <m/>
    <m/>
    <n v="0"/>
    <m/>
    <m/>
    <m/>
    <m/>
    <m/>
    <m/>
    <n v="0"/>
    <n v="0"/>
  </r>
  <r>
    <x v="15"/>
    <x v="0"/>
    <s v="New River Community &amp; Technical College"/>
    <s v="Reclassified: met criteria for Two-Year 2 in 2010-11, 2011-12, and 2012-13."/>
    <n v="447582"/>
    <x v="7"/>
    <n v="5778627"/>
    <n v="6305522"/>
    <m/>
    <m/>
    <m/>
    <m/>
    <n v="9094756"/>
    <n v="11009"/>
    <n v="9105765"/>
    <n v="9559503"/>
    <n v="1550"/>
    <n v="9561053"/>
    <n v="14873383"/>
    <n v="15865025"/>
    <m/>
    <m/>
    <m/>
    <m/>
    <n v="0"/>
    <m/>
    <m/>
    <n v="0"/>
    <m/>
    <m/>
    <m/>
    <m/>
    <m/>
    <m/>
    <n v="14873383"/>
    <n v="15865025"/>
  </r>
  <r>
    <x v="15"/>
    <x v="8"/>
    <s v="Special Line items for education operations"/>
    <m/>
    <n v="447582"/>
    <x v="7"/>
    <m/>
    <m/>
    <m/>
    <m/>
    <m/>
    <m/>
    <m/>
    <m/>
    <n v="0"/>
    <m/>
    <m/>
    <n v="0"/>
    <n v="0"/>
    <n v="0"/>
    <m/>
    <m/>
    <m/>
    <m/>
    <n v="0"/>
    <m/>
    <m/>
    <n v="0"/>
    <m/>
    <m/>
    <m/>
    <m/>
    <m/>
    <m/>
    <n v="0"/>
    <n v="0"/>
  </r>
  <r>
    <x v="15"/>
    <x v="0"/>
    <s v="Pierpont Community &amp; Technical College"/>
    <s v="Reclassified: met criteria for Two-Year 2 in 2010-11, 2011-12, and 2012-13."/>
    <n v="443492"/>
    <x v="7"/>
    <n v="8421177"/>
    <n v="8443703"/>
    <m/>
    <m/>
    <m/>
    <m/>
    <n v="9241337"/>
    <m/>
    <n v="9241337"/>
    <n v="9588811"/>
    <m/>
    <n v="9588811"/>
    <n v="17662514"/>
    <n v="18032514"/>
    <m/>
    <m/>
    <m/>
    <m/>
    <n v="0"/>
    <m/>
    <m/>
    <n v="0"/>
    <m/>
    <m/>
    <m/>
    <m/>
    <m/>
    <m/>
    <n v="17662514"/>
    <n v="18032514"/>
  </r>
  <r>
    <x v="15"/>
    <x v="8"/>
    <s v="Special Line items for education operations"/>
    <m/>
    <n v="443492"/>
    <x v="7"/>
    <m/>
    <m/>
    <m/>
    <m/>
    <m/>
    <m/>
    <m/>
    <m/>
    <n v="0"/>
    <m/>
    <m/>
    <n v="0"/>
    <n v="0"/>
    <n v="0"/>
    <m/>
    <m/>
    <m/>
    <m/>
    <n v="0"/>
    <m/>
    <m/>
    <n v="0"/>
    <m/>
    <m/>
    <m/>
    <m/>
    <m/>
    <m/>
    <n v="0"/>
    <n v="0"/>
  </r>
  <r>
    <x v="15"/>
    <x v="0"/>
    <s v="West Virginia Northern Community College"/>
    <s v="Met the criteria for Two-Year 3 in 2012-13."/>
    <n v="238014"/>
    <x v="7"/>
    <n v="7859711"/>
    <n v="7893643"/>
    <m/>
    <m/>
    <m/>
    <m/>
    <n v="6736134"/>
    <n v="16028"/>
    <n v="6752162"/>
    <n v="6934914"/>
    <n v="2257"/>
    <n v="6937171"/>
    <n v="14595845"/>
    <n v="14828557"/>
    <m/>
    <m/>
    <m/>
    <m/>
    <n v="0"/>
    <m/>
    <m/>
    <n v="0"/>
    <m/>
    <m/>
    <m/>
    <m/>
    <m/>
    <m/>
    <n v="14595845"/>
    <n v="14828557"/>
  </r>
  <r>
    <x v="15"/>
    <x v="8"/>
    <s v="Special Line items for education operations"/>
    <m/>
    <n v="238014"/>
    <x v="7"/>
    <m/>
    <m/>
    <m/>
    <m/>
    <m/>
    <m/>
    <m/>
    <m/>
    <n v="0"/>
    <m/>
    <m/>
    <n v="0"/>
    <n v="0"/>
    <n v="0"/>
    <m/>
    <m/>
    <m/>
    <m/>
    <n v="0"/>
    <m/>
    <m/>
    <n v="0"/>
    <m/>
    <m/>
    <m/>
    <m/>
    <m/>
    <m/>
    <n v="0"/>
    <n v="0"/>
  </r>
  <r>
    <x v="15"/>
    <x v="0"/>
    <s v="Blue Ridge Community &amp; Technical College"/>
    <m/>
    <n v="446774"/>
    <x v="8"/>
    <n v="3514578"/>
    <n v="5138415"/>
    <m/>
    <m/>
    <m/>
    <m/>
    <n v="6650684"/>
    <n v="59386"/>
    <n v="6710070"/>
    <n v="6701706"/>
    <n v="8364"/>
    <n v="6710070"/>
    <n v="10165262"/>
    <n v="11840121"/>
    <m/>
    <m/>
    <m/>
    <m/>
    <n v="0"/>
    <m/>
    <m/>
    <n v="0"/>
    <m/>
    <m/>
    <m/>
    <m/>
    <m/>
    <m/>
    <n v="10165262"/>
    <n v="11840121"/>
  </r>
  <r>
    <x v="15"/>
    <x v="8"/>
    <s v="Special Line items for education operations"/>
    <m/>
    <n v="446774"/>
    <x v="8"/>
    <m/>
    <m/>
    <m/>
    <m/>
    <m/>
    <m/>
    <m/>
    <m/>
    <n v="0"/>
    <m/>
    <m/>
    <n v="0"/>
    <n v="0"/>
    <n v="0"/>
    <m/>
    <m/>
    <m/>
    <m/>
    <n v="0"/>
    <m/>
    <m/>
    <n v="0"/>
    <m/>
    <m/>
    <m/>
    <m/>
    <m/>
    <m/>
    <n v="0"/>
    <n v="0"/>
  </r>
  <r>
    <x v="15"/>
    <x v="0"/>
    <s v="Bridgemont Community &amp; Technical College"/>
    <m/>
    <n v="445674"/>
    <x v="8"/>
    <n v="3959682"/>
    <n v="3973597"/>
    <m/>
    <m/>
    <m/>
    <m/>
    <n v="2115328"/>
    <n v="35716"/>
    <n v="2151044"/>
    <n v="2146014"/>
    <n v="5030"/>
    <n v="2151044"/>
    <n v="6075010"/>
    <n v="6119611"/>
    <m/>
    <m/>
    <m/>
    <m/>
    <n v="0"/>
    <m/>
    <m/>
    <n v="0"/>
    <m/>
    <m/>
    <m/>
    <m/>
    <m/>
    <m/>
    <n v="6075010"/>
    <n v="6119611"/>
  </r>
  <r>
    <x v="15"/>
    <x v="8"/>
    <s v="Special Line items for education operations"/>
    <m/>
    <n v="445674"/>
    <x v="8"/>
    <m/>
    <m/>
    <m/>
    <m/>
    <m/>
    <m/>
    <m/>
    <m/>
    <n v="0"/>
    <m/>
    <m/>
    <n v="0"/>
    <n v="0"/>
    <n v="0"/>
    <m/>
    <m/>
    <m/>
    <m/>
    <n v="0"/>
    <m/>
    <m/>
    <n v="0"/>
    <m/>
    <m/>
    <m/>
    <m/>
    <m/>
    <m/>
    <n v="0"/>
    <n v="0"/>
  </r>
  <r>
    <x v="15"/>
    <x v="0"/>
    <s v="Eastern West Virginia Community &amp; Technical College"/>
    <m/>
    <n v="438708"/>
    <x v="8"/>
    <n v="2094052"/>
    <n v="2100509"/>
    <m/>
    <m/>
    <m/>
    <m/>
    <n v="1363546"/>
    <m/>
    <n v="1363546"/>
    <n v="1513400"/>
    <m/>
    <n v="1513400"/>
    <n v="3457598"/>
    <n v="3613909"/>
    <m/>
    <m/>
    <m/>
    <m/>
    <n v="0"/>
    <m/>
    <m/>
    <n v="0"/>
    <m/>
    <m/>
    <m/>
    <m/>
    <m/>
    <m/>
    <n v="3457598"/>
    <n v="3613909"/>
  </r>
  <r>
    <x v="15"/>
    <x v="8"/>
    <s v="Special Line items for education operations"/>
    <m/>
    <n v="438708"/>
    <x v="8"/>
    <m/>
    <m/>
    <m/>
    <m/>
    <m/>
    <m/>
    <m/>
    <m/>
    <n v="0"/>
    <m/>
    <m/>
    <n v="0"/>
    <n v="0"/>
    <n v="0"/>
    <m/>
    <m/>
    <m/>
    <m/>
    <n v="0"/>
    <m/>
    <m/>
    <n v="0"/>
    <m/>
    <m/>
    <m/>
    <m/>
    <m/>
    <m/>
    <n v="0"/>
    <n v="0"/>
  </r>
  <r>
    <x v="15"/>
    <x v="0"/>
    <s v="Kanawha Valley Community &amp; Technical College"/>
    <m/>
    <n v="237899"/>
    <x v="8"/>
    <n v="4112421"/>
    <n v="4125664"/>
    <m/>
    <m/>
    <m/>
    <m/>
    <n v="4334941"/>
    <n v="59338"/>
    <n v="4394279"/>
    <n v="4605636"/>
    <n v="8357"/>
    <n v="4613993"/>
    <n v="8447362"/>
    <n v="8731300"/>
    <m/>
    <m/>
    <m/>
    <m/>
    <n v="0"/>
    <m/>
    <m/>
    <n v="0"/>
    <m/>
    <m/>
    <m/>
    <m/>
    <m/>
    <m/>
    <n v="8447362"/>
    <n v="8731300"/>
  </r>
  <r>
    <x v="15"/>
    <x v="8"/>
    <s v="Special Line items for education operations"/>
    <m/>
    <n v="237899"/>
    <x v="8"/>
    <m/>
    <m/>
    <m/>
    <m/>
    <m/>
    <m/>
    <m/>
    <m/>
    <n v="0"/>
    <m/>
    <m/>
    <n v="0"/>
    <n v="0"/>
    <n v="0"/>
    <m/>
    <m/>
    <m/>
    <m/>
    <n v="0"/>
    <m/>
    <m/>
    <n v="0"/>
    <m/>
    <m/>
    <m/>
    <m/>
    <m/>
    <m/>
    <n v="0"/>
    <n v="0"/>
  </r>
  <r>
    <x v="15"/>
    <x v="0"/>
    <s v="Mountwest Community &amp; Technical College"/>
    <m/>
    <n v="444954"/>
    <x v="8"/>
    <n v="6020983"/>
    <n v="6352577"/>
    <m/>
    <m/>
    <m/>
    <m/>
    <n v="7040158"/>
    <n v="434757"/>
    <n v="7474915"/>
    <n v="7499470"/>
    <n v="218380"/>
    <n v="7717850"/>
    <n v="13061141"/>
    <n v="13852047"/>
    <m/>
    <m/>
    <m/>
    <m/>
    <n v="0"/>
    <m/>
    <m/>
    <n v="0"/>
    <m/>
    <m/>
    <m/>
    <m/>
    <m/>
    <m/>
    <n v="13061141"/>
    <n v="13852047"/>
  </r>
  <r>
    <x v="15"/>
    <x v="8"/>
    <s v="Special Line items for education operations"/>
    <m/>
    <n v="444954"/>
    <x v="8"/>
    <m/>
    <m/>
    <m/>
    <m/>
    <m/>
    <m/>
    <m/>
    <m/>
    <n v="0"/>
    <m/>
    <m/>
    <n v="0"/>
    <n v="0"/>
    <n v="0"/>
    <m/>
    <m/>
    <m/>
    <m/>
    <n v="0"/>
    <m/>
    <m/>
    <n v="0"/>
    <m/>
    <m/>
    <m/>
    <m/>
    <m/>
    <m/>
    <n v="0"/>
    <n v="0"/>
  </r>
  <r>
    <x v="15"/>
    <x v="0"/>
    <s v="Southern West Virginia Community &amp; Technical College "/>
    <m/>
    <n v="237817"/>
    <x v="8"/>
    <n v="8781588"/>
    <n v="8748731"/>
    <m/>
    <m/>
    <m/>
    <m/>
    <n v="5563671"/>
    <m/>
    <n v="5563671"/>
    <n v="6085543"/>
    <m/>
    <n v="6085543"/>
    <n v="14345259"/>
    <n v="14834274"/>
    <m/>
    <m/>
    <m/>
    <m/>
    <n v="0"/>
    <m/>
    <m/>
    <n v="0"/>
    <m/>
    <m/>
    <m/>
    <m/>
    <m/>
    <m/>
    <n v="14345259"/>
    <n v="14834274"/>
  </r>
  <r>
    <x v="15"/>
    <x v="8"/>
    <s v="Special Line items for education operations"/>
    <m/>
    <n v="237817"/>
    <x v="8"/>
    <m/>
    <m/>
    <n v="480000"/>
    <n v="480000"/>
    <m/>
    <m/>
    <m/>
    <m/>
    <n v="0"/>
    <m/>
    <m/>
    <n v="0"/>
    <n v="480000"/>
    <n v="480000"/>
    <m/>
    <m/>
    <m/>
    <m/>
    <n v="0"/>
    <m/>
    <m/>
    <n v="0"/>
    <m/>
    <m/>
    <m/>
    <m/>
    <m/>
    <m/>
    <n v="480000"/>
    <n v="480000"/>
  </r>
  <r>
    <x v="15"/>
    <x v="41"/>
    <s v="West Virginia School of Osteopathic Medicine"/>
    <m/>
    <n v="237880"/>
    <x v="11"/>
    <m/>
    <m/>
    <m/>
    <m/>
    <m/>
    <m/>
    <m/>
    <m/>
    <n v="0"/>
    <s v=" "/>
    <m/>
    <n v="0"/>
    <n v="0"/>
    <n v="0"/>
    <m/>
    <m/>
    <m/>
    <m/>
    <n v="0"/>
    <m/>
    <m/>
    <n v="0"/>
    <n v="7555531"/>
    <n v="7978095"/>
    <n v="32761617"/>
    <m/>
    <n v="32851617"/>
    <m/>
    <n v="40317148"/>
    <n v="40829712"/>
  </r>
  <r>
    <x v="15"/>
    <x v="8"/>
    <s v="Special Line items for education operations"/>
    <m/>
    <n v="237880"/>
    <x v="11"/>
    <m/>
    <m/>
    <m/>
    <m/>
    <m/>
    <m/>
    <m/>
    <m/>
    <n v="0"/>
    <m/>
    <m/>
    <n v="0"/>
    <n v="0"/>
    <n v="0"/>
    <m/>
    <m/>
    <m/>
    <m/>
    <n v="0"/>
    <m/>
    <m/>
    <n v="0"/>
    <m/>
    <m/>
    <m/>
    <m/>
    <m/>
    <m/>
    <n v="0"/>
    <n v="0"/>
  </r>
  <r>
    <x v="15"/>
    <x v="8"/>
    <s v="BRIM insurance subsidy"/>
    <m/>
    <n v="237880"/>
    <x v="11"/>
    <m/>
    <m/>
    <m/>
    <m/>
    <m/>
    <m/>
    <m/>
    <m/>
    <n v="0"/>
    <m/>
    <m/>
    <n v="0"/>
    <n v="0"/>
    <n v="0"/>
    <m/>
    <m/>
    <m/>
    <m/>
    <n v="0"/>
    <m/>
    <m/>
    <n v="0"/>
    <n v="174475"/>
    <n v="174476"/>
    <m/>
    <m/>
    <m/>
    <m/>
    <n v="174475"/>
    <n v="174476"/>
  </r>
  <r>
    <x v="15"/>
    <x v="10"/>
    <s v="Statewide Special-Purpose Units"/>
    <m/>
    <m/>
    <x v="12"/>
    <m/>
    <m/>
    <m/>
    <m/>
    <m/>
    <m/>
    <m/>
    <m/>
    <n v="0"/>
    <m/>
    <m/>
    <n v="0"/>
    <n v="0"/>
    <n v="0"/>
    <m/>
    <m/>
    <m/>
    <m/>
    <n v="0"/>
    <m/>
    <m/>
    <n v="0"/>
    <m/>
    <m/>
    <m/>
    <m/>
    <m/>
    <m/>
    <n v="0"/>
    <n v="0"/>
  </r>
  <r>
    <x v="15"/>
    <x v="42"/>
    <s v="Community or public service units"/>
    <m/>
    <m/>
    <x v="12"/>
    <m/>
    <m/>
    <m/>
    <m/>
    <m/>
    <m/>
    <m/>
    <m/>
    <n v="0"/>
    <m/>
    <m/>
    <n v="0"/>
    <n v="0"/>
    <n v="0"/>
    <m/>
    <m/>
    <m/>
    <m/>
    <n v="0"/>
    <m/>
    <m/>
    <n v="0"/>
    <m/>
    <m/>
    <m/>
    <m/>
    <m/>
    <m/>
    <n v="0"/>
    <n v="0"/>
  </r>
  <r>
    <x v="15"/>
    <x v="42"/>
    <s v="Rural Health Initiative"/>
    <m/>
    <m/>
    <x v="12"/>
    <m/>
    <m/>
    <m/>
    <m/>
    <m/>
    <m/>
    <m/>
    <m/>
    <n v="0"/>
    <m/>
    <m/>
    <n v="0"/>
    <n v="0"/>
    <n v="0"/>
    <n v="2844993"/>
    <n v="2819700"/>
    <m/>
    <m/>
    <n v="0"/>
    <m/>
    <m/>
    <n v="0"/>
    <m/>
    <m/>
    <m/>
    <m/>
    <m/>
    <m/>
    <n v="2844993"/>
    <n v="2819700"/>
  </r>
  <r>
    <x v="15"/>
    <x v="42"/>
    <s v="RHI Program and Site Support - Gradutate Medical Education Fiscal Oversight"/>
    <m/>
    <m/>
    <x v="12"/>
    <m/>
    <m/>
    <m/>
    <m/>
    <m/>
    <m/>
    <m/>
    <m/>
    <n v="0"/>
    <m/>
    <m/>
    <n v="0"/>
    <n v="0"/>
    <n v="0"/>
    <n v="98709"/>
    <n v="98709"/>
    <m/>
    <m/>
    <n v="0"/>
    <m/>
    <m/>
    <n v="0"/>
    <m/>
    <m/>
    <m/>
    <m/>
    <m/>
    <m/>
    <n v="98709"/>
    <n v="98709"/>
  </r>
  <r>
    <x v="15"/>
    <x v="42"/>
    <s v="RHI Program and Site Support - District Consortia"/>
    <m/>
    <m/>
    <x v="12"/>
    <m/>
    <m/>
    <m/>
    <m/>
    <m/>
    <m/>
    <m/>
    <m/>
    <n v="0"/>
    <m/>
    <m/>
    <n v="0"/>
    <n v="0"/>
    <n v="0"/>
    <n v="2383200"/>
    <n v="2416972"/>
    <m/>
    <m/>
    <n v="0"/>
    <m/>
    <m/>
    <n v="0"/>
    <m/>
    <m/>
    <m/>
    <m/>
    <m/>
    <m/>
    <n v="2383200"/>
    <n v="2416972"/>
  </r>
  <r>
    <x v="15"/>
    <x v="44"/>
    <s v="Vice Chancellor for Health Sciences/Rural Health Program Support"/>
    <m/>
    <m/>
    <x v="12"/>
    <m/>
    <m/>
    <m/>
    <m/>
    <m/>
    <m/>
    <m/>
    <m/>
    <n v="0"/>
    <m/>
    <m/>
    <n v="0"/>
    <n v="0"/>
    <n v="0"/>
    <n v="267532"/>
    <n v="267882"/>
    <m/>
    <m/>
    <n v="0"/>
    <m/>
    <m/>
    <n v="0"/>
    <m/>
    <m/>
    <m/>
    <m/>
    <m/>
    <m/>
    <n v="267532"/>
    <n v="267882"/>
  </r>
  <r>
    <x v="15"/>
    <x v="13"/>
    <s v="Educational special purpose funds — all other"/>
    <m/>
    <m/>
    <x v="12"/>
    <m/>
    <m/>
    <m/>
    <m/>
    <m/>
    <m/>
    <m/>
    <m/>
    <n v="0"/>
    <m/>
    <m/>
    <n v="0"/>
    <n v="0"/>
    <n v="0"/>
    <m/>
    <m/>
    <m/>
    <m/>
    <n v="0"/>
    <m/>
    <m/>
    <n v="0"/>
    <m/>
    <m/>
    <m/>
    <m/>
    <m/>
    <m/>
    <n v="0"/>
    <n v="0"/>
  </r>
  <r>
    <x v="15"/>
    <x v="13"/>
    <s v="College Transition Program"/>
    <m/>
    <m/>
    <x v="12"/>
    <m/>
    <m/>
    <n v="333500"/>
    <n v="333500"/>
    <m/>
    <m/>
    <m/>
    <m/>
    <n v="0"/>
    <m/>
    <m/>
    <n v="0"/>
    <n v="333500"/>
    <n v="333500"/>
    <m/>
    <m/>
    <m/>
    <m/>
    <n v="0"/>
    <m/>
    <m/>
    <n v="0"/>
    <m/>
    <m/>
    <m/>
    <m/>
    <m/>
    <m/>
    <n v="333500"/>
    <n v="333500"/>
  </r>
  <r>
    <x v="15"/>
    <x v="13"/>
    <s v="Transit Training Partnership"/>
    <m/>
    <m/>
    <x v="12"/>
    <m/>
    <m/>
    <m/>
    <m/>
    <m/>
    <m/>
    <m/>
    <m/>
    <n v="0"/>
    <m/>
    <m/>
    <n v="0"/>
    <n v="0"/>
    <n v="0"/>
    <m/>
    <n v="80000"/>
    <m/>
    <m/>
    <n v="0"/>
    <m/>
    <m/>
    <n v="0"/>
    <m/>
    <m/>
    <m/>
    <m/>
    <m/>
    <m/>
    <n v="0"/>
    <n v="80000"/>
  </r>
  <r>
    <x v="15"/>
    <x v="13"/>
    <s v="WV Advanced Workforce Development &amp; Technical  Programs"/>
    <m/>
    <m/>
    <x v="12"/>
    <m/>
    <m/>
    <m/>
    <m/>
    <m/>
    <m/>
    <m/>
    <m/>
    <n v="0"/>
    <m/>
    <m/>
    <n v="0"/>
    <n v="0"/>
    <n v="0"/>
    <n v="6823120"/>
    <n v="6823120"/>
    <m/>
    <m/>
    <n v="0"/>
    <m/>
    <m/>
    <n v="0"/>
    <m/>
    <m/>
    <m/>
    <m/>
    <m/>
    <m/>
    <n v="6823120"/>
    <n v="6823120"/>
  </r>
  <r>
    <x v="15"/>
    <x v="14"/>
    <s v="Statewide System Operations"/>
    <m/>
    <m/>
    <x v="12"/>
    <m/>
    <m/>
    <m/>
    <m/>
    <m/>
    <m/>
    <m/>
    <m/>
    <n v="0"/>
    <m/>
    <m/>
    <n v="0"/>
    <n v="0"/>
    <n v="0"/>
    <m/>
    <m/>
    <m/>
    <m/>
    <n v="0"/>
    <m/>
    <m/>
    <n v="0"/>
    <m/>
    <m/>
    <m/>
    <m/>
    <m/>
    <m/>
    <n v="0"/>
    <n v="0"/>
  </r>
  <r>
    <x v="15"/>
    <x v="15"/>
    <s v="Colleges and universities"/>
    <m/>
    <m/>
    <x v="12"/>
    <m/>
    <m/>
    <m/>
    <m/>
    <m/>
    <m/>
    <m/>
    <m/>
    <n v="0"/>
    <m/>
    <m/>
    <n v="0"/>
    <n v="0"/>
    <n v="0"/>
    <m/>
    <m/>
    <m/>
    <m/>
    <n v="0"/>
    <m/>
    <m/>
    <n v="0"/>
    <m/>
    <m/>
    <m/>
    <m/>
    <m/>
    <m/>
    <n v="0"/>
    <n v="0"/>
  </r>
  <r>
    <x v="15"/>
    <x v="15"/>
    <s v="Higher Education Policy Commission"/>
    <m/>
    <m/>
    <x v="12"/>
    <m/>
    <m/>
    <m/>
    <m/>
    <m/>
    <m/>
    <m/>
    <m/>
    <n v="0"/>
    <m/>
    <m/>
    <n v="0"/>
    <n v="0"/>
    <n v="0"/>
    <n v="3105885"/>
    <n v="3110997"/>
    <m/>
    <m/>
    <n v="0"/>
    <m/>
    <m/>
    <n v="0"/>
    <m/>
    <m/>
    <m/>
    <m/>
    <m/>
    <m/>
    <n v="3105885"/>
    <n v="3110997"/>
  </r>
  <r>
    <x v="15"/>
    <x v="15"/>
    <s v="WV Network for Education Telecommunications Computer Center"/>
    <m/>
    <m/>
    <x v="12"/>
    <m/>
    <m/>
    <m/>
    <m/>
    <m/>
    <m/>
    <m/>
    <m/>
    <n v="0"/>
    <m/>
    <m/>
    <n v="0"/>
    <n v="0"/>
    <n v="0"/>
    <n v="1941501"/>
    <n v="1948443"/>
    <m/>
    <m/>
    <n v="0"/>
    <m/>
    <m/>
    <n v="0"/>
    <m/>
    <m/>
    <m/>
    <m/>
    <m/>
    <m/>
    <n v="1941501"/>
    <n v="1948443"/>
  </r>
  <r>
    <x v="15"/>
    <x v="16"/>
    <s v="Two-year system(s), if any"/>
    <m/>
    <m/>
    <x v="12"/>
    <m/>
    <m/>
    <m/>
    <m/>
    <m/>
    <m/>
    <m/>
    <m/>
    <n v="0"/>
    <m/>
    <m/>
    <n v="0"/>
    <n v="0"/>
    <n v="0"/>
    <m/>
    <m/>
    <m/>
    <m/>
    <n v="0"/>
    <m/>
    <m/>
    <n v="0"/>
    <m/>
    <m/>
    <m/>
    <m/>
    <m/>
    <m/>
    <n v="0"/>
    <n v="0"/>
  </r>
  <r>
    <x v="15"/>
    <x v="16"/>
    <s v="WV Council for Community &amp; Technical Education"/>
    <m/>
    <m/>
    <x v="12"/>
    <m/>
    <m/>
    <m/>
    <m/>
    <m/>
    <m/>
    <m/>
    <m/>
    <n v="0"/>
    <m/>
    <m/>
    <n v="0"/>
    <n v="0"/>
    <n v="0"/>
    <n v="862294"/>
    <n v="863576"/>
    <m/>
    <m/>
    <n v="0"/>
    <m/>
    <m/>
    <n v="0"/>
    <m/>
    <m/>
    <m/>
    <m/>
    <m/>
    <m/>
    <n v="862294"/>
    <n v="863576"/>
  </r>
  <r>
    <x v="15"/>
    <x v="17"/>
    <s v="National or regional associations, compacts or consortia"/>
    <m/>
    <m/>
    <x v="12"/>
    <m/>
    <m/>
    <m/>
    <m/>
    <m/>
    <m/>
    <m/>
    <m/>
    <n v="0"/>
    <m/>
    <m/>
    <n v="0"/>
    <n v="0"/>
    <n v="0"/>
    <m/>
    <m/>
    <m/>
    <m/>
    <n v="0"/>
    <m/>
    <m/>
    <n v="0"/>
    <m/>
    <m/>
    <m/>
    <m/>
    <m/>
    <m/>
    <n v="0"/>
    <n v="0"/>
  </r>
  <r>
    <x v="15"/>
    <x v="18"/>
    <s v="Adm. of Statewide Student Aid Progs. (incldng centralized guaranteed student loans)"/>
    <m/>
    <m/>
    <x v="12"/>
    <m/>
    <m/>
    <m/>
    <m/>
    <m/>
    <m/>
    <m/>
    <m/>
    <n v="0"/>
    <m/>
    <m/>
    <n v="0"/>
    <n v="0"/>
    <n v="0"/>
    <n v="1417067"/>
    <n v="1544258"/>
    <m/>
    <m/>
    <n v="0"/>
    <m/>
    <m/>
    <n v="0"/>
    <m/>
    <m/>
    <m/>
    <m/>
    <m/>
    <m/>
    <n v="1417067"/>
    <n v="1544258"/>
  </r>
  <r>
    <x v="15"/>
    <x v="19"/>
    <s v="State Support to Private Colleges Other Than Student Aid"/>
    <m/>
    <m/>
    <x v="12"/>
    <m/>
    <m/>
    <m/>
    <m/>
    <m/>
    <m/>
    <m/>
    <m/>
    <n v="0"/>
    <m/>
    <m/>
    <n v="0"/>
    <n v="0"/>
    <n v="0"/>
    <m/>
    <m/>
    <m/>
    <m/>
    <n v="0"/>
    <m/>
    <m/>
    <n v="0"/>
    <m/>
    <m/>
    <m/>
    <m/>
    <m/>
    <m/>
    <n v="0"/>
    <n v="0"/>
  </r>
  <r>
    <x v="15"/>
    <x v="20"/>
    <s v="Contract Education Programs"/>
    <m/>
    <m/>
    <x v="12"/>
    <m/>
    <m/>
    <m/>
    <m/>
    <m/>
    <m/>
    <m/>
    <m/>
    <n v="0"/>
    <m/>
    <m/>
    <n v="0"/>
    <n v="0"/>
    <n v="0"/>
    <m/>
    <m/>
    <m/>
    <m/>
    <n v="0"/>
    <m/>
    <m/>
    <n v="0"/>
    <m/>
    <m/>
    <m/>
    <m/>
    <m/>
    <m/>
    <n v="0"/>
    <n v="0"/>
  </r>
  <r>
    <x v="15"/>
    <x v="21"/>
    <s v="SREB contract program with private colleges"/>
    <m/>
    <m/>
    <x v="12"/>
    <m/>
    <m/>
    <m/>
    <m/>
    <m/>
    <m/>
    <m/>
    <m/>
    <n v="0"/>
    <m/>
    <m/>
    <n v="0"/>
    <n v="0"/>
    <n v="0"/>
    <m/>
    <m/>
    <m/>
    <m/>
    <n v="0"/>
    <m/>
    <m/>
    <n v="0"/>
    <m/>
    <m/>
    <m/>
    <m/>
    <m/>
    <m/>
    <n v="0"/>
    <n v="0"/>
  </r>
  <r>
    <x v="15"/>
    <x v="21"/>
    <s v="Ohio College of Podiatric Medicine"/>
    <m/>
    <m/>
    <x v="12"/>
    <m/>
    <m/>
    <m/>
    <m/>
    <m/>
    <m/>
    <m/>
    <m/>
    <n v="0"/>
    <m/>
    <m/>
    <n v="0"/>
    <n v="0"/>
    <n v="0"/>
    <n v="21188"/>
    <n v="19831"/>
    <m/>
    <m/>
    <n v="0"/>
    <m/>
    <m/>
    <n v="0"/>
    <m/>
    <m/>
    <m/>
    <m/>
    <m/>
    <m/>
    <n v="21188"/>
    <n v="19831"/>
  </r>
  <r>
    <x v="15"/>
    <x v="21"/>
    <s v="Tuskegee University (Veterinary Medicine)"/>
    <m/>
    <m/>
    <x v="12"/>
    <m/>
    <m/>
    <m/>
    <m/>
    <m/>
    <m/>
    <m/>
    <m/>
    <n v="0"/>
    <m/>
    <m/>
    <n v="0"/>
    <n v="0"/>
    <n v="0"/>
    <n v="54051"/>
    <m/>
    <m/>
    <m/>
    <n v="0"/>
    <m/>
    <m/>
    <n v="0"/>
    <m/>
    <m/>
    <m/>
    <m/>
    <m/>
    <m/>
    <n v="54051"/>
    <n v="0"/>
  </r>
  <r>
    <x v="15"/>
    <x v="21"/>
    <s v="Southern College of Optometry"/>
    <m/>
    <m/>
    <x v="12"/>
    <m/>
    <m/>
    <m/>
    <m/>
    <m/>
    <m/>
    <m/>
    <m/>
    <n v="0"/>
    <m/>
    <m/>
    <n v="0"/>
    <n v="0"/>
    <n v="0"/>
    <n v="61835"/>
    <n v="101702"/>
    <m/>
    <m/>
    <n v="0"/>
    <m/>
    <m/>
    <n v="0"/>
    <m/>
    <m/>
    <m/>
    <m/>
    <m/>
    <m/>
    <n v="61835"/>
    <n v="101702"/>
  </r>
  <r>
    <x v="15"/>
    <x v="22"/>
    <s v="SREB contract program with public colleges"/>
    <m/>
    <m/>
    <x v="12"/>
    <m/>
    <m/>
    <m/>
    <m/>
    <m/>
    <m/>
    <m/>
    <m/>
    <n v="0"/>
    <m/>
    <m/>
    <n v="0"/>
    <n v="0"/>
    <n v="0"/>
    <m/>
    <m/>
    <m/>
    <m/>
    <n v="0"/>
    <m/>
    <m/>
    <n v="0"/>
    <m/>
    <m/>
    <m/>
    <m/>
    <m/>
    <m/>
    <n v="0"/>
    <n v="0"/>
  </r>
  <r>
    <x v="15"/>
    <x v="22"/>
    <s v="University of Georgia (Veterinary Medicine)"/>
    <m/>
    <m/>
    <x v="12"/>
    <m/>
    <m/>
    <m/>
    <m/>
    <m/>
    <m/>
    <m/>
    <m/>
    <n v="0"/>
    <m/>
    <m/>
    <n v="0"/>
    <n v="0"/>
    <n v="0"/>
    <n v="621595"/>
    <n v="405235"/>
    <m/>
    <m/>
    <n v="0"/>
    <m/>
    <m/>
    <n v="0"/>
    <m/>
    <m/>
    <m/>
    <m/>
    <m/>
    <m/>
    <n v="621595"/>
    <n v="405235"/>
  </r>
  <r>
    <x v="15"/>
    <x v="22"/>
    <s v="Auburn University"/>
    <m/>
    <m/>
    <x v="12"/>
    <m/>
    <m/>
    <m/>
    <m/>
    <m/>
    <m/>
    <m/>
    <m/>
    <n v="0"/>
    <m/>
    <m/>
    <n v="0"/>
    <n v="0"/>
    <n v="0"/>
    <n v="162155"/>
    <n v="202618"/>
    <m/>
    <m/>
    <n v="0"/>
    <m/>
    <m/>
    <n v="0"/>
    <m/>
    <m/>
    <m/>
    <m/>
    <m/>
    <m/>
    <n v="162155"/>
    <n v="202618"/>
  </r>
  <r>
    <x v="15"/>
    <x v="22"/>
    <s v="Mississippi State University"/>
    <m/>
    <m/>
    <x v="12"/>
    <m/>
    <m/>
    <m/>
    <m/>
    <m/>
    <m/>
    <m/>
    <m/>
    <n v="0"/>
    <m/>
    <m/>
    <n v="0"/>
    <n v="0"/>
    <n v="0"/>
    <n v="405388"/>
    <n v="506544"/>
    <m/>
    <m/>
    <n v="0"/>
    <m/>
    <m/>
    <n v="0"/>
    <m/>
    <m/>
    <m/>
    <m/>
    <m/>
    <m/>
    <n v="405388"/>
    <n v="506544"/>
  </r>
  <r>
    <x v="15"/>
    <x v="22"/>
    <s v="UAB Birmingham (IL)"/>
    <m/>
    <m/>
    <x v="12"/>
    <m/>
    <m/>
    <m/>
    <m/>
    <m/>
    <m/>
    <m/>
    <m/>
    <n v="0"/>
    <m/>
    <m/>
    <n v="0"/>
    <n v="0"/>
    <n v="0"/>
    <n v="30918"/>
    <n v="14529"/>
    <m/>
    <m/>
    <n v="0"/>
    <m/>
    <m/>
    <n v="0"/>
    <m/>
    <m/>
    <m/>
    <m/>
    <m/>
    <m/>
    <n v="30918"/>
    <n v="14529"/>
  </r>
  <r>
    <x v="15"/>
    <x v="23"/>
    <s v="Other contract education programs"/>
    <m/>
    <m/>
    <x v="12"/>
    <m/>
    <m/>
    <m/>
    <m/>
    <m/>
    <m/>
    <m/>
    <m/>
    <n v="0"/>
    <m/>
    <m/>
    <n v="0"/>
    <n v="0"/>
    <n v="0"/>
    <n v="88860"/>
    <n v="195549"/>
    <m/>
    <m/>
    <n v="0"/>
    <m/>
    <m/>
    <n v="0"/>
    <m/>
    <m/>
    <m/>
    <m/>
    <m/>
    <m/>
    <n v="88860"/>
    <n v="195549"/>
  </r>
  <r>
    <x v="15"/>
    <x v="24"/>
    <s v="Statewide Student Financial Aid Programs Administered Off Campus"/>
    <m/>
    <m/>
    <x v="12"/>
    <m/>
    <m/>
    <m/>
    <m/>
    <m/>
    <m/>
    <m/>
    <m/>
    <n v="0"/>
    <m/>
    <m/>
    <n v="0"/>
    <n v="0"/>
    <n v="0"/>
    <m/>
    <m/>
    <m/>
    <m/>
    <n v="0"/>
    <m/>
    <m/>
    <n v="0"/>
    <m/>
    <m/>
    <m/>
    <m/>
    <m/>
    <m/>
    <n v="0"/>
    <n v="0"/>
  </r>
  <r>
    <x v="15"/>
    <x v="25"/>
    <s v="Available to public &amp; private sector students"/>
    <m/>
    <m/>
    <x v="12"/>
    <m/>
    <m/>
    <m/>
    <m/>
    <m/>
    <m/>
    <m/>
    <m/>
    <n v="0"/>
    <m/>
    <m/>
    <n v="0"/>
    <n v="0"/>
    <n v="0"/>
    <m/>
    <m/>
    <m/>
    <m/>
    <n v="0"/>
    <m/>
    <m/>
    <n v="0"/>
    <m/>
    <m/>
    <m/>
    <m/>
    <m/>
    <m/>
    <n v="0"/>
    <n v="0"/>
  </r>
  <r>
    <x v="15"/>
    <x v="25"/>
    <s v="Higher Education Grant Program"/>
    <m/>
    <m/>
    <x v="12"/>
    <m/>
    <m/>
    <m/>
    <m/>
    <m/>
    <m/>
    <m/>
    <m/>
    <n v="0"/>
    <m/>
    <m/>
    <n v="0"/>
    <n v="0"/>
    <n v="0"/>
    <m/>
    <m/>
    <m/>
    <m/>
    <n v="0"/>
    <m/>
    <m/>
    <n v="0"/>
    <m/>
    <m/>
    <m/>
    <m/>
    <m/>
    <m/>
    <n v="0"/>
    <n v="0"/>
  </r>
  <r>
    <x v="15"/>
    <x v="28"/>
    <s v="Amount to public sector students"/>
    <m/>
    <m/>
    <x v="12"/>
    <m/>
    <m/>
    <m/>
    <m/>
    <m/>
    <m/>
    <m/>
    <m/>
    <n v="0"/>
    <m/>
    <m/>
    <n v="0"/>
    <n v="0"/>
    <n v="0"/>
    <m/>
    <m/>
    <m/>
    <m/>
    <n v="0"/>
    <m/>
    <m/>
    <n v="0"/>
    <m/>
    <m/>
    <m/>
    <m/>
    <m/>
    <m/>
    <n v="0"/>
    <n v="0"/>
  </r>
  <r>
    <x v="15"/>
    <x v="29"/>
    <s v="Need-based"/>
    <m/>
    <m/>
    <x v="12"/>
    <m/>
    <m/>
    <m/>
    <m/>
    <m/>
    <m/>
    <m/>
    <m/>
    <n v="0"/>
    <m/>
    <m/>
    <n v="0"/>
    <n v="0"/>
    <n v="0"/>
    <n v="32338634"/>
    <n v="33365503"/>
    <m/>
    <m/>
    <n v="0"/>
    <m/>
    <m/>
    <n v="0"/>
    <m/>
    <m/>
    <m/>
    <m/>
    <m/>
    <m/>
    <n v="32338634"/>
    <n v="33365503"/>
  </r>
  <r>
    <x v="15"/>
    <x v="30"/>
    <s v="Non need-based"/>
    <m/>
    <m/>
    <x v="12"/>
    <m/>
    <m/>
    <m/>
    <m/>
    <m/>
    <m/>
    <m/>
    <m/>
    <n v="0"/>
    <m/>
    <m/>
    <n v="0"/>
    <n v="0"/>
    <n v="0"/>
    <m/>
    <m/>
    <m/>
    <m/>
    <n v="0"/>
    <m/>
    <m/>
    <n v="0"/>
    <m/>
    <m/>
    <m/>
    <m/>
    <m/>
    <m/>
    <n v="0"/>
    <n v="0"/>
  </r>
  <r>
    <x v="15"/>
    <x v="31"/>
    <s v="Amount to private sector students"/>
    <m/>
    <m/>
    <x v="12"/>
    <m/>
    <m/>
    <m/>
    <m/>
    <m/>
    <m/>
    <m/>
    <m/>
    <n v="0"/>
    <m/>
    <m/>
    <n v="0"/>
    <n v="0"/>
    <n v="0"/>
    <m/>
    <m/>
    <m/>
    <m/>
    <n v="0"/>
    <m/>
    <m/>
    <n v="0"/>
    <m/>
    <m/>
    <m/>
    <m/>
    <m/>
    <m/>
    <n v="0"/>
    <n v="0"/>
  </r>
  <r>
    <x v="15"/>
    <x v="32"/>
    <s v="Need-based"/>
    <m/>
    <m/>
    <x v="12"/>
    <m/>
    <m/>
    <m/>
    <m/>
    <m/>
    <m/>
    <m/>
    <m/>
    <n v="0"/>
    <m/>
    <m/>
    <n v="0"/>
    <n v="0"/>
    <n v="0"/>
    <n v="5935502"/>
    <n v="4838293"/>
    <m/>
    <m/>
    <n v="0"/>
    <m/>
    <m/>
    <n v="0"/>
    <m/>
    <m/>
    <m/>
    <m/>
    <m/>
    <m/>
    <n v="5935502"/>
    <n v="4838293"/>
  </r>
  <r>
    <x v="15"/>
    <x v="33"/>
    <s v="Non need-based"/>
    <m/>
    <m/>
    <x v="12"/>
    <m/>
    <m/>
    <m/>
    <m/>
    <m/>
    <m/>
    <m/>
    <m/>
    <n v="0"/>
    <m/>
    <m/>
    <n v="0"/>
    <n v="0"/>
    <n v="0"/>
    <m/>
    <m/>
    <m/>
    <m/>
    <n v="0"/>
    <m/>
    <m/>
    <n v="0"/>
    <m/>
    <m/>
    <m/>
    <m/>
    <m/>
    <m/>
    <n v="0"/>
    <n v="0"/>
  </r>
  <r>
    <x v="15"/>
    <x v="25"/>
    <s v="PROMISE Scholarship"/>
    <m/>
    <m/>
    <x v="12"/>
    <m/>
    <m/>
    <m/>
    <m/>
    <m/>
    <m/>
    <m/>
    <m/>
    <n v="0"/>
    <m/>
    <m/>
    <n v="0"/>
    <n v="0"/>
    <n v="0"/>
    <m/>
    <m/>
    <m/>
    <m/>
    <n v="0"/>
    <m/>
    <m/>
    <n v="0"/>
    <m/>
    <m/>
    <m/>
    <m/>
    <m/>
    <m/>
    <n v="0"/>
    <n v="0"/>
  </r>
  <r>
    <x v="15"/>
    <x v="28"/>
    <s v="Amount to public sector students"/>
    <m/>
    <m/>
    <x v="12"/>
    <m/>
    <m/>
    <m/>
    <m/>
    <m/>
    <m/>
    <m/>
    <m/>
    <n v="0"/>
    <m/>
    <m/>
    <n v="0"/>
    <n v="0"/>
    <n v="0"/>
    <m/>
    <m/>
    <m/>
    <m/>
    <n v="0"/>
    <m/>
    <m/>
    <n v="0"/>
    <m/>
    <m/>
    <m/>
    <m/>
    <m/>
    <m/>
    <n v="0"/>
    <n v="0"/>
  </r>
  <r>
    <x v="15"/>
    <x v="29"/>
    <s v="Need-based"/>
    <m/>
    <m/>
    <x v="12"/>
    <m/>
    <m/>
    <m/>
    <m/>
    <m/>
    <m/>
    <m/>
    <m/>
    <n v="0"/>
    <m/>
    <m/>
    <n v="0"/>
    <n v="0"/>
    <n v="0"/>
    <m/>
    <m/>
    <m/>
    <m/>
    <n v="0"/>
    <m/>
    <m/>
    <n v="0"/>
    <m/>
    <m/>
    <m/>
    <m/>
    <m/>
    <m/>
    <n v="0"/>
    <n v="0"/>
  </r>
  <r>
    <x v="15"/>
    <x v="30"/>
    <s v="Non need-based"/>
    <m/>
    <m/>
    <x v="12"/>
    <m/>
    <m/>
    <m/>
    <m/>
    <m/>
    <m/>
    <m/>
    <m/>
    <n v="0"/>
    <m/>
    <m/>
    <n v="0"/>
    <n v="0"/>
    <n v="0"/>
    <n v="42415285"/>
    <n v="42442641"/>
    <m/>
    <m/>
    <n v="0"/>
    <m/>
    <m/>
    <n v="0"/>
    <m/>
    <m/>
    <m/>
    <m/>
    <m/>
    <m/>
    <n v="42415285"/>
    <n v="42442641"/>
  </r>
  <r>
    <x v="15"/>
    <x v="31"/>
    <s v="Amount to private sector students"/>
    <m/>
    <m/>
    <x v="12"/>
    <m/>
    <m/>
    <m/>
    <m/>
    <m/>
    <m/>
    <m/>
    <m/>
    <n v="0"/>
    <m/>
    <m/>
    <n v="0"/>
    <n v="0"/>
    <n v="0"/>
    <m/>
    <m/>
    <m/>
    <m/>
    <n v="0"/>
    <m/>
    <m/>
    <n v="0"/>
    <m/>
    <m/>
    <m/>
    <m/>
    <m/>
    <m/>
    <n v="0"/>
    <n v="0"/>
  </r>
  <r>
    <x v="15"/>
    <x v="32"/>
    <s v="Need-based"/>
    <m/>
    <m/>
    <x v="12"/>
    <m/>
    <m/>
    <m/>
    <m/>
    <m/>
    <m/>
    <m/>
    <m/>
    <n v="0"/>
    <m/>
    <m/>
    <n v="0"/>
    <n v="0"/>
    <n v="0"/>
    <m/>
    <m/>
    <m/>
    <m/>
    <n v="0"/>
    <m/>
    <m/>
    <n v="0"/>
    <m/>
    <m/>
    <m/>
    <m/>
    <m/>
    <m/>
    <n v="0"/>
    <n v="0"/>
  </r>
  <r>
    <x v="15"/>
    <x v="33"/>
    <s v="Non need-based"/>
    <m/>
    <m/>
    <x v="12"/>
    <m/>
    <m/>
    <m/>
    <m/>
    <m/>
    <m/>
    <m/>
    <m/>
    <n v="0"/>
    <m/>
    <m/>
    <n v="0"/>
    <n v="0"/>
    <n v="0"/>
    <n v="4601151"/>
    <n v="4529854"/>
    <m/>
    <m/>
    <n v="0"/>
    <m/>
    <m/>
    <n v="0"/>
    <m/>
    <m/>
    <m/>
    <m/>
    <m/>
    <m/>
    <n v="4601151"/>
    <n v="4529854"/>
  </r>
  <r>
    <x v="15"/>
    <x v="25"/>
    <s v="SREB Minority Doctoral Fellows Program"/>
    <m/>
    <m/>
    <x v="12"/>
    <m/>
    <m/>
    <m/>
    <m/>
    <m/>
    <m/>
    <m/>
    <m/>
    <n v="0"/>
    <m/>
    <m/>
    <n v="0"/>
    <n v="0"/>
    <n v="0"/>
    <m/>
    <m/>
    <m/>
    <m/>
    <n v="0"/>
    <m/>
    <m/>
    <n v="0"/>
    <m/>
    <m/>
    <m/>
    <m/>
    <m/>
    <m/>
    <n v="0"/>
    <n v="0"/>
  </r>
  <r>
    <x v="15"/>
    <x v="28"/>
    <s v="Amount to public sector students"/>
    <m/>
    <m/>
    <x v="12"/>
    <m/>
    <m/>
    <m/>
    <m/>
    <m/>
    <m/>
    <m/>
    <m/>
    <n v="0"/>
    <m/>
    <m/>
    <n v="0"/>
    <n v="0"/>
    <n v="0"/>
    <m/>
    <m/>
    <m/>
    <m/>
    <n v="0"/>
    <m/>
    <m/>
    <n v="0"/>
    <m/>
    <m/>
    <m/>
    <m/>
    <m/>
    <m/>
    <n v="0"/>
    <n v="0"/>
  </r>
  <r>
    <x v="15"/>
    <x v="29"/>
    <s v="Need-based"/>
    <m/>
    <m/>
    <x v="12"/>
    <m/>
    <m/>
    <m/>
    <m/>
    <m/>
    <m/>
    <m/>
    <m/>
    <n v="0"/>
    <m/>
    <m/>
    <n v="0"/>
    <n v="0"/>
    <n v="0"/>
    <n v="150000"/>
    <n v="150000"/>
    <m/>
    <m/>
    <n v="0"/>
    <m/>
    <m/>
    <n v="0"/>
    <m/>
    <m/>
    <m/>
    <m/>
    <m/>
    <m/>
    <n v="150000"/>
    <n v="150000"/>
  </r>
  <r>
    <x v="15"/>
    <x v="30"/>
    <s v="Non need-based"/>
    <m/>
    <m/>
    <x v="12"/>
    <m/>
    <m/>
    <m/>
    <m/>
    <m/>
    <m/>
    <m/>
    <m/>
    <n v="0"/>
    <m/>
    <m/>
    <n v="0"/>
    <n v="0"/>
    <n v="0"/>
    <m/>
    <m/>
    <m/>
    <m/>
    <n v="0"/>
    <m/>
    <m/>
    <n v="0"/>
    <m/>
    <m/>
    <m/>
    <m/>
    <m/>
    <m/>
    <n v="0"/>
    <n v="0"/>
  </r>
  <r>
    <x v="15"/>
    <x v="31"/>
    <s v="Amount to private sector students"/>
    <m/>
    <m/>
    <x v="12"/>
    <m/>
    <m/>
    <m/>
    <m/>
    <m/>
    <m/>
    <m/>
    <m/>
    <n v="0"/>
    <m/>
    <m/>
    <n v="0"/>
    <n v="0"/>
    <n v="0"/>
    <m/>
    <m/>
    <m/>
    <m/>
    <n v="0"/>
    <m/>
    <m/>
    <n v="0"/>
    <m/>
    <m/>
    <m/>
    <m/>
    <m/>
    <m/>
    <n v="0"/>
    <n v="0"/>
  </r>
  <r>
    <x v="15"/>
    <x v="32"/>
    <s v="Need-based"/>
    <m/>
    <m/>
    <x v="12"/>
    <m/>
    <m/>
    <m/>
    <m/>
    <m/>
    <m/>
    <m/>
    <m/>
    <n v="0"/>
    <m/>
    <m/>
    <n v="0"/>
    <n v="0"/>
    <n v="0"/>
    <m/>
    <m/>
    <m/>
    <m/>
    <n v="0"/>
    <m/>
    <m/>
    <n v="0"/>
    <m/>
    <m/>
    <m/>
    <m/>
    <m/>
    <m/>
    <n v="0"/>
    <n v="0"/>
  </r>
  <r>
    <x v="15"/>
    <x v="33"/>
    <s v="Non need-based"/>
    <m/>
    <m/>
    <x v="12"/>
    <m/>
    <m/>
    <m/>
    <m/>
    <m/>
    <m/>
    <m/>
    <m/>
    <n v="0"/>
    <m/>
    <m/>
    <n v="0"/>
    <n v="0"/>
    <n v="0"/>
    <m/>
    <m/>
    <m/>
    <m/>
    <n v="0"/>
    <m/>
    <m/>
    <n v="0"/>
    <m/>
    <m/>
    <m/>
    <m/>
    <m/>
    <m/>
    <n v="0"/>
    <n v="0"/>
  </r>
  <r>
    <x v="15"/>
    <x v="25"/>
    <s v="Underwood-Smith Teacher Scholarship Fund"/>
    <m/>
    <m/>
    <x v="12"/>
    <m/>
    <m/>
    <m/>
    <m/>
    <m/>
    <m/>
    <m/>
    <m/>
    <n v="0"/>
    <m/>
    <m/>
    <n v="0"/>
    <n v="0"/>
    <n v="0"/>
    <m/>
    <m/>
    <m/>
    <m/>
    <n v="0"/>
    <m/>
    <m/>
    <n v="0"/>
    <m/>
    <m/>
    <m/>
    <m/>
    <m/>
    <m/>
    <n v="0"/>
    <n v="0"/>
  </r>
  <r>
    <x v="15"/>
    <x v="28"/>
    <s v="Amount to public sector students"/>
    <m/>
    <m/>
    <x v="12"/>
    <m/>
    <m/>
    <m/>
    <m/>
    <m/>
    <m/>
    <m/>
    <m/>
    <n v="0"/>
    <m/>
    <m/>
    <n v="0"/>
    <n v="0"/>
    <n v="0"/>
    <m/>
    <m/>
    <m/>
    <m/>
    <n v="0"/>
    <m/>
    <m/>
    <n v="0"/>
    <m/>
    <m/>
    <m/>
    <m/>
    <m/>
    <m/>
    <n v="0"/>
    <n v="0"/>
  </r>
  <r>
    <x v="15"/>
    <x v="29"/>
    <s v="Need-based"/>
    <m/>
    <m/>
    <x v="12"/>
    <m/>
    <m/>
    <m/>
    <m/>
    <m/>
    <m/>
    <m/>
    <m/>
    <n v="0"/>
    <m/>
    <m/>
    <n v="0"/>
    <n v="0"/>
    <n v="0"/>
    <m/>
    <m/>
    <m/>
    <m/>
    <n v="0"/>
    <m/>
    <m/>
    <n v="0"/>
    <m/>
    <m/>
    <m/>
    <m/>
    <m/>
    <m/>
    <n v="0"/>
    <n v="0"/>
  </r>
  <r>
    <x v="15"/>
    <x v="30"/>
    <s v="Non need-based"/>
    <m/>
    <m/>
    <x v="12"/>
    <m/>
    <m/>
    <m/>
    <m/>
    <m/>
    <m/>
    <m/>
    <m/>
    <n v="0"/>
    <m/>
    <m/>
    <n v="0"/>
    <n v="0"/>
    <n v="0"/>
    <n v="133295"/>
    <n v="125883"/>
    <m/>
    <m/>
    <n v="0"/>
    <m/>
    <m/>
    <n v="0"/>
    <m/>
    <m/>
    <m/>
    <m/>
    <m/>
    <m/>
    <n v="133295"/>
    <n v="125883"/>
  </r>
  <r>
    <x v="15"/>
    <x v="31"/>
    <s v="Amount to private sector students"/>
    <m/>
    <m/>
    <x v="12"/>
    <m/>
    <m/>
    <m/>
    <m/>
    <m/>
    <m/>
    <m/>
    <m/>
    <n v="0"/>
    <m/>
    <m/>
    <n v="0"/>
    <n v="0"/>
    <n v="0"/>
    <m/>
    <m/>
    <m/>
    <m/>
    <n v="0"/>
    <m/>
    <m/>
    <n v="0"/>
    <m/>
    <m/>
    <m/>
    <m/>
    <m/>
    <m/>
    <n v="0"/>
    <n v="0"/>
  </r>
  <r>
    <x v="15"/>
    <x v="32"/>
    <s v="Need-based"/>
    <m/>
    <m/>
    <x v="12"/>
    <m/>
    <m/>
    <m/>
    <m/>
    <m/>
    <m/>
    <m/>
    <m/>
    <n v="0"/>
    <m/>
    <m/>
    <n v="0"/>
    <n v="0"/>
    <n v="0"/>
    <m/>
    <m/>
    <m/>
    <m/>
    <n v="0"/>
    <m/>
    <m/>
    <n v="0"/>
    <m/>
    <m/>
    <m/>
    <m/>
    <m/>
    <m/>
    <n v="0"/>
    <n v="0"/>
  </r>
  <r>
    <x v="15"/>
    <x v="33"/>
    <s v="Non need-based"/>
    <m/>
    <m/>
    <x v="12"/>
    <m/>
    <m/>
    <m/>
    <m/>
    <m/>
    <m/>
    <m/>
    <m/>
    <n v="0"/>
    <m/>
    <m/>
    <n v="0"/>
    <n v="0"/>
    <n v="0"/>
    <n v="7847"/>
    <n v="15259"/>
    <m/>
    <m/>
    <n v="0"/>
    <m/>
    <m/>
    <n v="0"/>
    <m/>
    <m/>
    <m/>
    <m/>
    <m/>
    <m/>
    <n v="7847"/>
    <n v="15259"/>
  </r>
  <r>
    <x v="15"/>
    <x v="25"/>
    <s v="WV Engineering Science Technology Program"/>
    <m/>
    <m/>
    <x v="12"/>
    <m/>
    <m/>
    <m/>
    <m/>
    <m/>
    <m/>
    <m/>
    <m/>
    <n v="0"/>
    <m/>
    <m/>
    <n v="0"/>
    <n v="0"/>
    <n v="0"/>
    <m/>
    <m/>
    <m/>
    <m/>
    <n v="0"/>
    <m/>
    <m/>
    <n v="0"/>
    <m/>
    <m/>
    <m/>
    <m/>
    <m/>
    <m/>
    <n v="0"/>
    <n v="0"/>
  </r>
  <r>
    <x v="15"/>
    <x v="28"/>
    <s v="Amount to public sector students"/>
    <m/>
    <m/>
    <x v="12"/>
    <m/>
    <m/>
    <m/>
    <m/>
    <m/>
    <m/>
    <m/>
    <m/>
    <n v="0"/>
    <m/>
    <m/>
    <n v="0"/>
    <n v="0"/>
    <n v="0"/>
    <m/>
    <m/>
    <m/>
    <m/>
    <n v="0"/>
    <m/>
    <m/>
    <n v="0"/>
    <m/>
    <m/>
    <m/>
    <m/>
    <m/>
    <m/>
    <n v="0"/>
    <n v="0"/>
  </r>
  <r>
    <x v="15"/>
    <x v="29"/>
    <s v="Need-based"/>
    <m/>
    <m/>
    <x v="12"/>
    <m/>
    <m/>
    <m/>
    <m/>
    <m/>
    <m/>
    <m/>
    <m/>
    <n v="0"/>
    <m/>
    <m/>
    <n v="0"/>
    <n v="0"/>
    <n v="0"/>
    <m/>
    <m/>
    <m/>
    <m/>
    <n v="0"/>
    <m/>
    <m/>
    <n v="0"/>
    <m/>
    <m/>
    <m/>
    <m/>
    <m/>
    <m/>
    <n v="0"/>
    <n v="0"/>
  </r>
  <r>
    <x v="15"/>
    <x v="30"/>
    <s v="Non need-based"/>
    <m/>
    <m/>
    <x v="12"/>
    <m/>
    <m/>
    <m/>
    <m/>
    <m/>
    <m/>
    <m/>
    <m/>
    <n v="0"/>
    <m/>
    <m/>
    <n v="0"/>
    <n v="0"/>
    <n v="0"/>
    <n v="428413"/>
    <n v="431711"/>
    <m/>
    <m/>
    <n v="0"/>
    <m/>
    <m/>
    <n v="0"/>
    <m/>
    <m/>
    <m/>
    <m/>
    <m/>
    <m/>
    <n v="428413"/>
    <n v="431711"/>
  </r>
  <r>
    <x v="15"/>
    <x v="31"/>
    <s v="Amount to private sector students"/>
    <m/>
    <m/>
    <x v="12"/>
    <m/>
    <m/>
    <m/>
    <m/>
    <m/>
    <m/>
    <m/>
    <m/>
    <n v="0"/>
    <m/>
    <m/>
    <n v="0"/>
    <n v="0"/>
    <n v="0"/>
    <m/>
    <m/>
    <m/>
    <m/>
    <n v="0"/>
    <m/>
    <m/>
    <n v="0"/>
    <m/>
    <m/>
    <m/>
    <m/>
    <m/>
    <m/>
    <n v="0"/>
    <n v="0"/>
  </r>
  <r>
    <x v="15"/>
    <x v="32"/>
    <s v="Need-based"/>
    <m/>
    <m/>
    <x v="12"/>
    <m/>
    <m/>
    <m/>
    <m/>
    <m/>
    <m/>
    <m/>
    <m/>
    <n v="0"/>
    <m/>
    <m/>
    <n v="0"/>
    <n v="0"/>
    <n v="0"/>
    <m/>
    <m/>
    <m/>
    <m/>
    <n v="0"/>
    <m/>
    <m/>
    <n v="0"/>
    <m/>
    <m/>
    <m/>
    <m/>
    <m/>
    <m/>
    <n v="0"/>
    <n v="0"/>
  </r>
  <r>
    <x v="15"/>
    <x v="33"/>
    <s v="Non need-based"/>
    <m/>
    <m/>
    <x v="12"/>
    <m/>
    <m/>
    <m/>
    <m/>
    <m/>
    <m/>
    <m/>
    <m/>
    <n v="0"/>
    <m/>
    <m/>
    <n v="0"/>
    <n v="0"/>
    <n v="0"/>
    <n v="42060"/>
    <n v="38762"/>
    <m/>
    <m/>
    <n v="0"/>
    <m/>
    <m/>
    <n v="0"/>
    <m/>
    <m/>
    <m/>
    <m/>
    <m/>
    <m/>
    <n v="42060"/>
    <n v="38762"/>
  </r>
  <r>
    <x v="15"/>
    <x v="25"/>
    <s v="Health Sciences Scholarship Fund"/>
    <m/>
    <m/>
    <x v="12"/>
    <m/>
    <m/>
    <m/>
    <m/>
    <m/>
    <m/>
    <m/>
    <m/>
    <n v="0"/>
    <m/>
    <m/>
    <n v="0"/>
    <n v="0"/>
    <n v="0"/>
    <m/>
    <m/>
    <m/>
    <m/>
    <n v="0"/>
    <m/>
    <m/>
    <n v="0"/>
    <m/>
    <m/>
    <m/>
    <m/>
    <m/>
    <m/>
    <n v="0"/>
    <n v="0"/>
  </r>
  <r>
    <x v="15"/>
    <x v="28"/>
    <s v="Amount to public sector students"/>
    <m/>
    <m/>
    <x v="12"/>
    <m/>
    <m/>
    <m/>
    <m/>
    <m/>
    <m/>
    <m/>
    <m/>
    <n v="0"/>
    <m/>
    <m/>
    <n v="0"/>
    <n v="0"/>
    <n v="0"/>
    <m/>
    <m/>
    <m/>
    <m/>
    <n v="0"/>
    <m/>
    <m/>
    <n v="0"/>
    <m/>
    <m/>
    <m/>
    <m/>
    <m/>
    <m/>
    <n v="0"/>
    <n v="0"/>
  </r>
  <r>
    <x v="15"/>
    <x v="29"/>
    <s v="Need-based"/>
    <m/>
    <m/>
    <x v="12"/>
    <m/>
    <m/>
    <m/>
    <m/>
    <m/>
    <m/>
    <m/>
    <m/>
    <n v="0"/>
    <m/>
    <m/>
    <n v="0"/>
    <n v="0"/>
    <n v="0"/>
    <m/>
    <m/>
    <m/>
    <m/>
    <n v="0"/>
    <m/>
    <m/>
    <n v="0"/>
    <m/>
    <m/>
    <m/>
    <m/>
    <m/>
    <m/>
    <n v="0"/>
    <n v="0"/>
  </r>
  <r>
    <x v="15"/>
    <x v="30"/>
    <s v="Non need-based"/>
    <m/>
    <m/>
    <x v="12"/>
    <m/>
    <m/>
    <m/>
    <m/>
    <m/>
    <m/>
    <m/>
    <m/>
    <n v="0"/>
    <m/>
    <m/>
    <n v="0"/>
    <n v="0"/>
    <n v="0"/>
    <n v="191109"/>
    <n v="251542"/>
    <m/>
    <m/>
    <n v="0"/>
    <m/>
    <m/>
    <n v="0"/>
    <m/>
    <m/>
    <m/>
    <m/>
    <m/>
    <m/>
    <n v="191109"/>
    <n v="251542"/>
  </r>
  <r>
    <x v="15"/>
    <x v="31"/>
    <s v="Amount to private sector students"/>
    <m/>
    <m/>
    <x v="12"/>
    <m/>
    <m/>
    <m/>
    <m/>
    <m/>
    <m/>
    <m/>
    <m/>
    <n v="0"/>
    <m/>
    <m/>
    <n v="0"/>
    <n v="0"/>
    <n v="0"/>
    <m/>
    <m/>
    <m/>
    <m/>
    <n v="0"/>
    <m/>
    <m/>
    <n v="0"/>
    <m/>
    <m/>
    <m/>
    <m/>
    <m/>
    <m/>
    <n v="0"/>
    <n v="0"/>
  </r>
  <r>
    <x v="15"/>
    <x v="32"/>
    <s v="Need-based"/>
    <m/>
    <m/>
    <x v="12"/>
    <m/>
    <m/>
    <m/>
    <m/>
    <m/>
    <m/>
    <m/>
    <m/>
    <n v="0"/>
    <m/>
    <m/>
    <n v="0"/>
    <n v="0"/>
    <n v="0"/>
    <m/>
    <m/>
    <m/>
    <m/>
    <n v="0"/>
    <m/>
    <m/>
    <n v="0"/>
    <m/>
    <m/>
    <m/>
    <m/>
    <m/>
    <m/>
    <n v="0"/>
    <n v="0"/>
  </r>
  <r>
    <x v="15"/>
    <x v="33"/>
    <s v="Non need-based"/>
    <m/>
    <m/>
    <x v="12"/>
    <m/>
    <m/>
    <m/>
    <m/>
    <m/>
    <m/>
    <m/>
    <m/>
    <n v="0"/>
    <m/>
    <m/>
    <n v="0"/>
    <n v="0"/>
    <n v="0"/>
    <n v="60350"/>
    <n v="0"/>
    <m/>
    <m/>
    <n v="0"/>
    <m/>
    <m/>
    <n v="0"/>
    <m/>
    <m/>
    <m/>
    <m/>
    <m/>
    <m/>
    <n v="60350"/>
    <n v="0"/>
  </r>
  <r>
    <x v="15"/>
    <x v="25"/>
    <s v="HEAPS Grant Program"/>
    <m/>
    <m/>
    <x v="12"/>
    <m/>
    <m/>
    <m/>
    <m/>
    <m/>
    <m/>
    <m/>
    <m/>
    <n v="0"/>
    <m/>
    <m/>
    <n v="0"/>
    <n v="0"/>
    <n v="0"/>
    <m/>
    <m/>
    <m/>
    <m/>
    <n v="0"/>
    <m/>
    <m/>
    <n v="0"/>
    <m/>
    <m/>
    <m/>
    <m/>
    <m/>
    <m/>
    <n v="0"/>
    <n v="0"/>
  </r>
  <r>
    <x v="15"/>
    <x v="28"/>
    <s v="Amount to public sector students"/>
    <m/>
    <m/>
    <x v="12"/>
    <m/>
    <m/>
    <m/>
    <m/>
    <m/>
    <m/>
    <m/>
    <m/>
    <n v="0"/>
    <m/>
    <m/>
    <n v="0"/>
    <n v="0"/>
    <n v="0"/>
    <m/>
    <m/>
    <m/>
    <m/>
    <n v="0"/>
    <m/>
    <m/>
    <n v="0"/>
    <m/>
    <m/>
    <m/>
    <m/>
    <m/>
    <m/>
    <n v="0"/>
    <n v="0"/>
  </r>
  <r>
    <x v="15"/>
    <x v="29"/>
    <s v="Need-based"/>
    <m/>
    <m/>
    <x v="12"/>
    <m/>
    <m/>
    <m/>
    <m/>
    <m/>
    <m/>
    <m/>
    <m/>
    <n v="0"/>
    <m/>
    <m/>
    <n v="0"/>
    <n v="0"/>
    <n v="0"/>
    <n v="3725686"/>
    <n v="3753334"/>
    <m/>
    <m/>
    <n v="0"/>
    <m/>
    <m/>
    <n v="0"/>
    <m/>
    <m/>
    <m/>
    <m/>
    <m/>
    <m/>
    <n v="3725686"/>
    <n v="3753334"/>
  </r>
  <r>
    <x v="15"/>
    <x v="30"/>
    <s v="Non need-based"/>
    <m/>
    <m/>
    <x v="12"/>
    <m/>
    <m/>
    <m/>
    <m/>
    <m/>
    <m/>
    <m/>
    <m/>
    <n v="0"/>
    <m/>
    <m/>
    <n v="0"/>
    <n v="0"/>
    <n v="0"/>
    <m/>
    <m/>
    <m/>
    <m/>
    <n v="0"/>
    <m/>
    <m/>
    <n v="0"/>
    <m/>
    <m/>
    <m/>
    <m/>
    <m/>
    <m/>
    <n v="0"/>
    <n v="0"/>
  </r>
  <r>
    <x v="15"/>
    <x v="31"/>
    <s v="Amount to private sector students"/>
    <m/>
    <m/>
    <x v="12"/>
    <m/>
    <m/>
    <m/>
    <m/>
    <m/>
    <m/>
    <m/>
    <m/>
    <n v="0"/>
    <m/>
    <m/>
    <n v="0"/>
    <n v="0"/>
    <n v="0"/>
    <m/>
    <m/>
    <m/>
    <m/>
    <n v="0"/>
    <m/>
    <m/>
    <n v="0"/>
    <m/>
    <m/>
    <m/>
    <m/>
    <m/>
    <m/>
    <n v="0"/>
    <n v="0"/>
  </r>
  <r>
    <x v="15"/>
    <x v="32"/>
    <s v="Need-based"/>
    <m/>
    <m/>
    <x v="12"/>
    <m/>
    <m/>
    <m/>
    <m/>
    <m/>
    <m/>
    <m/>
    <m/>
    <n v="0"/>
    <m/>
    <m/>
    <n v="0"/>
    <n v="0"/>
    <n v="0"/>
    <n v="1091964"/>
    <n v="1051668"/>
    <m/>
    <m/>
    <n v="0"/>
    <m/>
    <m/>
    <n v="0"/>
    <m/>
    <m/>
    <m/>
    <m/>
    <m/>
    <m/>
    <n v="1091964"/>
    <n v="1051668"/>
  </r>
  <r>
    <x v="15"/>
    <x v="33"/>
    <s v="Non need-based"/>
    <m/>
    <m/>
    <x v="12"/>
    <m/>
    <m/>
    <m/>
    <m/>
    <m/>
    <m/>
    <m/>
    <m/>
    <n v="0"/>
    <m/>
    <m/>
    <n v="0"/>
    <n v="0"/>
    <n v="0"/>
    <m/>
    <m/>
    <m/>
    <m/>
    <n v="0"/>
    <m/>
    <m/>
    <n v="0"/>
    <m/>
    <m/>
    <m/>
    <m/>
    <m/>
    <m/>
    <n v="0"/>
    <n v="0"/>
  </r>
  <r>
    <x v="15"/>
    <x v="34"/>
    <s v="Limited to public college students only"/>
    <m/>
    <m/>
    <x v="12"/>
    <m/>
    <m/>
    <m/>
    <m/>
    <m/>
    <m/>
    <m/>
    <m/>
    <n v="0"/>
    <m/>
    <m/>
    <n v="0"/>
    <n v="0"/>
    <n v="0"/>
    <m/>
    <m/>
    <m/>
    <m/>
    <n v="0"/>
    <m/>
    <m/>
    <n v="0"/>
    <m/>
    <m/>
    <m/>
    <m/>
    <m/>
    <m/>
    <n v="0"/>
    <n v="0"/>
  </r>
  <r>
    <x v="15"/>
    <x v="35"/>
    <s v="Need-based"/>
    <m/>
    <m/>
    <x v="12"/>
    <m/>
    <m/>
    <m/>
    <m/>
    <m/>
    <m/>
    <m/>
    <m/>
    <n v="0"/>
    <m/>
    <m/>
    <n v="0"/>
    <n v="0"/>
    <n v="0"/>
    <m/>
    <m/>
    <m/>
    <m/>
    <n v="0"/>
    <m/>
    <m/>
    <n v="0"/>
    <m/>
    <m/>
    <m/>
    <m/>
    <m/>
    <m/>
    <n v="0"/>
    <n v="0"/>
  </r>
  <r>
    <x v="15"/>
    <x v="36"/>
    <s v="Non need-based"/>
    <m/>
    <m/>
    <x v="12"/>
    <m/>
    <m/>
    <m/>
    <m/>
    <m/>
    <m/>
    <m/>
    <m/>
    <n v="0"/>
    <m/>
    <m/>
    <n v="0"/>
    <n v="0"/>
    <n v="0"/>
    <m/>
    <m/>
    <m/>
    <m/>
    <n v="0"/>
    <m/>
    <m/>
    <n v="0"/>
    <m/>
    <m/>
    <m/>
    <m/>
    <m/>
    <m/>
    <n v="0"/>
    <n v="0"/>
  </r>
  <r>
    <x v="15"/>
    <x v="34"/>
    <s v="Limited to private college students only"/>
    <m/>
    <m/>
    <x v="12"/>
    <m/>
    <m/>
    <m/>
    <m/>
    <m/>
    <m/>
    <m/>
    <m/>
    <n v="0"/>
    <m/>
    <m/>
    <n v="0"/>
    <n v="0"/>
    <n v="0"/>
    <m/>
    <m/>
    <m/>
    <m/>
    <n v="0"/>
    <m/>
    <m/>
    <n v="0"/>
    <m/>
    <m/>
    <m/>
    <m/>
    <m/>
    <m/>
    <n v="0"/>
    <n v="0"/>
  </r>
  <r>
    <x v="15"/>
    <x v="35"/>
    <s v="Need-based"/>
    <m/>
    <m/>
    <x v="12"/>
    <m/>
    <m/>
    <m/>
    <m/>
    <m/>
    <m/>
    <m/>
    <m/>
    <n v="0"/>
    <m/>
    <m/>
    <n v="0"/>
    <n v="0"/>
    <n v="0"/>
    <m/>
    <m/>
    <m/>
    <m/>
    <n v="0"/>
    <m/>
    <m/>
    <n v="0"/>
    <m/>
    <m/>
    <m/>
    <m/>
    <m/>
    <m/>
    <n v="0"/>
    <n v="0"/>
  </r>
  <r>
    <x v="15"/>
    <x v="36"/>
    <s v="Non need-based"/>
    <m/>
    <m/>
    <x v="12"/>
    <m/>
    <m/>
    <m/>
    <m/>
    <m/>
    <m/>
    <m/>
    <m/>
    <n v="0"/>
    <m/>
    <m/>
    <n v="0"/>
    <n v="0"/>
    <n v="0"/>
    <m/>
    <m/>
    <m/>
    <m/>
    <n v="0"/>
    <m/>
    <m/>
    <n v="0"/>
    <m/>
    <m/>
    <m/>
    <m/>
    <m/>
    <m/>
    <n v="0"/>
    <n v="0"/>
  </r>
</pivotCacheRecords>
</file>

<file path=xl/pivotCache/pivotCacheRecords2.xml><?xml version="1.0" encoding="utf-8"?>
<pivotCacheRecords xmlns="http://schemas.openxmlformats.org/spreadsheetml/2006/main" xmlns:r="http://schemas.openxmlformats.org/officeDocument/2006/relationships" count="3152">
  <r>
    <x v="0"/>
    <x v="0"/>
    <s v="Auburn University  "/>
    <m/>
    <n v="100858"/>
    <x v="0"/>
    <n v="137938695"/>
    <n v="139723512"/>
    <m/>
    <m/>
    <m/>
    <m/>
    <n v="339871063"/>
    <n v="27295936"/>
    <n v="367166999"/>
    <n v="302333378"/>
    <n v="27891960"/>
    <n v="330225338"/>
    <n v="477809758"/>
    <n v="442056890"/>
    <m/>
    <m/>
    <m/>
    <m/>
    <n v="0"/>
    <m/>
    <m/>
    <n v="0"/>
    <m/>
    <m/>
    <m/>
    <m/>
    <m/>
    <m/>
    <n v="477809758"/>
    <n v="442056890"/>
  </r>
  <r>
    <x v="0"/>
    <x v="1"/>
    <s v="Health Professions Education"/>
    <m/>
    <n v="100858"/>
    <x v="0"/>
    <m/>
    <m/>
    <m/>
    <m/>
    <m/>
    <m/>
    <m/>
    <m/>
    <n v="0"/>
    <m/>
    <m/>
    <n v="0"/>
    <n v="0"/>
    <n v="0"/>
    <m/>
    <m/>
    <m/>
    <m/>
    <n v="0"/>
    <m/>
    <m/>
    <n v="0"/>
    <m/>
    <m/>
    <m/>
    <m/>
    <m/>
    <m/>
    <n v="0"/>
    <n v="0"/>
  </r>
  <r>
    <x v="0"/>
    <x v="1"/>
    <s v="Veterinary School"/>
    <m/>
    <n v="100858"/>
    <x v="0"/>
    <m/>
    <m/>
    <m/>
    <m/>
    <m/>
    <m/>
    <m/>
    <m/>
    <n v="0"/>
    <m/>
    <m/>
    <n v="0"/>
    <n v="0"/>
    <n v="0"/>
    <m/>
    <m/>
    <m/>
    <m/>
    <n v="0"/>
    <m/>
    <m/>
    <n v="0"/>
    <n v="17318610"/>
    <n v="18233022"/>
    <n v="21068591"/>
    <m/>
    <n v="22750000"/>
    <m/>
    <n v="38387201"/>
    <n v="40983022"/>
  </r>
  <r>
    <x v="0"/>
    <x v="2"/>
    <s v="Educational Special-Purpose funds to public campuses"/>
    <m/>
    <n v="100858"/>
    <x v="0"/>
    <m/>
    <m/>
    <m/>
    <m/>
    <m/>
    <m/>
    <m/>
    <m/>
    <n v="0"/>
    <m/>
    <m/>
    <n v="0"/>
    <n v="0"/>
    <n v="0"/>
    <m/>
    <m/>
    <m/>
    <m/>
    <n v="0"/>
    <m/>
    <m/>
    <n v="0"/>
    <m/>
    <m/>
    <m/>
    <m/>
    <m/>
    <m/>
    <n v="0"/>
    <n v="0"/>
  </r>
  <r>
    <x v="0"/>
    <x v="3"/>
    <s v="Community or public service units"/>
    <m/>
    <n v="100858"/>
    <x v="0"/>
    <m/>
    <m/>
    <m/>
    <m/>
    <m/>
    <m/>
    <m/>
    <m/>
    <n v="0"/>
    <m/>
    <m/>
    <n v="0"/>
    <n v="0"/>
    <n v="0"/>
    <m/>
    <m/>
    <m/>
    <m/>
    <n v="0"/>
    <m/>
    <m/>
    <n v="0"/>
    <m/>
    <m/>
    <m/>
    <m/>
    <m/>
    <m/>
    <n v="0"/>
    <n v="0"/>
  </r>
  <r>
    <x v="0"/>
    <x v="3"/>
    <s v="Jules Collins Smith Art Museum"/>
    <m/>
    <n v="100858"/>
    <x v="0"/>
    <m/>
    <m/>
    <m/>
    <m/>
    <m/>
    <m/>
    <m/>
    <m/>
    <n v="0"/>
    <m/>
    <m/>
    <n v="0"/>
    <n v="0"/>
    <n v="0"/>
    <m/>
    <m/>
    <m/>
    <m/>
    <n v="0"/>
    <m/>
    <m/>
    <n v="0"/>
    <m/>
    <m/>
    <m/>
    <m/>
    <m/>
    <m/>
    <n v="0"/>
    <n v="0"/>
  </r>
  <r>
    <x v="0"/>
    <x v="3"/>
    <s v="Training for ASIMS"/>
    <m/>
    <n v="100858"/>
    <x v="0"/>
    <m/>
    <m/>
    <m/>
    <m/>
    <m/>
    <m/>
    <m/>
    <m/>
    <n v="0"/>
    <m/>
    <m/>
    <n v="0"/>
    <n v="0"/>
    <n v="0"/>
    <m/>
    <m/>
    <m/>
    <m/>
    <n v="0"/>
    <m/>
    <m/>
    <n v="0"/>
    <m/>
    <m/>
    <m/>
    <m/>
    <m/>
    <m/>
    <n v="0"/>
    <n v="0"/>
  </r>
  <r>
    <x v="0"/>
    <x v="3"/>
    <s v="Special Outreach PGM"/>
    <m/>
    <n v="100858"/>
    <x v="0"/>
    <m/>
    <m/>
    <m/>
    <m/>
    <m/>
    <m/>
    <m/>
    <m/>
    <n v="0"/>
    <m/>
    <m/>
    <n v="0"/>
    <n v="0"/>
    <n v="0"/>
    <m/>
    <m/>
    <m/>
    <m/>
    <n v="0"/>
    <m/>
    <m/>
    <n v="0"/>
    <m/>
    <m/>
    <m/>
    <m/>
    <m/>
    <m/>
    <n v="0"/>
    <n v="0"/>
  </r>
  <r>
    <x v="0"/>
    <x v="4"/>
    <s v="Non-credit continuing education"/>
    <m/>
    <n v="100858"/>
    <x v="0"/>
    <m/>
    <m/>
    <m/>
    <m/>
    <m/>
    <m/>
    <m/>
    <m/>
    <n v="0"/>
    <m/>
    <m/>
    <n v="0"/>
    <n v="0"/>
    <n v="0"/>
    <m/>
    <m/>
    <m/>
    <m/>
    <n v="0"/>
    <m/>
    <m/>
    <n v="0"/>
    <m/>
    <m/>
    <m/>
    <m/>
    <m/>
    <m/>
    <n v="0"/>
    <n v="0"/>
  </r>
  <r>
    <x v="0"/>
    <x v="4"/>
    <s v="Teacher In-service Center"/>
    <m/>
    <n v="100858"/>
    <x v="0"/>
    <m/>
    <m/>
    <n v="223264"/>
    <n v="223264"/>
    <m/>
    <m/>
    <m/>
    <m/>
    <n v="0"/>
    <m/>
    <m/>
    <n v="0"/>
    <n v="223264"/>
    <n v="223264"/>
    <m/>
    <m/>
    <m/>
    <m/>
    <n v="0"/>
    <m/>
    <m/>
    <n v="0"/>
    <m/>
    <m/>
    <m/>
    <m/>
    <m/>
    <m/>
    <n v="223264"/>
    <n v="223264"/>
  </r>
  <r>
    <x v="0"/>
    <x v="5"/>
    <s v="Agricultural cooperative extension"/>
    <m/>
    <n v="100858"/>
    <x v="0"/>
    <m/>
    <m/>
    <n v="31177353"/>
    <n v="31621552"/>
    <m/>
    <m/>
    <m/>
    <m/>
    <n v="0"/>
    <m/>
    <m/>
    <n v="0"/>
    <n v="31177353"/>
    <n v="31621552"/>
    <m/>
    <m/>
    <m/>
    <m/>
    <n v="0"/>
    <m/>
    <m/>
    <n v="0"/>
    <m/>
    <m/>
    <m/>
    <m/>
    <m/>
    <m/>
    <n v="31177353"/>
    <n v="31621552"/>
  </r>
  <r>
    <x v="0"/>
    <x v="6"/>
    <s v="Agricultural experiment stations"/>
    <m/>
    <n v="100858"/>
    <x v="0"/>
    <m/>
    <m/>
    <n v="29995593"/>
    <n v="30622954"/>
    <m/>
    <m/>
    <m/>
    <m/>
    <n v="0"/>
    <m/>
    <m/>
    <n v="0"/>
    <n v="29995593"/>
    <n v="30622954"/>
    <m/>
    <m/>
    <m/>
    <m/>
    <n v="0"/>
    <m/>
    <m/>
    <n v="0"/>
    <m/>
    <m/>
    <m/>
    <m/>
    <m/>
    <m/>
    <n v="29995593"/>
    <n v="30622954"/>
  </r>
  <r>
    <x v="0"/>
    <x v="7"/>
    <s v="Research centers/institutes"/>
    <m/>
    <n v="100858"/>
    <x v="0"/>
    <m/>
    <m/>
    <m/>
    <m/>
    <m/>
    <m/>
    <m/>
    <m/>
    <n v="0"/>
    <m/>
    <m/>
    <n v="0"/>
    <n v="0"/>
    <n v="0"/>
    <m/>
    <m/>
    <m/>
    <m/>
    <n v="0"/>
    <m/>
    <m/>
    <n v="0"/>
    <m/>
    <m/>
    <m/>
    <m/>
    <m/>
    <m/>
    <n v="0"/>
    <n v="0"/>
  </r>
  <r>
    <x v="0"/>
    <x v="0"/>
    <s v="University of Alabama "/>
    <m/>
    <n v="100751"/>
    <x v="0"/>
    <n v="130069985"/>
    <n v="132149947"/>
    <m/>
    <m/>
    <m/>
    <m/>
    <n v="509866389"/>
    <n v="3029139"/>
    <n v="512895528"/>
    <n v="468922651"/>
    <n v="3029139"/>
    <n v="471951790"/>
    <n v="639936374"/>
    <n v="601072598"/>
    <m/>
    <m/>
    <m/>
    <m/>
    <n v="0"/>
    <m/>
    <m/>
    <n v="0"/>
    <m/>
    <m/>
    <m/>
    <m/>
    <m/>
    <m/>
    <n v="639936374"/>
    <n v="601072598"/>
  </r>
  <r>
    <x v="0"/>
    <x v="1"/>
    <s v="Health Center"/>
    <m/>
    <n v="100751"/>
    <x v="0"/>
    <m/>
    <m/>
    <m/>
    <m/>
    <m/>
    <m/>
    <m/>
    <m/>
    <n v="0"/>
    <m/>
    <m/>
    <n v="0"/>
    <n v="0"/>
    <n v="0"/>
    <m/>
    <m/>
    <m/>
    <m/>
    <n v="0"/>
    <m/>
    <m/>
    <n v="0"/>
    <n v="9343325"/>
    <n v="9453297"/>
    <n v="1475021"/>
    <m/>
    <n v="1606920"/>
    <m/>
    <n v="10818346"/>
    <n v="11060217"/>
  </r>
  <r>
    <x v="0"/>
    <x v="3"/>
    <s v="Community or public service units"/>
    <m/>
    <n v="100751"/>
    <x v="0"/>
    <m/>
    <m/>
    <m/>
    <m/>
    <m/>
    <m/>
    <m/>
    <m/>
    <n v="0"/>
    <m/>
    <m/>
    <n v="0"/>
    <n v="0"/>
    <n v="0"/>
    <m/>
    <m/>
    <m/>
    <m/>
    <n v="0"/>
    <m/>
    <m/>
    <n v="0"/>
    <m/>
    <m/>
    <m/>
    <m/>
    <m/>
    <m/>
    <n v="0"/>
    <n v="0"/>
  </r>
  <r>
    <x v="0"/>
    <x v="3"/>
    <s v="AL Center for Civic Life"/>
    <m/>
    <n v="100751"/>
    <x v="0"/>
    <m/>
    <m/>
    <n v="95000"/>
    <n v="95000"/>
    <m/>
    <m/>
    <m/>
    <m/>
    <n v="0"/>
    <m/>
    <m/>
    <n v="0"/>
    <n v="95000"/>
    <n v="95000"/>
    <m/>
    <m/>
    <m/>
    <m/>
    <n v="0"/>
    <m/>
    <m/>
    <n v="0"/>
    <m/>
    <m/>
    <m/>
    <m/>
    <m/>
    <m/>
    <n v="95000"/>
    <n v="95000"/>
  </r>
  <r>
    <x v="0"/>
    <x v="3"/>
    <s v="Small Business Institute of Commerce"/>
    <m/>
    <n v="100751"/>
    <x v="0"/>
    <m/>
    <m/>
    <n v="596600"/>
    <n v="596600"/>
    <m/>
    <m/>
    <m/>
    <m/>
    <n v="0"/>
    <m/>
    <m/>
    <n v="0"/>
    <n v="596600"/>
    <n v="596600"/>
    <m/>
    <m/>
    <m/>
    <m/>
    <n v="0"/>
    <m/>
    <m/>
    <n v="0"/>
    <m/>
    <m/>
    <m/>
    <m/>
    <m/>
    <m/>
    <n v="596600"/>
    <n v="596600"/>
  </r>
  <r>
    <x v="0"/>
    <x v="3"/>
    <s v="Special Outreach PGM"/>
    <m/>
    <n v="100751"/>
    <x v="0"/>
    <m/>
    <m/>
    <n v="95000"/>
    <n v="95000"/>
    <m/>
    <m/>
    <m/>
    <m/>
    <n v="0"/>
    <m/>
    <m/>
    <n v="0"/>
    <n v="95000"/>
    <n v="95000"/>
    <m/>
    <m/>
    <m/>
    <m/>
    <n v="0"/>
    <m/>
    <m/>
    <n v="0"/>
    <m/>
    <m/>
    <m/>
    <m/>
    <m/>
    <m/>
    <n v="95000"/>
    <n v="95000"/>
  </r>
  <r>
    <x v="0"/>
    <x v="3"/>
    <s v="Institute for Automotive Eng"/>
    <m/>
    <n v="100751"/>
    <x v="0"/>
    <m/>
    <m/>
    <n v="500000"/>
    <n v="500000"/>
    <m/>
    <m/>
    <m/>
    <m/>
    <n v="0"/>
    <m/>
    <m/>
    <n v="0"/>
    <n v="500000"/>
    <n v="500000"/>
    <m/>
    <m/>
    <m/>
    <m/>
    <n v="0"/>
    <m/>
    <m/>
    <n v="0"/>
    <m/>
    <m/>
    <m/>
    <m/>
    <m/>
    <m/>
    <n v="500000"/>
    <n v="500000"/>
  </r>
  <r>
    <x v="0"/>
    <x v="3"/>
    <s v="Trails Commission"/>
    <m/>
    <n v="100751"/>
    <x v="0"/>
    <m/>
    <m/>
    <m/>
    <n v="95000"/>
    <m/>
    <m/>
    <m/>
    <m/>
    <n v="0"/>
    <m/>
    <m/>
    <n v="0"/>
    <n v="0"/>
    <n v="95000"/>
    <m/>
    <m/>
    <m/>
    <m/>
    <n v="0"/>
    <m/>
    <m/>
    <n v="0"/>
    <m/>
    <m/>
    <m/>
    <m/>
    <m/>
    <m/>
    <n v="0"/>
    <n v="95000"/>
  </r>
  <r>
    <x v="0"/>
    <x v="3"/>
    <s v="Insurance Info &amp; Res Ctr"/>
    <m/>
    <n v="100751"/>
    <x v="0"/>
    <m/>
    <m/>
    <m/>
    <n v="1000000"/>
    <m/>
    <m/>
    <m/>
    <m/>
    <n v="0"/>
    <m/>
    <m/>
    <n v="0"/>
    <n v="0"/>
    <n v="1000000"/>
    <m/>
    <m/>
    <m/>
    <m/>
    <n v="0"/>
    <m/>
    <m/>
    <n v="0"/>
    <m/>
    <m/>
    <m/>
    <m/>
    <m/>
    <m/>
    <n v="0"/>
    <n v="1000000"/>
  </r>
  <r>
    <x v="0"/>
    <x v="3"/>
    <s v="Ctr fot Ethics &amp; Social Responsibility"/>
    <m/>
    <n v="100751"/>
    <x v="0"/>
    <m/>
    <m/>
    <m/>
    <n v="250000"/>
    <m/>
    <m/>
    <m/>
    <m/>
    <n v="0"/>
    <m/>
    <m/>
    <n v="0"/>
    <n v="0"/>
    <n v="250000"/>
    <m/>
    <m/>
    <m/>
    <m/>
    <n v="0"/>
    <m/>
    <m/>
    <n v="0"/>
    <m/>
    <m/>
    <m/>
    <m/>
    <m/>
    <m/>
    <n v="0"/>
    <n v="250000"/>
  </r>
  <r>
    <x v="0"/>
    <x v="4"/>
    <s v="Non-credit continuing education"/>
    <m/>
    <n v="100751"/>
    <x v="0"/>
    <m/>
    <m/>
    <m/>
    <m/>
    <m/>
    <m/>
    <m/>
    <m/>
    <n v="0"/>
    <m/>
    <m/>
    <n v="0"/>
    <n v="0"/>
    <n v="0"/>
    <m/>
    <m/>
    <m/>
    <m/>
    <n v="0"/>
    <m/>
    <m/>
    <n v="0"/>
    <m/>
    <m/>
    <m/>
    <m/>
    <m/>
    <m/>
    <n v="0"/>
    <n v="0"/>
  </r>
  <r>
    <x v="0"/>
    <x v="4"/>
    <s v="Teacher In-service Center"/>
    <m/>
    <n v="100751"/>
    <x v="0"/>
    <m/>
    <m/>
    <n v="203625"/>
    <n v="203625"/>
    <m/>
    <m/>
    <m/>
    <m/>
    <n v="0"/>
    <m/>
    <m/>
    <n v="0"/>
    <n v="203625"/>
    <n v="203625"/>
    <m/>
    <m/>
    <m/>
    <m/>
    <n v="0"/>
    <m/>
    <m/>
    <n v="0"/>
    <m/>
    <m/>
    <m/>
    <m/>
    <m/>
    <m/>
    <n v="203625"/>
    <n v="203625"/>
  </r>
  <r>
    <x v="0"/>
    <x v="0"/>
    <s v="University of Alabama at Birmingham"/>
    <m/>
    <n v="100663"/>
    <x v="1"/>
    <n v="40806599"/>
    <n v="30702789"/>
    <m/>
    <m/>
    <m/>
    <m/>
    <n v="116671756"/>
    <m/>
    <n v="116671756"/>
    <n v="124930789"/>
    <m/>
    <n v="124930789"/>
    <n v="157478355"/>
    <n v="155633578"/>
    <m/>
    <m/>
    <m/>
    <m/>
    <n v="0"/>
    <m/>
    <m/>
    <n v="0"/>
    <m/>
    <m/>
    <m/>
    <m/>
    <m/>
    <m/>
    <n v="157478355"/>
    <n v="155633578"/>
  </r>
  <r>
    <x v="0"/>
    <x v="1"/>
    <s v="Health Professions Education"/>
    <m/>
    <n v="100663"/>
    <x v="1"/>
    <m/>
    <m/>
    <m/>
    <m/>
    <m/>
    <m/>
    <m/>
    <m/>
    <n v="0"/>
    <m/>
    <m/>
    <n v="0"/>
    <n v="0"/>
    <n v="0"/>
    <m/>
    <m/>
    <m/>
    <m/>
    <n v="0"/>
    <m/>
    <m/>
    <n v="0"/>
    <m/>
    <m/>
    <m/>
    <m/>
    <m/>
    <m/>
    <n v="0"/>
    <n v="0"/>
  </r>
  <r>
    <x v="0"/>
    <x v="1"/>
    <s v="Medical Center"/>
    <m/>
    <n v="100663"/>
    <x v="1"/>
    <m/>
    <m/>
    <m/>
    <m/>
    <m/>
    <m/>
    <m/>
    <m/>
    <n v="0"/>
    <m/>
    <m/>
    <n v="0"/>
    <n v="0"/>
    <n v="0"/>
    <m/>
    <m/>
    <m/>
    <m/>
    <n v="0"/>
    <m/>
    <m/>
    <n v="0"/>
    <n v="213966590"/>
    <n v="227720713"/>
    <n v="77287037"/>
    <m/>
    <n v="78807211"/>
    <m/>
    <n v="291253627"/>
    <n v="306527924"/>
  </r>
  <r>
    <x v="0"/>
    <x v="1"/>
    <s v="Chauncey-Sparks Mental Health Center"/>
    <m/>
    <n v="100663"/>
    <x v="1"/>
    <m/>
    <m/>
    <m/>
    <m/>
    <m/>
    <m/>
    <m/>
    <m/>
    <n v="0"/>
    <m/>
    <m/>
    <n v="0"/>
    <n v="0"/>
    <n v="0"/>
    <m/>
    <m/>
    <m/>
    <m/>
    <n v="0"/>
    <m/>
    <m/>
    <n v="0"/>
    <n v="3236628"/>
    <n v="3236628"/>
    <m/>
    <m/>
    <m/>
    <m/>
    <n v="3236628"/>
    <n v="3236628"/>
  </r>
  <r>
    <x v="0"/>
    <x v="1"/>
    <s v="James Cystic Fibrosis Ctr"/>
    <m/>
    <n v="100663"/>
    <x v="1"/>
    <m/>
    <m/>
    <m/>
    <m/>
    <m/>
    <m/>
    <m/>
    <m/>
    <n v="0"/>
    <m/>
    <m/>
    <n v="0"/>
    <n v="0"/>
    <n v="0"/>
    <m/>
    <m/>
    <m/>
    <m/>
    <n v="0"/>
    <m/>
    <m/>
    <n v="0"/>
    <m/>
    <m/>
    <m/>
    <m/>
    <m/>
    <m/>
    <n v="0"/>
    <n v="0"/>
  </r>
  <r>
    <x v="0"/>
    <x v="1"/>
    <s v="Diabetes Res Ctr"/>
    <m/>
    <n v="100663"/>
    <x v="1"/>
    <m/>
    <m/>
    <m/>
    <m/>
    <m/>
    <m/>
    <m/>
    <m/>
    <n v="0"/>
    <m/>
    <m/>
    <n v="0"/>
    <n v="0"/>
    <n v="0"/>
    <m/>
    <m/>
    <m/>
    <m/>
    <n v="0"/>
    <m/>
    <m/>
    <n v="0"/>
    <m/>
    <n v="500000"/>
    <m/>
    <m/>
    <m/>
    <m/>
    <n v="0"/>
    <n v="500000"/>
  </r>
  <r>
    <x v="0"/>
    <x v="1"/>
    <s v="T.J. Atchison Spinal Cord Inj Res"/>
    <m/>
    <n v="100663"/>
    <x v="1"/>
    <m/>
    <m/>
    <m/>
    <m/>
    <m/>
    <m/>
    <m/>
    <m/>
    <n v="0"/>
    <m/>
    <m/>
    <n v="0"/>
    <n v="0"/>
    <n v="0"/>
    <m/>
    <m/>
    <m/>
    <m/>
    <n v="0"/>
    <m/>
    <m/>
    <n v="0"/>
    <m/>
    <n v="400000"/>
    <m/>
    <m/>
    <m/>
    <m/>
    <n v="0"/>
    <n v="400000"/>
  </r>
  <r>
    <x v="0"/>
    <x v="3"/>
    <s v="Community or public service units"/>
    <m/>
    <n v="100663"/>
    <x v="1"/>
    <m/>
    <m/>
    <m/>
    <m/>
    <m/>
    <m/>
    <m/>
    <m/>
    <n v="0"/>
    <m/>
    <m/>
    <n v="0"/>
    <n v="0"/>
    <n v="0"/>
    <m/>
    <m/>
    <m/>
    <m/>
    <n v="0"/>
    <m/>
    <m/>
    <n v="0"/>
    <m/>
    <m/>
    <m/>
    <m/>
    <m/>
    <m/>
    <n v="0"/>
    <n v="0"/>
  </r>
  <r>
    <x v="0"/>
    <x v="3"/>
    <s v="Minority Bus Training Econ Dev Pgm"/>
    <m/>
    <n v="100663"/>
    <x v="1"/>
    <m/>
    <m/>
    <n v="376473"/>
    <n v="376473"/>
    <m/>
    <m/>
    <m/>
    <m/>
    <n v="0"/>
    <m/>
    <m/>
    <n v="0"/>
    <n v="376473"/>
    <n v="376473"/>
    <m/>
    <m/>
    <m/>
    <m/>
    <n v="0"/>
    <m/>
    <m/>
    <n v="0"/>
    <m/>
    <m/>
    <m/>
    <m/>
    <m/>
    <m/>
    <n v="376473"/>
    <n v="376473"/>
  </r>
  <r>
    <x v="0"/>
    <x v="3"/>
    <s v="High School Athletic Training Pgm"/>
    <m/>
    <n v="100663"/>
    <x v="1"/>
    <m/>
    <m/>
    <m/>
    <m/>
    <m/>
    <m/>
    <m/>
    <m/>
    <n v="0"/>
    <m/>
    <m/>
    <n v="0"/>
    <n v="0"/>
    <n v="0"/>
    <m/>
    <m/>
    <m/>
    <m/>
    <n v="0"/>
    <m/>
    <m/>
    <n v="0"/>
    <m/>
    <m/>
    <m/>
    <m/>
    <m/>
    <m/>
    <n v="0"/>
    <n v="0"/>
  </r>
  <r>
    <x v="0"/>
    <x v="4"/>
    <s v="Non-credit continuing education"/>
    <m/>
    <n v="100663"/>
    <x v="1"/>
    <m/>
    <m/>
    <m/>
    <m/>
    <m/>
    <m/>
    <m/>
    <m/>
    <n v="0"/>
    <m/>
    <m/>
    <n v="0"/>
    <n v="0"/>
    <n v="0"/>
    <m/>
    <m/>
    <m/>
    <m/>
    <n v="0"/>
    <m/>
    <m/>
    <n v="0"/>
    <m/>
    <m/>
    <m/>
    <m/>
    <m/>
    <m/>
    <n v="0"/>
    <n v="0"/>
  </r>
  <r>
    <x v="0"/>
    <x v="4"/>
    <s v="Teacher In-service Center"/>
    <m/>
    <n v="100663"/>
    <x v="1"/>
    <m/>
    <m/>
    <n v="281923"/>
    <n v="281923"/>
    <m/>
    <m/>
    <m/>
    <m/>
    <n v="0"/>
    <m/>
    <m/>
    <n v="0"/>
    <n v="281923"/>
    <n v="281923"/>
    <m/>
    <m/>
    <m/>
    <m/>
    <n v="0"/>
    <m/>
    <m/>
    <n v="0"/>
    <m/>
    <m/>
    <m/>
    <m/>
    <m/>
    <m/>
    <n v="281923"/>
    <n v="281923"/>
  </r>
  <r>
    <x v="0"/>
    <x v="0"/>
    <s v="University of Alabama in Huntsville"/>
    <s v="Met the criteria for Four-Year 3 in 2013-14"/>
    <n v="100706"/>
    <x v="1"/>
    <n v="42710964"/>
    <n v="42852390"/>
    <m/>
    <m/>
    <m/>
    <m/>
    <n v="68127640"/>
    <n v="1080000"/>
    <n v="69207640"/>
    <n v="74262318"/>
    <n v="1800000"/>
    <n v="76062318"/>
    <n v="110838604"/>
    <n v="117114708"/>
    <m/>
    <m/>
    <m/>
    <m/>
    <n v="0"/>
    <m/>
    <m/>
    <n v="0"/>
    <m/>
    <m/>
    <m/>
    <m/>
    <m/>
    <m/>
    <n v="110838604"/>
    <n v="117114708"/>
  </r>
  <r>
    <x v="0"/>
    <x v="3"/>
    <s v="Community or public service units"/>
    <m/>
    <n v="100706"/>
    <x v="1"/>
    <m/>
    <m/>
    <m/>
    <m/>
    <m/>
    <m/>
    <m/>
    <m/>
    <n v="0"/>
    <m/>
    <m/>
    <n v="0"/>
    <n v="0"/>
    <n v="0"/>
    <m/>
    <m/>
    <m/>
    <m/>
    <n v="0"/>
    <m/>
    <m/>
    <n v="0"/>
    <m/>
    <m/>
    <m/>
    <m/>
    <m/>
    <m/>
    <n v="0"/>
    <n v="0"/>
  </r>
  <r>
    <x v="0"/>
    <x v="3"/>
    <s v="Climatology Prg"/>
    <m/>
    <n v="100706"/>
    <x v="1"/>
    <m/>
    <m/>
    <m/>
    <n v="250000"/>
    <m/>
    <m/>
    <m/>
    <m/>
    <n v="0"/>
    <m/>
    <m/>
    <n v="0"/>
    <n v="0"/>
    <n v="250000"/>
    <m/>
    <m/>
    <m/>
    <m/>
    <n v="0"/>
    <m/>
    <m/>
    <n v="0"/>
    <m/>
    <m/>
    <m/>
    <m/>
    <m/>
    <m/>
    <n v="0"/>
    <n v="250000"/>
  </r>
  <r>
    <x v="0"/>
    <x v="0"/>
    <s v="Alabama Agricultural &amp; Mechanical University"/>
    <m/>
    <n v="100654"/>
    <x v="2"/>
    <n v="31573227"/>
    <n v="32115942"/>
    <m/>
    <m/>
    <m/>
    <m/>
    <n v="45780801"/>
    <n v="1331355"/>
    <n v="47112156"/>
    <n v="48446422"/>
    <n v="1295544"/>
    <n v="49741966"/>
    <n v="77354028"/>
    <n v="80562364"/>
    <m/>
    <m/>
    <m/>
    <m/>
    <n v="0"/>
    <m/>
    <m/>
    <n v="0"/>
    <m/>
    <m/>
    <m/>
    <m/>
    <m/>
    <m/>
    <n v="77354028"/>
    <n v="80562364"/>
  </r>
  <r>
    <x v="0"/>
    <x v="3"/>
    <s v="Community or public service units"/>
    <m/>
    <n v="100654"/>
    <x v="2"/>
    <m/>
    <m/>
    <m/>
    <m/>
    <m/>
    <m/>
    <m/>
    <m/>
    <n v="0"/>
    <m/>
    <m/>
    <n v="0"/>
    <n v="0"/>
    <n v="0"/>
    <m/>
    <m/>
    <m/>
    <m/>
    <n v="0"/>
    <m/>
    <m/>
    <n v="0"/>
    <m/>
    <m/>
    <m/>
    <m/>
    <m/>
    <m/>
    <n v="0"/>
    <n v="0"/>
  </r>
  <r>
    <x v="0"/>
    <x v="3"/>
    <s v="Black Archives Museum"/>
    <m/>
    <n v="100654"/>
    <x v="2"/>
    <m/>
    <m/>
    <m/>
    <m/>
    <m/>
    <m/>
    <m/>
    <m/>
    <n v="0"/>
    <m/>
    <m/>
    <n v="0"/>
    <n v="0"/>
    <n v="0"/>
    <m/>
    <m/>
    <m/>
    <m/>
    <n v="0"/>
    <m/>
    <m/>
    <n v="0"/>
    <m/>
    <m/>
    <m/>
    <m/>
    <m/>
    <m/>
    <n v="0"/>
    <n v="0"/>
  </r>
  <r>
    <x v="0"/>
    <x v="4"/>
    <s v="Non-credit continuing education"/>
    <m/>
    <n v="100654"/>
    <x v="2"/>
    <m/>
    <m/>
    <m/>
    <m/>
    <m/>
    <m/>
    <m/>
    <m/>
    <n v="0"/>
    <m/>
    <m/>
    <n v="0"/>
    <n v="0"/>
    <n v="0"/>
    <m/>
    <m/>
    <m/>
    <m/>
    <n v="0"/>
    <m/>
    <m/>
    <n v="0"/>
    <m/>
    <m/>
    <m/>
    <m/>
    <m/>
    <m/>
    <n v="0"/>
    <n v="0"/>
  </r>
  <r>
    <x v="0"/>
    <x v="4"/>
    <s v="Teacher In-service Center"/>
    <m/>
    <n v="100654"/>
    <x v="2"/>
    <m/>
    <m/>
    <n v="256858"/>
    <n v="256858"/>
    <m/>
    <m/>
    <m/>
    <m/>
    <n v="0"/>
    <m/>
    <m/>
    <n v="0"/>
    <n v="256858"/>
    <n v="256858"/>
    <m/>
    <m/>
    <m/>
    <m/>
    <n v="0"/>
    <m/>
    <m/>
    <n v="0"/>
    <m/>
    <m/>
    <m/>
    <m/>
    <m/>
    <m/>
    <n v="256858"/>
    <n v="256858"/>
  </r>
  <r>
    <x v="0"/>
    <x v="5"/>
    <s v="Agricultural"/>
    <m/>
    <n v="100654"/>
    <x v="2"/>
    <m/>
    <m/>
    <n v="5215567"/>
    <n v="5215567"/>
    <m/>
    <m/>
    <m/>
    <m/>
    <n v="0"/>
    <m/>
    <m/>
    <n v="0"/>
    <n v="5215567"/>
    <n v="5215567"/>
    <m/>
    <m/>
    <m/>
    <m/>
    <n v="0"/>
    <m/>
    <m/>
    <n v="0"/>
    <m/>
    <m/>
    <m/>
    <m/>
    <m/>
    <m/>
    <n v="5215567"/>
    <n v="5215567"/>
  </r>
  <r>
    <x v="0"/>
    <x v="5"/>
    <s v="AL Agricultural LG Alliance"/>
    <m/>
    <n v="100654"/>
    <x v="2"/>
    <m/>
    <m/>
    <n v="2153416"/>
    <n v="2153416"/>
    <m/>
    <m/>
    <m/>
    <m/>
    <n v="0"/>
    <m/>
    <m/>
    <n v="0"/>
    <n v="2153416"/>
    <n v="2153416"/>
    <m/>
    <m/>
    <m/>
    <m/>
    <n v="0"/>
    <m/>
    <m/>
    <n v="0"/>
    <m/>
    <m/>
    <m/>
    <m/>
    <m/>
    <m/>
    <n v="2153416"/>
    <n v="2153416"/>
  </r>
  <r>
    <x v="0"/>
    <x v="0"/>
    <s v="Jacksonville State University "/>
    <m/>
    <n v="101480"/>
    <x v="2"/>
    <n v="34601375"/>
    <n v="35444357"/>
    <m/>
    <m/>
    <m/>
    <m/>
    <n v="58336205"/>
    <n v="6134961"/>
    <n v="64471166"/>
    <n v="59933747"/>
    <n v="6144129"/>
    <n v="66077876"/>
    <n v="92937580"/>
    <n v="95378104"/>
    <m/>
    <m/>
    <m/>
    <m/>
    <n v="0"/>
    <m/>
    <m/>
    <n v="0"/>
    <m/>
    <m/>
    <m/>
    <m/>
    <m/>
    <m/>
    <n v="92937580"/>
    <n v="95378104"/>
  </r>
  <r>
    <x v="0"/>
    <x v="3"/>
    <s v="Community or public service units"/>
    <m/>
    <n v="101480"/>
    <x v="2"/>
    <m/>
    <m/>
    <m/>
    <m/>
    <m/>
    <m/>
    <m/>
    <m/>
    <n v="0"/>
    <m/>
    <m/>
    <n v="0"/>
    <n v="0"/>
    <n v="0"/>
    <m/>
    <m/>
    <m/>
    <m/>
    <n v="0"/>
    <m/>
    <m/>
    <n v="0"/>
    <m/>
    <m/>
    <m/>
    <m/>
    <m/>
    <m/>
    <n v="0"/>
    <n v="0"/>
  </r>
  <r>
    <x v="0"/>
    <x v="3"/>
    <s v="AL Small Business Institute of Commerce"/>
    <m/>
    <n v="101480"/>
    <x v="2"/>
    <m/>
    <m/>
    <m/>
    <m/>
    <m/>
    <m/>
    <m/>
    <m/>
    <n v="0"/>
    <m/>
    <m/>
    <n v="0"/>
    <n v="0"/>
    <n v="0"/>
    <m/>
    <m/>
    <m/>
    <m/>
    <n v="0"/>
    <m/>
    <m/>
    <n v="0"/>
    <m/>
    <m/>
    <m/>
    <m/>
    <m/>
    <m/>
    <n v="0"/>
    <n v="0"/>
  </r>
  <r>
    <x v="0"/>
    <x v="3"/>
    <s v="Wellness Initiative"/>
    <m/>
    <n v="101480"/>
    <x v="2"/>
    <m/>
    <m/>
    <m/>
    <m/>
    <m/>
    <m/>
    <m/>
    <m/>
    <n v="0"/>
    <m/>
    <m/>
    <n v="0"/>
    <n v="0"/>
    <n v="0"/>
    <m/>
    <m/>
    <m/>
    <m/>
    <n v="0"/>
    <m/>
    <m/>
    <n v="0"/>
    <m/>
    <m/>
    <m/>
    <m/>
    <m/>
    <m/>
    <n v="0"/>
    <n v="0"/>
  </r>
  <r>
    <x v="0"/>
    <x v="3"/>
    <s v="Little River Canyon Field School"/>
    <m/>
    <n v="101480"/>
    <x v="2"/>
    <m/>
    <m/>
    <n v="188233"/>
    <n v="188233"/>
    <m/>
    <m/>
    <m/>
    <m/>
    <n v="0"/>
    <m/>
    <m/>
    <n v="0"/>
    <n v="188233"/>
    <n v="188233"/>
    <m/>
    <m/>
    <m/>
    <m/>
    <n v="0"/>
    <m/>
    <m/>
    <n v="0"/>
    <m/>
    <m/>
    <m/>
    <m/>
    <m/>
    <m/>
    <n v="188233"/>
    <n v="188233"/>
  </r>
  <r>
    <x v="0"/>
    <x v="3"/>
    <s v="AL Film Initiative"/>
    <m/>
    <n v="101480"/>
    <x v="2"/>
    <m/>
    <m/>
    <n v="426194"/>
    <n v="226194"/>
    <m/>
    <m/>
    <m/>
    <m/>
    <n v="0"/>
    <m/>
    <m/>
    <n v="0"/>
    <n v="426194"/>
    <n v="226194"/>
    <m/>
    <m/>
    <m/>
    <m/>
    <n v="0"/>
    <m/>
    <m/>
    <n v="0"/>
    <m/>
    <m/>
    <m/>
    <m/>
    <m/>
    <m/>
    <n v="426194"/>
    <n v="226194"/>
  </r>
  <r>
    <x v="0"/>
    <x v="3"/>
    <s v="AL Scenic River Trail"/>
    <m/>
    <n v="101480"/>
    <x v="2"/>
    <m/>
    <m/>
    <n v="100000"/>
    <n v="100000"/>
    <m/>
    <m/>
    <m/>
    <m/>
    <n v="0"/>
    <m/>
    <m/>
    <n v="0"/>
    <n v="100000"/>
    <n v="100000"/>
    <m/>
    <m/>
    <m/>
    <m/>
    <n v="0"/>
    <m/>
    <m/>
    <n v="0"/>
    <m/>
    <m/>
    <m/>
    <m/>
    <m/>
    <m/>
    <n v="100000"/>
    <n v="100000"/>
  </r>
  <r>
    <x v="0"/>
    <x v="4"/>
    <s v="Non-credit continuing education"/>
    <m/>
    <n v="101480"/>
    <x v="2"/>
    <m/>
    <m/>
    <m/>
    <m/>
    <m/>
    <m/>
    <m/>
    <m/>
    <n v="0"/>
    <m/>
    <m/>
    <n v="0"/>
    <n v="0"/>
    <n v="0"/>
    <m/>
    <m/>
    <m/>
    <m/>
    <n v="0"/>
    <m/>
    <m/>
    <n v="0"/>
    <m/>
    <m/>
    <m/>
    <m/>
    <m/>
    <m/>
    <n v="0"/>
    <n v="0"/>
  </r>
  <r>
    <x v="0"/>
    <x v="4"/>
    <s v="Teacher In-service Center"/>
    <m/>
    <n v="101480"/>
    <x v="2"/>
    <m/>
    <m/>
    <n v="218872"/>
    <n v="218872"/>
    <m/>
    <m/>
    <m/>
    <m/>
    <n v="0"/>
    <m/>
    <m/>
    <n v="0"/>
    <n v="218872"/>
    <n v="218872"/>
    <m/>
    <m/>
    <m/>
    <m/>
    <n v="0"/>
    <m/>
    <m/>
    <n v="0"/>
    <m/>
    <m/>
    <m/>
    <m/>
    <m/>
    <m/>
    <n v="218872"/>
    <n v="218872"/>
  </r>
  <r>
    <x v="0"/>
    <x v="0"/>
    <s v="Troy University"/>
    <m/>
    <n v="102368"/>
    <x v="2"/>
    <n v="44635439"/>
    <n v="45411069"/>
    <m/>
    <m/>
    <m/>
    <m/>
    <n v="67891790"/>
    <n v="9904362"/>
    <n v="77796152"/>
    <n v="74550649"/>
    <n v="9907147"/>
    <n v="84457796"/>
    <n v="112527229"/>
    <n v="119961718"/>
    <m/>
    <m/>
    <m/>
    <m/>
    <n v="0"/>
    <m/>
    <m/>
    <n v="0"/>
    <m/>
    <m/>
    <m/>
    <m/>
    <m/>
    <m/>
    <n v="112527229"/>
    <n v="119961718"/>
  </r>
  <r>
    <x v="0"/>
    <x v="3"/>
    <s v="Community or public service units"/>
    <m/>
    <n v="102368"/>
    <x v="2"/>
    <m/>
    <m/>
    <m/>
    <m/>
    <m/>
    <m/>
    <m/>
    <m/>
    <n v="0"/>
    <m/>
    <m/>
    <n v="0"/>
    <n v="0"/>
    <n v="0"/>
    <m/>
    <m/>
    <m/>
    <m/>
    <n v="0"/>
    <m/>
    <m/>
    <n v="0"/>
    <m/>
    <m/>
    <m/>
    <m/>
    <m/>
    <m/>
    <n v="0"/>
    <n v="0"/>
  </r>
  <r>
    <x v="0"/>
    <x v="3"/>
    <s v="Ctr for International Bus &amp; Econ Development"/>
    <m/>
    <n v="102368"/>
    <x v="2"/>
    <m/>
    <m/>
    <n v="37647"/>
    <n v="37647"/>
    <m/>
    <m/>
    <m/>
    <m/>
    <n v="0"/>
    <m/>
    <m/>
    <n v="0"/>
    <n v="37647"/>
    <n v="37647"/>
    <m/>
    <m/>
    <m/>
    <m/>
    <n v="0"/>
    <m/>
    <m/>
    <n v="0"/>
    <m/>
    <m/>
    <m/>
    <m/>
    <m/>
    <m/>
    <n v="37647"/>
    <n v="37647"/>
  </r>
  <r>
    <x v="0"/>
    <x v="3"/>
    <s v="Transfer Ag Center Board"/>
    <m/>
    <n v="102368"/>
    <x v="2"/>
    <m/>
    <m/>
    <n v="250000"/>
    <n v="250000"/>
    <m/>
    <m/>
    <m/>
    <m/>
    <n v="0"/>
    <m/>
    <m/>
    <n v="0"/>
    <n v="250000"/>
    <n v="250000"/>
    <m/>
    <m/>
    <m/>
    <m/>
    <n v="0"/>
    <m/>
    <m/>
    <n v="0"/>
    <m/>
    <m/>
    <m/>
    <m/>
    <m/>
    <m/>
    <n v="250000"/>
    <n v="250000"/>
  </r>
  <r>
    <x v="0"/>
    <x v="4"/>
    <s v="Non-credit continuing education"/>
    <m/>
    <n v="102368"/>
    <x v="2"/>
    <m/>
    <m/>
    <m/>
    <m/>
    <m/>
    <m/>
    <m/>
    <m/>
    <n v="0"/>
    <m/>
    <m/>
    <n v="0"/>
    <n v="0"/>
    <n v="0"/>
    <m/>
    <m/>
    <m/>
    <m/>
    <n v="0"/>
    <m/>
    <m/>
    <n v="0"/>
    <m/>
    <m/>
    <m/>
    <m/>
    <m/>
    <m/>
    <n v="0"/>
    <n v="0"/>
  </r>
  <r>
    <x v="0"/>
    <x v="4"/>
    <s v="Teacher In-service Center"/>
    <m/>
    <n v="102368"/>
    <x v="2"/>
    <m/>
    <m/>
    <n v="232309"/>
    <n v="232309"/>
    <m/>
    <m/>
    <m/>
    <m/>
    <n v="0"/>
    <m/>
    <m/>
    <n v="0"/>
    <n v="232309"/>
    <n v="232309"/>
    <m/>
    <m/>
    <m/>
    <m/>
    <n v="0"/>
    <m/>
    <m/>
    <n v="0"/>
    <m/>
    <m/>
    <m/>
    <m/>
    <m/>
    <m/>
    <n v="232309"/>
    <n v="232309"/>
  </r>
  <r>
    <x v="0"/>
    <x v="0"/>
    <s v="University of South Alabama"/>
    <m/>
    <n v="102094"/>
    <x v="2"/>
    <n v="29161818"/>
    <n v="19414513"/>
    <m/>
    <m/>
    <m/>
    <m/>
    <n v="58772507"/>
    <n v="13944859"/>
    <n v="72717366"/>
    <n v="59341870"/>
    <n v="14079951"/>
    <n v="73421821"/>
    <n v="87934325"/>
    <n v="78756383"/>
    <m/>
    <m/>
    <m/>
    <m/>
    <n v="0"/>
    <m/>
    <m/>
    <n v="0"/>
    <m/>
    <m/>
    <m/>
    <m/>
    <m/>
    <m/>
    <n v="87934325"/>
    <n v="78756383"/>
  </r>
  <r>
    <x v="0"/>
    <x v="1"/>
    <s v="Health Professions Education"/>
    <m/>
    <n v="102094"/>
    <x v="2"/>
    <m/>
    <m/>
    <m/>
    <m/>
    <m/>
    <m/>
    <m/>
    <m/>
    <n v="0"/>
    <m/>
    <m/>
    <n v="0"/>
    <n v="0"/>
    <n v="0"/>
    <m/>
    <m/>
    <m/>
    <m/>
    <n v="0"/>
    <m/>
    <m/>
    <n v="0"/>
    <m/>
    <m/>
    <m/>
    <m/>
    <m/>
    <m/>
    <n v="0"/>
    <n v="0"/>
  </r>
  <r>
    <x v="0"/>
    <x v="1"/>
    <s v="Medical Center"/>
    <m/>
    <n v="102094"/>
    <x v="2"/>
    <m/>
    <m/>
    <m/>
    <m/>
    <m/>
    <m/>
    <m/>
    <m/>
    <n v="0"/>
    <m/>
    <m/>
    <n v="0"/>
    <n v="0"/>
    <n v="0"/>
    <m/>
    <m/>
    <m/>
    <m/>
    <n v="0"/>
    <m/>
    <m/>
    <n v="0"/>
    <n v="72133226"/>
    <n v="83280987"/>
    <n v="46183686"/>
    <m/>
    <n v="46631094"/>
    <m/>
    <n v="118316912"/>
    <n v="129912081"/>
  </r>
  <r>
    <x v="0"/>
    <x v="4"/>
    <s v="Non-credit continuing education"/>
    <m/>
    <n v="102094"/>
    <x v="2"/>
    <m/>
    <m/>
    <m/>
    <m/>
    <m/>
    <m/>
    <m/>
    <m/>
    <n v="0"/>
    <m/>
    <m/>
    <n v="0"/>
    <n v="0"/>
    <n v="0"/>
    <m/>
    <m/>
    <m/>
    <m/>
    <n v="0"/>
    <m/>
    <m/>
    <n v="0"/>
    <m/>
    <m/>
    <m/>
    <m/>
    <m/>
    <m/>
    <n v="0"/>
    <n v="0"/>
  </r>
  <r>
    <x v="0"/>
    <x v="4"/>
    <s v="Teacher In-service Center"/>
    <m/>
    <n v="102094"/>
    <x v="2"/>
    <m/>
    <m/>
    <n v="302337"/>
    <n v="302337"/>
    <m/>
    <m/>
    <m/>
    <m/>
    <n v="0"/>
    <m/>
    <m/>
    <n v="0"/>
    <n v="302337"/>
    <n v="302337"/>
    <m/>
    <m/>
    <m/>
    <m/>
    <n v="0"/>
    <m/>
    <m/>
    <n v="0"/>
    <m/>
    <m/>
    <m/>
    <m/>
    <m/>
    <m/>
    <n v="302337"/>
    <n v="302337"/>
  </r>
  <r>
    <x v="0"/>
    <x v="0"/>
    <s v="Alabama State University "/>
    <m/>
    <n v="100724"/>
    <x v="3"/>
    <n v="40907397"/>
    <n v="41590224"/>
    <m/>
    <m/>
    <m/>
    <m/>
    <n v="40242982"/>
    <n v="16449488"/>
    <n v="56692470"/>
    <n v="50180136"/>
    <n v="16380000"/>
    <n v="66560136"/>
    <n v="81150379"/>
    <n v="91770360"/>
    <m/>
    <m/>
    <m/>
    <m/>
    <n v="0"/>
    <m/>
    <m/>
    <n v="0"/>
    <m/>
    <m/>
    <m/>
    <m/>
    <m/>
    <m/>
    <n v="81150379"/>
    <n v="91770360"/>
  </r>
  <r>
    <x v="0"/>
    <x v="3"/>
    <s v="Community or public service units"/>
    <m/>
    <n v="100724"/>
    <x v="3"/>
    <m/>
    <m/>
    <m/>
    <m/>
    <m/>
    <m/>
    <m/>
    <m/>
    <n v="0"/>
    <m/>
    <m/>
    <n v="0"/>
    <n v="0"/>
    <n v="0"/>
    <m/>
    <m/>
    <m/>
    <m/>
    <n v="0"/>
    <m/>
    <m/>
    <n v="0"/>
    <m/>
    <m/>
    <m/>
    <m/>
    <m/>
    <m/>
    <n v="0"/>
    <n v="0"/>
  </r>
  <r>
    <x v="0"/>
    <x v="3"/>
    <s v="Cooperative Efforts to Enhance Community Ed Institute"/>
    <m/>
    <n v="100724"/>
    <x v="3"/>
    <m/>
    <m/>
    <m/>
    <m/>
    <m/>
    <m/>
    <m/>
    <m/>
    <n v="0"/>
    <m/>
    <m/>
    <n v="0"/>
    <n v="0"/>
    <n v="0"/>
    <m/>
    <m/>
    <m/>
    <m/>
    <n v="0"/>
    <m/>
    <m/>
    <n v="0"/>
    <m/>
    <m/>
    <m/>
    <m/>
    <m/>
    <m/>
    <n v="0"/>
    <n v="0"/>
  </r>
  <r>
    <x v="0"/>
    <x v="3"/>
    <s v="Minority Technology Network"/>
    <m/>
    <n v="100724"/>
    <x v="3"/>
    <m/>
    <m/>
    <m/>
    <m/>
    <m/>
    <m/>
    <m/>
    <m/>
    <n v="0"/>
    <m/>
    <m/>
    <n v="0"/>
    <n v="0"/>
    <n v="0"/>
    <m/>
    <m/>
    <m/>
    <m/>
    <n v="0"/>
    <m/>
    <m/>
    <n v="0"/>
    <m/>
    <m/>
    <m/>
    <m/>
    <m/>
    <m/>
    <n v="0"/>
    <n v="0"/>
  </r>
  <r>
    <x v="0"/>
    <x v="4"/>
    <s v="Non-credit continuing education"/>
    <m/>
    <n v="100724"/>
    <x v="3"/>
    <m/>
    <m/>
    <m/>
    <m/>
    <m/>
    <m/>
    <m/>
    <m/>
    <n v="0"/>
    <m/>
    <m/>
    <n v="0"/>
    <n v="0"/>
    <n v="0"/>
    <m/>
    <m/>
    <m/>
    <m/>
    <n v="0"/>
    <m/>
    <m/>
    <n v="0"/>
    <m/>
    <m/>
    <m/>
    <m/>
    <m/>
    <m/>
    <n v="0"/>
    <n v="0"/>
  </r>
  <r>
    <x v="0"/>
    <x v="4"/>
    <s v="Teacher In-service Center"/>
    <m/>
    <n v="100724"/>
    <x v="3"/>
    <m/>
    <m/>
    <n v="221456"/>
    <n v="221456"/>
    <m/>
    <m/>
    <m/>
    <m/>
    <n v="0"/>
    <m/>
    <m/>
    <n v="0"/>
    <n v="221456"/>
    <n v="221456"/>
    <m/>
    <m/>
    <m/>
    <m/>
    <n v="0"/>
    <m/>
    <m/>
    <n v="0"/>
    <m/>
    <m/>
    <m/>
    <m/>
    <m/>
    <m/>
    <n v="221456"/>
    <n v="221456"/>
  </r>
  <r>
    <x v="0"/>
    <x v="0"/>
    <s v="Auburn University at Montgomery"/>
    <m/>
    <n v="100830"/>
    <x v="3"/>
    <n v="21832750"/>
    <n v="22143812"/>
    <m/>
    <m/>
    <m/>
    <m/>
    <n v="35827745"/>
    <n v="3678449"/>
    <n v="39506194"/>
    <n v="30102049"/>
    <n v="4643585"/>
    <n v="34745634"/>
    <n v="57660495"/>
    <n v="52245861"/>
    <m/>
    <m/>
    <m/>
    <m/>
    <n v="0"/>
    <m/>
    <m/>
    <n v="0"/>
    <m/>
    <m/>
    <m/>
    <m/>
    <m/>
    <m/>
    <n v="57660495"/>
    <n v="52245861"/>
  </r>
  <r>
    <x v="0"/>
    <x v="3"/>
    <s v="Community or public service units"/>
    <m/>
    <n v="100830"/>
    <x v="3"/>
    <m/>
    <m/>
    <m/>
    <m/>
    <m/>
    <m/>
    <m/>
    <m/>
    <n v="0"/>
    <m/>
    <m/>
    <n v="0"/>
    <n v="0"/>
    <n v="0"/>
    <m/>
    <m/>
    <m/>
    <m/>
    <n v="0"/>
    <m/>
    <m/>
    <n v="0"/>
    <m/>
    <m/>
    <m/>
    <m/>
    <m/>
    <m/>
    <n v="0"/>
    <n v="0"/>
  </r>
  <r>
    <x v="0"/>
    <x v="3"/>
    <s v="S.E.R.I.E.S. Pgm"/>
    <m/>
    <n v="100830"/>
    <x v="3"/>
    <m/>
    <m/>
    <m/>
    <m/>
    <m/>
    <m/>
    <m/>
    <m/>
    <n v="0"/>
    <m/>
    <m/>
    <n v="0"/>
    <n v="0"/>
    <n v="0"/>
    <m/>
    <m/>
    <m/>
    <m/>
    <n v="0"/>
    <m/>
    <m/>
    <n v="0"/>
    <m/>
    <m/>
    <m/>
    <m/>
    <m/>
    <m/>
    <n v="0"/>
    <n v="0"/>
  </r>
  <r>
    <x v="0"/>
    <x v="3"/>
    <s v="Institute for Accoutability &amp; Governement Efficiency"/>
    <m/>
    <n v="100830"/>
    <x v="3"/>
    <m/>
    <m/>
    <m/>
    <n v="299000"/>
    <m/>
    <m/>
    <m/>
    <m/>
    <n v="0"/>
    <m/>
    <m/>
    <n v="0"/>
    <n v="0"/>
    <n v="299000"/>
    <m/>
    <m/>
    <m/>
    <m/>
    <n v="0"/>
    <m/>
    <m/>
    <n v="0"/>
    <m/>
    <m/>
    <m/>
    <m/>
    <m/>
    <m/>
    <n v="0"/>
    <n v="299000"/>
  </r>
  <r>
    <x v="0"/>
    <x v="3"/>
    <s v="GAAT/CPM Prm"/>
    <m/>
    <n v="100830"/>
    <x v="3"/>
    <m/>
    <m/>
    <m/>
    <m/>
    <m/>
    <m/>
    <m/>
    <m/>
    <n v="0"/>
    <m/>
    <m/>
    <n v="0"/>
    <n v="0"/>
    <n v="0"/>
    <m/>
    <m/>
    <m/>
    <m/>
    <n v="0"/>
    <m/>
    <m/>
    <n v="0"/>
    <m/>
    <m/>
    <m/>
    <m/>
    <m/>
    <m/>
    <n v="0"/>
    <n v="0"/>
  </r>
  <r>
    <x v="0"/>
    <x v="3"/>
    <s v="Senior Resource Center"/>
    <m/>
    <n v="100830"/>
    <x v="3"/>
    <m/>
    <m/>
    <n v="114915"/>
    <n v="114915"/>
    <m/>
    <m/>
    <m/>
    <m/>
    <n v="0"/>
    <m/>
    <m/>
    <n v="0"/>
    <n v="114915"/>
    <n v="114915"/>
    <m/>
    <m/>
    <m/>
    <m/>
    <n v="0"/>
    <m/>
    <m/>
    <n v="0"/>
    <m/>
    <m/>
    <m/>
    <m/>
    <m/>
    <m/>
    <n v="114915"/>
    <n v="114915"/>
  </r>
  <r>
    <x v="0"/>
    <x v="0"/>
    <s v="University of North Alabama"/>
    <m/>
    <n v="101879"/>
    <x v="3"/>
    <n v="24764488"/>
    <n v="25917319"/>
    <m/>
    <m/>
    <m/>
    <m/>
    <n v="45093747"/>
    <n v="2171266"/>
    <n v="47265013"/>
    <n v="44668825"/>
    <n v="2691321"/>
    <n v="47360146"/>
    <n v="69858235"/>
    <n v="70586144"/>
    <m/>
    <m/>
    <m/>
    <m/>
    <n v="0"/>
    <m/>
    <m/>
    <n v="0"/>
    <m/>
    <m/>
    <m/>
    <m/>
    <m/>
    <m/>
    <n v="69858235"/>
    <n v="70586144"/>
  </r>
  <r>
    <x v="0"/>
    <x v="4"/>
    <s v="Non-credit continuing education"/>
    <m/>
    <n v="101879"/>
    <x v="3"/>
    <m/>
    <m/>
    <m/>
    <m/>
    <m/>
    <m/>
    <m/>
    <m/>
    <n v="0"/>
    <m/>
    <m/>
    <n v="0"/>
    <n v="0"/>
    <n v="0"/>
    <m/>
    <m/>
    <m/>
    <m/>
    <n v="0"/>
    <m/>
    <m/>
    <n v="0"/>
    <m/>
    <m/>
    <m/>
    <m/>
    <m/>
    <m/>
    <n v="0"/>
    <n v="0"/>
  </r>
  <r>
    <x v="0"/>
    <x v="4"/>
    <s v="Teacher In-service Center"/>
    <m/>
    <n v="101879"/>
    <x v="3"/>
    <m/>
    <m/>
    <n v="198974"/>
    <n v="198974"/>
    <m/>
    <m/>
    <m/>
    <m/>
    <n v="0"/>
    <m/>
    <m/>
    <n v="0"/>
    <n v="198974"/>
    <n v="198974"/>
    <m/>
    <m/>
    <m/>
    <m/>
    <n v="0"/>
    <m/>
    <m/>
    <n v="0"/>
    <m/>
    <m/>
    <m/>
    <m/>
    <m/>
    <m/>
    <n v="198974"/>
    <n v="198974"/>
  </r>
  <r>
    <x v="0"/>
    <x v="0"/>
    <s v="University of Montevallo"/>
    <m/>
    <n v="101709"/>
    <x v="4"/>
    <n v="17551449"/>
    <n v="17801513"/>
    <m/>
    <m/>
    <m/>
    <m/>
    <n v="28503867"/>
    <m/>
    <n v="28503867"/>
    <n v="30320252"/>
    <m/>
    <n v="30320252"/>
    <n v="46055316"/>
    <n v="48121765"/>
    <m/>
    <m/>
    <m/>
    <m/>
    <n v="0"/>
    <m/>
    <m/>
    <n v="0"/>
    <m/>
    <m/>
    <m/>
    <m/>
    <m/>
    <m/>
    <n v="46055316"/>
    <n v="48121765"/>
  </r>
  <r>
    <x v="0"/>
    <x v="3"/>
    <s v="American Village"/>
    <m/>
    <n v="101709"/>
    <x v="4"/>
    <m/>
    <m/>
    <m/>
    <n v="25000"/>
    <m/>
    <m/>
    <m/>
    <m/>
    <n v="0"/>
    <m/>
    <m/>
    <n v="0"/>
    <n v="0"/>
    <n v="25000"/>
    <m/>
    <m/>
    <m/>
    <m/>
    <n v="0"/>
    <m/>
    <m/>
    <n v="0"/>
    <m/>
    <m/>
    <m/>
    <m/>
    <m/>
    <m/>
    <n v="0"/>
    <n v="25000"/>
  </r>
  <r>
    <x v="0"/>
    <x v="4"/>
    <s v="Non-credit continuing education"/>
    <m/>
    <n v="101709"/>
    <x v="4"/>
    <m/>
    <m/>
    <m/>
    <m/>
    <m/>
    <m/>
    <m/>
    <m/>
    <n v="0"/>
    <m/>
    <m/>
    <n v="0"/>
    <n v="0"/>
    <n v="0"/>
    <m/>
    <m/>
    <m/>
    <m/>
    <n v="0"/>
    <m/>
    <m/>
    <n v="0"/>
    <m/>
    <m/>
    <m/>
    <m/>
    <m/>
    <m/>
    <n v="0"/>
    <n v="0"/>
  </r>
  <r>
    <x v="0"/>
    <x v="4"/>
    <s v="Teacher In-service Center"/>
    <m/>
    <n v="101709"/>
    <x v="4"/>
    <m/>
    <m/>
    <n v="229983"/>
    <n v="229983"/>
    <m/>
    <m/>
    <m/>
    <m/>
    <n v="0"/>
    <m/>
    <m/>
    <n v="0"/>
    <n v="229983"/>
    <n v="229983"/>
    <m/>
    <m/>
    <m/>
    <m/>
    <n v="0"/>
    <m/>
    <m/>
    <n v="0"/>
    <m/>
    <m/>
    <m/>
    <m/>
    <m/>
    <m/>
    <n v="229983"/>
    <n v="229983"/>
  </r>
  <r>
    <x v="0"/>
    <x v="0"/>
    <s v="University of West Alabama"/>
    <m/>
    <n v="101587"/>
    <x v="4"/>
    <n v="12224664"/>
    <n v="12547410"/>
    <m/>
    <m/>
    <m/>
    <m/>
    <n v="12500691"/>
    <m/>
    <n v="12500691"/>
    <n v="14547970"/>
    <m/>
    <n v="14547970"/>
    <n v="24725355"/>
    <n v="27095380"/>
    <m/>
    <m/>
    <m/>
    <m/>
    <n v="0"/>
    <m/>
    <m/>
    <n v="0"/>
    <m/>
    <m/>
    <m/>
    <m/>
    <m/>
    <m/>
    <n v="24725355"/>
    <n v="27095380"/>
  </r>
  <r>
    <x v="0"/>
    <x v="3"/>
    <s v="Community or public service units"/>
    <m/>
    <n v="101587"/>
    <x v="4"/>
    <m/>
    <m/>
    <m/>
    <m/>
    <m/>
    <m/>
    <m/>
    <m/>
    <n v="0"/>
    <m/>
    <m/>
    <n v="0"/>
    <n v="0"/>
    <n v="0"/>
    <m/>
    <m/>
    <m/>
    <m/>
    <n v="0"/>
    <m/>
    <m/>
    <n v="0"/>
    <m/>
    <m/>
    <m/>
    <m/>
    <m/>
    <m/>
    <n v="0"/>
    <n v="0"/>
  </r>
  <r>
    <x v="0"/>
    <x v="3"/>
    <s v="AL Medical Ed Consortium"/>
    <m/>
    <n v="101587"/>
    <x v="4"/>
    <m/>
    <m/>
    <n v="690652"/>
    <n v="690652"/>
    <m/>
    <m/>
    <m/>
    <m/>
    <n v="0"/>
    <m/>
    <m/>
    <n v="0"/>
    <n v="690652"/>
    <n v="690652"/>
    <m/>
    <m/>
    <m/>
    <m/>
    <n v="0"/>
    <m/>
    <m/>
    <n v="0"/>
    <m/>
    <m/>
    <m/>
    <m/>
    <m/>
    <m/>
    <n v="690652"/>
    <n v="690652"/>
  </r>
  <r>
    <x v="0"/>
    <x v="3"/>
    <s v="Econ &amp; Small Bus Devel Prm"/>
    <m/>
    <n v="101587"/>
    <x v="4"/>
    <m/>
    <m/>
    <n v="188236"/>
    <n v="188236"/>
    <m/>
    <m/>
    <m/>
    <m/>
    <n v="0"/>
    <m/>
    <m/>
    <n v="0"/>
    <n v="188236"/>
    <n v="188236"/>
    <m/>
    <m/>
    <m/>
    <m/>
    <n v="0"/>
    <m/>
    <m/>
    <n v="0"/>
    <m/>
    <m/>
    <m/>
    <m/>
    <m/>
    <m/>
    <n v="188236"/>
    <n v="188236"/>
  </r>
  <r>
    <x v="0"/>
    <x v="3"/>
    <s v="Regional Wellness &amp; Fitness Center"/>
    <m/>
    <n v="101587"/>
    <x v="4"/>
    <m/>
    <m/>
    <m/>
    <m/>
    <m/>
    <m/>
    <m/>
    <m/>
    <n v="0"/>
    <m/>
    <m/>
    <n v="0"/>
    <n v="0"/>
    <n v="0"/>
    <m/>
    <m/>
    <m/>
    <m/>
    <n v="0"/>
    <m/>
    <m/>
    <n v="0"/>
    <m/>
    <m/>
    <m/>
    <m/>
    <m/>
    <m/>
    <n v="0"/>
    <n v="0"/>
  </r>
  <r>
    <x v="0"/>
    <x v="3"/>
    <s v="National Young Farmers Ed Assoc"/>
    <m/>
    <n v="101587"/>
    <x v="4"/>
    <m/>
    <m/>
    <m/>
    <n v="50000"/>
    <m/>
    <m/>
    <m/>
    <m/>
    <n v="0"/>
    <m/>
    <m/>
    <n v="0"/>
    <n v="0"/>
    <n v="50000"/>
    <m/>
    <m/>
    <m/>
    <m/>
    <n v="0"/>
    <m/>
    <m/>
    <n v="0"/>
    <m/>
    <m/>
    <m/>
    <m/>
    <m/>
    <m/>
    <n v="0"/>
    <n v="50000"/>
  </r>
  <r>
    <x v="0"/>
    <x v="0"/>
    <s v="Athens State University"/>
    <m/>
    <n v="100812"/>
    <x v="5"/>
    <n v="11178201"/>
    <n v="11264712"/>
    <m/>
    <m/>
    <m/>
    <m/>
    <n v="14481984"/>
    <n v="2867842"/>
    <n v="17349826"/>
    <n v="16998815"/>
    <n v="1300000"/>
    <n v="18298815"/>
    <n v="25660185"/>
    <n v="28263527"/>
    <m/>
    <m/>
    <m/>
    <m/>
    <n v="0"/>
    <m/>
    <m/>
    <n v="0"/>
    <m/>
    <m/>
    <m/>
    <m/>
    <m/>
    <m/>
    <n v="25660185"/>
    <n v="28263527"/>
  </r>
  <r>
    <x v="0"/>
    <x v="4"/>
    <s v="Non-credit continuing education"/>
    <m/>
    <n v="100812"/>
    <x v="5"/>
    <m/>
    <m/>
    <m/>
    <m/>
    <m/>
    <m/>
    <m/>
    <m/>
    <n v="0"/>
    <m/>
    <m/>
    <n v="0"/>
    <n v="0"/>
    <n v="0"/>
    <m/>
    <m/>
    <m/>
    <m/>
    <n v="0"/>
    <m/>
    <m/>
    <n v="0"/>
    <m/>
    <m/>
    <m/>
    <m/>
    <m/>
    <m/>
    <n v="0"/>
    <n v="0"/>
  </r>
  <r>
    <x v="0"/>
    <x v="4"/>
    <s v="Teacher In-service Center"/>
    <m/>
    <n v="100812"/>
    <x v="5"/>
    <m/>
    <m/>
    <n v="214479"/>
    <n v="214479"/>
    <m/>
    <m/>
    <m/>
    <m/>
    <n v="0"/>
    <m/>
    <m/>
    <n v="0"/>
    <n v="214479"/>
    <n v="214479"/>
    <m/>
    <m/>
    <m/>
    <m/>
    <n v="0"/>
    <m/>
    <m/>
    <n v="0"/>
    <m/>
    <m/>
    <m/>
    <m/>
    <m/>
    <m/>
    <n v="214479"/>
    <n v="214479"/>
  </r>
  <r>
    <x v="0"/>
    <x v="0"/>
    <s v="Gadsden State Community College"/>
    <s v="Met the criteria for Two-Year 2 in 2013-14."/>
    <n v="101240"/>
    <x v="6"/>
    <n v="22256374"/>
    <n v="22261228"/>
    <m/>
    <m/>
    <n v="84550"/>
    <n v="780000"/>
    <n v="17582902"/>
    <n v="910644"/>
    <n v="18493546"/>
    <n v="17248503"/>
    <n v="1194497"/>
    <n v="18443000"/>
    <n v="39923826"/>
    <n v="40289731"/>
    <m/>
    <m/>
    <m/>
    <m/>
    <n v="0"/>
    <m/>
    <m/>
    <n v="0"/>
    <m/>
    <m/>
    <m/>
    <m/>
    <m/>
    <m/>
    <n v="39923826"/>
    <n v="40289731"/>
  </r>
  <r>
    <x v="0"/>
    <x v="8"/>
    <s v="Special line items for education operations"/>
    <m/>
    <n v="101240"/>
    <x v="6"/>
    <m/>
    <m/>
    <m/>
    <m/>
    <m/>
    <m/>
    <m/>
    <m/>
    <n v="0"/>
    <m/>
    <m/>
    <n v="0"/>
    <n v="0"/>
    <n v="0"/>
    <m/>
    <m/>
    <m/>
    <m/>
    <n v="0"/>
    <m/>
    <m/>
    <n v="0"/>
    <m/>
    <m/>
    <m/>
    <m/>
    <m/>
    <m/>
    <n v="0"/>
    <n v="0"/>
  </r>
  <r>
    <x v="0"/>
    <x v="8"/>
    <s v="Special Population Training"/>
    <m/>
    <n v="101240"/>
    <x v="6"/>
    <m/>
    <m/>
    <n v="150"/>
    <n v="230307"/>
    <m/>
    <m/>
    <m/>
    <m/>
    <n v="0"/>
    <m/>
    <m/>
    <n v="0"/>
    <n v="150"/>
    <n v="230307"/>
    <m/>
    <m/>
    <m/>
    <m/>
    <n v="0"/>
    <m/>
    <m/>
    <n v="0"/>
    <m/>
    <m/>
    <m/>
    <m/>
    <m/>
    <m/>
    <n v="150"/>
    <n v="230307"/>
  </r>
  <r>
    <x v="0"/>
    <x v="8"/>
    <s v="Adult Basic Education"/>
    <m/>
    <n v="101240"/>
    <x v="6"/>
    <m/>
    <m/>
    <n v="715946"/>
    <n v="690214"/>
    <m/>
    <m/>
    <m/>
    <m/>
    <n v="0"/>
    <m/>
    <m/>
    <n v="0"/>
    <n v="715946"/>
    <n v="690214"/>
    <m/>
    <m/>
    <m/>
    <m/>
    <n v="0"/>
    <m/>
    <m/>
    <n v="0"/>
    <m/>
    <m/>
    <m/>
    <m/>
    <m/>
    <m/>
    <n v="715946"/>
    <n v="690214"/>
  </r>
  <r>
    <x v="0"/>
    <x v="8"/>
    <s v="Workforce Development"/>
    <m/>
    <n v="101240"/>
    <x v="6"/>
    <m/>
    <m/>
    <n v="349950"/>
    <n v="197041"/>
    <m/>
    <m/>
    <m/>
    <m/>
    <n v="0"/>
    <m/>
    <m/>
    <n v="0"/>
    <n v="349950"/>
    <n v="197041"/>
    <m/>
    <m/>
    <m/>
    <m/>
    <n v="0"/>
    <m/>
    <m/>
    <n v="0"/>
    <m/>
    <m/>
    <m/>
    <m/>
    <m/>
    <m/>
    <n v="349950"/>
    <n v="197041"/>
  </r>
  <r>
    <x v="0"/>
    <x v="0"/>
    <s v="Jefferson State Community College"/>
    <m/>
    <n v="101505"/>
    <x v="6"/>
    <n v="18668724"/>
    <n v="19277983"/>
    <m/>
    <m/>
    <m/>
    <n v="870000"/>
    <n v="21843575"/>
    <n v="4688044"/>
    <n v="26531619"/>
    <n v="23323928"/>
    <n v="4620117"/>
    <n v="27944045"/>
    <n v="40512299"/>
    <n v="43471911"/>
    <m/>
    <m/>
    <m/>
    <m/>
    <n v="0"/>
    <m/>
    <m/>
    <n v="0"/>
    <m/>
    <m/>
    <m/>
    <m/>
    <m/>
    <m/>
    <n v="40512299"/>
    <n v="43471911"/>
  </r>
  <r>
    <x v="0"/>
    <x v="8"/>
    <s v="Special Population Training"/>
    <m/>
    <n v="101505"/>
    <x v="6"/>
    <m/>
    <m/>
    <n v="27250"/>
    <n v="27363"/>
    <m/>
    <m/>
    <m/>
    <m/>
    <n v="0"/>
    <m/>
    <m/>
    <n v="0"/>
    <n v="27250"/>
    <n v="27363"/>
    <m/>
    <m/>
    <m/>
    <m/>
    <n v="0"/>
    <m/>
    <m/>
    <n v="0"/>
    <m/>
    <m/>
    <m/>
    <m/>
    <m/>
    <m/>
    <n v="27250"/>
    <n v="27363"/>
  </r>
  <r>
    <x v="0"/>
    <x v="8"/>
    <s v="Adult Basic Education"/>
    <m/>
    <n v="101505"/>
    <x v="6"/>
    <m/>
    <m/>
    <n v="719745"/>
    <n v="701960"/>
    <m/>
    <m/>
    <m/>
    <m/>
    <n v="0"/>
    <m/>
    <m/>
    <n v="0"/>
    <n v="719745"/>
    <n v="701960"/>
    <m/>
    <m/>
    <m/>
    <m/>
    <n v="0"/>
    <m/>
    <m/>
    <n v="0"/>
    <m/>
    <m/>
    <m/>
    <m/>
    <m/>
    <m/>
    <n v="719745"/>
    <n v="701960"/>
  </r>
  <r>
    <x v="0"/>
    <x v="8"/>
    <s v="Workforce Development"/>
    <m/>
    <n v="101505"/>
    <x v="6"/>
    <m/>
    <m/>
    <n v="304587"/>
    <n v="227430"/>
    <m/>
    <m/>
    <m/>
    <m/>
    <n v="0"/>
    <m/>
    <m/>
    <n v="0"/>
    <n v="304587"/>
    <n v="227430"/>
    <m/>
    <m/>
    <m/>
    <m/>
    <n v="0"/>
    <m/>
    <m/>
    <n v="0"/>
    <m/>
    <m/>
    <m/>
    <m/>
    <m/>
    <m/>
    <n v="304587"/>
    <n v="227430"/>
  </r>
  <r>
    <x v="0"/>
    <x v="3"/>
    <s v="Community or public service units"/>
    <m/>
    <n v="101505"/>
    <x v="6"/>
    <m/>
    <m/>
    <m/>
    <m/>
    <m/>
    <m/>
    <m/>
    <m/>
    <n v="0"/>
    <m/>
    <m/>
    <n v="0"/>
    <n v="0"/>
    <n v="0"/>
    <m/>
    <m/>
    <m/>
    <m/>
    <n v="0"/>
    <m/>
    <m/>
    <n v="0"/>
    <m/>
    <m/>
    <m/>
    <m/>
    <m/>
    <m/>
    <n v="0"/>
    <n v="0"/>
  </r>
  <r>
    <x v="0"/>
    <x v="3"/>
    <s v="Ctr for Labor Ed &amp; Res"/>
    <m/>
    <n v="101505"/>
    <x v="6"/>
    <m/>
    <s v=" "/>
    <m/>
    <m/>
    <m/>
    <m/>
    <m/>
    <m/>
    <n v="0"/>
    <m/>
    <m/>
    <n v="0"/>
    <n v="0"/>
    <n v="0"/>
    <m/>
    <m/>
    <m/>
    <m/>
    <n v="0"/>
    <m/>
    <m/>
    <n v="0"/>
    <m/>
    <m/>
    <m/>
    <m/>
    <m/>
    <m/>
    <n v="0"/>
    <n v="0"/>
  </r>
  <r>
    <x v="0"/>
    <x v="0"/>
    <s v="John C. Calhoun State Community College "/>
    <m/>
    <n v="101514"/>
    <x v="6"/>
    <n v="21027062"/>
    <n v="22211649"/>
    <m/>
    <m/>
    <m/>
    <m/>
    <n v="31978968"/>
    <n v="2624242"/>
    <n v="34603210"/>
    <n v="31712969"/>
    <n v="2773200"/>
    <n v="34486169"/>
    <n v="53006030"/>
    <n v="53924618"/>
    <m/>
    <m/>
    <m/>
    <m/>
    <n v="0"/>
    <m/>
    <m/>
    <n v="0"/>
    <m/>
    <m/>
    <m/>
    <m/>
    <m/>
    <m/>
    <n v="53006030"/>
    <n v="53924618"/>
  </r>
  <r>
    <x v="0"/>
    <x v="8"/>
    <s v="Special line items for education operations"/>
    <m/>
    <n v="101514"/>
    <x v="6"/>
    <m/>
    <m/>
    <m/>
    <m/>
    <m/>
    <m/>
    <m/>
    <m/>
    <n v="0"/>
    <m/>
    <m/>
    <n v="0"/>
    <n v="0"/>
    <n v="0"/>
    <m/>
    <m/>
    <m/>
    <m/>
    <n v="0"/>
    <m/>
    <m/>
    <n v="0"/>
    <m/>
    <m/>
    <m/>
    <m/>
    <m/>
    <m/>
    <n v="0"/>
    <n v="0"/>
  </r>
  <r>
    <x v="0"/>
    <x v="8"/>
    <s v="Special Population Training"/>
    <m/>
    <n v="101514"/>
    <x v="6"/>
    <m/>
    <m/>
    <n v="97900"/>
    <m/>
    <m/>
    <m/>
    <m/>
    <m/>
    <n v="0"/>
    <m/>
    <m/>
    <n v="0"/>
    <n v="97900"/>
    <n v="0"/>
    <m/>
    <m/>
    <m/>
    <m/>
    <n v="0"/>
    <m/>
    <m/>
    <n v="0"/>
    <m/>
    <m/>
    <m/>
    <m/>
    <m/>
    <m/>
    <n v="97900"/>
    <n v="0"/>
  </r>
  <r>
    <x v="0"/>
    <x v="8"/>
    <s v="Adult Basic Education"/>
    <m/>
    <n v="101514"/>
    <x v="6"/>
    <m/>
    <m/>
    <n v="1258377"/>
    <n v="827264"/>
    <m/>
    <m/>
    <m/>
    <m/>
    <n v="0"/>
    <m/>
    <m/>
    <n v="0"/>
    <n v="1258377"/>
    <n v="827264"/>
    <m/>
    <m/>
    <m/>
    <m/>
    <n v="0"/>
    <m/>
    <m/>
    <n v="0"/>
    <m/>
    <m/>
    <m/>
    <m/>
    <m/>
    <m/>
    <n v="1258377"/>
    <n v="827264"/>
  </r>
  <r>
    <x v="0"/>
    <x v="8"/>
    <s v="Workforce Development"/>
    <m/>
    <n v="101514"/>
    <x v="6"/>
    <m/>
    <m/>
    <n v="253076"/>
    <n v="192175"/>
    <m/>
    <m/>
    <m/>
    <m/>
    <n v="0"/>
    <m/>
    <m/>
    <n v="0"/>
    <n v="253076"/>
    <n v="192175"/>
    <m/>
    <m/>
    <m/>
    <m/>
    <n v="0"/>
    <m/>
    <m/>
    <n v="0"/>
    <m/>
    <m/>
    <m/>
    <m/>
    <m/>
    <m/>
    <n v="253076"/>
    <n v="192175"/>
  </r>
  <r>
    <x v="0"/>
    <x v="0"/>
    <s v="Wallace Community College - Hanceville"/>
    <s v="Met the criteria for Two-Year 2 in 2012-13 and 2013-14."/>
    <n v="101295"/>
    <x v="6"/>
    <n v="15769713"/>
    <n v="18328943"/>
    <m/>
    <m/>
    <m/>
    <m/>
    <n v="15762982"/>
    <n v="3665371"/>
    <n v="19428353"/>
    <n v="14774835"/>
    <n v="3657088"/>
    <n v="18431923"/>
    <n v="31532695"/>
    <n v="33103778"/>
    <m/>
    <m/>
    <m/>
    <m/>
    <n v="0"/>
    <m/>
    <m/>
    <n v="0"/>
    <m/>
    <m/>
    <m/>
    <m/>
    <m/>
    <m/>
    <n v="31532695"/>
    <n v="33103778"/>
  </r>
  <r>
    <x v="0"/>
    <x v="8"/>
    <s v="Special line items for education operations"/>
    <m/>
    <n v="101295"/>
    <x v="6"/>
    <m/>
    <m/>
    <m/>
    <m/>
    <m/>
    <m/>
    <m/>
    <m/>
    <n v="0"/>
    <m/>
    <m/>
    <n v="0"/>
    <n v="0"/>
    <n v="0"/>
    <m/>
    <m/>
    <m/>
    <m/>
    <n v="0"/>
    <m/>
    <m/>
    <n v="0"/>
    <m/>
    <m/>
    <m/>
    <m/>
    <m/>
    <m/>
    <n v="0"/>
    <n v="0"/>
  </r>
  <r>
    <x v="0"/>
    <x v="8"/>
    <s v="Special Population Training"/>
    <m/>
    <n v="101295"/>
    <x v="6"/>
    <m/>
    <m/>
    <n v="217757"/>
    <n v="245774"/>
    <m/>
    <m/>
    <m/>
    <m/>
    <n v="0"/>
    <m/>
    <m/>
    <n v="0"/>
    <n v="217757"/>
    <n v="245774"/>
    <m/>
    <m/>
    <m/>
    <m/>
    <n v="0"/>
    <m/>
    <m/>
    <n v="0"/>
    <m/>
    <m/>
    <m/>
    <m/>
    <m/>
    <m/>
    <n v="217757"/>
    <n v="245774"/>
  </r>
  <r>
    <x v="0"/>
    <x v="8"/>
    <s v="Adult Basic Education"/>
    <m/>
    <n v="101295"/>
    <x v="6"/>
    <m/>
    <m/>
    <n v="421444"/>
    <n v="401399"/>
    <m/>
    <m/>
    <m/>
    <m/>
    <n v="0"/>
    <m/>
    <m/>
    <n v="0"/>
    <n v="421444"/>
    <n v="401399"/>
    <m/>
    <m/>
    <m/>
    <m/>
    <n v="0"/>
    <m/>
    <m/>
    <n v="0"/>
    <m/>
    <m/>
    <m/>
    <m/>
    <m/>
    <m/>
    <n v="421444"/>
    <n v="401399"/>
  </r>
  <r>
    <x v="0"/>
    <x v="8"/>
    <s v="Workforce Development"/>
    <m/>
    <n v="101295"/>
    <x v="6"/>
    <m/>
    <m/>
    <n v="268637"/>
    <n v="134580"/>
    <m/>
    <m/>
    <m/>
    <m/>
    <n v="0"/>
    <m/>
    <m/>
    <n v="0"/>
    <n v="268637"/>
    <n v="134580"/>
    <m/>
    <m/>
    <m/>
    <m/>
    <n v="0"/>
    <m/>
    <m/>
    <n v="0"/>
    <m/>
    <m/>
    <m/>
    <m/>
    <m/>
    <m/>
    <n v="268637"/>
    <n v="134580"/>
  </r>
  <r>
    <x v="0"/>
    <x v="0"/>
    <s v="Bevill State Community College"/>
    <m/>
    <n v="102429"/>
    <x v="7"/>
    <n v="15406988"/>
    <n v="15634641"/>
    <m/>
    <m/>
    <m/>
    <m/>
    <n v="10637111"/>
    <n v="1608101"/>
    <n v="12245212"/>
    <n v="11184906"/>
    <n v="1628103"/>
    <n v="12813009"/>
    <n v="26044099"/>
    <n v="26819547"/>
    <m/>
    <m/>
    <m/>
    <m/>
    <n v="0"/>
    <m/>
    <m/>
    <n v="0"/>
    <m/>
    <m/>
    <m/>
    <m/>
    <m/>
    <m/>
    <n v="26044099"/>
    <n v="26819547"/>
  </r>
  <r>
    <x v="0"/>
    <x v="8"/>
    <s v="Special line items for education operations"/>
    <m/>
    <n v="102429"/>
    <x v="7"/>
    <m/>
    <m/>
    <m/>
    <m/>
    <m/>
    <m/>
    <m/>
    <m/>
    <n v="0"/>
    <m/>
    <m/>
    <n v="0"/>
    <n v="0"/>
    <n v="0"/>
    <m/>
    <m/>
    <m/>
    <m/>
    <n v="0"/>
    <m/>
    <m/>
    <n v="0"/>
    <m/>
    <m/>
    <m/>
    <m/>
    <m/>
    <m/>
    <n v="0"/>
    <n v="0"/>
  </r>
  <r>
    <x v="0"/>
    <x v="8"/>
    <s v="Special Population Training"/>
    <m/>
    <n v="102429"/>
    <x v="7"/>
    <m/>
    <m/>
    <n v="391046"/>
    <n v="194848"/>
    <m/>
    <m/>
    <m/>
    <m/>
    <n v="0"/>
    <m/>
    <m/>
    <n v="0"/>
    <n v="391046"/>
    <n v="194848"/>
    <m/>
    <m/>
    <m/>
    <m/>
    <n v="0"/>
    <m/>
    <m/>
    <n v="0"/>
    <m/>
    <m/>
    <m/>
    <m/>
    <m/>
    <m/>
    <n v="391046"/>
    <n v="194848"/>
  </r>
  <r>
    <x v="0"/>
    <x v="8"/>
    <s v="Adult Basic Education"/>
    <m/>
    <n v="102429"/>
    <x v="7"/>
    <m/>
    <m/>
    <n v="520159"/>
    <n v="439068"/>
    <m/>
    <m/>
    <m/>
    <m/>
    <n v="0"/>
    <m/>
    <m/>
    <n v="0"/>
    <n v="520159"/>
    <n v="439068"/>
    <m/>
    <m/>
    <m/>
    <m/>
    <n v="0"/>
    <m/>
    <m/>
    <n v="0"/>
    <m/>
    <m/>
    <m/>
    <m/>
    <m/>
    <m/>
    <n v="520159"/>
    <n v="439068"/>
  </r>
  <r>
    <x v="0"/>
    <x v="8"/>
    <s v="Workforce Development"/>
    <m/>
    <n v="102429"/>
    <x v="7"/>
    <m/>
    <m/>
    <n v="128196"/>
    <n v="80653"/>
    <m/>
    <m/>
    <m/>
    <m/>
    <n v="0"/>
    <m/>
    <m/>
    <n v="0"/>
    <n v="128196"/>
    <n v="80653"/>
    <m/>
    <m/>
    <m/>
    <m/>
    <n v="0"/>
    <m/>
    <m/>
    <n v="0"/>
    <m/>
    <m/>
    <m/>
    <m/>
    <m/>
    <m/>
    <n v="128196"/>
    <n v="80653"/>
  </r>
  <r>
    <x v="0"/>
    <x v="0"/>
    <s v="Bishop State Community College"/>
    <m/>
    <n v="102030"/>
    <x v="7"/>
    <n v="13787792"/>
    <n v="13812655"/>
    <m/>
    <m/>
    <n v="36550"/>
    <n v="35000"/>
    <n v="11931916"/>
    <n v="593973"/>
    <n v="12525889"/>
    <n v="11954253"/>
    <n v="596763"/>
    <n v="12551016"/>
    <n v="25756258"/>
    <n v="25801908"/>
    <m/>
    <m/>
    <m/>
    <m/>
    <n v="0"/>
    <m/>
    <m/>
    <n v="0"/>
    <m/>
    <m/>
    <m/>
    <m/>
    <m/>
    <m/>
    <n v="25756258"/>
    <n v="25801908"/>
  </r>
  <r>
    <x v="0"/>
    <x v="8"/>
    <s v="Special line items for education operations"/>
    <m/>
    <n v="102030"/>
    <x v="7"/>
    <m/>
    <m/>
    <m/>
    <m/>
    <m/>
    <m/>
    <m/>
    <m/>
    <n v="0"/>
    <m/>
    <m/>
    <n v="0"/>
    <n v="0"/>
    <n v="0"/>
    <m/>
    <m/>
    <m/>
    <m/>
    <n v="0"/>
    <m/>
    <m/>
    <n v="0"/>
    <m/>
    <m/>
    <m/>
    <m/>
    <m/>
    <m/>
    <n v="0"/>
    <n v="0"/>
  </r>
  <r>
    <x v="0"/>
    <x v="8"/>
    <s v="Special Population Training"/>
    <m/>
    <n v="102030"/>
    <x v="7"/>
    <m/>
    <m/>
    <n v="227693"/>
    <n v="189516"/>
    <m/>
    <m/>
    <m/>
    <m/>
    <n v="0"/>
    <m/>
    <m/>
    <n v="0"/>
    <n v="227693"/>
    <n v="189516"/>
    <m/>
    <m/>
    <m/>
    <m/>
    <n v="0"/>
    <m/>
    <m/>
    <n v="0"/>
    <m/>
    <m/>
    <m/>
    <m/>
    <m/>
    <m/>
    <n v="227693"/>
    <n v="189516"/>
  </r>
  <r>
    <x v="0"/>
    <x v="8"/>
    <s v="Adult Basic Education"/>
    <m/>
    <n v="102030"/>
    <x v="7"/>
    <m/>
    <m/>
    <n v="493423"/>
    <n v="470302"/>
    <m/>
    <m/>
    <m/>
    <m/>
    <n v="0"/>
    <m/>
    <m/>
    <n v="0"/>
    <n v="493423"/>
    <n v="470302"/>
    <m/>
    <m/>
    <m/>
    <m/>
    <n v="0"/>
    <m/>
    <m/>
    <n v="0"/>
    <m/>
    <m/>
    <m/>
    <m/>
    <m/>
    <m/>
    <n v="493423"/>
    <n v="470302"/>
  </r>
  <r>
    <x v="0"/>
    <x v="8"/>
    <s v="Workforce Development"/>
    <m/>
    <n v="102030"/>
    <x v="7"/>
    <m/>
    <m/>
    <m/>
    <n v="9673"/>
    <m/>
    <m/>
    <m/>
    <m/>
    <n v="0"/>
    <m/>
    <m/>
    <n v="0"/>
    <n v="0"/>
    <n v="9673"/>
    <m/>
    <m/>
    <m/>
    <m/>
    <n v="0"/>
    <m/>
    <m/>
    <n v="0"/>
    <m/>
    <m/>
    <m/>
    <m/>
    <m/>
    <m/>
    <n v="0"/>
    <n v="9673"/>
  </r>
  <r>
    <x v="0"/>
    <x v="0"/>
    <s v="Central Alabama Community College"/>
    <s v="Met the criteria for Two-Year 3 in 2012-13 and 2013-14."/>
    <n v="100760"/>
    <x v="7"/>
    <n v="7916684"/>
    <n v="8165944"/>
    <m/>
    <m/>
    <m/>
    <m/>
    <n v="6462855"/>
    <n v="310440"/>
    <n v="6773295"/>
    <n v="7340142"/>
    <n v="694832"/>
    <n v="8034974"/>
    <n v="14379539"/>
    <n v="15506086"/>
    <m/>
    <m/>
    <m/>
    <m/>
    <n v="0"/>
    <m/>
    <m/>
    <n v="0"/>
    <m/>
    <m/>
    <m/>
    <m/>
    <m/>
    <m/>
    <n v="14379539"/>
    <n v="15506086"/>
  </r>
  <r>
    <x v="0"/>
    <x v="8"/>
    <s v="Special line items for education operations"/>
    <m/>
    <n v="100760"/>
    <x v="7"/>
    <m/>
    <m/>
    <m/>
    <m/>
    <m/>
    <m/>
    <m/>
    <m/>
    <n v="0"/>
    <m/>
    <m/>
    <n v="0"/>
    <n v="0"/>
    <n v="0"/>
    <m/>
    <m/>
    <m/>
    <m/>
    <n v="0"/>
    <m/>
    <m/>
    <n v="0"/>
    <m/>
    <m/>
    <m/>
    <m/>
    <m/>
    <m/>
    <n v="0"/>
    <n v="0"/>
  </r>
  <r>
    <x v="0"/>
    <x v="8"/>
    <s v="Special Population Training"/>
    <m/>
    <n v="100760"/>
    <x v="7"/>
    <m/>
    <m/>
    <n v="67244"/>
    <n v="140144"/>
    <m/>
    <m/>
    <m/>
    <m/>
    <n v="0"/>
    <m/>
    <m/>
    <n v="0"/>
    <n v="67244"/>
    <n v="140144"/>
    <m/>
    <m/>
    <m/>
    <m/>
    <n v="0"/>
    <m/>
    <m/>
    <n v="0"/>
    <m/>
    <m/>
    <m/>
    <m/>
    <m/>
    <m/>
    <n v="67244"/>
    <n v="140144"/>
  </r>
  <r>
    <x v="0"/>
    <x v="8"/>
    <s v="Adult Basic Education"/>
    <m/>
    <n v="100760"/>
    <x v="7"/>
    <m/>
    <m/>
    <n v="535850"/>
    <n v="484698"/>
    <m/>
    <m/>
    <m/>
    <m/>
    <n v="0"/>
    <m/>
    <m/>
    <n v="0"/>
    <n v="535850"/>
    <n v="484698"/>
    <m/>
    <m/>
    <m/>
    <m/>
    <n v="0"/>
    <m/>
    <m/>
    <n v="0"/>
    <m/>
    <m/>
    <m/>
    <m/>
    <m/>
    <m/>
    <n v="535850"/>
    <n v="484698"/>
  </r>
  <r>
    <x v="0"/>
    <x v="8"/>
    <s v="Workforce Development"/>
    <m/>
    <n v="100760"/>
    <x v="7"/>
    <m/>
    <m/>
    <n v="35656"/>
    <n v="30858"/>
    <m/>
    <m/>
    <m/>
    <m/>
    <n v="0"/>
    <m/>
    <m/>
    <n v="0"/>
    <n v="35656"/>
    <n v="30858"/>
    <m/>
    <m/>
    <m/>
    <m/>
    <n v="0"/>
    <m/>
    <m/>
    <n v="0"/>
    <m/>
    <m/>
    <m/>
    <m/>
    <m/>
    <m/>
    <n v="35656"/>
    <n v="30858"/>
  </r>
  <r>
    <x v="0"/>
    <x v="0"/>
    <s v="Enterprise State Community College"/>
    <m/>
    <n v="101143"/>
    <x v="7"/>
    <n v="9232576"/>
    <n v="9704499"/>
    <m/>
    <m/>
    <m/>
    <m/>
    <n v="8558238"/>
    <n v="677051"/>
    <n v="9235289"/>
    <n v="9212943"/>
    <n v="437486"/>
    <n v="9650429"/>
    <n v="17790814"/>
    <n v="18917442"/>
    <m/>
    <m/>
    <m/>
    <m/>
    <n v="0"/>
    <m/>
    <m/>
    <n v="0"/>
    <m/>
    <m/>
    <m/>
    <m/>
    <m/>
    <m/>
    <n v="17790814"/>
    <n v="18917442"/>
  </r>
  <r>
    <x v="0"/>
    <x v="8"/>
    <s v="Special line items for education operations"/>
    <m/>
    <n v="101143"/>
    <x v="7"/>
    <m/>
    <m/>
    <m/>
    <m/>
    <m/>
    <m/>
    <m/>
    <m/>
    <n v="0"/>
    <m/>
    <m/>
    <n v="0"/>
    <n v="0"/>
    <n v="0"/>
    <m/>
    <m/>
    <m/>
    <m/>
    <n v="0"/>
    <m/>
    <m/>
    <n v="0"/>
    <m/>
    <m/>
    <m/>
    <m/>
    <m/>
    <m/>
    <n v="0"/>
    <n v="0"/>
  </r>
  <r>
    <x v="0"/>
    <x v="8"/>
    <s v="Special Population Training"/>
    <m/>
    <n v="101143"/>
    <x v="7"/>
    <m/>
    <m/>
    <n v="469340"/>
    <n v="349243"/>
    <m/>
    <m/>
    <m/>
    <m/>
    <n v="0"/>
    <m/>
    <m/>
    <n v="0"/>
    <n v="469340"/>
    <n v="349243"/>
    <m/>
    <m/>
    <m/>
    <m/>
    <n v="0"/>
    <m/>
    <m/>
    <n v="0"/>
    <m/>
    <m/>
    <m/>
    <m/>
    <m/>
    <m/>
    <n v="469340"/>
    <n v="349243"/>
  </r>
  <r>
    <x v="0"/>
    <x v="8"/>
    <s v="Adult Basic Education"/>
    <m/>
    <n v="101143"/>
    <x v="7"/>
    <m/>
    <m/>
    <n v="404732"/>
    <n v="355446"/>
    <m/>
    <m/>
    <m/>
    <m/>
    <n v="0"/>
    <m/>
    <m/>
    <n v="0"/>
    <n v="404732"/>
    <n v="355446"/>
    <m/>
    <m/>
    <m/>
    <m/>
    <n v="0"/>
    <m/>
    <m/>
    <n v="0"/>
    <m/>
    <m/>
    <m/>
    <m/>
    <m/>
    <m/>
    <n v="404732"/>
    <n v="355446"/>
  </r>
  <r>
    <x v="0"/>
    <x v="8"/>
    <s v="Workforce Development"/>
    <m/>
    <n v="101143"/>
    <x v="7"/>
    <m/>
    <m/>
    <n v="7300"/>
    <n v="296494"/>
    <m/>
    <m/>
    <m/>
    <m/>
    <n v="0"/>
    <m/>
    <m/>
    <n v="0"/>
    <n v="7300"/>
    <n v="296494"/>
    <m/>
    <m/>
    <m/>
    <m/>
    <n v="0"/>
    <m/>
    <m/>
    <n v="0"/>
    <m/>
    <m/>
    <m/>
    <m/>
    <m/>
    <m/>
    <n v="7300"/>
    <n v="296494"/>
  </r>
  <r>
    <x v="0"/>
    <x v="0"/>
    <s v="George C. Wallace Community College - Dothan"/>
    <m/>
    <n v="101286"/>
    <x v="7"/>
    <n v="14339505"/>
    <n v="14881674"/>
    <m/>
    <m/>
    <m/>
    <m/>
    <n v="12611658"/>
    <n v="1992750"/>
    <n v="14604408"/>
    <n v="13103272"/>
    <n v="831770"/>
    <n v="13935042"/>
    <n v="26951163"/>
    <n v="27984946"/>
    <m/>
    <m/>
    <m/>
    <m/>
    <n v="0"/>
    <m/>
    <m/>
    <n v="0"/>
    <m/>
    <m/>
    <m/>
    <m/>
    <m/>
    <m/>
    <n v="26951163"/>
    <n v="27984946"/>
  </r>
  <r>
    <x v="0"/>
    <x v="8"/>
    <s v="Special line items for education operations"/>
    <m/>
    <n v="101286"/>
    <x v="7"/>
    <m/>
    <m/>
    <m/>
    <m/>
    <m/>
    <m/>
    <m/>
    <m/>
    <n v="0"/>
    <m/>
    <m/>
    <n v="0"/>
    <n v="0"/>
    <n v="0"/>
    <m/>
    <m/>
    <m/>
    <m/>
    <n v="0"/>
    <m/>
    <m/>
    <n v="0"/>
    <m/>
    <m/>
    <m/>
    <m/>
    <m/>
    <m/>
    <n v="0"/>
    <n v="0"/>
  </r>
  <r>
    <x v="0"/>
    <x v="8"/>
    <s v="Special Population Training"/>
    <m/>
    <n v="101286"/>
    <x v="7"/>
    <m/>
    <m/>
    <n v="169790"/>
    <n v="194112"/>
    <m/>
    <m/>
    <m/>
    <m/>
    <n v="0"/>
    <m/>
    <m/>
    <n v="0"/>
    <n v="169790"/>
    <n v="194112"/>
    <m/>
    <m/>
    <m/>
    <m/>
    <n v="0"/>
    <m/>
    <m/>
    <n v="0"/>
    <m/>
    <m/>
    <m/>
    <m/>
    <m/>
    <m/>
    <n v="169790"/>
    <n v="194112"/>
  </r>
  <r>
    <x v="0"/>
    <x v="8"/>
    <s v="Adult Basic Education"/>
    <m/>
    <n v="101286"/>
    <x v="7"/>
    <m/>
    <m/>
    <n v="570587"/>
    <n v="552230"/>
    <m/>
    <m/>
    <m/>
    <m/>
    <n v="0"/>
    <m/>
    <m/>
    <n v="0"/>
    <n v="570587"/>
    <n v="552230"/>
    <m/>
    <m/>
    <m/>
    <m/>
    <n v="0"/>
    <m/>
    <m/>
    <n v="0"/>
    <m/>
    <m/>
    <m/>
    <m/>
    <m/>
    <m/>
    <n v="570587"/>
    <n v="552230"/>
  </r>
  <r>
    <x v="0"/>
    <x v="8"/>
    <s v="Workforce Development"/>
    <m/>
    <n v="101286"/>
    <x v="7"/>
    <m/>
    <m/>
    <n v="62430"/>
    <n v="85688"/>
    <m/>
    <m/>
    <m/>
    <m/>
    <n v="0"/>
    <m/>
    <m/>
    <n v="0"/>
    <n v="62430"/>
    <n v="85688"/>
    <m/>
    <m/>
    <m/>
    <m/>
    <n v="0"/>
    <m/>
    <m/>
    <n v="0"/>
    <m/>
    <m/>
    <m/>
    <m/>
    <m/>
    <m/>
    <n v="62430"/>
    <n v="85688"/>
  </r>
  <r>
    <x v="0"/>
    <x v="0"/>
    <s v="James H. Faulkner State Community College"/>
    <m/>
    <n v="101161"/>
    <x v="7"/>
    <n v="10387507"/>
    <n v="11374947"/>
    <m/>
    <m/>
    <n v="1337248"/>
    <n v="850000"/>
    <n v="14744561"/>
    <n v="2052361"/>
    <n v="16796922"/>
    <n v="13051577"/>
    <n v="2008479"/>
    <n v="15060056"/>
    <n v="26469316"/>
    <n v="25276524"/>
    <m/>
    <m/>
    <m/>
    <m/>
    <n v="0"/>
    <m/>
    <m/>
    <n v="0"/>
    <m/>
    <m/>
    <m/>
    <m/>
    <m/>
    <m/>
    <n v="26469316"/>
    <n v="25276524"/>
  </r>
  <r>
    <x v="0"/>
    <x v="8"/>
    <s v="Special line items for education operations"/>
    <m/>
    <n v="101161"/>
    <x v="7"/>
    <m/>
    <m/>
    <m/>
    <m/>
    <m/>
    <m/>
    <m/>
    <m/>
    <n v="0"/>
    <m/>
    <m/>
    <n v="0"/>
    <n v="0"/>
    <n v="0"/>
    <m/>
    <m/>
    <m/>
    <m/>
    <n v="0"/>
    <m/>
    <m/>
    <n v="0"/>
    <m/>
    <m/>
    <m/>
    <m/>
    <m/>
    <m/>
    <n v="0"/>
    <n v="0"/>
  </r>
  <r>
    <x v="0"/>
    <x v="8"/>
    <s v="Special Population Training"/>
    <m/>
    <n v="101161"/>
    <x v="7"/>
    <m/>
    <m/>
    <n v="41980"/>
    <n v="32045"/>
    <m/>
    <m/>
    <m/>
    <m/>
    <n v="0"/>
    <m/>
    <m/>
    <n v="0"/>
    <n v="41980"/>
    <n v="32045"/>
    <m/>
    <m/>
    <m/>
    <m/>
    <n v="0"/>
    <m/>
    <m/>
    <n v="0"/>
    <m/>
    <m/>
    <m/>
    <m/>
    <m/>
    <m/>
    <n v="41980"/>
    <n v="32045"/>
  </r>
  <r>
    <x v="0"/>
    <x v="8"/>
    <s v="Adult Basic Education"/>
    <m/>
    <n v="101161"/>
    <x v="7"/>
    <m/>
    <m/>
    <n v="507531"/>
    <n v="385877"/>
    <m/>
    <m/>
    <m/>
    <m/>
    <n v="0"/>
    <m/>
    <m/>
    <n v="0"/>
    <n v="507531"/>
    <n v="385877"/>
    <m/>
    <m/>
    <m/>
    <m/>
    <n v="0"/>
    <m/>
    <m/>
    <n v="0"/>
    <m/>
    <m/>
    <m/>
    <m/>
    <m/>
    <m/>
    <n v="507531"/>
    <n v="385877"/>
  </r>
  <r>
    <x v="0"/>
    <x v="8"/>
    <s v="Workforce Development"/>
    <m/>
    <n v="101161"/>
    <x v="7"/>
    <m/>
    <m/>
    <n v="178369"/>
    <n v="221122"/>
    <m/>
    <m/>
    <m/>
    <m/>
    <n v="0"/>
    <m/>
    <m/>
    <n v="0"/>
    <n v="178369"/>
    <n v="221122"/>
    <m/>
    <m/>
    <m/>
    <m/>
    <n v="0"/>
    <m/>
    <m/>
    <n v="0"/>
    <m/>
    <m/>
    <m/>
    <m/>
    <m/>
    <m/>
    <n v="178369"/>
    <n v="221122"/>
  </r>
  <r>
    <x v="0"/>
    <x v="0"/>
    <s v="Lawson State Community College "/>
    <m/>
    <n v="101569"/>
    <x v="7"/>
    <n v="13938149"/>
    <n v="13909345"/>
    <m/>
    <m/>
    <m/>
    <n v="100000"/>
    <n v="8473212"/>
    <n v="3337970"/>
    <n v="11811182"/>
    <n v="11765187"/>
    <n v="970000"/>
    <n v="12735187"/>
    <n v="22411361"/>
    <n v="25774532"/>
    <m/>
    <m/>
    <m/>
    <m/>
    <n v="0"/>
    <m/>
    <m/>
    <n v="0"/>
    <m/>
    <m/>
    <m/>
    <m/>
    <m/>
    <m/>
    <n v="22411361"/>
    <n v="25774532"/>
  </r>
  <r>
    <x v="0"/>
    <x v="8"/>
    <s v="Special line items for education operations"/>
    <m/>
    <n v="101569"/>
    <x v="7"/>
    <m/>
    <m/>
    <m/>
    <m/>
    <m/>
    <m/>
    <m/>
    <m/>
    <n v="0"/>
    <m/>
    <m/>
    <n v="0"/>
    <n v="0"/>
    <n v="0"/>
    <m/>
    <m/>
    <m/>
    <m/>
    <n v="0"/>
    <m/>
    <m/>
    <n v="0"/>
    <m/>
    <m/>
    <m/>
    <m/>
    <m/>
    <m/>
    <n v="0"/>
    <n v="0"/>
  </r>
  <r>
    <x v="0"/>
    <x v="8"/>
    <s v="Special Population Training"/>
    <m/>
    <n v="101569"/>
    <x v="7"/>
    <m/>
    <m/>
    <n v="123000"/>
    <n v="112873"/>
    <m/>
    <m/>
    <m/>
    <m/>
    <n v="0"/>
    <m/>
    <m/>
    <n v="0"/>
    <n v="123000"/>
    <n v="112873"/>
    <m/>
    <m/>
    <m/>
    <m/>
    <n v="0"/>
    <m/>
    <m/>
    <n v="0"/>
    <m/>
    <m/>
    <m/>
    <m/>
    <m/>
    <m/>
    <n v="123000"/>
    <n v="112873"/>
  </r>
  <r>
    <x v="0"/>
    <x v="8"/>
    <s v="Adult Basic Education"/>
    <m/>
    <n v="101569"/>
    <x v="7"/>
    <m/>
    <m/>
    <n v="561986"/>
    <n v="371764"/>
    <m/>
    <m/>
    <m/>
    <m/>
    <n v="0"/>
    <m/>
    <m/>
    <n v="0"/>
    <n v="561986"/>
    <n v="371764"/>
    <m/>
    <m/>
    <m/>
    <m/>
    <n v="0"/>
    <m/>
    <m/>
    <n v="0"/>
    <m/>
    <m/>
    <m/>
    <m/>
    <m/>
    <m/>
    <n v="561986"/>
    <n v="371764"/>
  </r>
  <r>
    <x v="0"/>
    <x v="8"/>
    <s v="Workforce Development"/>
    <m/>
    <n v="101569"/>
    <x v="7"/>
    <m/>
    <m/>
    <n v="13230"/>
    <n v="25013"/>
    <m/>
    <m/>
    <m/>
    <m/>
    <n v="0"/>
    <m/>
    <m/>
    <n v="0"/>
    <n v="13230"/>
    <n v="25013"/>
    <m/>
    <m/>
    <m/>
    <m/>
    <n v="0"/>
    <m/>
    <m/>
    <n v="0"/>
    <m/>
    <m/>
    <m/>
    <m/>
    <m/>
    <m/>
    <n v="13230"/>
    <n v="25013"/>
  </r>
  <r>
    <x v="0"/>
    <x v="0"/>
    <s v="Northeast Alabama State Community College "/>
    <m/>
    <n v="101897"/>
    <x v="7"/>
    <n v="6702824"/>
    <n v="7337886"/>
    <m/>
    <m/>
    <m/>
    <m/>
    <n v="8953185"/>
    <n v="786968"/>
    <n v="9740153"/>
    <n v="9681078"/>
    <n v="787906"/>
    <n v="10468984"/>
    <n v="15656009"/>
    <n v="17018964"/>
    <m/>
    <m/>
    <m/>
    <m/>
    <n v="0"/>
    <m/>
    <m/>
    <n v="0"/>
    <m/>
    <m/>
    <m/>
    <m/>
    <m/>
    <m/>
    <n v="15656009"/>
    <n v="17018964"/>
  </r>
  <r>
    <x v="0"/>
    <x v="8"/>
    <s v="Special line items for education operations"/>
    <m/>
    <n v="101897"/>
    <x v="7"/>
    <m/>
    <m/>
    <m/>
    <m/>
    <m/>
    <m/>
    <m/>
    <m/>
    <n v="0"/>
    <m/>
    <m/>
    <n v="0"/>
    <n v="0"/>
    <n v="0"/>
    <m/>
    <m/>
    <m/>
    <m/>
    <n v="0"/>
    <m/>
    <m/>
    <n v="0"/>
    <m/>
    <m/>
    <m/>
    <m/>
    <m/>
    <m/>
    <n v="0"/>
    <n v="0"/>
  </r>
  <r>
    <x v="0"/>
    <x v="8"/>
    <s v="Special Population Training"/>
    <m/>
    <n v="101897"/>
    <x v="7"/>
    <m/>
    <m/>
    <n v="168653"/>
    <n v="159116"/>
    <m/>
    <m/>
    <m/>
    <m/>
    <n v="0"/>
    <m/>
    <m/>
    <n v="0"/>
    <n v="168653"/>
    <n v="159116"/>
    <m/>
    <m/>
    <m/>
    <m/>
    <n v="0"/>
    <m/>
    <m/>
    <n v="0"/>
    <m/>
    <m/>
    <m/>
    <m/>
    <m/>
    <m/>
    <n v="168653"/>
    <n v="159116"/>
  </r>
  <r>
    <x v="0"/>
    <x v="8"/>
    <s v="Adult Basic Education"/>
    <m/>
    <n v="101897"/>
    <x v="7"/>
    <m/>
    <m/>
    <n v="1309960"/>
    <n v="858032"/>
    <m/>
    <m/>
    <m/>
    <m/>
    <n v="0"/>
    <m/>
    <m/>
    <n v="0"/>
    <n v="1309960"/>
    <n v="858032"/>
    <m/>
    <m/>
    <m/>
    <m/>
    <n v="0"/>
    <m/>
    <m/>
    <n v="0"/>
    <m/>
    <m/>
    <m/>
    <m/>
    <m/>
    <m/>
    <n v="1309960"/>
    <n v="858032"/>
  </r>
  <r>
    <x v="0"/>
    <x v="8"/>
    <s v="Workforce Development"/>
    <m/>
    <n v="101897"/>
    <x v="7"/>
    <m/>
    <m/>
    <n v="30938"/>
    <n v="104362"/>
    <m/>
    <m/>
    <m/>
    <m/>
    <n v="0"/>
    <m/>
    <m/>
    <n v="0"/>
    <n v="30938"/>
    <n v="104362"/>
    <m/>
    <m/>
    <m/>
    <m/>
    <n v="0"/>
    <m/>
    <m/>
    <n v="0"/>
    <m/>
    <m/>
    <m/>
    <m/>
    <m/>
    <m/>
    <n v="30938"/>
    <n v="104362"/>
  </r>
  <r>
    <x v="0"/>
    <x v="0"/>
    <s v="Northwest-Shoals Community College "/>
    <m/>
    <n v="101736"/>
    <x v="7"/>
    <n v="10995547"/>
    <n v="11329268"/>
    <m/>
    <m/>
    <m/>
    <m/>
    <n v="10393266"/>
    <n v="516795"/>
    <n v="10910061"/>
    <n v="11431599"/>
    <n v="284528"/>
    <n v="11716127"/>
    <n v="21388813"/>
    <n v="22760867"/>
    <m/>
    <m/>
    <m/>
    <m/>
    <n v="0"/>
    <m/>
    <m/>
    <n v="0"/>
    <m/>
    <m/>
    <m/>
    <m/>
    <m/>
    <m/>
    <n v="21388813"/>
    <n v="22760867"/>
  </r>
  <r>
    <x v="0"/>
    <x v="8"/>
    <s v="Special line items for education operations"/>
    <m/>
    <n v="101736"/>
    <x v="7"/>
    <m/>
    <m/>
    <m/>
    <m/>
    <m/>
    <m/>
    <m/>
    <m/>
    <n v="0"/>
    <m/>
    <m/>
    <n v="0"/>
    <n v="0"/>
    <n v="0"/>
    <m/>
    <m/>
    <m/>
    <m/>
    <n v="0"/>
    <m/>
    <m/>
    <n v="0"/>
    <m/>
    <m/>
    <m/>
    <m/>
    <m/>
    <m/>
    <n v="0"/>
    <n v="0"/>
  </r>
  <r>
    <x v="0"/>
    <x v="8"/>
    <s v="Special Population Training"/>
    <m/>
    <n v="101736"/>
    <x v="7"/>
    <m/>
    <m/>
    <n v="293520"/>
    <n v="640821"/>
    <m/>
    <m/>
    <m/>
    <m/>
    <n v="0"/>
    <m/>
    <m/>
    <n v="0"/>
    <n v="293520"/>
    <n v="640821"/>
    <m/>
    <m/>
    <m/>
    <m/>
    <n v="0"/>
    <m/>
    <m/>
    <n v="0"/>
    <m/>
    <m/>
    <m/>
    <m/>
    <m/>
    <m/>
    <n v="293520"/>
    <n v="640821"/>
  </r>
  <r>
    <x v="0"/>
    <x v="8"/>
    <s v="Adult Basic Education"/>
    <m/>
    <n v="101736"/>
    <x v="7"/>
    <m/>
    <m/>
    <n v="498523"/>
    <n v="460895"/>
    <m/>
    <m/>
    <m/>
    <m/>
    <n v="0"/>
    <m/>
    <m/>
    <n v="0"/>
    <n v="498523"/>
    <n v="460895"/>
    <m/>
    <m/>
    <m/>
    <m/>
    <n v="0"/>
    <m/>
    <m/>
    <n v="0"/>
    <m/>
    <m/>
    <m/>
    <m/>
    <m/>
    <m/>
    <n v="498523"/>
    <n v="460895"/>
  </r>
  <r>
    <x v="0"/>
    <x v="8"/>
    <s v="Workforce Development"/>
    <m/>
    <n v="101736"/>
    <x v="7"/>
    <m/>
    <m/>
    <n v="63500"/>
    <n v="226149"/>
    <m/>
    <m/>
    <m/>
    <m/>
    <n v="0"/>
    <m/>
    <m/>
    <n v="0"/>
    <n v="63500"/>
    <n v="226149"/>
    <m/>
    <m/>
    <m/>
    <m/>
    <n v="0"/>
    <m/>
    <m/>
    <n v="0"/>
    <m/>
    <m/>
    <m/>
    <m/>
    <m/>
    <m/>
    <n v="63500"/>
    <n v="226149"/>
  </r>
  <r>
    <x v="0"/>
    <x v="0"/>
    <s v="Shelton State Community College"/>
    <m/>
    <n v="102067"/>
    <x v="7"/>
    <n v="18009332"/>
    <n v="17239491"/>
    <m/>
    <m/>
    <m/>
    <m/>
    <n v="16645279"/>
    <m/>
    <n v="16645279"/>
    <n v="16933100"/>
    <m/>
    <n v="16933100"/>
    <n v="34654611"/>
    <n v="34172591"/>
    <m/>
    <m/>
    <m/>
    <m/>
    <n v="0"/>
    <m/>
    <m/>
    <n v="0"/>
    <m/>
    <m/>
    <m/>
    <m/>
    <m/>
    <m/>
    <n v="34654611"/>
    <n v="34172591"/>
  </r>
  <r>
    <x v="0"/>
    <x v="3"/>
    <s v="Community or public service units"/>
    <m/>
    <n v="102067"/>
    <x v="7"/>
    <m/>
    <m/>
    <m/>
    <m/>
    <m/>
    <m/>
    <m/>
    <m/>
    <n v="0"/>
    <m/>
    <m/>
    <n v="0"/>
    <n v="0"/>
    <n v="0"/>
    <m/>
    <m/>
    <m/>
    <m/>
    <n v="0"/>
    <m/>
    <m/>
    <n v="0"/>
    <m/>
    <m/>
    <m/>
    <m/>
    <m/>
    <m/>
    <n v="0"/>
    <n v="0"/>
  </r>
  <r>
    <x v="0"/>
    <x v="3"/>
    <s v="Poison Control Center"/>
    <m/>
    <n v="102067"/>
    <x v="7"/>
    <m/>
    <m/>
    <m/>
    <m/>
    <m/>
    <m/>
    <m/>
    <m/>
    <n v="0"/>
    <m/>
    <m/>
    <n v="0"/>
    <n v="0"/>
    <n v="0"/>
    <m/>
    <m/>
    <m/>
    <m/>
    <n v="0"/>
    <m/>
    <m/>
    <n v="0"/>
    <m/>
    <m/>
    <m/>
    <m/>
    <m/>
    <m/>
    <n v="0"/>
    <n v="0"/>
  </r>
  <r>
    <x v="0"/>
    <x v="3"/>
    <s v="Partnership Preservation Of Labor Ed"/>
    <m/>
    <n v="102067"/>
    <x v="7"/>
    <m/>
    <m/>
    <m/>
    <m/>
    <m/>
    <m/>
    <m/>
    <m/>
    <n v="0"/>
    <m/>
    <m/>
    <n v="0"/>
    <n v="0"/>
    <n v="0"/>
    <m/>
    <m/>
    <m/>
    <m/>
    <n v="0"/>
    <m/>
    <m/>
    <n v="0"/>
    <m/>
    <m/>
    <m/>
    <m/>
    <m/>
    <m/>
    <n v="0"/>
    <n v="0"/>
  </r>
  <r>
    <x v="0"/>
    <x v="8"/>
    <s v="Special line items for education operations"/>
    <m/>
    <n v="102067"/>
    <x v="7"/>
    <m/>
    <m/>
    <m/>
    <m/>
    <m/>
    <m/>
    <m/>
    <m/>
    <n v="0"/>
    <m/>
    <m/>
    <n v="0"/>
    <n v="0"/>
    <n v="0"/>
    <m/>
    <m/>
    <m/>
    <m/>
    <n v="0"/>
    <m/>
    <m/>
    <n v="0"/>
    <m/>
    <m/>
    <m/>
    <m/>
    <m/>
    <m/>
    <n v="0"/>
    <n v="0"/>
  </r>
  <r>
    <x v="0"/>
    <x v="8"/>
    <s v="Special Population Training"/>
    <m/>
    <n v="102067"/>
    <x v="7"/>
    <m/>
    <m/>
    <n v="132819"/>
    <n v="332238"/>
    <m/>
    <m/>
    <m/>
    <m/>
    <n v="0"/>
    <m/>
    <m/>
    <n v="0"/>
    <n v="132819"/>
    <n v="332238"/>
    <m/>
    <m/>
    <m/>
    <m/>
    <n v="0"/>
    <m/>
    <m/>
    <n v="0"/>
    <m/>
    <m/>
    <m/>
    <m/>
    <m/>
    <m/>
    <n v="132819"/>
    <n v="332238"/>
  </r>
  <r>
    <x v="0"/>
    <x v="8"/>
    <s v="Adult Basic Education"/>
    <m/>
    <n v="102067"/>
    <x v="7"/>
    <m/>
    <m/>
    <n v="551688"/>
    <n v="558830"/>
    <m/>
    <m/>
    <m/>
    <m/>
    <n v="0"/>
    <m/>
    <m/>
    <n v="0"/>
    <n v="551688"/>
    <n v="558830"/>
    <m/>
    <m/>
    <m/>
    <m/>
    <n v="0"/>
    <m/>
    <m/>
    <n v="0"/>
    <m/>
    <m/>
    <m/>
    <m/>
    <m/>
    <m/>
    <n v="551688"/>
    <n v="558830"/>
  </r>
  <r>
    <x v="0"/>
    <x v="8"/>
    <s v="Workforce Development"/>
    <m/>
    <n v="102067"/>
    <x v="7"/>
    <m/>
    <m/>
    <n v="80000"/>
    <n v="45000"/>
    <m/>
    <m/>
    <m/>
    <m/>
    <n v="0"/>
    <m/>
    <m/>
    <n v="0"/>
    <n v="80000"/>
    <n v="45000"/>
    <m/>
    <m/>
    <m/>
    <m/>
    <n v="0"/>
    <m/>
    <m/>
    <n v="0"/>
    <m/>
    <m/>
    <m/>
    <m/>
    <m/>
    <m/>
    <n v="80000"/>
    <n v="45000"/>
  </r>
  <r>
    <x v="0"/>
    <x v="0"/>
    <s v="Southern Union State Community College"/>
    <m/>
    <n v="251260"/>
    <x v="7"/>
    <n v="13474260"/>
    <n v="13873887"/>
    <m/>
    <m/>
    <m/>
    <m/>
    <n v="14058994"/>
    <n v="2311065"/>
    <n v="16370059"/>
    <n v="13389839"/>
    <n v="2755371"/>
    <n v="16145210"/>
    <n v="27533254"/>
    <n v="27263726"/>
    <m/>
    <m/>
    <m/>
    <m/>
    <n v="0"/>
    <m/>
    <m/>
    <n v="0"/>
    <m/>
    <m/>
    <m/>
    <m/>
    <m/>
    <m/>
    <n v="27533254"/>
    <n v="27263726"/>
  </r>
  <r>
    <x v="0"/>
    <x v="8"/>
    <s v="Special line items for education operations"/>
    <m/>
    <n v="251260"/>
    <x v="7"/>
    <m/>
    <m/>
    <m/>
    <m/>
    <m/>
    <m/>
    <m/>
    <m/>
    <n v="0"/>
    <m/>
    <m/>
    <n v="0"/>
    <n v="0"/>
    <n v="0"/>
    <m/>
    <m/>
    <m/>
    <m/>
    <n v="0"/>
    <m/>
    <m/>
    <n v="0"/>
    <m/>
    <m/>
    <m/>
    <m/>
    <m/>
    <m/>
    <n v="0"/>
    <n v="0"/>
  </r>
  <r>
    <x v="0"/>
    <x v="8"/>
    <s v="Special Population Training"/>
    <m/>
    <n v="251260"/>
    <x v="7"/>
    <m/>
    <m/>
    <n v="29712"/>
    <n v="26950"/>
    <m/>
    <m/>
    <m/>
    <m/>
    <n v="0"/>
    <m/>
    <m/>
    <n v="0"/>
    <n v="29712"/>
    <n v="26950"/>
    <m/>
    <m/>
    <m/>
    <m/>
    <n v="0"/>
    <m/>
    <m/>
    <n v="0"/>
    <m/>
    <m/>
    <m/>
    <m/>
    <m/>
    <m/>
    <n v="29712"/>
    <n v="26950"/>
  </r>
  <r>
    <x v="0"/>
    <x v="8"/>
    <s v="Adult Basic Education"/>
    <m/>
    <n v="251260"/>
    <x v="7"/>
    <m/>
    <m/>
    <n v="635432"/>
    <n v="1396883"/>
    <m/>
    <m/>
    <m/>
    <m/>
    <n v="0"/>
    <m/>
    <m/>
    <n v="0"/>
    <n v="635432"/>
    <n v="1396883"/>
    <m/>
    <m/>
    <m/>
    <m/>
    <n v="0"/>
    <m/>
    <m/>
    <n v="0"/>
    <m/>
    <m/>
    <m/>
    <m/>
    <m/>
    <m/>
    <n v="635432"/>
    <n v="1396883"/>
  </r>
  <r>
    <x v="0"/>
    <x v="8"/>
    <s v="Workforce Development"/>
    <m/>
    <n v="251260"/>
    <x v="7"/>
    <m/>
    <m/>
    <n v="11851"/>
    <n v="34064"/>
    <m/>
    <m/>
    <m/>
    <m/>
    <n v="0"/>
    <m/>
    <m/>
    <n v="0"/>
    <n v="11851"/>
    <n v="34064"/>
    <m/>
    <m/>
    <m/>
    <m/>
    <n v="0"/>
    <m/>
    <m/>
    <n v="0"/>
    <m/>
    <m/>
    <m/>
    <m/>
    <m/>
    <m/>
    <n v="11851"/>
    <n v="34064"/>
  </r>
  <r>
    <x v="0"/>
    <x v="0"/>
    <s v="Alabama Southern Community College"/>
    <m/>
    <n v="101949"/>
    <x v="8"/>
    <n v="6062326"/>
    <n v="6176730"/>
    <m/>
    <m/>
    <m/>
    <m/>
    <n v="4500678"/>
    <n v="217993"/>
    <n v="4718671"/>
    <n v="4522950"/>
    <n v="218056"/>
    <n v="4741006"/>
    <n v="10563004"/>
    <n v="10699680"/>
    <m/>
    <m/>
    <m/>
    <m/>
    <n v="0"/>
    <m/>
    <m/>
    <n v="0"/>
    <m/>
    <m/>
    <m/>
    <m/>
    <m/>
    <m/>
    <n v="10563004"/>
    <n v="10699680"/>
  </r>
  <r>
    <x v="0"/>
    <x v="8"/>
    <s v="Special line items for education operations"/>
    <m/>
    <n v="101949"/>
    <x v="8"/>
    <m/>
    <m/>
    <m/>
    <m/>
    <m/>
    <m/>
    <m/>
    <m/>
    <n v="0"/>
    <m/>
    <m/>
    <n v="0"/>
    <n v="0"/>
    <n v="0"/>
    <m/>
    <m/>
    <m/>
    <m/>
    <n v="0"/>
    <m/>
    <m/>
    <n v="0"/>
    <m/>
    <m/>
    <m/>
    <m/>
    <m/>
    <m/>
    <n v="0"/>
    <n v="0"/>
  </r>
  <r>
    <x v="0"/>
    <x v="8"/>
    <s v="Special Population Training"/>
    <m/>
    <n v="101949"/>
    <x v="8"/>
    <m/>
    <m/>
    <n v="17669"/>
    <n v="26140"/>
    <m/>
    <m/>
    <m/>
    <m/>
    <n v="0"/>
    <m/>
    <m/>
    <n v="0"/>
    <n v="17669"/>
    <n v="26140"/>
    <m/>
    <m/>
    <m/>
    <m/>
    <n v="0"/>
    <m/>
    <m/>
    <n v="0"/>
    <m/>
    <m/>
    <m/>
    <m/>
    <m/>
    <m/>
    <n v="17669"/>
    <n v="26140"/>
  </r>
  <r>
    <x v="0"/>
    <x v="8"/>
    <s v="Adult Basic Education"/>
    <m/>
    <n v="101949"/>
    <x v="8"/>
    <m/>
    <m/>
    <n v="336009"/>
    <n v="337859"/>
    <m/>
    <m/>
    <m/>
    <m/>
    <n v="0"/>
    <m/>
    <m/>
    <n v="0"/>
    <n v="336009"/>
    <n v="337859"/>
    <m/>
    <m/>
    <m/>
    <m/>
    <n v="0"/>
    <m/>
    <m/>
    <n v="0"/>
    <m/>
    <m/>
    <m/>
    <m/>
    <m/>
    <m/>
    <n v="336009"/>
    <n v="337859"/>
  </r>
  <r>
    <x v="0"/>
    <x v="8"/>
    <s v="Workforce Development"/>
    <m/>
    <n v="101949"/>
    <x v="8"/>
    <m/>
    <m/>
    <n v="108000"/>
    <n v="90000"/>
    <m/>
    <m/>
    <m/>
    <m/>
    <n v="0"/>
    <m/>
    <m/>
    <n v="0"/>
    <n v="108000"/>
    <n v="90000"/>
    <m/>
    <m/>
    <m/>
    <m/>
    <n v="0"/>
    <m/>
    <m/>
    <n v="0"/>
    <m/>
    <m/>
    <m/>
    <m/>
    <m/>
    <m/>
    <n v="108000"/>
    <n v="90000"/>
  </r>
  <r>
    <x v="0"/>
    <x v="0"/>
    <s v="Chattahoochee Valley State Community College "/>
    <m/>
    <n v="101028"/>
    <x v="8"/>
    <n v="5346548"/>
    <n v="5568270"/>
    <m/>
    <m/>
    <m/>
    <n v="80000"/>
    <n v="5746958"/>
    <n v="612438"/>
    <n v="6359396"/>
    <n v="5626612"/>
    <n v="615088"/>
    <n v="6241700"/>
    <n v="11093506"/>
    <n v="11274882"/>
    <m/>
    <m/>
    <m/>
    <m/>
    <n v="0"/>
    <m/>
    <m/>
    <n v="0"/>
    <m/>
    <m/>
    <m/>
    <m/>
    <m/>
    <m/>
    <n v="11093506"/>
    <n v="11274882"/>
  </r>
  <r>
    <x v="0"/>
    <x v="8"/>
    <s v="Special line items for education operations"/>
    <m/>
    <n v="101028"/>
    <x v="8"/>
    <m/>
    <m/>
    <m/>
    <m/>
    <m/>
    <m/>
    <m/>
    <m/>
    <n v="0"/>
    <m/>
    <m/>
    <n v="0"/>
    <n v="0"/>
    <n v="0"/>
    <m/>
    <m/>
    <m/>
    <m/>
    <n v="0"/>
    <m/>
    <m/>
    <n v="0"/>
    <m/>
    <m/>
    <m/>
    <m/>
    <m/>
    <m/>
    <n v="0"/>
    <n v="0"/>
  </r>
  <r>
    <x v="0"/>
    <x v="8"/>
    <s v="Special Population Training"/>
    <m/>
    <n v="101028"/>
    <x v="8"/>
    <m/>
    <m/>
    <n v="152822"/>
    <n v="141023"/>
    <m/>
    <m/>
    <m/>
    <m/>
    <n v="0"/>
    <m/>
    <m/>
    <n v="0"/>
    <n v="152822"/>
    <n v="141023"/>
    <m/>
    <m/>
    <m/>
    <m/>
    <n v="0"/>
    <m/>
    <m/>
    <n v="0"/>
    <m/>
    <m/>
    <m/>
    <m/>
    <m/>
    <m/>
    <n v="152822"/>
    <n v="141023"/>
  </r>
  <r>
    <x v="0"/>
    <x v="8"/>
    <s v="Adult Basic Education"/>
    <m/>
    <n v="101028"/>
    <x v="8"/>
    <m/>
    <m/>
    <n v="183654"/>
    <n v="121576"/>
    <m/>
    <m/>
    <m/>
    <m/>
    <n v="0"/>
    <m/>
    <m/>
    <n v="0"/>
    <n v="183654"/>
    <n v="121576"/>
    <m/>
    <m/>
    <m/>
    <m/>
    <n v="0"/>
    <m/>
    <m/>
    <n v="0"/>
    <m/>
    <m/>
    <m/>
    <m/>
    <m/>
    <m/>
    <n v="183654"/>
    <n v="121576"/>
  </r>
  <r>
    <x v="0"/>
    <x v="8"/>
    <s v="Workforce Development"/>
    <m/>
    <n v="101028"/>
    <x v="8"/>
    <m/>
    <m/>
    <n v="33171"/>
    <n v="24151"/>
    <m/>
    <m/>
    <m/>
    <m/>
    <n v="0"/>
    <m/>
    <m/>
    <n v="0"/>
    <n v="33171"/>
    <n v="24151"/>
    <m/>
    <m/>
    <m/>
    <m/>
    <n v="0"/>
    <m/>
    <m/>
    <n v="0"/>
    <m/>
    <m/>
    <m/>
    <m/>
    <m/>
    <m/>
    <n v="33171"/>
    <n v="24151"/>
  </r>
  <r>
    <x v="0"/>
    <x v="0"/>
    <s v="George Corley Wallace State Community College - Selma"/>
    <m/>
    <n v="101301"/>
    <x v="8"/>
    <n v="7675096"/>
    <n v="7815790"/>
    <m/>
    <m/>
    <m/>
    <m/>
    <n v="6148031"/>
    <m/>
    <n v="6148031"/>
    <n v="6580330"/>
    <m/>
    <n v="6580330"/>
    <n v="13823127"/>
    <n v="14396120"/>
    <m/>
    <m/>
    <m/>
    <m/>
    <n v="0"/>
    <m/>
    <m/>
    <n v="0"/>
    <m/>
    <m/>
    <m/>
    <m/>
    <m/>
    <m/>
    <n v="13823127"/>
    <n v="14396120"/>
  </r>
  <r>
    <x v="0"/>
    <x v="8"/>
    <s v="Special line items for education operations"/>
    <m/>
    <n v="101301"/>
    <x v="8"/>
    <m/>
    <m/>
    <m/>
    <m/>
    <m/>
    <m/>
    <m/>
    <m/>
    <n v="0"/>
    <m/>
    <m/>
    <n v="0"/>
    <n v="0"/>
    <n v="0"/>
    <m/>
    <m/>
    <m/>
    <m/>
    <n v="0"/>
    <m/>
    <m/>
    <n v="0"/>
    <m/>
    <m/>
    <m/>
    <m/>
    <m/>
    <m/>
    <n v="0"/>
    <n v="0"/>
  </r>
  <r>
    <x v="0"/>
    <x v="8"/>
    <s v="Special Population Training"/>
    <m/>
    <n v="101301"/>
    <x v="8"/>
    <m/>
    <m/>
    <n v="152196"/>
    <n v="44955"/>
    <m/>
    <m/>
    <m/>
    <m/>
    <n v="0"/>
    <m/>
    <m/>
    <n v="0"/>
    <n v="152196"/>
    <n v="44955"/>
    <m/>
    <m/>
    <m/>
    <m/>
    <n v="0"/>
    <m/>
    <m/>
    <n v="0"/>
    <m/>
    <m/>
    <m/>
    <m/>
    <m/>
    <m/>
    <n v="152196"/>
    <n v="44955"/>
  </r>
  <r>
    <x v="0"/>
    <x v="8"/>
    <s v="Adult Basic Education"/>
    <m/>
    <n v="101301"/>
    <x v="8"/>
    <m/>
    <m/>
    <n v="216219"/>
    <n v="197317"/>
    <m/>
    <m/>
    <m/>
    <m/>
    <n v="0"/>
    <m/>
    <m/>
    <n v="0"/>
    <n v="216219"/>
    <n v="197317"/>
    <m/>
    <m/>
    <m/>
    <m/>
    <n v="0"/>
    <m/>
    <m/>
    <n v="0"/>
    <m/>
    <m/>
    <m/>
    <m/>
    <m/>
    <m/>
    <n v="216219"/>
    <n v="197317"/>
  </r>
  <r>
    <x v="0"/>
    <x v="8"/>
    <s v="Workforce Development"/>
    <m/>
    <n v="101301"/>
    <x v="8"/>
    <m/>
    <m/>
    <n v="10000"/>
    <n v="40884"/>
    <m/>
    <m/>
    <m/>
    <m/>
    <n v="0"/>
    <m/>
    <m/>
    <n v="0"/>
    <n v="10000"/>
    <n v="40884"/>
    <m/>
    <m/>
    <m/>
    <m/>
    <n v="0"/>
    <m/>
    <m/>
    <n v="0"/>
    <m/>
    <m/>
    <m/>
    <m/>
    <m/>
    <m/>
    <n v="10000"/>
    <n v="40884"/>
  </r>
  <r>
    <x v="0"/>
    <x v="0"/>
    <s v="Jefferson Davis Community College"/>
    <m/>
    <n v="101499"/>
    <x v="8"/>
    <n v="5845241"/>
    <n v="5936091"/>
    <m/>
    <m/>
    <m/>
    <m/>
    <n v="3382647"/>
    <n v="184554"/>
    <n v="3567201"/>
    <n v="3681278"/>
    <m/>
    <n v="3681278"/>
    <n v="9227888"/>
    <n v="9617369"/>
    <m/>
    <m/>
    <m/>
    <m/>
    <n v="0"/>
    <m/>
    <m/>
    <n v="0"/>
    <m/>
    <m/>
    <m/>
    <m/>
    <m/>
    <m/>
    <n v="9227888"/>
    <n v="9617369"/>
  </r>
  <r>
    <x v="0"/>
    <x v="8"/>
    <s v="Special line items for education operations"/>
    <m/>
    <n v="101499"/>
    <x v="8"/>
    <m/>
    <m/>
    <m/>
    <m/>
    <m/>
    <m/>
    <m/>
    <m/>
    <n v="0"/>
    <m/>
    <m/>
    <n v="0"/>
    <n v="0"/>
    <n v="0"/>
    <m/>
    <m/>
    <m/>
    <m/>
    <n v="0"/>
    <m/>
    <m/>
    <n v="0"/>
    <m/>
    <m/>
    <m/>
    <m/>
    <m/>
    <m/>
    <n v="0"/>
    <n v="0"/>
  </r>
  <r>
    <x v="0"/>
    <x v="8"/>
    <s v="Special Population Training"/>
    <m/>
    <n v="101499"/>
    <x v="8"/>
    <m/>
    <m/>
    <n v="304677"/>
    <n v="33694"/>
    <m/>
    <m/>
    <m/>
    <m/>
    <n v="0"/>
    <m/>
    <m/>
    <n v="0"/>
    <n v="304677"/>
    <n v="33694"/>
    <m/>
    <m/>
    <m/>
    <m/>
    <n v="0"/>
    <m/>
    <m/>
    <n v="0"/>
    <m/>
    <m/>
    <m/>
    <m/>
    <m/>
    <m/>
    <n v="304677"/>
    <n v="33694"/>
  </r>
  <r>
    <x v="0"/>
    <x v="8"/>
    <s v="Adult Basic Education"/>
    <m/>
    <n v="101499"/>
    <x v="8"/>
    <m/>
    <m/>
    <n v="319529"/>
    <n v="248034"/>
    <m/>
    <m/>
    <m/>
    <m/>
    <n v="0"/>
    <m/>
    <m/>
    <n v="0"/>
    <n v="319529"/>
    <n v="248034"/>
    <m/>
    <m/>
    <m/>
    <m/>
    <n v="0"/>
    <m/>
    <m/>
    <n v="0"/>
    <m/>
    <m/>
    <m/>
    <m/>
    <m/>
    <m/>
    <n v="319529"/>
    <n v="248034"/>
  </r>
  <r>
    <x v="0"/>
    <x v="8"/>
    <s v="Workforce Development"/>
    <m/>
    <n v="101499"/>
    <x v="8"/>
    <m/>
    <m/>
    <n v="79888"/>
    <m/>
    <m/>
    <m/>
    <m/>
    <m/>
    <n v="0"/>
    <m/>
    <m/>
    <n v="0"/>
    <n v="79888"/>
    <n v="0"/>
    <m/>
    <m/>
    <m/>
    <m/>
    <n v="0"/>
    <m/>
    <m/>
    <n v="0"/>
    <m/>
    <m/>
    <m/>
    <m/>
    <m/>
    <m/>
    <n v="79888"/>
    <n v="0"/>
  </r>
  <r>
    <x v="0"/>
    <x v="0"/>
    <s v="Lurleen B. Wallace Community College "/>
    <m/>
    <n v="101602"/>
    <x v="8"/>
    <n v="6681189"/>
    <n v="6900659"/>
    <m/>
    <m/>
    <m/>
    <m/>
    <n v="5198559"/>
    <n v="360688"/>
    <n v="5559247"/>
    <n v="5406861"/>
    <n v="353522"/>
    <n v="5760383"/>
    <n v="11879748"/>
    <n v="12307520"/>
    <m/>
    <m/>
    <m/>
    <m/>
    <n v="0"/>
    <m/>
    <m/>
    <n v="0"/>
    <m/>
    <m/>
    <m/>
    <m/>
    <m/>
    <m/>
    <n v="11879748"/>
    <n v="12307520"/>
  </r>
  <r>
    <x v="0"/>
    <x v="8"/>
    <s v="Special line items for education operations"/>
    <m/>
    <n v="101602"/>
    <x v="8"/>
    <m/>
    <m/>
    <m/>
    <m/>
    <m/>
    <m/>
    <m/>
    <m/>
    <n v="0"/>
    <m/>
    <m/>
    <n v="0"/>
    <n v="0"/>
    <n v="0"/>
    <m/>
    <m/>
    <m/>
    <m/>
    <n v="0"/>
    <m/>
    <m/>
    <n v="0"/>
    <m/>
    <m/>
    <m/>
    <m/>
    <m/>
    <m/>
    <n v="0"/>
    <n v="0"/>
  </r>
  <r>
    <x v="0"/>
    <x v="8"/>
    <s v="Special Population Training"/>
    <m/>
    <n v="101602"/>
    <x v="8"/>
    <m/>
    <m/>
    <n v="180717"/>
    <n v="19674"/>
    <m/>
    <m/>
    <m/>
    <m/>
    <n v="0"/>
    <m/>
    <m/>
    <n v="0"/>
    <n v="180717"/>
    <n v="19674"/>
    <m/>
    <m/>
    <m/>
    <m/>
    <n v="0"/>
    <m/>
    <m/>
    <n v="0"/>
    <m/>
    <m/>
    <m/>
    <m/>
    <m/>
    <m/>
    <n v="180717"/>
    <n v="19674"/>
  </r>
  <r>
    <x v="0"/>
    <x v="8"/>
    <s v="Adult Basic Education"/>
    <m/>
    <n v="101602"/>
    <x v="8"/>
    <m/>
    <m/>
    <n v="488303"/>
    <n v="278706"/>
    <m/>
    <m/>
    <m/>
    <m/>
    <n v="0"/>
    <m/>
    <m/>
    <n v="0"/>
    <n v="488303"/>
    <n v="278706"/>
    <m/>
    <m/>
    <m/>
    <m/>
    <n v="0"/>
    <m/>
    <m/>
    <n v="0"/>
    <m/>
    <m/>
    <m/>
    <m/>
    <m/>
    <m/>
    <n v="488303"/>
    <n v="278706"/>
  </r>
  <r>
    <x v="0"/>
    <x v="8"/>
    <s v="Workforce Development"/>
    <m/>
    <n v="101602"/>
    <x v="8"/>
    <m/>
    <m/>
    <n v="124316"/>
    <n v="131391"/>
    <m/>
    <m/>
    <m/>
    <m/>
    <n v="0"/>
    <m/>
    <m/>
    <n v="0"/>
    <n v="124316"/>
    <n v="131391"/>
    <m/>
    <m/>
    <m/>
    <m/>
    <n v="0"/>
    <m/>
    <m/>
    <n v="0"/>
    <m/>
    <m/>
    <m/>
    <m/>
    <m/>
    <m/>
    <n v="124316"/>
    <n v="131391"/>
  </r>
  <r>
    <x v="0"/>
    <x v="0"/>
    <s v="Snead State Community College "/>
    <s v="Met the criteria for Two-Year 2 in 2012-13 and 2013-14."/>
    <n v="102076"/>
    <x v="8"/>
    <n v="6205328"/>
    <n v="6524636"/>
    <m/>
    <m/>
    <m/>
    <m/>
    <n v="8330478"/>
    <n v="907457"/>
    <n v="9237935"/>
    <n v="7936155"/>
    <n v="827729"/>
    <n v="8763884"/>
    <n v="14535806"/>
    <n v="14460791"/>
    <m/>
    <m/>
    <m/>
    <m/>
    <n v="0"/>
    <m/>
    <m/>
    <n v="0"/>
    <m/>
    <m/>
    <m/>
    <m/>
    <m/>
    <m/>
    <n v="14535806"/>
    <n v="14460791"/>
  </r>
  <r>
    <x v="0"/>
    <x v="8"/>
    <s v="Special line items for education operations"/>
    <m/>
    <n v="102076"/>
    <x v="8"/>
    <m/>
    <m/>
    <m/>
    <m/>
    <m/>
    <m/>
    <m/>
    <m/>
    <n v="0"/>
    <m/>
    <m/>
    <n v="0"/>
    <n v="0"/>
    <n v="0"/>
    <m/>
    <m/>
    <m/>
    <m/>
    <n v="0"/>
    <m/>
    <m/>
    <n v="0"/>
    <m/>
    <m/>
    <m/>
    <m/>
    <m/>
    <m/>
    <n v="0"/>
    <n v="0"/>
  </r>
  <r>
    <x v="0"/>
    <x v="8"/>
    <s v="Special Population Training"/>
    <m/>
    <n v="102076"/>
    <x v="8"/>
    <m/>
    <m/>
    <n v="135030"/>
    <n v="151900"/>
    <m/>
    <m/>
    <m/>
    <m/>
    <n v="0"/>
    <m/>
    <m/>
    <n v="0"/>
    <n v="135030"/>
    <n v="151900"/>
    <m/>
    <m/>
    <m/>
    <m/>
    <n v="0"/>
    <m/>
    <m/>
    <n v="0"/>
    <m/>
    <m/>
    <m/>
    <m/>
    <m/>
    <m/>
    <n v="135030"/>
    <n v="151900"/>
  </r>
  <r>
    <x v="0"/>
    <x v="8"/>
    <s v="Adult Basic Education"/>
    <m/>
    <n v="102076"/>
    <x v="8"/>
    <m/>
    <m/>
    <m/>
    <n v="400"/>
    <m/>
    <m/>
    <m/>
    <m/>
    <n v="0"/>
    <m/>
    <m/>
    <n v="0"/>
    <n v="0"/>
    <n v="400"/>
    <m/>
    <m/>
    <m/>
    <m/>
    <n v="0"/>
    <m/>
    <m/>
    <n v="0"/>
    <m/>
    <m/>
    <m/>
    <m/>
    <m/>
    <m/>
    <n v="0"/>
    <n v="400"/>
  </r>
  <r>
    <x v="0"/>
    <x v="8"/>
    <s v="Workforce Development"/>
    <m/>
    <n v="102076"/>
    <x v="8"/>
    <m/>
    <m/>
    <n v="103375"/>
    <n v="146014"/>
    <m/>
    <m/>
    <m/>
    <m/>
    <n v="0"/>
    <m/>
    <m/>
    <n v="0"/>
    <n v="103375"/>
    <n v="146014"/>
    <m/>
    <m/>
    <m/>
    <m/>
    <n v="0"/>
    <m/>
    <m/>
    <n v="0"/>
    <m/>
    <m/>
    <m/>
    <m/>
    <m/>
    <m/>
    <n v="103375"/>
    <n v="146014"/>
  </r>
  <r>
    <x v="0"/>
    <x v="0"/>
    <s v="Trenholm State Technical College"/>
    <m/>
    <n v="102313"/>
    <x v="9"/>
    <n v="9011348"/>
    <n v="9155363"/>
    <m/>
    <m/>
    <m/>
    <m/>
    <n v="4919973"/>
    <n v="508430"/>
    <n v="5428403"/>
    <n v="5060716"/>
    <n v="512611"/>
    <n v="5573327"/>
    <n v="13931321"/>
    <n v="14216079"/>
    <m/>
    <m/>
    <m/>
    <m/>
    <n v="0"/>
    <m/>
    <m/>
    <n v="0"/>
    <m/>
    <m/>
    <m/>
    <m/>
    <m/>
    <m/>
    <n v="13931321"/>
    <n v="14216079"/>
  </r>
  <r>
    <x v="0"/>
    <x v="8"/>
    <s v="Special line items for education operations"/>
    <m/>
    <n v="102313"/>
    <x v="9"/>
    <m/>
    <m/>
    <m/>
    <m/>
    <m/>
    <m/>
    <m/>
    <m/>
    <n v="0"/>
    <m/>
    <m/>
    <n v="0"/>
    <n v="0"/>
    <n v="0"/>
    <m/>
    <m/>
    <m/>
    <m/>
    <n v="0"/>
    <m/>
    <m/>
    <n v="0"/>
    <m/>
    <m/>
    <m/>
    <m/>
    <m/>
    <m/>
    <n v="0"/>
    <n v="0"/>
  </r>
  <r>
    <x v="0"/>
    <x v="8"/>
    <s v="Special Population Training"/>
    <m/>
    <n v="102313"/>
    <x v="9"/>
    <m/>
    <m/>
    <n v="84007"/>
    <n v="111593"/>
    <m/>
    <m/>
    <m/>
    <m/>
    <n v="0"/>
    <m/>
    <m/>
    <n v="0"/>
    <n v="84007"/>
    <n v="111593"/>
    <m/>
    <m/>
    <m/>
    <m/>
    <n v="0"/>
    <m/>
    <m/>
    <n v="0"/>
    <m/>
    <m/>
    <m/>
    <m/>
    <m/>
    <m/>
    <n v="84007"/>
    <n v="111593"/>
  </r>
  <r>
    <x v="0"/>
    <x v="8"/>
    <s v="Adult Basic Education"/>
    <m/>
    <n v="102313"/>
    <x v="9"/>
    <m/>
    <m/>
    <n v="507971"/>
    <n v="466506"/>
    <m/>
    <m/>
    <m/>
    <m/>
    <n v="0"/>
    <m/>
    <m/>
    <n v="0"/>
    <n v="507971"/>
    <n v="466506"/>
    <m/>
    <m/>
    <m/>
    <m/>
    <n v="0"/>
    <m/>
    <m/>
    <n v="0"/>
    <m/>
    <m/>
    <m/>
    <m/>
    <m/>
    <m/>
    <n v="507971"/>
    <n v="466506"/>
  </r>
  <r>
    <x v="0"/>
    <x v="8"/>
    <s v="Workforce Development"/>
    <m/>
    <n v="102313"/>
    <x v="9"/>
    <m/>
    <m/>
    <n v="5000"/>
    <n v="33119"/>
    <m/>
    <m/>
    <m/>
    <m/>
    <n v="0"/>
    <m/>
    <m/>
    <n v="0"/>
    <n v="5000"/>
    <n v="33119"/>
    <m/>
    <m/>
    <m/>
    <m/>
    <n v="0"/>
    <m/>
    <m/>
    <n v="0"/>
    <m/>
    <m/>
    <m/>
    <m/>
    <m/>
    <m/>
    <n v="5000"/>
    <n v="33119"/>
  </r>
  <r>
    <x v="0"/>
    <x v="0"/>
    <s v="J.F. Drake State Technical College "/>
    <m/>
    <n v="101462"/>
    <x v="10"/>
    <n v="4500394"/>
    <n v="4724658"/>
    <m/>
    <m/>
    <m/>
    <m/>
    <n v="3619045"/>
    <n v="292688"/>
    <n v="3911733"/>
    <n v="3486031"/>
    <n v="295750"/>
    <n v="3781781"/>
    <n v="8119439"/>
    <n v="8210689"/>
    <m/>
    <m/>
    <m/>
    <m/>
    <n v="0"/>
    <m/>
    <m/>
    <n v="0"/>
    <m/>
    <m/>
    <m/>
    <m/>
    <m/>
    <m/>
    <n v="8119439"/>
    <n v="8210689"/>
  </r>
  <r>
    <x v="0"/>
    <x v="8"/>
    <s v="Special line items for education operations"/>
    <m/>
    <n v="101462"/>
    <x v="10"/>
    <m/>
    <m/>
    <m/>
    <m/>
    <m/>
    <m/>
    <m/>
    <m/>
    <n v="0"/>
    <m/>
    <m/>
    <n v="0"/>
    <n v="0"/>
    <n v="0"/>
    <m/>
    <m/>
    <m/>
    <m/>
    <n v="0"/>
    <m/>
    <m/>
    <n v="0"/>
    <m/>
    <m/>
    <m/>
    <m/>
    <m/>
    <m/>
    <n v="0"/>
    <n v="0"/>
  </r>
  <r>
    <x v="0"/>
    <x v="8"/>
    <s v="Special Population Training"/>
    <m/>
    <n v="101462"/>
    <x v="10"/>
    <m/>
    <m/>
    <n v="306787"/>
    <n v="105201"/>
    <m/>
    <m/>
    <m/>
    <m/>
    <n v="0"/>
    <m/>
    <m/>
    <n v="0"/>
    <n v="306787"/>
    <n v="105201"/>
    <m/>
    <m/>
    <m/>
    <m/>
    <n v="0"/>
    <m/>
    <m/>
    <n v="0"/>
    <m/>
    <m/>
    <m/>
    <m/>
    <m/>
    <m/>
    <n v="306787"/>
    <n v="105201"/>
  </r>
  <r>
    <x v="0"/>
    <x v="8"/>
    <s v="Adult Basic Education"/>
    <m/>
    <n v="101462"/>
    <x v="10"/>
    <m/>
    <m/>
    <n v="145654"/>
    <n v="149153"/>
    <m/>
    <m/>
    <m/>
    <m/>
    <n v="0"/>
    <m/>
    <m/>
    <n v="0"/>
    <n v="145654"/>
    <n v="149153"/>
    <m/>
    <m/>
    <m/>
    <m/>
    <n v="0"/>
    <m/>
    <m/>
    <n v="0"/>
    <m/>
    <m/>
    <m/>
    <m/>
    <m/>
    <m/>
    <n v="145654"/>
    <n v="149153"/>
  </r>
  <r>
    <x v="0"/>
    <x v="8"/>
    <s v="Workforce Development"/>
    <m/>
    <n v="101462"/>
    <x v="10"/>
    <m/>
    <m/>
    <m/>
    <n v="30170"/>
    <m/>
    <m/>
    <m/>
    <m/>
    <n v="0"/>
    <m/>
    <m/>
    <n v="0"/>
    <n v="0"/>
    <n v="30170"/>
    <m/>
    <m/>
    <m/>
    <m/>
    <n v="0"/>
    <m/>
    <m/>
    <n v="0"/>
    <m/>
    <m/>
    <m/>
    <m/>
    <m/>
    <m/>
    <n v="0"/>
    <n v="30170"/>
  </r>
  <r>
    <x v="0"/>
    <x v="0"/>
    <s v="J.F. Ingram State Technical College "/>
    <m/>
    <n v="101471"/>
    <x v="10"/>
    <n v="6590537"/>
    <n v="6785543"/>
    <m/>
    <m/>
    <m/>
    <n v="3000"/>
    <n v="2225702"/>
    <m/>
    <n v="2225702"/>
    <n v="2405910"/>
    <m/>
    <n v="2405910"/>
    <n v="8816239"/>
    <n v="9194453"/>
    <m/>
    <m/>
    <m/>
    <m/>
    <n v="0"/>
    <m/>
    <m/>
    <n v="0"/>
    <m/>
    <m/>
    <m/>
    <m/>
    <m/>
    <m/>
    <n v="8816239"/>
    <n v="9194453"/>
  </r>
  <r>
    <x v="0"/>
    <x v="8"/>
    <s v="Special line items for education operations"/>
    <m/>
    <n v="101471"/>
    <x v="10"/>
    <m/>
    <m/>
    <m/>
    <m/>
    <m/>
    <m/>
    <m/>
    <m/>
    <n v="0"/>
    <m/>
    <m/>
    <n v="0"/>
    <n v="0"/>
    <n v="0"/>
    <m/>
    <m/>
    <m/>
    <m/>
    <n v="0"/>
    <m/>
    <m/>
    <n v="0"/>
    <m/>
    <m/>
    <m/>
    <m/>
    <m/>
    <m/>
    <n v="0"/>
    <n v="0"/>
  </r>
  <r>
    <x v="0"/>
    <x v="8"/>
    <s v="Special Population Training"/>
    <m/>
    <n v="101471"/>
    <x v="10"/>
    <m/>
    <m/>
    <n v="88500"/>
    <m/>
    <m/>
    <m/>
    <m/>
    <m/>
    <n v="0"/>
    <m/>
    <m/>
    <n v="0"/>
    <n v="88500"/>
    <n v="0"/>
    <m/>
    <m/>
    <m/>
    <m/>
    <n v="0"/>
    <m/>
    <m/>
    <n v="0"/>
    <m/>
    <m/>
    <m/>
    <m/>
    <m/>
    <m/>
    <n v="88500"/>
    <n v="0"/>
  </r>
  <r>
    <x v="0"/>
    <x v="8"/>
    <s v="Adult Basic Education"/>
    <m/>
    <n v="101471"/>
    <x v="10"/>
    <m/>
    <m/>
    <n v="495637"/>
    <n v="554044"/>
    <m/>
    <m/>
    <m/>
    <m/>
    <n v="0"/>
    <m/>
    <m/>
    <n v="0"/>
    <n v="495637"/>
    <n v="554044"/>
    <m/>
    <m/>
    <m/>
    <m/>
    <n v="0"/>
    <m/>
    <m/>
    <n v="0"/>
    <m/>
    <m/>
    <m/>
    <m/>
    <m/>
    <m/>
    <n v="495637"/>
    <n v="554044"/>
  </r>
  <r>
    <x v="0"/>
    <x v="8"/>
    <s v="Workforce Development"/>
    <m/>
    <n v="101471"/>
    <x v="10"/>
    <m/>
    <m/>
    <n v="7908"/>
    <n v="31499"/>
    <m/>
    <m/>
    <m/>
    <m/>
    <n v="0"/>
    <m/>
    <m/>
    <n v="0"/>
    <n v="7908"/>
    <n v="31499"/>
    <m/>
    <m/>
    <m/>
    <m/>
    <n v="0"/>
    <m/>
    <m/>
    <n v="0"/>
    <m/>
    <m/>
    <m/>
    <m/>
    <m/>
    <m/>
    <n v="7908"/>
    <n v="31499"/>
  </r>
  <r>
    <x v="0"/>
    <x v="0"/>
    <s v="Reid State Technical College "/>
    <m/>
    <n v="101994"/>
    <x v="10"/>
    <n v="4201032"/>
    <n v="4310779"/>
    <m/>
    <m/>
    <m/>
    <m/>
    <n v="1918069"/>
    <n v="143971"/>
    <n v="2062040"/>
    <n v="1720671"/>
    <n v="127147"/>
    <n v="1847818"/>
    <n v="6119101"/>
    <n v="6031450"/>
    <m/>
    <m/>
    <m/>
    <m/>
    <n v="0"/>
    <m/>
    <m/>
    <n v="0"/>
    <m/>
    <m/>
    <m/>
    <m/>
    <m/>
    <m/>
    <n v="6119101"/>
    <n v="6031450"/>
  </r>
  <r>
    <x v="0"/>
    <x v="8"/>
    <s v="Special line items for education operations"/>
    <m/>
    <n v="101994"/>
    <x v="10"/>
    <m/>
    <m/>
    <m/>
    <m/>
    <m/>
    <m/>
    <m/>
    <m/>
    <n v="0"/>
    <m/>
    <m/>
    <n v="0"/>
    <n v="0"/>
    <n v="0"/>
    <m/>
    <m/>
    <m/>
    <m/>
    <n v="0"/>
    <m/>
    <m/>
    <n v="0"/>
    <m/>
    <m/>
    <m/>
    <m/>
    <m/>
    <m/>
    <n v="0"/>
    <n v="0"/>
  </r>
  <r>
    <x v="0"/>
    <x v="8"/>
    <s v="Special Population Training"/>
    <m/>
    <n v="101994"/>
    <x v="10"/>
    <m/>
    <m/>
    <n v="118029"/>
    <n v="186247"/>
    <m/>
    <m/>
    <m/>
    <m/>
    <n v="0"/>
    <m/>
    <m/>
    <n v="0"/>
    <n v="118029"/>
    <n v="186247"/>
    <m/>
    <m/>
    <m/>
    <m/>
    <n v="0"/>
    <m/>
    <m/>
    <n v="0"/>
    <m/>
    <m/>
    <m/>
    <m/>
    <m/>
    <m/>
    <n v="118029"/>
    <n v="186247"/>
  </r>
  <r>
    <x v="0"/>
    <x v="8"/>
    <s v="Adult Basic Education"/>
    <m/>
    <n v="101994"/>
    <x v="10"/>
    <m/>
    <m/>
    <n v="175699"/>
    <n v="153385"/>
    <m/>
    <m/>
    <m/>
    <m/>
    <n v="0"/>
    <m/>
    <m/>
    <n v="0"/>
    <n v="175699"/>
    <n v="153385"/>
    <m/>
    <m/>
    <m/>
    <m/>
    <n v="0"/>
    <m/>
    <m/>
    <n v="0"/>
    <m/>
    <m/>
    <m/>
    <m/>
    <m/>
    <m/>
    <n v="175699"/>
    <n v="153385"/>
  </r>
  <r>
    <x v="0"/>
    <x v="8"/>
    <s v="Workforce Development"/>
    <m/>
    <n v="101994"/>
    <x v="10"/>
    <m/>
    <m/>
    <m/>
    <m/>
    <m/>
    <m/>
    <m/>
    <m/>
    <n v="0"/>
    <m/>
    <m/>
    <n v="0"/>
    <n v="0"/>
    <n v="0"/>
    <m/>
    <m/>
    <m/>
    <m/>
    <n v="0"/>
    <m/>
    <m/>
    <n v="0"/>
    <m/>
    <m/>
    <m/>
    <m/>
    <m/>
    <m/>
    <n v="0"/>
    <n v="0"/>
  </r>
  <r>
    <x v="0"/>
    <x v="9"/>
    <s v="Marion Military Institute"/>
    <m/>
    <n v="101648"/>
    <x v="11"/>
    <m/>
    <m/>
    <m/>
    <m/>
    <m/>
    <m/>
    <m/>
    <m/>
    <n v="0"/>
    <m/>
    <m/>
    <n v="0"/>
    <n v="0"/>
    <n v="0"/>
    <n v="5875936"/>
    <n v="6125936"/>
    <n v="3982157"/>
    <n v="212502"/>
    <n v="4194659"/>
    <n v="3747000"/>
    <n v="177000"/>
    <n v="3924000"/>
    <m/>
    <m/>
    <m/>
    <m/>
    <m/>
    <m/>
    <n v="9858093"/>
    <n v="9872936"/>
  </r>
  <r>
    <x v="0"/>
    <x v="10"/>
    <s v="Educational special purpose funds - to statewide units"/>
    <m/>
    <m/>
    <x v="12"/>
    <m/>
    <m/>
    <m/>
    <m/>
    <m/>
    <m/>
    <m/>
    <m/>
    <n v="0"/>
    <m/>
    <m/>
    <n v="0"/>
    <n v="0"/>
    <n v="0"/>
    <m/>
    <m/>
    <m/>
    <m/>
    <n v="0"/>
    <m/>
    <m/>
    <n v="0"/>
    <m/>
    <m/>
    <m/>
    <m/>
    <m/>
    <m/>
    <n v="0"/>
    <n v="0"/>
  </r>
  <r>
    <x v="0"/>
    <x v="11"/>
    <s v="Research centers/institutes"/>
    <m/>
    <m/>
    <x v="12"/>
    <m/>
    <m/>
    <m/>
    <m/>
    <m/>
    <m/>
    <m/>
    <m/>
    <n v="0"/>
    <m/>
    <m/>
    <n v="0"/>
    <n v="0"/>
    <n v="0"/>
    <m/>
    <m/>
    <m/>
    <m/>
    <n v="0"/>
    <m/>
    <m/>
    <n v="0"/>
    <m/>
    <m/>
    <m/>
    <m/>
    <m/>
    <m/>
    <n v="0"/>
    <n v="0"/>
  </r>
  <r>
    <x v="0"/>
    <x v="11"/>
    <s v="Exprmntl Prog. for the Stimulation of Competitive Rsrch (EPSCOR) Consort."/>
    <m/>
    <m/>
    <x v="12"/>
    <m/>
    <m/>
    <n v="1143088"/>
    <n v="114308"/>
    <m/>
    <m/>
    <m/>
    <m/>
    <n v="0"/>
    <m/>
    <m/>
    <n v="0"/>
    <n v="1143088"/>
    <n v="114308"/>
    <m/>
    <m/>
    <m/>
    <m/>
    <n v="0"/>
    <m/>
    <m/>
    <n v="0"/>
    <m/>
    <m/>
    <m/>
    <m/>
    <m/>
    <m/>
    <n v="1143088"/>
    <n v="114308"/>
  </r>
  <r>
    <x v="0"/>
    <x v="11"/>
    <s v="MESC/Dauphin Isl Sealab/Marine Environmental Sci Consort."/>
    <m/>
    <m/>
    <x v="12"/>
    <m/>
    <m/>
    <n v="3603915"/>
    <n v="3805262"/>
    <m/>
    <m/>
    <m/>
    <m/>
    <n v="0"/>
    <m/>
    <m/>
    <n v="0"/>
    <n v="3603915"/>
    <n v="3805262"/>
    <m/>
    <m/>
    <m/>
    <m/>
    <n v="0"/>
    <m/>
    <m/>
    <n v="0"/>
    <m/>
    <m/>
    <m/>
    <m/>
    <m/>
    <m/>
    <n v="3603915"/>
    <n v="3805262"/>
  </r>
  <r>
    <x v="0"/>
    <x v="12"/>
    <s v="Special line items for education operations"/>
    <m/>
    <m/>
    <x v="12"/>
    <m/>
    <m/>
    <m/>
    <m/>
    <m/>
    <m/>
    <m/>
    <m/>
    <n v="0"/>
    <m/>
    <m/>
    <n v="0"/>
    <n v="0"/>
    <n v="0"/>
    <m/>
    <m/>
    <m/>
    <m/>
    <n v="0"/>
    <m/>
    <m/>
    <n v="0"/>
    <m/>
    <m/>
    <m/>
    <m/>
    <m/>
    <m/>
    <n v="0"/>
    <n v="0"/>
  </r>
  <r>
    <x v="0"/>
    <x v="12"/>
    <s v="Network of Al Academic Libraries (NAAL)"/>
    <m/>
    <m/>
    <x v="12"/>
    <m/>
    <m/>
    <n v="301248"/>
    <n v="301248"/>
    <m/>
    <m/>
    <m/>
    <m/>
    <n v="0"/>
    <m/>
    <m/>
    <n v="0"/>
    <n v="301248"/>
    <n v="301248"/>
    <m/>
    <m/>
    <m/>
    <m/>
    <n v="0"/>
    <m/>
    <m/>
    <n v="0"/>
    <m/>
    <m/>
    <m/>
    <m/>
    <m/>
    <m/>
    <n v="301248"/>
    <n v="301248"/>
  </r>
  <r>
    <x v="0"/>
    <x v="12"/>
    <s v="AL Agricultural LG Alliance"/>
    <m/>
    <m/>
    <x v="12"/>
    <m/>
    <m/>
    <n v="922451"/>
    <n v="827523"/>
    <m/>
    <m/>
    <m/>
    <m/>
    <n v="0"/>
    <m/>
    <m/>
    <n v="0"/>
    <n v="922451"/>
    <n v="827523"/>
    <m/>
    <m/>
    <m/>
    <m/>
    <n v="0"/>
    <m/>
    <m/>
    <n v="0"/>
    <m/>
    <m/>
    <m/>
    <m/>
    <m/>
    <m/>
    <n v="922451"/>
    <n v="827523"/>
  </r>
  <r>
    <x v="0"/>
    <x v="12"/>
    <s v="AL Firefighters' Personnel Standards &amp; Ed Commission’s “Alabama Fire College”"/>
    <m/>
    <m/>
    <x v="12"/>
    <m/>
    <m/>
    <n v="2899521"/>
    <n v="3682521"/>
    <m/>
    <m/>
    <m/>
    <m/>
    <n v="0"/>
    <m/>
    <m/>
    <n v="0"/>
    <n v="2899521"/>
    <n v="3682521"/>
    <m/>
    <m/>
    <m/>
    <m/>
    <n v="0"/>
    <m/>
    <m/>
    <n v="0"/>
    <m/>
    <m/>
    <m/>
    <m/>
    <m/>
    <m/>
    <n v="2899521"/>
    <n v="3682521"/>
  </r>
  <r>
    <x v="0"/>
    <x v="12"/>
    <s v="Adult Basic Education"/>
    <m/>
    <m/>
    <x v="12"/>
    <m/>
    <m/>
    <n v="825132"/>
    <n v="937349"/>
    <m/>
    <m/>
    <m/>
    <m/>
    <n v="0"/>
    <m/>
    <m/>
    <n v="0"/>
    <n v="825132"/>
    <n v="937349"/>
    <m/>
    <m/>
    <m/>
    <m/>
    <n v="0"/>
    <m/>
    <m/>
    <n v="0"/>
    <m/>
    <m/>
    <m/>
    <m/>
    <m/>
    <m/>
    <n v="825132"/>
    <n v="937349"/>
  </r>
  <r>
    <x v="0"/>
    <x v="12"/>
    <s v="Alabama Technology Network"/>
    <m/>
    <m/>
    <x v="12"/>
    <m/>
    <m/>
    <n v="4586762"/>
    <n v="4586762"/>
    <m/>
    <m/>
    <m/>
    <m/>
    <n v="0"/>
    <m/>
    <m/>
    <n v="0"/>
    <n v="4586762"/>
    <n v="4586762"/>
    <m/>
    <m/>
    <m/>
    <m/>
    <n v="0"/>
    <m/>
    <m/>
    <n v="0"/>
    <m/>
    <m/>
    <m/>
    <m/>
    <m/>
    <m/>
    <n v="4586762"/>
    <n v="4586762"/>
  </r>
  <r>
    <x v="0"/>
    <x v="12"/>
    <s v="Special Population Training"/>
    <m/>
    <m/>
    <x v="12"/>
    <m/>
    <m/>
    <n v="951980"/>
    <n v="804493"/>
    <m/>
    <m/>
    <m/>
    <m/>
    <n v="0"/>
    <m/>
    <m/>
    <n v="0"/>
    <n v="951980"/>
    <n v="804493"/>
    <m/>
    <m/>
    <m/>
    <m/>
    <n v="0"/>
    <m/>
    <m/>
    <n v="0"/>
    <m/>
    <m/>
    <m/>
    <m/>
    <m/>
    <m/>
    <n v="951980"/>
    <n v="804493"/>
  </r>
  <r>
    <x v="0"/>
    <x v="12"/>
    <s v="Prison Education - Therapeutic Training"/>
    <m/>
    <m/>
    <x v="12"/>
    <m/>
    <m/>
    <n v="1939901"/>
    <n v="1939901"/>
    <m/>
    <m/>
    <m/>
    <m/>
    <n v="0"/>
    <m/>
    <m/>
    <n v="0"/>
    <n v="1939901"/>
    <n v="1939901"/>
    <m/>
    <m/>
    <m/>
    <m/>
    <n v="0"/>
    <m/>
    <m/>
    <n v="0"/>
    <m/>
    <m/>
    <m/>
    <m/>
    <m/>
    <m/>
    <n v="1939901"/>
    <n v="1939901"/>
  </r>
  <r>
    <x v="0"/>
    <x v="12"/>
    <s v="LifeTech"/>
    <m/>
    <m/>
    <x v="12"/>
    <m/>
    <m/>
    <n v="2300000"/>
    <n v="2000000"/>
    <m/>
    <m/>
    <m/>
    <m/>
    <n v="0"/>
    <m/>
    <m/>
    <n v="0"/>
    <n v="2300000"/>
    <n v="2000000"/>
    <m/>
    <m/>
    <m/>
    <m/>
    <n v="0"/>
    <m/>
    <m/>
    <n v="0"/>
    <m/>
    <m/>
    <m/>
    <m/>
    <m/>
    <m/>
    <n v="2300000"/>
    <n v="2000000"/>
  </r>
  <r>
    <x v="0"/>
    <x v="12"/>
    <s v="Workforce Development"/>
    <m/>
    <m/>
    <x v="12"/>
    <m/>
    <m/>
    <n v="458030"/>
    <n v="479879"/>
    <m/>
    <m/>
    <m/>
    <m/>
    <n v="0"/>
    <m/>
    <m/>
    <n v="0"/>
    <n v="458030"/>
    <n v="479879"/>
    <m/>
    <m/>
    <m/>
    <m/>
    <n v="0"/>
    <m/>
    <m/>
    <n v="0"/>
    <m/>
    <m/>
    <m/>
    <m/>
    <m/>
    <m/>
    <n v="458030"/>
    <n v="479879"/>
  </r>
  <r>
    <x v="0"/>
    <x v="12"/>
    <s v="Washington Ctr Internship Pgm"/>
    <m/>
    <m/>
    <x v="12"/>
    <m/>
    <m/>
    <n v="23040"/>
    <n v="23040"/>
    <m/>
    <m/>
    <m/>
    <m/>
    <n v="0"/>
    <m/>
    <m/>
    <n v="0"/>
    <n v="23040"/>
    <n v="23040"/>
    <m/>
    <m/>
    <m/>
    <m/>
    <n v="0"/>
    <m/>
    <m/>
    <n v="0"/>
    <m/>
    <m/>
    <m/>
    <m/>
    <m/>
    <m/>
    <n v="23040"/>
    <n v="23040"/>
  </r>
  <r>
    <x v="0"/>
    <x v="12"/>
    <s v="Continuing Ed for EMT Personnel"/>
    <m/>
    <m/>
    <x v="12"/>
    <m/>
    <m/>
    <n v="1335782"/>
    <n v="1335782"/>
    <m/>
    <m/>
    <m/>
    <m/>
    <n v="0"/>
    <m/>
    <m/>
    <n v="0"/>
    <n v="1335782"/>
    <n v="1335782"/>
    <m/>
    <m/>
    <m/>
    <m/>
    <n v="0"/>
    <m/>
    <m/>
    <n v="0"/>
    <m/>
    <m/>
    <m/>
    <m/>
    <m/>
    <m/>
    <n v="1335782"/>
    <n v="1335782"/>
  </r>
  <r>
    <x v="0"/>
    <x v="12"/>
    <s v="Mine Safety Training Pgm"/>
    <m/>
    <m/>
    <x v="12"/>
    <m/>
    <m/>
    <n v="320635"/>
    <n v="320635"/>
    <m/>
    <m/>
    <m/>
    <m/>
    <n v="0"/>
    <m/>
    <m/>
    <n v="0"/>
    <n v="320635"/>
    <n v="320635"/>
    <m/>
    <m/>
    <m/>
    <m/>
    <n v="0"/>
    <m/>
    <m/>
    <n v="0"/>
    <m/>
    <m/>
    <m/>
    <m/>
    <m/>
    <m/>
    <n v="320635"/>
    <n v="320635"/>
  </r>
  <r>
    <x v="0"/>
    <x v="13"/>
    <s v="Educational special purpose funds - all other"/>
    <m/>
    <m/>
    <x v="12"/>
    <m/>
    <m/>
    <m/>
    <m/>
    <m/>
    <m/>
    <m/>
    <m/>
    <n v="0"/>
    <m/>
    <m/>
    <n v="0"/>
    <n v="0"/>
    <n v="0"/>
    <m/>
    <m/>
    <m/>
    <m/>
    <n v="0"/>
    <m/>
    <m/>
    <n v="0"/>
    <m/>
    <m/>
    <m/>
    <m/>
    <m/>
    <m/>
    <n v="0"/>
    <n v="0"/>
  </r>
  <r>
    <x v="0"/>
    <x v="13"/>
    <s v="Articulation "/>
    <m/>
    <m/>
    <x v="12"/>
    <m/>
    <m/>
    <n v="374867"/>
    <n v="374867"/>
    <m/>
    <m/>
    <m/>
    <m/>
    <n v="0"/>
    <m/>
    <m/>
    <n v="0"/>
    <n v="374867"/>
    <n v="374867"/>
    <m/>
    <m/>
    <m/>
    <m/>
    <n v="0"/>
    <m/>
    <m/>
    <n v="0"/>
    <m/>
    <m/>
    <m/>
    <m/>
    <m/>
    <m/>
    <n v="374867"/>
    <n v="374867"/>
  </r>
  <r>
    <x v="0"/>
    <x v="13"/>
    <s v="Arts Council"/>
    <m/>
    <m/>
    <x v="12"/>
    <m/>
    <m/>
    <m/>
    <n v="200000"/>
    <m/>
    <m/>
    <m/>
    <m/>
    <n v="0"/>
    <m/>
    <m/>
    <n v="0"/>
    <n v="0"/>
    <n v="200000"/>
    <m/>
    <m/>
    <m/>
    <m/>
    <n v="0"/>
    <m/>
    <m/>
    <n v="0"/>
    <m/>
    <m/>
    <m/>
    <m/>
    <m/>
    <m/>
    <n v="0"/>
    <n v="200000"/>
  </r>
  <r>
    <x v="0"/>
    <x v="13"/>
    <s v="Adaptive &amp; Disability Sports ED"/>
    <m/>
    <m/>
    <x v="12"/>
    <m/>
    <m/>
    <m/>
    <n v="250000"/>
    <m/>
    <m/>
    <m/>
    <m/>
    <n v="0"/>
    <m/>
    <m/>
    <n v="0"/>
    <n v="0"/>
    <n v="250000"/>
    <m/>
    <m/>
    <m/>
    <m/>
    <n v="0"/>
    <m/>
    <m/>
    <n v="0"/>
    <m/>
    <m/>
    <m/>
    <m/>
    <m/>
    <m/>
    <n v="0"/>
    <n v="250000"/>
  </r>
  <r>
    <x v="0"/>
    <x v="13"/>
    <s v="Knight v Alabama"/>
    <m/>
    <m/>
    <x v="12"/>
    <m/>
    <m/>
    <n v="1750745"/>
    <n v="1734384"/>
    <m/>
    <m/>
    <m/>
    <m/>
    <n v="0"/>
    <m/>
    <m/>
    <n v="0"/>
    <n v="1750745"/>
    <n v="1734384"/>
    <m/>
    <m/>
    <m/>
    <m/>
    <n v="0"/>
    <m/>
    <m/>
    <n v="0"/>
    <m/>
    <m/>
    <m/>
    <m/>
    <m/>
    <m/>
    <n v="1750745"/>
    <n v="1734384"/>
  </r>
  <r>
    <x v="0"/>
    <x v="13"/>
    <s v="School &amp; University Partnership for Education Renewal "/>
    <m/>
    <m/>
    <x v="12"/>
    <m/>
    <m/>
    <n v="40276"/>
    <n v="40276"/>
    <m/>
    <m/>
    <m/>
    <m/>
    <n v="0"/>
    <m/>
    <m/>
    <n v="0"/>
    <n v="40276"/>
    <n v="40276"/>
    <m/>
    <m/>
    <m/>
    <m/>
    <n v="0"/>
    <m/>
    <m/>
    <n v="0"/>
    <m/>
    <m/>
    <m/>
    <m/>
    <m/>
    <m/>
    <n v="40276"/>
    <n v="40276"/>
  </r>
  <r>
    <x v="0"/>
    <x v="13"/>
    <s v="Alabama Innovation Fund"/>
    <m/>
    <m/>
    <x v="12"/>
    <m/>
    <m/>
    <m/>
    <n v="1595201"/>
    <m/>
    <m/>
    <m/>
    <m/>
    <n v="0"/>
    <m/>
    <m/>
    <n v="0"/>
    <n v="0"/>
    <n v="1595201"/>
    <m/>
    <m/>
    <m/>
    <m/>
    <n v="0"/>
    <m/>
    <m/>
    <n v="0"/>
    <m/>
    <m/>
    <m/>
    <m/>
    <m/>
    <m/>
    <n v="0"/>
    <n v="1595201"/>
  </r>
  <r>
    <x v="0"/>
    <x v="14"/>
    <s v="Statewide System Operations"/>
    <m/>
    <m/>
    <x v="12"/>
    <m/>
    <m/>
    <m/>
    <m/>
    <m/>
    <m/>
    <m/>
    <m/>
    <n v="0"/>
    <m/>
    <m/>
    <n v="0"/>
    <n v="0"/>
    <n v="0"/>
    <m/>
    <m/>
    <m/>
    <m/>
    <n v="0"/>
    <m/>
    <m/>
    <n v="0"/>
    <m/>
    <m/>
    <m/>
    <m/>
    <m/>
    <m/>
    <n v="0"/>
    <n v="0"/>
  </r>
  <r>
    <x v="0"/>
    <x v="15"/>
    <s v="Colleges and universities"/>
    <m/>
    <m/>
    <x v="12"/>
    <m/>
    <m/>
    <m/>
    <m/>
    <m/>
    <m/>
    <m/>
    <m/>
    <n v="0"/>
    <m/>
    <m/>
    <n v="0"/>
    <n v="0"/>
    <n v="0"/>
    <m/>
    <m/>
    <m/>
    <m/>
    <n v="0"/>
    <m/>
    <m/>
    <n v="0"/>
    <m/>
    <m/>
    <m/>
    <m/>
    <m/>
    <m/>
    <n v="0"/>
    <n v="0"/>
  </r>
  <r>
    <x v="0"/>
    <x v="15"/>
    <s v="Commission on Higher Education (CHE) Operations "/>
    <m/>
    <m/>
    <x v="12"/>
    <m/>
    <m/>
    <m/>
    <m/>
    <m/>
    <m/>
    <m/>
    <m/>
    <n v="0"/>
    <m/>
    <m/>
    <n v="0"/>
    <n v="0"/>
    <n v="0"/>
    <n v="2702892"/>
    <n v="3002892"/>
    <m/>
    <m/>
    <n v="0"/>
    <m/>
    <m/>
    <n v="0"/>
    <m/>
    <m/>
    <m/>
    <m/>
    <m/>
    <m/>
    <n v="2702892"/>
    <n v="3002892"/>
  </r>
  <r>
    <x v="0"/>
    <x v="16"/>
    <s v="Two-year system(s), if any"/>
    <m/>
    <m/>
    <x v="12"/>
    <m/>
    <m/>
    <m/>
    <m/>
    <m/>
    <m/>
    <m/>
    <m/>
    <n v="0"/>
    <m/>
    <m/>
    <n v="0"/>
    <n v="0"/>
    <n v="0"/>
    <m/>
    <m/>
    <m/>
    <m/>
    <n v="0"/>
    <m/>
    <m/>
    <n v="0"/>
    <m/>
    <m/>
    <m/>
    <m/>
    <m/>
    <m/>
    <n v="0"/>
    <n v="0"/>
  </r>
  <r>
    <x v="0"/>
    <x v="16"/>
    <s v="Department of Postsecondary Education Operations"/>
    <m/>
    <m/>
    <x v="12"/>
    <m/>
    <m/>
    <m/>
    <m/>
    <m/>
    <m/>
    <m/>
    <m/>
    <n v="0"/>
    <m/>
    <m/>
    <n v="0"/>
    <n v="0"/>
    <n v="0"/>
    <n v="5985567"/>
    <n v="5985567"/>
    <m/>
    <m/>
    <n v="0"/>
    <m/>
    <m/>
    <n v="0"/>
    <m/>
    <m/>
    <m/>
    <m/>
    <m/>
    <m/>
    <n v="5985567"/>
    <n v="5985567"/>
  </r>
  <r>
    <x v="0"/>
    <x v="16"/>
    <s v="Two Year College appropriation not yet Distributed"/>
    <m/>
    <m/>
    <x v="12"/>
    <m/>
    <m/>
    <m/>
    <m/>
    <m/>
    <m/>
    <m/>
    <m/>
    <n v="0"/>
    <m/>
    <m/>
    <n v="0"/>
    <n v="0"/>
    <n v="0"/>
    <m/>
    <m/>
    <m/>
    <m/>
    <n v="0"/>
    <m/>
    <m/>
    <n v="0"/>
    <m/>
    <m/>
    <m/>
    <m/>
    <m/>
    <m/>
    <n v="0"/>
    <n v="0"/>
  </r>
  <r>
    <x v="0"/>
    <x v="17"/>
    <s v="National or regional associations, compacts or consortia"/>
    <m/>
    <m/>
    <x v="12"/>
    <m/>
    <m/>
    <m/>
    <m/>
    <m/>
    <m/>
    <m/>
    <m/>
    <n v="0"/>
    <m/>
    <m/>
    <n v="0"/>
    <n v="0"/>
    <n v="0"/>
    <m/>
    <m/>
    <m/>
    <m/>
    <n v="0"/>
    <m/>
    <m/>
    <n v="0"/>
    <m/>
    <m/>
    <m/>
    <m/>
    <m/>
    <m/>
    <n v="0"/>
    <n v="0"/>
  </r>
  <r>
    <x v="0"/>
    <x v="17"/>
    <s v="SREB Membership  *"/>
    <m/>
    <m/>
    <x v="12"/>
    <m/>
    <m/>
    <m/>
    <m/>
    <m/>
    <m/>
    <m/>
    <m/>
    <n v="0"/>
    <m/>
    <m/>
    <n v="0"/>
    <n v="0"/>
    <n v="0"/>
    <n v="201550"/>
    <n v="201550"/>
    <m/>
    <m/>
    <n v="0"/>
    <m/>
    <m/>
    <n v="0"/>
    <m/>
    <m/>
    <m/>
    <m/>
    <m/>
    <m/>
    <n v="201550"/>
    <n v="201550"/>
  </r>
  <r>
    <x v="0"/>
    <x v="17"/>
    <s v="SREB ACHE Administrative Costs"/>
    <m/>
    <m/>
    <x v="12"/>
    <m/>
    <m/>
    <m/>
    <m/>
    <m/>
    <m/>
    <m/>
    <m/>
    <n v="0"/>
    <m/>
    <m/>
    <n v="0"/>
    <n v="0"/>
    <n v="0"/>
    <n v="59015"/>
    <n v="74675"/>
    <m/>
    <m/>
    <n v="0"/>
    <m/>
    <m/>
    <n v="0"/>
    <m/>
    <m/>
    <m/>
    <m/>
    <m/>
    <m/>
    <n v="59015"/>
    <n v="74675"/>
  </r>
  <r>
    <x v="0"/>
    <x v="18"/>
    <s v="Adm. of Statewide Student Aid Progs. (including centralized guaranteed student loans)"/>
    <m/>
    <m/>
    <x v="12"/>
    <m/>
    <m/>
    <m/>
    <m/>
    <m/>
    <m/>
    <m/>
    <m/>
    <n v="0"/>
    <m/>
    <m/>
    <n v="0"/>
    <n v="0"/>
    <n v="0"/>
    <n v="145312"/>
    <n v="183279"/>
    <m/>
    <m/>
    <n v="0"/>
    <m/>
    <m/>
    <n v="0"/>
    <m/>
    <m/>
    <m/>
    <m/>
    <m/>
    <m/>
    <n v="145312"/>
    <n v="183279"/>
  </r>
  <r>
    <x v="0"/>
    <x v="19"/>
    <s v="State Support to Private Colleges Other Than Student Aid"/>
    <m/>
    <m/>
    <x v="12"/>
    <m/>
    <m/>
    <m/>
    <m/>
    <m/>
    <m/>
    <m/>
    <m/>
    <n v="0"/>
    <m/>
    <m/>
    <n v="0"/>
    <n v="0"/>
    <n v="0"/>
    <m/>
    <m/>
    <m/>
    <m/>
    <n v="0"/>
    <m/>
    <m/>
    <n v="0"/>
    <m/>
    <m/>
    <m/>
    <m/>
    <m/>
    <m/>
    <n v="0"/>
    <n v="0"/>
  </r>
  <r>
    <x v="0"/>
    <x v="19"/>
    <s v="AL A&amp;M-Miles College Consortium"/>
    <m/>
    <m/>
    <x v="12"/>
    <m/>
    <m/>
    <m/>
    <m/>
    <m/>
    <m/>
    <m/>
    <m/>
    <n v="0"/>
    <m/>
    <m/>
    <n v="0"/>
    <n v="0"/>
    <n v="0"/>
    <n v="258645"/>
    <n v="262330"/>
    <m/>
    <m/>
    <n v="0"/>
    <m/>
    <m/>
    <n v="0"/>
    <m/>
    <m/>
    <m/>
    <m/>
    <m/>
    <m/>
    <n v="258645"/>
    <n v="262330"/>
  </r>
  <r>
    <x v="0"/>
    <x v="19"/>
    <s v="Talladega College"/>
    <m/>
    <m/>
    <x v="12"/>
    <m/>
    <m/>
    <m/>
    <m/>
    <m/>
    <m/>
    <m/>
    <m/>
    <n v="0"/>
    <m/>
    <m/>
    <n v="0"/>
    <n v="0"/>
    <n v="0"/>
    <n v="582997"/>
    <n v="632997"/>
    <m/>
    <m/>
    <n v="0"/>
    <m/>
    <m/>
    <n v="0"/>
    <m/>
    <m/>
    <m/>
    <m/>
    <m/>
    <m/>
    <n v="582997"/>
    <n v="632997"/>
  </r>
  <r>
    <x v="0"/>
    <x v="19"/>
    <s v="Tuskegee University"/>
    <m/>
    <m/>
    <x v="12"/>
    <m/>
    <m/>
    <m/>
    <m/>
    <m/>
    <m/>
    <m/>
    <m/>
    <n v="0"/>
    <m/>
    <m/>
    <n v="0"/>
    <n v="0"/>
    <n v="0"/>
    <n v="8942227"/>
    <n v="9069227"/>
    <m/>
    <m/>
    <n v="0"/>
    <m/>
    <m/>
    <n v="0"/>
    <m/>
    <m/>
    <m/>
    <m/>
    <m/>
    <m/>
    <n v="8942227"/>
    <n v="9069227"/>
  </r>
  <r>
    <x v="0"/>
    <x v="19"/>
    <s v="AL Agricultural LG Alliance Tuskegee University"/>
    <m/>
    <m/>
    <x v="12"/>
    <m/>
    <m/>
    <m/>
    <m/>
    <m/>
    <m/>
    <m/>
    <m/>
    <n v="0"/>
    <m/>
    <m/>
    <n v="0"/>
    <n v="0"/>
    <n v="0"/>
    <n v="2153416"/>
    <n v="2348344"/>
    <m/>
    <m/>
    <n v="0"/>
    <m/>
    <m/>
    <n v="0"/>
    <m/>
    <m/>
    <m/>
    <m/>
    <m/>
    <m/>
    <n v="2153416"/>
    <n v="2348344"/>
  </r>
  <r>
    <x v="0"/>
    <x v="20"/>
    <s v="Contract Education Programs"/>
    <m/>
    <m/>
    <x v="12"/>
    <m/>
    <m/>
    <m/>
    <m/>
    <m/>
    <m/>
    <m/>
    <m/>
    <n v="0"/>
    <m/>
    <m/>
    <n v="0"/>
    <n v="0"/>
    <n v="0"/>
    <m/>
    <m/>
    <m/>
    <m/>
    <n v="0"/>
    <m/>
    <m/>
    <n v="0"/>
    <m/>
    <m/>
    <m/>
    <m/>
    <m/>
    <m/>
    <n v="0"/>
    <n v="0"/>
  </r>
  <r>
    <x v="0"/>
    <x v="21"/>
    <s v="SREB contract program with private colleges"/>
    <m/>
    <m/>
    <x v="12"/>
    <m/>
    <m/>
    <m/>
    <m/>
    <m/>
    <m/>
    <m/>
    <m/>
    <n v="0"/>
    <m/>
    <m/>
    <n v="0"/>
    <n v="0"/>
    <n v="0"/>
    <m/>
    <m/>
    <m/>
    <m/>
    <n v="0"/>
    <m/>
    <m/>
    <n v="0"/>
    <m/>
    <m/>
    <m/>
    <m/>
    <m/>
    <m/>
    <n v="0"/>
    <n v="0"/>
  </r>
  <r>
    <x v="0"/>
    <x v="21"/>
    <s v="Meharry Medical College (Dentistry &amp; Medicine)"/>
    <m/>
    <m/>
    <x v="12"/>
    <m/>
    <m/>
    <m/>
    <m/>
    <m/>
    <m/>
    <m/>
    <m/>
    <n v="0"/>
    <m/>
    <m/>
    <n v="0"/>
    <n v="0"/>
    <n v="0"/>
    <m/>
    <m/>
    <m/>
    <m/>
    <n v="0"/>
    <m/>
    <m/>
    <n v="0"/>
    <m/>
    <m/>
    <m/>
    <m/>
    <m/>
    <m/>
    <n v="0"/>
    <n v="0"/>
  </r>
  <r>
    <x v="0"/>
    <x v="22"/>
    <s v="SREB contract program with public colleges"/>
    <m/>
    <m/>
    <x v="12"/>
    <m/>
    <m/>
    <m/>
    <m/>
    <m/>
    <m/>
    <m/>
    <m/>
    <n v="0"/>
    <m/>
    <m/>
    <n v="0"/>
    <n v="0"/>
    <n v="0"/>
    <m/>
    <m/>
    <m/>
    <m/>
    <n v="0"/>
    <m/>
    <m/>
    <n v="0"/>
    <m/>
    <m/>
    <m/>
    <m/>
    <m/>
    <m/>
    <n v="0"/>
    <n v="0"/>
  </r>
  <r>
    <x v="0"/>
    <x v="23"/>
    <s v="Other contract education programs"/>
    <m/>
    <m/>
    <x v="12"/>
    <m/>
    <m/>
    <m/>
    <m/>
    <m/>
    <m/>
    <m/>
    <m/>
    <n v="0"/>
    <m/>
    <m/>
    <n v="0"/>
    <n v="0"/>
    <n v="0"/>
    <m/>
    <m/>
    <m/>
    <m/>
    <n v="0"/>
    <m/>
    <m/>
    <n v="0"/>
    <m/>
    <m/>
    <m/>
    <m/>
    <m/>
    <m/>
    <n v="0"/>
    <n v="0"/>
  </r>
  <r>
    <x v="0"/>
    <x v="24"/>
    <s v="Statewide Student Financial Aid Programs Administered Off Campus"/>
    <m/>
    <m/>
    <x v="12"/>
    <m/>
    <m/>
    <m/>
    <m/>
    <m/>
    <m/>
    <m/>
    <m/>
    <n v="0"/>
    <m/>
    <m/>
    <n v="0"/>
    <n v="0"/>
    <n v="0"/>
    <m/>
    <m/>
    <m/>
    <m/>
    <n v="0"/>
    <m/>
    <m/>
    <n v="0"/>
    <m/>
    <m/>
    <m/>
    <m/>
    <m/>
    <m/>
    <n v="0"/>
    <n v="0"/>
  </r>
  <r>
    <x v="0"/>
    <x v="25"/>
    <s v="Available to public &amp; private sector students"/>
    <m/>
    <m/>
    <x v="12"/>
    <m/>
    <m/>
    <m/>
    <m/>
    <m/>
    <m/>
    <m/>
    <m/>
    <n v="0"/>
    <m/>
    <m/>
    <n v="0"/>
    <n v="0"/>
    <n v="0"/>
    <m/>
    <m/>
    <m/>
    <m/>
    <n v="0"/>
    <m/>
    <m/>
    <n v="0"/>
    <m/>
    <m/>
    <m/>
    <m/>
    <m/>
    <m/>
    <n v="0"/>
    <n v="0"/>
  </r>
  <r>
    <x v="0"/>
    <x v="25"/>
    <s v="for medical students"/>
    <m/>
    <m/>
    <x v="12"/>
    <m/>
    <m/>
    <m/>
    <m/>
    <m/>
    <m/>
    <m/>
    <m/>
    <n v="0"/>
    <m/>
    <m/>
    <n v="0"/>
    <n v="0"/>
    <n v="0"/>
    <m/>
    <m/>
    <m/>
    <m/>
    <n v="0"/>
    <m/>
    <m/>
    <n v="0"/>
    <m/>
    <m/>
    <m/>
    <m/>
    <m/>
    <m/>
    <n v="0"/>
    <n v="0"/>
  </r>
  <r>
    <x v="0"/>
    <x v="26"/>
    <s v="Need-based"/>
    <m/>
    <m/>
    <x v="12"/>
    <m/>
    <m/>
    <m/>
    <m/>
    <m/>
    <m/>
    <m/>
    <m/>
    <n v="0"/>
    <m/>
    <m/>
    <n v="0"/>
    <n v="0"/>
    <n v="0"/>
    <m/>
    <m/>
    <m/>
    <m/>
    <n v="0"/>
    <m/>
    <m/>
    <n v="0"/>
    <m/>
    <m/>
    <m/>
    <m/>
    <m/>
    <m/>
    <n v="0"/>
    <n v="0"/>
  </r>
  <r>
    <x v="0"/>
    <x v="27"/>
    <s v="Non need-based"/>
    <m/>
    <m/>
    <x v="12"/>
    <m/>
    <m/>
    <m/>
    <m/>
    <m/>
    <m/>
    <m/>
    <m/>
    <n v="0"/>
    <m/>
    <m/>
    <n v="0"/>
    <n v="0"/>
    <n v="0"/>
    <n v="740014"/>
    <n v="740014"/>
    <m/>
    <m/>
    <n v="0"/>
    <m/>
    <m/>
    <n v="0"/>
    <m/>
    <m/>
    <m/>
    <m/>
    <m/>
    <m/>
    <n v="740014"/>
    <n v="740014"/>
  </r>
  <r>
    <x v="0"/>
    <x v="28"/>
    <s v="Amount to public sector students"/>
    <m/>
    <m/>
    <x v="12"/>
    <m/>
    <m/>
    <m/>
    <m/>
    <m/>
    <m/>
    <m/>
    <m/>
    <n v="0"/>
    <m/>
    <m/>
    <n v="0"/>
    <n v="0"/>
    <n v="0"/>
    <m/>
    <m/>
    <m/>
    <m/>
    <n v="0"/>
    <m/>
    <m/>
    <n v="0"/>
    <m/>
    <m/>
    <m/>
    <m/>
    <m/>
    <m/>
    <n v="0"/>
    <n v="0"/>
  </r>
  <r>
    <x v="0"/>
    <x v="29"/>
    <s v="Need-based"/>
    <m/>
    <m/>
    <x v="12"/>
    <m/>
    <m/>
    <m/>
    <m/>
    <m/>
    <m/>
    <m/>
    <m/>
    <n v="0"/>
    <m/>
    <m/>
    <n v="0"/>
    <n v="0"/>
    <n v="0"/>
    <m/>
    <m/>
    <m/>
    <m/>
    <n v="0"/>
    <m/>
    <m/>
    <n v="0"/>
    <m/>
    <m/>
    <m/>
    <m/>
    <m/>
    <m/>
    <n v="0"/>
    <n v="0"/>
  </r>
  <r>
    <x v="0"/>
    <x v="30"/>
    <s v="Non need-based"/>
    <m/>
    <m/>
    <x v="12"/>
    <m/>
    <m/>
    <m/>
    <m/>
    <m/>
    <m/>
    <m/>
    <m/>
    <n v="0"/>
    <m/>
    <m/>
    <n v="0"/>
    <n v="0"/>
    <n v="0"/>
    <m/>
    <m/>
    <m/>
    <m/>
    <n v="0"/>
    <m/>
    <m/>
    <n v="0"/>
    <m/>
    <m/>
    <m/>
    <m/>
    <m/>
    <m/>
    <n v="0"/>
    <n v="0"/>
  </r>
  <r>
    <x v="0"/>
    <x v="31"/>
    <s v="Amount to private sector students"/>
    <m/>
    <m/>
    <x v="12"/>
    <m/>
    <m/>
    <m/>
    <m/>
    <m/>
    <m/>
    <m/>
    <m/>
    <n v="0"/>
    <m/>
    <m/>
    <n v="0"/>
    <n v="0"/>
    <n v="0"/>
    <m/>
    <m/>
    <m/>
    <m/>
    <n v="0"/>
    <m/>
    <m/>
    <n v="0"/>
    <m/>
    <m/>
    <m/>
    <m/>
    <m/>
    <m/>
    <n v="0"/>
    <n v="0"/>
  </r>
  <r>
    <x v="0"/>
    <x v="32"/>
    <s v="Need-based"/>
    <m/>
    <m/>
    <x v="12"/>
    <m/>
    <m/>
    <m/>
    <m/>
    <m/>
    <m/>
    <m/>
    <m/>
    <n v="0"/>
    <m/>
    <m/>
    <n v="0"/>
    <n v="0"/>
    <n v="0"/>
    <m/>
    <m/>
    <m/>
    <m/>
    <n v="0"/>
    <m/>
    <m/>
    <n v="0"/>
    <m/>
    <m/>
    <m/>
    <m/>
    <m/>
    <m/>
    <n v="0"/>
    <n v="0"/>
  </r>
  <r>
    <x v="0"/>
    <x v="33"/>
    <s v="Non need-based"/>
    <m/>
    <m/>
    <x v="12"/>
    <m/>
    <m/>
    <m/>
    <m/>
    <m/>
    <m/>
    <m/>
    <m/>
    <n v="0"/>
    <m/>
    <m/>
    <n v="0"/>
    <n v="0"/>
    <n v="0"/>
    <m/>
    <m/>
    <m/>
    <m/>
    <n v="0"/>
    <m/>
    <m/>
    <n v="0"/>
    <m/>
    <m/>
    <m/>
    <m/>
    <m/>
    <m/>
    <n v="0"/>
    <n v="0"/>
  </r>
  <r>
    <x v="0"/>
    <x v="25"/>
    <s v="for dental students"/>
    <m/>
    <m/>
    <x v="12"/>
    <m/>
    <m/>
    <m/>
    <m/>
    <m/>
    <m/>
    <m/>
    <m/>
    <n v="0"/>
    <m/>
    <m/>
    <n v="0"/>
    <n v="0"/>
    <n v="0"/>
    <m/>
    <m/>
    <m/>
    <m/>
    <n v="0"/>
    <m/>
    <m/>
    <n v="0"/>
    <m/>
    <m/>
    <m/>
    <m/>
    <m/>
    <m/>
    <n v="0"/>
    <n v="0"/>
  </r>
  <r>
    <x v="0"/>
    <x v="26"/>
    <s v="Need-based"/>
    <m/>
    <m/>
    <x v="12"/>
    <m/>
    <m/>
    <m/>
    <m/>
    <m/>
    <m/>
    <m/>
    <m/>
    <n v="0"/>
    <m/>
    <m/>
    <n v="0"/>
    <n v="0"/>
    <n v="0"/>
    <m/>
    <m/>
    <m/>
    <m/>
    <n v="0"/>
    <m/>
    <m/>
    <n v="0"/>
    <m/>
    <m/>
    <m/>
    <m/>
    <m/>
    <m/>
    <n v="0"/>
    <n v="0"/>
  </r>
  <r>
    <x v="0"/>
    <x v="27"/>
    <s v="Non need-based"/>
    <m/>
    <m/>
    <x v="12"/>
    <m/>
    <m/>
    <m/>
    <m/>
    <m/>
    <m/>
    <m/>
    <m/>
    <n v="0"/>
    <m/>
    <m/>
    <n v="0"/>
    <n v="0"/>
    <n v="0"/>
    <n v="191166"/>
    <n v="191166"/>
    <m/>
    <m/>
    <n v="0"/>
    <m/>
    <m/>
    <n v="0"/>
    <m/>
    <m/>
    <m/>
    <m/>
    <m/>
    <m/>
    <n v="191166"/>
    <n v="191166"/>
  </r>
  <r>
    <x v="0"/>
    <x v="28"/>
    <s v="Amount to public sector students"/>
    <m/>
    <m/>
    <x v="12"/>
    <m/>
    <m/>
    <m/>
    <m/>
    <m/>
    <m/>
    <m/>
    <m/>
    <n v="0"/>
    <m/>
    <m/>
    <n v="0"/>
    <n v="0"/>
    <n v="0"/>
    <m/>
    <m/>
    <m/>
    <m/>
    <n v="0"/>
    <m/>
    <m/>
    <n v="0"/>
    <m/>
    <m/>
    <m/>
    <m/>
    <m/>
    <m/>
    <n v="0"/>
    <n v="0"/>
  </r>
  <r>
    <x v="0"/>
    <x v="29"/>
    <s v="Need-based"/>
    <m/>
    <m/>
    <x v="12"/>
    <m/>
    <m/>
    <m/>
    <m/>
    <m/>
    <m/>
    <m/>
    <m/>
    <n v="0"/>
    <m/>
    <m/>
    <n v="0"/>
    <n v="0"/>
    <n v="0"/>
    <m/>
    <m/>
    <m/>
    <m/>
    <n v="0"/>
    <m/>
    <m/>
    <n v="0"/>
    <m/>
    <m/>
    <m/>
    <m/>
    <m/>
    <m/>
    <n v="0"/>
    <n v="0"/>
  </r>
  <r>
    <x v="0"/>
    <x v="30"/>
    <s v="Non need-based"/>
    <m/>
    <m/>
    <x v="12"/>
    <m/>
    <m/>
    <m/>
    <m/>
    <m/>
    <m/>
    <m/>
    <m/>
    <n v="0"/>
    <m/>
    <m/>
    <n v="0"/>
    <n v="0"/>
    <n v="0"/>
    <m/>
    <m/>
    <m/>
    <m/>
    <n v="0"/>
    <m/>
    <m/>
    <n v="0"/>
    <m/>
    <m/>
    <m/>
    <m/>
    <m/>
    <m/>
    <n v="0"/>
    <n v="0"/>
  </r>
  <r>
    <x v="0"/>
    <x v="31"/>
    <s v="Amount to private sector students"/>
    <m/>
    <m/>
    <x v="12"/>
    <m/>
    <m/>
    <m/>
    <m/>
    <m/>
    <m/>
    <m/>
    <m/>
    <n v="0"/>
    <m/>
    <m/>
    <n v="0"/>
    <n v="0"/>
    <n v="0"/>
    <m/>
    <m/>
    <m/>
    <m/>
    <n v="0"/>
    <m/>
    <m/>
    <n v="0"/>
    <m/>
    <m/>
    <m/>
    <m/>
    <m/>
    <m/>
    <n v="0"/>
    <n v="0"/>
  </r>
  <r>
    <x v="0"/>
    <x v="32"/>
    <s v="Need-based"/>
    <m/>
    <m/>
    <x v="12"/>
    <m/>
    <m/>
    <m/>
    <m/>
    <m/>
    <m/>
    <m/>
    <m/>
    <n v="0"/>
    <m/>
    <m/>
    <n v="0"/>
    <n v="0"/>
    <n v="0"/>
    <m/>
    <m/>
    <m/>
    <m/>
    <n v="0"/>
    <m/>
    <m/>
    <n v="0"/>
    <m/>
    <m/>
    <m/>
    <m/>
    <m/>
    <m/>
    <n v="0"/>
    <n v="0"/>
  </r>
  <r>
    <x v="0"/>
    <x v="33"/>
    <s v="Non need-based"/>
    <m/>
    <m/>
    <x v="12"/>
    <m/>
    <m/>
    <m/>
    <m/>
    <m/>
    <m/>
    <m/>
    <m/>
    <n v="0"/>
    <m/>
    <m/>
    <n v="0"/>
    <n v="0"/>
    <n v="0"/>
    <m/>
    <m/>
    <m/>
    <m/>
    <n v="0"/>
    <m/>
    <m/>
    <n v="0"/>
    <m/>
    <m/>
    <m/>
    <m/>
    <m/>
    <m/>
    <n v="0"/>
    <n v="0"/>
  </r>
  <r>
    <x v="0"/>
    <x v="25"/>
    <s v="for optometry students"/>
    <m/>
    <m/>
    <x v="12"/>
    <m/>
    <m/>
    <m/>
    <m/>
    <m/>
    <m/>
    <m/>
    <m/>
    <n v="0"/>
    <m/>
    <m/>
    <n v="0"/>
    <n v="0"/>
    <n v="0"/>
    <m/>
    <m/>
    <m/>
    <m/>
    <n v="0"/>
    <m/>
    <m/>
    <n v="0"/>
    <m/>
    <m/>
    <m/>
    <m/>
    <m/>
    <m/>
    <n v="0"/>
    <n v="0"/>
  </r>
  <r>
    <x v="0"/>
    <x v="26"/>
    <s v="Need-based"/>
    <m/>
    <m/>
    <x v="12"/>
    <m/>
    <m/>
    <m/>
    <m/>
    <m/>
    <m/>
    <m/>
    <m/>
    <n v="0"/>
    <m/>
    <m/>
    <n v="0"/>
    <n v="0"/>
    <n v="0"/>
    <m/>
    <m/>
    <m/>
    <m/>
    <n v="0"/>
    <m/>
    <m/>
    <n v="0"/>
    <m/>
    <m/>
    <m/>
    <m/>
    <m/>
    <m/>
    <n v="0"/>
    <n v="0"/>
  </r>
  <r>
    <x v="0"/>
    <x v="27"/>
    <s v="Non need-based"/>
    <m/>
    <m/>
    <x v="12"/>
    <m/>
    <m/>
    <m/>
    <m/>
    <m/>
    <m/>
    <m/>
    <m/>
    <n v="0"/>
    <m/>
    <m/>
    <n v="0"/>
    <n v="0"/>
    <n v="0"/>
    <n v="107282"/>
    <n v="107282"/>
    <m/>
    <m/>
    <n v="0"/>
    <m/>
    <m/>
    <n v="0"/>
    <m/>
    <m/>
    <m/>
    <m/>
    <m/>
    <m/>
    <n v="107282"/>
    <n v="107282"/>
  </r>
  <r>
    <x v="0"/>
    <x v="28"/>
    <s v="Amount to public sector students"/>
    <m/>
    <m/>
    <x v="12"/>
    <m/>
    <m/>
    <m/>
    <m/>
    <m/>
    <m/>
    <m/>
    <m/>
    <n v="0"/>
    <m/>
    <m/>
    <n v="0"/>
    <n v="0"/>
    <n v="0"/>
    <m/>
    <m/>
    <m/>
    <m/>
    <n v="0"/>
    <m/>
    <m/>
    <n v="0"/>
    <m/>
    <m/>
    <m/>
    <m/>
    <m/>
    <m/>
    <n v="0"/>
    <n v="0"/>
  </r>
  <r>
    <x v="0"/>
    <x v="29"/>
    <s v="Need-based"/>
    <m/>
    <m/>
    <x v="12"/>
    <m/>
    <m/>
    <m/>
    <m/>
    <m/>
    <m/>
    <m/>
    <m/>
    <n v="0"/>
    <m/>
    <m/>
    <n v="0"/>
    <n v="0"/>
    <n v="0"/>
    <m/>
    <m/>
    <m/>
    <m/>
    <n v="0"/>
    <m/>
    <m/>
    <n v="0"/>
    <m/>
    <m/>
    <m/>
    <m/>
    <m/>
    <m/>
    <n v="0"/>
    <n v="0"/>
  </r>
  <r>
    <x v="0"/>
    <x v="30"/>
    <s v="Non need-based"/>
    <m/>
    <m/>
    <x v="12"/>
    <m/>
    <m/>
    <m/>
    <m/>
    <m/>
    <m/>
    <m/>
    <m/>
    <n v="0"/>
    <m/>
    <m/>
    <n v="0"/>
    <n v="0"/>
    <n v="0"/>
    <m/>
    <m/>
    <m/>
    <m/>
    <n v="0"/>
    <m/>
    <m/>
    <n v="0"/>
    <m/>
    <m/>
    <m/>
    <m/>
    <m/>
    <m/>
    <n v="0"/>
    <n v="0"/>
  </r>
  <r>
    <x v="0"/>
    <x v="31"/>
    <s v="Amount to private sector students"/>
    <m/>
    <m/>
    <x v="12"/>
    <m/>
    <m/>
    <m/>
    <m/>
    <m/>
    <m/>
    <m/>
    <m/>
    <n v="0"/>
    <m/>
    <m/>
    <n v="0"/>
    <n v="0"/>
    <n v="0"/>
    <m/>
    <m/>
    <m/>
    <m/>
    <n v="0"/>
    <m/>
    <m/>
    <n v="0"/>
    <m/>
    <m/>
    <m/>
    <m/>
    <m/>
    <m/>
    <n v="0"/>
    <n v="0"/>
  </r>
  <r>
    <x v="0"/>
    <x v="32"/>
    <s v="Need-based"/>
    <m/>
    <m/>
    <x v="12"/>
    <m/>
    <m/>
    <m/>
    <m/>
    <m/>
    <m/>
    <m/>
    <m/>
    <n v="0"/>
    <m/>
    <m/>
    <n v="0"/>
    <n v="0"/>
    <n v="0"/>
    <m/>
    <m/>
    <m/>
    <m/>
    <n v="0"/>
    <m/>
    <m/>
    <n v="0"/>
    <m/>
    <m/>
    <m/>
    <m/>
    <m/>
    <m/>
    <n v="0"/>
    <n v="0"/>
  </r>
  <r>
    <x v="0"/>
    <x v="33"/>
    <s v="Non need-based"/>
    <m/>
    <m/>
    <x v="12"/>
    <m/>
    <m/>
    <m/>
    <m/>
    <m/>
    <m/>
    <m/>
    <m/>
    <n v="0"/>
    <m/>
    <m/>
    <n v="0"/>
    <n v="0"/>
    <n v="0"/>
    <m/>
    <m/>
    <m/>
    <m/>
    <n v="0"/>
    <m/>
    <m/>
    <n v="0"/>
    <m/>
    <m/>
    <m/>
    <m/>
    <m/>
    <m/>
    <n v="0"/>
    <n v="0"/>
  </r>
  <r>
    <x v="0"/>
    <x v="25"/>
    <s v="for chiropractic students"/>
    <m/>
    <m/>
    <x v="12"/>
    <m/>
    <m/>
    <m/>
    <m/>
    <m/>
    <m/>
    <m/>
    <m/>
    <n v="0"/>
    <m/>
    <m/>
    <n v="0"/>
    <n v="0"/>
    <n v="0"/>
    <m/>
    <m/>
    <m/>
    <m/>
    <n v="0"/>
    <m/>
    <m/>
    <n v="0"/>
    <m/>
    <m/>
    <m/>
    <m/>
    <m/>
    <m/>
    <n v="0"/>
    <n v="0"/>
  </r>
  <r>
    <x v="0"/>
    <x v="26"/>
    <s v="Need-based"/>
    <m/>
    <m/>
    <x v="12"/>
    <m/>
    <m/>
    <m/>
    <m/>
    <m/>
    <m/>
    <m/>
    <m/>
    <n v="0"/>
    <m/>
    <m/>
    <n v="0"/>
    <n v="0"/>
    <n v="0"/>
    <m/>
    <m/>
    <m/>
    <m/>
    <n v="0"/>
    <m/>
    <m/>
    <n v="0"/>
    <m/>
    <m/>
    <m/>
    <m/>
    <m/>
    <m/>
    <n v="0"/>
    <n v="0"/>
  </r>
  <r>
    <x v="0"/>
    <x v="27"/>
    <s v="Non need-based"/>
    <m/>
    <m/>
    <x v="12"/>
    <m/>
    <m/>
    <m/>
    <m/>
    <m/>
    <m/>
    <m/>
    <m/>
    <n v="0"/>
    <m/>
    <m/>
    <n v="0"/>
    <n v="0"/>
    <n v="0"/>
    <m/>
    <m/>
    <m/>
    <m/>
    <n v="0"/>
    <m/>
    <m/>
    <n v="0"/>
    <m/>
    <m/>
    <m/>
    <m/>
    <m/>
    <m/>
    <n v="0"/>
    <n v="0"/>
  </r>
  <r>
    <x v="0"/>
    <x v="28"/>
    <s v="Amount to public sector students"/>
    <m/>
    <m/>
    <x v="12"/>
    <m/>
    <m/>
    <m/>
    <m/>
    <m/>
    <m/>
    <m/>
    <m/>
    <n v="0"/>
    <m/>
    <m/>
    <n v="0"/>
    <n v="0"/>
    <n v="0"/>
    <m/>
    <m/>
    <m/>
    <m/>
    <n v="0"/>
    <m/>
    <m/>
    <n v="0"/>
    <m/>
    <m/>
    <m/>
    <m/>
    <m/>
    <m/>
    <n v="0"/>
    <n v="0"/>
  </r>
  <r>
    <x v="0"/>
    <x v="29"/>
    <s v="Need-based"/>
    <m/>
    <m/>
    <x v="12"/>
    <m/>
    <m/>
    <m/>
    <m/>
    <m/>
    <m/>
    <m/>
    <m/>
    <n v="0"/>
    <m/>
    <m/>
    <n v="0"/>
    <n v="0"/>
    <n v="0"/>
    <m/>
    <m/>
    <m/>
    <m/>
    <n v="0"/>
    <m/>
    <m/>
    <n v="0"/>
    <m/>
    <m/>
    <m/>
    <m/>
    <m/>
    <m/>
    <n v="0"/>
    <n v="0"/>
  </r>
  <r>
    <x v="0"/>
    <x v="30"/>
    <s v="Non need-based"/>
    <m/>
    <m/>
    <x v="12"/>
    <m/>
    <m/>
    <m/>
    <m/>
    <m/>
    <m/>
    <m/>
    <m/>
    <n v="0"/>
    <m/>
    <m/>
    <n v="0"/>
    <n v="0"/>
    <n v="0"/>
    <m/>
    <m/>
    <m/>
    <m/>
    <n v="0"/>
    <m/>
    <m/>
    <n v="0"/>
    <m/>
    <m/>
    <m/>
    <m/>
    <m/>
    <m/>
    <n v="0"/>
    <n v="0"/>
  </r>
  <r>
    <x v="0"/>
    <x v="31"/>
    <s v="Amount to private sector students"/>
    <m/>
    <m/>
    <x v="12"/>
    <m/>
    <m/>
    <m/>
    <m/>
    <m/>
    <m/>
    <m/>
    <m/>
    <n v="0"/>
    <m/>
    <m/>
    <n v="0"/>
    <n v="0"/>
    <n v="0"/>
    <m/>
    <m/>
    <m/>
    <m/>
    <n v="0"/>
    <m/>
    <m/>
    <n v="0"/>
    <m/>
    <m/>
    <m/>
    <m/>
    <m/>
    <m/>
    <n v="0"/>
    <n v="0"/>
  </r>
  <r>
    <x v="0"/>
    <x v="32"/>
    <s v="Need-based"/>
    <m/>
    <m/>
    <x v="12"/>
    <m/>
    <m/>
    <m/>
    <m/>
    <m/>
    <m/>
    <m/>
    <m/>
    <n v="0"/>
    <m/>
    <m/>
    <n v="0"/>
    <n v="0"/>
    <n v="0"/>
    <m/>
    <m/>
    <m/>
    <m/>
    <n v="0"/>
    <m/>
    <m/>
    <n v="0"/>
    <m/>
    <m/>
    <m/>
    <m/>
    <m/>
    <m/>
    <n v="0"/>
    <n v="0"/>
  </r>
  <r>
    <x v="0"/>
    <x v="33"/>
    <s v="Non need-based"/>
    <m/>
    <m/>
    <x v="12"/>
    <m/>
    <m/>
    <m/>
    <m/>
    <m/>
    <m/>
    <m/>
    <m/>
    <n v="0"/>
    <m/>
    <m/>
    <n v="0"/>
    <n v="0"/>
    <n v="0"/>
    <m/>
    <m/>
    <m/>
    <m/>
    <n v="0"/>
    <m/>
    <m/>
    <n v="0"/>
    <m/>
    <m/>
    <m/>
    <m/>
    <m/>
    <m/>
    <n v="0"/>
    <n v="0"/>
  </r>
  <r>
    <x v="0"/>
    <x v="25"/>
    <s v="Board of Nursing program"/>
    <m/>
    <m/>
    <x v="12"/>
    <m/>
    <m/>
    <m/>
    <m/>
    <m/>
    <m/>
    <m/>
    <m/>
    <n v="0"/>
    <m/>
    <m/>
    <n v="0"/>
    <n v="0"/>
    <n v="0"/>
    <m/>
    <m/>
    <m/>
    <m/>
    <n v="0"/>
    <m/>
    <m/>
    <n v="0"/>
    <m/>
    <m/>
    <m/>
    <m/>
    <m/>
    <m/>
    <n v="0"/>
    <n v="0"/>
  </r>
  <r>
    <x v="0"/>
    <x v="26"/>
    <s v="Need-based"/>
    <m/>
    <m/>
    <x v="12"/>
    <m/>
    <m/>
    <m/>
    <m/>
    <m/>
    <m/>
    <m/>
    <m/>
    <n v="0"/>
    <m/>
    <m/>
    <n v="0"/>
    <n v="0"/>
    <n v="0"/>
    <m/>
    <m/>
    <m/>
    <m/>
    <n v="0"/>
    <m/>
    <m/>
    <n v="0"/>
    <m/>
    <m/>
    <m/>
    <m/>
    <m/>
    <m/>
    <n v="0"/>
    <n v="0"/>
  </r>
  <r>
    <x v="0"/>
    <x v="27"/>
    <s v="Non need-based"/>
    <m/>
    <m/>
    <x v="12"/>
    <m/>
    <m/>
    <m/>
    <m/>
    <m/>
    <m/>
    <m/>
    <m/>
    <n v="0"/>
    <m/>
    <m/>
    <n v="0"/>
    <n v="0"/>
    <n v="0"/>
    <n v="166027"/>
    <n v="166027"/>
    <m/>
    <m/>
    <n v="0"/>
    <m/>
    <m/>
    <n v="0"/>
    <m/>
    <m/>
    <m/>
    <m/>
    <m/>
    <m/>
    <n v="166027"/>
    <n v="166027"/>
  </r>
  <r>
    <x v="0"/>
    <x v="28"/>
    <s v="Amount to public sector students"/>
    <m/>
    <m/>
    <x v="12"/>
    <m/>
    <m/>
    <m/>
    <m/>
    <m/>
    <m/>
    <m/>
    <m/>
    <n v="0"/>
    <m/>
    <m/>
    <n v="0"/>
    <n v="0"/>
    <n v="0"/>
    <m/>
    <m/>
    <m/>
    <m/>
    <n v="0"/>
    <m/>
    <m/>
    <n v="0"/>
    <m/>
    <m/>
    <m/>
    <m/>
    <m/>
    <m/>
    <n v="0"/>
    <n v="0"/>
  </r>
  <r>
    <x v="0"/>
    <x v="29"/>
    <s v="Need-based"/>
    <m/>
    <m/>
    <x v="12"/>
    <m/>
    <m/>
    <m/>
    <m/>
    <m/>
    <m/>
    <m/>
    <m/>
    <n v="0"/>
    <m/>
    <m/>
    <n v="0"/>
    <n v="0"/>
    <n v="0"/>
    <m/>
    <m/>
    <m/>
    <m/>
    <n v="0"/>
    <m/>
    <m/>
    <n v="0"/>
    <m/>
    <m/>
    <m/>
    <m/>
    <m/>
    <m/>
    <n v="0"/>
    <n v="0"/>
  </r>
  <r>
    <x v="0"/>
    <x v="30"/>
    <s v="Non need-based"/>
    <m/>
    <m/>
    <x v="12"/>
    <m/>
    <m/>
    <m/>
    <m/>
    <m/>
    <m/>
    <m/>
    <m/>
    <n v="0"/>
    <m/>
    <m/>
    <n v="0"/>
    <n v="0"/>
    <n v="0"/>
    <m/>
    <m/>
    <m/>
    <m/>
    <n v="0"/>
    <m/>
    <m/>
    <n v="0"/>
    <m/>
    <m/>
    <m/>
    <m/>
    <m/>
    <m/>
    <n v="0"/>
    <n v="0"/>
  </r>
  <r>
    <x v="0"/>
    <x v="31"/>
    <s v="Amount to private sector students"/>
    <m/>
    <m/>
    <x v="12"/>
    <m/>
    <m/>
    <m/>
    <m/>
    <m/>
    <m/>
    <m/>
    <m/>
    <n v="0"/>
    <m/>
    <m/>
    <n v="0"/>
    <n v="0"/>
    <n v="0"/>
    <m/>
    <m/>
    <m/>
    <m/>
    <n v="0"/>
    <m/>
    <m/>
    <n v="0"/>
    <m/>
    <m/>
    <m/>
    <m/>
    <m/>
    <m/>
    <n v="0"/>
    <n v="0"/>
  </r>
  <r>
    <x v="0"/>
    <x v="32"/>
    <s v="Need-based"/>
    <m/>
    <m/>
    <x v="12"/>
    <m/>
    <m/>
    <m/>
    <m/>
    <m/>
    <m/>
    <m/>
    <m/>
    <n v="0"/>
    <m/>
    <m/>
    <n v="0"/>
    <n v="0"/>
    <n v="0"/>
    <m/>
    <m/>
    <m/>
    <m/>
    <n v="0"/>
    <m/>
    <m/>
    <n v="0"/>
    <m/>
    <m/>
    <m/>
    <m/>
    <m/>
    <m/>
    <n v="0"/>
    <n v="0"/>
  </r>
  <r>
    <x v="0"/>
    <x v="33"/>
    <s v="Non need-based"/>
    <m/>
    <m/>
    <x v="12"/>
    <m/>
    <m/>
    <m/>
    <m/>
    <m/>
    <m/>
    <m/>
    <m/>
    <n v="0"/>
    <m/>
    <m/>
    <n v="0"/>
    <n v="0"/>
    <n v="0"/>
    <m/>
    <m/>
    <m/>
    <m/>
    <n v="0"/>
    <m/>
    <m/>
    <n v="0"/>
    <m/>
    <m/>
    <m/>
    <m/>
    <m/>
    <m/>
    <n v="0"/>
    <n v="0"/>
  </r>
  <r>
    <x v="0"/>
    <x v="25"/>
    <s v="SREB minority doctoral fellows"/>
    <m/>
    <m/>
    <x v="12"/>
    <m/>
    <m/>
    <m/>
    <m/>
    <m/>
    <m/>
    <m/>
    <m/>
    <n v="0"/>
    <m/>
    <m/>
    <n v="0"/>
    <n v="0"/>
    <n v="0"/>
    <m/>
    <m/>
    <m/>
    <m/>
    <n v="0"/>
    <m/>
    <m/>
    <n v="0"/>
    <m/>
    <m/>
    <m/>
    <m/>
    <m/>
    <m/>
    <n v="0"/>
    <n v="0"/>
  </r>
  <r>
    <x v="0"/>
    <x v="28"/>
    <s v="Amount to public sector students"/>
    <m/>
    <m/>
    <x v="12"/>
    <m/>
    <m/>
    <m/>
    <m/>
    <m/>
    <m/>
    <m/>
    <m/>
    <n v="0"/>
    <m/>
    <m/>
    <n v="0"/>
    <n v="0"/>
    <n v="0"/>
    <m/>
    <m/>
    <m/>
    <m/>
    <n v="0"/>
    <m/>
    <m/>
    <n v="0"/>
    <m/>
    <m/>
    <m/>
    <m/>
    <m/>
    <m/>
    <n v="0"/>
    <n v="0"/>
  </r>
  <r>
    <x v="0"/>
    <x v="29"/>
    <s v="Need-based"/>
    <m/>
    <m/>
    <x v="12"/>
    <m/>
    <m/>
    <m/>
    <m/>
    <m/>
    <m/>
    <m/>
    <m/>
    <n v="0"/>
    <m/>
    <m/>
    <n v="0"/>
    <n v="0"/>
    <n v="0"/>
    <m/>
    <m/>
    <m/>
    <m/>
    <n v="0"/>
    <m/>
    <m/>
    <n v="0"/>
    <m/>
    <m/>
    <m/>
    <m/>
    <m/>
    <m/>
    <n v="0"/>
    <n v="0"/>
  </r>
  <r>
    <x v="0"/>
    <x v="30"/>
    <s v="Non need-based"/>
    <m/>
    <m/>
    <x v="12"/>
    <m/>
    <m/>
    <m/>
    <m/>
    <m/>
    <m/>
    <m/>
    <m/>
    <n v="0"/>
    <m/>
    <m/>
    <n v="0"/>
    <n v="0"/>
    <n v="0"/>
    <n v="364385"/>
    <n v="348725"/>
    <m/>
    <m/>
    <n v="0"/>
    <m/>
    <m/>
    <n v="0"/>
    <m/>
    <m/>
    <m/>
    <m/>
    <m/>
    <m/>
    <n v="364385"/>
    <n v="348725"/>
  </r>
  <r>
    <x v="0"/>
    <x v="31"/>
    <s v="Amount to private sector students"/>
    <m/>
    <m/>
    <x v="12"/>
    <m/>
    <m/>
    <m/>
    <m/>
    <m/>
    <m/>
    <m/>
    <m/>
    <n v="0"/>
    <m/>
    <m/>
    <n v="0"/>
    <n v="0"/>
    <n v="0"/>
    <m/>
    <m/>
    <m/>
    <m/>
    <n v="0"/>
    <m/>
    <m/>
    <n v="0"/>
    <m/>
    <m/>
    <m/>
    <m/>
    <m/>
    <m/>
    <n v="0"/>
    <n v="0"/>
  </r>
  <r>
    <x v="0"/>
    <x v="32"/>
    <s v="Need-based"/>
    <m/>
    <m/>
    <x v="12"/>
    <m/>
    <m/>
    <m/>
    <m/>
    <m/>
    <m/>
    <m/>
    <m/>
    <n v="0"/>
    <m/>
    <m/>
    <n v="0"/>
    <n v="0"/>
    <n v="0"/>
    <m/>
    <m/>
    <m/>
    <m/>
    <n v="0"/>
    <m/>
    <m/>
    <n v="0"/>
    <m/>
    <m/>
    <m/>
    <m/>
    <m/>
    <m/>
    <n v="0"/>
    <n v="0"/>
  </r>
  <r>
    <x v="0"/>
    <x v="33"/>
    <s v="Non need-based"/>
    <m/>
    <m/>
    <x v="12"/>
    <m/>
    <m/>
    <m/>
    <m/>
    <m/>
    <m/>
    <m/>
    <m/>
    <n v="0"/>
    <m/>
    <m/>
    <n v="0"/>
    <n v="0"/>
    <n v="0"/>
    <m/>
    <m/>
    <m/>
    <m/>
    <n v="0"/>
    <m/>
    <m/>
    <n v="0"/>
    <m/>
    <m/>
    <m/>
    <m/>
    <m/>
    <m/>
    <n v="0"/>
    <n v="0"/>
  </r>
  <r>
    <x v="0"/>
    <x v="25"/>
    <s v="Alabama Student Assistance Program"/>
    <m/>
    <m/>
    <x v="12"/>
    <m/>
    <m/>
    <m/>
    <m/>
    <m/>
    <m/>
    <m/>
    <m/>
    <n v="0"/>
    <m/>
    <m/>
    <n v="0"/>
    <n v="0"/>
    <n v="0"/>
    <m/>
    <m/>
    <m/>
    <m/>
    <n v="0"/>
    <m/>
    <m/>
    <n v="0"/>
    <m/>
    <m/>
    <m/>
    <m/>
    <m/>
    <m/>
    <n v="0"/>
    <n v="0"/>
  </r>
  <r>
    <x v="0"/>
    <x v="28"/>
    <s v="Amount to public sector students"/>
    <m/>
    <m/>
    <x v="12"/>
    <m/>
    <m/>
    <m/>
    <m/>
    <m/>
    <m/>
    <m/>
    <m/>
    <n v="0"/>
    <m/>
    <m/>
    <n v="0"/>
    <n v="0"/>
    <n v="0"/>
    <m/>
    <m/>
    <m/>
    <m/>
    <n v="0"/>
    <m/>
    <m/>
    <n v="0"/>
    <m/>
    <m/>
    <m/>
    <m/>
    <m/>
    <m/>
    <n v="0"/>
    <n v="0"/>
  </r>
  <r>
    <x v="0"/>
    <x v="29"/>
    <s v="Need-based"/>
    <m/>
    <m/>
    <x v="12"/>
    <m/>
    <m/>
    <m/>
    <m/>
    <m/>
    <m/>
    <m/>
    <m/>
    <n v="0"/>
    <m/>
    <m/>
    <n v="0"/>
    <n v="0"/>
    <n v="0"/>
    <n v="2267538"/>
    <n v="2354963"/>
    <m/>
    <m/>
    <n v="0"/>
    <m/>
    <m/>
    <n v="0"/>
    <m/>
    <m/>
    <m/>
    <m/>
    <m/>
    <m/>
    <n v="2267538"/>
    <n v="2354963"/>
  </r>
  <r>
    <x v="0"/>
    <x v="30"/>
    <s v="Non need-based"/>
    <m/>
    <m/>
    <x v="12"/>
    <m/>
    <m/>
    <m/>
    <m/>
    <m/>
    <m/>
    <m/>
    <m/>
    <n v="0"/>
    <m/>
    <m/>
    <n v="0"/>
    <n v="0"/>
    <n v="0"/>
    <m/>
    <m/>
    <m/>
    <m/>
    <n v="0"/>
    <m/>
    <m/>
    <n v="0"/>
    <m/>
    <m/>
    <m/>
    <m/>
    <m/>
    <m/>
    <n v="0"/>
    <n v="0"/>
  </r>
  <r>
    <x v="0"/>
    <x v="31"/>
    <s v="Amount to private sector students"/>
    <m/>
    <m/>
    <x v="12"/>
    <m/>
    <m/>
    <m/>
    <m/>
    <m/>
    <m/>
    <m/>
    <m/>
    <n v="0"/>
    <m/>
    <m/>
    <n v="0"/>
    <n v="0"/>
    <n v="0"/>
    <m/>
    <m/>
    <m/>
    <m/>
    <n v="0"/>
    <m/>
    <m/>
    <n v="0"/>
    <m/>
    <m/>
    <m/>
    <m/>
    <m/>
    <m/>
    <n v="0"/>
    <n v="0"/>
  </r>
  <r>
    <x v="0"/>
    <x v="32"/>
    <s v="Need-based"/>
    <m/>
    <m/>
    <x v="12"/>
    <m/>
    <m/>
    <m/>
    <m/>
    <m/>
    <m/>
    <m/>
    <m/>
    <n v="0"/>
    <m/>
    <m/>
    <n v="0"/>
    <n v="0"/>
    <n v="0"/>
    <n v="371439"/>
    <n v="261662"/>
    <m/>
    <m/>
    <n v="0"/>
    <m/>
    <m/>
    <n v="0"/>
    <m/>
    <m/>
    <m/>
    <m/>
    <m/>
    <m/>
    <n v="371439"/>
    <n v="261662"/>
  </r>
  <r>
    <x v="0"/>
    <x v="33"/>
    <s v="Non need-based"/>
    <m/>
    <m/>
    <x v="12"/>
    <m/>
    <m/>
    <m/>
    <m/>
    <m/>
    <m/>
    <m/>
    <m/>
    <n v="0"/>
    <m/>
    <m/>
    <n v="0"/>
    <n v="0"/>
    <n v="0"/>
    <m/>
    <m/>
    <m/>
    <m/>
    <n v="0"/>
    <m/>
    <m/>
    <n v="0"/>
    <m/>
    <m/>
    <m/>
    <m/>
    <m/>
    <m/>
    <n v="0"/>
    <n v="0"/>
  </r>
  <r>
    <x v="0"/>
    <x v="25"/>
    <s v="Dependents of blind parents program"/>
    <m/>
    <m/>
    <x v="12"/>
    <m/>
    <m/>
    <m/>
    <m/>
    <m/>
    <m/>
    <m/>
    <m/>
    <n v="0"/>
    <m/>
    <m/>
    <n v="0"/>
    <n v="0"/>
    <n v="0"/>
    <m/>
    <m/>
    <m/>
    <m/>
    <n v="0"/>
    <m/>
    <m/>
    <n v="0"/>
    <m/>
    <m/>
    <m/>
    <m/>
    <m/>
    <m/>
    <n v="0"/>
    <n v="0"/>
  </r>
  <r>
    <x v="0"/>
    <x v="26"/>
    <s v="Need-based"/>
    <m/>
    <m/>
    <x v="12"/>
    <m/>
    <m/>
    <m/>
    <m/>
    <m/>
    <m/>
    <m/>
    <m/>
    <n v="0"/>
    <m/>
    <m/>
    <n v="0"/>
    <n v="0"/>
    <n v="0"/>
    <n v="10399"/>
    <n v="10399"/>
    <m/>
    <m/>
    <n v="0"/>
    <m/>
    <m/>
    <n v="0"/>
    <m/>
    <m/>
    <m/>
    <m/>
    <m/>
    <m/>
    <n v="10399"/>
    <n v="10399"/>
  </r>
  <r>
    <x v="0"/>
    <x v="27"/>
    <s v="Non need-based"/>
    <m/>
    <m/>
    <x v="12"/>
    <m/>
    <m/>
    <m/>
    <m/>
    <m/>
    <m/>
    <m/>
    <m/>
    <n v="0"/>
    <m/>
    <m/>
    <n v="0"/>
    <n v="0"/>
    <n v="0"/>
    <m/>
    <m/>
    <m/>
    <m/>
    <n v="0"/>
    <m/>
    <m/>
    <n v="0"/>
    <m/>
    <m/>
    <m/>
    <m/>
    <m/>
    <m/>
    <n v="0"/>
    <n v="0"/>
  </r>
  <r>
    <x v="0"/>
    <x v="28"/>
    <s v="Amount to public sector students"/>
    <m/>
    <m/>
    <x v="12"/>
    <m/>
    <m/>
    <m/>
    <m/>
    <m/>
    <m/>
    <m/>
    <m/>
    <n v="0"/>
    <m/>
    <m/>
    <n v="0"/>
    <n v="0"/>
    <n v="0"/>
    <m/>
    <m/>
    <m/>
    <m/>
    <n v="0"/>
    <m/>
    <m/>
    <n v="0"/>
    <m/>
    <m/>
    <m/>
    <m/>
    <m/>
    <m/>
    <n v="0"/>
    <n v="0"/>
  </r>
  <r>
    <x v="0"/>
    <x v="29"/>
    <s v="Need-based"/>
    <m/>
    <m/>
    <x v="12"/>
    <m/>
    <m/>
    <m/>
    <m/>
    <m/>
    <m/>
    <m/>
    <m/>
    <n v="0"/>
    <m/>
    <m/>
    <n v="0"/>
    <n v="0"/>
    <n v="0"/>
    <m/>
    <m/>
    <m/>
    <m/>
    <n v="0"/>
    <m/>
    <m/>
    <n v="0"/>
    <m/>
    <m/>
    <m/>
    <m/>
    <m/>
    <m/>
    <n v="0"/>
    <n v="0"/>
  </r>
  <r>
    <x v="0"/>
    <x v="30"/>
    <s v="Non need-based"/>
    <m/>
    <m/>
    <x v="12"/>
    <m/>
    <m/>
    <m/>
    <m/>
    <m/>
    <m/>
    <m/>
    <m/>
    <n v="0"/>
    <m/>
    <m/>
    <n v="0"/>
    <n v="0"/>
    <n v="0"/>
    <m/>
    <m/>
    <m/>
    <m/>
    <n v="0"/>
    <m/>
    <m/>
    <n v="0"/>
    <m/>
    <m/>
    <m/>
    <m/>
    <m/>
    <m/>
    <n v="0"/>
    <n v="0"/>
  </r>
  <r>
    <x v="0"/>
    <x v="31"/>
    <s v="Amount to private sector students"/>
    <m/>
    <m/>
    <x v="12"/>
    <m/>
    <m/>
    <m/>
    <m/>
    <m/>
    <m/>
    <m/>
    <m/>
    <n v="0"/>
    <m/>
    <m/>
    <n v="0"/>
    <n v="0"/>
    <n v="0"/>
    <m/>
    <m/>
    <m/>
    <m/>
    <n v="0"/>
    <m/>
    <m/>
    <n v="0"/>
    <m/>
    <m/>
    <m/>
    <m/>
    <m/>
    <m/>
    <n v="0"/>
    <n v="0"/>
  </r>
  <r>
    <x v="0"/>
    <x v="32"/>
    <s v="Need-based"/>
    <m/>
    <m/>
    <x v="12"/>
    <m/>
    <m/>
    <m/>
    <m/>
    <m/>
    <m/>
    <m/>
    <m/>
    <n v="0"/>
    <m/>
    <m/>
    <n v="0"/>
    <n v="0"/>
    <n v="0"/>
    <m/>
    <m/>
    <m/>
    <m/>
    <n v="0"/>
    <m/>
    <m/>
    <n v="0"/>
    <m/>
    <m/>
    <m/>
    <m/>
    <m/>
    <m/>
    <n v="0"/>
    <n v="0"/>
  </r>
  <r>
    <x v="0"/>
    <x v="33"/>
    <s v="Non need-based"/>
    <m/>
    <m/>
    <x v="12"/>
    <m/>
    <m/>
    <m/>
    <m/>
    <m/>
    <m/>
    <m/>
    <m/>
    <n v="0"/>
    <m/>
    <m/>
    <n v="0"/>
    <n v="0"/>
    <n v="0"/>
    <m/>
    <m/>
    <m/>
    <m/>
    <n v="0"/>
    <m/>
    <m/>
    <n v="0"/>
    <m/>
    <m/>
    <m/>
    <m/>
    <m/>
    <m/>
    <n v="0"/>
    <n v="0"/>
  </r>
  <r>
    <x v="0"/>
    <x v="25"/>
    <s v="Department of Veterans Affairs programs"/>
    <m/>
    <m/>
    <x v="12"/>
    <m/>
    <m/>
    <m/>
    <m/>
    <m/>
    <m/>
    <m/>
    <m/>
    <n v="0"/>
    <m/>
    <m/>
    <n v="0"/>
    <n v="0"/>
    <n v="0"/>
    <m/>
    <m/>
    <m/>
    <m/>
    <n v="0"/>
    <m/>
    <m/>
    <n v="0"/>
    <m/>
    <m/>
    <m/>
    <m/>
    <m/>
    <m/>
    <n v="0"/>
    <n v="0"/>
  </r>
  <r>
    <x v="0"/>
    <x v="28"/>
    <s v="Amount to public sector students"/>
    <m/>
    <m/>
    <x v="12"/>
    <m/>
    <m/>
    <m/>
    <m/>
    <m/>
    <m/>
    <m/>
    <m/>
    <n v="0"/>
    <m/>
    <m/>
    <n v="0"/>
    <n v="0"/>
    <n v="0"/>
    <m/>
    <m/>
    <m/>
    <m/>
    <n v="0"/>
    <m/>
    <m/>
    <n v="0"/>
    <m/>
    <m/>
    <m/>
    <m/>
    <m/>
    <m/>
    <n v="0"/>
    <n v="0"/>
  </r>
  <r>
    <x v="0"/>
    <x v="29"/>
    <s v="Need-based"/>
    <m/>
    <m/>
    <x v="12"/>
    <m/>
    <m/>
    <m/>
    <m/>
    <m/>
    <m/>
    <m/>
    <m/>
    <n v="0"/>
    <m/>
    <m/>
    <n v="0"/>
    <n v="0"/>
    <n v="0"/>
    <m/>
    <m/>
    <m/>
    <m/>
    <n v="0"/>
    <m/>
    <m/>
    <n v="0"/>
    <m/>
    <m/>
    <m/>
    <m/>
    <m/>
    <m/>
    <n v="0"/>
    <n v="0"/>
  </r>
  <r>
    <x v="0"/>
    <x v="30"/>
    <s v="Non need-based"/>
    <m/>
    <m/>
    <x v="12"/>
    <m/>
    <m/>
    <m/>
    <m/>
    <m/>
    <m/>
    <m/>
    <m/>
    <n v="0"/>
    <m/>
    <m/>
    <n v="0"/>
    <n v="0"/>
    <n v="0"/>
    <n v="45762391"/>
    <n v="53234609"/>
    <m/>
    <m/>
    <n v="0"/>
    <m/>
    <m/>
    <n v="0"/>
    <m/>
    <m/>
    <m/>
    <m/>
    <m/>
    <m/>
    <n v="45762391"/>
    <n v="53234609"/>
  </r>
  <r>
    <x v="0"/>
    <x v="31"/>
    <s v="Amount to private sector students"/>
    <m/>
    <m/>
    <x v="12"/>
    <m/>
    <m/>
    <m/>
    <m/>
    <m/>
    <m/>
    <m/>
    <m/>
    <n v="0"/>
    <m/>
    <m/>
    <n v="0"/>
    <n v="0"/>
    <n v="0"/>
    <m/>
    <m/>
    <m/>
    <m/>
    <n v="0"/>
    <m/>
    <m/>
    <n v="0"/>
    <m/>
    <m/>
    <m/>
    <m/>
    <m/>
    <m/>
    <n v="0"/>
    <n v="0"/>
  </r>
  <r>
    <x v="0"/>
    <x v="32"/>
    <s v="Need-based"/>
    <m/>
    <m/>
    <x v="12"/>
    <m/>
    <m/>
    <m/>
    <m/>
    <m/>
    <m/>
    <m/>
    <m/>
    <n v="0"/>
    <m/>
    <m/>
    <n v="0"/>
    <n v="0"/>
    <n v="0"/>
    <m/>
    <m/>
    <m/>
    <m/>
    <n v="0"/>
    <m/>
    <m/>
    <n v="0"/>
    <m/>
    <m/>
    <m/>
    <m/>
    <m/>
    <m/>
    <n v="0"/>
    <n v="0"/>
  </r>
  <r>
    <x v="0"/>
    <x v="33"/>
    <s v="Non need-based"/>
    <m/>
    <m/>
    <x v="12"/>
    <m/>
    <m/>
    <m/>
    <m/>
    <m/>
    <m/>
    <m/>
    <m/>
    <n v="0"/>
    <m/>
    <m/>
    <n v="0"/>
    <n v="0"/>
    <n v="0"/>
    <m/>
    <m/>
    <m/>
    <m/>
    <n v="0"/>
    <m/>
    <m/>
    <n v="0"/>
    <m/>
    <m/>
    <m/>
    <m/>
    <m/>
    <m/>
    <n v="0"/>
    <n v="0"/>
  </r>
  <r>
    <x v="0"/>
    <x v="25"/>
    <s v="Police Officer's scholarships"/>
    <m/>
    <m/>
    <x v="12"/>
    <m/>
    <m/>
    <m/>
    <m/>
    <m/>
    <m/>
    <m/>
    <m/>
    <n v="0"/>
    <m/>
    <m/>
    <n v="0"/>
    <n v="0"/>
    <n v="0"/>
    <m/>
    <m/>
    <m/>
    <m/>
    <n v="0"/>
    <m/>
    <m/>
    <n v="0"/>
    <m/>
    <m/>
    <m/>
    <m/>
    <m/>
    <m/>
    <n v="0"/>
    <n v="0"/>
  </r>
  <r>
    <x v="0"/>
    <x v="28"/>
    <s v="Amount to public sector students"/>
    <m/>
    <m/>
    <x v="12"/>
    <m/>
    <m/>
    <m/>
    <m/>
    <m/>
    <m/>
    <m/>
    <m/>
    <n v="0"/>
    <m/>
    <m/>
    <n v="0"/>
    <n v="0"/>
    <n v="0"/>
    <m/>
    <m/>
    <m/>
    <m/>
    <n v="0"/>
    <m/>
    <m/>
    <n v="0"/>
    <m/>
    <m/>
    <m/>
    <m/>
    <m/>
    <m/>
    <n v="0"/>
    <n v="0"/>
  </r>
  <r>
    <x v="0"/>
    <x v="29"/>
    <s v="Need-based"/>
    <m/>
    <m/>
    <x v="12"/>
    <m/>
    <m/>
    <m/>
    <m/>
    <m/>
    <m/>
    <m/>
    <m/>
    <n v="0"/>
    <m/>
    <m/>
    <n v="0"/>
    <n v="0"/>
    <n v="0"/>
    <m/>
    <m/>
    <m/>
    <m/>
    <n v="0"/>
    <m/>
    <m/>
    <n v="0"/>
    <m/>
    <m/>
    <m/>
    <m/>
    <m/>
    <m/>
    <n v="0"/>
    <n v="0"/>
  </r>
  <r>
    <x v="0"/>
    <x v="30"/>
    <s v="Non need-based"/>
    <m/>
    <m/>
    <x v="12"/>
    <m/>
    <m/>
    <m/>
    <m/>
    <m/>
    <m/>
    <m/>
    <m/>
    <n v="0"/>
    <m/>
    <m/>
    <n v="0"/>
    <n v="0"/>
    <n v="0"/>
    <n v="146358"/>
    <n v="146358"/>
    <m/>
    <m/>
    <n v="0"/>
    <m/>
    <m/>
    <n v="0"/>
    <m/>
    <m/>
    <m/>
    <m/>
    <m/>
    <m/>
    <n v="146358"/>
    <n v="146358"/>
  </r>
  <r>
    <x v="0"/>
    <x v="31"/>
    <s v="Amount to private sector students"/>
    <m/>
    <m/>
    <x v="12"/>
    <m/>
    <m/>
    <m/>
    <m/>
    <m/>
    <m/>
    <m/>
    <m/>
    <n v="0"/>
    <m/>
    <m/>
    <n v="0"/>
    <n v="0"/>
    <n v="0"/>
    <m/>
    <m/>
    <m/>
    <m/>
    <n v="0"/>
    <m/>
    <m/>
    <n v="0"/>
    <m/>
    <m/>
    <m/>
    <m/>
    <m/>
    <m/>
    <n v="0"/>
    <n v="0"/>
  </r>
  <r>
    <x v="0"/>
    <x v="32"/>
    <s v="Need-based"/>
    <m/>
    <m/>
    <x v="12"/>
    <m/>
    <m/>
    <m/>
    <m/>
    <m/>
    <m/>
    <m/>
    <m/>
    <n v="0"/>
    <m/>
    <m/>
    <n v="0"/>
    <n v="0"/>
    <n v="0"/>
    <m/>
    <m/>
    <m/>
    <m/>
    <n v="0"/>
    <m/>
    <m/>
    <n v="0"/>
    <m/>
    <m/>
    <m/>
    <m/>
    <m/>
    <m/>
    <n v="0"/>
    <n v="0"/>
  </r>
  <r>
    <x v="0"/>
    <x v="33"/>
    <s v="Non need-based"/>
    <m/>
    <m/>
    <x v="12"/>
    <m/>
    <m/>
    <m/>
    <m/>
    <m/>
    <m/>
    <m/>
    <m/>
    <n v="0"/>
    <m/>
    <m/>
    <n v="0"/>
    <n v="0"/>
    <n v="0"/>
    <m/>
    <m/>
    <m/>
    <m/>
    <n v="0"/>
    <m/>
    <m/>
    <n v="0"/>
    <m/>
    <m/>
    <m/>
    <m/>
    <m/>
    <m/>
    <n v="0"/>
    <n v="0"/>
  </r>
  <r>
    <x v="0"/>
    <x v="25"/>
    <s v="National Guard Ed Assistance"/>
    <m/>
    <m/>
    <x v="12"/>
    <m/>
    <m/>
    <m/>
    <m/>
    <m/>
    <m/>
    <m/>
    <m/>
    <n v="0"/>
    <m/>
    <m/>
    <n v="0"/>
    <n v="0"/>
    <n v="0"/>
    <m/>
    <m/>
    <m/>
    <m/>
    <n v="0"/>
    <m/>
    <m/>
    <n v="0"/>
    <m/>
    <m/>
    <m/>
    <m/>
    <m/>
    <m/>
    <n v="0"/>
    <n v="0"/>
  </r>
  <r>
    <x v="0"/>
    <x v="28"/>
    <s v="Amount to public sector students"/>
    <m/>
    <m/>
    <x v="12"/>
    <m/>
    <m/>
    <m/>
    <m/>
    <m/>
    <m/>
    <m/>
    <m/>
    <n v="0"/>
    <m/>
    <m/>
    <n v="0"/>
    <n v="0"/>
    <n v="0"/>
    <m/>
    <m/>
    <m/>
    <m/>
    <n v="0"/>
    <m/>
    <m/>
    <n v="0"/>
    <m/>
    <m/>
    <m/>
    <m/>
    <m/>
    <m/>
    <n v="0"/>
    <n v="0"/>
  </r>
  <r>
    <x v="0"/>
    <x v="29"/>
    <s v="Need-based"/>
    <m/>
    <m/>
    <x v="12"/>
    <m/>
    <m/>
    <m/>
    <m/>
    <m/>
    <m/>
    <m/>
    <m/>
    <n v="0"/>
    <m/>
    <m/>
    <n v="0"/>
    <n v="0"/>
    <n v="0"/>
    <m/>
    <m/>
    <m/>
    <m/>
    <n v="0"/>
    <m/>
    <m/>
    <n v="0"/>
    <m/>
    <m/>
    <m/>
    <m/>
    <m/>
    <m/>
    <n v="0"/>
    <n v="0"/>
  </r>
  <r>
    <x v="0"/>
    <x v="30"/>
    <s v="Non need-based"/>
    <m/>
    <m/>
    <x v="12"/>
    <m/>
    <m/>
    <m/>
    <m/>
    <m/>
    <m/>
    <m/>
    <m/>
    <n v="0"/>
    <m/>
    <m/>
    <n v="0"/>
    <n v="0"/>
    <n v="0"/>
    <n v="469188"/>
    <n v="488176"/>
    <m/>
    <m/>
    <n v="0"/>
    <m/>
    <m/>
    <n v="0"/>
    <m/>
    <m/>
    <m/>
    <m/>
    <m/>
    <m/>
    <n v="469188"/>
    <n v="488176"/>
  </r>
  <r>
    <x v="0"/>
    <x v="31"/>
    <s v="Amount to private sector students"/>
    <m/>
    <m/>
    <x v="12"/>
    <m/>
    <m/>
    <m/>
    <m/>
    <m/>
    <m/>
    <m/>
    <m/>
    <n v="0"/>
    <m/>
    <m/>
    <n v="0"/>
    <n v="0"/>
    <n v="0"/>
    <m/>
    <m/>
    <m/>
    <m/>
    <n v="0"/>
    <m/>
    <m/>
    <n v="0"/>
    <m/>
    <m/>
    <m/>
    <m/>
    <m/>
    <m/>
    <n v="0"/>
    <n v="0"/>
  </r>
  <r>
    <x v="0"/>
    <x v="32"/>
    <s v="Need-based"/>
    <m/>
    <m/>
    <x v="12"/>
    <m/>
    <m/>
    <m/>
    <m/>
    <m/>
    <m/>
    <m/>
    <m/>
    <n v="0"/>
    <m/>
    <m/>
    <n v="0"/>
    <n v="0"/>
    <n v="0"/>
    <m/>
    <m/>
    <m/>
    <m/>
    <n v="0"/>
    <m/>
    <m/>
    <n v="0"/>
    <m/>
    <m/>
    <m/>
    <m/>
    <m/>
    <m/>
    <n v="0"/>
    <n v="0"/>
  </r>
  <r>
    <x v="0"/>
    <x v="33"/>
    <s v="Non need-based"/>
    <m/>
    <m/>
    <x v="12"/>
    <m/>
    <m/>
    <m/>
    <m/>
    <m/>
    <m/>
    <m/>
    <m/>
    <n v="0"/>
    <m/>
    <m/>
    <n v="0"/>
    <n v="0"/>
    <n v="0"/>
    <n v="83725"/>
    <n v="54242"/>
    <m/>
    <m/>
    <n v="0"/>
    <m/>
    <m/>
    <n v="0"/>
    <m/>
    <m/>
    <m/>
    <m/>
    <m/>
    <m/>
    <n v="83725"/>
    <n v="54242"/>
  </r>
  <r>
    <x v="0"/>
    <x v="34"/>
    <s v="Limited to public college students only"/>
    <m/>
    <m/>
    <x v="12"/>
    <m/>
    <m/>
    <m/>
    <m/>
    <m/>
    <m/>
    <m/>
    <m/>
    <n v="0"/>
    <m/>
    <m/>
    <n v="0"/>
    <n v="0"/>
    <n v="0"/>
    <m/>
    <m/>
    <m/>
    <m/>
    <n v="0"/>
    <m/>
    <m/>
    <n v="0"/>
    <m/>
    <m/>
    <m/>
    <m/>
    <m/>
    <m/>
    <n v="0"/>
    <n v="0"/>
  </r>
  <r>
    <x v="0"/>
    <x v="25"/>
    <s v="American Legion program"/>
    <m/>
    <m/>
    <x v="12"/>
    <m/>
    <m/>
    <m/>
    <m/>
    <m/>
    <m/>
    <m/>
    <m/>
    <n v="0"/>
    <m/>
    <m/>
    <n v="0"/>
    <n v="0"/>
    <n v="0"/>
    <m/>
    <m/>
    <m/>
    <m/>
    <n v="0"/>
    <m/>
    <m/>
    <n v="0"/>
    <m/>
    <m/>
    <m/>
    <m/>
    <m/>
    <m/>
    <n v="0"/>
    <n v="0"/>
  </r>
  <r>
    <x v="0"/>
    <x v="35"/>
    <s v="Need-based"/>
    <m/>
    <m/>
    <x v="12"/>
    <m/>
    <m/>
    <m/>
    <m/>
    <m/>
    <m/>
    <m/>
    <m/>
    <n v="0"/>
    <m/>
    <m/>
    <n v="0"/>
    <n v="0"/>
    <n v="0"/>
    <m/>
    <m/>
    <m/>
    <m/>
    <n v="0"/>
    <m/>
    <m/>
    <n v="0"/>
    <m/>
    <m/>
    <m/>
    <m/>
    <m/>
    <m/>
    <n v="0"/>
    <n v="0"/>
  </r>
  <r>
    <x v="0"/>
    <x v="36"/>
    <s v="Non need-based"/>
    <m/>
    <m/>
    <x v="12"/>
    <m/>
    <m/>
    <m/>
    <m/>
    <m/>
    <m/>
    <m/>
    <m/>
    <n v="0"/>
    <m/>
    <m/>
    <n v="0"/>
    <n v="0"/>
    <n v="0"/>
    <n v="112500"/>
    <n v="112500"/>
    <m/>
    <m/>
    <n v="0"/>
    <m/>
    <m/>
    <n v="0"/>
    <m/>
    <m/>
    <m/>
    <m/>
    <m/>
    <m/>
    <n v="112500"/>
    <n v="112500"/>
  </r>
  <r>
    <x v="0"/>
    <x v="36"/>
    <s v="Two-Year Transfer Scholarship Program"/>
    <m/>
    <m/>
    <x v="12"/>
    <m/>
    <m/>
    <m/>
    <m/>
    <m/>
    <m/>
    <m/>
    <m/>
    <n v="0"/>
    <m/>
    <m/>
    <n v="0"/>
    <n v="0"/>
    <n v="0"/>
    <m/>
    <m/>
    <m/>
    <m/>
    <n v="0"/>
    <m/>
    <m/>
    <n v="0"/>
    <m/>
    <m/>
    <m/>
    <m/>
    <m/>
    <m/>
    <n v="0"/>
    <n v="0"/>
  </r>
  <r>
    <x v="0"/>
    <x v="36"/>
    <s v="Non need-based"/>
    <m/>
    <m/>
    <x v="12"/>
    <m/>
    <m/>
    <m/>
    <m/>
    <m/>
    <m/>
    <m/>
    <m/>
    <n v="0"/>
    <m/>
    <m/>
    <n v="0"/>
    <n v="0"/>
    <n v="0"/>
    <n v="250000"/>
    <m/>
    <m/>
    <m/>
    <n v="0"/>
    <m/>
    <m/>
    <n v="0"/>
    <m/>
    <m/>
    <m/>
    <m/>
    <m/>
    <m/>
    <n v="250000"/>
    <n v="0"/>
  </r>
  <r>
    <x v="0"/>
    <x v="37"/>
    <s v="Limited to private college students only"/>
    <m/>
    <m/>
    <x v="12"/>
    <m/>
    <m/>
    <m/>
    <m/>
    <m/>
    <m/>
    <m/>
    <m/>
    <n v="0"/>
    <m/>
    <m/>
    <n v="0"/>
    <n v="0"/>
    <n v="0"/>
    <m/>
    <m/>
    <m/>
    <m/>
    <n v="0"/>
    <m/>
    <m/>
    <n v="0"/>
    <m/>
    <m/>
    <m/>
    <m/>
    <m/>
    <m/>
    <n v="0"/>
    <n v="0"/>
  </r>
  <r>
    <x v="0"/>
    <x v="37"/>
    <s v="Alabama Student Grant Program"/>
    <m/>
    <m/>
    <x v="12"/>
    <m/>
    <m/>
    <m/>
    <m/>
    <m/>
    <m/>
    <m/>
    <m/>
    <n v="0"/>
    <m/>
    <m/>
    <n v="0"/>
    <n v="0"/>
    <n v="0"/>
    <m/>
    <m/>
    <m/>
    <m/>
    <n v="0"/>
    <m/>
    <m/>
    <n v="0"/>
    <m/>
    <m/>
    <m/>
    <m/>
    <m/>
    <m/>
    <n v="0"/>
    <n v="0"/>
  </r>
  <r>
    <x v="0"/>
    <x v="38"/>
    <s v="Need-based"/>
    <m/>
    <m/>
    <x v="12"/>
    <m/>
    <m/>
    <m/>
    <m/>
    <m/>
    <m/>
    <m/>
    <m/>
    <n v="0"/>
    <m/>
    <m/>
    <n v="0"/>
    <n v="0"/>
    <n v="0"/>
    <m/>
    <m/>
    <m/>
    <m/>
    <n v="0"/>
    <m/>
    <m/>
    <n v="0"/>
    <m/>
    <m/>
    <m/>
    <m/>
    <m/>
    <m/>
    <n v="0"/>
    <n v="0"/>
  </r>
  <r>
    <x v="0"/>
    <x v="39"/>
    <s v="Non need-based"/>
    <m/>
    <m/>
    <x v="12"/>
    <m/>
    <m/>
    <m/>
    <m/>
    <m/>
    <m/>
    <m/>
    <m/>
    <n v="0"/>
    <m/>
    <m/>
    <n v="0"/>
    <n v="0"/>
    <n v="0"/>
    <n v="1566962"/>
    <n v="1911842"/>
    <m/>
    <m/>
    <n v="0"/>
    <m/>
    <m/>
    <n v="0"/>
    <m/>
    <m/>
    <m/>
    <m/>
    <m/>
    <m/>
    <n v="1566962"/>
    <n v="1911842"/>
  </r>
  <r>
    <x v="1"/>
    <x v="0"/>
    <s v="University of Arkansas, Fayetteville"/>
    <m/>
    <n v="106397"/>
    <x v="0"/>
    <n v="122375196"/>
    <n v="125527147"/>
    <m/>
    <m/>
    <m/>
    <m/>
    <n v="193794040"/>
    <m/>
    <n v="193794040"/>
    <n v="220938774"/>
    <m/>
    <n v="220938774"/>
    <n v="316169236"/>
    <n v="346465921"/>
    <m/>
    <m/>
    <m/>
    <m/>
    <n v="0"/>
    <m/>
    <m/>
    <n v="0"/>
    <m/>
    <m/>
    <m/>
    <m/>
    <m/>
    <m/>
    <n v="316169236"/>
    <n v="346465921"/>
  </r>
  <r>
    <x v="1"/>
    <x v="40"/>
    <s v="Agricultural cooperative extension"/>
    <m/>
    <n v="106397"/>
    <x v="0"/>
    <m/>
    <m/>
    <m/>
    <m/>
    <m/>
    <m/>
    <m/>
    <m/>
    <n v="0"/>
    <m/>
    <m/>
    <n v="0"/>
    <n v="0"/>
    <n v="0"/>
    <m/>
    <m/>
    <m/>
    <m/>
    <n v="0"/>
    <m/>
    <m/>
    <n v="0"/>
    <m/>
    <m/>
    <m/>
    <m/>
    <m/>
    <m/>
    <n v="0"/>
    <n v="0"/>
  </r>
  <r>
    <x v="1"/>
    <x v="40"/>
    <s v="Univ of Ark. System Divison of Agriculture"/>
    <m/>
    <n v="106397"/>
    <x v="0"/>
    <m/>
    <m/>
    <n v="68137894"/>
    <n v="68195051"/>
    <m/>
    <m/>
    <m/>
    <m/>
    <n v="0"/>
    <m/>
    <m/>
    <n v="0"/>
    <n v="68137894"/>
    <n v="68195051"/>
    <m/>
    <m/>
    <m/>
    <m/>
    <n v="0"/>
    <m/>
    <m/>
    <n v="0"/>
    <m/>
    <m/>
    <m/>
    <m/>
    <m/>
    <m/>
    <n v="68137894"/>
    <n v="68195051"/>
  </r>
  <r>
    <x v="1"/>
    <x v="11"/>
    <s v="Univ of Ark. System Archeological Survey"/>
    <m/>
    <n v="106397"/>
    <x v="0"/>
    <m/>
    <m/>
    <n v="2455769"/>
    <n v="2457145"/>
    <m/>
    <m/>
    <m/>
    <m/>
    <n v="0"/>
    <m/>
    <m/>
    <n v="0"/>
    <n v="2455769"/>
    <n v="2457145"/>
    <m/>
    <m/>
    <m/>
    <m/>
    <n v="0"/>
    <m/>
    <m/>
    <n v="0"/>
    <m/>
    <m/>
    <m/>
    <m/>
    <m/>
    <m/>
    <n v="2455769"/>
    <n v="2457145"/>
  </r>
  <r>
    <x v="1"/>
    <x v="11"/>
    <s v="Univ of Ark. System Criminal Justice Institute"/>
    <m/>
    <n v="106397"/>
    <x v="0"/>
    <m/>
    <m/>
    <n v="1825769"/>
    <n v="1825769"/>
    <m/>
    <m/>
    <m/>
    <m/>
    <n v="0"/>
    <m/>
    <m/>
    <n v="0"/>
    <n v="1825769"/>
    <n v="1825769"/>
    <m/>
    <m/>
    <m/>
    <m/>
    <n v="0"/>
    <m/>
    <m/>
    <n v="0"/>
    <m/>
    <m/>
    <m/>
    <m/>
    <m/>
    <m/>
    <n v="1825769"/>
    <n v="1825769"/>
  </r>
  <r>
    <x v="1"/>
    <x v="3"/>
    <s v="Community or public service units"/>
    <m/>
    <n v="106397"/>
    <x v="0"/>
    <m/>
    <m/>
    <m/>
    <m/>
    <m/>
    <m/>
    <m/>
    <m/>
    <n v="0"/>
    <m/>
    <m/>
    <n v="0"/>
    <n v="0"/>
    <n v="0"/>
    <m/>
    <m/>
    <m/>
    <m/>
    <n v="0"/>
    <m/>
    <m/>
    <n v="0"/>
    <m/>
    <m/>
    <m/>
    <m/>
    <m/>
    <m/>
    <n v="0"/>
    <n v="0"/>
  </r>
  <r>
    <x v="1"/>
    <x v="3"/>
    <s v="Univ. of Ark. System Arkansas School of Mathematics, Sciences and the Arts"/>
    <m/>
    <n v="106397"/>
    <x v="0"/>
    <m/>
    <m/>
    <n v="8155438"/>
    <n v="8230850"/>
    <m/>
    <m/>
    <m/>
    <m/>
    <n v="0"/>
    <m/>
    <m/>
    <n v="0"/>
    <n v="8155438"/>
    <n v="8230850"/>
    <m/>
    <m/>
    <m/>
    <m/>
    <n v="0"/>
    <m/>
    <m/>
    <n v="0"/>
    <m/>
    <m/>
    <m/>
    <m/>
    <m/>
    <m/>
    <n v="8155438"/>
    <n v="8230850"/>
  </r>
  <r>
    <x v="1"/>
    <x v="0"/>
    <s v="Clinton School for Public Service"/>
    <m/>
    <n v="106397"/>
    <x v="0"/>
    <m/>
    <m/>
    <n v="2295575"/>
    <n v="2295575"/>
    <m/>
    <m/>
    <n v="595600"/>
    <m/>
    <n v="595600"/>
    <n v="615200"/>
    <m/>
    <n v="615200"/>
    <n v="2891175"/>
    <n v="2910775"/>
    <m/>
    <m/>
    <m/>
    <m/>
    <n v="0"/>
    <m/>
    <m/>
    <n v="0"/>
    <m/>
    <m/>
    <m/>
    <m/>
    <m/>
    <m/>
    <n v="2891175"/>
    <n v="2910775"/>
  </r>
  <r>
    <x v="1"/>
    <x v="0"/>
    <s v="Arkansas State University"/>
    <m/>
    <n v="106458"/>
    <x v="2"/>
    <n v="60141168"/>
    <n v="61907972"/>
    <m/>
    <m/>
    <m/>
    <m/>
    <n v="88772741"/>
    <n v="28393"/>
    <n v="88801134"/>
    <n v="89527334"/>
    <n v="21632"/>
    <n v="89548966"/>
    <n v="148913909"/>
    <n v="151435306"/>
    <m/>
    <m/>
    <m/>
    <m/>
    <n v="0"/>
    <m/>
    <m/>
    <n v="0"/>
    <m/>
    <m/>
    <m/>
    <m/>
    <m/>
    <m/>
    <n v="148913909"/>
    <n v="151435306"/>
  </r>
  <r>
    <x v="1"/>
    <x v="3"/>
    <s v="Community or public service units"/>
    <m/>
    <n v="106458"/>
    <x v="2"/>
    <m/>
    <m/>
    <m/>
    <m/>
    <m/>
    <m/>
    <m/>
    <m/>
    <n v="0"/>
    <m/>
    <m/>
    <n v="0"/>
    <n v="0"/>
    <n v="0"/>
    <m/>
    <m/>
    <m/>
    <m/>
    <n v="0"/>
    <m/>
    <m/>
    <n v="0"/>
    <m/>
    <m/>
    <m/>
    <m/>
    <m/>
    <m/>
    <n v="0"/>
    <n v="0"/>
  </r>
  <r>
    <x v="1"/>
    <x v="0"/>
    <s v="Arkansas Tech University"/>
    <m/>
    <n v="106467"/>
    <x v="2"/>
    <n v="31134133"/>
    <n v="31560998"/>
    <m/>
    <m/>
    <m/>
    <m/>
    <n v="50527536"/>
    <m/>
    <n v="50527536"/>
    <n v="53973806"/>
    <m/>
    <n v="53973806"/>
    <n v="81661669"/>
    <n v="85534804"/>
    <m/>
    <m/>
    <m/>
    <m/>
    <n v="0"/>
    <m/>
    <m/>
    <n v="0"/>
    <m/>
    <m/>
    <m/>
    <m/>
    <m/>
    <m/>
    <n v="81661669"/>
    <n v="85534804"/>
  </r>
  <r>
    <x v="1"/>
    <x v="3"/>
    <s v="Community or public service units"/>
    <m/>
    <n v="106467"/>
    <x v="2"/>
    <m/>
    <m/>
    <m/>
    <m/>
    <m/>
    <m/>
    <m/>
    <m/>
    <n v="0"/>
    <m/>
    <m/>
    <n v="0"/>
    <n v="0"/>
    <n v="0"/>
    <m/>
    <m/>
    <m/>
    <m/>
    <n v="0"/>
    <m/>
    <m/>
    <n v="0"/>
    <m/>
    <m/>
    <m/>
    <m/>
    <m/>
    <m/>
    <n v="0"/>
    <n v="0"/>
  </r>
  <r>
    <x v="1"/>
    <x v="3"/>
    <s v="Arkansas Tech University - Ozark"/>
    <m/>
    <n v="106467"/>
    <x v="2"/>
    <m/>
    <m/>
    <n v="3191465"/>
    <n v="3189081"/>
    <m/>
    <m/>
    <n v="3100009"/>
    <m/>
    <n v="3100009"/>
    <n v="4071724"/>
    <m/>
    <n v="4071724"/>
    <n v="6291474"/>
    <n v="7260805"/>
    <m/>
    <m/>
    <m/>
    <m/>
    <n v="0"/>
    <m/>
    <m/>
    <n v="0"/>
    <m/>
    <m/>
    <m/>
    <m/>
    <m/>
    <m/>
    <n v="6291474"/>
    <n v="7260805"/>
  </r>
  <r>
    <x v="1"/>
    <x v="0"/>
    <s v="University of Arkansas at Little Rock"/>
    <s v="Met the criteria for Four-Year 2 in 2012-13 and 2013-14."/>
    <n v="106245"/>
    <x v="2"/>
    <n v="61489929"/>
    <n v="61960269"/>
    <m/>
    <m/>
    <m/>
    <m/>
    <n v="75016539"/>
    <n v="403831"/>
    <n v="75420370"/>
    <n v="75294685"/>
    <n v="817280"/>
    <n v="76111965"/>
    <n v="136506468"/>
    <n v="137254954"/>
    <m/>
    <m/>
    <m/>
    <m/>
    <n v="0"/>
    <m/>
    <m/>
    <n v="0"/>
    <m/>
    <m/>
    <m/>
    <m/>
    <m/>
    <m/>
    <n v="136506468"/>
    <n v="137254954"/>
  </r>
  <r>
    <x v="1"/>
    <x v="3"/>
    <s v="Community or public service units"/>
    <m/>
    <n v="106245"/>
    <x v="2"/>
    <m/>
    <m/>
    <m/>
    <m/>
    <m/>
    <m/>
    <m/>
    <m/>
    <n v="0"/>
    <m/>
    <m/>
    <n v="0"/>
    <n v="0"/>
    <n v="0"/>
    <m/>
    <m/>
    <m/>
    <m/>
    <n v="0"/>
    <m/>
    <m/>
    <n v="0"/>
    <m/>
    <m/>
    <m/>
    <m/>
    <m/>
    <m/>
    <n v="0"/>
    <n v="0"/>
  </r>
  <r>
    <x v="1"/>
    <x v="3"/>
    <s v="Research and Public Service Unit"/>
    <m/>
    <n v="106245"/>
    <x v="2"/>
    <m/>
    <m/>
    <n v="3588916"/>
    <n v="3588916"/>
    <m/>
    <m/>
    <m/>
    <m/>
    <n v="0"/>
    <n v="0"/>
    <m/>
    <n v="0"/>
    <n v="3588916"/>
    <n v="3588916"/>
    <m/>
    <m/>
    <m/>
    <m/>
    <n v="0"/>
    <m/>
    <m/>
    <n v="0"/>
    <m/>
    <m/>
    <m/>
    <m/>
    <m/>
    <m/>
    <n v="3588916"/>
    <n v="3588916"/>
  </r>
  <r>
    <x v="1"/>
    <x v="0"/>
    <s v="University of Central Arkansas "/>
    <m/>
    <n v="106704"/>
    <x v="2"/>
    <n v="56822517"/>
    <n v="57234273"/>
    <m/>
    <m/>
    <m/>
    <m/>
    <n v="70905385"/>
    <m/>
    <n v="70905385"/>
    <n v="74907396"/>
    <m/>
    <n v="74907396"/>
    <n v="127727902"/>
    <n v="132141669"/>
    <m/>
    <m/>
    <m/>
    <m/>
    <n v="0"/>
    <m/>
    <m/>
    <n v="0"/>
    <m/>
    <m/>
    <m/>
    <m/>
    <m/>
    <m/>
    <n v="127727902"/>
    <n v="132141669"/>
  </r>
  <r>
    <x v="1"/>
    <x v="0"/>
    <s v="Henderson State University "/>
    <m/>
    <n v="107071"/>
    <x v="3"/>
    <n v="20565446"/>
    <n v="20587528"/>
    <m/>
    <m/>
    <m/>
    <m/>
    <n v="25137681"/>
    <m/>
    <n v="25137681"/>
    <n v="25714854"/>
    <m/>
    <n v="25714854"/>
    <n v="45703127"/>
    <n v="46302382"/>
    <m/>
    <m/>
    <m/>
    <m/>
    <n v="0"/>
    <m/>
    <m/>
    <n v="0"/>
    <m/>
    <m/>
    <m/>
    <m/>
    <m/>
    <m/>
    <n v="45703127"/>
    <n v="46302382"/>
  </r>
  <r>
    <x v="1"/>
    <x v="3"/>
    <s v="Community or public service units"/>
    <m/>
    <n v="107071"/>
    <x v="3"/>
    <m/>
    <m/>
    <m/>
    <m/>
    <m/>
    <m/>
    <m/>
    <m/>
    <n v="0"/>
    <m/>
    <m/>
    <n v="0"/>
    <n v="0"/>
    <n v="0"/>
    <m/>
    <m/>
    <m/>
    <m/>
    <n v="0"/>
    <m/>
    <m/>
    <n v="0"/>
    <m/>
    <m/>
    <m/>
    <m/>
    <m/>
    <m/>
    <n v="0"/>
    <n v="0"/>
  </r>
  <r>
    <x v="1"/>
    <x v="3"/>
    <s v="Henderson State Community Education Center "/>
    <s v="Formerly Southwest Arkansas Tech Learning Center."/>
    <n v="107071"/>
    <x v="3"/>
    <m/>
    <m/>
    <n v="210585"/>
    <n v="210585"/>
    <m/>
    <m/>
    <m/>
    <m/>
    <n v="0"/>
    <n v="0"/>
    <m/>
    <n v="0"/>
    <n v="210585"/>
    <n v="210585"/>
    <m/>
    <m/>
    <m/>
    <m/>
    <n v="0"/>
    <m/>
    <m/>
    <n v="0"/>
    <m/>
    <m/>
    <m/>
    <m/>
    <m/>
    <m/>
    <n v="210585"/>
    <n v="210585"/>
  </r>
  <r>
    <x v="1"/>
    <x v="0"/>
    <s v="Southern Arkansas University"/>
    <m/>
    <n v="107983"/>
    <x v="3"/>
    <n v="16668783"/>
    <n v="16681839"/>
    <m/>
    <m/>
    <m/>
    <m/>
    <n v="21501956"/>
    <m/>
    <n v="21501956"/>
    <n v="23393761"/>
    <n v="2368167"/>
    <n v="25761928"/>
    <n v="38170739"/>
    <n v="40075600"/>
    <m/>
    <m/>
    <m/>
    <m/>
    <n v="0"/>
    <m/>
    <m/>
    <n v="0"/>
    <m/>
    <m/>
    <m/>
    <m/>
    <m/>
    <m/>
    <n v="38170739"/>
    <n v="40075600"/>
  </r>
  <r>
    <x v="1"/>
    <x v="0"/>
    <s v="University of Arkansas at Monticello"/>
    <m/>
    <n v="106485"/>
    <x v="4"/>
    <n v="14006506"/>
    <n v="14017774"/>
    <m/>
    <m/>
    <m/>
    <m/>
    <n v="14055761"/>
    <m/>
    <n v="14055761"/>
    <n v="14461103"/>
    <m/>
    <n v="14461103"/>
    <n v="28062267"/>
    <n v="28478877"/>
    <m/>
    <m/>
    <m/>
    <m/>
    <n v="0"/>
    <m/>
    <m/>
    <n v="0"/>
    <m/>
    <m/>
    <m/>
    <m/>
    <m/>
    <m/>
    <n v="28062267"/>
    <n v="28478877"/>
  </r>
  <r>
    <x v="1"/>
    <x v="3"/>
    <s v="Community or public service units"/>
    <m/>
    <n v="106485"/>
    <x v="4"/>
    <m/>
    <m/>
    <m/>
    <m/>
    <m/>
    <m/>
    <m/>
    <m/>
    <n v="0"/>
    <m/>
    <m/>
    <n v="0"/>
    <n v="0"/>
    <n v="0"/>
    <m/>
    <m/>
    <m/>
    <m/>
    <n v="0"/>
    <m/>
    <m/>
    <n v="0"/>
    <m/>
    <m/>
    <m/>
    <m/>
    <m/>
    <m/>
    <n v="0"/>
    <n v="0"/>
  </r>
  <r>
    <x v="1"/>
    <x v="3"/>
    <s v="UAM College of Technology-McGehee"/>
    <m/>
    <n v="106485"/>
    <x v="4"/>
    <m/>
    <m/>
    <n v="2432423"/>
    <n v="2430016"/>
    <m/>
    <m/>
    <n v="1059541"/>
    <m/>
    <n v="1059541"/>
    <n v="936474"/>
    <m/>
    <n v="936474"/>
    <n v="3491964"/>
    <n v="3366490"/>
    <m/>
    <m/>
    <m/>
    <m/>
    <n v="0"/>
    <m/>
    <m/>
    <n v="0"/>
    <m/>
    <m/>
    <m/>
    <m/>
    <m/>
    <m/>
    <n v="3491964"/>
    <n v="3366490"/>
  </r>
  <r>
    <x v="1"/>
    <x v="3"/>
    <s v="UAM College of Technology-Crossett "/>
    <m/>
    <n v="106485"/>
    <x v="4"/>
    <m/>
    <m/>
    <n v="1813008"/>
    <n v="1811324"/>
    <m/>
    <m/>
    <n v="930333"/>
    <m/>
    <n v="930333"/>
    <n v="982244"/>
    <m/>
    <n v="982244"/>
    <n v="2743341"/>
    <n v="2793568"/>
    <m/>
    <m/>
    <m/>
    <m/>
    <n v="0"/>
    <m/>
    <m/>
    <n v="0"/>
    <m/>
    <m/>
    <m/>
    <m/>
    <m/>
    <m/>
    <n v="2743341"/>
    <n v="2793568"/>
  </r>
  <r>
    <x v="1"/>
    <x v="0"/>
    <s v="University of Arkansas at Fort Smith"/>
    <m/>
    <n v="108092"/>
    <x v="5"/>
    <n v="23266845"/>
    <n v="23469127"/>
    <m/>
    <s v="."/>
    <n v="5508890"/>
    <n v="5654987"/>
    <n v="30711408"/>
    <m/>
    <n v="30711408"/>
    <n v="30637282"/>
    <m/>
    <n v="30637282"/>
    <n v="59487143"/>
    <n v="59761396"/>
    <m/>
    <m/>
    <m/>
    <m/>
    <n v="0"/>
    <m/>
    <m/>
    <n v="0"/>
    <m/>
    <m/>
    <m/>
    <m/>
    <m/>
    <m/>
    <n v="59487143"/>
    <n v="59761396"/>
  </r>
  <r>
    <x v="1"/>
    <x v="0"/>
    <s v="University of Arkansas at Pine Bluff"/>
    <s v="Met the criteria for Four-Year 5 in 2012-13 and 2013-14."/>
    <n v="106412"/>
    <x v="5"/>
    <n v="27056360"/>
    <n v="27075920"/>
    <m/>
    <m/>
    <m/>
    <m/>
    <n v="17410400"/>
    <m/>
    <n v="17410400"/>
    <n v="16299059"/>
    <m/>
    <n v="16299059"/>
    <n v="44466760"/>
    <n v="43374979"/>
    <m/>
    <m/>
    <m/>
    <m/>
    <n v="0"/>
    <m/>
    <m/>
    <n v="0"/>
    <m/>
    <m/>
    <m/>
    <m/>
    <m/>
    <m/>
    <n v="44466760"/>
    <n v="43374979"/>
  </r>
  <r>
    <x v="1"/>
    <x v="0"/>
    <s v="Northwest Arkansas Community College "/>
    <m/>
    <n v="367459"/>
    <x v="6"/>
    <n v="11066006"/>
    <n v="11611154"/>
    <m/>
    <m/>
    <n v="5653284"/>
    <n v="5952227"/>
    <n v="23422856"/>
    <m/>
    <n v="23422856"/>
    <n v="24017813"/>
    <m/>
    <n v="24017813"/>
    <n v="40142146"/>
    <n v="41581194"/>
    <m/>
    <m/>
    <m/>
    <m/>
    <n v="0"/>
    <m/>
    <m/>
    <n v="0"/>
    <m/>
    <m/>
    <m/>
    <m/>
    <m/>
    <m/>
    <n v="40142146"/>
    <n v="41581194"/>
  </r>
  <r>
    <x v="1"/>
    <x v="0"/>
    <s v="Pulaski Technical College"/>
    <m/>
    <n v="107664"/>
    <x v="6"/>
    <n v="16737684"/>
    <n v="17411209"/>
    <m/>
    <m/>
    <m/>
    <m/>
    <n v="29787525"/>
    <m/>
    <n v="29787525"/>
    <n v="28982515"/>
    <m/>
    <n v="28982515"/>
    <n v="46525209"/>
    <n v="46393724"/>
    <m/>
    <m/>
    <m/>
    <m/>
    <n v="0"/>
    <m/>
    <m/>
    <n v="0"/>
    <m/>
    <m/>
    <m/>
    <m/>
    <m/>
    <m/>
    <n v="46525209"/>
    <n v="46393724"/>
  </r>
  <r>
    <x v="1"/>
    <x v="0"/>
    <s v="Arkansas State University-Beebe"/>
    <m/>
    <n v="106449"/>
    <x v="7"/>
    <n v="14268131"/>
    <n v="14071729"/>
    <m/>
    <m/>
    <n v="1832878"/>
    <n v="1779744"/>
    <n v="10616228"/>
    <m/>
    <n v="10616228"/>
    <n v="10223764"/>
    <m/>
    <n v="10223764"/>
    <n v="26717237"/>
    <n v="26075237"/>
    <m/>
    <m/>
    <m/>
    <m/>
    <n v="0"/>
    <m/>
    <m/>
    <n v="0"/>
    <m/>
    <m/>
    <m/>
    <m/>
    <m/>
    <m/>
    <n v="26717237"/>
    <n v="26075237"/>
  </r>
  <r>
    <x v="1"/>
    <x v="0"/>
    <s v="National Park Community College"/>
    <m/>
    <n v="106980"/>
    <x v="7"/>
    <n v="10724382"/>
    <n v="10836955"/>
    <m/>
    <m/>
    <m/>
    <m/>
    <n v="7339026"/>
    <m/>
    <n v="7339026"/>
    <n v="7311154"/>
    <m/>
    <n v="7311154"/>
    <n v="18063408"/>
    <n v="18148109"/>
    <m/>
    <m/>
    <m/>
    <m/>
    <n v="0"/>
    <m/>
    <m/>
    <n v="0"/>
    <m/>
    <m/>
    <m/>
    <m/>
    <m/>
    <m/>
    <n v="18063408"/>
    <n v="18148109"/>
  </r>
  <r>
    <x v="1"/>
    <x v="0"/>
    <s v="Arkansas Northeastern College"/>
    <m/>
    <n v="107327"/>
    <x v="8"/>
    <n v="10021476"/>
    <n v="10026898"/>
    <m/>
    <m/>
    <m/>
    <m/>
    <n v="2703220"/>
    <m/>
    <n v="2703220"/>
    <n v="2320751"/>
    <m/>
    <n v="2320751"/>
    <n v="12724696"/>
    <n v="12347649"/>
    <m/>
    <m/>
    <m/>
    <m/>
    <n v="0"/>
    <m/>
    <m/>
    <n v="0"/>
    <m/>
    <m/>
    <m/>
    <m/>
    <m/>
    <m/>
    <n v="12724696"/>
    <n v="12347649"/>
  </r>
  <r>
    <x v="1"/>
    <x v="0"/>
    <s v="Arkansas State University Mountain Home"/>
    <m/>
    <n v="420538"/>
    <x v="8"/>
    <n v="4408624"/>
    <n v="4472039"/>
    <m/>
    <m/>
    <n v="1285901"/>
    <n v="1333345"/>
    <n v="4212013"/>
    <m/>
    <n v="4212013"/>
    <n v="4372239"/>
    <m/>
    <n v="4372239"/>
    <n v="9906538"/>
    <n v="10177623"/>
    <m/>
    <m/>
    <m/>
    <m/>
    <n v="0"/>
    <m/>
    <m/>
    <n v="0"/>
    <m/>
    <m/>
    <m/>
    <m/>
    <m/>
    <m/>
    <n v="9906538"/>
    <n v="10177623"/>
  </r>
  <r>
    <x v="1"/>
    <x v="0"/>
    <s v="Arkansas State University-Newport"/>
    <m/>
    <n v="440402"/>
    <x v="8"/>
    <n v="7414175"/>
    <n v="7409921"/>
    <m/>
    <m/>
    <n v="988628"/>
    <n v="975001"/>
    <n v="4925264"/>
    <m/>
    <n v="4925264"/>
    <n v="5146875"/>
    <m/>
    <n v="5146875"/>
    <n v="13328067"/>
    <n v="13531797"/>
    <m/>
    <m/>
    <m/>
    <m/>
    <n v="0"/>
    <m/>
    <m/>
    <n v="0"/>
    <m/>
    <m/>
    <m/>
    <m/>
    <m/>
    <m/>
    <n v="13328067"/>
    <n v="13531797"/>
  </r>
  <r>
    <x v="1"/>
    <x v="0"/>
    <s v="Black River Technical College"/>
    <m/>
    <n v="106625"/>
    <x v="8"/>
    <n v="8301351"/>
    <n v="8358725"/>
    <m/>
    <m/>
    <m/>
    <m/>
    <n v="6421256"/>
    <m/>
    <n v="6421256"/>
    <n v="6076546"/>
    <m/>
    <n v="6076546"/>
    <n v="14722607"/>
    <n v="14435271"/>
    <m/>
    <m/>
    <m/>
    <m/>
    <n v="0"/>
    <m/>
    <m/>
    <n v="0"/>
    <m/>
    <m/>
    <m/>
    <m/>
    <m/>
    <m/>
    <n v="14722607"/>
    <n v="14435271"/>
  </r>
  <r>
    <x v="1"/>
    <x v="0"/>
    <s v="College of the Ouachitas"/>
    <m/>
    <n v="107521"/>
    <x v="8"/>
    <n v="4687118"/>
    <n v="4683647"/>
    <m/>
    <m/>
    <m/>
    <m/>
    <n v="2361394"/>
    <m/>
    <n v="2361394"/>
    <n v="2883039"/>
    <m/>
    <n v="2883039"/>
    <n v="7048512"/>
    <n v="7566686"/>
    <m/>
    <m/>
    <m/>
    <m/>
    <n v="0"/>
    <m/>
    <m/>
    <n v="0"/>
    <m/>
    <m/>
    <m/>
    <m/>
    <m/>
    <m/>
    <n v="7048512"/>
    <n v="7566686"/>
  </r>
  <r>
    <x v="1"/>
    <x v="0"/>
    <s v="Cossatot Community College of the University of Arkansas"/>
    <m/>
    <n v="106795"/>
    <x v="8"/>
    <n v="4706016"/>
    <n v="4746139"/>
    <m/>
    <m/>
    <n v="1088211"/>
    <n v="1153584"/>
    <n v="2915387"/>
    <n v="260590"/>
    <n v="3175977"/>
    <n v="3265170"/>
    <n v="193008"/>
    <n v="3458178"/>
    <n v="8709614"/>
    <n v="9164893"/>
    <m/>
    <m/>
    <m/>
    <m/>
    <n v="0"/>
    <m/>
    <m/>
    <n v="0"/>
    <m/>
    <m/>
    <m/>
    <m/>
    <m/>
    <m/>
    <n v="8709614"/>
    <n v="9164893"/>
  </r>
  <r>
    <x v="1"/>
    <x v="0"/>
    <s v="East Arkansas Community College "/>
    <m/>
    <n v="106883"/>
    <x v="8"/>
    <n v="6530585"/>
    <n v="6538536"/>
    <m/>
    <m/>
    <m/>
    <m/>
    <n v="2952355"/>
    <m/>
    <n v="2952355"/>
    <n v="2760293"/>
    <m/>
    <n v="2760293"/>
    <n v="9482940"/>
    <n v="9298829"/>
    <m/>
    <m/>
    <m/>
    <m/>
    <n v="0"/>
    <m/>
    <m/>
    <n v="0"/>
    <m/>
    <m/>
    <m/>
    <m/>
    <m/>
    <m/>
    <n v="9482940"/>
    <n v="9298829"/>
  </r>
  <r>
    <x v="1"/>
    <x v="0"/>
    <s v="Mid-South Community College "/>
    <m/>
    <n v="107318"/>
    <x v="8"/>
    <n v="6015606"/>
    <n v="6048921"/>
    <m/>
    <m/>
    <n v="78406"/>
    <n v="87461"/>
    <n v="4952909.1399999997"/>
    <m/>
    <n v="4952909.1399999997"/>
    <n v="13755765"/>
    <m/>
    <n v="13755765"/>
    <n v="11046921.140000001"/>
    <n v="19892147"/>
    <m/>
    <m/>
    <m/>
    <m/>
    <n v="0"/>
    <m/>
    <m/>
    <n v="0"/>
    <m/>
    <m/>
    <m/>
    <m/>
    <m/>
    <m/>
    <n v="11046921.140000001"/>
    <n v="19892147"/>
  </r>
  <r>
    <x v="1"/>
    <x v="0"/>
    <s v="North Arkansas College"/>
    <m/>
    <n v="107460"/>
    <x v="8"/>
    <n v="8981519"/>
    <n v="8985364"/>
    <m/>
    <m/>
    <m/>
    <m/>
    <n v="4700911"/>
    <m/>
    <n v="4700911"/>
    <n v="4531546"/>
    <m/>
    <n v="4531546"/>
    <n v="13682430"/>
    <n v="13516910"/>
    <m/>
    <m/>
    <m/>
    <m/>
    <n v="0"/>
    <m/>
    <m/>
    <n v="0"/>
    <m/>
    <m/>
    <m/>
    <m/>
    <m/>
    <m/>
    <n v="13682430"/>
    <n v="13516910"/>
  </r>
  <r>
    <x v="1"/>
    <x v="0"/>
    <s v="Ozarka College "/>
    <m/>
    <n v="107549"/>
    <x v="8"/>
    <n v="4264352"/>
    <n v="4398316"/>
    <m/>
    <m/>
    <n v="361713"/>
    <n v="416382"/>
    <n v="3855843"/>
    <m/>
    <n v="3855843"/>
    <n v="3853957"/>
    <m/>
    <n v="3853957"/>
    <n v="8481908"/>
    <n v="8668655"/>
    <m/>
    <m/>
    <m/>
    <m/>
    <n v="0"/>
    <m/>
    <m/>
    <n v="0"/>
    <m/>
    <m/>
    <m/>
    <m/>
    <m/>
    <m/>
    <n v="8481908"/>
    <n v="8668655"/>
  </r>
  <r>
    <x v="1"/>
    <x v="0"/>
    <s v="Phillips Community College of the Univ of Arkansas"/>
    <m/>
    <n v="107619"/>
    <x v="8"/>
    <n v="10317654"/>
    <n v="10323808"/>
    <m/>
    <m/>
    <n v="1944250"/>
    <n v="2153019"/>
    <n v="3096106"/>
    <m/>
    <n v="3096106"/>
    <n v="3209837"/>
    <m/>
    <n v="3209837"/>
    <n v="15358010"/>
    <n v="15686664"/>
    <m/>
    <m/>
    <m/>
    <m/>
    <n v="0"/>
    <m/>
    <m/>
    <n v="0"/>
    <m/>
    <m/>
    <m/>
    <m/>
    <m/>
    <m/>
    <n v="15358010"/>
    <n v="15686664"/>
  </r>
  <r>
    <x v="1"/>
    <x v="0"/>
    <s v="Rich Mountain Community College "/>
    <m/>
    <n v="107743"/>
    <x v="8"/>
    <n v="3397250"/>
    <n v="3404968"/>
    <m/>
    <m/>
    <m/>
    <m/>
    <n v="1904418"/>
    <m/>
    <n v="1904418"/>
    <n v="2131112"/>
    <m/>
    <n v="2131112"/>
    <n v="5301668"/>
    <n v="5536080"/>
    <m/>
    <m/>
    <m/>
    <m/>
    <n v="0"/>
    <m/>
    <m/>
    <n v="0"/>
    <m/>
    <m/>
    <m/>
    <m/>
    <m/>
    <m/>
    <n v="5301668"/>
    <n v="5536080"/>
  </r>
  <r>
    <x v="1"/>
    <x v="0"/>
    <s v="South Arkansas Community College"/>
    <m/>
    <n v="107974"/>
    <x v="8"/>
    <n v="6964925"/>
    <n v="7008969"/>
    <m/>
    <m/>
    <m/>
    <m/>
    <n v="4449490"/>
    <m/>
    <n v="4449490"/>
    <n v="4720741"/>
    <m/>
    <n v="4720741"/>
    <n v="11414415"/>
    <n v="11729710"/>
    <m/>
    <m/>
    <m/>
    <m/>
    <n v="0"/>
    <m/>
    <m/>
    <n v="0"/>
    <m/>
    <m/>
    <m/>
    <m/>
    <m/>
    <m/>
    <n v="11414415"/>
    <n v="11729710"/>
  </r>
  <r>
    <x v="1"/>
    <x v="0"/>
    <s v="Southeast Arkansas College"/>
    <m/>
    <n v="107637"/>
    <x v="8"/>
    <n v="7617924"/>
    <n v="7611997"/>
    <m/>
    <m/>
    <m/>
    <m/>
    <n v="4012649"/>
    <m/>
    <n v="4012649"/>
    <n v="3852944"/>
    <m/>
    <n v="3852944"/>
    <n v="11630573"/>
    <n v="11464941"/>
    <m/>
    <m/>
    <m/>
    <m/>
    <n v="0"/>
    <m/>
    <m/>
    <n v="0"/>
    <m/>
    <m/>
    <m/>
    <m/>
    <m/>
    <m/>
    <n v="11630573"/>
    <n v="11464941"/>
  </r>
  <r>
    <x v="1"/>
    <x v="0"/>
    <s v="Southern Arkansas University Tech"/>
    <m/>
    <n v="107992"/>
    <x v="8"/>
    <n v="5839365"/>
    <n v="5907851"/>
    <m/>
    <m/>
    <m/>
    <m/>
    <n v="4566899"/>
    <m/>
    <n v="4566899"/>
    <n v="4896954"/>
    <m/>
    <n v="4896954"/>
    <n v="10406264"/>
    <n v="10804805"/>
    <m/>
    <m/>
    <m/>
    <m/>
    <n v="0"/>
    <m/>
    <m/>
    <n v="0"/>
    <m/>
    <m/>
    <m/>
    <m/>
    <m/>
    <m/>
    <n v="10406264"/>
    <n v="10804805"/>
  </r>
  <r>
    <x v="1"/>
    <x v="3"/>
    <s v="Environmental Control Academy &amp; Fire Control Academy"/>
    <m/>
    <n v="107992"/>
    <x v="8"/>
    <m/>
    <m/>
    <n v="2137751"/>
    <n v="2139017"/>
    <m/>
    <m/>
    <n v="528342"/>
    <m/>
    <n v="528342"/>
    <n v="625235"/>
    <m/>
    <n v="625235"/>
    <n v="2666093"/>
    <n v="2764252"/>
    <m/>
    <m/>
    <m/>
    <m/>
    <n v="0"/>
    <m/>
    <m/>
    <n v="0"/>
    <m/>
    <m/>
    <m/>
    <m/>
    <m/>
    <m/>
    <n v="2666093"/>
    <n v="2764252"/>
  </r>
  <r>
    <x v="1"/>
    <x v="0"/>
    <s v="University of Arkansas Community College at Batesville"/>
    <m/>
    <n v="106999"/>
    <x v="8"/>
    <n v="4919947"/>
    <n v="4997821"/>
    <m/>
    <m/>
    <n v="1237699"/>
    <n v="1240673"/>
    <n v="3313275"/>
    <m/>
    <n v="3313275"/>
    <n v="3168356"/>
    <m/>
    <n v="3168356"/>
    <n v="9470921"/>
    <n v="9406850"/>
    <m/>
    <m/>
    <m/>
    <m/>
    <n v="0"/>
    <m/>
    <m/>
    <n v="0"/>
    <m/>
    <m/>
    <m/>
    <m/>
    <m/>
    <m/>
    <n v="9470921"/>
    <n v="9406850"/>
  </r>
  <r>
    <x v="1"/>
    <x v="0"/>
    <s v="University of Arkansas Community College at Hope"/>
    <m/>
    <n v="107725"/>
    <x v="8"/>
    <n v="6456823"/>
    <n v="6450944"/>
    <m/>
    <m/>
    <n v="550000"/>
    <n v="1250000"/>
    <n v="2571362"/>
    <n v="780938"/>
    <n v="3352300"/>
    <n v="2471235"/>
    <n v="781078"/>
    <n v="3252313"/>
    <n v="9578185"/>
    <n v="10172179"/>
    <m/>
    <m/>
    <m/>
    <m/>
    <n v="0"/>
    <m/>
    <m/>
    <n v="0"/>
    <m/>
    <m/>
    <m/>
    <m/>
    <m/>
    <m/>
    <n v="9578185"/>
    <n v="10172179"/>
  </r>
  <r>
    <x v="1"/>
    <x v="0"/>
    <s v="University of Arkansas Community College at Morrilton"/>
    <m/>
    <n v="107585"/>
    <x v="8"/>
    <n v="6082071"/>
    <n v="6313341"/>
    <m/>
    <m/>
    <n v="733004"/>
    <n v="810926"/>
    <n v="5871745"/>
    <m/>
    <n v="5871745"/>
    <n v="6204034"/>
    <m/>
    <n v="6204034"/>
    <n v="12686820"/>
    <n v="13328301"/>
    <m/>
    <m/>
    <m/>
    <m/>
    <n v="0"/>
    <m/>
    <m/>
    <n v="0"/>
    <m/>
    <m/>
    <m/>
    <m/>
    <m/>
    <m/>
    <n v="12686820"/>
    <n v="13328301"/>
  </r>
  <r>
    <x v="1"/>
    <x v="41"/>
    <s v="University of Arkansas for Medical Sciences"/>
    <m/>
    <n v="106263"/>
    <x v="11"/>
    <m/>
    <m/>
    <m/>
    <m/>
    <m/>
    <m/>
    <m/>
    <m/>
    <n v="0"/>
    <m/>
    <m/>
    <n v="0"/>
    <n v="0"/>
    <n v="0"/>
    <m/>
    <m/>
    <m/>
    <m/>
    <n v="0"/>
    <m/>
    <m/>
    <n v="0"/>
    <n v="113645774"/>
    <n v="112144733"/>
    <n v="30249989"/>
    <m/>
    <n v="32220221"/>
    <n v="1248459"/>
    <n v="143895763"/>
    <n v="144364954"/>
  </r>
  <r>
    <x v="1"/>
    <x v="13"/>
    <s v="All Other State Operating Appropriations Related to Postsecondary Education"/>
    <m/>
    <m/>
    <x v="12"/>
    <m/>
    <m/>
    <m/>
    <m/>
    <m/>
    <m/>
    <m/>
    <m/>
    <n v="0"/>
    <m/>
    <m/>
    <n v="0"/>
    <n v="0"/>
    <n v="0"/>
    <m/>
    <m/>
    <m/>
    <m/>
    <n v="0"/>
    <m/>
    <m/>
    <n v="0"/>
    <m/>
    <m/>
    <m/>
    <m/>
    <m/>
    <m/>
    <n v="0"/>
    <n v="0"/>
  </r>
  <r>
    <x v="1"/>
    <x v="13"/>
    <s v="Y.O.U. Program for At-Risk Youth"/>
    <m/>
    <m/>
    <x v="12"/>
    <m/>
    <m/>
    <m/>
    <m/>
    <m/>
    <m/>
    <m/>
    <m/>
    <n v="0"/>
    <m/>
    <m/>
    <n v="0"/>
    <n v="0"/>
    <n v="0"/>
    <m/>
    <m/>
    <m/>
    <m/>
    <n v="0"/>
    <m/>
    <m/>
    <n v="0"/>
    <m/>
    <m/>
    <m/>
    <m/>
    <m/>
    <m/>
    <n v="0"/>
    <n v="0"/>
  </r>
  <r>
    <x v="1"/>
    <x v="13"/>
    <s v="Tuition Waiver Adjustments"/>
    <m/>
    <m/>
    <x v="12"/>
    <m/>
    <m/>
    <n v="350000"/>
    <n v="350000"/>
    <m/>
    <m/>
    <m/>
    <m/>
    <n v="0"/>
    <m/>
    <m/>
    <n v="0"/>
    <n v="350000"/>
    <n v="350000"/>
    <m/>
    <m/>
    <m/>
    <m/>
    <n v="0"/>
    <m/>
    <m/>
    <n v="0"/>
    <m/>
    <m/>
    <m/>
    <m/>
    <m/>
    <m/>
    <n v="350000"/>
    <n v="350000"/>
  </r>
  <r>
    <x v="1"/>
    <x v="14"/>
    <s v="Statewide System Operations"/>
    <m/>
    <m/>
    <x v="12"/>
    <m/>
    <m/>
    <m/>
    <m/>
    <m/>
    <m/>
    <m/>
    <m/>
    <n v="0"/>
    <m/>
    <m/>
    <n v="0"/>
    <n v="0"/>
    <n v="0"/>
    <m/>
    <m/>
    <m/>
    <m/>
    <n v="0"/>
    <m/>
    <m/>
    <n v="0"/>
    <m/>
    <m/>
    <m/>
    <m/>
    <m/>
    <m/>
    <n v="0"/>
    <n v="0"/>
  </r>
  <r>
    <x v="1"/>
    <x v="15"/>
    <s v="Colleges and universities"/>
    <m/>
    <m/>
    <x v="12"/>
    <m/>
    <m/>
    <m/>
    <m/>
    <m/>
    <m/>
    <m/>
    <m/>
    <n v="0"/>
    <m/>
    <m/>
    <n v="0"/>
    <n v="0"/>
    <n v="0"/>
    <m/>
    <m/>
    <m/>
    <m/>
    <n v="0"/>
    <m/>
    <m/>
    <n v="0"/>
    <m/>
    <m/>
    <m/>
    <m/>
    <m/>
    <m/>
    <n v="0"/>
    <n v="0"/>
  </r>
  <r>
    <x v="1"/>
    <x v="15"/>
    <s v="Higher Education Coordinating Board"/>
    <m/>
    <m/>
    <x v="12"/>
    <m/>
    <m/>
    <m/>
    <m/>
    <m/>
    <m/>
    <m/>
    <m/>
    <n v="0"/>
    <m/>
    <m/>
    <n v="0"/>
    <n v="0"/>
    <n v="0"/>
    <n v="3260172"/>
    <n v="3486046"/>
    <m/>
    <m/>
    <n v="0"/>
    <m/>
    <m/>
    <n v="0"/>
    <m/>
    <m/>
    <m/>
    <m/>
    <m/>
    <m/>
    <n v="3260172"/>
    <n v="3486046"/>
  </r>
  <r>
    <x v="1"/>
    <x v="15"/>
    <s v="Univ. of Ark System Office"/>
    <m/>
    <m/>
    <x v="12"/>
    <m/>
    <m/>
    <m/>
    <m/>
    <m/>
    <m/>
    <m/>
    <m/>
    <n v="0"/>
    <m/>
    <m/>
    <n v="0"/>
    <n v="0"/>
    <n v="0"/>
    <n v="3677678"/>
    <n v="3680459"/>
    <m/>
    <m/>
    <n v="0"/>
    <m/>
    <m/>
    <n v="0"/>
    <m/>
    <m/>
    <m/>
    <m/>
    <m/>
    <m/>
    <n v="3677678"/>
    <n v="3680459"/>
  </r>
  <r>
    <x v="1"/>
    <x v="15"/>
    <s v="Arkansas State University System Office"/>
    <m/>
    <m/>
    <x v="12"/>
    <m/>
    <m/>
    <m/>
    <m/>
    <m/>
    <m/>
    <m/>
    <m/>
    <n v="0"/>
    <m/>
    <m/>
    <n v="0"/>
    <n v="0"/>
    <n v="0"/>
    <n v="2362680"/>
    <n v="2362680"/>
    <m/>
    <m/>
    <n v="0"/>
    <m/>
    <m/>
    <n v="0"/>
    <m/>
    <m/>
    <m/>
    <m/>
    <m/>
    <m/>
    <n v="2362680"/>
    <n v="2362680"/>
  </r>
  <r>
    <x v="1"/>
    <x v="17"/>
    <s v="National or regional associations, compacts or consortia"/>
    <m/>
    <m/>
    <x v="12"/>
    <m/>
    <m/>
    <m/>
    <m/>
    <m/>
    <m/>
    <m/>
    <m/>
    <n v="0"/>
    <m/>
    <m/>
    <n v="0"/>
    <n v="0"/>
    <n v="0"/>
    <m/>
    <m/>
    <m/>
    <m/>
    <n v="0"/>
    <m/>
    <m/>
    <n v="0"/>
    <m/>
    <m/>
    <m/>
    <m/>
    <m/>
    <m/>
    <n v="0"/>
    <n v="0"/>
  </r>
  <r>
    <x v="1"/>
    <x v="17"/>
    <s v="SREB Membership"/>
    <m/>
    <m/>
    <x v="12"/>
    <m/>
    <m/>
    <m/>
    <m/>
    <m/>
    <m/>
    <m/>
    <m/>
    <n v="0"/>
    <m/>
    <m/>
    <n v="0"/>
    <n v="0"/>
    <n v="0"/>
    <m/>
    <m/>
    <m/>
    <m/>
    <n v="0"/>
    <m/>
    <m/>
    <n v="0"/>
    <m/>
    <m/>
    <m/>
    <m/>
    <m/>
    <m/>
    <n v="0"/>
    <n v="0"/>
  </r>
  <r>
    <x v="1"/>
    <x v="18"/>
    <s v="Adm. of Statewide Student Aid Progs. (incldng centralized guaranteed student loans)"/>
    <m/>
    <m/>
    <x v="12"/>
    <m/>
    <m/>
    <m/>
    <m/>
    <m/>
    <m/>
    <m/>
    <m/>
    <n v="0"/>
    <m/>
    <m/>
    <n v="0"/>
    <n v="0"/>
    <n v="0"/>
    <m/>
    <m/>
    <m/>
    <m/>
    <n v="0"/>
    <m/>
    <m/>
    <n v="0"/>
    <m/>
    <m/>
    <m/>
    <m/>
    <m/>
    <m/>
    <n v="0"/>
    <n v="0"/>
  </r>
  <r>
    <x v="1"/>
    <x v="19"/>
    <s v="State Support to Private Colleges Other Than Student Aid"/>
    <m/>
    <m/>
    <x v="12"/>
    <m/>
    <m/>
    <m/>
    <m/>
    <m/>
    <m/>
    <m/>
    <m/>
    <n v="0"/>
    <m/>
    <m/>
    <n v="0"/>
    <n v="0"/>
    <n v="0"/>
    <m/>
    <m/>
    <m/>
    <m/>
    <n v="0"/>
    <m/>
    <m/>
    <n v="0"/>
    <m/>
    <m/>
    <m/>
    <m/>
    <m/>
    <m/>
    <n v="0"/>
    <n v="0"/>
  </r>
  <r>
    <x v="1"/>
    <x v="20"/>
    <s v="Contract Education Programs"/>
    <m/>
    <m/>
    <x v="12"/>
    <m/>
    <m/>
    <m/>
    <m/>
    <m/>
    <m/>
    <m/>
    <m/>
    <n v="0"/>
    <m/>
    <m/>
    <n v="0"/>
    <n v="0"/>
    <n v="0"/>
    <m/>
    <m/>
    <m/>
    <m/>
    <n v="0"/>
    <m/>
    <m/>
    <n v="0"/>
    <m/>
    <m/>
    <m/>
    <m/>
    <m/>
    <m/>
    <n v="0"/>
    <n v="0"/>
  </r>
  <r>
    <x v="1"/>
    <x v="21"/>
    <s v="SREB contract program with private colleges"/>
    <m/>
    <m/>
    <x v="12"/>
    <m/>
    <m/>
    <m/>
    <m/>
    <m/>
    <m/>
    <m/>
    <m/>
    <n v="0"/>
    <m/>
    <m/>
    <n v="0"/>
    <n v="0"/>
    <n v="0"/>
    <m/>
    <m/>
    <m/>
    <m/>
    <n v="0"/>
    <m/>
    <m/>
    <n v="0"/>
    <m/>
    <m/>
    <m/>
    <m/>
    <m/>
    <m/>
    <n v="0"/>
    <n v="0"/>
  </r>
  <r>
    <x v="1"/>
    <x v="21"/>
    <s v="Ohio College of Podiatric Medicine"/>
    <m/>
    <m/>
    <x v="12"/>
    <m/>
    <m/>
    <m/>
    <m/>
    <m/>
    <m/>
    <m/>
    <m/>
    <n v="0"/>
    <m/>
    <m/>
    <n v="0"/>
    <n v="0"/>
    <n v="0"/>
    <n v="40400"/>
    <n v="31200"/>
    <m/>
    <m/>
    <n v="0"/>
    <m/>
    <m/>
    <n v="0"/>
    <m/>
    <m/>
    <m/>
    <m/>
    <m/>
    <m/>
    <n v="40400"/>
    <n v="31200"/>
  </r>
  <r>
    <x v="1"/>
    <x v="21"/>
    <s v="Meharry Medical College (Dentistry)"/>
    <m/>
    <m/>
    <x v="12"/>
    <m/>
    <m/>
    <m/>
    <m/>
    <m/>
    <m/>
    <m/>
    <m/>
    <n v="0"/>
    <m/>
    <m/>
    <n v="0"/>
    <n v="0"/>
    <n v="0"/>
    <n v="67600"/>
    <n v="17400"/>
    <m/>
    <m/>
    <n v="0"/>
    <m/>
    <m/>
    <n v="0"/>
    <m/>
    <m/>
    <m/>
    <m/>
    <m/>
    <m/>
    <n v="67600"/>
    <n v="17400"/>
  </r>
  <r>
    <x v="1"/>
    <x v="21"/>
    <s v="Rosalind Franklin University"/>
    <m/>
    <m/>
    <x v="12"/>
    <m/>
    <m/>
    <m/>
    <m/>
    <m/>
    <m/>
    <m/>
    <m/>
    <n v="0"/>
    <m/>
    <m/>
    <n v="0"/>
    <n v="0"/>
    <n v="0"/>
    <n v="10100"/>
    <n v="20800"/>
    <m/>
    <m/>
    <n v="0"/>
    <m/>
    <m/>
    <n v="0"/>
    <m/>
    <m/>
    <m/>
    <m/>
    <m/>
    <m/>
    <n v="10100"/>
    <n v="20800"/>
  </r>
  <r>
    <x v="1"/>
    <x v="21"/>
    <s v="Southern College of Optometry"/>
    <m/>
    <m/>
    <x v="12"/>
    <m/>
    <m/>
    <m/>
    <m/>
    <m/>
    <m/>
    <m/>
    <m/>
    <n v="0"/>
    <m/>
    <m/>
    <n v="0"/>
    <n v="0"/>
    <n v="0"/>
    <n v="296000"/>
    <n v="306000"/>
    <m/>
    <m/>
    <n v="0"/>
    <m/>
    <m/>
    <n v="0"/>
    <m/>
    <m/>
    <m/>
    <m/>
    <m/>
    <m/>
    <n v="296000"/>
    <n v="306000"/>
  </r>
  <r>
    <x v="1"/>
    <x v="21"/>
    <s v="Virginia College of Osteopathic Medicine"/>
    <m/>
    <m/>
    <x v="12"/>
    <m/>
    <m/>
    <m/>
    <m/>
    <m/>
    <m/>
    <m/>
    <m/>
    <n v="0"/>
    <m/>
    <m/>
    <n v="0"/>
    <n v="0"/>
    <n v="0"/>
    <n v="14800"/>
    <n v="0"/>
    <m/>
    <m/>
    <n v="0"/>
    <m/>
    <m/>
    <n v="0"/>
    <m/>
    <m/>
    <m/>
    <m/>
    <m/>
    <m/>
    <n v="14800"/>
    <n v="0"/>
  </r>
  <r>
    <x v="1"/>
    <x v="21"/>
    <s v="Southeastern University College of Osteopathic Medicine (NOVA)"/>
    <m/>
    <m/>
    <x v="12"/>
    <m/>
    <m/>
    <m/>
    <m/>
    <m/>
    <m/>
    <m/>
    <m/>
    <n v="0"/>
    <m/>
    <m/>
    <n v="0"/>
    <n v="0"/>
    <n v="0"/>
    <m/>
    <m/>
    <m/>
    <m/>
    <n v="0"/>
    <m/>
    <m/>
    <n v="0"/>
    <m/>
    <m/>
    <m/>
    <m/>
    <m/>
    <m/>
    <n v="0"/>
    <n v="0"/>
  </r>
  <r>
    <x v="1"/>
    <x v="22"/>
    <s v="SREB contract program with public colleges"/>
    <m/>
    <m/>
    <x v="12"/>
    <m/>
    <m/>
    <m/>
    <m/>
    <m/>
    <m/>
    <m/>
    <m/>
    <n v="0"/>
    <m/>
    <m/>
    <n v="0"/>
    <n v="0"/>
    <n v="0"/>
    <m/>
    <m/>
    <m/>
    <m/>
    <n v="0"/>
    <m/>
    <m/>
    <n v="0"/>
    <m/>
    <m/>
    <m/>
    <m/>
    <m/>
    <m/>
    <n v="0"/>
    <n v="0"/>
  </r>
  <r>
    <x v="1"/>
    <x v="22"/>
    <s v="Louisiana State Univ. Medical Center (Dentistry)"/>
    <m/>
    <m/>
    <x v="12"/>
    <m/>
    <m/>
    <m/>
    <m/>
    <m/>
    <m/>
    <m/>
    <m/>
    <n v="0"/>
    <m/>
    <m/>
    <n v="0"/>
    <n v="0"/>
    <n v="0"/>
    <n v="185900"/>
    <n v="226200"/>
    <m/>
    <m/>
    <n v="0"/>
    <m/>
    <m/>
    <n v="0"/>
    <m/>
    <m/>
    <m/>
    <m/>
    <m/>
    <m/>
    <n v="185900"/>
    <n v="226200"/>
  </r>
  <r>
    <x v="1"/>
    <x v="22"/>
    <s v="Mississippi State University (Veterinary Medicine)"/>
    <m/>
    <m/>
    <x v="12"/>
    <m/>
    <m/>
    <m/>
    <m/>
    <m/>
    <m/>
    <m/>
    <m/>
    <n v="0"/>
    <m/>
    <m/>
    <n v="0"/>
    <n v="0"/>
    <n v="0"/>
    <n v="0"/>
    <n v="0"/>
    <m/>
    <m/>
    <n v="0"/>
    <m/>
    <m/>
    <n v="0"/>
    <m/>
    <m/>
    <m/>
    <m/>
    <m/>
    <m/>
    <n v="0"/>
    <n v="0"/>
  </r>
  <r>
    <x v="1"/>
    <x v="22"/>
    <s v="Oklahoma State University (Osteopathic Medicine)"/>
    <m/>
    <m/>
    <x v="12"/>
    <m/>
    <m/>
    <m/>
    <m/>
    <m/>
    <m/>
    <m/>
    <m/>
    <n v="0"/>
    <m/>
    <m/>
    <n v="0"/>
    <n v="0"/>
    <n v="0"/>
    <n v="29600"/>
    <n v="61200"/>
    <m/>
    <m/>
    <n v="0"/>
    <m/>
    <m/>
    <n v="0"/>
    <m/>
    <m/>
    <m/>
    <m/>
    <m/>
    <m/>
    <n v="29600"/>
    <n v="61200"/>
  </r>
  <r>
    <x v="1"/>
    <x v="22"/>
    <s v="University of Tennessee (Dentistry)"/>
    <m/>
    <m/>
    <x v="12"/>
    <m/>
    <m/>
    <m/>
    <m/>
    <m/>
    <m/>
    <m/>
    <m/>
    <n v="0"/>
    <m/>
    <m/>
    <n v="0"/>
    <n v="0"/>
    <n v="0"/>
    <n v="1504100"/>
    <n v="1548600"/>
    <m/>
    <m/>
    <n v="0"/>
    <m/>
    <m/>
    <n v="0"/>
    <m/>
    <m/>
    <m/>
    <m/>
    <m/>
    <m/>
    <n v="1504100"/>
    <n v="1548600"/>
  </r>
  <r>
    <x v="1"/>
    <x v="22"/>
    <s v="University of Oklahoma (Dentistry)"/>
    <m/>
    <m/>
    <x v="12"/>
    <m/>
    <m/>
    <m/>
    <m/>
    <m/>
    <m/>
    <m/>
    <m/>
    <n v="0"/>
    <m/>
    <m/>
    <n v="0"/>
    <n v="0"/>
    <n v="0"/>
    <n v="67600"/>
    <n v="34800"/>
    <m/>
    <m/>
    <n v="0"/>
    <m/>
    <m/>
    <n v="0"/>
    <m/>
    <m/>
    <m/>
    <m/>
    <m/>
    <m/>
    <n v="67600"/>
    <n v="34800"/>
  </r>
  <r>
    <x v="1"/>
    <x v="22"/>
    <s v="Baylor College of Medicine-Texas A&amp;M (Dentistry)"/>
    <m/>
    <m/>
    <x v="12"/>
    <m/>
    <m/>
    <m/>
    <m/>
    <m/>
    <m/>
    <m/>
    <m/>
    <n v="0"/>
    <m/>
    <m/>
    <n v="0"/>
    <n v="0"/>
    <n v="0"/>
    <n v="67600"/>
    <n v="87000"/>
    <m/>
    <m/>
    <n v="0"/>
    <m/>
    <m/>
    <n v="0"/>
    <m/>
    <m/>
    <m/>
    <m/>
    <m/>
    <m/>
    <n v="67600"/>
    <n v="87000"/>
  </r>
  <r>
    <x v="1"/>
    <x v="22"/>
    <s v="Louisiana State University (Veterinary Medicine)"/>
    <m/>
    <m/>
    <x v="12"/>
    <m/>
    <m/>
    <m/>
    <m/>
    <m/>
    <m/>
    <m/>
    <m/>
    <n v="0"/>
    <m/>
    <m/>
    <n v="0"/>
    <n v="0"/>
    <n v="0"/>
    <n v="890100"/>
    <n v="904400"/>
    <m/>
    <m/>
    <n v="0"/>
    <m/>
    <m/>
    <n v="0"/>
    <m/>
    <m/>
    <m/>
    <m/>
    <m/>
    <m/>
    <n v="890100"/>
    <n v="904400"/>
  </r>
  <r>
    <x v="1"/>
    <x v="22"/>
    <s v="Northeastern University (Optometry)"/>
    <m/>
    <m/>
    <x v="12"/>
    <m/>
    <m/>
    <m/>
    <m/>
    <m/>
    <m/>
    <m/>
    <m/>
    <n v="0"/>
    <m/>
    <m/>
    <n v="0"/>
    <n v="0"/>
    <n v="0"/>
    <n v="88800"/>
    <n v="76500"/>
    <m/>
    <m/>
    <n v="0"/>
    <m/>
    <m/>
    <n v="0"/>
    <m/>
    <m/>
    <m/>
    <m/>
    <m/>
    <m/>
    <n v="88800"/>
    <n v="76500"/>
  </r>
  <r>
    <x v="1"/>
    <x v="22"/>
    <s v="University of Louisville (Dentistry)"/>
    <m/>
    <m/>
    <x v="12"/>
    <m/>
    <m/>
    <m/>
    <m/>
    <m/>
    <m/>
    <m/>
    <m/>
    <n v="0"/>
    <m/>
    <m/>
    <n v="0"/>
    <n v="0"/>
    <n v="0"/>
    <n v="67600"/>
    <n v="34800"/>
    <m/>
    <m/>
    <n v="0"/>
    <m/>
    <m/>
    <n v="0"/>
    <m/>
    <m/>
    <m/>
    <m/>
    <m/>
    <m/>
    <n v="67600"/>
    <n v="34800"/>
  </r>
  <r>
    <x v="1"/>
    <x v="23"/>
    <s v="Other contract education programs"/>
    <m/>
    <m/>
    <x v="12"/>
    <m/>
    <m/>
    <m/>
    <m/>
    <m/>
    <m/>
    <m/>
    <m/>
    <n v="0"/>
    <m/>
    <m/>
    <n v="0"/>
    <n v="0"/>
    <n v="0"/>
    <m/>
    <m/>
    <m/>
    <m/>
    <n v="0"/>
    <m/>
    <m/>
    <n v="0"/>
    <m/>
    <m/>
    <m/>
    <m/>
    <m/>
    <m/>
    <n v="0"/>
    <n v="0"/>
  </r>
  <r>
    <x v="1"/>
    <x v="24"/>
    <s v="Statewide Student Financial Aid Programs Administered Off Campus"/>
    <m/>
    <m/>
    <x v="12"/>
    <m/>
    <m/>
    <m/>
    <m/>
    <m/>
    <m/>
    <m/>
    <m/>
    <n v="0"/>
    <m/>
    <m/>
    <n v="0"/>
    <n v="0"/>
    <n v="0"/>
    <m/>
    <m/>
    <m/>
    <m/>
    <n v="0"/>
    <m/>
    <m/>
    <n v="0"/>
    <m/>
    <m/>
    <m/>
    <m/>
    <m/>
    <m/>
    <n v="0"/>
    <n v="0"/>
  </r>
  <r>
    <x v="1"/>
    <x v="25"/>
    <s v="Available to public &amp; private sector students"/>
    <m/>
    <m/>
    <x v="12"/>
    <m/>
    <m/>
    <m/>
    <m/>
    <m/>
    <m/>
    <m/>
    <m/>
    <n v="0"/>
    <m/>
    <m/>
    <n v="0"/>
    <n v="0"/>
    <n v="0"/>
    <m/>
    <m/>
    <m/>
    <m/>
    <n v="0"/>
    <m/>
    <m/>
    <n v="0"/>
    <m/>
    <m/>
    <m/>
    <m/>
    <m/>
    <m/>
    <n v="0"/>
    <n v="0"/>
  </r>
  <r>
    <x v="1"/>
    <x v="25"/>
    <s v="Governor's Scholars"/>
    <m/>
    <m/>
    <x v="12"/>
    <m/>
    <m/>
    <m/>
    <m/>
    <m/>
    <m/>
    <m/>
    <m/>
    <n v="0"/>
    <m/>
    <m/>
    <n v="0"/>
    <n v="0"/>
    <n v="0"/>
    <m/>
    <m/>
    <m/>
    <m/>
    <n v="0"/>
    <m/>
    <m/>
    <n v="0"/>
    <m/>
    <m/>
    <m/>
    <m/>
    <m/>
    <m/>
    <n v="0"/>
    <n v="0"/>
  </r>
  <r>
    <x v="1"/>
    <x v="28"/>
    <s v="Amount to public sector students"/>
    <m/>
    <m/>
    <x v="12"/>
    <m/>
    <m/>
    <m/>
    <m/>
    <m/>
    <m/>
    <m/>
    <m/>
    <n v="0"/>
    <m/>
    <m/>
    <n v="0"/>
    <n v="0"/>
    <n v="0"/>
    <m/>
    <m/>
    <m/>
    <m/>
    <n v="0"/>
    <m/>
    <m/>
    <n v="0"/>
    <m/>
    <m/>
    <m/>
    <m/>
    <m/>
    <m/>
    <n v="0"/>
    <n v="0"/>
  </r>
  <r>
    <x v="1"/>
    <x v="29"/>
    <s v="Need-based"/>
    <m/>
    <m/>
    <x v="12"/>
    <m/>
    <m/>
    <m/>
    <m/>
    <m/>
    <m/>
    <m/>
    <m/>
    <n v="0"/>
    <m/>
    <m/>
    <n v="0"/>
    <n v="0"/>
    <n v="0"/>
    <m/>
    <m/>
    <m/>
    <m/>
    <n v="0"/>
    <m/>
    <m/>
    <n v="0"/>
    <m/>
    <m/>
    <m/>
    <m/>
    <m/>
    <m/>
    <n v="0"/>
    <n v="0"/>
  </r>
  <r>
    <x v="1"/>
    <x v="30"/>
    <s v="Non need-based"/>
    <m/>
    <m/>
    <x v="12"/>
    <m/>
    <m/>
    <m/>
    <m/>
    <m/>
    <m/>
    <m/>
    <m/>
    <n v="0"/>
    <m/>
    <m/>
    <n v="0"/>
    <n v="0"/>
    <n v="0"/>
    <n v="8220000"/>
    <n v="8552693"/>
    <m/>
    <m/>
    <n v="0"/>
    <m/>
    <m/>
    <n v="0"/>
    <m/>
    <m/>
    <m/>
    <m/>
    <m/>
    <m/>
    <n v="8220000"/>
    <n v="8552693"/>
  </r>
  <r>
    <x v="1"/>
    <x v="31"/>
    <s v="Amount to private sector students"/>
    <m/>
    <m/>
    <x v="12"/>
    <m/>
    <m/>
    <m/>
    <m/>
    <m/>
    <m/>
    <m/>
    <m/>
    <n v="0"/>
    <m/>
    <m/>
    <n v="0"/>
    <n v="0"/>
    <n v="0"/>
    <m/>
    <m/>
    <m/>
    <m/>
    <n v="0"/>
    <m/>
    <m/>
    <n v="0"/>
    <m/>
    <m/>
    <m/>
    <m/>
    <m/>
    <m/>
    <n v="0"/>
    <n v="0"/>
  </r>
  <r>
    <x v="1"/>
    <x v="32"/>
    <s v="Need-based"/>
    <m/>
    <m/>
    <x v="12"/>
    <m/>
    <m/>
    <m/>
    <m/>
    <m/>
    <m/>
    <m/>
    <m/>
    <n v="0"/>
    <m/>
    <m/>
    <n v="0"/>
    <n v="0"/>
    <n v="0"/>
    <m/>
    <m/>
    <m/>
    <m/>
    <n v="0"/>
    <m/>
    <m/>
    <n v="0"/>
    <m/>
    <m/>
    <m/>
    <m/>
    <m/>
    <m/>
    <n v="0"/>
    <n v="0"/>
  </r>
  <r>
    <x v="1"/>
    <x v="33"/>
    <s v="Non need-based"/>
    <m/>
    <m/>
    <x v="12"/>
    <m/>
    <m/>
    <m/>
    <m/>
    <m/>
    <m/>
    <m/>
    <m/>
    <n v="0"/>
    <m/>
    <m/>
    <n v="0"/>
    <n v="0"/>
    <n v="0"/>
    <n v="3820000"/>
    <n v="3888116"/>
    <m/>
    <m/>
    <n v="0"/>
    <m/>
    <m/>
    <n v="0"/>
    <m/>
    <m/>
    <m/>
    <m/>
    <m/>
    <m/>
    <n v="3820000"/>
    <n v="3888116"/>
  </r>
  <r>
    <x v="1"/>
    <x v="25"/>
    <s v="Arkansas Academic Challenge Scholarship"/>
    <m/>
    <m/>
    <x v="12"/>
    <m/>
    <m/>
    <m/>
    <m/>
    <m/>
    <m/>
    <m/>
    <m/>
    <n v="0"/>
    <m/>
    <m/>
    <n v="0"/>
    <n v="0"/>
    <n v="0"/>
    <m/>
    <m/>
    <m/>
    <m/>
    <n v="0"/>
    <m/>
    <m/>
    <n v="0"/>
    <m/>
    <m/>
    <m/>
    <m/>
    <m/>
    <m/>
    <n v="0"/>
    <n v="0"/>
  </r>
  <r>
    <x v="1"/>
    <x v="28"/>
    <s v="Amount to public sector students"/>
    <m/>
    <m/>
    <x v="12"/>
    <m/>
    <m/>
    <m/>
    <m/>
    <m/>
    <m/>
    <m/>
    <m/>
    <n v="0"/>
    <m/>
    <m/>
    <n v="0"/>
    <n v="0"/>
    <n v="0"/>
    <m/>
    <m/>
    <m/>
    <m/>
    <n v="0"/>
    <m/>
    <m/>
    <n v="0"/>
    <m/>
    <m/>
    <m/>
    <m/>
    <m/>
    <m/>
    <n v="0"/>
    <n v="0"/>
  </r>
  <r>
    <x v="1"/>
    <x v="29"/>
    <s v="Need-based"/>
    <m/>
    <m/>
    <x v="12"/>
    <m/>
    <m/>
    <m/>
    <m/>
    <m/>
    <m/>
    <m/>
    <m/>
    <n v="0"/>
    <m/>
    <m/>
    <n v="0"/>
    <n v="0"/>
    <n v="0"/>
    <m/>
    <m/>
    <m/>
    <m/>
    <n v="0"/>
    <m/>
    <m/>
    <n v="0"/>
    <m/>
    <m/>
    <m/>
    <m/>
    <m/>
    <m/>
    <n v="0"/>
    <n v="0"/>
  </r>
  <r>
    <x v="1"/>
    <x v="30"/>
    <s v="Non need-based"/>
    <m/>
    <m/>
    <x v="12"/>
    <m/>
    <m/>
    <m/>
    <m/>
    <m/>
    <m/>
    <m/>
    <m/>
    <n v="0"/>
    <m/>
    <m/>
    <n v="0"/>
    <n v="0"/>
    <n v="0"/>
    <n v="119500000"/>
    <n v="100877833"/>
    <m/>
    <m/>
    <n v="0"/>
    <m/>
    <m/>
    <n v="0"/>
    <m/>
    <m/>
    <m/>
    <m/>
    <m/>
    <m/>
    <n v="119500000"/>
    <n v="100877833"/>
  </r>
  <r>
    <x v="1"/>
    <x v="31"/>
    <s v="Amount to private sector students"/>
    <m/>
    <m/>
    <x v="12"/>
    <m/>
    <m/>
    <m/>
    <m/>
    <m/>
    <m/>
    <m/>
    <m/>
    <n v="0"/>
    <m/>
    <m/>
    <n v="0"/>
    <n v="0"/>
    <n v="0"/>
    <m/>
    <m/>
    <m/>
    <m/>
    <n v="0"/>
    <m/>
    <m/>
    <n v="0"/>
    <m/>
    <m/>
    <m/>
    <m/>
    <m/>
    <m/>
    <n v="0"/>
    <n v="0"/>
  </r>
  <r>
    <x v="1"/>
    <x v="32"/>
    <s v="Need-based"/>
    <m/>
    <m/>
    <x v="12"/>
    <m/>
    <m/>
    <m/>
    <m/>
    <m/>
    <m/>
    <m/>
    <m/>
    <n v="0"/>
    <m/>
    <m/>
    <n v="0"/>
    <n v="0"/>
    <n v="0"/>
    <m/>
    <m/>
    <m/>
    <m/>
    <n v="0"/>
    <m/>
    <m/>
    <n v="0"/>
    <m/>
    <m/>
    <m/>
    <m/>
    <m/>
    <m/>
    <n v="0"/>
    <n v="0"/>
  </r>
  <r>
    <x v="1"/>
    <x v="33"/>
    <s v="Non need-based"/>
    <m/>
    <m/>
    <x v="12"/>
    <m/>
    <m/>
    <m/>
    <m/>
    <m/>
    <m/>
    <m/>
    <m/>
    <n v="0"/>
    <m/>
    <m/>
    <n v="0"/>
    <n v="0"/>
    <n v="0"/>
    <n v="14500000"/>
    <n v="11897869"/>
    <m/>
    <m/>
    <n v="0"/>
    <m/>
    <m/>
    <n v="0"/>
    <m/>
    <m/>
    <m/>
    <m/>
    <m/>
    <m/>
    <n v="14500000"/>
    <n v="11897869"/>
  </r>
  <r>
    <x v="1"/>
    <x v="25"/>
    <s v="Higher Education Opportunities Grant (GO! Opportunities Grant)"/>
    <m/>
    <m/>
    <x v="12"/>
    <m/>
    <m/>
    <m/>
    <m/>
    <m/>
    <m/>
    <m/>
    <m/>
    <n v="0"/>
    <m/>
    <m/>
    <n v="0"/>
    <n v="0"/>
    <n v="0"/>
    <m/>
    <m/>
    <m/>
    <m/>
    <n v="0"/>
    <m/>
    <m/>
    <n v="0"/>
    <m/>
    <m/>
    <m/>
    <m/>
    <m/>
    <m/>
    <n v="0"/>
    <n v="0"/>
  </r>
  <r>
    <x v="1"/>
    <x v="28"/>
    <s v="Amount to public sector students"/>
    <m/>
    <m/>
    <x v="12"/>
    <m/>
    <m/>
    <m/>
    <m/>
    <m/>
    <m/>
    <m/>
    <m/>
    <n v="0"/>
    <m/>
    <m/>
    <n v="0"/>
    <n v="0"/>
    <n v="0"/>
    <m/>
    <m/>
    <m/>
    <m/>
    <n v="0"/>
    <m/>
    <m/>
    <n v="0"/>
    <m/>
    <m/>
    <m/>
    <m/>
    <m/>
    <m/>
    <n v="0"/>
    <n v="0"/>
  </r>
  <r>
    <x v="1"/>
    <x v="29"/>
    <s v="Need-based"/>
    <m/>
    <m/>
    <x v="12"/>
    <m/>
    <m/>
    <m/>
    <m/>
    <m/>
    <m/>
    <m/>
    <m/>
    <n v="0"/>
    <m/>
    <m/>
    <n v="0"/>
    <n v="0"/>
    <n v="0"/>
    <n v="5752824"/>
    <n v="4933211"/>
    <m/>
    <m/>
    <n v="0"/>
    <m/>
    <m/>
    <n v="0"/>
    <m/>
    <m/>
    <m/>
    <m/>
    <m/>
    <m/>
    <n v="5752824"/>
    <n v="4933211"/>
  </r>
  <r>
    <x v="1"/>
    <x v="30"/>
    <s v="Non need-based"/>
    <m/>
    <m/>
    <x v="12"/>
    <m/>
    <m/>
    <m/>
    <m/>
    <m/>
    <m/>
    <m/>
    <m/>
    <n v="0"/>
    <m/>
    <m/>
    <n v="0"/>
    <n v="0"/>
    <n v="0"/>
    <m/>
    <m/>
    <m/>
    <m/>
    <n v="0"/>
    <m/>
    <m/>
    <n v="0"/>
    <m/>
    <m/>
    <m/>
    <m/>
    <m/>
    <m/>
    <n v="0"/>
    <n v="0"/>
  </r>
  <r>
    <x v="1"/>
    <x v="31"/>
    <s v="Amount to private sector students"/>
    <m/>
    <m/>
    <x v="12"/>
    <m/>
    <m/>
    <m/>
    <m/>
    <m/>
    <m/>
    <m/>
    <m/>
    <n v="0"/>
    <m/>
    <m/>
    <n v="0"/>
    <n v="0"/>
    <n v="0"/>
    <m/>
    <m/>
    <m/>
    <m/>
    <n v="0"/>
    <m/>
    <m/>
    <n v="0"/>
    <m/>
    <m/>
    <m/>
    <m/>
    <m/>
    <m/>
    <n v="0"/>
    <n v="0"/>
  </r>
  <r>
    <x v="1"/>
    <x v="32"/>
    <s v="Need-based"/>
    <m/>
    <m/>
    <x v="12"/>
    <m/>
    <m/>
    <m/>
    <m/>
    <m/>
    <m/>
    <m/>
    <m/>
    <n v="0"/>
    <m/>
    <m/>
    <n v="0"/>
    <n v="0"/>
    <n v="0"/>
    <n v="269500"/>
    <n v="351165"/>
    <m/>
    <m/>
    <n v="0"/>
    <m/>
    <m/>
    <n v="0"/>
    <m/>
    <m/>
    <m/>
    <m/>
    <m/>
    <m/>
    <n v="269500"/>
    <n v="351165"/>
  </r>
  <r>
    <x v="1"/>
    <x v="33"/>
    <s v="Non need-based"/>
    <m/>
    <m/>
    <x v="12"/>
    <m/>
    <m/>
    <m/>
    <m/>
    <m/>
    <m/>
    <m/>
    <m/>
    <n v="0"/>
    <m/>
    <m/>
    <n v="0"/>
    <n v="0"/>
    <n v="0"/>
    <m/>
    <m/>
    <m/>
    <m/>
    <n v="0"/>
    <m/>
    <m/>
    <n v="0"/>
    <m/>
    <m/>
    <m/>
    <m/>
    <m/>
    <m/>
    <n v="0"/>
    <n v="0"/>
  </r>
  <r>
    <x v="1"/>
    <x v="25"/>
    <s v="Teacher Opportunity Program"/>
    <m/>
    <m/>
    <x v="12"/>
    <m/>
    <m/>
    <m/>
    <m/>
    <m/>
    <m/>
    <m/>
    <m/>
    <n v="0"/>
    <m/>
    <m/>
    <n v="0"/>
    <n v="0"/>
    <n v="0"/>
    <m/>
    <m/>
    <m/>
    <m/>
    <n v="0"/>
    <m/>
    <m/>
    <n v="0"/>
    <m/>
    <m/>
    <m/>
    <m/>
    <m/>
    <m/>
    <n v="0"/>
    <n v="0"/>
  </r>
  <r>
    <x v="1"/>
    <x v="28"/>
    <s v="Amount to public sector students"/>
    <m/>
    <m/>
    <x v="12"/>
    <m/>
    <m/>
    <m/>
    <m/>
    <m/>
    <m/>
    <m/>
    <m/>
    <n v="0"/>
    <m/>
    <m/>
    <n v="0"/>
    <n v="0"/>
    <n v="0"/>
    <m/>
    <m/>
    <m/>
    <m/>
    <n v="0"/>
    <m/>
    <m/>
    <n v="0"/>
    <m/>
    <m/>
    <m/>
    <m/>
    <m/>
    <m/>
    <n v="0"/>
    <n v="0"/>
  </r>
  <r>
    <x v="1"/>
    <x v="29"/>
    <s v="Need-based"/>
    <m/>
    <m/>
    <x v="12"/>
    <m/>
    <m/>
    <m/>
    <m/>
    <m/>
    <m/>
    <m/>
    <m/>
    <n v="0"/>
    <m/>
    <m/>
    <n v="0"/>
    <n v="0"/>
    <n v="0"/>
    <m/>
    <m/>
    <m/>
    <m/>
    <n v="0"/>
    <m/>
    <m/>
    <n v="0"/>
    <m/>
    <m/>
    <m/>
    <m/>
    <m/>
    <m/>
    <n v="0"/>
    <n v="0"/>
  </r>
  <r>
    <x v="1"/>
    <x v="30"/>
    <s v="Non need-based"/>
    <m/>
    <m/>
    <x v="12"/>
    <m/>
    <m/>
    <m/>
    <m/>
    <m/>
    <m/>
    <m/>
    <m/>
    <n v="0"/>
    <m/>
    <m/>
    <n v="0"/>
    <n v="0"/>
    <n v="0"/>
    <n v="1998870"/>
    <n v="1076484"/>
    <m/>
    <m/>
    <n v="0"/>
    <m/>
    <m/>
    <n v="0"/>
    <m/>
    <m/>
    <m/>
    <m/>
    <m/>
    <m/>
    <n v="1998870"/>
    <n v="1076484"/>
  </r>
  <r>
    <x v="1"/>
    <x v="31"/>
    <s v="Amount to private sector students"/>
    <m/>
    <m/>
    <x v="12"/>
    <m/>
    <m/>
    <m/>
    <m/>
    <m/>
    <m/>
    <m/>
    <m/>
    <n v="0"/>
    <m/>
    <m/>
    <n v="0"/>
    <n v="0"/>
    <n v="0"/>
    <m/>
    <m/>
    <m/>
    <m/>
    <n v="0"/>
    <m/>
    <m/>
    <n v="0"/>
    <m/>
    <m/>
    <m/>
    <m/>
    <m/>
    <m/>
    <n v="0"/>
    <n v="0"/>
  </r>
  <r>
    <x v="1"/>
    <x v="32"/>
    <s v="Need-based"/>
    <m/>
    <m/>
    <x v="12"/>
    <m/>
    <m/>
    <m/>
    <m/>
    <m/>
    <m/>
    <m/>
    <m/>
    <n v="0"/>
    <m/>
    <m/>
    <n v="0"/>
    <n v="0"/>
    <n v="0"/>
    <m/>
    <m/>
    <m/>
    <m/>
    <n v="0"/>
    <m/>
    <m/>
    <n v="0"/>
    <m/>
    <m/>
    <m/>
    <m/>
    <m/>
    <m/>
    <n v="0"/>
    <n v="0"/>
  </r>
  <r>
    <x v="1"/>
    <x v="33"/>
    <s v="Non need-based"/>
    <m/>
    <m/>
    <x v="12"/>
    <m/>
    <m/>
    <m/>
    <m/>
    <m/>
    <m/>
    <m/>
    <m/>
    <n v="0"/>
    <m/>
    <m/>
    <n v="0"/>
    <n v="0"/>
    <n v="0"/>
    <n v="0"/>
    <n v="0"/>
    <m/>
    <m/>
    <n v="0"/>
    <m/>
    <m/>
    <n v="0"/>
    <m/>
    <m/>
    <m/>
    <m/>
    <m/>
    <m/>
    <n v="0"/>
    <n v="0"/>
  </r>
  <r>
    <x v="1"/>
    <x v="25"/>
    <s v="Second Effort Scholarships"/>
    <m/>
    <m/>
    <x v="12"/>
    <m/>
    <m/>
    <m/>
    <m/>
    <m/>
    <m/>
    <m/>
    <m/>
    <n v="0"/>
    <m/>
    <m/>
    <n v="0"/>
    <n v="0"/>
    <n v="0"/>
    <m/>
    <m/>
    <m/>
    <m/>
    <n v="0"/>
    <m/>
    <m/>
    <n v="0"/>
    <m/>
    <m/>
    <m/>
    <m/>
    <m/>
    <m/>
    <n v="0"/>
    <n v="0"/>
  </r>
  <r>
    <x v="1"/>
    <x v="28"/>
    <s v="Amount to public sector students"/>
    <m/>
    <m/>
    <x v="12"/>
    <m/>
    <m/>
    <m/>
    <m/>
    <m/>
    <m/>
    <m/>
    <m/>
    <n v="0"/>
    <m/>
    <m/>
    <n v="0"/>
    <n v="0"/>
    <n v="0"/>
    <m/>
    <m/>
    <m/>
    <m/>
    <n v="0"/>
    <m/>
    <m/>
    <n v="0"/>
    <m/>
    <m/>
    <m/>
    <m/>
    <m/>
    <m/>
    <n v="0"/>
    <n v="0"/>
  </r>
  <r>
    <x v="1"/>
    <x v="29"/>
    <s v="Need-based"/>
    <m/>
    <m/>
    <x v="12"/>
    <m/>
    <m/>
    <m/>
    <m/>
    <m/>
    <m/>
    <m/>
    <m/>
    <n v="0"/>
    <m/>
    <m/>
    <n v="0"/>
    <n v="0"/>
    <n v="0"/>
    <m/>
    <m/>
    <m/>
    <m/>
    <n v="0"/>
    <m/>
    <m/>
    <n v="0"/>
    <m/>
    <m/>
    <m/>
    <m/>
    <m/>
    <m/>
    <n v="0"/>
    <n v="0"/>
  </r>
  <r>
    <x v="1"/>
    <x v="30"/>
    <s v="Non need-based"/>
    <m/>
    <m/>
    <x v="12"/>
    <m/>
    <m/>
    <m/>
    <m/>
    <m/>
    <m/>
    <m/>
    <m/>
    <n v="0"/>
    <m/>
    <m/>
    <n v="0"/>
    <n v="0"/>
    <n v="0"/>
    <n v="0"/>
    <n v="0"/>
    <m/>
    <m/>
    <n v="0"/>
    <m/>
    <m/>
    <n v="0"/>
    <m/>
    <m/>
    <m/>
    <m/>
    <m/>
    <m/>
    <n v="0"/>
    <n v="0"/>
  </r>
  <r>
    <x v="1"/>
    <x v="31"/>
    <s v="Amount to private sector students"/>
    <m/>
    <m/>
    <x v="12"/>
    <m/>
    <m/>
    <m/>
    <m/>
    <m/>
    <m/>
    <m/>
    <m/>
    <n v="0"/>
    <m/>
    <m/>
    <n v="0"/>
    <n v="0"/>
    <n v="0"/>
    <m/>
    <m/>
    <m/>
    <m/>
    <n v="0"/>
    <m/>
    <m/>
    <n v="0"/>
    <m/>
    <m/>
    <m/>
    <m/>
    <m/>
    <m/>
    <n v="0"/>
    <n v="0"/>
  </r>
  <r>
    <x v="1"/>
    <x v="32"/>
    <s v="Need-based"/>
    <m/>
    <m/>
    <x v="12"/>
    <m/>
    <m/>
    <m/>
    <m/>
    <m/>
    <m/>
    <m/>
    <m/>
    <n v="0"/>
    <m/>
    <m/>
    <n v="0"/>
    <n v="0"/>
    <n v="0"/>
    <m/>
    <m/>
    <m/>
    <m/>
    <n v="0"/>
    <m/>
    <m/>
    <n v="0"/>
    <m/>
    <m/>
    <m/>
    <m/>
    <m/>
    <m/>
    <n v="0"/>
    <n v="0"/>
  </r>
  <r>
    <x v="1"/>
    <x v="33"/>
    <s v="Non need-based"/>
    <m/>
    <m/>
    <x v="12"/>
    <m/>
    <m/>
    <m/>
    <m/>
    <m/>
    <m/>
    <m/>
    <m/>
    <n v="0"/>
    <m/>
    <m/>
    <n v="0"/>
    <n v="0"/>
    <n v="0"/>
    <m/>
    <m/>
    <m/>
    <m/>
    <n v="0"/>
    <m/>
    <m/>
    <n v="0"/>
    <m/>
    <m/>
    <m/>
    <m/>
    <m/>
    <m/>
    <n v="0"/>
    <n v="0"/>
  </r>
  <r>
    <x v="1"/>
    <x v="25"/>
    <s v="MIA/KIA Dependents' Scholarship"/>
    <m/>
    <m/>
    <x v="12"/>
    <m/>
    <m/>
    <m/>
    <m/>
    <m/>
    <m/>
    <m/>
    <m/>
    <n v="0"/>
    <m/>
    <m/>
    <n v="0"/>
    <n v="0"/>
    <n v="0"/>
    <m/>
    <m/>
    <m/>
    <m/>
    <n v="0"/>
    <m/>
    <m/>
    <n v="0"/>
    <m/>
    <m/>
    <m/>
    <m/>
    <m/>
    <m/>
    <n v="0"/>
    <n v="0"/>
  </r>
  <r>
    <x v="1"/>
    <x v="28"/>
    <s v="Amount to public sector students"/>
    <m/>
    <m/>
    <x v="12"/>
    <m/>
    <m/>
    <m/>
    <m/>
    <m/>
    <m/>
    <m/>
    <m/>
    <n v="0"/>
    <m/>
    <m/>
    <n v="0"/>
    <n v="0"/>
    <n v="0"/>
    <m/>
    <m/>
    <m/>
    <m/>
    <n v="0"/>
    <m/>
    <m/>
    <n v="0"/>
    <m/>
    <m/>
    <m/>
    <m/>
    <m/>
    <m/>
    <n v="0"/>
    <n v="0"/>
  </r>
  <r>
    <x v="1"/>
    <x v="29"/>
    <s v="Need-based"/>
    <m/>
    <m/>
    <x v="12"/>
    <m/>
    <m/>
    <m/>
    <m/>
    <m/>
    <m/>
    <m/>
    <m/>
    <n v="0"/>
    <m/>
    <m/>
    <n v="0"/>
    <n v="0"/>
    <n v="0"/>
    <m/>
    <m/>
    <m/>
    <m/>
    <n v="0"/>
    <m/>
    <m/>
    <n v="0"/>
    <m/>
    <m/>
    <m/>
    <m/>
    <m/>
    <m/>
    <n v="0"/>
    <n v="0"/>
  </r>
  <r>
    <x v="1"/>
    <x v="30"/>
    <s v="Non need-based"/>
    <m/>
    <m/>
    <x v="12"/>
    <m/>
    <m/>
    <m/>
    <m/>
    <m/>
    <m/>
    <m/>
    <m/>
    <n v="0"/>
    <m/>
    <m/>
    <n v="0"/>
    <n v="0"/>
    <n v="0"/>
    <n v="208511"/>
    <n v="364577"/>
    <m/>
    <m/>
    <n v="0"/>
    <m/>
    <m/>
    <n v="0"/>
    <m/>
    <m/>
    <m/>
    <m/>
    <m/>
    <m/>
    <n v="208511"/>
    <n v="364577"/>
  </r>
  <r>
    <x v="1"/>
    <x v="31"/>
    <s v="Amount to private sector students"/>
    <m/>
    <m/>
    <x v="12"/>
    <m/>
    <m/>
    <m/>
    <m/>
    <m/>
    <m/>
    <m/>
    <m/>
    <n v="0"/>
    <m/>
    <m/>
    <n v="0"/>
    <n v="0"/>
    <n v="0"/>
    <m/>
    <m/>
    <m/>
    <m/>
    <n v="0"/>
    <m/>
    <m/>
    <n v="0"/>
    <m/>
    <m/>
    <m/>
    <m/>
    <m/>
    <m/>
    <n v="0"/>
    <n v="0"/>
  </r>
  <r>
    <x v="1"/>
    <x v="32"/>
    <s v="Need-based"/>
    <m/>
    <m/>
    <x v="12"/>
    <m/>
    <m/>
    <m/>
    <m/>
    <m/>
    <m/>
    <m/>
    <m/>
    <n v="0"/>
    <m/>
    <m/>
    <n v="0"/>
    <n v="0"/>
    <n v="0"/>
    <m/>
    <m/>
    <m/>
    <m/>
    <n v="0"/>
    <m/>
    <m/>
    <n v="0"/>
    <m/>
    <m/>
    <m/>
    <m/>
    <m/>
    <m/>
    <n v="0"/>
    <n v="0"/>
  </r>
  <r>
    <x v="1"/>
    <x v="33"/>
    <s v="Non need-based"/>
    <m/>
    <m/>
    <x v="12"/>
    <m/>
    <m/>
    <m/>
    <m/>
    <m/>
    <m/>
    <m/>
    <m/>
    <n v="0"/>
    <m/>
    <m/>
    <n v="0"/>
    <n v="0"/>
    <n v="0"/>
    <m/>
    <m/>
    <m/>
    <m/>
    <n v="0"/>
    <m/>
    <m/>
    <n v="0"/>
    <m/>
    <m/>
    <m/>
    <m/>
    <m/>
    <m/>
    <n v="0"/>
    <n v="0"/>
  </r>
  <r>
    <x v="1"/>
    <x v="25"/>
    <s v="National Guard Scholarships"/>
    <m/>
    <m/>
    <x v="12"/>
    <m/>
    <m/>
    <m/>
    <m/>
    <m/>
    <m/>
    <m/>
    <m/>
    <n v="0"/>
    <m/>
    <m/>
    <n v="0"/>
    <n v="0"/>
    <n v="0"/>
    <m/>
    <m/>
    <m/>
    <m/>
    <n v="0"/>
    <m/>
    <m/>
    <n v="0"/>
    <m/>
    <m/>
    <m/>
    <m/>
    <m/>
    <m/>
    <n v="0"/>
    <n v="0"/>
  </r>
  <r>
    <x v="1"/>
    <x v="28"/>
    <s v="Amount to public sector students"/>
    <m/>
    <m/>
    <x v="12"/>
    <m/>
    <m/>
    <m/>
    <m/>
    <m/>
    <m/>
    <m/>
    <m/>
    <n v="0"/>
    <m/>
    <m/>
    <n v="0"/>
    <n v="0"/>
    <n v="0"/>
    <m/>
    <m/>
    <m/>
    <m/>
    <n v="0"/>
    <m/>
    <m/>
    <n v="0"/>
    <m/>
    <m/>
    <m/>
    <m/>
    <m/>
    <m/>
    <n v="0"/>
    <n v="0"/>
  </r>
  <r>
    <x v="1"/>
    <x v="29"/>
    <s v="Need-based"/>
    <m/>
    <m/>
    <x v="12"/>
    <m/>
    <m/>
    <m/>
    <m/>
    <m/>
    <m/>
    <m/>
    <m/>
    <n v="0"/>
    <m/>
    <m/>
    <n v="0"/>
    <n v="0"/>
    <n v="0"/>
    <m/>
    <m/>
    <m/>
    <m/>
    <n v="0"/>
    <m/>
    <m/>
    <n v="0"/>
    <m/>
    <m/>
    <m/>
    <m/>
    <m/>
    <m/>
    <n v="0"/>
    <n v="0"/>
  </r>
  <r>
    <x v="1"/>
    <x v="30"/>
    <s v="Non need-based"/>
    <m/>
    <m/>
    <x v="12"/>
    <m/>
    <m/>
    <m/>
    <m/>
    <m/>
    <m/>
    <m/>
    <m/>
    <n v="0"/>
    <m/>
    <m/>
    <n v="0"/>
    <n v="0"/>
    <n v="0"/>
    <n v="1497500"/>
    <n v="1235200"/>
    <m/>
    <m/>
    <n v="0"/>
    <m/>
    <m/>
    <n v="0"/>
    <m/>
    <m/>
    <m/>
    <m/>
    <m/>
    <m/>
    <n v="1497500"/>
    <n v="1235200"/>
  </r>
  <r>
    <x v="1"/>
    <x v="31"/>
    <s v="Amount to private sector students"/>
    <m/>
    <m/>
    <x v="12"/>
    <m/>
    <m/>
    <m/>
    <m/>
    <m/>
    <m/>
    <m/>
    <m/>
    <n v="0"/>
    <m/>
    <m/>
    <n v="0"/>
    <n v="0"/>
    <n v="0"/>
    <m/>
    <m/>
    <m/>
    <m/>
    <n v="0"/>
    <m/>
    <m/>
    <n v="0"/>
    <m/>
    <m/>
    <m/>
    <m/>
    <m/>
    <m/>
    <n v="0"/>
    <n v="0"/>
  </r>
  <r>
    <x v="1"/>
    <x v="32"/>
    <s v="Need-based"/>
    <m/>
    <m/>
    <x v="12"/>
    <m/>
    <m/>
    <m/>
    <m/>
    <m/>
    <m/>
    <m/>
    <m/>
    <n v="0"/>
    <m/>
    <m/>
    <n v="0"/>
    <n v="0"/>
    <n v="0"/>
    <m/>
    <m/>
    <m/>
    <m/>
    <n v="0"/>
    <m/>
    <m/>
    <n v="0"/>
    <m/>
    <m/>
    <m/>
    <m/>
    <m/>
    <m/>
    <n v="0"/>
    <n v="0"/>
  </r>
  <r>
    <x v="1"/>
    <x v="33"/>
    <s v="Non need-based"/>
    <m/>
    <m/>
    <x v="12"/>
    <m/>
    <m/>
    <m/>
    <m/>
    <m/>
    <m/>
    <m/>
    <m/>
    <n v="0"/>
    <m/>
    <m/>
    <n v="0"/>
    <n v="0"/>
    <n v="0"/>
    <n v="0"/>
    <n v="64800"/>
    <m/>
    <m/>
    <n v="0"/>
    <m/>
    <m/>
    <n v="0"/>
    <m/>
    <m/>
    <m/>
    <m/>
    <m/>
    <m/>
    <n v="0"/>
    <n v="64800"/>
  </r>
  <r>
    <x v="1"/>
    <x v="25"/>
    <s v="Junior/Senior Minority Scholarships"/>
    <m/>
    <m/>
    <x v="12"/>
    <m/>
    <m/>
    <m/>
    <m/>
    <m/>
    <m/>
    <m/>
    <m/>
    <n v="0"/>
    <m/>
    <m/>
    <n v="0"/>
    <n v="0"/>
    <n v="0"/>
    <m/>
    <m/>
    <m/>
    <m/>
    <n v="0"/>
    <m/>
    <m/>
    <n v="0"/>
    <m/>
    <m/>
    <m/>
    <m/>
    <m/>
    <m/>
    <n v="0"/>
    <n v="0"/>
  </r>
  <r>
    <x v="1"/>
    <x v="28"/>
    <s v="Amount to public sector students"/>
    <m/>
    <m/>
    <x v="12"/>
    <m/>
    <m/>
    <m/>
    <m/>
    <m/>
    <m/>
    <m/>
    <m/>
    <n v="0"/>
    <m/>
    <m/>
    <n v="0"/>
    <n v="0"/>
    <n v="0"/>
    <n v="0"/>
    <n v="0"/>
    <m/>
    <m/>
    <n v="0"/>
    <m/>
    <m/>
    <n v="0"/>
    <m/>
    <m/>
    <m/>
    <m/>
    <m/>
    <m/>
    <n v="0"/>
    <n v="0"/>
  </r>
  <r>
    <x v="1"/>
    <x v="29"/>
    <s v="Need-based"/>
    <m/>
    <m/>
    <x v="12"/>
    <m/>
    <m/>
    <m/>
    <m/>
    <m/>
    <m/>
    <m/>
    <m/>
    <n v="0"/>
    <m/>
    <m/>
    <n v="0"/>
    <n v="0"/>
    <n v="0"/>
    <m/>
    <m/>
    <m/>
    <m/>
    <n v="0"/>
    <m/>
    <m/>
    <n v="0"/>
    <m/>
    <m/>
    <m/>
    <m/>
    <m/>
    <m/>
    <n v="0"/>
    <n v="0"/>
  </r>
  <r>
    <x v="1"/>
    <x v="30"/>
    <s v="Non need-based"/>
    <m/>
    <m/>
    <x v="12"/>
    <m/>
    <m/>
    <m/>
    <m/>
    <m/>
    <m/>
    <m/>
    <m/>
    <n v="0"/>
    <m/>
    <m/>
    <n v="0"/>
    <n v="0"/>
    <n v="0"/>
    <m/>
    <m/>
    <m/>
    <m/>
    <n v="0"/>
    <m/>
    <m/>
    <n v="0"/>
    <m/>
    <m/>
    <m/>
    <m/>
    <m/>
    <m/>
    <n v="0"/>
    <n v="0"/>
  </r>
  <r>
    <x v="1"/>
    <x v="31"/>
    <s v="Amount to private sector students"/>
    <m/>
    <m/>
    <x v="12"/>
    <m/>
    <m/>
    <m/>
    <m/>
    <m/>
    <m/>
    <m/>
    <m/>
    <n v="0"/>
    <m/>
    <m/>
    <n v="0"/>
    <n v="0"/>
    <n v="0"/>
    <m/>
    <m/>
    <m/>
    <m/>
    <n v="0"/>
    <m/>
    <m/>
    <n v="0"/>
    <m/>
    <m/>
    <m/>
    <m/>
    <m/>
    <m/>
    <n v="0"/>
    <n v="0"/>
  </r>
  <r>
    <x v="1"/>
    <x v="32"/>
    <s v="Need-based"/>
    <m/>
    <m/>
    <x v="12"/>
    <m/>
    <m/>
    <m/>
    <m/>
    <m/>
    <m/>
    <m/>
    <m/>
    <n v="0"/>
    <m/>
    <m/>
    <n v="0"/>
    <n v="0"/>
    <n v="0"/>
    <m/>
    <m/>
    <m/>
    <m/>
    <n v="0"/>
    <m/>
    <m/>
    <n v="0"/>
    <m/>
    <m/>
    <m/>
    <m/>
    <m/>
    <m/>
    <n v="0"/>
    <n v="0"/>
  </r>
  <r>
    <x v="1"/>
    <x v="33"/>
    <s v="Non need-based"/>
    <m/>
    <m/>
    <x v="12"/>
    <m/>
    <m/>
    <m/>
    <m/>
    <m/>
    <m/>
    <m/>
    <m/>
    <n v="0"/>
    <m/>
    <m/>
    <n v="0"/>
    <n v="0"/>
    <n v="0"/>
    <m/>
    <m/>
    <m/>
    <m/>
    <n v="0"/>
    <m/>
    <m/>
    <n v="0"/>
    <m/>
    <m/>
    <m/>
    <m/>
    <m/>
    <m/>
    <n v="0"/>
    <n v="0"/>
  </r>
  <r>
    <x v="1"/>
    <x v="25"/>
    <s v="Minority Master's Fellows Program"/>
    <m/>
    <m/>
    <x v="12"/>
    <m/>
    <m/>
    <m/>
    <m/>
    <m/>
    <m/>
    <m/>
    <m/>
    <n v="0"/>
    <m/>
    <m/>
    <n v="0"/>
    <n v="0"/>
    <n v="0"/>
    <m/>
    <m/>
    <m/>
    <m/>
    <n v="0"/>
    <m/>
    <m/>
    <n v="0"/>
    <m/>
    <m/>
    <m/>
    <m/>
    <m/>
    <m/>
    <n v="0"/>
    <n v="0"/>
  </r>
  <r>
    <x v="1"/>
    <x v="28"/>
    <s v="Amount to public sector students"/>
    <m/>
    <m/>
    <x v="12"/>
    <m/>
    <m/>
    <m/>
    <m/>
    <m/>
    <m/>
    <m/>
    <m/>
    <n v="0"/>
    <m/>
    <m/>
    <n v="0"/>
    <n v="0"/>
    <n v="0"/>
    <m/>
    <m/>
    <m/>
    <m/>
    <n v="0"/>
    <m/>
    <m/>
    <n v="0"/>
    <m/>
    <m/>
    <m/>
    <m/>
    <m/>
    <m/>
    <n v="0"/>
    <n v="0"/>
  </r>
  <r>
    <x v="1"/>
    <x v="29"/>
    <s v="Need-based"/>
    <m/>
    <m/>
    <x v="12"/>
    <m/>
    <m/>
    <m/>
    <m/>
    <m/>
    <m/>
    <m/>
    <m/>
    <n v="0"/>
    <m/>
    <m/>
    <n v="0"/>
    <n v="0"/>
    <n v="0"/>
    <m/>
    <m/>
    <m/>
    <m/>
    <n v="0"/>
    <m/>
    <m/>
    <n v="0"/>
    <m/>
    <m/>
    <m/>
    <m/>
    <m/>
    <m/>
    <n v="0"/>
    <n v="0"/>
  </r>
  <r>
    <x v="1"/>
    <x v="30"/>
    <s v="Non need-based"/>
    <m/>
    <m/>
    <x v="12"/>
    <m/>
    <m/>
    <m/>
    <m/>
    <m/>
    <m/>
    <m/>
    <m/>
    <n v="0"/>
    <m/>
    <m/>
    <n v="0"/>
    <n v="0"/>
    <n v="0"/>
    <m/>
    <m/>
    <m/>
    <m/>
    <n v="0"/>
    <m/>
    <m/>
    <n v="0"/>
    <m/>
    <m/>
    <m/>
    <m/>
    <m/>
    <m/>
    <n v="0"/>
    <n v="0"/>
  </r>
  <r>
    <x v="1"/>
    <x v="31"/>
    <s v="Amount to private sector students"/>
    <m/>
    <m/>
    <x v="12"/>
    <m/>
    <m/>
    <m/>
    <m/>
    <m/>
    <m/>
    <m/>
    <m/>
    <n v="0"/>
    <m/>
    <m/>
    <n v="0"/>
    <n v="0"/>
    <n v="0"/>
    <m/>
    <m/>
    <m/>
    <m/>
    <n v="0"/>
    <m/>
    <m/>
    <n v="0"/>
    <m/>
    <m/>
    <m/>
    <m/>
    <m/>
    <m/>
    <n v="0"/>
    <n v="0"/>
  </r>
  <r>
    <x v="1"/>
    <x v="32"/>
    <s v="Need-based"/>
    <m/>
    <m/>
    <x v="12"/>
    <m/>
    <m/>
    <m/>
    <m/>
    <m/>
    <m/>
    <m/>
    <m/>
    <n v="0"/>
    <m/>
    <m/>
    <n v="0"/>
    <n v="0"/>
    <n v="0"/>
    <m/>
    <m/>
    <m/>
    <m/>
    <n v="0"/>
    <m/>
    <m/>
    <n v="0"/>
    <m/>
    <m/>
    <m/>
    <m/>
    <m/>
    <m/>
    <n v="0"/>
    <n v="0"/>
  </r>
  <r>
    <x v="1"/>
    <x v="33"/>
    <s v="Non need-based"/>
    <m/>
    <m/>
    <x v="12"/>
    <m/>
    <m/>
    <m/>
    <m/>
    <m/>
    <m/>
    <m/>
    <m/>
    <n v="0"/>
    <m/>
    <m/>
    <n v="0"/>
    <n v="0"/>
    <n v="0"/>
    <m/>
    <m/>
    <m/>
    <m/>
    <n v="0"/>
    <m/>
    <m/>
    <n v="0"/>
    <m/>
    <m/>
    <m/>
    <m/>
    <m/>
    <m/>
    <n v="0"/>
    <n v="0"/>
  </r>
  <r>
    <x v="1"/>
    <x v="25"/>
    <s v="SREB Doctoral Scholars Program"/>
    <m/>
    <m/>
    <x v="12"/>
    <m/>
    <m/>
    <m/>
    <m/>
    <m/>
    <m/>
    <m/>
    <m/>
    <n v="0"/>
    <m/>
    <m/>
    <n v="0"/>
    <n v="0"/>
    <n v="0"/>
    <m/>
    <m/>
    <m/>
    <m/>
    <n v="0"/>
    <m/>
    <m/>
    <n v="0"/>
    <m/>
    <m/>
    <m/>
    <m/>
    <m/>
    <m/>
    <n v="0"/>
    <n v="0"/>
  </r>
  <r>
    <x v="1"/>
    <x v="26"/>
    <s v="Need-based"/>
    <m/>
    <m/>
    <x v="12"/>
    <m/>
    <m/>
    <m/>
    <m/>
    <m/>
    <m/>
    <m/>
    <m/>
    <n v="0"/>
    <m/>
    <m/>
    <n v="0"/>
    <n v="0"/>
    <n v="0"/>
    <m/>
    <m/>
    <m/>
    <m/>
    <n v="0"/>
    <m/>
    <m/>
    <n v="0"/>
    <m/>
    <m/>
    <m/>
    <m/>
    <m/>
    <m/>
    <n v="0"/>
    <n v="0"/>
  </r>
  <r>
    <x v="1"/>
    <x v="27"/>
    <s v="Non need-based"/>
    <m/>
    <m/>
    <x v="12"/>
    <m/>
    <m/>
    <m/>
    <m/>
    <m/>
    <m/>
    <m/>
    <m/>
    <n v="0"/>
    <m/>
    <m/>
    <n v="0"/>
    <n v="0"/>
    <n v="0"/>
    <n v="200000"/>
    <n v="175000"/>
    <m/>
    <m/>
    <n v="0"/>
    <m/>
    <m/>
    <n v="0"/>
    <m/>
    <m/>
    <m/>
    <m/>
    <m/>
    <m/>
    <n v="200000"/>
    <n v="175000"/>
  </r>
  <r>
    <x v="1"/>
    <x v="28"/>
    <s v="Amount to public sector students"/>
    <m/>
    <m/>
    <x v="12"/>
    <m/>
    <m/>
    <m/>
    <m/>
    <m/>
    <m/>
    <m/>
    <m/>
    <n v="0"/>
    <m/>
    <m/>
    <n v="0"/>
    <n v="0"/>
    <n v="0"/>
    <m/>
    <m/>
    <m/>
    <m/>
    <n v="0"/>
    <m/>
    <m/>
    <n v="0"/>
    <m/>
    <m/>
    <m/>
    <m/>
    <m/>
    <m/>
    <n v="0"/>
    <n v="0"/>
  </r>
  <r>
    <x v="1"/>
    <x v="29"/>
    <s v="Need-based"/>
    <m/>
    <m/>
    <x v="12"/>
    <m/>
    <m/>
    <m/>
    <m/>
    <m/>
    <m/>
    <m/>
    <m/>
    <n v="0"/>
    <m/>
    <m/>
    <n v="0"/>
    <n v="0"/>
    <n v="0"/>
    <m/>
    <m/>
    <m/>
    <m/>
    <n v="0"/>
    <m/>
    <m/>
    <n v="0"/>
    <m/>
    <m/>
    <m/>
    <m/>
    <m/>
    <m/>
    <n v="0"/>
    <n v="0"/>
  </r>
  <r>
    <x v="1"/>
    <x v="30"/>
    <s v="Non need-based"/>
    <m/>
    <m/>
    <x v="12"/>
    <m/>
    <m/>
    <m/>
    <m/>
    <m/>
    <m/>
    <m/>
    <m/>
    <n v="0"/>
    <m/>
    <m/>
    <n v="0"/>
    <n v="0"/>
    <n v="0"/>
    <m/>
    <m/>
    <m/>
    <m/>
    <n v="0"/>
    <m/>
    <m/>
    <n v="0"/>
    <m/>
    <m/>
    <m/>
    <m/>
    <m/>
    <m/>
    <n v="0"/>
    <n v="0"/>
  </r>
  <r>
    <x v="1"/>
    <x v="31"/>
    <s v="Amount to private sector students"/>
    <m/>
    <m/>
    <x v="12"/>
    <m/>
    <m/>
    <m/>
    <m/>
    <m/>
    <m/>
    <m/>
    <m/>
    <n v="0"/>
    <m/>
    <m/>
    <n v="0"/>
    <n v="0"/>
    <n v="0"/>
    <m/>
    <m/>
    <m/>
    <m/>
    <n v="0"/>
    <m/>
    <m/>
    <n v="0"/>
    <m/>
    <m/>
    <m/>
    <m/>
    <m/>
    <m/>
    <n v="0"/>
    <n v="0"/>
  </r>
  <r>
    <x v="1"/>
    <x v="32"/>
    <s v="Need-based"/>
    <m/>
    <m/>
    <x v="12"/>
    <m/>
    <m/>
    <m/>
    <m/>
    <m/>
    <m/>
    <m/>
    <m/>
    <n v="0"/>
    <m/>
    <m/>
    <n v="0"/>
    <n v="0"/>
    <n v="0"/>
    <m/>
    <m/>
    <m/>
    <m/>
    <n v="0"/>
    <m/>
    <m/>
    <n v="0"/>
    <m/>
    <m/>
    <m/>
    <m/>
    <m/>
    <m/>
    <n v="0"/>
    <n v="0"/>
  </r>
  <r>
    <x v="1"/>
    <x v="33"/>
    <s v="Non need-based"/>
    <m/>
    <m/>
    <x v="12"/>
    <m/>
    <m/>
    <m/>
    <m/>
    <m/>
    <m/>
    <m/>
    <m/>
    <n v="0"/>
    <m/>
    <m/>
    <n v="0"/>
    <n v="0"/>
    <n v="0"/>
    <m/>
    <m/>
    <m/>
    <m/>
    <n v="0"/>
    <m/>
    <m/>
    <n v="0"/>
    <m/>
    <m/>
    <m/>
    <m/>
    <m/>
    <m/>
    <n v="0"/>
    <n v="0"/>
  </r>
  <r>
    <x v="1"/>
    <x v="25"/>
    <s v="Geographical Critical Needs Teacher Scholarship"/>
    <m/>
    <m/>
    <x v="12"/>
    <m/>
    <m/>
    <m/>
    <m/>
    <m/>
    <m/>
    <m/>
    <m/>
    <n v="0"/>
    <m/>
    <m/>
    <n v="0"/>
    <n v="0"/>
    <n v="0"/>
    <m/>
    <m/>
    <m/>
    <m/>
    <n v="0"/>
    <m/>
    <m/>
    <n v="0"/>
    <m/>
    <m/>
    <m/>
    <m/>
    <m/>
    <m/>
    <n v="0"/>
    <n v="0"/>
  </r>
  <r>
    <x v="1"/>
    <x v="28"/>
    <s v="Amount to public sector students"/>
    <m/>
    <m/>
    <x v="12"/>
    <m/>
    <m/>
    <m/>
    <m/>
    <m/>
    <m/>
    <m/>
    <m/>
    <n v="0"/>
    <m/>
    <m/>
    <n v="0"/>
    <n v="0"/>
    <n v="0"/>
    <m/>
    <m/>
    <m/>
    <m/>
    <n v="0"/>
    <m/>
    <m/>
    <n v="0"/>
    <m/>
    <m/>
    <m/>
    <m/>
    <m/>
    <m/>
    <n v="0"/>
    <n v="0"/>
  </r>
  <r>
    <x v="1"/>
    <x v="29"/>
    <s v="Need-based"/>
    <m/>
    <m/>
    <x v="12"/>
    <m/>
    <m/>
    <m/>
    <m/>
    <m/>
    <m/>
    <m/>
    <m/>
    <n v="0"/>
    <m/>
    <m/>
    <n v="0"/>
    <n v="0"/>
    <n v="0"/>
    <m/>
    <m/>
    <m/>
    <m/>
    <n v="0"/>
    <m/>
    <m/>
    <n v="0"/>
    <m/>
    <m/>
    <m/>
    <m/>
    <m/>
    <m/>
    <n v="0"/>
    <n v="0"/>
  </r>
  <r>
    <x v="1"/>
    <x v="30"/>
    <s v="Non need-based"/>
    <m/>
    <m/>
    <x v="12"/>
    <m/>
    <m/>
    <m/>
    <m/>
    <m/>
    <m/>
    <m/>
    <m/>
    <n v="0"/>
    <m/>
    <m/>
    <n v="0"/>
    <n v="0"/>
    <n v="0"/>
    <n v="36375"/>
    <n v="62250"/>
    <m/>
    <m/>
    <n v="0"/>
    <m/>
    <m/>
    <n v="0"/>
    <m/>
    <m/>
    <m/>
    <m/>
    <m/>
    <m/>
    <n v="36375"/>
    <n v="62250"/>
  </r>
  <r>
    <x v="1"/>
    <x v="31"/>
    <s v="Amount to private sector students"/>
    <m/>
    <m/>
    <x v="12"/>
    <m/>
    <m/>
    <m/>
    <m/>
    <m/>
    <m/>
    <m/>
    <m/>
    <n v="0"/>
    <m/>
    <m/>
    <n v="0"/>
    <n v="0"/>
    <n v="0"/>
    <m/>
    <m/>
    <m/>
    <m/>
    <n v="0"/>
    <m/>
    <m/>
    <n v="0"/>
    <m/>
    <m/>
    <m/>
    <m/>
    <m/>
    <m/>
    <n v="0"/>
    <n v="0"/>
  </r>
  <r>
    <x v="1"/>
    <x v="32"/>
    <s v="Need-based"/>
    <m/>
    <m/>
    <x v="12"/>
    <m/>
    <m/>
    <m/>
    <m/>
    <m/>
    <m/>
    <m/>
    <m/>
    <n v="0"/>
    <m/>
    <m/>
    <n v="0"/>
    <n v="0"/>
    <n v="0"/>
    <m/>
    <m/>
    <m/>
    <m/>
    <n v="0"/>
    <m/>
    <m/>
    <n v="0"/>
    <m/>
    <m/>
    <m/>
    <m/>
    <m/>
    <m/>
    <n v="0"/>
    <n v="0"/>
  </r>
  <r>
    <x v="1"/>
    <x v="33"/>
    <s v="Non need-based"/>
    <m/>
    <m/>
    <x v="12"/>
    <m/>
    <m/>
    <m/>
    <m/>
    <m/>
    <m/>
    <m/>
    <m/>
    <n v="0"/>
    <m/>
    <m/>
    <n v="0"/>
    <n v="0"/>
    <n v="0"/>
    <n v="0"/>
    <m/>
    <m/>
    <m/>
    <n v="0"/>
    <m/>
    <m/>
    <n v="0"/>
    <m/>
    <m/>
    <m/>
    <m/>
    <m/>
    <m/>
    <n v="0"/>
    <n v="0"/>
  </r>
  <r>
    <x v="1"/>
    <x v="25"/>
    <s v="Workforce Improvement Grant"/>
    <m/>
    <m/>
    <x v="12"/>
    <m/>
    <m/>
    <m/>
    <m/>
    <m/>
    <m/>
    <m/>
    <m/>
    <n v="0"/>
    <m/>
    <m/>
    <n v="0"/>
    <n v="0"/>
    <n v="0"/>
    <m/>
    <m/>
    <m/>
    <m/>
    <n v="0"/>
    <m/>
    <m/>
    <n v="0"/>
    <m/>
    <m/>
    <m/>
    <m/>
    <m/>
    <m/>
    <n v="0"/>
    <n v="0"/>
  </r>
  <r>
    <x v="1"/>
    <x v="28"/>
    <s v="Amount to public sector students"/>
    <m/>
    <m/>
    <x v="12"/>
    <m/>
    <m/>
    <m/>
    <m/>
    <m/>
    <m/>
    <m/>
    <m/>
    <n v="0"/>
    <m/>
    <m/>
    <n v="0"/>
    <n v="0"/>
    <n v="0"/>
    <m/>
    <m/>
    <m/>
    <m/>
    <n v="0"/>
    <m/>
    <m/>
    <n v="0"/>
    <m/>
    <m/>
    <m/>
    <m/>
    <m/>
    <m/>
    <n v="0"/>
    <n v="0"/>
  </r>
  <r>
    <x v="1"/>
    <x v="29"/>
    <s v="Need-based"/>
    <m/>
    <m/>
    <x v="12"/>
    <m/>
    <m/>
    <m/>
    <m/>
    <m/>
    <m/>
    <m/>
    <m/>
    <n v="0"/>
    <m/>
    <m/>
    <n v="0"/>
    <n v="0"/>
    <n v="0"/>
    <n v="3567900"/>
    <n v="2860036"/>
    <m/>
    <m/>
    <n v="0"/>
    <m/>
    <m/>
    <n v="0"/>
    <m/>
    <m/>
    <m/>
    <m/>
    <m/>
    <m/>
    <n v="3567900"/>
    <n v="2860036"/>
  </r>
  <r>
    <x v="1"/>
    <x v="30"/>
    <s v="Non need-based"/>
    <m/>
    <m/>
    <x v="12"/>
    <m/>
    <m/>
    <m/>
    <m/>
    <m/>
    <m/>
    <m/>
    <m/>
    <n v="0"/>
    <m/>
    <m/>
    <n v="0"/>
    <n v="0"/>
    <n v="0"/>
    <m/>
    <m/>
    <m/>
    <m/>
    <n v="0"/>
    <m/>
    <m/>
    <n v="0"/>
    <m/>
    <m/>
    <m/>
    <m/>
    <m/>
    <m/>
    <n v="0"/>
    <n v="0"/>
  </r>
  <r>
    <x v="1"/>
    <x v="31"/>
    <s v="Amount to private sector students"/>
    <m/>
    <s v=" "/>
    <x v="12"/>
    <m/>
    <m/>
    <m/>
    <m/>
    <m/>
    <m/>
    <m/>
    <m/>
    <n v="0"/>
    <m/>
    <m/>
    <n v="0"/>
    <n v="0"/>
    <n v="0"/>
    <m/>
    <m/>
    <m/>
    <m/>
    <n v="0"/>
    <m/>
    <m/>
    <n v="0"/>
    <m/>
    <m/>
    <m/>
    <m/>
    <m/>
    <m/>
    <n v="0"/>
    <n v="0"/>
  </r>
  <r>
    <x v="1"/>
    <x v="32"/>
    <s v="Need-based"/>
    <m/>
    <m/>
    <x v="12"/>
    <m/>
    <m/>
    <m/>
    <m/>
    <m/>
    <m/>
    <m/>
    <m/>
    <n v="0"/>
    <m/>
    <m/>
    <n v="0"/>
    <n v="0"/>
    <n v="0"/>
    <n v="115500"/>
    <n v="138814"/>
    <m/>
    <m/>
    <n v="0"/>
    <m/>
    <m/>
    <n v="0"/>
    <m/>
    <m/>
    <m/>
    <m/>
    <m/>
    <m/>
    <n v="115500"/>
    <n v="138814"/>
  </r>
  <r>
    <x v="1"/>
    <x v="33"/>
    <s v="Non need-based"/>
    <m/>
    <m/>
    <x v="12"/>
    <m/>
    <m/>
    <m/>
    <m/>
    <m/>
    <m/>
    <m/>
    <m/>
    <n v="0"/>
    <m/>
    <m/>
    <n v="0"/>
    <n v="0"/>
    <n v="0"/>
    <m/>
    <m/>
    <m/>
    <m/>
    <n v="0"/>
    <m/>
    <m/>
    <n v="0"/>
    <m/>
    <m/>
    <m/>
    <m/>
    <m/>
    <m/>
    <n v="0"/>
    <n v="0"/>
  </r>
  <r>
    <x v="1"/>
    <x v="25"/>
    <s v="State Teacher Education Program"/>
    <m/>
    <m/>
    <x v="12"/>
    <m/>
    <m/>
    <m/>
    <m/>
    <m/>
    <m/>
    <m/>
    <m/>
    <n v="0"/>
    <m/>
    <m/>
    <n v="0"/>
    <n v="0"/>
    <n v="0"/>
    <m/>
    <m/>
    <m/>
    <m/>
    <n v="0"/>
    <m/>
    <m/>
    <n v="0"/>
    <m/>
    <m/>
    <m/>
    <m/>
    <m/>
    <m/>
    <n v="0"/>
    <n v="0"/>
  </r>
  <r>
    <x v="1"/>
    <x v="28"/>
    <s v="Amount to public sector students"/>
    <m/>
    <m/>
    <x v="12"/>
    <m/>
    <m/>
    <m/>
    <m/>
    <m/>
    <m/>
    <m/>
    <m/>
    <n v="0"/>
    <m/>
    <m/>
    <n v="0"/>
    <n v="0"/>
    <n v="0"/>
    <m/>
    <n v="1076142"/>
    <m/>
    <m/>
    <n v="0"/>
    <m/>
    <m/>
    <n v="0"/>
    <m/>
    <m/>
    <m/>
    <m/>
    <m/>
    <m/>
    <n v="0"/>
    <n v="1076142"/>
  </r>
  <r>
    <x v="1"/>
    <x v="29"/>
    <s v="Need-based"/>
    <m/>
    <m/>
    <x v="12"/>
    <m/>
    <m/>
    <m/>
    <m/>
    <m/>
    <m/>
    <m/>
    <m/>
    <n v="0"/>
    <m/>
    <m/>
    <n v="0"/>
    <n v="0"/>
    <n v="0"/>
    <m/>
    <m/>
    <m/>
    <m/>
    <n v="0"/>
    <m/>
    <m/>
    <n v="0"/>
    <m/>
    <m/>
    <m/>
    <m/>
    <m/>
    <m/>
    <n v="0"/>
    <n v="0"/>
  </r>
  <r>
    <x v="1"/>
    <x v="30"/>
    <s v="Non need-based"/>
    <m/>
    <m/>
    <x v="12"/>
    <m/>
    <m/>
    <m/>
    <m/>
    <m/>
    <m/>
    <m/>
    <m/>
    <n v="0"/>
    <m/>
    <m/>
    <n v="0"/>
    <n v="0"/>
    <n v="0"/>
    <m/>
    <m/>
    <m/>
    <m/>
    <n v="0"/>
    <m/>
    <m/>
    <n v="0"/>
    <m/>
    <m/>
    <m/>
    <m/>
    <m/>
    <m/>
    <n v="0"/>
    <n v="0"/>
  </r>
  <r>
    <x v="1"/>
    <x v="31"/>
    <s v="Amount to private sector students"/>
    <m/>
    <m/>
    <x v="12"/>
    <m/>
    <m/>
    <m/>
    <m/>
    <m/>
    <m/>
    <m/>
    <m/>
    <n v="0"/>
    <m/>
    <m/>
    <n v="0"/>
    <n v="0"/>
    <n v="0"/>
    <m/>
    <m/>
    <m/>
    <m/>
    <n v="0"/>
    <m/>
    <m/>
    <n v="0"/>
    <m/>
    <m/>
    <m/>
    <m/>
    <m/>
    <m/>
    <n v="0"/>
    <n v="0"/>
  </r>
  <r>
    <x v="1"/>
    <x v="32"/>
    <s v="Need-based"/>
    <m/>
    <m/>
    <x v="12"/>
    <m/>
    <m/>
    <m/>
    <m/>
    <m/>
    <m/>
    <m/>
    <m/>
    <n v="0"/>
    <m/>
    <m/>
    <n v="0"/>
    <n v="0"/>
    <n v="0"/>
    <m/>
    <m/>
    <m/>
    <m/>
    <n v="0"/>
    <m/>
    <m/>
    <n v="0"/>
    <m/>
    <m/>
    <m/>
    <m/>
    <m/>
    <m/>
    <n v="0"/>
    <n v="0"/>
  </r>
  <r>
    <x v="1"/>
    <x v="33"/>
    <s v="Non need-based"/>
    <m/>
    <m/>
    <x v="12"/>
    <m/>
    <m/>
    <m/>
    <m/>
    <m/>
    <m/>
    <m/>
    <m/>
    <n v="0"/>
    <m/>
    <m/>
    <n v="0"/>
    <n v="0"/>
    <n v="0"/>
    <m/>
    <m/>
    <m/>
    <m/>
    <n v="0"/>
    <m/>
    <m/>
    <n v="0"/>
    <m/>
    <m/>
    <m/>
    <m/>
    <m/>
    <m/>
    <n v="0"/>
    <n v="0"/>
  </r>
  <r>
    <x v="1"/>
    <x v="34"/>
    <s v="Limited to public college students only"/>
    <m/>
    <m/>
    <x v="12"/>
    <m/>
    <m/>
    <m/>
    <m/>
    <m/>
    <m/>
    <m/>
    <m/>
    <n v="0"/>
    <m/>
    <m/>
    <n v="0"/>
    <n v="0"/>
    <n v="0"/>
    <m/>
    <m/>
    <m/>
    <m/>
    <n v="0"/>
    <m/>
    <m/>
    <n v="0"/>
    <m/>
    <m/>
    <m/>
    <m/>
    <m/>
    <m/>
    <n v="0"/>
    <n v="0"/>
  </r>
  <r>
    <x v="1"/>
    <x v="34"/>
    <s v="Surviving Chidren of Law Enforcement Offs."/>
    <m/>
    <m/>
    <x v="12"/>
    <m/>
    <m/>
    <m/>
    <m/>
    <m/>
    <m/>
    <m/>
    <m/>
    <n v="0"/>
    <m/>
    <m/>
    <n v="0"/>
    <n v="0"/>
    <n v="0"/>
    <m/>
    <m/>
    <m/>
    <m/>
    <n v="0"/>
    <m/>
    <m/>
    <n v="0"/>
    <m/>
    <m/>
    <m/>
    <m/>
    <m/>
    <m/>
    <n v="0"/>
    <n v="0"/>
  </r>
  <r>
    <x v="1"/>
    <x v="35"/>
    <s v="Need-based"/>
    <m/>
    <m/>
    <x v="12"/>
    <m/>
    <m/>
    <m/>
    <m/>
    <m/>
    <m/>
    <m/>
    <m/>
    <n v="0"/>
    <m/>
    <m/>
    <n v="0"/>
    <n v="0"/>
    <n v="0"/>
    <m/>
    <m/>
    <m/>
    <m/>
    <n v="0"/>
    <m/>
    <m/>
    <n v="0"/>
    <m/>
    <m/>
    <m/>
    <m/>
    <m/>
    <m/>
    <n v="0"/>
    <n v="0"/>
  </r>
  <r>
    <x v="1"/>
    <x v="36"/>
    <s v="Non need-based"/>
    <m/>
    <m/>
    <x v="12"/>
    <m/>
    <m/>
    <m/>
    <m/>
    <m/>
    <m/>
    <m/>
    <m/>
    <n v="0"/>
    <m/>
    <m/>
    <n v="0"/>
    <n v="0"/>
    <n v="0"/>
    <n v="276187"/>
    <n v="252849"/>
    <m/>
    <m/>
    <n v="0"/>
    <m/>
    <m/>
    <n v="0"/>
    <m/>
    <m/>
    <m/>
    <m/>
    <m/>
    <m/>
    <n v="276187"/>
    <n v="252849"/>
  </r>
  <r>
    <x v="2"/>
    <x v="0"/>
    <s v="University of Delaware"/>
    <m/>
    <n v="130943"/>
    <x v="0"/>
    <n v="114274900"/>
    <n v="117784700"/>
    <m/>
    <m/>
    <m/>
    <m/>
    <n v="482645088"/>
    <n v="0"/>
    <n v="482645088"/>
    <n v="510269870"/>
    <n v="0"/>
    <n v="510269870"/>
    <n v="596919988"/>
    <n v="628054570"/>
    <m/>
    <m/>
    <m/>
    <m/>
    <n v="0"/>
    <m/>
    <m/>
    <n v="0"/>
    <m/>
    <m/>
    <m/>
    <m/>
    <m/>
    <m/>
    <n v="596919988"/>
    <n v="628054570"/>
  </r>
  <r>
    <x v="2"/>
    <x v="3"/>
    <s v="Community/Public Service"/>
    <m/>
    <n v="130943"/>
    <x v="0"/>
    <m/>
    <m/>
    <m/>
    <m/>
    <m/>
    <m/>
    <m/>
    <m/>
    <n v="0"/>
    <m/>
    <m/>
    <n v="0"/>
    <n v="0"/>
    <n v="0"/>
    <m/>
    <m/>
    <m/>
    <m/>
    <n v="0"/>
    <m/>
    <m/>
    <n v="0"/>
    <m/>
    <m/>
    <m/>
    <m/>
    <m/>
    <m/>
    <n v="0"/>
    <n v="0"/>
  </r>
  <r>
    <x v="2"/>
    <x v="3"/>
    <s v="The College School"/>
    <m/>
    <n v="130943"/>
    <x v="0"/>
    <m/>
    <m/>
    <n v="95000"/>
    <n v="96200"/>
    <m/>
    <m/>
    <m/>
    <m/>
    <n v="0"/>
    <m/>
    <m/>
    <n v="0"/>
    <n v="95000"/>
    <n v="96200"/>
    <m/>
    <m/>
    <m/>
    <m/>
    <n v="0"/>
    <m/>
    <m/>
    <n v="0"/>
    <m/>
    <m/>
    <m/>
    <m/>
    <m/>
    <m/>
    <n v="95000"/>
    <n v="96200"/>
  </r>
  <r>
    <x v="2"/>
    <x v="5"/>
    <s v="Agricultural cooperative extension"/>
    <m/>
    <n v="130943"/>
    <x v="0"/>
    <m/>
    <m/>
    <n v="2308076"/>
    <n v="1774625"/>
    <m/>
    <m/>
    <m/>
    <m/>
    <n v="0"/>
    <m/>
    <m/>
    <n v="0"/>
    <n v="2308076"/>
    <n v="1774625"/>
    <m/>
    <m/>
    <m/>
    <m/>
    <n v="0"/>
    <m/>
    <m/>
    <n v="0"/>
    <m/>
    <m/>
    <m/>
    <m/>
    <m/>
    <m/>
    <n v="2308076"/>
    <n v="1774625"/>
  </r>
  <r>
    <x v="2"/>
    <x v="6"/>
    <s v="Agricultural experiment stations"/>
    <m/>
    <n v="130943"/>
    <x v="0"/>
    <m/>
    <m/>
    <n v="2602724"/>
    <n v="653400"/>
    <m/>
    <m/>
    <m/>
    <m/>
    <n v="0"/>
    <m/>
    <m/>
    <n v="0"/>
    <n v="2602724"/>
    <n v="653400"/>
    <m/>
    <m/>
    <m/>
    <m/>
    <n v="0"/>
    <m/>
    <m/>
    <n v="0"/>
    <m/>
    <m/>
    <m/>
    <m/>
    <m/>
    <m/>
    <n v="2602724"/>
    <n v="653400"/>
  </r>
  <r>
    <x v="2"/>
    <x v="7"/>
    <s v="Research centers/institutes"/>
    <m/>
    <n v="130943"/>
    <x v="0"/>
    <m/>
    <m/>
    <m/>
    <m/>
    <m/>
    <m/>
    <m/>
    <m/>
    <n v="0"/>
    <m/>
    <m/>
    <n v="0"/>
    <n v="0"/>
    <n v="0"/>
    <m/>
    <m/>
    <m/>
    <m/>
    <n v="0"/>
    <m/>
    <m/>
    <n v="0"/>
    <m/>
    <m/>
    <m/>
    <m/>
    <m/>
    <m/>
    <n v="0"/>
    <n v="0"/>
  </r>
  <r>
    <x v="2"/>
    <x v="7"/>
    <s v="Delaware Biotech Institute Operating Funds"/>
    <m/>
    <n v="130943"/>
    <x v="0"/>
    <m/>
    <m/>
    <n v="502900"/>
    <n v="518200"/>
    <m/>
    <m/>
    <m/>
    <m/>
    <n v="0"/>
    <m/>
    <m/>
    <n v="0"/>
    <n v="502900"/>
    <n v="518200"/>
    <m/>
    <m/>
    <m/>
    <m/>
    <n v="0"/>
    <m/>
    <m/>
    <n v="0"/>
    <m/>
    <m/>
    <m/>
    <m/>
    <m/>
    <m/>
    <n v="502900"/>
    <n v="518200"/>
  </r>
  <r>
    <x v="2"/>
    <x v="7"/>
    <s v="Sea Grant"/>
    <m/>
    <n v="130943"/>
    <x v="0"/>
    <m/>
    <m/>
    <n v="617500"/>
    <n v="570236"/>
    <m/>
    <m/>
    <m/>
    <m/>
    <n v="0"/>
    <m/>
    <m/>
    <n v="0"/>
    <n v="617500"/>
    <n v="570236"/>
    <m/>
    <m/>
    <m/>
    <m/>
    <n v="0"/>
    <m/>
    <m/>
    <n v="0"/>
    <m/>
    <m/>
    <m/>
    <m/>
    <m/>
    <m/>
    <n v="617500"/>
    <n v="570236"/>
  </r>
  <r>
    <x v="2"/>
    <x v="7"/>
    <s v="Urban Agent"/>
    <m/>
    <n v="130943"/>
    <x v="0"/>
    <m/>
    <m/>
    <n v="115300"/>
    <n v="115300"/>
    <m/>
    <m/>
    <m/>
    <m/>
    <n v="0"/>
    <m/>
    <m/>
    <n v="0"/>
    <n v="115300"/>
    <n v="115300"/>
    <m/>
    <m/>
    <m/>
    <m/>
    <n v="0"/>
    <m/>
    <m/>
    <n v="0"/>
    <m/>
    <m/>
    <m/>
    <m/>
    <m/>
    <m/>
    <n v="115300"/>
    <n v="115300"/>
  </r>
  <r>
    <x v="2"/>
    <x v="7"/>
    <s v="Public Service &amp; Applied Research Projects"/>
    <m/>
    <n v="130943"/>
    <x v="0"/>
    <m/>
    <m/>
    <n v="256600"/>
    <n v="256600"/>
    <m/>
    <m/>
    <m/>
    <m/>
    <n v="0"/>
    <m/>
    <m/>
    <n v="0"/>
    <n v="256600"/>
    <n v="256600"/>
    <m/>
    <m/>
    <m/>
    <m/>
    <n v="0"/>
    <m/>
    <m/>
    <n v="0"/>
    <m/>
    <m/>
    <m/>
    <m/>
    <m/>
    <m/>
    <n v="256600"/>
    <n v="256600"/>
  </r>
  <r>
    <x v="2"/>
    <x v="7"/>
    <s v="Local Government Research &amp; Assistance"/>
    <m/>
    <n v="130943"/>
    <x v="0"/>
    <m/>
    <m/>
    <n v="202900"/>
    <n v="202900"/>
    <m/>
    <m/>
    <m/>
    <m/>
    <n v="0"/>
    <m/>
    <m/>
    <n v="0"/>
    <n v="202900"/>
    <n v="202900"/>
    <m/>
    <m/>
    <m/>
    <m/>
    <n v="0"/>
    <m/>
    <m/>
    <n v="0"/>
    <m/>
    <m/>
    <m/>
    <m/>
    <m/>
    <m/>
    <n v="202900"/>
    <n v="202900"/>
  </r>
  <r>
    <x v="2"/>
    <x v="7"/>
    <s v="Research on School Finance"/>
    <m/>
    <n v="130943"/>
    <x v="0"/>
    <m/>
    <m/>
    <n v="76900"/>
    <n v="76900"/>
    <m/>
    <m/>
    <m/>
    <m/>
    <n v="0"/>
    <m/>
    <m/>
    <n v="0"/>
    <n v="76900"/>
    <n v="76900"/>
    <m/>
    <m/>
    <m/>
    <m/>
    <n v="0"/>
    <m/>
    <m/>
    <n v="0"/>
    <m/>
    <m/>
    <m/>
    <m/>
    <m/>
    <m/>
    <n v="76900"/>
    <n v="76900"/>
  </r>
  <r>
    <x v="2"/>
    <x v="7"/>
    <s v="Delaware Education Research &amp; Development Center"/>
    <m/>
    <n v="130943"/>
    <x v="0"/>
    <m/>
    <m/>
    <n v="239700"/>
    <n v="241700"/>
    <m/>
    <m/>
    <m/>
    <m/>
    <n v="0"/>
    <m/>
    <m/>
    <n v="0"/>
    <n v="239700"/>
    <n v="241700"/>
    <m/>
    <m/>
    <m/>
    <m/>
    <n v="0"/>
    <m/>
    <m/>
    <n v="0"/>
    <m/>
    <m/>
    <m/>
    <m/>
    <m/>
    <m/>
    <n v="239700"/>
    <n v="241700"/>
  </r>
  <r>
    <x v="2"/>
    <x v="7"/>
    <s v="Geological Survey"/>
    <m/>
    <n v="130943"/>
    <x v="0"/>
    <m/>
    <m/>
    <n v="1739500"/>
    <n v="1838400"/>
    <m/>
    <m/>
    <m/>
    <m/>
    <n v="0"/>
    <m/>
    <m/>
    <n v="0"/>
    <n v="1739500"/>
    <n v="1838400"/>
    <m/>
    <m/>
    <m/>
    <m/>
    <n v="0"/>
    <m/>
    <m/>
    <n v="0"/>
    <m/>
    <m/>
    <m/>
    <m/>
    <m/>
    <m/>
    <n v="1739500"/>
    <n v="1838400"/>
  </r>
  <r>
    <x v="2"/>
    <x v="0"/>
    <s v="Delaware State University"/>
    <m/>
    <n v="130934"/>
    <x v="2"/>
    <n v="32773400"/>
    <n v="34327800"/>
    <m/>
    <m/>
    <m/>
    <m/>
    <n v="43477739"/>
    <n v="1495622"/>
    <n v="44973361"/>
    <n v="49121388"/>
    <n v="1519800"/>
    <n v="50641188"/>
    <n v="76251139"/>
    <n v="83449188"/>
    <m/>
    <m/>
    <m/>
    <m/>
    <n v="0"/>
    <m/>
    <m/>
    <n v="0"/>
    <m/>
    <m/>
    <m/>
    <m/>
    <m/>
    <m/>
    <n v="76251139"/>
    <n v="83449188"/>
  </r>
  <r>
    <x v="2"/>
    <x v="0"/>
    <s v="Delaware Technical and Community College--Stanton-Wilmington"/>
    <s v="Met the criteria for Two-Year 2 in 2013-14."/>
    <n v="130916"/>
    <x v="6"/>
    <n v="29204100"/>
    <n v="30761700"/>
    <m/>
    <m/>
    <m/>
    <m/>
    <n v="22955100"/>
    <m/>
    <n v="22955100"/>
    <n v="23638600"/>
    <m/>
    <n v="23638600"/>
    <n v="52159200"/>
    <n v="54400300"/>
    <m/>
    <m/>
    <m/>
    <m/>
    <n v="0"/>
    <m/>
    <m/>
    <n v="0"/>
    <m/>
    <m/>
    <m/>
    <m/>
    <m/>
    <m/>
    <n v="52159200"/>
    <n v="54400300"/>
  </r>
  <r>
    <x v="2"/>
    <x v="0"/>
    <s v="Delaware Technical and Community College--Owens"/>
    <m/>
    <n v="130891"/>
    <x v="7"/>
    <n v="17254100"/>
    <n v="18515300"/>
    <m/>
    <m/>
    <m/>
    <m/>
    <n v="14560700"/>
    <m/>
    <n v="14560700"/>
    <n v="14332600"/>
    <m/>
    <n v="14332600"/>
    <n v="31814800"/>
    <n v="32847900"/>
    <m/>
    <m/>
    <m/>
    <m/>
    <n v="0"/>
    <m/>
    <m/>
    <n v="0"/>
    <m/>
    <m/>
    <m/>
    <m/>
    <m/>
    <m/>
    <n v="31814800"/>
    <n v="32847900"/>
  </r>
  <r>
    <x v="2"/>
    <x v="0"/>
    <s v="Delaware Technical and Community College--Terry"/>
    <m/>
    <n v="130907"/>
    <x v="7"/>
    <n v="11095800"/>
    <n v="12352400"/>
    <m/>
    <m/>
    <m/>
    <m/>
    <n v="9695700"/>
    <m/>
    <n v="9695700"/>
    <n v="10245200"/>
    <m/>
    <n v="10245200"/>
    <n v="20791500"/>
    <n v="22597600"/>
    <m/>
    <m/>
    <m/>
    <m/>
    <n v="0"/>
    <m/>
    <m/>
    <n v="0"/>
    <m/>
    <m/>
    <m/>
    <m/>
    <m/>
    <m/>
    <n v="20791500"/>
    <n v="22597600"/>
  </r>
  <r>
    <x v="2"/>
    <x v="13"/>
    <s v="Educational special-purpose funds-- all other"/>
    <m/>
    <m/>
    <x v="12"/>
    <m/>
    <m/>
    <m/>
    <m/>
    <m/>
    <m/>
    <m/>
    <m/>
    <n v="0"/>
    <m/>
    <m/>
    <n v="0"/>
    <n v="0"/>
    <n v="0"/>
    <m/>
    <m/>
    <m/>
    <m/>
    <n v="0"/>
    <m/>
    <m/>
    <n v="0"/>
    <m/>
    <m/>
    <m/>
    <m/>
    <m/>
    <m/>
    <n v="0"/>
    <n v="0"/>
  </r>
  <r>
    <x v="2"/>
    <x v="13"/>
    <s v="Matching Funds Minority Engineering Recruitment"/>
    <m/>
    <m/>
    <x v="12"/>
    <m/>
    <m/>
    <m/>
    <m/>
    <m/>
    <m/>
    <m/>
    <m/>
    <n v="0"/>
    <m/>
    <m/>
    <n v="0"/>
    <n v="0"/>
    <n v="0"/>
    <m/>
    <m/>
    <m/>
    <m/>
    <n v="0"/>
    <m/>
    <m/>
    <n v="0"/>
    <m/>
    <m/>
    <m/>
    <m/>
    <m/>
    <m/>
    <n v="0"/>
    <n v="0"/>
  </r>
  <r>
    <x v="2"/>
    <x v="13"/>
    <s v="Matching Funds; Advancement of Minorities in Engineering"/>
    <m/>
    <m/>
    <x v="12"/>
    <m/>
    <m/>
    <m/>
    <m/>
    <m/>
    <m/>
    <m/>
    <m/>
    <n v="0"/>
    <m/>
    <m/>
    <n v="0"/>
    <n v="0"/>
    <n v="0"/>
    <m/>
    <m/>
    <m/>
    <m/>
    <n v="0"/>
    <m/>
    <m/>
    <n v="0"/>
    <m/>
    <m/>
    <m/>
    <m/>
    <m/>
    <m/>
    <n v="0"/>
    <n v="0"/>
  </r>
  <r>
    <x v="2"/>
    <x v="13"/>
    <s v="Associate in Arts Program (joint Del. Tech - UD program administered by Del Tech)"/>
    <m/>
    <m/>
    <x v="12"/>
    <m/>
    <m/>
    <n v="1918000"/>
    <n v="1918000"/>
    <m/>
    <m/>
    <m/>
    <m/>
    <n v="0"/>
    <m/>
    <m/>
    <n v="0"/>
    <n v="1918000"/>
    <n v="1918000"/>
    <m/>
    <m/>
    <m/>
    <m/>
    <n v="0"/>
    <m/>
    <m/>
    <n v="0"/>
    <m/>
    <m/>
    <m/>
    <m/>
    <m/>
    <m/>
    <n v="1918000"/>
    <n v="1918000"/>
  </r>
  <r>
    <x v="2"/>
    <x v="14"/>
    <s v="Statewide system operations"/>
    <m/>
    <m/>
    <x v="12"/>
    <m/>
    <m/>
    <m/>
    <m/>
    <m/>
    <m/>
    <m/>
    <m/>
    <n v="0"/>
    <m/>
    <m/>
    <n v="0"/>
    <n v="0"/>
    <n v="0"/>
    <m/>
    <m/>
    <m/>
    <m/>
    <n v="0"/>
    <m/>
    <m/>
    <n v="0"/>
    <m/>
    <m/>
    <m/>
    <m/>
    <m/>
    <m/>
    <n v="0"/>
    <n v="0"/>
  </r>
  <r>
    <x v="2"/>
    <x v="15"/>
    <s v="Colleges and universities"/>
    <m/>
    <m/>
    <x v="12"/>
    <m/>
    <m/>
    <m/>
    <m/>
    <m/>
    <m/>
    <m/>
    <m/>
    <n v="0"/>
    <m/>
    <m/>
    <n v="0"/>
    <n v="0"/>
    <n v="0"/>
    <m/>
    <m/>
    <m/>
    <m/>
    <n v="0"/>
    <m/>
    <m/>
    <n v="0"/>
    <m/>
    <m/>
    <m/>
    <m/>
    <m/>
    <m/>
    <n v="0"/>
    <n v="0"/>
  </r>
  <r>
    <x v="2"/>
    <x v="15"/>
    <s v="DE Higher Education Commission"/>
    <m/>
    <m/>
    <x v="12"/>
    <m/>
    <m/>
    <m/>
    <m/>
    <m/>
    <m/>
    <m/>
    <m/>
    <n v="0"/>
    <m/>
    <m/>
    <n v="0"/>
    <n v="0"/>
    <n v="0"/>
    <n v="887800"/>
    <n v="901000"/>
    <m/>
    <m/>
    <n v="0"/>
    <m/>
    <m/>
    <n v="0"/>
    <m/>
    <m/>
    <m/>
    <m/>
    <m/>
    <m/>
    <n v="887800"/>
    <n v="901000"/>
  </r>
  <r>
    <x v="2"/>
    <x v="16"/>
    <s v="Two-year system(s), if any"/>
    <m/>
    <m/>
    <x v="12"/>
    <m/>
    <m/>
    <m/>
    <m/>
    <m/>
    <m/>
    <m/>
    <m/>
    <n v="0"/>
    <m/>
    <m/>
    <n v="0"/>
    <n v="0"/>
    <n v="0"/>
    <m/>
    <m/>
    <m/>
    <m/>
    <n v="0"/>
    <m/>
    <m/>
    <n v="0"/>
    <m/>
    <m/>
    <m/>
    <m/>
    <m/>
    <m/>
    <n v="0"/>
    <n v="0"/>
  </r>
  <r>
    <x v="2"/>
    <x v="16"/>
    <s v="Delaware Tech College System Office"/>
    <m/>
    <m/>
    <x v="12"/>
    <m/>
    <m/>
    <m/>
    <m/>
    <m/>
    <m/>
    <m/>
    <m/>
    <n v="0"/>
    <m/>
    <m/>
    <n v="0"/>
    <n v="0"/>
    <n v="0"/>
    <n v="11580800"/>
    <n v="13571700"/>
    <m/>
    <m/>
    <n v="0"/>
    <m/>
    <m/>
    <n v="0"/>
    <m/>
    <m/>
    <m/>
    <m/>
    <m/>
    <m/>
    <n v="11580800"/>
    <n v="13571700"/>
  </r>
  <r>
    <x v="2"/>
    <x v="17"/>
    <s v="National or regional associations, compacts or consortia"/>
    <m/>
    <m/>
    <x v="12"/>
    <m/>
    <m/>
    <m/>
    <m/>
    <m/>
    <m/>
    <m/>
    <m/>
    <n v="0"/>
    <m/>
    <m/>
    <n v="0"/>
    <n v="0"/>
    <n v="0"/>
    <m/>
    <m/>
    <m/>
    <m/>
    <n v="0"/>
    <m/>
    <m/>
    <n v="0"/>
    <m/>
    <m/>
    <m/>
    <m/>
    <m/>
    <m/>
    <n v="0"/>
    <n v="0"/>
  </r>
  <r>
    <x v="2"/>
    <x v="17"/>
    <s v="SREB"/>
    <m/>
    <m/>
    <x v="12"/>
    <m/>
    <m/>
    <m/>
    <m/>
    <m/>
    <m/>
    <m/>
    <m/>
    <n v="0"/>
    <m/>
    <m/>
    <n v="0"/>
    <n v="0"/>
    <n v="0"/>
    <n v="193550"/>
    <n v="193550"/>
    <m/>
    <m/>
    <n v="0"/>
    <m/>
    <m/>
    <n v="0"/>
    <m/>
    <m/>
    <m/>
    <m/>
    <m/>
    <m/>
    <n v="193550"/>
    <n v="193550"/>
  </r>
  <r>
    <x v="2"/>
    <x v="18"/>
    <s v="Adm. of Statewide Student Aid Programs (including centralized guaranteed student loans)"/>
    <m/>
    <m/>
    <x v="12"/>
    <m/>
    <m/>
    <m/>
    <m/>
    <m/>
    <m/>
    <m/>
    <m/>
    <n v="0"/>
    <m/>
    <m/>
    <n v="0"/>
    <n v="0"/>
    <n v="0"/>
    <m/>
    <m/>
    <m/>
    <m/>
    <n v="0"/>
    <m/>
    <m/>
    <n v="0"/>
    <m/>
    <m/>
    <m/>
    <m/>
    <m/>
    <m/>
    <n v="0"/>
    <n v="0"/>
  </r>
  <r>
    <x v="2"/>
    <x v="19"/>
    <s v="Support to private colleges other than student financial aid"/>
    <m/>
    <m/>
    <x v="12"/>
    <m/>
    <m/>
    <m/>
    <m/>
    <m/>
    <m/>
    <m/>
    <m/>
    <n v="0"/>
    <m/>
    <m/>
    <n v="0"/>
    <n v="0"/>
    <n v="0"/>
    <m/>
    <m/>
    <m/>
    <m/>
    <n v="0"/>
    <m/>
    <m/>
    <n v="0"/>
    <m/>
    <m/>
    <m/>
    <m/>
    <m/>
    <m/>
    <n v="0"/>
    <n v="0"/>
  </r>
  <r>
    <x v="2"/>
    <x v="20"/>
    <s v="Contract education programs"/>
    <m/>
    <m/>
    <x v="12"/>
    <m/>
    <m/>
    <m/>
    <m/>
    <m/>
    <m/>
    <m/>
    <m/>
    <n v="0"/>
    <m/>
    <m/>
    <n v="0"/>
    <n v="0"/>
    <n v="0"/>
    <m/>
    <m/>
    <m/>
    <m/>
    <n v="0"/>
    <m/>
    <m/>
    <n v="0"/>
    <m/>
    <m/>
    <m/>
    <m/>
    <m/>
    <m/>
    <n v="0"/>
    <n v="0"/>
  </r>
  <r>
    <x v="2"/>
    <x v="21"/>
    <s v="SREB contract program with private colleges"/>
    <m/>
    <m/>
    <x v="12"/>
    <m/>
    <m/>
    <m/>
    <m/>
    <m/>
    <m/>
    <m/>
    <m/>
    <n v="0"/>
    <m/>
    <m/>
    <n v="0"/>
    <n v="0"/>
    <n v="0"/>
    <m/>
    <m/>
    <m/>
    <m/>
    <n v="0"/>
    <m/>
    <m/>
    <n v="0"/>
    <m/>
    <m/>
    <m/>
    <m/>
    <m/>
    <m/>
    <n v="0"/>
    <n v="0"/>
  </r>
  <r>
    <x v="2"/>
    <x v="21"/>
    <s v="Del Institute for Medical Ed &amp; Rsch (DIMER)"/>
    <m/>
    <m/>
    <x v="12"/>
    <m/>
    <m/>
    <m/>
    <m/>
    <m/>
    <m/>
    <m/>
    <m/>
    <n v="0"/>
    <m/>
    <m/>
    <n v="0"/>
    <n v="0"/>
    <n v="0"/>
    <n v="2130000"/>
    <n v="2130000"/>
    <m/>
    <m/>
    <n v="0"/>
    <m/>
    <m/>
    <n v="0"/>
    <m/>
    <m/>
    <m/>
    <m/>
    <m/>
    <m/>
    <n v="2130000"/>
    <n v="2130000"/>
  </r>
  <r>
    <x v="2"/>
    <x v="22"/>
    <s v="SREB contract program with public colleges"/>
    <m/>
    <m/>
    <x v="12"/>
    <m/>
    <m/>
    <m/>
    <m/>
    <m/>
    <m/>
    <m/>
    <m/>
    <n v="0"/>
    <m/>
    <m/>
    <n v="0"/>
    <n v="0"/>
    <n v="0"/>
    <m/>
    <m/>
    <m/>
    <m/>
    <n v="0"/>
    <m/>
    <m/>
    <n v="0"/>
    <m/>
    <m/>
    <m/>
    <m/>
    <m/>
    <m/>
    <n v="0"/>
    <n v="0"/>
  </r>
  <r>
    <x v="2"/>
    <x v="22"/>
    <s v="Del Institute for Vet Medical Education (DIVME)"/>
    <m/>
    <m/>
    <x v="12"/>
    <m/>
    <m/>
    <m/>
    <m/>
    <m/>
    <m/>
    <m/>
    <m/>
    <n v="0"/>
    <m/>
    <m/>
    <n v="0"/>
    <n v="0"/>
    <n v="0"/>
    <n v="309600"/>
    <n v="292600"/>
    <m/>
    <m/>
    <n v="0"/>
    <m/>
    <m/>
    <n v="0"/>
    <m/>
    <m/>
    <m/>
    <m/>
    <m/>
    <m/>
    <n v="309600"/>
    <n v="292600"/>
  </r>
  <r>
    <x v="2"/>
    <x v="22"/>
    <s v="Del Institute for Dental Ed &amp; Rsch (DIDER)"/>
    <m/>
    <m/>
    <x v="12"/>
    <m/>
    <m/>
    <m/>
    <m/>
    <m/>
    <m/>
    <m/>
    <m/>
    <n v="0"/>
    <m/>
    <m/>
    <n v="0"/>
    <n v="0"/>
    <n v="0"/>
    <n v="515000"/>
    <n v="515000"/>
    <m/>
    <m/>
    <n v="0"/>
    <m/>
    <m/>
    <n v="0"/>
    <m/>
    <m/>
    <m/>
    <m/>
    <m/>
    <m/>
    <n v="515000"/>
    <n v="515000"/>
  </r>
  <r>
    <x v="2"/>
    <x v="23"/>
    <s v="Other contract education programs"/>
    <m/>
    <m/>
    <x v="12"/>
    <m/>
    <m/>
    <m/>
    <m/>
    <m/>
    <m/>
    <m/>
    <m/>
    <n v="0"/>
    <m/>
    <m/>
    <n v="0"/>
    <n v="0"/>
    <n v="0"/>
    <m/>
    <m/>
    <m/>
    <m/>
    <n v="0"/>
    <m/>
    <m/>
    <n v="0"/>
    <m/>
    <m/>
    <m/>
    <m/>
    <m/>
    <m/>
    <n v="0"/>
    <n v="0"/>
  </r>
  <r>
    <x v="2"/>
    <x v="24"/>
    <s v="Statewide student financial aid programs administered off campus"/>
    <m/>
    <m/>
    <x v="12"/>
    <m/>
    <m/>
    <m/>
    <m/>
    <m/>
    <m/>
    <m/>
    <m/>
    <n v="0"/>
    <m/>
    <m/>
    <n v="0"/>
    <n v="0"/>
    <n v="0"/>
    <m/>
    <m/>
    <m/>
    <m/>
    <n v="0"/>
    <m/>
    <m/>
    <n v="0"/>
    <m/>
    <m/>
    <m/>
    <m/>
    <m/>
    <m/>
    <n v="0"/>
    <n v="0"/>
  </r>
  <r>
    <x v="2"/>
    <x v="25"/>
    <s v="Available to public &amp; private sector students"/>
    <m/>
    <m/>
    <x v="12"/>
    <m/>
    <m/>
    <m/>
    <m/>
    <m/>
    <m/>
    <m/>
    <m/>
    <n v="0"/>
    <m/>
    <m/>
    <n v="0"/>
    <n v="0"/>
    <n v="0"/>
    <m/>
    <m/>
    <m/>
    <m/>
    <n v="0"/>
    <m/>
    <m/>
    <n v="0"/>
    <m/>
    <m/>
    <m/>
    <m/>
    <m/>
    <m/>
    <n v="0"/>
    <n v="0"/>
  </r>
  <r>
    <x v="2"/>
    <x v="25"/>
    <s v="Scholarship Incentive Program"/>
    <m/>
    <m/>
    <x v="12"/>
    <m/>
    <m/>
    <m/>
    <m/>
    <m/>
    <m/>
    <m/>
    <m/>
    <n v="0"/>
    <m/>
    <m/>
    <n v="0"/>
    <n v="0"/>
    <n v="0"/>
    <n v="1275277"/>
    <n v="1280164"/>
    <m/>
    <m/>
    <n v="0"/>
    <m/>
    <m/>
    <n v="0"/>
    <m/>
    <m/>
    <m/>
    <m/>
    <m/>
    <m/>
    <n v="1275277"/>
    <n v="1280164"/>
  </r>
  <r>
    <x v="2"/>
    <x v="28"/>
    <s v="To public sector students"/>
    <m/>
    <m/>
    <x v="12"/>
    <m/>
    <m/>
    <m/>
    <m/>
    <m/>
    <m/>
    <m/>
    <m/>
    <n v="0"/>
    <m/>
    <m/>
    <n v="0"/>
    <n v="0"/>
    <n v="0"/>
    <m/>
    <m/>
    <m/>
    <m/>
    <n v="0"/>
    <m/>
    <m/>
    <n v="0"/>
    <m/>
    <m/>
    <m/>
    <m/>
    <m/>
    <m/>
    <n v="0"/>
    <n v="0"/>
  </r>
  <r>
    <x v="2"/>
    <x v="29"/>
    <s v="Need-based"/>
    <m/>
    <m/>
    <x v="12"/>
    <m/>
    <m/>
    <m/>
    <m/>
    <m/>
    <m/>
    <m/>
    <m/>
    <n v="0"/>
    <m/>
    <m/>
    <n v="0"/>
    <n v="0"/>
    <n v="0"/>
    <m/>
    <m/>
    <m/>
    <m/>
    <n v="0"/>
    <m/>
    <m/>
    <n v="0"/>
    <m/>
    <m/>
    <m/>
    <m/>
    <m/>
    <m/>
    <n v="0"/>
    <n v="0"/>
  </r>
  <r>
    <x v="2"/>
    <x v="30"/>
    <s v="Non need-based"/>
    <m/>
    <m/>
    <x v="12"/>
    <m/>
    <m/>
    <m/>
    <m/>
    <m/>
    <m/>
    <m/>
    <m/>
    <n v="0"/>
    <m/>
    <m/>
    <n v="0"/>
    <n v="0"/>
    <n v="0"/>
    <m/>
    <m/>
    <m/>
    <m/>
    <n v="0"/>
    <m/>
    <m/>
    <n v="0"/>
    <m/>
    <m/>
    <m/>
    <m/>
    <m/>
    <m/>
    <n v="0"/>
    <n v="0"/>
  </r>
  <r>
    <x v="2"/>
    <x v="31"/>
    <s v="To private sector students"/>
    <m/>
    <m/>
    <x v="12"/>
    <m/>
    <m/>
    <m/>
    <m/>
    <m/>
    <m/>
    <m/>
    <m/>
    <n v="0"/>
    <m/>
    <m/>
    <n v="0"/>
    <n v="0"/>
    <n v="0"/>
    <m/>
    <m/>
    <m/>
    <m/>
    <n v="0"/>
    <m/>
    <m/>
    <n v="0"/>
    <m/>
    <m/>
    <m/>
    <m/>
    <m/>
    <m/>
    <n v="0"/>
    <n v="0"/>
  </r>
  <r>
    <x v="2"/>
    <x v="32"/>
    <s v="Need-based"/>
    <m/>
    <m/>
    <x v="12"/>
    <m/>
    <m/>
    <m/>
    <m/>
    <m/>
    <m/>
    <m/>
    <m/>
    <n v="0"/>
    <m/>
    <m/>
    <n v="0"/>
    <n v="0"/>
    <n v="0"/>
    <m/>
    <m/>
    <m/>
    <m/>
    <n v="0"/>
    <m/>
    <m/>
    <n v="0"/>
    <m/>
    <m/>
    <m/>
    <m/>
    <m/>
    <m/>
    <n v="0"/>
    <n v="0"/>
  </r>
  <r>
    <x v="2"/>
    <x v="33"/>
    <s v="Non need-based"/>
    <m/>
    <m/>
    <x v="12"/>
    <m/>
    <m/>
    <m/>
    <m/>
    <m/>
    <m/>
    <m/>
    <m/>
    <n v="0"/>
    <m/>
    <m/>
    <n v="0"/>
    <n v="0"/>
    <n v="0"/>
    <m/>
    <m/>
    <m/>
    <m/>
    <n v="0"/>
    <m/>
    <m/>
    <n v="0"/>
    <m/>
    <m/>
    <m/>
    <m/>
    <m/>
    <m/>
    <n v="0"/>
    <n v="0"/>
  </r>
  <r>
    <x v="2"/>
    <x v="25"/>
    <s v="Diamond State Scholarship"/>
    <m/>
    <m/>
    <x v="12"/>
    <m/>
    <m/>
    <m/>
    <m/>
    <m/>
    <m/>
    <m/>
    <m/>
    <n v="0"/>
    <m/>
    <m/>
    <n v="0"/>
    <n v="0"/>
    <n v="0"/>
    <m/>
    <m/>
    <m/>
    <m/>
    <n v="0"/>
    <m/>
    <m/>
    <n v="0"/>
    <m/>
    <m/>
    <m/>
    <m/>
    <m/>
    <m/>
    <n v="0"/>
    <n v="0"/>
  </r>
  <r>
    <x v="2"/>
    <x v="28"/>
    <s v="To public sector students"/>
    <m/>
    <m/>
    <x v="12"/>
    <m/>
    <m/>
    <m/>
    <m/>
    <m/>
    <m/>
    <m/>
    <m/>
    <n v="0"/>
    <m/>
    <m/>
    <n v="0"/>
    <n v="0"/>
    <n v="0"/>
    <m/>
    <m/>
    <m/>
    <m/>
    <n v="0"/>
    <m/>
    <m/>
    <n v="0"/>
    <m/>
    <m/>
    <m/>
    <m/>
    <m/>
    <m/>
    <n v="0"/>
    <n v="0"/>
  </r>
  <r>
    <x v="2"/>
    <x v="29"/>
    <s v="Need-based"/>
    <m/>
    <m/>
    <x v="12"/>
    <m/>
    <m/>
    <m/>
    <m/>
    <m/>
    <m/>
    <m/>
    <m/>
    <n v="0"/>
    <m/>
    <m/>
    <n v="0"/>
    <n v="0"/>
    <n v="0"/>
    <m/>
    <m/>
    <m/>
    <m/>
    <n v="0"/>
    <m/>
    <m/>
    <n v="0"/>
    <m/>
    <m/>
    <m/>
    <m/>
    <m/>
    <m/>
    <n v="0"/>
    <n v="0"/>
  </r>
  <r>
    <x v="2"/>
    <x v="30"/>
    <s v="Non need-based"/>
    <m/>
    <m/>
    <x v="12"/>
    <m/>
    <m/>
    <m/>
    <m/>
    <m/>
    <m/>
    <m/>
    <m/>
    <n v="0"/>
    <m/>
    <m/>
    <n v="0"/>
    <n v="0"/>
    <n v="0"/>
    <n v="151874"/>
    <n v="137498"/>
    <m/>
    <m/>
    <n v="0"/>
    <m/>
    <m/>
    <n v="0"/>
    <m/>
    <m/>
    <m/>
    <m/>
    <m/>
    <m/>
    <n v="151874"/>
    <n v="137498"/>
  </r>
  <r>
    <x v="2"/>
    <x v="31"/>
    <s v="To private sector students"/>
    <m/>
    <m/>
    <x v="12"/>
    <m/>
    <m/>
    <m/>
    <m/>
    <m/>
    <m/>
    <m/>
    <m/>
    <n v="0"/>
    <m/>
    <m/>
    <n v="0"/>
    <n v="0"/>
    <n v="0"/>
    <m/>
    <m/>
    <m/>
    <m/>
    <n v="0"/>
    <m/>
    <m/>
    <n v="0"/>
    <m/>
    <m/>
    <m/>
    <m/>
    <m/>
    <m/>
    <n v="0"/>
    <n v="0"/>
  </r>
  <r>
    <x v="2"/>
    <x v="32"/>
    <s v="Need-based"/>
    <m/>
    <m/>
    <x v="12"/>
    <m/>
    <m/>
    <m/>
    <m/>
    <m/>
    <m/>
    <m/>
    <m/>
    <n v="0"/>
    <m/>
    <m/>
    <n v="0"/>
    <n v="0"/>
    <n v="0"/>
    <m/>
    <m/>
    <m/>
    <m/>
    <n v="0"/>
    <m/>
    <m/>
    <n v="0"/>
    <m/>
    <m/>
    <m/>
    <m/>
    <m/>
    <m/>
    <n v="0"/>
    <n v="0"/>
  </r>
  <r>
    <x v="2"/>
    <x v="33"/>
    <s v="Non need-based"/>
    <m/>
    <m/>
    <x v="12"/>
    <m/>
    <m/>
    <m/>
    <m/>
    <m/>
    <m/>
    <m/>
    <m/>
    <n v="0"/>
    <m/>
    <m/>
    <n v="0"/>
    <n v="0"/>
    <n v="0"/>
    <n v="90618"/>
    <n v="87493"/>
    <m/>
    <m/>
    <n v="0"/>
    <m/>
    <m/>
    <n v="0"/>
    <m/>
    <m/>
    <m/>
    <m/>
    <m/>
    <m/>
    <n v="90618"/>
    <n v="87493"/>
  </r>
  <r>
    <x v="2"/>
    <x v="25"/>
    <s v="Ed Benefits for Children of Deceased Vets &amp; Others"/>
    <m/>
    <m/>
    <x v="12"/>
    <m/>
    <m/>
    <m/>
    <m/>
    <m/>
    <m/>
    <m/>
    <m/>
    <n v="0"/>
    <m/>
    <m/>
    <n v="0"/>
    <n v="0"/>
    <n v="0"/>
    <m/>
    <m/>
    <m/>
    <m/>
    <n v="0"/>
    <m/>
    <m/>
    <n v="0"/>
    <m/>
    <m/>
    <m/>
    <m/>
    <m/>
    <m/>
    <n v="0"/>
    <n v="0"/>
  </r>
  <r>
    <x v="2"/>
    <x v="28"/>
    <s v="To public sector students"/>
    <m/>
    <m/>
    <x v="12"/>
    <m/>
    <m/>
    <m/>
    <m/>
    <m/>
    <m/>
    <m/>
    <m/>
    <n v="0"/>
    <m/>
    <m/>
    <n v="0"/>
    <n v="0"/>
    <n v="0"/>
    <m/>
    <m/>
    <m/>
    <m/>
    <n v="0"/>
    <m/>
    <m/>
    <n v="0"/>
    <m/>
    <m/>
    <m/>
    <m/>
    <m/>
    <m/>
    <n v="0"/>
    <n v="0"/>
  </r>
  <r>
    <x v="2"/>
    <x v="29"/>
    <s v="Need-based"/>
    <m/>
    <m/>
    <x v="12"/>
    <m/>
    <m/>
    <m/>
    <m/>
    <m/>
    <m/>
    <m/>
    <m/>
    <n v="0"/>
    <m/>
    <m/>
    <n v="0"/>
    <n v="0"/>
    <n v="0"/>
    <m/>
    <m/>
    <m/>
    <m/>
    <n v="0"/>
    <m/>
    <m/>
    <n v="0"/>
    <m/>
    <m/>
    <m/>
    <m/>
    <m/>
    <m/>
    <n v="0"/>
    <n v="0"/>
  </r>
  <r>
    <x v="2"/>
    <x v="30"/>
    <s v="Non need-based"/>
    <m/>
    <m/>
    <x v="12"/>
    <m/>
    <m/>
    <m/>
    <m/>
    <m/>
    <m/>
    <m/>
    <m/>
    <n v="0"/>
    <m/>
    <m/>
    <n v="0"/>
    <n v="0"/>
    <n v="0"/>
    <n v="40690"/>
    <n v="17520"/>
    <m/>
    <m/>
    <n v="0"/>
    <m/>
    <m/>
    <n v="0"/>
    <m/>
    <m/>
    <m/>
    <m/>
    <m/>
    <m/>
    <n v="40690"/>
    <n v="17520"/>
  </r>
  <r>
    <x v="2"/>
    <x v="31"/>
    <s v="To private sector students"/>
    <m/>
    <m/>
    <x v="12"/>
    <m/>
    <m/>
    <m/>
    <m/>
    <m/>
    <m/>
    <m/>
    <m/>
    <n v="0"/>
    <m/>
    <m/>
    <n v="0"/>
    <n v="0"/>
    <n v="0"/>
    <m/>
    <m/>
    <m/>
    <m/>
    <n v="0"/>
    <m/>
    <m/>
    <n v="0"/>
    <m/>
    <m/>
    <m/>
    <m/>
    <m/>
    <m/>
    <n v="0"/>
    <n v="0"/>
  </r>
  <r>
    <x v="2"/>
    <x v="32"/>
    <s v="Need-based"/>
    <m/>
    <m/>
    <x v="12"/>
    <m/>
    <m/>
    <m/>
    <m/>
    <m/>
    <m/>
    <m/>
    <m/>
    <n v="0"/>
    <m/>
    <m/>
    <n v="0"/>
    <n v="0"/>
    <n v="0"/>
    <m/>
    <m/>
    <m/>
    <m/>
    <n v="0"/>
    <m/>
    <m/>
    <n v="0"/>
    <m/>
    <m/>
    <m/>
    <m/>
    <m/>
    <m/>
    <n v="0"/>
    <n v="0"/>
  </r>
  <r>
    <x v="2"/>
    <x v="33"/>
    <s v="Non need-based"/>
    <m/>
    <m/>
    <x v="12"/>
    <m/>
    <m/>
    <m/>
    <m/>
    <m/>
    <m/>
    <m/>
    <m/>
    <n v="0"/>
    <m/>
    <m/>
    <n v="0"/>
    <n v="0"/>
    <n v="0"/>
    <n v="0"/>
    <n v="0"/>
    <m/>
    <m/>
    <n v="0"/>
    <m/>
    <m/>
    <n v="0"/>
    <m/>
    <m/>
    <m/>
    <m/>
    <m/>
    <m/>
    <n v="0"/>
    <n v="0"/>
  </r>
  <r>
    <x v="2"/>
    <x v="25"/>
    <s v="Christa McAuliffe Teacher Scholarship Loan"/>
    <m/>
    <m/>
    <x v="12"/>
    <m/>
    <m/>
    <m/>
    <m/>
    <m/>
    <m/>
    <m/>
    <m/>
    <n v="0"/>
    <m/>
    <m/>
    <n v="0"/>
    <n v="0"/>
    <n v="0"/>
    <m/>
    <m/>
    <m/>
    <m/>
    <n v="0"/>
    <m/>
    <m/>
    <n v="0"/>
    <m/>
    <m/>
    <m/>
    <m/>
    <m/>
    <m/>
    <n v="0"/>
    <n v="0"/>
  </r>
  <r>
    <x v="2"/>
    <x v="28"/>
    <s v="To public sector students"/>
    <m/>
    <m/>
    <x v="12"/>
    <m/>
    <m/>
    <m/>
    <m/>
    <m/>
    <m/>
    <m/>
    <m/>
    <n v="0"/>
    <m/>
    <m/>
    <n v="0"/>
    <n v="0"/>
    <n v="0"/>
    <m/>
    <m/>
    <m/>
    <m/>
    <n v="0"/>
    <m/>
    <m/>
    <n v="0"/>
    <m/>
    <m/>
    <m/>
    <m/>
    <m/>
    <m/>
    <n v="0"/>
    <n v="0"/>
  </r>
  <r>
    <x v="2"/>
    <x v="29"/>
    <s v="Need-based"/>
    <m/>
    <m/>
    <x v="12"/>
    <m/>
    <m/>
    <m/>
    <m/>
    <m/>
    <m/>
    <m/>
    <m/>
    <n v="0"/>
    <m/>
    <m/>
    <n v="0"/>
    <n v="0"/>
    <n v="0"/>
    <m/>
    <m/>
    <m/>
    <m/>
    <n v="0"/>
    <m/>
    <m/>
    <n v="0"/>
    <m/>
    <m/>
    <m/>
    <m/>
    <m/>
    <m/>
    <n v="0"/>
    <n v="0"/>
  </r>
  <r>
    <x v="2"/>
    <x v="30"/>
    <s v="Non need-based"/>
    <m/>
    <m/>
    <x v="12"/>
    <m/>
    <m/>
    <m/>
    <m/>
    <m/>
    <m/>
    <m/>
    <m/>
    <n v="0"/>
    <m/>
    <m/>
    <n v="0"/>
    <n v="0"/>
    <n v="0"/>
    <n v="90000"/>
    <n v="95000"/>
    <m/>
    <m/>
    <n v="0"/>
    <m/>
    <m/>
    <n v="0"/>
    <m/>
    <m/>
    <m/>
    <m/>
    <m/>
    <m/>
    <n v="90000"/>
    <n v="95000"/>
  </r>
  <r>
    <x v="2"/>
    <x v="31"/>
    <s v="To private sector students"/>
    <m/>
    <m/>
    <x v="12"/>
    <m/>
    <m/>
    <m/>
    <m/>
    <m/>
    <m/>
    <m/>
    <m/>
    <n v="0"/>
    <m/>
    <m/>
    <n v="0"/>
    <n v="0"/>
    <n v="0"/>
    <m/>
    <m/>
    <m/>
    <m/>
    <n v="0"/>
    <m/>
    <m/>
    <n v="0"/>
    <m/>
    <m/>
    <m/>
    <m/>
    <m/>
    <m/>
    <n v="0"/>
    <n v="0"/>
  </r>
  <r>
    <x v="2"/>
    <x v="32"/>
    <s v="Need-based"/>
    <m/>
    <m/>
    <x v="12"/>
    <m/>
    <m/>
    <m/>
    <m/>
    <m/>
    <m/>
    <m/>
    <m/>
    <n v="0"/>
    <m/>
    <m/>
    <n v="0"/>
    <n v="0"/>
    <n v="0"/>
    <m/>
    <m/>
    <m/>
    <m/>
    <n v="0"/>
    <m/>
    <m/>
    <n v="0"/>
    <m/>
    <m/>
    <m/>
    <m/>
    <m/>
    <m/>
    <n v="0"/>
    <n v="0"/>
  </r>
  <r>
    <x v="2"/>
    <x v="33"/>
    <s v="Non need-based"/>
    <m/>
    <m/>
    <x v="12"/>
    <m/>
    <m/>
    <m/>
    <m/>
    <m/>
    <m/>
    <m/>
    <m/>
    <n v="0"/>
    <m/>
    <m/>
    <n v="0"/>
    <n v="0"/>
    <n v="0"/>
    <n v="30000"/>
    <n v="25000"/>
    <m/>
    <m/>
    <n v="0"/>
    <m/>
    <m/>
    <n v="0"/>
    <m/>
    <m/>
    <m/>
    <m/>
    <m/>
    <m/>
    <n v="30000"/>
    <n v="25000"/>
  </r>
  <r>
    <x v="2"/>
    <x v="25"/>
    <s v="Librarian and Archivist Incentive Program"/>
    <m/>
    <m/>
    <x v="12"/>
    <m/>
    <m/>
    <m/>
    <m/>
    <m/>
    <m/>
    <m/>
    <m/>
    <n v="0"/>
    <m/>
    <m/>
    <n v="0"/>
    <n v="0"/>
    <n v="0"/>
    <m/>
    <m/>
    <m/>
    <m/>
    <n v="0"/>
    <m/>
    <m/>
    <n v="0"/>
    <m/>
    <m/>
    <m/>
    <m/>
    <m/>
    <m/>
    <n v="0"/>
    <n v="0"/>
  </r>
  <r>
    <x v="2"/>
    <x v="28"/>
    <s v="To public sector students"/>
    <m/>
    <m/>
    <x v="12"/>
    <m/>
    <m/>
    <m/>
    <m/>
    <m/>
    <m/>
    <m/>
    <m/>
    <n v="0"/>
    <m/>
    <m/>
    <n v="0"/>
    <n v="0"/>
    <n v="0"/>
    <m/>
    <m/>
    <m/>
    <m/>
    <n v="0"/>
    <m/>
    <m/>
    <n v="0"/>
    <m/>
    <m/>
    <m/>
    <m/>
    <m/>
    <m/>
    <n v="0"/>
    <n v="0"/>
  </r>
  <r>
    <x v="2"/>
    <x v="29"/>
    <s v="Need-based"/>
    <m/>
    <m/>
    <x v="12"/>
    <m/>
    <m/>
    <m/>
    <m/>
    <m/>
    <m/>
    <m/>
    <m/>
    <n v="0"/>
    <m/>
    <m/>
    <n v="0"/>
    <n v="0"/>
    <n v="0"/>
    <m/>
    <m/>
    <m/>
    <m/>
    <n v="0"/>
    <m/>
    <m/>
    <n v="0"/>
    <m/>
    <m/>
    <m/>
    <m/>
    <m/>
    <m/>
    <n v="0"/>
    <n v="0"/>
  </r>
  <r>
    <x v="2"/>
    <x v="30"/>
    <s v="Non need-based"/>
    <m/>
    <m/>
    <x v="12"/>
    <m/>
    <m/>
    <m/>
    <m/>
    <m/>
    <m/>
    <m/>
    <m/>
    <n v="0"/>
    <m/>
    <m/>
    <n v="0"/>
    <n v="0"/>
    <n v="0"/>
    <n v="24250"/>
    <n v="50638"/>
    <m/>
    <m/>
    <n v="0"/>
    <m/>
    <m/>
    <n v="0"/>
    <m/>
    <m/>
    <m/>
    <m/>
    <m/>
    <m/>
    <n v="24250"/>
    <n v="50638"/>
  </r>
  <r>
    <x v="2"/>
    <x v="31"/>
    <s v="To private sector students"/>
    <m/>
    <m/>
    <x v="12"/>
    <m/>
    <m/>
    <m/>
    <m/>
    <m/>
    <m/>
    <m/>
    <m/>
    <n v="0"/>
    <m/>
    <m/>
    <n v="0"/>
    <n v="0"/>
    <n v="0"/>
    <m/>
    <m/>
    <m/>
    <m/>
    <n v="0"/>
    <m/>
    <m/>
    <n v="0"/>
    <m/>
    <m/>
    <m/>
    <m/>
    <m/>
    <m/>
    <n v="0"/>
    <n v="0"/>
  </r>
  <r>
    <x v="2"/>
    <x v="32"/>
    <s v="Need-based"/>
    <m/>
    <m/>
    <x v="12"/>
    <m/>
    <m/>
    <m/>
    <m/>
    <m/>
    <m/>
    <m/>
    <m/>
    <n v="0"/>
    <m/>
    <m/>
    <n v="0"/>
    <n v="0"/>
    <n v="0"/>
    <m/>
    <m/>
    <m/>
    <m/>
    <n v="0"/>
    <m/>
    <m/>
    <n v="0"/>
    <m/>
    <m/>
    <m/>
    <m/>
    <m/>
    <m/>
    <n v="0"/>
    <n v="0"/>
  </r>
  <r>
    <x v="2"/>
    <x v="33"/>
    <s v="Non need-based"/>
    <m/>
    <m/>
    <x v="12"/>
    <m/>
    <m/>
    <m/>
    <m/>
    <m/>
    <m/>
    <m/>
    <m/>
    <n v="0"/>
    <m/>
    <m/>
    <n v="0"/>
    <n v="0"/>
    <n v="0"/>
    <n v="93394"/>
    <n v="113635"/>
    <m/>
    <m/>
    <n v="0"/>
    <m/>
    <m/>
    <n v="0"/>
    <m/>
    <m/>
    <m/>
    <m/>
    <m/>
    <m/>
    <n v="93394"/>
    <n v="113635"/>
  </r>
  <r>
    <x v="2"/>
    <x v="25"/>
    <s v="Delaware Nursing Incentive Program"/>
    <m/>
    <m/>
    <x v="12"/>
    <m/>
    <m/>
    <m/>
    <m/>
    <m/>
    <m/>
    <m/>
    <m/>
    <n v="0"/>
    <m/>
    <m/>
    <n v="0"/>
    <n v="0"/>
    <n v="0"/>
    <m/>
    <m/>
    <m/>
    <m/>
    <n v="0"/>
    <m/>
    <m/>
    <n v="0"/>
    <m/>
    <m/>
    <m/>
    <m/>
    <m/>
    <m/>
    <n v="0"/>
    <n v="0"/>
  </r>
  <r>
    <x v="2"/>
    <x v="28"/>
    <s v="To public sector students"/>
    <m/>
    <m/>
    <x v="12"/>
    <m/>
    <m/>
    <m/>
    <m/>
    <m/>
    <m/>
    <m/>
    <m/>
    <n v="0"/>
    <m/>
    <m/>
    <n v="0"/>
    <n v="0"/>
    <n v="0"/>
    <m/>
    <m/>
    <m/>
    <m/>
    <n v="0"/>
    <m/>
    <m/>
    <n v="0"/>
    <m/>
    <m/>
    <m/>
    <m/>
    <m/>
    <m/>
    <n v="0"/>
    <n v="0"/>
  </r>
  <r>
    <x v="2"/>
    <x v="29"/>
    <s v="Need-based"/>
    <m/>
    <m/>
    <x v="12"/>
    <m/>
    <m/>
    <m/>
    <m/>
    <m/>
    <m/>
    <m/>
    <m/>
    <n v="0"/>
    <m/>
    <m/>
    <n v="0"/>
    <n v="0"/>
    <n v="0"/>
    <m/>
    <m/>
    <m/>
    <m/>
    <n v="0"/>
    <m/>
    <m/>
    <n v="0"/>
    <m/>
    <m/>
    <m/>
    <m/>
    <m/>
    <m/>
    <n v="0"/>
    <n v="0"/>
  </r>
  <r>
    <x v="2"/>
    <x v="30"/>
    <s v="Non need-based"/>
    <m/>
    <m/>
    <x v="12"/>
    <m/>
    <m/>
    <m/>
    <m/>
    <m/>
    <m/>
    <m/>
    <m/>
    <n v="0"/>
    <m/>
    <m/>
    <n v="0"/>
    <n v="0"/>
    <n v="0"/>
    <n v="63750"/>
    <n v="56250"/>
    <m/>
    <m/>
    <n v="0"/>
    <m/>
    <m/>
    <n v="0"/>
    <m/>
    <m/>
    <m/>
    <m/>
    <m/>
    <m/>
    <n v="63750"/>
    <n v="56250"/>
  </r>
  <r>
    <x v="2"/>
    <x v="31"/>
    <s v="To private sector students"/>
    <m/>
    <m/>
    <x v="12"/>
    <m/>
    <m/>
    <m/>
    <m/>
    <m/>
    <m/>
    <m/>
    <m/>
    <n v="0"/>
    <m/>
    <m/>
    <n v="0"/>
    <n v="0"/>
    <n v="0"/>
    <m/>
    <m/>
    <m/>
    <m/>
    <n v="0"/>
    <m/>
    <m/>
    <n v="0"/>
    <m/>
    <m/>
    <m/>
    <m/>
    <m/>
    <m/>
    <n v="0"/>
    <n v="0"/>
  </r>
  <r>
    <x v="2"/>
    <x v="32"/>
    <s v="Need-based"/>
    <m/>
    <m/>
    <x v="12"/>
    <m/>
    <m/>
    <m/>
    <m/>
    <m/>
    <m/>
    <m/>
    <m/>
    <n v="0"/>
    <m/>
    <m/>
    <n v="0"/>
    <n v="0"/>
    <n v="0"/>
    <m/>
    <m/>
    <m/>
    <m/>
    <n v="0"/>
    <m/>
    <m/>
    <n v="0"/>
    <m/>
    <m/>
    <m/>
    <m/>
    <m/>
    <m/>
    <n v="0"/>
    <n v="0"/>
  </r>
  <r>
    <x v="2"/>
    <x v="33"/>
    <s v="Non need-based"/>
    <m/>
    <m/>
    <x v="12"/>
    <m/>
    <m/>
    <m/>
    <m/>
    <m/>
    <m/>
    <m/>
    <m/>
    <n v="0"/>
    <m/>
    <m/>
    <n v="0"/>
    <n v="0"/>
    <n v="0"/>
    <n v="42123"/>
    <n v="20000"/>
    <m/>
    <m/>
    <n v="0"/>
    <m/>
    <m/>
    <n v="0"/>
    <m/>
    <m/>
    <m/>
    <m/>
    <m/>
    <m/>
    <n v="42123"/>
    <n v="20000"/>
  </r>
  <r>
    <x v="2"/>
    <x v="25"/>
    <s v="B. Bradford Barnes Memorial Scholarship"/>
    <m/>
    <m/>
    <x v="12"/>
    <m/>
    <m/>
    <m/>
    <m/>
    <m/>
    <m/>
    <m/>
    <m/>
    <n v="0"/>
    <m/>
    <m/>
    <n v="0"/>
    <n v="0"/>
    <n v="0"/>
    <m/>
    <m/>
    <m/>
    <m/>
    <n v="0"/>
    <m/>
    <m/>
    <n v="0"/>
    <m/>
    <m/>
    <m/>
    <m/>
    <m/>
    <m/>
    <n v="0"/>
    <n v="0"/>
  </r>
  <r>
    <x v="2"/>
    <x v="28"/>
    <s v="To public sector students"/>
    <m/>
    <m/>
    <x v="12"/>
    <m/>
    <m/>
    <m/>
    <m/>
    <m/>
    <m/>
    <m/>
    <m/>
    <n v="0"/>
    <m/>
    <m/>
    <n v="0"/>
    <n v="0"/>
    <n v="0"/>
    <m/>
    <m/>
    <m/>
    <m/>
    <n v="0"/>
    <m/>
    <m/>
    <n v="0"/>
    <m/>
    <m/>
    <m/>
    <m/>
    <m/>
    <m/>
    <n v="0"/>
    <n v="0"/>
  </r>
  <r>
    <x v="2"/>
    <x v="29"/>
    <s v="Need-based"/>
    <m/>
    <m/>
    <x v="12"/>
    <m/>
    <m/>
    <m/>
    <m/>
    <m/>
    <m/>
    <m/>
    <m/>
    <n v="0"/>
    <m/>
    <m/>
    <n v="0"/>
    <n v="0"/>
    <n v="0"/>
    <m/>
    <m/>
    <m/>
    <m/>
    <n v="0"/>
    <m/>
    <m/>
    <n v="0"/>
    <m/>
    <m/>
    <m/>
    <m/>
    <m/>
    <m/>
    <n v="0"/>
    <n v="0"/>
  </r>
  <r>
    <x v="2"/>
    <x v="30"/>
    <s v="Non need-based"/>
    <m/>
    <m/>
    <x v="12"/>
    <m/>
    <m/>
    <m/>
    <m/>
    <m/>
    <m/>
    <m/>
    <m/>
    <n v="0"/>
    <m/>
    <m/>
    <n v="0"/>
    <n v="0"/>
    <n v="0"/>
    <n v="95630"/>
    <n v="70160"/>
    <m/>
    <m/>
    <n v="0"/>
    <m/>
    <m/>
    <n v="0"/>
    <m/>
    <m/>
    <m/>
    <m/>
    <m/>
    <m/>
    <n v="95630"/>
    <n v="70160"/>
  </r>
  <r>
    <x v="2"/>
    <x v="31"/>
    <s v="To private sector students"/>
    <m/>
    <m/>
    <x v="12"/>
    <m/>
    <m/>
    <m/>
    <m/>
    <m/>
    <m/>
    <m/>
    <m/>
    <n v="0"/>
    <m/>
    <m/>
    <n v="0"/>
    <n v="0"/>
    <n v="0"/>
    <m/>
    <m/>
    <m/>
    <m/>
    <n v="0"/>
    <m/>
    <m/>
    <n v="0"/>
    <m/>
    <m/>
    <m/>
    <m/>
    <m/>
    <m/>
    <n v="0"/>
    <n v="0"/>
  </r>
  <r>
    <x v="2"/>
    <x v="32"/>
    <s v="Need-based"/>
    <m/>
    <m/>
    <x v="12"/>
    <m/>
    <m/>
    <m/>
    <m/>
    <m/>
    <m/>
    <m/>
    <m/>
    <n v="0"/>
    <m/>
    <m/>
    <n v="0"/>
    <n v="0"/>
    <n v="0"/>
    <m/>
    <m/>
    <m/>
    <m/>
    <n v="0"/>
    <m/>
    <m/>
    <n v="0"/>
    <m/>
    <m/>
    <m/>
    <m/>
    <m/>
    <m/>
    <n v="0"/>
    <n v="0"/>
  </r>
  <r>
    <x v="2"/>
    <x v="33"/>
    <s v="Non need-based"/>
    <m/>
    <m/>
    <x v="12"/>
    <m/>
    <m/>
    <m/>
    <m/>
    <m/>
    <m/>
    <m/>
    <m/>
    <n v="0"/>
    <m/>
    <m/>
    <n v="0"/>
    <n v="0"/>
    <n v="0"/>
    <m/>
    <m/>
    <m/>
    <m/>
    <n v="0"/>
    <m/>
    <m/>
    <n v="0"/>
    <m/>
    <m/>
    <m/>
    <m/>
    <m/>
    <m/>
    <n v="0"/>
    <n v="0"/>
  </r>
  <r>
    <x v="2"/>
    <x v="25"/>
    <s v="Speech/Language Pathologist Incentive Program"/>
    <m/>
    <m/>
    <x v="12"/>
    <m/>
    <m/>
    <m/>
    <m/>
    <m/>
    <m/>
    <m/>
    <m/>
    <n v="0"/>
    <m/>
    <m/>
    <n v="0"/>
    <n v="0"/>
    <n v="0"/>
    <m/>
    <m/>
    <m/>
    <m/>
    <n v="0"/>
    <m/>
    <m/>
    <n v="0"/>
    <m/>
    <m/>
    <m/>
    <m/>
    <m/>
    <m/>
    <n v="0"/>
    <n v="0"/>
  </r>
  <r>
    <x v="2"/>
    <x v="28"/>
    <s v="To public sector students"/>
    <m/>
    <m/>
    <x v="12"/>
    <m/>
    <m/>
    <m/>
    <m/>
    <m/>
    <m/>
    <m/>
    <m/>
    <n v="0"/>
    <m/>
    <m/>
    <n v="0"/>
    <n v="0"/>
    <n v="0"/>
    <m/>
    <m/>
    <m/>
    <m/>
    <n v="0"/>
    <m/>
    <m/>
    <n v="0"/>
    <m/>
    <m/>
    <m/>
    <m/>
    <m/>
    <m/>
    <n v="0"/>
    <n v="0"/>
  </r>
  <r>
    <x v="2"/>
    <x v="29"/>
    <s v="Need-based"/>
    <m/>
    <m/>
    <x v="12"/>
    <m/>
    <m/>
    <m/>
    <m/>
    <m/>
    <m/>
    <m/>
    <m/>
    <n v="0"/>
    <m/>
    <m/>
    <n v="0"/>
    <n v="0"/>
    <n v="0"/>
    <m/>
    <m/>
    <m/>
    <m/>
    <n v="0"/>
    <m/>
    <m/>
    <n v="0"/>
    <m/>
    <m/>
    <m/>
    <m/>
    <m/>
    <m/>
    <n v="0"/>
    <n v="0"/>
  </r>
  <r>
    <x v="2"/>
    <x v="30"/>
    <s v="Non need-based"/>
    <m/>
    <m/>
    <x v="12"/>
    <m/>
    <m/>
    <m/>
    <m/>
    <m/>
    <m/>
    <m/>
    <m/>
    <n v="0"/>
    <m/>
    <m/>
    <n v="0"/>
    <n v="0"/>
    <n v="0"/>
    <n v="17500"/>
    <n v="20000"/>
    <m/>
    <m/>
    <n v="0"/>
    <m/>
    <m/>
    <n v="0"/>
    <m/>
    <m/>
    <m/>
    <m/>
    <m/>
    <m/>
    <n v="17500"/>
    <n v="20000"/>
  </r>
  <r>
    <x v="2"/>
    <x v="31"/>
    <s v="To private sector students"/>
    <m/>
    <m/>
    <x v="12"/>
    <m/>
    <m/>
    <m/>
    <m/>
    <m/>
    <m/>
    <m/>
    <m/>
    <n v="0"/>
    <m/>
    <m/>
    <n v="0"/>
    <n v="0"/>
    <n v="0"/>
    <m/>
    <m/>
    <m/>
    <m/>
    <n v="0"/>
    <m/>
    <m/>
    <n v="0"/>
    <m/>
    <m/>
    <m/>
    <m/>
    <m/>
    <m/>
    <n v="0"/>
    <n v="0"/>
  </r>
  <r>
    <x v="2"/>
    <x v="32"/>
    <s v="Need-based"/>
    <m/>
    <m/>
    <x v="12"/>
    <m/>
    <m/>
    <m/>
    <m/>
    <m/>
    <m/>
    <m/>
    <m/>
    <n v="0"/>
    <m/>
    <m/>
    <n v="0"/>
    <n v="0"/>
    <n v="0"/>
    <m/>
    <m/>
    <m/>
    <m/>
    <n v="0"/>
    <m/>
    <m/>
    <n v="0"/>
    <m/>
    <m/>
    <m/>
    <m/>
    <m/>
    <m/>
    <n v="0"/>
    <n v="0"/>
  </r>
  <r>
    <x v="2"/>
    <x v="33"/>
    <s v="Non need-based"/>
    <m/>
    <m/>
    <x v="12"/>
    <m/>
    <m/>
    <m/>
    <m/>
    <m/>
    <m/>
    <m/>
    <m/>
    <n v="0"/>
    <m/>
    <m/>
    <n v="0"/>
    <n v="0"/>
    <n v="0"/>
    <n v="15000"/>
    <n v="0"/>
    <m/>
    <m/>
    <n v="0"/>
    <m/>
    <m/>
    <n v="0"/>
    <m/>
    <m/>
    <m/>
    <m/>
    <m/>
    <m/>
    <n v="15000"/>
    <n v="0"/>
  </r>
  <r>
    <x v="2"/>
    <x v="25"/>
    <s v="Herman M. Holloway, Sr. Memorial Scholarship"/>
    <m/>
    <m/>
    <x v="12"/>
    <m/>
    <m/>
    <m/>
    <m/>
    <m/>
    <m/>
    <m/>
    <m/>
    <n v="0"/>
    <m/>
    <m/>
    <n v="0"/>
    <n v="0"/>
    <n v="0"/>
    <m/>
    <m/>
    <m/>
    <m/>
    <n v="0"/>
    <m/>
    <m/>
    <n v="0"/>
    <m/>
    <m/>
    <m/>
    <m/>
    <m/>
    <m/>
    <n v="0"/>
    <n v="0"/>
  </r>
  <r>
    <x v="2"/>
    <x v="28"/>
    <s v="To public sector students"/>
    <m/>
    <m/>
    <x v="12"/>
    <m/>
    <m/>
    <m/>
    <m/>
    <m/>
    <m/>
    <m/>
    <m/>
    <n v="0"/>
    <m/>
    <m/>
    <n v="0"/>
    <n v="0"/>
    <n v="0"/>
    <m/>
    <m/>
    <m/>
    <m/>
    <n v="0"/>
    <m/>
    <m/>
    <n v="0"/>
    <m/>
    <m/>
    <m/>
    <m/>
    <m/>
    <m/>
    <n v="0"/>
    <n v="0"/>
  </r>
  <r>
    <x v="2"/>
    <x v="29"/>
    <s v="Need-based"/>
    <m/>
    <m/>
    <x v="12"/>
    <m/>
    <m/>
    <m/>
    <m/>
    <m/>
    <m/>
    <m/>
    <m/>
    <n v="0"/>
    <m/>
    <m/>
    <n v="0"/>
    <n v="0"/>
    <n v="0"/>
    <m/>
    <m/>
    <m/>
    <m/>
    <n v="0"/>
    <m/>
    <m/>
    <n v="0"/>
    <m/>
    <m/>
    <m/>
    <m/>
    <m/>
    <m/>
    <n v="0"/>
    <n v="0"/>
  </r>
  <r>
    <x v="2"/>
    <x v="30"/>
    <s v="Non need-based"/>
    <m/>
    <m/>
    <x v="12"/>
    <m/>
    <m/>
    <m/>
    <m/>
    <m/>
    <m/>
    <m/>
    <m/>
    <n v="0"/>
    <m/>
    <m/>
    <n v="0"/>
    <n v="0"/>
    <n v="0"/>
    <n v="51176"/>
    <n v="45377"/>
    <m/>
    <m/>
    <n v="0"/>
    <m/>
    <m/>
    <n v="0"/>
    <m/>
    <m/>
    <m/>
    <m/>
    <m/>
    <m/>
    <n v="51176"/>
    <n v="45377"/>
  </r>
  <r>
    <x v="2"/>
    <x v="31"/>
    <s v="To private sector students"/>
    <m/>
    <m/>
    <x v="12"/>
    <m/>
    <m/>
    <m/>
    <m/>
    <m/>
    <m/>
    <m/>
    <m/>
    <n v="0"/>
    <m/>
    <m/>
    <n v="0"/>
    <n v="0"/>
    <n v="0"/>
    <m/>
    <m/>
    <m/>
    <m/>
    <n v="0"/>
    <m/>
    <m/>
    <n v="0"/>
    <m/>
    <m/>
    <m/>
    <m/>
    <m/>
    <m/>
    <n v="0"/>
    <n v="0"/>
  </r>
  <r>
    <x v="2"/>
    <x v="32"/>
    <s v="Need-based"/>
    <m/>
    <m/>
    <x v="12"/>
    <m/>
    <m/>
    <m/>
    <m/>
    <m/>
    <m/>
    <m/>
    <m/>
    <n v="0"/>
    <m/>
    <m/>
    <n v="0"/>
    <n v="0"/>
    <n v="0"/>
    <m/>
    <m/>
    <m/>
    <m/>
    <n v="0"/>
    <m/>
    <m/>
    <n v="0"/>
    <m/>
    <m/>
    <m/>
    <m/>
    <m/>
    <m/>
    <n v="0"/>
    <n v="0"/>
  </r>
  <r>
    <x v="2"/>
    <x v="33"/>
    <s v="Non need-based"/>
    <m/>
    <m/>
    <x v="12"/>
    <m/>
    <m/>
    <m/>
    <m/>
    <m/>
    <m/>
    <m/>
    <m/>
    <n v="0"/>
    <m/>
    <m/>
    <n v="0"/>
    <n v="0"/>
    <n v="0"/>
    <m/>
    <m/>
    <m/>
    <m/>
    <n v="0"/>
    <m/>
    <m/>
    <n v="0"/>
    <m/>
    <m/>
    <m/>
    <m/>
    <m/>
    <m/>
    <n v="0"/>
    <n v="0"/>
  </r>
  <r>
    <x v="2"/>
    <x v="25"/>
    <s v="Legislative Essay Scholarship"/>
    <m/>
    <m/>
    <x v="12"/>
    <m/>
    <m/>
    <m/>
    <m/>
    <m/>
    <m/>
    <m/>
    <m/>
    <n v="0"/>
    <m/>
    <m/>
    <n v="0"/>
    <n v="0"/>
    <n v="0"/>
    <m/>
    <m/>
    <m/>
    <m/>
    <n v="0"/>
    <m/>
    <m/>
    <n v="0"/>
    <m/>
    <m/>
    <m/>
    <m/>
    <m/>
    <m/>
    <n v="0"/>
    <n v="0"/>
  </r>
  <r>
    <x v="2"/>
    <x v="28"/>
    <s v="To public sector students"/>
    <m/>
    <m/>
    <x v="12"/>
    <m/>
    <m/>
    <m/>
    <m/>
    <m/>
    <m/>
    <m/>
    <m/>
    <n v="0"/>
    <m/>
    <m/>
    <n v="0"/>
    <n v="0"/>
    <n v="0"/>
    <m/>
    <m/>
    <m/>
    <m/>
    <n v="0"/>
    <m/>
    <m/>
    <n v="0"/>
    <m/>
    <m/>
    <m/>
    <m/>
    <m/>
    <m/>
    <n v="0"/>
    <n v="0"/>
  </r>
  <r>
    <x v="2"/>
    <x v="29"/>
    <s v="Need-based"/>
    <m/>
    <m/>
    <x v="12"/>
    <m/>
    <m/>
    <m/>
    <m/>
    <m/>
    <m/>
    <m/>
    <m/>
    <n v="0"/>
    <m/>
    <m/>
    <n v="0"/>
    <n v="0"/>
    <n v="0"/>
    <m/>
    <m/>
    <m/>
    <m/>
    <n v="0"/>
    <m/>
    <m/>
    <n v="0"/>
    <m/>
    <m/>
    <m/>
    <m/>
    <m/>
    <m/>
    <n v="0"/>
    <n v="0"/>
  </r>
  <r>
    <x v="2"/>
    <x v="30"/>
    <s v="Non need-based"/>
    <m/>
    <m/>
    <x v="12"/>
    <m/>
    <m/>
    <m/>
    <m/>
    <m/>
    <m/>
    <m/>
    <m/>
    <n v="0"/>
    <m/>
    <m/>
    <n v="0"/>
    <n v="0"/>
    <n v="0"/>
    <m/>
    <m/>
    <m/>
    <m/>
    <n v="0"/>
    <m/>
    <m/>
    <n v="0"/>
    <m/>
    <m/>
    <m/>
    <m/>
    <m/>
    <m/>
    <n v="0"/>
    <n v="0"/>
  </r>
  <r>
    <x v="2"/>
    <x v="31"/>
    <s v="To private sector students"/>
    <m/>
    <m/>
    <x v="12"/>
    <m/>
    <m/>
    <m/>
    <m/>
    <m/>
    <m/>
    <m/>
    <m/>
    <n v="0"/>
    <m/>
    <m/>
    <n v="0"/>
    <n v="0"/>
    <n v="0"/>
    <m/>
    <m/>
    <m/>
    <m/>
    <n v="0"/>
    <m/>
    <m/>
    <n v="0"/>
    <m/>
    <m/>
    <m/>
    <m/>
    <m/>
    <m/>
    <n v="0"/>
    <n v="0"/>
  </r>
  <r>
    <x v="2"/>
    <x v="32"/>
    <s v="Need-based"/>
    <m/>
    <m/>
    <x v="12"/>
    <m/>
    <m/>
    <m/>
    <m/>
    <m/>
    <m/>
    <m/>
    <m/>
    <n v="0"/>
    <m/>
    <m/>
    <n v="0"/>
    <n v="0"/>
    <n v="0"/>
    <m/>
    <m/>
    <m/>
    <m/>
    <n v="0"/>
    <m/>
    <m/>
    <n v="0"/>
    <m/>
    <m/>
    <m/>
    <m/>
    <m/>
    <m/>
    <n v="0"/>
    <n v="0"/>
  </r>
  <r>
    <x v="2"/>
    <x v="33"/>
    <s v="Non need-based"/>
    <m/>
    <m/>
    <x v="12"/>
    <m/>
    <m/>
    <m/>
    <m/>
    <m/>
    <m/>
    <m/>
    <m/>
    <n v="0"/>
    <m/>
    <m/>
    <n v="0"/>
    <n v="0"/>
    <n v="0"/>
    <m/>
    <m/>
    <m/>
    <m/>
    <n v="0"/>
    <m/>
    <m/>
    <n v="0"/>
    <m/>
    <m/>
    <m/>
    <m/>
    <m/>
    <m/>
    <n v="0"/>
    <n v="0"/>
  </r>
  <r>
    <x v="2"/>
    <x v="25"/>
    <s v="Charles L. Hebner Memorial Scholarship"/>
    <m/>
    <m/>
    <x v="12"/>
    <m/>
    <m/>
    <m/>
    <m/>
    <m/>
    <m/>
    <m/>
    <m/>
    <n v="0"/>
    <m/>
    <m/>
    <n v="0"/>
    <n v="0"/>
    <n v="0"/>
    <m/>
    <m/>
    <m/>
    <m/>
    <n v="0"/>
    <m/>
    <m/>
    <n v="0"/>
    <m/>
    <m/>
    <m/>
    <m/>
    <m/>
    <m/>
    <n v="0"/>
    <n v="0"/>
  </r>
  <r>
    <x v="2"/>
    <x v="28"/>
    <s v="To public sector students"/>
    <m/>
    <m/>
    <x v="12"/>
    <m/>
    <m/>
    <m/>
    <m/>
    <m/>
    <m/>
    <m/>
    <m/>
    <n v="0"/>
    <m/>
    <m/>
    <n v="0"/>
    <n v="0"/>
    <n v="0"/>
    <m/>
    <m/>
    <m/>
    <m/>
    <n v="0"/>
    <m/>
    <m/>
    <n v="0"/>
    <m/>
    <m/>
    <m/>
    <m/>
    <m/>
    <m/>
    <n v="0"/>
    <n v="0"/>
  </r>
  <r>
    <x v="2"/>
    <x v="29"/>
    <s v="Need-based"/>
    <m/>
    <m/>
    <x v="12"/>
    <m/>
    <m/>
    <m/>
    <m/>
    <m/>
    <m/>
    <m/>
    <m/>
    <n v="0"/>
    <m/>
    <m/>
    <n v="0"/>
    <n v="0"/>
    <n v="0"/>
    <m/>
    <m/>
    <m/>
    <m/>
    <n v="0"/>
    <m/>
    <m/>
    <n v="0"/>
    <m/>
    <m/>
    <m/>
    <m/>
    <m/>
    <m/>
    <n v="0"/>
    <n v="0"/>
  </r>
  <r>
    <x v="2"/>
    <x v="30"/>
    <s v="Non need-based"/>
    <m/>
    <m/>
    <x v="12"/>
    <m/>
    <m/>
    <m/>
    <m/>
    <m/>
    <m/>
    <m/>
    <m/>
    <n v="0"/>
    <m/>
    <m/>
    <n v="0"/>
    <n v="0"/>
    <n v="0"/>
    <n v="131247"/>
    <n v="111423"/>
    <m/>
    <m/>
    <n v="0"/>
    <m/>
    <m/>
    <n v="0"/>
    <m/>
    <m/>
    <m/>
    <m/>
    <m/>
    <m/>
    <n v="131247"/>
    <n v="111423"/>
  </r>
  <r>
    <x v="2"/>
    <x v="31"/>
    <s v="To private sector students"/>
    <m/>
    <m/>
    <x v="12"/>
    <m/>
    <m/>
    <m/>
    <m/>
    <m/>
    <m/>
    <m/>
    <m/>
    <n v="0"/>
    <m/>
    <m/>
    <n v="0"/>
    <n v="0"/>
    <n v="0"/>
    <m/>
    <m/>
    <m/>
    <m/>
    <n v="0"/>
    <m/>
    <m/>
    <n v="0"/>
    <m/>
    <m/>
    <m/>
    <m/>
    <m/>
    <m/>
    <n v="0"/>
    <n v="0"/>
  </r>
  <r>
    <x v="2"/>
    <x v="32"/>
    <s v="Need-based"/>
    <m/>
    <m/>
    <x v="12"/>
    <m/>
    <m/>
    <m/>
    <m/>
    <m/>
    <m/>
    <m/>
    <m/>
    <n v="0"/>
    <m/>
    <m/>
    <n v="0"/>
    <n v="0"/>
    <n v="0"/>
    <m/>
    <m/>
    <m/>
    <m/>
    <n v="0"/>
    <m/>
    <m/>
    <n v="0"/>
    <m/>
    <m/>
    <m/>
    <m/>
    <m/>
    <m/>
    <n v="0"/>
    <n v="0"/>
  </r>
  <r>
    <x v="2"/>
    <x v="33"/>
    <s v="Non need-based"/>
    <m/>
    <m/>
    <x v="12"/>
    <m/>
    <m/>
    <m/>
    <m/>
    <m/>
    <m/>
    <m/>
    <m/>
    <n v="0"/>
    <m/>
    <m/>
    <n v="0"/>
    <n v="0"/>
    <n v="0"/>
    <m/>
    <m/>
    <m/>
    <m/>
    <n v="0"/>
    <m/>
    <m/>
    <n v="0"/>
    <m/>
    <m/>
    <m/>
    <m/>
    <m/>
    <m/>
    <n v="0"/>
    <n v="0"/>
  </r>
  <r>
    <x v="2"/>
    <x v="25"/>
    <s v="Gov's Ed Grants for Working  Adults"/>
    <m/>
    <m/>
    <x v="12"/>
    <m/>
    <m/>
    <m/>
    <m/>
    <m/>
    <m/>
    <m/>
    <m/>
    <n v="0"/>
    <m/>
    <m/>
    <n v="0"/>
    <n v="0"/>
    <n v="0"/>
    <m/>
    <m/>
    <m/>
    <m/>
    <n v="0"/>
    <m/>
    <m/>
    <n v="0"/>
    <m/>
    <m/>
    <m/>
    <m/>
    <m/>
    <m/>
    <n v="0"/>
    <n v="0"/>
  </r>
  <r>
    <x v="2"/>
    <x v="28"/>
    <s v="To public sector students"/>
    <m/>
    <m/>
    <x v="12"/>
    <m/>
    <m/>
    <m/>
    <m/>
    <m/>
    <m/>
    <m/>
    <m/>
    <n v="0"/>
    <m/>
    <m/>
    <n v="0"/>
    <n v="0"/>
    <n v="0"/>
    <m/>
    <m/>
    <m/>
    <m/>
    <n v="0"/>
    <m/>
    <m/>
    <n v="0"/>
    <m/>
    <m/>
    <m/>
    <m/>
    <m/>
    <m/>
    <n v="0"/>
    <n v="0"/>
  </r>
  <r>
    <x v="2"/>
    <x v="29"/>
    <s v="Need-based"/>
    <m/>
    <m/>
    <x v="12"/>
    <m/>
    <m/>
    <m/>
    <m/>
    <m/>
    <m/>
    <m/>
    <m/>
    <n v="0"/>
    <m/>
    <m/>
    <n v="0"/>
    <n v="0"/>
    <n v="0"/>
    <n v="83105"/>
    <n v="75562"/>
    <m/>
    <m/>
    <n v="0"/>
    <m/>
    <m/>
    <n v="0"/>
    <m/>
    <m/>
    <m/>
    <m/>
    <m/>
    <m/>
    <n v="83105"/>
    <n v="75562"/>
  </r>
  <r>
    <x v="2"/>
    <x v="30"/>
    <s v="Non need-based"/>
    <m/>
    <m/>
    <x v="12"/>
    <m/>
    <m/>
    <m/>
    <m/>
    <m/>
    <m/>
    <m/>
    <m/>
    <n v="0"/>
    <m/>
    <m/>
    <n v="0"/>
    <n v="0"/>
    <n v="0"/>
    <m/>
    <m/>
    <m/>
    <m/>
    <n v="0"/>
    <m/>
    <m/>
    <n v="0"/>
    <m/>
    <m/>
    <m/>
    <m/>
    <m/>
    <m/>
    <n v="0"/>
    <n v="0"/>
  </r>
  <r>
    <x v="2"/>
    <x v="31"/>
    <s v="To private sector students"/>
    <m/>
    <m/>
    <x v="12"/>
    <m/>
    <m/>
    <m/>
    <m/>
    <m/>
    <m/>
    <m/>
    <m/>
    <n v="0"/>
    <m/>
    <m/>
    <n v="0"/>
    <n v="0"/>
    <n v="0"/>
    <m/>
    <m/>
    <m/>
    <m/>
    <n v="0"/>
    <m/>
    <m/>
    <n v="0"/>
    <m/>
    <m/>
    <m/>
    <m/>
    <m/>
    <m/>
    <n v="0"/>
    <n v="0"/>
  </r>
  <r>
    <x v="2"/>
    <x v="32"/>
    <s v="Need-based"/>
    <m/>
    <m/>
    <x v="12"/>
    <m/>
    <m/>
    <m/>
    <m/>
    <m/>
    <m/>
    <m/>
    <m/>
    <n v="0"/>
    <m/>
    <m/>
    <n v="0"/>
    <n v="0"/>
    <n v="0"/>
    <n v="1241"/>
    <n v="1124"/>
    <m/>
    <m/>
    <n v="0"/>
    <m/>
    <m/>
    <n v="0"/>
    <m/>
    <m/>
    <m/>
    <m/>
    <m/>
    <m/>
    <n v="1241"/>
    <n v="1124"/>
  </r>
  <r>
    <x v="2"/>
    <x v="33"/>
    <s v="Non need-based"/>
    <m/>
    <m/>
    <x v="12"/>
    <m/>
    <m/>
    <m/>
    <m/>
    <m/>
    <m/>
    <m/>
    <m/>
    <n v="0"/>
    <m/>
    <m/>
    <n v="0"/>
    <n v="0"/>
    <n v="0"/>
    <m/>
    <m/>
    <m/>
    <m/>
    <n v="0"/>
    <m/>
    <m/>
    <n v="0"/>
    <m/>
    <m/>
    <m/>
    <m/>
    <m/>
    <m/>
    <n v="0"/>
    <n v="0"/>
  </r>
  <r>
    <x v="2"/>
    <x v="25"/>
    <s v="Governor's Education Grants for Unemployed Adults"/>
    <m/>
    <m/>
    <x v="12"/>
    <m/>
    <m/>
    <m/>
    <m/>
    <m/>
    <m/>
    <m/>
    <m/>
    <n v="0"/>
    <m/>
    <m/>
    <n v="0"/>
    <n v="0"/>
    <n v="0"/>
    <m/>
    <m/>
    <m/>
    <m/>
    <n v="0"/>
    <m/>
    <m/>
    <n v="0"/>
    <m/>
    <m/>
    <m/>
    <m/>
    <m/>
    <m/>
    <n v="0"/>
    <n v="0"/>
  </r>
  <r>
    <x v="2"/>
    <x v="28"/>
    <s v="To public sector students"/>
    <m/>
    <m/>
    <x v="12"/>
    <m/>
    <m/>
    <m/>
    <m/>
    <m/>
    <m/>
    <m/>
    <m/>
    <n v="0"/>
    <m/>
    <m/>
    <n v="0"/>
    <n v="0"/>
    <n v="0"/>
    <m/>
    <m/>
    <m/>
    <m/>
    <n v="0"/>
    <m/>
    <m/>
    <n v="0"/>
    <m/>
    <m/>
    <m/>
    <m/>
    <m/>
    <m/>
    <n v="0"/>
    <n v="0"/>
  </r>
  <r>
    <x v="2"/>
    <x v="29"/>
    <s v="Need-based"/>
    <m/>
    <m/>
    <x v="12"/>
    <m/>
    <m/>
    <m/>
    <m/>
    <m/>
    <m/>
    <m/>
    <m/>
    <n v="0"/>
    <m/>
    <m/>
    <n v="0"/>
    <n v="0"/>
    <n v="0"/>
    <n v="82937"/>
    <n v="60800"/>
    <m/>
    <m/>
    <n v="0"/>
    <m/>
    <m/>
    <n v="0"/>
    <m/>
    <m/>
    <m/>
    <m/>
    <m/>
    <m/>
    <n v="82937"/>
    <n v="60800"/>
  </r>
  <r>
    <x v="2"/>
    <x v="30"/>
    <s v="Non need-based"/>
    <m/>
    <m/>
    <x v="12"/>
    <m/>
    <m/>
    <m/>
    <m/>
    <m/>
    <m/>
    <m/>
    <m/>
    <n v="0"/>
    <m/>
    <m/>
    <n v="0"/>
    <n v="0"/>
    <n v="0"/>
    <m/>
    <m/>
    <m/>
    <m/>
    <n v="0"/>
    <m/>
    <m/>
    <n v="0"/>
    <m/>
    <m/>
    <m/>
    <m/>
    <m/>
    <m/>
    <n v="0"/>
    <n v="0"/>
  </r>
  <r>
    <x v="2"/>
    <x v="31"/>
    <s v="To private sector students"/>
    <m/>
    <m/>
    <x v="12"/>
    <m/>
    <m/>
    <m/>
    <m/>
    <m/>
    <m/>
    <m/>
    <m/>
    <n v="0"/>
    <m/>
    <m/>
    <n v="0"/>
    <n v="0"/>
    <n v="0"/>
    <m/>
    <m/>
    <m/>
    <m/>
    <n v="0"/>
    <m/>
    <m/>
    <n v="0"/>
    <m/>
    <m/>
    <m/>
    <m/>
    <m/>
    <m/>
    <n v="0"/>
    <n v="0"/>
  </r>
  <r>
    <x v="2"/>
    <x v="32"/>
    <s v="Need-based"/>
    <m/>
    <m/>
    <x v="12"/>
    <m/>
    <m/>
    <m/>
    <m/>
    <m/>
    <m/>
    <m/>
    <m/>
    <n v="0"/>
    <m/>
    <m/>
    <n v="0"/>
    <n v="0"/>
    <n v="0"/>
    <n v="0"/>
    <n v="1604"/>
    <m/>
    <m/>
    <n v="0"/>
    <m/>
    <m/>
    <n v="0"/>
    <m/>
    <m/>
    <m/>
    <m/>
    <m/>
    <m/>
    <n v="0"/>
    <n v="1604"/>
  </r>
  <r>
    <x v="2"/>
    <x v="33"/>
    <s v="Non need-based"/>
    <m/>
    <m/>
    <x v="12"/>
    <m/>
    <m/>
    <m/>
    <m/>
    <m/>
    <m/>
    <m/>
    <m/>
    <n v="0"/>
    <m/>
    <m/>
    <n v="0"/>
    <n v="0"/>
    <n v="0"/>
    <m/>
    <m/>
    <m/>
    <m/>
    <n v="0"/>
    <m/>
    <m/>
    <n v="0"/>
    <m/>
    <m/>
    <m/>
    <m/>
    <m/>
    <m/>
    <n v="0"/>
    <n v="0"/>
  </r>
  <r>
    <x v="2"/>
    <x v="25"/>
    <s v="Del. Institute for Med. Ed. &amp; Research"/>
    <m/>
    <m/>
    <x v="12"/>
    <m/>
    <m/>
    <m/>
    <m/>
    <m/>
    <m/>
    <m/>
    <m/>
    <n v="0"/>
    <m/>
    <m/>
    <n v="0"/>
    <n v="0"/>
    <n v="0"/>
    <m/>
    <m/>
    <m/>
    <m/>
    <n v="0"/>
    <m/>
    <m/>
    <n v="0"/>
    <m/>
    <m/>
    <m/>
    <m/>
    <m/>
    <m/>
    <n v="0"/>
    <n v="0"/>
  </r>
  <r>
    <x v="2"/>
    <x v="28"/>
    <s v="To public sector students"/>
    <m/>
    <m/>
    <x v="12"/>
    <m/>
    <m/>
    <m/>
    <m/>
    <m/>
    <m/>
    <m/>
    <m/>
    <n v="0"/>
    <m/>
    <m/>
    <n v="0"/>
    <n v="0"/>
    <n v="0"/>
    <m/>
    <m/>
    <m/>
    <m/>
    <n v="0"/>
    <m/>
    <m/>
    <n v="0"/>
    <m/>
    <m/>
    <m/>
    <m/>
    <m/>
    <m/>
    <n v="0"/>
    <n v="0"/>
  </r>
  <r>
    <x v="2"/>
    <x v="29"/>
    <s v="Need-based"/>
    <m/>
    <m/>
    <x v="12"/>
    <m/>
    <m/>
    <m/>
    <m/>
    <m/>
    <m/>
    <m/>
    <m/>
    <n v="0"/>
    <m/>
    <m/>
    <n v="0"/>
    <n v="0"/>
    <n v="0"/>
    <m/>
    <m/>
    <m/>
    <m/>
    <n v="0"/>
    <m/>
    <m/>
    <n v="0"/>
    <m/>
    <m/>
    <m/>
    <m/>
    <m/>
    <m/>
    <n v="0"/>
    <n v="0"/>
  </r>
  <r>
    <x v="2"/>
    <x v="30"/>
    <s v="Non need-based"/>
    <m/>
    <m/>
    <x v="12"/>
    <m/>
    <m/>
    <m/>
    <m/>
    <m/>
    <m/>
    <m/>
    <m/>
    <n v="0"/>
    <m/>
    <m/>
    <n v="0"/>
    <n v="0"/>
    <n v="0"/>
    <m/>
    <m/>
    <m/>
    <m/>
    <n v="0"/>
    <m/>
    <m/>
    <n v="0"/>
    <m/>
    <m/>
    <m/>
    <m/>
    <m/>
    <m/>
    <n v="0"/>
    <n v="0"/>
  </r>
  <r>
    <x v="2"/>
    <x v="31"/>
    <s v="To private sector students"/>
    <m/>
    <m/>
    <x v="12"/>
    <m/>
    <m/>
    <m/>
    <m/>
    <m/>
    <m/>
    <m/>
    <m/>
    <n v="0"/>
    <m/>
    <m/>
    <n v="0"/>
    <n v="0"/>
    <n v="0"/>
    <m/>
    <m/>
    <m/>
    <m/>
    <n v="0"/>
    <m/>
    <m/>
    <n v="0"/>
    <m/>
    <m/>
    <m/>
    <m/>
    <m/>
    <m/>
    <n v="0"/>
    <n v="0"/>
  </r>
  <r>
    <x v="2"/>
    <x v="32"/>
    <s v="Need-based"/>
    <m/>
    <m/>
    <x v="12"/>
    <m/>
    <m/>
    <m/>
    <m/>
    <m/>
    <m/>
    <m/>
    <m/>
    <n v="0"/>
    <m/>
    <m/>
    <n v="0"/>
    <n v="0"/>
    <n v="0"/>
    <n v="366000"/>
    <n v="366000"/>
    <m/>
    <m/>
    <n v="0"/>
    <m/>
    <m/>
    <n v="0"/>
    <m/>
    <m/>
    <m/>
    <m/>
    <m/>
    <m/>
    <n v="366000"/>
    <n v="366000"/>
  </r>
  <r>
    <x v="2"/>
    <x v="33"/>
    <s v="Non need-based"/>
    <m/>
    <m/>
    <x v="12"/>
    <m/>
    <m/>
    <m/>
    <m/>
    <m/>
    <m/>
    <m/>
    <m/>
    <n v="0"/>
    <m/>
    <m/>
    <n v="0"/>
    <n v="0"/>
    <n v="0"/>
    <n v="114000"/>
    <n v="114000"/>
    <m/>
    <m/>
    <n v="0"/>
    <m/>
    <m/>
    <n v="0"/>
    <m/>
    <m/>
    <m/>
    <m/>
    <m/>
    <m/>
    <n v="114000"/>
    <n v="114000"/>
  </r>
  <r>
    <x v="2"/>
    <x v="25"/>
    <s v="Ivy D.F. Davis Memorial Scholarship"/>
    <m/>
    <m/>
    <x v="12"/>
    <m/>
    <m/>
    <m/>
    <m/>
    <m/>
    <m/>
    <m/>
    <m/>
    <n v="0"/>
    <m/>
    <m/>
    <n v="0"/>
    <n v="0"/>
    <n v="0"/>
    <m/>
    <m/>
    <m/>
    <m/>
    <n v="0"/>
    <m/>
    <m/>
    <n v="0"/>
    <m/>
    <m/>
    <m/>
    <m/>
    <m/>
    <m/>
    <n v="0"/>
    <n v="0"/>
  </r>
  <r>
    <x v="2"/>
    <x v="28"/>
    <s v="To public sector students"/>
    <m/>
    <m/>
    <x v="12"/>
    <m/>
    <m/>
    <m/>
    <m/>
    <m/>
    <m/>
    <m/>
    <m/>
    <n v="0"/>
    <m/>
    <m/>
    <n v="0"/>
    <n v="0"/>
    <n v="0"/>
    <m/>
    <m/>
    <m/>
    <m/>
    <n v="0"/>
    <m/>
    <m/>
    <n v="0"/>
    <m/>
    <m/>
    <m/>
    <m/>
    <m/>
    <m/>
    <n v="0"/>
    <n v="0"/>
  </r>
  <r>
    <x v="2"/>
    <x v="29"/>
    <s v="Need-based"/>
    <m/>
    <m/>
    <x v="12"/>
    <m/>
    <m/>
    <m/>
    <m/>
    <m/>
    <m/>
    <m/>
    <m/>
    <n v="0"/>
    <m/>
    <m/>
    <n v="0"/>
    <n v="0"/>
    <n v="0"/>
    <n v="80000"/>
    <n v="80000"/>
    <m/>
    <m/>
    <n v="0"/>
    <m/>
    <m/>
    <n v="0"/>
    <m/>
    <m/>
    <m/>
    <m/>
    <m/>
    <m/>
    <n v="80000"/>
    <n v="80000"/>
  </r>
  <r>
    <x v="2"/>
    <x v="30"/>
    <s v="Non need-based"/>
    <m/>
    <m/>
    <x v="12"/>
    <m/>
    <m/>
    <m/>
    <m/>
    <m/>
    <m/>
    <m/>
    <m/>
    <n v="0"/>
    <m/>
    <m/>
    <n v="0"/>
    <n v="0"/>
    <n v="0"/>
    <m/>
    <m/>
    <m/>
    <m/>
    <n v="0"/>
    <m/>
    <m/>
    <n v="0"/>
    <m/>
    <m/>
    <m/>
    <m/>
    <m/>
    <m/>
    <n v="0"/>
    <n v="0"/>
  </r>
  <r>
    <x v="2"/>
    <x v="31"/>
    <s v="To private sector students"/>
    <m/>
    <m/>
    <x v="12"/>
    <m/>
    <m/>
    <m/>
    <m/>
    <m/>
    <m/>
    <m/>
    <m/>
    <n v="0"/>
    <m/>
    <m/>
    <n v="0"/>
    <n v="0"/>
    <n v="0"/>
    <m/>
    <m/>
    <m/>
    <m/>
    <n v="0"/>
    <m/>
    <m/>
    <n v="0"/>
    <m/>
    <m/>
    <m/>
    <m/>
    <m/>
    <m/>
    <n v="0"/>
    <n v="0"/>
  </r>
  <r>
    <x v="2"/>
    <x v="32"/>
    <s v="Need-based"/>
    <m/>
    <m/>
    <x v="12"/>
    <m/>
    <m/>
    <m/>
    <m/>
    <m/>
    <m/>
    <m/>
    <m/>
    <n v="0"/>
    <m/>
    <m/>
    <n v="0"/>
    <n v="0"/>
    <n v="0"/>
    <n v="20000"/>
    <n v="20000"/>
    <m/>
    <m/>
    <n v="0"/>
    <m/>
    <m/>
    <n v="0"/>
    <m/>
    <m/>
    <m/>
    <m/>
    <m/>
    <m/>
    <n v="20000"/>
    <n v="20000"/>
  </r>
  <r>
    <x v="2"/>
    <x v="33"/>
    <s v="Non need-based"/>
    <m/>
    <m/>
    <x v="12"/>
    <m/>
    <m/>
    <m/>
    <m/>
    <m/>
    <m/>
    <m/>
    <m/>
    <n v="0"/>
    <m/>
    <m/>
    <n v="0"/>
    <n v="0"/>
    <n v="0"/>
    <m/>
    <m/>
    <m/>
    <m/>
    <n v="0"/>
    <m/>
    <m/>
    <n v="0"/>
    <m/>
    <m/>
    <m/>
    <m/>
    <m/>
    <m/>
    <n v="0"/>
    <n v="0"/>
  </r>
  <r>
    <x v="2"/>
    <x v="25"/>
    <s v="Michael C. Ferguson Achievement Scholarship"/>
    <m/>
    <m/>
    <x v="12"/>
    <m/>
    <m/>
    <m/>
    <m/>
    <m/>
    <m/>
    <m/>
    <m/>
    <n v="0"/>
    <m/>
    <m/>
    <n v="0"/>
    <n v="0"/>
    <n v="0"/>
    <m/>
    <m/>
    <m/>
    <m/>
    <n v="0"/>
    <m/>
    <m/>
    <n v="0"/>
    <m/>
    <m/>
    <m/>
    <m/>
    <m/>
    <m/>
    <n v="0"/>
    <n v="0"/>
  </r>
  <r>
    <x v="2"/>
    <x v="28"/>
    <s v="To public sector students"/>
    <m/>
    <m/>
    <x v="12"/>
    <m/>
    <m/>
    <m/>
    <m/>
    <m/>
    <m/>
    <m/>
    <m/>
    <n v="0"/>
    <m/>
    <m/>
    <n v="0"/>
    <n v="0"/>
    <n v="0"/>
    <m/>
    <m/>
    <m/>
    <m/>
    <n v="0"/>
    <m/>
    <m/>
    <n v="0"/>
    <m/>
    <m/>
    <m/>
    <m/>
    <m/>
    <m/>
    <n v="0"/>
    <n v="0"/>
  </r>
  <r>
    <x v="2"/>
    <x v="29"/>
    <s v="Need-based"/>
    <m/>
    <m/>
    <x v="12"/>
    <m/>
    <m/>
    <m/>
    <m/>
    <m/>
    <m/>
    <m/>
    <m/>
    <n v="0"/>
    <m/>
    <m/>
    <n v="0"/>
    <n v="0"/>
    <n v="0"/>
    <m/>
    <m/>
    <m/>
    <m/>
    <n v="0"/>
    <m/>
    <m/>
    <n v="0"/>
    <m/>
    <m/>
    <m/>
    <m/>
    <m/>
    <m/>
    <n v="0"/>
    <n v="0"/>
  </r>
  <r>
    <x v="2"/>
    <x v="30"/>
    <s v="Non need-based"/>
    <m/>
    <m/>
    <x v="12"/>
    <m/>
    <m/>
    <m/>
    <m/>
    <m/>
    <m/>
    <m/>
    <m/>
    <n v="0"/>
    <m/>
    <m/>
    <n v="0"/>
    <n v="0"/>
    <n v="0"/>
    <n v="176650"/>
    <n v="144500"/>
    <m/>
    <m/>
    <n v="0"/>
    <m/>
    <m/>
    <n v="0"/>
    <m/>
    <m/>
    <m/>
    <m/>
    <m/>
    <m/>
    <n v="176650"/>
    <n v="144500"/>
  </r>
  <r>
    <x v="2"/>
    <x v="31"/>
    <s v="To private sector students"/>
    <m/>
    <m/>
    <x v="12"/>
    <m/>
    <m/>
    <m/>
    <m/>
    <m/>
    <m/>
    <m/>
    <m/>
    <n v="0"/>
    <m/>
    <m/>
    <n v="0"/>
    <n v="0"/>
    <n v="0"/>
    <m/>
    <m/>
    <m/>
    <m/>
    <n v="0"/>
    <m/>
    <m/>
    <n v="0"/>
    <m/>
    <m/>
    <m/>
    <m/>
    <m/>
    <m/>
    <n v="0"/>
    <n v="0"/>
  </r>
  <r>
    <x v="2"/>
    <x v="32"/>
    <s v="Need-based"/>
    <m/>
    <m/>
    <x v="12"/>
    <m/>
    <m/>
    <m/>
    <m/>
    <m/>
    <m/>
    <m/>
    <m/>
    <n v="0"/>
    <m/>
    <m/>
    <n v="0"/>
    <n v="0"/>
    <n v="0"/>
    <m/>
    <m/>
    <m/>
    <m/>
    <n v="0"/>
    <m/>
    <m/>
    <n v="0"/>
    <m/>
    <m/>
    <m/>
    <m/>
    <m/>
    <m/>
    <n v="0"/>
    <n v="0"/>
  </r>
  <r>
    <x v="2"/>
    <x v="33"/>
    <s v="Non need-based"/>
    <m/>
    <m/>
    <x v="12"/>
    <m/>
    <m/>
    <m/>
    <m/>
    <m/>
    <m/>
    <m/>
    <m/>
    <n v="0"/>
    <m/>
    <m/>
    <n v="0"/>
    <n v="0"/>
    <n v="0"/>
    <n v="158500"/>
    <n v="69000"/>
    <m/>
    <m/>
    <n v="0"/>
    <m/>
    <m/>
    <n v="0"/>
    <m/>
    <m/>
    <m/>
    <m/>
    <m/>
    <m/>
    <n v="158500"/>
    <n v="69000"/>
  </r>
  <r>
    <x v="2"/>
    <x v="25"/>
    <s v="Delaware Optometric Institutional Aid"/>
    <m/>
    <m/>
    <x v="12"/>
    <m/>
    <m/>
    <m/>
    <m/>
    <m/>
    <m/>
    <m/>
    <m/>
    <n v="0"/>
    <m/>
    <m/>
    <n v="0"/>
    <n v="0"/>
    <n v="0"/>
    <m/>
    <m/>
    <m/>
    <m/>
    <n v="0"/>
    <m/>
    <m/>
    <n v="0"/>
    <m/>
    <m/>
    <m/>
    <m/>
    <m/>
    <m/>
    <n v="0"/>
    <n v="0"/>
  </r>
  <r>
    <x v="2"/>
    <x v="28"/>
    <s v="To public sector students"/>
    <m/>
    <m/>
    <x v="12"/>
    <m/>
    <m/>
    <m/>
    <m/>
    <m/>
    <m/>
    <m/>
    <m/>
    <n v="0"/>
    <m/>
    <m/>
    <n v="0"/>
    <n v="0"/>
    <n v="0"/>
    <m/>
    <m/>
    <m/>
    <m/>
    <n v="0"/>
    <m/>
    <m/>
    <n v="0"/>
    <m/>
    <m/>
    <m/>
    <m/>
    <m/>
    <m/>
    <n v="0"/>
    <n v="0"/>
  </r>
  <r>
    <x v="2"/>
    <x v="29"/>
    <s v="Need-based"/>
    <m/>
    <m/>
    <x v="12"/>
    <m/>
    <m/>
    <m/>
    <m/>
    <m/>
    <m/>
    <m/>
    <m/>
    <n v="0"/>
    <m/>
    <m/>
    <n v="0"/>
    <n v="0"/>
    <n v="0"/>
    <m/>
    <m/>
    <m/>
    <m/>
    <n v="0"/>
    <m/>
    <m/>
    <n v="0"/>
    <m/>
    <m/>
    <m/>
    <m/>
    <m/>
    <m/>
    <n v="0"/>
    <n v="0"/>
  </r>
  <r>
    <x v="2"/>
    <x v="30"/>
    <s v="Non need-based"/>
    <m/>
    <m/>
    <x v="12"/>
    <m/>
    <m/>
    <m/>
    <m/>
    <m/>
    <m/>
    <m/>
    <m/>
    <n v="0"/>
    <m/>
    <m/>
    <n v="0"/>
    <n v="0"/>
    <n v="0"/>
    <m/>
    <m/>
    <m/>
    <m/>
    <n v="0"/>
    <m/>
    <m/>
    <n v="0"/>
    <m/>
    <m/>
    <m/>
    <m/>
    <m/>
    <m/>
    <n v="0"/>
    <n v="0"/>
  </r>
  <r>
    <x v="2"/>
    <x v="31"/>
    <s v="To private sector students"/>
    <m/>
    <m/>
    <x v="12"/>
    <m/>
    <m/>
    <m/>
    <m/>
    <m/>
    <m/>
    <m/>
    <m/>
    <n v="0"/>
    <m/>
    <m/>
    <n v="0"/>
    <n v="0"/>
    <n v="0"/>
    <m/>
    <m/>
    <m/>
    <m/>
    <n v="0"/>
    <m/>
    <m/>
    <n v="0"/>
    <m/>
    <m/>
    <m/>
    <m/>
    <m/>
    <m/>
    <n v="0"/>
    <n v="0"/>
  </r>
  <r>
    <x v="2"/>
    <x v="32"/>
    <s v="Need-based"/>
    <m/>
    <m/>
    <x v="12"/>
    <m/>
    <m/>
    <m/>
    <m/>
    <m/>
    <m/>
    <m/>
    <m/>
    <n v="0"/>
    <m/>
    <m/>
    <n v="0"/>
    <n v="0"/>
    <n v="0"/>
    <m/>
    <m/>
    <m/>
    <m/>
    <n v="0"/>
    <m/>
    <m/>
    <n v="0"/>
    <m/>
    <m/>
    <m/>
    <m/>
    <m/>
    <m/>
    <n v="0"/>
    <n v="0"/>
  </r>
  <r>
    <x v="2"/>
    <x v="33"/>
    <s v="Non need-based"/>
    <m/>
    <m/>
    <x v="12"/>
    <m/>
    <m/>
    <m/>
    <m/>
    <m/>
    <m/>
    <m/>
    <m/>
    <n v="0"/>
    <m/>
    <m/>
    <n v="0"/>
    <n v="0"/>
    <n v="0"/>
    <n v="16000"/>
    <n v="23834"/>
    <m/>
    <m/>
    <n v="0"/>
    <m/>
    <m/>
    <n v="0"/>
    <m/>
    <m/>
    <m/>
    <m/>
    <m/>
    <m/>
    <n v="16000"/>
    <n v="23834"/>
  </r>
  <r>
    <x v="2"/>
    <x v="25"/>
    <s v="Critical Need Scholarship"/>
    <m/>
    <m/>
    <x v="12"/>
    <m/>
    <m/>
    <m/>
    <m/>
    <m/>
    <m/>
    <m/>
    <m/>
    <n v="0"/>
    <m/>
    <m/>
    <n v="0"/>
    <n v="0"/>
    <n v="0"/>
    <m/>
    <m/>
    <m/>
    <m/>
    <n v="0"/>
    <m/>
    <m/>
    <n v="0"/>
    <m/>
    <m/>
    <m/>
    <m/>
    <m/>
    <m/>
    <n v="0"/>
    <n v="0"/>
  </r>
  <r>
    <x v="2"/>
    <x v="28"/>
    <s v="To public sector students"/>
    <m/>
    <m/>
    <x v="12"/>
    <m/>
    <m/>
    <m/>
    <m/>
    <m/>
    <m/>
    <m/>
    <m/>
    <n v="0"/>
    <m/>
    <m/>
    <n v="0"/>
    <n v="0"/>
    <n v="0"/>
    <m/>
    <m/>
    <m/>
    <m/>
    <n v="0"/>
    <m/>
    <m/>
    <n v="0"/>
    <m/>
    <m/>
    <m/>
    <m/>
    <m/>
    <m/>
    <n v="0"/>
    <n v="0"/>
  </r>
  <r>
    <x v="2"/>
    <x v="29"/>
    <s v="Need-based"/>
    <m/>
    <m/>
    <x v="12"/>
    <m/>
    <m/>
    <m/>
    <m/>
    <m/>
    <m/>
    <m/>
    <m/>
    <n v="0"/>
    <m/>
    <m/>
    <n v="0"/>
    <n v="0"/>
    <n v="0"/>
    <m/>
    <m/>
    <m/>
    <m/>
    <n v="0"/>
    <m/>
    <m/>
    <n v="0"/>
    <m/>
    <m/>
    <m/>
    <m/>
    <m/>
    <m/>
    <n v="0"/>
    <n v="0"/>
  </r>
  <r>
    <x v="2"/>
    <x v="30"/>
    <s v="Non need-based"/>
    <m/>
    <m/>
    <x v="12"/>
    <m/>
    <m/>
    <m/>
    <m/>
    <m/>
    <m/>
    <m/>
    <m/>
    <n v="0"/>
    <m/>
    <m/>
    <n v="0"/>
    <n v="0"/>
    <n v="0"/>
    <n v="137028"/>
    <n v="129482"/>
    <m/>
    <m/>
    <n v="0"/>
    <m/>
    <m/>
    <n v="0"/>
    <m/>
    <m/>
    <m/>
    <m/>
    <m/>
    <m/>
    <n v="137028"/>
    <n v="129482"/>
  </r>
  <r>
    <x v="2"/>
    <x v="31"/>
    <s v="To private sector students"/>
    <m/>
    <m/>
    <x v="12"/>
    <m/>
    <m/>
    <m/>
    <m/>
    <m/>
    <m/>
    <m/>
    <m/>
    <n v="0"/>
    <m/>
    <m/>
    <n v="0"/>
    <n v="0"/>
    <n v="0"/>
    <m/>
    <m/>
    <m/>
    <m/>
    <n v="0"/>
    <m/>
    <m/>
    <n v="0"/>
    <m/>
    <m/>
    <m/>
    <m/>
    <m/>
    <m/>
    <n v="0"/>
    <n v="0"/>
  </r>
  <r>
    <x v="2"/>
    <x v="32"/>
    <s v="Need-based"/>
    <m/>
    <m/>
    <x v="12"/>
    <m/>
    <m/>
    <m/>
    <m/>
    <m/>
    <m/>
    <m/>
    <m/>
    <n v="0"/>
    <m/>
    <m/>
    <n v="0"/>
    <n v="0"/>
    <n v="0"/>
    <m/>
    <m/>
    <m/>
    <m/>
    <n v="0"/>
    <m/>
    <m/>
    <n v="0"/>
    <m/>
    <m/>
    <m/>
    <m/>
    <m/>
    <m/>
    <n v="0"/>
    <n v="0"/>
  </r>
  <r>
    <x v="2"/>
    <x v="33"/>
    <s v="Non need-based"/>
    <m/>
    <m/>
    <x v="12"/>
    <m/>
    <m/>
    <m/>
    <m/>
    <m/>
    <m/>
    <m/>
    <m/>
    <n v="0"/>
    <m/>
    <m/>
    <n v="0"/>
    <n v="0"/>
    <n v="0"/>
    <n v="32308"/>
    <n v="30511"/>
    <m/>
    <m/>
    <n v="0"/>
    <m/>
    <m/>
    <n v="0"/>
    <m/>
    <m/>
    <m/>
    <m/>
    <m/>
    <m/>
    <n v="32308"/>
    <n v="30511"/>
  </r>
  <r>
    <x v="2"/>
    <x v="25"/>
    <s v="DE State Loan Repayment Program/Physicians &amp; Dentists"/>
    <m/>
    <m/>
    <x v="12"/>
    <m/>
    <m/>
    <m/>
    <m/>
    <m/>
    <m/>
    <m/>
    <m/>
    <n v="0"/>
    <m/>
    <m/>
    <n v="0"/>
    <n v="0"/>
    <n v="0"/>
    <n v="251919"/>
    <n v="269791"/>
    <m/>
    <m/>
    <n v="0"/>
    <m/>
    <m/>
    <n v="0"/>
    <m/>
    <m/>
    <m/>
    <m/>
    <m/>
    <m/>
    <n v="251919"/>
    <n v="269791"/>
  </r>
  <r>
    <x v="2"/>
    <x v="26"/>
    <s v="Need-based"/>
    <m/>
    <m/>
    <x v="12"/>
    <m/>
    <m/>
    <m/>
    <m/>
    <m/>
    <m/>
    <m/>
    <m/>
    <n v="0"/>
    <m/>
    <m/>
    <n v="0"/>
    <n v="0"/>
    <n v="0"/>
    <m/>
    <m/>
    <m/>
    <m/>
    <n v="0"/>
    <m/>
    <m/>
    <n v="0"/>
    <m/>
    <m/>
    <m/>
    <m/>
    <m/>
    <m/>
    <n v="0"/>
    <n v="0"/>
  </r>
  <r>
    <x v="2"/>
    <x v="27"/>
    <s v="Non need-based"/>
    <m/>
    <m/>
    <x v="12"/>
    <m/>
    <m/>
    <m/>
    <m/>
    <m/>
    <m/>
    <m/>
    <m/>
    <n v="0"/>
    <m/>
    <m/>
    <n v="0"/>
    <n v="0"/>
    <n v="0"/>
    <m/>
    <m/>
    <m/>
    <m/>
    <n v="0"/>
    <m/>
    <m/>
    <n v="0"/>
    <m/>
    <m/>
    <m/>
    <m/>
    <m/>
    <m/>
    <n v="0"/>
    <n v="0"/>
  </r>
  <r>
    <x v="2"/>
    <x v="28"/>
    <s v="To public sector students"/>
    <m/>
    <m/>
    <x v="12"/>
    <m/>
    <m/>
    <m/>
    <m/>
    <m/>
    <m/>
    <m/>
    <m/>
    <n v="0"/>
    <m/>
    <m/>
    <n v="0"/>
    <n v="0"/>
    <n v="0"/>
    <m/>
    <m/>
    <m/>
    <m/>
    <n v="0"/>
    <m/>
    <m/>
    <n v="0"/>
    <m/>
    <m/>
    <m/>
    <m/>
    <m/>
    <m/>
    <n v="0"/>
    <n v="0"/>
  </r>
  <r>
    <x v="2"/>
    <x v="29"/>
    <s v="Need-based"/>
    <m/>
    <m/>
    <x v="12"/>
    <m/>
    <m/>
    <m/>
    <m/>
    <m/>
    <m/>
    <m/>
    <m/>
    <n v="0"/>
    <m/>
    <m/>
    <n v="0"/>
    <n v="0"/>
    <n v="0"/>
    <m/>
    <m/>
    <m/>
    <m/>
    <n v="0"/>
    <m/>
    <m/>
    <n v="0"/>
    <m/>
    <m/>
    <m/>
    <m/>
    <m/>
    <m/>
    <n v="0"/>
    <n v="0"/>
  </r>
  <r>
    <x v="2"/>
    <x v="30"/>
    <s v="Non need-based"/>
    <m/>
    <m/>
    <x v="12"/>
    <m/>
    <m/>
    <m/>
    <m/>
    <m/>
    <m/>
    <m/>
    <m/>
    <n v="0"/>
    <m/>
    <m/>
    <n v="0"/>
    <n v="0"/>
    <n v="0"/>
    <m/>
    <m/>
    <m/>
    <m/>
    <n v="0"/>
    <m/>
    <m/>
    <n v="0"/>
    <m/>
    <m/>
    <m/>
    <m/>
    <m/>
    <m/>
    <n v="0"/>
    <n v="0"/>
  </r>
  <r>
    <x v="2"/>
    <x v="31"/>
    <s v="To private sector students"/>
    <m/>
    <m/>
    <x v="12"/>
    <m/>
    <m/>
    <m/>
    <m/>
    <m/>
    <m/>
    <m/>
    <m/>
    <n v="0"/>
    <m/>
    <m/>
    <n v="0"/>
    <n v="0"/>
    <n v="0"/>
    <m/>
    <m/>
    <m/>
    <m/>
    <n v="0"/>
    <m/>
    <m/>
    <n v="0"/>
    <m/>
    <m/>
    <m/>
    <m/>
    <m/>
    <m/>
    <n v="0"/>
    <n v="0"/>
  </r>
  <r>
    <x v="2"/>
    <x v="32"/>
    <s v="Need-based"/>
    <m/>
    <m/>
    <x v="12"/>
    <m/>
    <m/>
    <m/>
    <m/>
    <m/>
    <m/>
    <m/>
    <m/>
    <n v="0"/>
    <m/>
    <m/>
    <n v="0"/>
    <n v="0"/>
    <n v="0"/>
    <m/>
    <m/>
    <m/>
    <m/>
    <n v="0"/>
    <m/>
    <m/>
    <n v="0"/>
    <m/>
    <m/>
    <m/>
    <m/>
    <m/>
    <m/>
    <n v="0"/>
    <n v="0"/>
  </r>
  <r>
    <x v="2"/>
    <x v="33"/>
    <s v="Non need-based"/>
    <m/>
    <m/>
    <x v="12"/>
    <m/>
    <m/>
    <m/>
    <m/>
    <m/>
    <m/>
    <m/>
    <m/>
    <n v="0"/>
    <m/>
    <m/>
    <n v="0"/>
    <n v="0"/>
    <n v="0"/>
    <m/>
    <m/>
    <m/>
    <m/>
    <n v="0"/>
    <m/>
    <m/>
    <n v="0"/>
    <m/>
    <m/>
    <m/>
    <m/>
    <m/>
    <m/>
    <n v="0"/>
    <n v="0"/>
  </r>
  <r>
    <x v="2"/>
    <x v="25"/>
    <s v="DE Institute for Dental Education &amp; Research Scholarships"/>
    <m/>
    <m/>
    <x v="12"/>
    <m/>
    <m/>
    <m/>
    <m/>
    <m/>
    <m/>
    <m/>
    <m/>
    <n v="0"/>
    <m/>
    <m/>
    <n v="0"/>
    <n v="0"/>
    <n v="0"/>
    <m/>
    <m/>
    <m/>
    <m/>
    <n v="0"/>
    <m/>
    <m/>
    <n v="0"/>
    <m/>
    <m/>
    <m/>
    <m/>
    <m/>
    <m/>
    <n v="0"/>
    <n v="0"/>
  </r>
  <r>
    <x v="2"/>
    <x v="26"/>
    <s v="Need-based"/>
    <m/>
    <m/>
    <x v="12"/>
    <m/>
    <m/>
    <m/>
    <m/>
    <m/>
    <m/>
    <m/>
    <m/>
    <n v="0"/>
    <m/>
    <m/>
    <n v="0"/>
    <n v="0"/>
    <n v="0"/>
    <n v="7500"/>
    <n v="7500"/>
    <m/>
    <m/>
    <n v="0"/>
    <m/>
    <m/>
    <n v="0"/>
    <m/>
    <m/>
    <m/>
    <m/>
    <m/>
    <m/>
    <n v="7500"/>
    <n v="7500"/>
  </r>
  <r>
    <x v="2"/>
    <x v="27"/>
    <s v="Non need-based"/>
    <m/>
    <m/>
    <x v="12"/>
    <m/>
    <m/>
    <m/>
    <m/>
    <m/>
    <m/>
    <m/>
    <m/>
    <n v="0"/>
    <m/>
    <m/>
    <n v="0"/>
    <n v="0"/>
    <n v="0"/>
    <n v="20000"/>
    <n v="20000"/>
    <m/>
    <m/>
    <n v="0"/>
    <m/>
    <m/>
    <n v="0"/>
    <m/>
    <m/>
    <m/>
    <m/>
    <m/>
    <m/>
    <n v="20000"/>
    <n v="20000"/>
  </r>
  <r>
    <x v="2"/>
    <x v="28"/>
    <s v="To public sector students"/>
    <m/>
    <m/>
    <x v="12"/>
    <m/>
    <m/>
    <m/>
    <m/>
    <m/>
    <m/>
    <m/>
    <m/>
    <n v="0"/>
    <m/>
    <m/>
    <n v="0"/>
    <n v="0"/>
    <n v="0"/>
    <m/>
    <m/>
    <m/>
    <m/>
    <n v="0"/>
    <m/>
    <m/>
    <n v="0"/>
    <m/>
    <m/>
    <m/>
    <m/>
    <m/>
    <m/>
    <n v="0"/>
    <n v="0"/>
  </r>
  <r>
    <x v="2"/>
    <x v="29"/>
    <s v="Need-based"/>
    <m/>
    <m/>
    <x v="12"/>
    <m/>
    <m/>
    <m/>
    <m/>
    <m/>
    <m/>
    <m/>
    <m/>
    <n v="0"/>
    <m/>
    <m/>
    <n v="0"/>
    <n v="0"/>
    <n v="0"/>
    <m/>
    <m/>
    <m/>
    <m/>
    <n v="0"/>
    <m/>
    <m/>
    <n v="0"/>
    <m/>
    <m/>
    <m/>
    <m/>
    <m/>
    <m/>
    <n v="0"/>
    <n v="0"/>
  </r>
  <r>
    <x v="2"/>
    <x v="30"/>
    <s v="Non need-based"/>
    <m/>
    <m/>
    <x v="12"/>
    <m/>
    <m/>
    <m/>
    <m/>
    <m/>
    <m/>
    <m/>
    <m/>
    <n v="0"/>
    <m/>
    <m/>
    <n v="0"/>
    <n v="0"/>
    <n v="0"/>
    <m/>
    <m/>
    <m/>
    <m/>
    <n v="0"/>
    <m/>
    <m/>
    <n v="0"/>
    <m/>
    <m/>
    <m/>
    <m/>
    <m/>
    <m/>
    <n v="0"/>
    <n v="0"/>
  </r>
  <r>
    <x v="2"/>
    <x v="31"/>
    <s v="To private sector students"/>
    <m/>
    <m/>
    <x v="12"/>
    <m/>
    <m/>
    <m/>
    <m/>
    <m/>
    <m/>
    <m/>
    <m/>
    <n v="0"/>
    <m/>
    <m/>
    <n v="0"/>
    <n v="0"/>
    <n v="0"/>
    <m/>
    <m/>
    <m/>
    <m/>
    <n v="0"/>
    <m/>
    <m/>
    <n v="0"/>
    <m/>
    <m/>
    <m/>
    <m/>
    <m/>
    <m/>
    <n v="0"/>
    <n v="0"/>
  </r>
  <r>
    <x v="2"/>
    <x v="32"/>
    <s v="Need-based"/>
    <m/>
    <m/>
    <x v="12"/>
    <m/>
    <m/>
    <m/>
    <m/>
    <m/>
    <m/>
    <m/>
    <m/>
    <n v="0"/>
    <m/>
    <m/>
    <n v="0"/>
    <n v="0"/>
    <n v="0"/>
    <m/>
    <m/>
    <m/>
    <m/>
    <n v="0"/>
    <m/>
    <m/>
    <n v="0"/>
    <m/>
    <m/>
    <m/>
    <m/>
    <m/>
    <m/>
    <n v="0"/>
    <n v="0"/>
  </r>
  <r>
    <x v="2"/>
    <x v="33"/>
    <s v="Non need-based"/>
    <m/>
    <m/>
    <x v="12"/>
    <m/>
    <m/>
    <m/>
    <m/>
    <m/>
    <m/>
    <m/>
    <m/>
    <n v="0"/>
    <m/>
    <m/>
    <n v="0"/>
    <n v="0"/>
    <n v="0"/>
    <m/>
    <m/>
    <m/>
    <m/>
    <n v="0"/>
    <m/>
    <m/>
    <n v="0"/>
    <m/>
    <m/>
    <m/>
    <m/>
    <m/>
    <m/>
    <n v="0"/>
    <n v="0"/>
  </r>
  <r>
    <x v="2"/>
    <x v="25"/>
    <s v="Inspire Scholarship"/>
    <m/>
    <m/>
    <x v="12"/>
    <m/>
    <m/>
    <m/>
    <m/>
    <m/>
    <m/>
    <m/>
    <m/>
    <n v="0"/>
    <m/>
    <m/>
    <n v="0"/>
    <n v="0"/>
    <n v="0"/>
    <m/>
    <m/>
    <m/>
    <m/>
    <n v="0"/>
    <m/>
    <m/>
    <n v="0"/>
    <m/>
    <m/>
    <m/>
    <m/>
    <m/>
    <m/>
    <n v="0"/>
    <n v="0"/>
  </r>
  <r>
    <x v="2"/>
    <x v="26"/>
    <s v="Need-based"/>
    <m/>
    <m/>
    <x v="12"/>
    <m/>
    <m/>
    <m/>
    <m/>
    <m/>
    <m/>
    <m/>
    <m/>
    <n v="0"/>
    <m/>
    <m/>
    <n v="0"/>
    <n v="0"/>
    <n v="0"/>
    <m/>
    <m/>
    <m/>
    <m/>
    <n v="0"/>
    <m/>
    <m/>
    <n v="0"/>
    <m/>
    <m/>
    <m/>
    <m/>
    <m/>
    <m/>
    <n v="0"/>
    <n v="0"/>
  </r>
  <r>
    <x v="2"/>
    <x v="27"/>
    <s v="Non need-based"/>
    <m/>
    <m/>
    <x v="12"/>
    <m/>
    <m/>
    <m/>
    <m/>
    <m/>
    <m/>
    <m/>
    <m/>
    <n v="0"/>
    <m/>
    <m/>
    <n v="0"/>
    <n v="0"/>
    <n v="0"/>
    <n v="1311924"/>
    <n v="1399500"/>
    <m/>
    <m/>
    <n v="0"/>
    <m/>
    <m/>
    <n v="0"/>
    <m/>
    <m/>
    <m/>
    <m/>
    <m/>
    <m/>
    <n v="1311924"/>
    <n v="1399500"/>
  </r>
  <r>
    <x v="2"/>
    <x v="28"/>
    <s v="To public sector students"/>
    <m/>
    <m/>
    <x v="12"/>
    <m/>
    <m/>
    <m/>
    <m/>
    <m/>
    <m/>
    <m/>
    <m/>
    <n v="0"/>
    <m/>
    <m/>
    <n v="0"/>
    <n v="0"/>
    <n v="0"/>
    <m/>
    <m/>
    <m/>
    <m/>
    <n v="0"/>
    <m/>
    <m/>
    <n v="0"/>
    <m/>
    <m/>
    <m/>
    <m/>
    <m/>
    <m/>
    <n v="0"/>
    <n v="0"/>
  </r>
  <r>
    <x v="2"/>
    <x v="29"/>
    <s v="Need-based"/>
    <m/>
    <m/>
    <x v="12"/>
    <m/>
    <m/>
    <m/>
    <m/>
    <m/>
    <m/>
    <m/>
    <m/>
    <n v="0"/>
    <m/>
    <m/>
    <n v="0"/>
    <n v="0"/>
    <n v="0"/>
    <m/>
    <m/>
    <m/>
    <m/>
    <n v="0"/>
    <m/>
    <m/>
    <n v="0"/>
    <m/>
    <m/>
    <m/>
    <m/>
    <m/>
    <m/>
    <n v="0"/>
    <n v="0"/>
  </r>
  <r>
    <x v="2"/>
    <x v="30"/>
    <s v="Non need-based"/>
    <m/>
    <m/>
    <x v="12"/>
    <m/>
    <m/>
    <m/>
    <m/>
    <m/>
    <m/>
    <m/>
    <m/>
    <n v="0"/>
    <m/>
    <m/>
    <n v="0"/>
    <n v="0"/>
    <n v="0"/>
    <m/>
    <m/>
    <m/>
    <m/>
    <n v="0"/>
    <m/>
    <m/>
    <n v="0"/>
    <m/>
    <m/>
    <m/>
    <m/>
    <m/>
    <m/>
    <n v="0"/>
    <n v="0"/>
  </r>
  <r>
    <x v="2"/>
    <x v="31"/>
    <s v="To private sector students"/>
    <m/>
    <m/>
    <x v="12"/>
    <m/>
    <m/>
    <m/>
    <m/>
    <m/>
    <m/>
    <m/>
    <m/>
    <n v="0"/>
    <m/>
    <m/>
    <n v="0"/>
    <n v="0"/>
    <n v="0"/>
    <m/>
    <m/>
    <m/>
    <m/>
    <n v="0"/>
    <m/>
    <m/>
    <n v="0"/>
    <m/>
    <m/>
    <m/>
    <m/>
    <m/>
    <m/>
    <n v="0"/>
    <n v="0"/>
  </r>
  <r>
    <x v="2"/>
    <x v="32"/>
    <s v="Need-based"/>
    <m/>
    <m/>
    <x v="12"/>
    <m/>
    <m/>
    <m/>
    <m/>
    <m/>
    <m/>
    <m/>
    <m/>
    <n v="0"/>
    <m/>
    <m/>
    <n v="0"/>
    <n v="0"/>
    <n v="0"/>
    <m/>
    <m/>
    <m/>
    <m/>
    <n v="0"/>
    <m/>
    <m/>
    <n v="0"/>
    <m/>
    <m/>
    <m/>
    <m/>
    <m/>
    <m/>
    <n v="0"/>
    <n v="0"/>
  </r>
  <r>
    <x v="2"/>
    <x v="33"/>
    <s v="Non need-based"/>
    <m/>
    <m/>
    <x v="12"/>
    <m/>
    <m/>
    <m/>
    <m/>
    <m/>
    <m/>
    <m/>
    <m/>
    <n v="0"/>
    <m/>
    <m/>
    <n v="0"/>
    <n v="0"/>
    <n v="0"/>
    <m/>
    <m/>
    <m/>
    <m/>
    <n v="0"/>
    <m/>
    <m/>
    <n v="0"/>
    <m/>
    <m/>
    <m/>
    <m/>
    <m/>
    <m/>
    <n v="0"/>
    <n v="0"/>
  </r>
  <r>
    <x v="2"/>
    <x v="34"/>
    <s v="Limited to public college students"/>
    <m/>
    <m/>
    <x v="12"/>
    <m/>
    <m/>
    <m/>
    <m/>
    <m/>
    <m/>
    <m/>
    <m/>
    <n v="0"/>
    <m/>
    <m/>
    <n v="0"/>
    <n v="0"/>
    <n v="0"/>
    <m/>
    <m/>
    <m/>
    <m/>
    <n v="0"/>
    <m/>
    <m/>
    <n v="0"/>
    <m/>
    <m/>
    <m/>
    <m/>
    <m/>
    <m/>
    <n v="0"/>
    <n v="0"/>
  </r>
  <r>
    <x v="2"/>
    <x v="35"/>
    <s v="Need-based"/>
    <m/>
    <m/>
    <x v="12"/>
    <m/>
    <m/>
    <m/>
    <m/>
    <m/>
    <m/>
    <m/>
    <m/>
    <n v="0"/>
    <m/>
    <m/>
    <n v="0"/>
    <n v="0"/>
    <n v="0"/>
    <m/>
    <m/>
    <m/>
    <m/>
    <n v="0"/>
    <m/>
    <m/>
    <n v="0"/>
    <m/>
    <m/>
    <m/>
    <m/>
    <m/>
    <m/>
    <n v="0"/>
    <n v="0"/>
  </r>
  <r>
    <x v="2"/>
    <x v="36"/>
    <s v="Non need-based"/>
    <m/>
    <m/>
    <x v="12"/>
    <m/>
    <m/>
    <m/>
    <m/>
    <m/>
    <m/>
    <m/>
    <m/>
    <n v="0"/>
    <m/>
    <m/>
    <n v="0"/>
    <n v="0"/>
    <n v="0"/>
    <m/>
    <m/>
    <m/>
    <m/>
    <n v="0"/>
    <m/>
    <m/>
    <n v="0"/>
    <m/>
    <m/>
    <m/>
    <m/>
    <m/>
    <m/>
    <n v="0"/>
    <n v="0"/>
  </r>
  <r>
    <x v="2"/>
    <x v="37"/>
    <s v="Limited to private college students"/>
    <m/>
    <m/>
    <x v="12"/>
    <m/>
    <m/>
    <m/>
    <m/>
    <m/>
    <m/>
    <m/>
    <m/>
    <n v="0"/>
    <m/>
    <m/>
    <n v="0"/>
    <n v="0"/>
    <n v="0"/>
    <m/>
    <m/>
    <m/>
    <m/>
    <n v="0"/>
    <m/>
    <m/>
    <n v="0"/>
    <m/>
    <m/>
    <m/>
    <m/>
    <m/>
    <m/>
    <n v="0"/>
    <n v="0"/>
  </r>
  <r>
    <x v="2"/>
    <x v="38"/>
    <s v="Need-based"/>
    <m/>
    <m/>
    <x v="12"/>
    <m/>
    <m/>
    <m/>
    <m/>
    <m/>
    <m/>
    <m/>
    <m/>
    <n v="0"/>
    <m/>
    <m/>
    <n v="0"/>
    <n v="0"/>
    <n v="0"/>
    <m/>
    <m/>
    <m/>
    <m/>
    <n v="0"/>
    <m/>
    <m/>
    <n v="0"/>
    <m/>
    <m/>
    <m/>
    <m/>
    <m/>
    <m/>
    <n v="0"/>
    <n v="0"/>
  </r>
  <r>
    <x v="2"/>
    <x v="39"/>
    <s v="Non need-based"/>
    <m/>
    <m/>
    <x v="12"/>
    <m/>
    <m/>
    <m/>
    <m/>
    <m/>
    <m/>
    <m/>
    <m/>
    <n v="0"/>
    <m/>
    <m/>
    <n v="0"/>
    <n v="0"/>
    <n v="0"/>
    <m/>
    <m/>
    <m/>
    <m/>
    <n v="0"/>
    <m/>
    <m/>
    <n v="0"/>
    <m/>
    <m/>
    <m/>
    <m/>
    <m/>
    <m/>
    <n v="0"/>
    <n v="0"/>
  </r>
  <r>
    <x v="3"/>
    <x v="0"/>
    <s v="Florida International University"/>
    <m/>
    <n v="133951"/>
    <x v="0"/>
    <n v="144002039"/>
    <n v="180169782"/>
    <m/>
    <m/>
    <m/>
    <m/>
    <n v="261154535.21599999"/>
    <n v="4111349.88"/>
    <n v="265265885.09599999"/>
    <n v="231143534"/>
    <n v="3143429.28"/>
    <n v="234286963.28"/>
    <n v="405156574.21599996"/>
    <n v="411313316"/>
    <m/>
    <m/>
    <m/>
    <m/>
    <n v="0"/>
    <m/>
    <m/>
    <n v="0"/>
    <m/>
    <m/>
    <m/>
    <m/>
    <m/>
    <m/>
    <n v="405156574.21599996"/>
    <n v="411313316"/>
  </r>
  <r>
    <x v="3"/>
    <x v="0"/>
    <s v="Student Financial Aid"/>
    <m/>
    <n v="133951"/>
    <x v="0"/>
    <m/>
    <m/>
    <n v="540666"/>
    <n v="540666"/>
    <m/>
    <m/>
    <m/>
    <m/>
    <n v="0"/>
    <m/>
    <m/>
    <n v="0"/>
    <n v="540666"/>
    <n v="540666"/>
    <m/>
    <m/>
    <m/>
    <m/>
    <n v="0"/>
    <m/>
    <m/>
    <n v="0"/>
    <m/>
    <m/>
    <m/>
    <m/>
    <m/>
    <m/>
    <n v="540666"/>
    <n v="540666"/>
  </r>
  <r>
    <x v="3"/>
    <x v="0"/>
    <s v="Risk Management/Casualty Insurance"/>
    <m/>
    <n v="133951"/>
    <x v="0"/>
    <m/>
    <m/>
    <n v="2341466"/>
    <n v="2341466"/>
    <m/>
    <m/>
    <m/>
    <m/>
    <n v="0"/>
    <m/>
    <m/>
    <n v="0"/>
    <n v="2341466"/>
    <n v="2341466"/>
    <m/>
    <m/>
    <m/>
    <m/>
    <n v="0"/>
    <m/>
    <m/>
    <n v="0"/>
    <n v="25447"/>
    <n v="25447"/>
    <m/>
    <m/>
    <m/>
    <m/>
    <n v="2366913"/>
    <n v="2366913"/>
  </r>
  <r>
    <x v="3"/>
    <x v="1"/>
    <s v="Medical School"/>
    <m/>
    <n v="133951"/>
    <x v="0"/>
    <m/>
    <m/>
    <m/>
    <m/>
    <m/>
    <m/>
    <m/>
    <m/>
    <n v="0"/>
    <m/>
    <m/>
    <n v="0"/>
    <n v="0"/>
    <n v="0"/>
    <m/>
    <m/>
    <m/>
    <m/>
    <n v="0"/>
    <m/>
    <m/>
    <n v="0"/>
    <n v="26909795"/>
    <n v="30117725"/>
    <n v="9497901"/>
    <m/>
    <n v="12532971"/>
    <m/>
    <n v="36407696"/>
    <n v="42650696"/>
  </r>
  <r>
    <x v="3"/>
    <x v="7"/>
    <s v="Research centers/institutes"/>
    <m/>
    <n v="137351"/>
    <x v="0"/>
    <m/>
    <m/>
    <m/>
    <m/>
    <m/>
    <m/>
    <m/>
    <m/>
    <n v="0"/>
    <m/>
    <m/>
    <n v="0"/>
    <n v="0"/>
    <n v="0"/>
    <m/>
    <m/>
    <m/>
    <m/>
    <n v="0"/>
    <m/>
    <m/>
    <n v="0"/>
    <m/>
    <m/>
    <m/>
    <m/>
    <m/>
    <m/>
    <n v="0"/>
    <n v="0"/>
  </r>
  <r>
    <x v="3"/>
    <x v="0"/>
    <s v="Florida State University "/>
    <m/>
    <n v="134097"/>
    <x v="0"/>
    <n v="183742301"/>
    <n v="281098267"/>
    <m/>
    <m/>
    <m/>
    <m/>
    <n v="211436025.39120001"/>
    <n v="2738169.94"/>
    <n v="214174195.3312"/>
    <n v="321427655"/>
    <n v="2082630.14"/>
    <n v="323510285.13999999"/>
    <n v="395178326.39120001"/>
    <n v="602525922"/>
    <m/>
    <m/>
    <m/>
    <m/>
    <n v="0"/>
    <m/>
    <m/>
    <n v="0"/>
    <m/>
    <m/>
    <m/>
    <m/>
    <m/>
    <m/>
    <n v="395178326.39120001"/>
    <n v="602525922"/>
  </r>
  <r>
    <x v="3"/>
    <x v="0"/>
    <s v="Student Financial Aid"/>
    <m/>
    <n v="134097"/>
    <x v="0"/>
    <m/>
    <m/>
    <n v="1467667"/>
    <n v="1467667"/>
    <m/>
    <m/>
    <m/>
    <m/>
    <n v="0"/>
    <m/>
    <m/>
    <n v="0"/>
    <n v="1467667"/>
    <n v="1467667"/>
    <m/>
    <m/>
    <m/>
    <m/>
    <n v="0"/>
    <m/>
    <m/>
    <n v="0"/>
    <m/>
    <m/>
    <m/>
    <m/>
    <m/>
    <m/>
    <n v="1467667"/>
    <n v="1467667"/>
  </r>
  <r>
    <x v="3"/>
    <x v="0"/>
    <s v="Risk Management/Casualty Insurance"/>
    <m/>
    <n v="134097"/>
    <x v="0"/>
    <m/>
    <m/>
    <n v="1866409"/>
    <n v="1866406"/>
    <m/>
    <m/>
    <m/>
    <m/>
    <n v="0"/>
    <m/>
    <m/>
    <n v="0"/>
    <n v="1866409"/>
    <n v="1866406"/>
    <m/>
    <m/>
    <m/>
    <m/>
    <n v="0"/>
    <m/>
    <m/>
    <n v="0"/>
    <n v="60964"/>
    <n v="60964"/>
    <m/>
    <m/>
    <m/>
    <m/>
    <n v="1927373"/>
    <n v="1927370"/>
  </r>
  <r>
    <x v="3"/>
    <x v="1"/>
    <s v="Medical School"/>
    <m/>
    <n v="134097"/>
    <x v="0"/>
    <m/>
    <m/>
    <m/>
    <m/>
    <m/>
    <m/>
    <m/>
    <m/>
    <n v="0"/>
    <m/>
    <m/>
    <n v="0"/>
    <n v="0"/>
    <n v="0"/>
    <m/>
    <m/>
    <m/>
    <m/>
    <n v="0"/>
    <m/>
    <m/>
    <n v="0"/>
    <n v="33218086"/>
    <n v="34069946"/>
    <n v="11572716"/>
    <m/>
    <n v="11572716"/>
    <m/>
    <n v="44790802"/>
    <n v="45642662"/>
  </r>
  <r>
    <x v="3"/>
    <x v="1"/>
    <s v="College of Medicine Autism Program"/>
    <m/>
    <n v="134097"/>
    <x v="0"/>
    <m/>
    <m/>
    <m/>
    <m/>
    <m/>
    <m/>
    <m/>
    <m/>
    <n v="0"/>
    <m/>
    <m/>
    <n v="0"/>
    <n v="0"/>
    <n v="0"/>
    <m/>
    <m/>
    <m/>
    <m/>
    <n v="0"/>
    <m/>
    <m/>
    <n v="0"/>
    <n v="770762"/>
    <n v="1056231"/>
    <m/>
    <m/>
    <m/>
    <m/>
    <n v="770762"/>
    <n v="1056231"/>
  </r>
  <r>
    <x v="3"/>
    <x v="3"/>
    <s v="Community or public service units"/>
    <m/>
    <n v="134097"/>
    <x v="0"/>
    <m/>
    <m/>
    <n v="396525"/>
    <n v="396525"/>
    <m/>
    <m/>
    <m/>
    <m/>
    <n v="0"/>
    <m/>
    <m/>
    <n v="0"/>
    <n v="396525"/>
    <n v="396525"/>
    <m/>
    <m/>
    <m/>
    <m/>
    <n v="0"/>
    <m/>
    <m/>
    <n v="0"/>
    <m/>
    <m/>
    <m/>
    <m/>
    <m/>
    <m/>
    <n v="396525"/>
    <n v="396525"/>
  </r>
  <r>
    <x v="3"/>
    <x v="3"/>
    <s v="Off-Campus Volunteers"/>
    <m/>
    <n v="134097"/>
    <x v="0"/>
    <m/>
    <m/>
    <m/>
    <m/>
    <m/>
    <m/>
    <m/>
    <m/>
    <n v="0"/>
    <m/>
    <m/>
    <n v="0"/>
    <n v="0"/>
    <n v="0"/>
    <m/>
    <m/>
    <m/>
    <m/>
    <n v="0"/>
    <m/>
    <m/>
    <n v="0"/>
    <m/>
    <m/>
    <m/>
    <m/>
    <m/>
    <m/>
    <n v="0"/>
    <n v="0"/>
  </r>
  <r>
    <x v="3"/>
    <x v="3"/>
    <s v="Developmental Research School"/>
    <m/>
    <n v="134097"/>
    <x v="0"/>
    <m/>
    <m/>
    <n v="14622183"/>
    <n v="15685691"/>
    <m/>
    <m/>
    <m/>
    <m/>
    <n v="0"/>
    <m/>
    <m/>
    <n v="0"/>
    <n v="14622183"/>
    <n v="15685691"/>
    <m/>
    <m/>
    <m/>
    <m/>
    <n v="0"/>
    <m/>
    <m/>
    <n v="0"/>
    <m/>
    <m/>
    <m/>
    <m/>
    <m/>
    <m/>
    <n v="14622183"/>
    <n v="15685691"/>
  </r>
  <r>
    <x v="3"/>
    <x v="7"/>
    <s v="Research centers/institutes"/>
    <m/>
    <n v="134097"/>
    <x v="0"/>
    <m/>
    <m/>
    <m/>
    <m/>
    <m/>
    <m/>
    <m/>
    <m/>
    <n v="0"/>
    <m/>
    <m/>
    <n v="0"/>
    <n v="0"/>
    <n v="0"/>
    <m/>
    <m/>
    <m/>
    <m/>
    <n v="0"/>
    <m/>
    <m/>
    <n v="0"/>
    <m/>
    <m/>
    <m/>
    <m/>
    <m/>
    <m/>
    <n v="0"/>
    <n v="0"/>
  </r>
  <r>
    <x v="3"/>
    <x v="0"/>
    <s v="University of Central Florida "/>
    <m/>
    <n v="132903"/>
    <x v="0"/>
    <n v="169739027"/>
    <n v="231379810"/>
    <m/>
    <m/>
    <m/>
    <m/>
    <n v="259522578.1672"/>
    <n v="4657345.88"/>
    <n v="264179924.04719999"/>
    <n v="265735348"/>
    <n v="3968254.73"/>
    <n v="269703602.73000002"/>
    <n v="429261605.16719997"/>
    <n v="497115158"/>
    <m/>
    <m/>
    <m/>
    <m/>
    <n v="0"/>
    <m/>
    <m/>
    <n v="0"/>
    <m/>
    <m/>
    <m/>
    <m/>
    <m/>
    <m/>
    <n v="429261605.16719997"/>
    <n v="497115158"/>
  </r>
  <r>
    <x v="3"/>
    <x v="0"/>
    <s v="Student Financial Aid"/>
    <m/>
    <n v="132903"/>
    <x v="0"/>
    <m/>
    <m/>
    <n v="858405"/>
    <n v="858405"/>
    <m/>
    <m/>
    <m/>
    <m/>
    <n v="0"/>
    <m/>
    <m/>
    <n v="0"/>
    <n v="858405"/>
    <n v="858405"/>
    <m/>
    <m/>
    <m/>
    <m/>
    <n v="0"/>
    <m/>
    <m/>
    <n v="0"/>
    <m/>
    <m/>
    <m/>
    <m/>
    <m/>
    <m/>
    <n v="858405"/>
    <n v="858405"/>
  </r>
  <r>
    <x v="3"/>
    <x v="0"/>
    <s v="Risk Management/Casualty Insurance"/>
    <m/>
    <n v="132903"/>
    <x v="0"/>
    <m/>
    <m/>
    <n v="2002312"/>
    <n v="2002312"/>
    <m/>
    <m/>
    <m/>
    <m/>
    <n v="0"/>
    <m/>
    <m/>
    <n v="0"/>
    <n v="2002312"/>
    <n v="2002312"/>
    <m/>
    <m/>
    <m/>
    <m/>
    <n v="0"/>
    <m/>
    <m/>
    <n v="0"/>
    <m/>
    <m/>
    <m/>
    <m/>
    <m/>
    <m/>
    <n v="2002312"/>
    <n v="2002312"/>
  </r>
  <r>
    <x v="3"/>
    <x v="1"/>
    <s v="Medical School"/>
    <m/>
    <n v="132903"/>
    <x v="0"/>
    <m/>
    <m/>
    <m/>
    <m/>
    <m/>
    <m/>
    <m/>
    <m/>
    <n v="0"/>
    <m/>
    <m/>
    <n v="0"/>
    <n v="0"/>
    <n v="0"/>
    <m/>
    <m/>
    <m/>
    <m/>
    <n v="0"/>
    <m/>
    <m/>
    <n v="0"/>
    <n v="22989863"/>
    <n v="24251830"/>
    <n v="8180191"/>
    <m/>
    <n v="10547071"/>
    <m/>
    <n v="31170054"/>
    <n v="34798901"/>
  </r>
  <r>
    <x v="3"/>
    <x v="3"/>
    <s v="Community or public service units"/>
    <m/>
    <n v="132903"/>
    <x v="0"/>
    <m/>
    <m/>
    <m/>
    <m/>
    <m/>
    <m/>
    <m/>
    <m/>
    <n v="0"/>
    <m/>
    <m/>
    <n v="0"/>
    <n v="0"/>
    <n v="0"/>
    <m/>
    <m/>
    <m/>
    <m/>
    <n v="0"/>
    <m/>
    <m/>
    <n v="0"/>
    <m/>
    <m/>
    <m/>
    <m/>
    <m/>
    <m/>
    <n v="0"/>
    <n v="0"/>
  </r>
  <r>
    <x v="3"/>
    <x v="3"/>
    <s v="Autism Program"/>
    <m/>
    <n v="132903"/>
    <x v="0"/>
    <m/>
    <m/>
    <n v="822012"/>
    <n v="1126462"/>
    <m/>
    <m/>
    <m/>
    <m/>
    <n v="0"/>
    <m/>
    <m/>
    <n v="0"/>
    <n v="822012"/>
    <n v="1126462"/>
    <m/>
    <m/>
    <m/>
    <m/>
    <n v="0"/>
    <m/>
    <m/>
    <n v="0"/>
    <m/>
    <m/>
    <m/>
    <m/>
    <m/>
    <m/>
    <n v="822012"/>
    <n v="1126462"/>
  </r>
  <r>
    <x v="3"/>
    <x v="7"/>
    <s v="Research centers/institutes"/>
    <m/>
    <n v="132903"/>
    <x v="0"/>
    <m/>
    <m/>
    <m/>
    <m/>
    <m/>
    <m/>
    <m/>
    <m/>
    <n v="0"/>
    <m/>
    <m/>
    <n v="0"/>
    <n v="0"/>
    <n v="0"/>
    <m/>
    <m/>
    <m/>
    <m/>
    <n v="0"/>
    <m/>
    <m/>
    <n v="0"/>
    <m/>
    <m/>
    <m/>
    <m/>
    <m/>
    <m/>
    <n v="0"/>
    <n v="0"/>
  </r>
  <r>
    <x v="3"/>
    <x v="0"/>
    <s v="University of Florida"/>
    <m/>
    <n v="134130"/>
    <x v="0"/>
    <n v="239709077"/>
    <n v="333379108"/>
    <m/>
    <m/>
    <m/>
    <m/>
    <n v="318801731.68239999"/>
    <n v="4553606.6399999997"/>
    <n v="323355338.32239997"/>
    <n v="319931712"/>
    <n v="3578573.42"/>
    <n v="323510285.42000002"/>
    <n v="558510808.68239999"/>
    <n v="653310820"/>
    <m/>
    <m/>
    <m/>
    <m/>
    <n v="0"/>
    <m/>
    <m/>
    <n v="0"/>
    <m/>
    <m/>
    <m/>
    <m/>
    <m/>
    <m/>
    <n v="558510808.68239999"/>
    <n v="653310820"/>
  </r>
  <r>
    <x v="3"/>
    <x v="0"/>
    <s v="Student Financial Aid"/>
    <m/>
    <n v="134130"/>
    <x v="0"/>
    <m/>
    <m/>
    <n v="1737381"/>
    <n v="1737381"/>
    <m/>
    <m/>
    <m/>
    <m/>
    <n v="0"/>
    <m/>
    <m/>
    <n v="0"/>
    <n v="1737381"/>
    <n v="1737381"/>
    <m/>
    <m/>
    <m/>
    <m/>
    <n v="0"/>
    <m/>
    <m/>
    <n v="0"/>
    <m/>
    <m/>
    <m/>
    <m/>
    <m/>
    <m/>
    <n v="1737381"/>
    <n v="1737381"/>
  </r>
  <r>
    <x v="3"/>
    <x v="0"/>
    <s v="Risk Management/Casualty Insurance"/>
    <m/>
    <n v="134130"/>
    <x v="0"/>
    <m/>
    <m/>
    <n v="4180872"/>
    <n v="4180872"/>
    <m/>
    <m/>
    <m/>
    <m/>
    <n v="0"/>
    <m/>
    <m/>
    <n v="0"/>
    <n v="4180872"/>
    <n v="4180872"/>
    <m/>
    <m/>
    <m/>
    <m/>
    <n v="0"/>
    <m/>
    <m/>
    <n v="0"/>
    <n v="1245416"/>
    <n v="1245416"/>
    <m/>
    <m/>
    <m/>
    <m/>
    <n v="5426288"/>
    <n v="5426288"/>
  </r>
  <r>
    <x v="3"/>
    <x v="1"/>
    <s v="Medical School"/>
    <m/>
    <n v="134130"/>
    <x v="0"/>
    <m/>
    <m/>
    <m/>
    <m/>
    <m/>
    <m/>
    <m/>
    <m/>
    <n v="0"/>
    <m/>
    <m/>
    <n v="0"/>
    <n v="0"/>
    <n v="0"/>
    <m/>
    <m/>
    <m/>
    <m/>
    <n v="0"/>
    <m/>
    <m/>
    <n v="0"/>
    <n v="93115462"/>
    <n v="106517352"/>
    <n v="38463434"/>
    <m/>
    <n v="38463434"/>
    <m/>
    <n v="131578896"/>
    <n v="144980786"/>
  </r>
  <r>
    <x v="3"/>
    <x v="1"/>
    <s v="College of Medicine Autism Program"/>
    <m/>
    <n v="134130"/>
    <x v="0"/>
    <m/>
    <m/>
    <m/>
    <m/>
    <m/>
    <m/>
    <m/>
    <m/>
    <n v="0"/>
    <m/>
    <m/>
    <n v="0"/>
    <n v="0"/>
    <n v="0"/>
    <m/>
    <m/>
    <m/>
    <m/>
    <n v="0"/>
    <m/>
    <m/>
    <n v="0"/>
    <n v="665642"/>
    <n v="912177"/>
    <m/>
    <m/>
    <m/>
    <m/>
    <n v="665642"/>
    <n v="912177"/>
  </r>
  <r>
    <x v="3"/>
    <x v="1"/>
    <s v="Jacksonville Autism Program"/>
    <m/>
    <n v="134130"/>
    <x v="0"/>
    <m/>
    <m/>
    <m/>
    <m/>
    <m/>
    <m/>
    <m/>
    <m/>
    <n v="0"/>
    <m/>
    <m/>
    <n v="0"/>
    <n v="0"/>
    <n v="0"/>
    <m/>
    <m/>
    <m/>
    <m/>
    <n v="0"/>
    <m/>
    <m/>
    <n v="0"/>
    <n v="693670"/>
    <n v="950586"/>
    <m/>
    <m/>
    <m/>
    <m/>
    <n v="693670"/>
    <n v="950586"/>
  </r>
  <r>
    <x v="3"/>
    <x v="3"/>
    <s v="Community or public service units"/>
    <m/>
    <n v="134130"/>
    <x v="0"/>
    <m/>
    <m/>
    <n v="396525"/>
    <n v="396525"/>
    <m/>
    <m/>
    <m/>
    <m/>
    <n v="0"/>
    <m/>
    <m/>
    <n v="0"/>
    <n v="396525"/>
    <n v="396525"/>
    <m/>
    <m/>
    <m/>
    <m/>
    <n v="0"/>
    <m/>
    <m/>
    <n v="0"/>
    <n v="396526"/>
    <n v="396526"/>
    <m/>
    <m/>
    <m/>
    <m/>
    <n v="793051"/>
    <n v="793051"/>
  </r>
  <r>
    <x v="3"/>
    <x v="3"/>
    <s v="Developmental Research School"/>
    <m/>
    <n v="134130"/>
    <x v="0"/>
    <m/>
    <m/>
    <n v="7317553"/>
    <n v="7879690"/>
    <m/>
    <m/>
    <m/>
    <m/>
    <n v="0"/>
    <m/>
    <m/>
    <n v="0"/>
    <n v="7317553"/>
    <n v="7879690"/>
    <m/>
    <m/>
    <m/>
    <m/>
    <n v="0"/>
    <m/>
    <m/>
    <n v="0"/>
    <m/>
    <m/>
    <m/>
    <m/>
    <m/>
    <m/>
    <n v="7317553"/>
    <n v="7879690"/>
  </r>
  <r>
    <x v="3"/>
    <x v="5"/>
    <s v="Agricultural cooperative extension"/>
    <m/>
    <n v="134130"/>
    <x v="0"/>
    <m/>
    <m/>
    <n v="136170810"/>
    <n v="140867350"/>
    <m/>
    <m/>
    <m/>
    <m/>
    <n v="0"/>
    <m/>
    <m/>
    <n v="0"/>
    <n v="136170810"/>
    <n v="140867350"/>
    <m/>
    <m/>
    <m/>
    <m/>
    <n v="0"/>
    <m/>
    <m/>
    <n v="0"/>
    <m/>
    <m/>
    <m/>
    <m/>
    <m/>
    <m/>
    <n v="136170810"/>
    <n v="140867350"/>
  </r>
  <r>
    <x v="3"/>
    <x v="7"/>
    <s v="Research centers/institutes"/>
    <m/>
    <n v="134130"/>
    <x v="0"/>
    <m/>
    <m/>
    <m/>
    <m/>
    <m/>
    <m/>
    <m/>
    <m/>
    <n v="0"/>
    <m/>
    <m/>
    <n v="0"/>
    <n v="0"/>
    <n v="0"/>
    <m/>
    <m/>
    <m/>
    <m/>
    <n v="0"/>
    <m/>
    <m/>
    <n v="0"/>
    <m/>
    <m/>
    <m/>
    <m/>
    <m/>
    <m/>
    <n v="0"/>
    <n v="0"/>
  </r>
  <r>
    <x v="3"/>
    <x v="0"/>
    <s v="University of South Florida "/>
    <m/>
    <n v="137351"/>
    <x v="0"/>
    <n v="178901301"/>
    <n v="237006347"/>
    <m/>
    <m/>
    <m/>
    <m/>
    <n v="184647930.8184"/>
    <n v="4209629.16"/>
    <n v="188857559.97839999"/>
    <n v="184234647"/>
    <n v="3178067.62"/>
    <n v="187412714.62"/>
    <n v="363549231.81840003"/>
    <n v="421240994"/>
    <m/>
    <m/>
    <m/>
    <m/>
    <n v="0"/>
    <m/>
    <m/>
    <n v="0"/>
    <m/>
    <m/>
    <m/>
    <m/>
    <m/>
    <m/>
    <n v="363549231.81840003"/>
    <n v="421240994"/>
  </r>
  <r>
    <x v="3"/>
    <x v="0"/>
    <s v="Student Financial Aid"/>
    <m/>
    <n v="137351"/>
    <x v="0"/>
    <m/>
    <m/>
    <n v="801368"/>
    <n v="801368"/>
    <m/>
    <m/>
    <m/>
    <m/>
    <n v="0"/>
    <m/>
    <m/>
    <n v="0"/>
    <n v="801368"/>
    <n v="801368"/>
    <m/>
    <m/>
    <m/>
    <m/>
    <n v="0"/>
    <m/>
    <m/>
    <n v="0"/>
    <m/>
    <m/>
    <m/>
    <m/>
    <m/>
    <m/>
    <n v="801368"/>
    <n v="801368"/>
  </r>
  <r>
    <x v="3"/>
    <x v="0"/>
    <s v="Risk Management/Casualty Insurance"/>
    <m/>
    <n v="137351"/>
    <x v="0"/>
    <m/>
    <m/>
    <n v="2833975"/>
    <n v="2833974"/>
    <m/>
    <m/>
    <m/>
    <m/>
    <n v="0"/>
    <m/>
    <m/>
    <n v="0"/>
    <n v="2833975"/>
    <n v="2833974"/>
    <m/>
    <m/>
    <m/>
    <m/>
    <n v="0"/>
    <m/>
    <m/>
    <n v="0"/>
    <n v="435115"/>
    <n v="435115"/>
    <m/>
    <m/>
    <m/>
    <m/>
    <n v="3269090"/>
    <n v="3269089"/>
  </r>
  <r>
    <x v="3"/>
    <x v="1"/>
    <s v="Medical School"/>
    <m/>
    <n v="137351"/>
    <x v="0"/>
    <m/>
    <m/>
    <m/>
    <m/>
    <m/>
    <m/>
    <m/>
    <m/>
    <n v="0"/>
    <m/>
    <m/>
    <n v="0"/>
    <n v="0"/>
    <n v="0"/>
    <m/>
    <m/>
    <m/>
    <m/>
    <n v="0"/>
    <m/>
    <m/>
    <n v="0"/>
    <n v="65857893"/>
    <n v="71495597"/>
    <n v="52707893"/>
    <m/>
    <n v="54895487"/>
    <m/>
    <n v="118565786"/>
    <n v="126391084"/>
  </r>
  <r>
    <x v="3"/>
    <x v="7"/>
    <s v="Research centers/institutes"/>
    <m/>
    <n v="137351"/>
    <x v="0"/>
    <m/>
    <m/>
    <n v="396525"/>
    <n v="396525"/>
    <m/>
    <m/>
    <m/>
    <m/>
    <n v="0"/>
    <m/>
    <m/>
    <n v="0"/>
    <n v="396525"/>
    <n v="396525"/>
    <m/>
    <m/>
    <m/>
    <m/>
    <n v="0"/>
    <m/>
    <m/>
    <n v="0"/>
    <m/>
    <m/>
    <m/>
    <m/>
    <m/>
    <m/>
    <n v="396525"/>
    <n v="396525"/>
  </r>
  <r>
    <x v="3"/>
    <x v="7"/>
    <s v="Phosphate Research"/>
    <m/>
    <n v="137351"/>
    <x v="0"/>
    <m/>
    <m/>
    <n v="0"/>
    <n v="0"/>
    <m/>
    <m/>
    <m/>
    <m/>
    <n v="0"/>
    <m/>
    <m/>
    <n v="0"/>
    <n v="0"/>
    <n v="0"/>
    <m/>
    <m/>
    <m/>
    <m/>
    <n v="0"/>
    <m/>
    <m/>
    <n v="0"/>
    <m/>
    <m/>
    <m/>
    <m/>
    <m/>
    <m/>
    <n v="0"/>
    <n v="0"/>
  </r>
  <r>
    <x v="3"/>
    <x v="8"/>
    <s v="Special line items for education operations"/>
    <m/>
    <n v="137351"/>
    <x v="0"/>
    <m/>
    <m/>
    <m/>
    <m/>
    <m/>
    <m/>
    <m/>
    <m/>
    <n v="0"/>
    <m/>
    <m/>
    <n v="0"/>
    <n v="0"/>
    <n v="0"/>
    <m/>
    <m/>
    <m/>
    <m/>
    <n v="0"/>
    <m/>
    <m/>
    <n v="0"/>
    <m/>
    <m/>
    <m/>
    <m/>
    <m/>
    <m/>
    <n v="0"/>
    <n v="0"/>
  </r>
  <r>
    <x v="3"/>
    <x v="8"/>
    <s v="Mental Health Institute Autism Program"/>
    <m/>
    <n v="137351"/>
    <x v="0"/>
    <m/>
    <m/>
    <m/>
    <m/>
    <m/>
    <m/>
    <m/>
    <m/>
    <n v="0"/>
    <m/>
    <m/>
    <n v="0"/>
    <n v="0"/>
    <n v="0"/>
    <m/>
    <m/>
    <m/>
    <m/>
    <n v="0"/>
    <m/>
    <m/>
    <n v="0"/>
    <n v="959893"/>
    <n v="1315410"/>
    <m/>
    <m/>
    <m/>
    <m/>
    <n v="959893"/>
    <n v="1315410"/>
  </r>
  <r>
    <x v="3"/>
    <x v="0"/>
    <s v="Florida Atlantic University "/>
    <s v="Met the criteria for Four-Year 1 in 2012-13 and 2013-14."/>
    <n v="133669"/>
    <x v="1"/>
    <n v="105414476"/>
    <n v="134534266"/>
    <m/>
    <m/>
    <m/>
    <m/>
    <n v="114182180.752"/>
    <n v="2208553.8199999998"/>
    <n v="116390734.572"/>
    <n v="123055364"/>
    <n v="1918098.03"/>
    <n v="124973462.03"/>
    <n v="219596656.752"/>
    <n v="257589630"/>
    <m/>
    <m/>
    <m/>
    <m/>
    <n v="0"/>
    <m/>
    <m/>
    <n v="0"/>
    <m/>
    <m/>
    <m/>
    <m/>
    <m/>
    <m/>
    <n v="219596656.752"/>
    <n v="257589630"/>
  </r>
  <r>
    <x v="3"/>
    <x v="8"/>
    <s v="Student Financial Aid"/>
    <m/>
    <n v="133669"/>
    <x v="1"/>
    <m/>
    <m/>
    <n v="399658"/>
    <n v="399658"/>
    <m/>
    <m/>
    <m/>
    <m/>
    <n v="0"/>
    <m/>
    <m/>
    <n v="0"/>
    <n v="399658"/>
    <n v="399658"/>
    <m/>
    <m/>
    <m/>
    <m/>
    <n v="0"/>
    <m/>
    <m/>
    <n v="0"/>
    <m/>
    <m/>
    <m/>
    <m/>
    <m/>
    <m/>
    <n v="399658"/>
    <n v="399658"/>
  </r>
  <r>
    <x v="3"/>
    <x v="8"/>
    <s v="Risk Management/Casualty Insurance"/>
    <m/>
    <n v="133669"/>
    <x v="1"/>
    <m/>
    <m/>
    <n v="1555218"/>
    <n v="1555218"/>
    <m/>
    <m/>
    <m/>
    <m/>
    <n v="0"/>
    <m/>
    <m/>
    <n v="0"/>
    <n v="1555218"/>
    <n v="1555218"/>
    <m/>
    <m/>
    <m/>
    <m/>
    <n v="0"/>
    <m/>
    <m/>
    <n v="0"/>
    <m/>
    <m/>
    <m/>
    <m/>
    <m/>
    <m/>
    <n v="1555218"/>
    <n v="1555218"/>
  </r>
  <r>
    <x v="3"/>
    <x v="1"/>
    <s v="Medical School"/>
    <m/>
    <n v="133669"/>
    <x v="1"/>
    <m/>
    <m/>
    <m/>
    <m/>
    <m/>
    <m/>
    <m/>
    <m/>
    <n v="0"/>
    <m/>
    <m/>
    <n v="0"/>
    <n v="0"/>
    <n v="0"/>
    <m/>
    <m/>
    <m/>
    <m/>
    <n v="0"/>
    <m/>
    <m/>
    <n v="0"/>
    <n v="12778503"/>
    <n v="14535791"/>
    <n v="4196880"/>
    <m/>
    <n v="6158280"/>
    <m/>
    <n v="16975383"/>
    <n v="20694071"/>
  </r>
  <r>
    <x v="3"/>
    <x v="8"/>
    <s v="Special line items for education operations"/>
    <m/>
    <n v="133669"/>
    <x v="1"/>
    <m/>
    <m/>
    <m/>
    <m/>
    <m/>
    <m/>
    <m/>
    <m/>
    <n v="0"/>
    <m/>
    <m/>
    <n v="0"/>
    <n v="0"/>
    <n v="0"/>
    <m/>
    <m/>
    <m/>
    <m/>
    <n v="0"/>
    <m/>
    <m/>
    <n v="0"/>
    <m/>
    <m/>
    <m/>
    <m/>
    <m/>
    <m/>
    <n v="0"/>
    <n v="0"/>
  </r>
  <r>
    <x v="3"/>
    <x v="8"/>
    <s v="Autism Program"/>
    <m/>
    <n v="133669"/>
    <x v="1"/>
    <m/>
    <m/>
    <n v="520579"/>
    <n v="713387"/>
    <m/>
    <m/>
    <m/>
    <m/>
    <n v="0"/>
    <m/>
    <m/>
    <n v="0"/>
    <n v="520579"/>
    <n v="713387"/>
    <m/>
    <m/>
    <m/>
    <m/>
    <n v="0"/>
    <m/>
    <m/>
    <n v="0"/>
    <m/>
    <m/>
    <m/>
    <m/>
    <m/>
    <m/>
    <n v="520579"/>
    <n v="713387"/>
  </r>
  <r>
    <x v="3"/>
    <x v="3"/>
    <s v="Community or public service units"/>
    <m/>
    <n v="133669"/>
    <x v="1"/>
    <m/>
    <m/>
    <m/>
    <m/>
    <m/>
    <m/>
    <m/>
    <m/>
    <n v="0"/>
    <m/>
    <m/>
    <n v="0"/>
    <n v="0"/>
    <n v="0"/>
    <m/>
    <m/>
    <m/>
    <m/>
    <n v="0"/>
    <m/>
    <m/>
    <n v="0"/>
    <m/>
    <m/>
    <m/>
    <m/>
    <m/>
    <m/>
    <n v="0"/>
    <n v="0"/>
  </r>
  <r>
    <x v="3"/>
    <x v="3"/>
    <s v="Developmental Research School"/>
    <m/>
    <n v="133669"/>
    <x v="1"/>
    <m/>
    <m/>
    <n v="13920039"/>
    <n v="15171391"/>
    <m/>
    <m/>
    <m/>
    <m/>
    <n v="0"/>
    <m/>
    <m/>
    <n v="0"/>
    <n v="13920039"/>
    <n v="15171391"/>
    <m/>
    <m/>
    <m/>
    <m/>
    <n v="0"/>
    <m/>
    <m/>
    <n v="0"/>
    <m/>
    <m/>
    <m/>
    <m/>
    <m/>
    <m/>
    <n v="13920039"/>
    <n v="15171391"/>
  </r>
  <r>
    <x v="3"/>
    <x v="7"/>
    <s v="Research centers/institutes"/>
    <m/>
    <n v="133669"/>
    <x v="1"/>
    <m/>
    <m/>
    <m/>
    <m/>
    <m/>
    <m/>
    <m/>
    <m/>
    <n v="0"/>
    <m/>
    <m/>
    <n v="0"/>
    <n v="0"/>
    <n v="0"/>
    <m/>
    <m/>
    <m/>
    <m/>
    <n v="0"/>
    <m/>
    <m/>
    <n v="0"/>
    <m/>
    <m/>
    <m/>
    <m/>
    <m/>
    <m/>
    <n v="0"/>
    <n v="0"/>
  </r>
  <r>
    <x v="3"/>
    <x v="0"/>
    <s v="Florida Agricultural &amp; Mechanical University "/>
    <m/>
    <n v="133650"/>
    <x v="2"/>
    <n v="75662081"/>
    <n v="94711127"/>
    <m/>
    <m/>
    <m/>
    <m/>
    <n v="70716476.933599994"/>
    <n v="1171161.42"/>
    <n v="71887638.353599995"/>
    <n v="73144276"/>
    <n v="874618.06"/>
    <n v="74018894.060000002"/>
    <n v="146378557.93360001"/>
    <n v="167855403"/>
    <m/>
    <m/>
    <m/>
    <m/>
    <n v="0"/>
    <m/>
    <m/>
    <n v="0"/>
    <m/>
    <m/>
    <m/>
    <m/>
    <m/>
    <m/>
    <n v="146378557.93360001"/>
    <n v="167855403"/>
  </r>
  <r>
    <x v="3"/>
    <x v="0"/>
    <s v="Student Financial Aid"/>
    <m/>
    <n v="133650"/>
    <x v="2"/>
    <m/>
    <m/>
    <n v="624417"/>
    <n v="624417"/>
    <m/>
    <m/>
    <m/>
    <m/>
    <n v="0"/>
    <m/>
    <m/>
    <n v="0"/>
    <n v="624417"/>
    <n v="624417"/>
    <m/>
    <m/>
    <m/>
    <m/>
    <n v="0"/>
    <m/>
    <m/>
    <n v="0"/>
    <m/>
    <m/>
    <m/>
    <m/>
    <m/>
    <m/>
    <n v="624417"/>
    <n v="624417"/>
  </r>
  <r>
    <x v="3"/>
    <x v="0"/>
    <s v="Risk Management/Casualty Insurance"/>
    <m/>
    <n v="133650"/>
    <x v="2"/>
    <m/>
    <m/>
    <n v="1172091"/>
    <n v="1172091"/>
    <m/>
    <m/>
    <m/>
    <m/>
    <n v="0"/>
    <m/>
    <m/>
    <n v="0"/>
    <n v="1172091"/>
    <n v="1172091"/>
    <m/>
    <m/>
    <m/>
    <m/>
    <n v="0"/>
    <m/>
    <m/>
    <n v="0"/>
    <m/>
    <m/>
    <m/>
    <m/>
    <m/>
    <m/>
    <n v="1172091"/>
    <n v="1172091"/>
  </r>
  <r>
    <x v="3"/>
    <x v="3"/>
    <s v="Community or public service units"/>
    <m/>
    <n v="133650"/>
    <x v="2"/>
    <m/>
    <m/>
    <m/>
    <m/>
    <m/>
    <m/>
    <m/>
    <m/>
    <n v="0"/>
    <m/>
    <m/>
    <n v="0"/>
    <n v="0"/>
    <n v="0"/>
    <m/>
    <m/>
    <m/>
    <m/>
    <n v="0"/>
    <m/>
    <m/>
    <n v="0"/>
    <m/>
    <m/>
    <m/>
    <m/>
    <m/>
    <m/>
    <n v="0"/>
    <n v="0"/>
  </r>
  <r>
    <x v="3"/>
    <x v="3"/>
    <s v="Developmental Research School"/>
    <m/>
    <n v="133650"/>
    <x v="2"/>
    <m/>
    <m/>
    <n v="3277272"/>
    <n v="3450190"/>
    <m/>
    <m/>
    <m/>
    <m/>
    <n v="0"/>
    <m/>
    <m/>
    <n v="0"/>
    <n v="3277272"/>
    <n v="3450190"/>
    <m/>
    <m/>
    <m/>
    <m/>
    <n v="0"/>
    <m/>
    <m/>
    <n v="0"/>
    <m/>
    <m/>
    <m/>
    <m/>
    <m/>
    <m/>
    <n v="3277272"/>
    <n v="3450190"/>
  </r>
  <r>
    <x v="3"/>
    <x v="0"/>
    <s v="University of North Florida"/>
    <m/>
    <n v="136172"/>
    <x v="2"/>
    <n v="65240743"/>
    <n v="75395378"/>
    <m/>
    <m/>
    <m/>
    <m/>
    <n v="66996490.521600001"/>
    <n v="1444159.42"/>
    <n v="68440649.941599995"/>
    <n v="69015945"/>
    <n v="1086777.8899999999"/>
    <n v="70102722.890000001"/>
    <n v="132237233.52160001"/>
    <n v="144411323"/>
    <m/>
    <m/>
    <m/>
    <m/>
    <n v="0"/>
    <m/>
    <m/>
    <n v="0"/>
    <m/>
    <m/>
    <m/>
    <m/>
    <m/>
    <m/>
    <n v="132237233.52160001"/>
    <n v="144411323"/>
  </r>
  <r>
    <x v="3"/>
    <x v="0"/>
    <s v="Student Financial Aid"/>
    <m/>
    <n v="136172"/>
    <x v="2"/>
    <m/>
    <m/>
    <n v="200570"/>
    <n v="200570"/>
    <m/>
    <m/>
    <m/>
    <m/>
    <n v="0"/>
    <m/>
    <m/>
    <n v="0"/>
    <n v="200570"/>
    <n v="200570"/>
    <m/>
    <m/>
    <m/>
    <m/>
    <n v="0"/>
    <m/>
    <m/>
    <n v="0"/>
    <m/>
    <m/>
    <m/>
    <m/>
    <m/>
    <m/>
    <n v="200570"/>
    <n v="200570"/>
  </r>
  <r>
    <x v="3"/>
    <x v="0"/>
    <s v="Risk Management/Casualty Insurance"/>
    <m/>
    <n v="136172"/>
    <x v="2"/>
    <m/>
    <m/>
    <n v="904133"/>
    <n v="904133"/>
    <m/>
    <m/>
    <m/>
    <m/>
    <n v="0"/>
    <m/>
    <m/>
    <n v="0"/>
    <n v="904133"/>
    <n v="904133"/>
    <m/>
    <m/>
    <m/>
    <m/>
    <n v="0"/>
    <m/>
    <m/>
    <n v="0"/>
    <m/>
    <m/>
    <m/>
    <m/>
    <m/>
    <m/>
    <n v="904133"/>
    <n v="904133"/>
  </r>
  <r>
    <x v="3"/>
    <x v="0"/>
    <s v="University of West Florida"/>
    <m/>
    <n v="138354"/>
    <x v="2"/>
    <n v="43994565"/>
    <n v="67337405"/>
    <m/>
    <m/>
    <m/>
    <m/>
    <n v="51104257.680799998"/>
    <n v="963682.94"/>
    <n v="52067940.620799996"/>
    <n v="52754548"/>
    <n v="818330.76"/>
    <n v="53572878.759999998"/>
    <n v="95098822.680799991"/>
    <n v="120091953"/>
    <m/>
    <m/>
    <m/>
    <m/>
    <n v="0"/>
    <m/>
    <m/>
    <n v="0"/>
    <m/>
    <m/>
    <m/>
    <m/>
    <m/>
    <m/>
    <n v="95098822.680799991"/>
    <n v="120091953"/>
  </r>
  <r>
    <x v="3"/>
    <x v="0"/>
    <s v="Student Financial Aid"/>
    <m/>
    <n v="138354"/>
    <x v="2"/>
    <m/>
    <m/>
    <n v="157766"/>
    <n v="157766"/>
    <m/>
    <m/>
    <m/>
    <m/>
    <n v="0"/>
    <m/>
    <m/>
    <n v="0"/>
    <n v="157766"/>
    <n v="157766"/>
    <m/>
    <m/>
    <m/>
    <m/>
    <n v="0"/>
    <m/>
    <m/>
    <n v="0"/>
    <m/>
    <m/>
    <m/>
    <m/>
    <m/>
    <m/>
    <n v="157766"/>
    <n v="157766"/>
  </r>
  <r>
    <x v="3"/>
    <x v="0"/>
    <s v="Risk Management/Casualty Insurance"/>
    <m/>
    <n v="138354"/>
    <x v="2"/>
    <m/>
    <m/>
    <n v="706795"/>
    <n v="706794"/>
    <m/>
    <m/>
    <m/>
    <m/>
    <n v="0"/>
    <m/>
    <m/>
    <n v="0"/>
    <n v="706795"/>
    <n v="706794"/>
    <m/>
    <m/>
    <m/>
    <m/>
    <n v="0"/>
    <m/>
    <m/>
    <n v="0"/>
    <m/>
    <m/>
    <m/>
    <m/>
    <m/>
    <m/>
    <n v="706795"/>
    <n v="706794"/>
  </r>
  <r>
    <x v="3"/>
    <x v="0"/>
    <s v="Florida Gulf Coast University"/>
    <m/>
    <n v="433660"/>
    <x v="3"/>
    <n v="41444084"/>
    <n v="55191063"/>
    <m/>
    <m/>
    <m/>
    <m/>
    <n v="59772181.347199999"/>
    <n v="1149321.58"/>
    <n v="60921502.927199997"/>
    <n v="61039484"/>
    <n v="933070.26"/>
    <n v="61972554.259999998"/>
    <n v="101216265.34720001"/>
    <n v="116230547"/>
    <m/>
    <m/>
    <m/>
    <m/>
    <n v="0"/>
    <m/>
    <m/>
    <n v="0"/>
    <m/>
    <m/>
    <m/>
    <m/>
    <m/>
    <m/>
    <n v="101216265.34720001"/>
    <n v="116230547"/>
  </r>
  <r>
    <x v="3"/>
    <x v="0"/>
    <s v="Student Financial Aid"/>
    <m/>
    <n v="433660"/>
    <x v="3"/>
    <m/>
    <m/>
    <n v="98073"/>
    <n v="98073"/>
    <m/>
    <m/>
    <m/>
    <m/>
    <n v="0"/>
    <m/>
    <m/>
    <n v="0"/>
    <n v="98073"/>
    <n v="98073"/>
    <m/>
    <m/>
    <m/>
    <m/>
    <n v="0"/>
    <m/>
    <m/>
    <n v="0"/>
    <m/>
    <m/>
    <m/>
    <m/>
    <m/>
    <m/>
    <n v="98073"/>
    <n v="98073"/>
  </r>
  <r>
    <x v="3"/>
    <x v="0"/>
    <s v="Risk Management/Casualty Insurance"/>
    <m/>
    <n v="433660"/>
    <x v="3"/>
    <m/>
    <m/>
    <n v="600862"/>
    <n v="600862"/>
    <m/>
    <m/>
    <m/>
    <m/>
    <n v="0"/>
    <m/>
    <m/>
    <n v="0"/>
    <n v="600862"/>
    <n v="600862"/>
    <m/>
    <m/>
    <m/>
    <m/>
    <n v="0"/>
    <m/>
    <m/>
    <n v="0"/>
    <m/>
    <m/>
    <m/>
    <m/>
    <m/>
    <m/>
    <n v="600862"/>
    <n v="600862"/>
  </r>
  <r>
    <x v="3"/>
    <x v="0"/>
    <s v="New College of Florida"/>
    <m/>
    <n v="262129"/>
    <x v="5"/>
    <n v="13590274"/>
    <n v="16739914"/>
    <m/>
    <m/>
    <m/>
    <m/>
    <n v="6100592.4896"/>
    <n v="92819.32"/>
    <n v="6193411.8096000003"/>
    <n v="6157918"/>
    <n v="67111.78"/>
    <n v="6225029.7800000003"/>
    <n v="19690866.489599999"/>
    <n v="22897832"/>
    <m/>
    <m/>
    <m/>
    <m/>
    <n v="0"/>
    <m/>
    <m/>
    <n v="0"/>
    <m/>
    <m/>
    <m/>
    <m/>
    <m/>
    <m/>
    <n v="19690866.489599999"/>
    <n v="22897832"/>
  </r>
  <r>
    <x v="3"/>
    <x v="0"/>
    <s v="Student Financial Aid"/>
    <m/>
    <n v="262129"/>
    <x v="5"/>
    <m/>
    <m/>
    <n v="204407"/>
    <n v="204407"/>
    <m/>
    <m/>
    <m/>
    <m/>
    <n v="0"/>
    <m/>
    <m/>
    <n v="0"/>
    <n v="204407"/>
    <n v="204407"/>
    <m/>
    <m/>
    <m/>
    <m/>
    <n v="0"/>
    <m/>
    <m/>
    <n v="0"/>
    <m/>
    <m/>
    <m/>
    <m/>
    <m/>
    <m/>
    <n v="204407"/>
    <n v="204407"/>
  </r>
  <r>
    <x v="3"/>
    <x v="0"/>
    <s v="Risk Management/Casualty Insurance"/>
    <m/>
    <n v="262129"/>
    <x v="5"/>
    <m/>
    <m/>
    <n v="285717"/>
    <n v="285719"/>
    <m/>
    <m/>
    <m/>
    <m/>
    <n v="0"/>
    <m/>
    <m/>
    <n v="0"/>
    <n v="285717"/>
    <n v="285719"/>
    <m/>
    <m/>
    <m/>
    <m/>
    <n v="0"/>
    <m/>
    <m/>
    <n v="0"/>
    <m/>
    <m/>
    <m/>
    <m/>
    <m/>
    <m/>
    <n v="285717"/>
    <n v="285719"/>
  </r>
  <r>
    <x v="3"/>
    <x v="0"/>
    <s v="Florida Polytech University"/>
    <m/>
    <s v="????"/>
    <x v="13"/>
    <n v="22411504"/>
    <n v="28647064"/>
    <m/>
    <m/>
    <m/>
    <m/>
    <n v="6028073"/>
    <n v="0"/>
    <n v="6028073"/>
    <m/>
    <m/>
    <n v="0"/>
    <n v="28439577"/>
    <n v="28647064"/>
    <m/>
    <m/>
    <m/>
    <m/>
    <n v="0"/>
    <m/>
    <m/>
    <n v="0"/>
    <m/>
    <m/>
    <m/>
    <m/>
    <m/>
    <m/>
    <n v="28439577"/>
    <n v="28647064"/>
  </r>
  <r>
    <x v="3"/>
    <x v="8"/>
    <s v="Student Financial Aid"/>
    <m/>
    <s v="????"/>
    <x v="13"/>
    <m/>
    <m/>
    <n v="50000"/>
    <n v="50000"/>
    <m/>
    <m/>
    <m/>
    <m/>
    <n v="0"/>
    <m/>
    <m/>
    <n v="0"/>
    <n v="50000"/>
    <n v="50000"/>
    <m/>
    <m/>
    <m/>
    <m/>
    <n v="0"/>
    <m/>
    <m/>
    <n v="0"/>
    <m/>
    <m/>
    <m/>
    <m/>
    <m/>
    <m/>
    <n v="50000"/>
    <n v="50000"/>
  </r>
  <r>
    <x v="3"/>
    <x v="8"/>
    <s v="Risk Management/Casualty Insurance"/>
    <m/>
    <s v="????"/>
    <x v="13"/>
    <m/>
    <m/>
    <m/>
    <m/>
    <m/>
    <m/>
    <m/>
    <m/>
    <n v="0"/>
    <m/>
    <m/>
    <n v="0"/>
    <n v="0"/>
    <n v="0"/>
    <m/>
    <m/>
    <m/>
    <m/>
    <n v="0"/>
    <m/>
    <m/>
    <n v="0"/>
    <m/>
    <m/>
    <m/>
    <m/>
    <m/>
    <m/>
    <n v="0"/>
    <n v="0"/>
  </r>
  <r>
    <x v="3"/>
    <x v="7"/>
    <s v="Phosphate Research"/>
    <m/>
    <s v="????"/>
    <x v="13"/>
    <m/>
    <m/>
    <n v="5022319"/>
    <n v="5029456"/>
    <m/>
    <m/>
    <m/>
    <m/>
    <n v="0"/>
    <m/>
    <m/>
    <n v="0"/>
    <n v="5022319"/>
    <n v="5029456"/>
    <m/>
    <m/>
    <m/>
    <m/>
    <n v="0"/>
    <m/>
    <m/>
    <n v="0"/>
    <m/>
    <m/>
    <m/>
    <m/>
    <m/>
    <m/>
    <n v="5022319"/>
    <n v="5029456"/>
  </r>
  <r>
    <x v="3"/>
    <x v="13"/>
    <s v="Education special purpose funds -all other"/>
    <m/>
    <m/>
    <x v="12"/>
    <m/>
    <m/>
    <m/>
    <m/>
    <m/>
    <m/>
    <m/>
    <m/>
    <n v="0"/>
    <m/>
    <m/>
    <n v="0"/>
    <n v="0"/>
    <n v="0"/>
    <m/>
    <m/>
    <m/>
    <m/>
    <n v="0"/>
    <m/>
    <m/>
    <n v="0"/>
    <m/>
    <m/>
    <m/>
    <m/>
    <m/>
    <m/>
    <n v="0"/>
    <n v="0"/>
  </r>
  <r>
    <x v="3"/>
    <x v="42"/>
    <s v="Community or public service units"/>
    <m/>
    <m/>
    <x v="12"/>
    <m/>
    <m/>
    <m/>
    <m/>
    <m/>
    <m/>
    <m/>
    <m/>
    <n v="0"/>
    <m/>
    <m/>
    <n v="0"/>
    <n v="0"/>
    <n v="0"/>
    <m/>
    <m/>
    <m/>
    <m/>
    <n v="0"/>
    <m/>
    <m/>
    <n v="0"/>
    <m/>
    <m/>
    <m/>
    <m/>
    <m/>
    <m/>
    <n v="0"/>
    <n v="0"/>
  </r>
  <r>
    <x v="3"/>
    <x v="11"/>
    <s v="Research centers/institutes"/>
    <m/>
    <m/>
    <x v="12"/>
    <m/>
    <m/>
    <m/>
    <m/>
    <m/>
    <m/>
    <m/>
    <m/>
    <n v="0"/>
    <m/>
    <m/>
    <n v="0"/>
    <n v="0"/>
    <n v="0"/>
    <m/>
    <m/>
    <m/>
    <m/>
    <n v="0"/>
    <m/>
    <m/>
    <n v="0"/>
    <m/>
    <m/>
    <m/>
    <m/>
    <m/>
    <m/>
    <n v="0"/>
    <n v="0"/>
  </r>
  <r>
    <x v="3"/>
    <x v="11"/>
    <s v="Moffitt Cancer Center"/>
    <m/>
    <m/>
    <x v="12"/>
    <m/>
    <m/>
    <n v="10576930"/>
    <n v="10576930"/>
    <m/>
    <m/>
    <m/>
    <m/>
    <n v="0"/>
    <m/>
    <m/>
    <n v="0"/>
    <n v="10576930"/>
    <n v="10576930"/>
    <m/>
    <m/>
    <m/>
    <m/>
    <n v="0"/>
    <m/>
    <m/>
    <n v="0"/>
    <m/>
    <m/>
    <m/>
    <m/>
    <m/>
    <m/>
    <n v="10576930"/>
    <n v="10576930"/>
  </r>
  <r>
    <x v="3"/>
    <x v="11"/>
    <s v="Institute for Human and Machine Cognition "/>
    <m/>
    <m/>
    <x v="12"/>
    <m/>
    <m/>
    <n v="2739184"/>
    <n v="2739184"/>
    <m/>
    <m/>
    <m/>
    <m/>
    <n v="0"/>
    <m/>
    <m/>
    <n v="0"/>
    <n v="2739184"/>
    <n v="2739184"/>
    <m/>
    <m/>
    <m/>
    <m/>
    <n v="0"/>
    <m/>
    <m/>
    <n v="0"/>
    <m/>
    <m/>
    <m/>
    <m/>
    <m/>
    <m/>
    <n v="2739184"/>
    <n v="2739184"/>
  </r>
  <r>
    <x v="3"/>
    <x v="12"/>
    <s v="Special line items for education operations"/>
    <m/>
    <m/>
    <x v="12"/>
    <m/>
    <m/>
    <m/>
    <m/>
    <m/>
    <m/>
    <m/>
    <m/>
    <n v="0"/>
    <m/>
    <m/>
    <n v="0"/>
    <n v="0"/>
    <n v="0"/>
    <m/>
    <m/>
    <m/>
    <m/>
    <n v="0"/>
    <m/>
    <m/>
    <n v="0"/>
    <m/>
    <m/>
    <m/>
    <m/>
    <m/>
    <m/>
    <n v="0"/>
    <n v="0"/>
  </r>
  <r>
    <x v="3"/>
    <x v="12"/>
    <s v="Distance Learning Consortium"/>
    <m/>
    <m/>
    <x v="12"/>
    <m/>
    <m/>
    <m/>
    <m/>
    <m/>
    <m/>
    <m/>
    <m/>
    <n v="0"/>
    <m/>
    <m/>
    <n v="0"/>
    <n v="0"/>
    <n v="0"/>
    <m/>
    <m/>
    <m/>
    <m/>
    <n v="0"/>
    <m/>
    <m/>
    <n v="0"/>
    <m/>
    <m/>
    <m/>
    <m/>
    <m/>
    <m/>
    <n v="0"/>
    <n v="0"/>
  </r>
  <r>
    <x v="3"/>
    <x v="14"/>
    <s v="Statewide System Operations"/>
    <m/>
    <m/>
    <x v="12"/>
    <m/>
    <m/>
    <m/>
    <m/>
    <m/>
    <m/>
    <m/>
    <m/>
    <n v="0"/>
    <m/>
    <m/>
    <n v="0"/>
    <n v="0"/>
    <n v="0"/>
    <m/>
    <m/>
    <m/>
    <m/>
    <n v="0"/>
    <m/>
    <m/>
    <n v="0"/>
    <m/>
    <m/>
    <m/>
    <m/>
    <m/>
    <m/>
    <n v="0"/>
    <n v="0"/>
  </r>
  <r>
    <x v="3"/>
    <x v="15"/>
    <s v="Colleges and universities"/>
    <m/>
    <m/>
    <x v="12"/>
    <m/>
    <m/>
    <m/>
    <m/>
    <m/>
    <m/>
    <m/>
    <m/>
    <n v="0"/>
    <m/>
    <m/>
    <n v="0"/>
    <n v="0"/>
    <n v="0"/>
    <m/>
    <m/>
    <m/>
    <m/>
    <n v="0"/>
    <m/>
    <m/>
    <n v="0"/>
    <m/>
    <m/>
    <m/>
    <m/>
    <m/>
    <m/>
    <n v="0"/>
    <n v="0"/>
  </r>
  <r>
    <x v="3"/>
    <x v="15"/>
    <s v="FL. Board of Governors"/>
    <m/>
    <m/>
    <x v="12"/>
    <m/>
    <m/>
    <m/>
    <m/>
    <m/>
    <m/>
    <m/>
    <m/>
    <n v="0"/>
    <m/>
    <m/>
    <n v="0"/>
    <n v="0"/>
    <n v="0"/>
    <n v="6320950"/>
    <n v="6550307"/>
    <m/>
    <m/>
    <n v="0"/>
    <m/>
    <m/>
    <n v="0"/>
    <m/>
    <m/>
    <m/>
    <m/>
    <m/>
    <m/>
    <n v="6320950"/>
    <n v="6550307"/>
  </r>
  <r>
    <x v="3"/>
    <x v="17"/>
    <s v="National or regional associations, compacts or consortia"/>
    <m/>
    <m/>
    <x v="12"/>
    <m/>
    <m/>
    <m/>
    <m/>
    <m/>
    <m/>
    <m/>
    <m/>
    <n v="0"/>
    <m/>
    <m/>
    <n v="0"/>
    <n v="0"/>
    <n v="0"/>
    <m/>
    <m/>
    <m/>
    <m/>
    <n v="0"/>
    <m/>
    <m/>
    <n v="0"/>
    <m/>
    <m/>
    <m/>
    <m/>
    <m/>
    <m/>
    <n v="0"/>
    <n v="0"/>
  </r>
  <r>
    <x v="3"/>
    <x v="17"/>
    <s v="SREB membership"/>
    <m/>
    <m/>
    <x v="12"/>
    <m/>
    <m/>
    <m/>
    <m/>
    <m/>
    <m/>
    <m/>
    <m/>
    <n v="0"/>
    <m/>
    <m/>
    <n v="0"/>
    <n v="0"/>
    <n v="0"/>
    <n v="206550"/>
    <n v="193550"/>
    <m/>
    <m/>
    <n v="0"/>
    <m/>
    <m/>
    <n v="0"/>
    <m/>
    <m/>
    <m/>
    <m/>
    <m/>
    <m/>
    <n v="206550"/>
    <n v="193550"/>
  </r>
  <r>
    <x v="3"/>
    <x v="18"/>
    <s v="Adm. of Statewide Student Aid Progs. (incldng centralized guaranteed student loans)"/>
    <m/>
    <m/>
    <x v="12"/>
    <m/>
    <m/>
    <m/>
    <m/>
    <m/>
    <m/>
    <m/>
    <m/>
    <n v="0"/>
    <m/>
    <m/>
    <n v="0"/>
    <n v="0"/>
    <n v="0"/>
    <m/>
    <m/>
    <m/>
    <m/>
    <n v="0"/>
    <m/>
    <m/>
    <n v="0"/>
    <m/>
    <m/>
    <m/>
    <m/>
    <m/>
    <m/>
    <n v="0"/>
    <n v="0"/>
  </r>
  <r>
    <x v="3"/>
    <x v="19"/>
    <s v="State Support to Private Colleges Other Than Student Aid"/>
    <m/>
    <m/>
    <x v="12"/>
    <m/>
    <m/>
    <m/>
    <m/>
    <m/>
    <m/>
    <m/>
    <m/>
    <n v="0"/>
    <m/>
    <m/>
    <n v="0"/>
    <n v="0"/>
    <n v="0"/>
    <m/>
    <m/>
    <m/>
    <m/>
    <n v="0"/>
    <m/>
    <m/>
    <n v="0"/>
    <m/>
    <m/>
    <m/>
    <m/>
    <m/>
    <m/>
    <n v="0"/>
    <n v="0"/>
  </r>
  <r>
    <x v="3"/>
    <x v="19"/>
    <s v="1st Accredited Medical School Support for Univ Miami"/>
    <m/>
    <m/>
    <x v="12"/>
    <m/>
    <m/>
    <m/>
    <m/>
    <m/>
    <m/>
    <m/>
    <m/>
    <n v="0"/>
    <m/>
    <m/>
    <n v="0"/>
    <n v="0"/>
    <n v="0"/>
    <m/>
    <m/>
    <m/>
    <m/>
    <n v="0"/>
    <m/>
    <m/>
    <n v="0"/>
    <m/>
    <m/>
    <m/>
    <m/>
    <m/>
    <m/>
    <n v="0"/>
    <n v="0"/>
  </r>
  <r>
    <x v="3"/>
    <x v="19"/>
    <s v="Regional Diabetes Center at Univ of Miami"/>
    <m/>
    <m/>
    <x v="12"/>
    <m/>
    <m/>
    <m/>
    <m/>
    <m/>
    <m/>
    <m/>
    <m/>
    <n v="0"/>
    <m/>
    <m/>
    <n v="0"/>
    <n v="0"/>
    <n v="0"/>
    <m/>
    <m/>
    <m/>
    <m/>
    <n v="0"/>
    <m/>
    <m/>
    <n v="0"/>
    <m/>
    <m/>
    <m/>
    <m/>
    <m/>
    <m/>
    <n v="0"/>
    <n v="0"/>
  </r>
  <r>
    <x v="3"/>
    <x v="19"/>
    <s v="Autism Program at Univ Miami"/>
    <m/>
    <m/>
    <x v="12"/>
    <m/>
    <m/>
    <m/>
    <m/>
    <m/>
    <m/>
    <m/>
    <m/>
    <n v="0"/>
    <m/>
    <m/>
    <n v="0"/>
    <n v="0"/>
    <n v="0"/>
    <n v="1040409"/>
    <n v="1425747"/>
    <m/>
    <m/>
    <n v="0"/>
    <m/>
    <m/>
    <n v="0"/>
    <m/>
    <m/>
    <m/>
    <m/>
    <m/>
    <m/>
    <n v="1040409"/>
    <n v="1425747"/>
  </r>
  <r>
    <x v="3"/>
    <x v="19"/>
    <s v="Nova SE Univ-health programs (osteopathy, pharmacy, optometry)"/>
    <m/>
    <m/>
    <x v="12"/>
    <m/>
    <m/>
    <m/>
    <m/>
    <m/>
    <m/>
    <m/>
    <m/>
    <n v="0"/>
    <m/>
    <m/>
    <n v="0"/>
    <n v="0"/>
    <n v="0"/>
    <m/>
    <m/>
    <m/>
    <m/>
    <n v="0"/>
    <m/>
    <m/>
    <n v="0"/>
    <m/>
    <m/>
    <m/>
    <m/>
    <m/>
    <m/>
    <n v="0"/>
    <n v="0"/>
  </r>
  <r>
    <x v="3"/>
    <x v="19"/>
    <s v="Bethune-Cookman"/>
    <m/>
    <m/>
    <x v="12"/>
    <m/>
    <m/>
    <m/>
    <m/>
    <m/>
    <m/>
    <m/>
    <m/>
    <n v="0"/>
    <m/>
    <m/>
    <n v="0"/>
    <n v="0"/>
    <n v="0"/>
    <n v="3460111"/>
    <n v="3960111"/>
    <m/>
    <m/>
    <n v="0"/>
    <m/>
    <m/>
    <n v="0"/>
    <m/>
    <m/>
    <m/>
    <m/>
    <m/>
    <m/>
    <n v="3460111"/>
    <n v="3960111"/>
  </r>
  <r>
    <x v="3"/>
    <x v="19"/>
    <s v="Edwards Waters College"/>
    <m/>
    <m/>
    <x v="12"/>
    <m/>
    <m/>
    <m/>
    <m/>
    <m/>
    <m/>
    <m/>
    <m/>
    <n v="0"/>
    <m/>
    <m/>
    <n v="0"/>
    <n v="0"/>
    <n v="0"/>
    <n v="2749526"/>
    <n v="2929526"/>
    <m/>
    <m/>
    <n v="0"/>
    <m/>
    <m/>
    <n v="0"/>
    <m/>
    <m/>
    <m/>
    <m/>
    <m/>
    <m/>
    <n v="2749526"/>
    <n v="2929526"/>
  </r>
  <r>
    <x v="3"/>
    <x v="19"/>
    <s v="Fl Memorial College"/>
    <m/>
    <m/>
    <x v="12"/>
    <m/>
    <m/>
    <m/>
    <m/>
    <m/>
    <m/>
    <m/>
    <m/>
    <n v="0"/>
    <m/>
    <m/>
    <n v="0"/>
    <n v="0"/>
    <n v="0"/>
    <n v="3032048"/>
    <n v="3532048"/>
    <m/>
    <m/>
    <n v="0"/>
    <m/>
    <m/>
    <n v="0"/>
    <m/>
    <m/>
    <m/>
    <m/>
    <m/>
    <m/>
    <n v="3032048"/>
    <n v="3532048"/>
  </r>
  <r>
    <x v="3"/>
    <x v="19"/>
    <s v="Library resources for HBCU's"/>
    <m/>
    <m/>
    <x v="12"/>
    <m/>
    <m/>
    <m/>
    <m/>
    <m/>
    <m/>
    <m/>
    <m/>
    <n v="0"/>
    <m/>
    <m/>
    <n v="0"/>
    <n v="0"/>
    <n v="0"/>
    <n v="119858"/>
    <n v="519858"/>
    <m/>
    <m/>
    <n v="0"/>
    <m/>
    <m/>
    <n v="0"/>
    <m/>
    <m/>
    <m/>
    <m/>
    <m/>
    <m/>
    <n v="119858"/>
    <n v="519858"/>
  </r>
  <r>
    <x v="3"/>
    <x v="20"/>
    <s v="Contract Education Programs"/>
    <m/>
    <m/>
    <x v="12"/>
    <m/>
    <m/>
    <m/>
    <m/>
    <m/>
    <m/>
    <m/>
    <m/>
    <n v="0"/>
    <m/>
    <m/>
    <n v="0"/>
    <n v="0"/>
    <n v="0"/>
    <m/>
    <m/>
    <m/>
    <m/>
    <n v="0"/>
    <m/>
    <m/>
    <n v="0"/>
    <m/>
    <m/>
    <m/>
    <m/>
    <m/>
    <m/>
    <n v="0"/>
    <n v="0"/>
  </r>
  <r>
    <x v="3"/>
    <x v="21"/>
    <s v="SREB contract program with private colleges"/>
    <m/>
    <m/>
    <x v="12"/>
    <m/>
    <m/>
    <m/>
    <m/>
    <m/>
    <m/>
    <m/>
    <m/>
    <n v="0"/>
    <m/>
    <m/>
    <n v="0"/>
    <n v="0"/>
    <n v="0"/>
    <m/>
    <m/>
    <m/>
    <m/>
    <n v="0"/>
    <m/>
    <m/>
    <n v="0"/>
    <m/>
    <m/>
    <m/>
    <m/>
    <m/>
    <m/>
    <n v="0"/>
    <n v="0"/>
  </r>
  <r>
    <x v="3"/>
    <x v="22"/>
    <s v="SREB contract program with public colleges"/>
    <m/>
    <m/>
    <x v="12"/>
    <m/>
    <m/>
    <m/>
    <m/>
    <m/>
    <m/>
    <m/>
    <m/>
    <n v="0"/>
    <m/>
    <m/>
    <n v="0"/>
    <n v="0"/>
    <n v="0"/>
    <m/>
    <m/>
    <m/>
    <m/>
    <n v="0"/>
    <m/>
    <m/>
    <n v="0"/>
    <m/>
    <m/>
    <m/>
    <m/>
    <m/>
    <m/>
    <n v="0"/>
    <n v="0"/>
  </r>
  <r>
    <x v="3"/>
    <x v="23"/>
    <s v="Other contract education programs"/>
    <m/>
    <m/>
    <x v="12"/>
    <m/>
    <m/>
    <m/>
    <m/>
    <m/>
    <m/>
    <m/>
    <m/>
    <n v="0"/>
    <m/>
    <m/>
    <n v="0"/>
    <n v="0"/>
    <n v="0"/>
    <m/>
    <m/>
    <m/>
    <m/>
    <n v="0"/>
    <m/>
    <m/>
    <n v="0"/>
    <m/>
    <m/>
    <m/>
    <m/>
    <m/>
    <m/>
    <n v="0"/>
    <n v="0"/>
  </r>
  <r>
    <x v="3"/>
    <x v="23"/>
    <s v="University of Miami academic program contracts"/>
    <m/>
    <m/>
    <x v="12"/>
    <m/>
    <m/>
    <m/>
    <m/>
    <m/>
    <m/>
    <m/>
    <m/>
    <n v="0"/>
    <m/>
    <m/>
    <n v="0"/>
    <n v="0"/>
    <n v="0"/>
    <n v="100000"/>
    <m/>
    <m/>
    <m/>
    <n v="0"/>
    <m/>
    <m/>
    <n v="0"/>
    <m/>
    <m/>
    <m/>
    <m/>
    <m/>
    <m/>
    <n v="100000"/>
    <n v="0"/>
  </r>
  <r>
    <x v="3"/>
    <x v="23"/>
    <s v="Nova SE Univ academic program contracts"/>
    <m/>
    <m/>
    <x v="12"/>
    <m/>
    <m/>
    <m/>
    <m/>
    <m/>
    <m/>
    <m/>
    <m/>
    <n v="0"/>
    <m/>
    <m/>
    <n v="0"/>
    <n v="0"/>
    <n v="0"/>
    <n v="39214"/>
    <n v="39214"/>
    <m/>
    <m/>
    <n v="0"/>
    <m/>
    <m/>
    <n v="0"/>
    <m/>
    <m/>
    <m/>
    <m/>
    <m/>
    <m/>
    <n v="39214"/>
    <n v="39214"/>
  </r>
  <r>
    <x v="3"/>
    <x v="23"/>
    <s v="FL Inst. Of Technology"/>
    <m/>
    <m/>
    <x v="12"/>
    <m/>
    <m/>
    <m/>
    <m/>
    <m/>
    <m/>
    <m/>
    <m/>
    <n v="0"/>
    <m/>
    <m/>
    <n v="0"/>
    <n v="0"/>
    <n v="0"/>
    <n v="1000000"/>
    <n v="500000"/>
    <m/>
    <m/>
    <n v="0"/>
    <m/>
    <m/>
    <n v="0"/>
    <m/>
    <m/>
    <m/>
    <m/>
    <m/>
    <m/>
    <n v="1000000"/>
    <n v="500000"/>
  </r>
  <r>
    <x v="3"/>
    <x v="23"/>
    <s v="Barry University"/>
    <m/>
    <m/>
    <x v="12"/>
    <m/>
    <m/>
    <m/>
    <m/>
    <m/>
    <m/>
    <m/>
    <m/>
    <n v="0"/>
    <m/>
    <m/>
    <n v="0"/>
    <n v="0"/>
    <n v="0"/>
    <n v="523520"/>
    <n v="705000"/>
    <m/>
    <m/>
    <n v="0"/>
    <m/>
    <m/>
    <n v="0"/>
    <m/>
    <m/>
    <m/>
    <m/>
    <m/>
    <m/>
    <n v="523520"/>
    <n v="705000"/>
  </r>
  <r>
    <x v="3"/>
    <x v="23"/>
    <s v="Le Comm/Florida Health Programs"/>
    <m/>
    <m/>
    <x v="12"/>
    <m/>
    <m/>
    <m/>
    <m/>
    <m/>
    <m/>
    <m/>
    <m/>
    <n v="0"/>
    <m/>
    <m/>
    <n v="0"/>
    <n v="0"/>
    <n v="0"/>
    <n v="1018050"/>
    <n v="1691010"/>
    <m/>
    <m/>
    <n v="0"/>
    <m/>
    <m/>
    <n v="0"/>
    <m/>
    <m/>
    <m/>
    <m/>
    <m/>
    <m/>
    <n v="1018050"/>
    <n v="1691010"/>
  </r>
  <r>
    <x v="3"/>
    <x v="24"/>
    <s v="Statewide Student Financial Aid Programs Administered Off Campus"/>
    <m/>
    <m/>
    <x v="12"/>
    <m/>
    <m/>
    <m/>
    <m/>
    <m/>
    <m/>
    <m/>
    <m/>
    <n v="0"/>
    <m/>
    <m/>
    <n v="0"/>
    <n v="0"/>
    <n v="0"/>
    <m/>
    <m/>
    <m/>
    <m/>
    <n v="0"/>
    <m/>
    <m/>
    <n v="0"/>
    <m/>
    <m/>
    <m/>
    <m/>
    <m/>
    <m/>
    <n v="0"/>
    <n v="0"/>
  </r>
  <r>
    <x v="3"/>
    <x v="25"/>
    <s v="Available to public &amp; private sector students"/>
    <m/>
    <m/>
    <x v="12"/>
    <m/>
    <m/>
    <m/>
    <m/>
    <m/>
    <m/>
    <m/>
    <m/>
    <n v="0"/>
    <m/>
    <m/>
    <n v="0"/>
    <n v="0"/>
    <n v="0"/>
    <m/>
    <m/>
    <m/>
    <m/>
    <n v="0"/>
    <m/>
    <m/>
    <n v="0"/>
    <m/>
    <m/>
    <m/>
    <m/>
    <m/>
    <m/>
    <n v="0"/>
    <n v="0"/>
  </r>
  <r>
    <x v="3"/>
    <x v="25"/>
    <s v="Bright Futures Scholarships"/>
    <m/>
    <m/>
    <x v="12"/>
    <m/>
    <m/>
    <m/>
    <m/>
    <m/>
    <m/>
    <m/>
    <m/>
    <n v="0"/>
    <m/>
    <m/>
    <n v="0"/>
    <n v="0"/>
    <n v="0"/>
    <m/>
    <m/>
    <m/>
    <m/>
    <n v="0"/>
    <m/>
    <m/>
    <n v="0"/>
    <m/>
    <m/>
    <m/>
    <m/>
    <m/>
    <m/>
    <n v="0"/>
    <n v="0"/>
  </r>
  <r>
    <x v="3"/>
    <x v="26"/>
    <s v="Need-based"/>
    <m/>
    <m/>
    <x v="12"/>
    <m/>
    <m/>
    <m/>
    <m/>
    <m/>
    <m/>
    <m/>
    <m/>
    <n v="0"/>
    <m/>
    <m/>
    <n v="0"/>
    <n v="0"/>
    <n v="0"/>
    <m/>
    <m/>
    <m/>
    <m/>
    <n v="0"/>
    <m/>
    <m/>
    <n v="0"/>
    <m/>
    <m/>
    <m/>
    <m/>
    <m/>
    <m/>
    <n v="0"/>
    <n v="0"/>
  </r>
  <r>
    <x v="3"/>
    <x v="27"/>
    <s v="Non need-based"/>
    <m/>
    <m/>
    <x v="12"/>
    <m/>
    <m/>
    <m/>
    <m/>
    <m/>
    <m/>
    <m/>
    <m/>
    <n v="0"/>
    <m/>
    <m/>
    <n v="0"/>
    <n v="0"/>
    <n v="0"/>
    <n v="329408935"/>
    <n v="309413826"/>
    <m/>
    <m/>
    <n v="0"/>
    <m/>
    <m/>
    <n v="0"/>
    <m/>
    <m/>
    <m/>
    <m/>
    <m/>
    <m/>
    <n v="329408935"/>
    <n v="309413826"/>
  </r>
  <r>
    <x v="3"/>
    <x v="28"/>
    <s v="Amount to public sector students"/>
    <m/>
    <m/>
    <x v="12"/>
    <m/>
    <m/>
    <m/>
    <m/>
    <m/>
    <m/>
    <m/>
    <m/>
    <n v="0"/>
    <m/>
    <m/>
    <n v="0"/>
    <n v="0"/>
    <n v="0"/>
    <m/>
    <m/>
    <m/>
    <m/>
    <n v="0"/>
    <m/>
    <m/>
    <n v="0"/>
    <m/>
    <m/>
    <m/>
    <m/>
    <m/>
    <m/>
    <n v="0"/>
    <n v="0"/>
  </r>
  <r>
    <x v="3"/>
    <x v="29"/>
    <s v="Need-based"/>
    <m/>
    <m/>
    <x v="12"/>
    <m/>
    <m/>
    <m/>
    <m/>
    <m/>
    <m/>
    <m/>
    <m/>
    <n v="0"/>
    <m/>
    <m/>
    <n v="0"/>
    <n v="0"/>
    <n v="0"/>
    <m/>
    <m/>
    <m/>
    <m/>
    <n v="0"/>
    <m/>
    <m/>
    <n v="0"/>
    <m/>
    <m/>
    <m/>
    <m/>
    <m/>
    <m/>
    <n v="0"/>
    <n v="0"/>
  </r>
  <r>
    <x v="3"/>
    <x v="30"/>
    <s v="Non need-based"/>
    <m/>
    <m/>
    <x v="12"/>
    <m/>
    <m/>
    <m/>
    <m/>
    <m/>
    <m/>
    <m/>
    <m/>
    <n v="0"/>
    <m/>
    <m/>
    <n v="0"/>
    <n v="0"/>
    <n v="0"/>
    <m/>
    <m/>
    <m/>
    <m/>
    <n v="0"/>
    <m/>
    <m/>
    <n v="0"/>
    <m/>
    <m/>
    <m/>
    <m/>
    <m/>
    <m/>
    <n v="0"/>
    <n v="0"/>
  </r>
  <r>
    <x v="3"/>
    <x v="31"/>
    <s v="Amount to private sector students"/>
    <m/>
    <m/>
    <x v="12"/>
    <m/>
    <m/>
    <m/>
    <m/>
    <m/>
    <m/>
    <m/>
    <m/>
    <n v="0"/>
    <m/>
    <m/>
    <n v="0"/>
    <n v="0"/>
    <n v="0"/>
    <m/>
    <m/>
    <m/>
    <m/>
    <n v="0"/>
    <m/>
    <m/>
    <n v="0"/>
    <m/>
    <m/>
    <m/>
    <m/>
    <m/>
    <m/>
    <n v="0"/>
    <n v="0"/>
  </r>
  <r>
    <x v="3"/>
    <x v="32"/>
    <s v="Need-based"/>
    <m/>
    <m/>
    <x v="12"/>
    <m/>
    <m/>
    <m/>
    <m/>
    <m/>
    <m/>
    <m/>
    <m/>
    <n v="0"/>
    <m/>
    <m/>
    <n v="0"/>
    <n v="0"/>
    <n v="0"/>
    <m/>
    <m/>
    <m/>
    <m/>
    <n v="0"/>
    <m/>
    <m/>
    <n v="0"/>
    <m/>
    <m/>
    <m/>
    <m/>
    <m/>
    <m/>
    <n v="0"/>
    <n v="0"/>
  </r>
  <r>
    <x v="3"/>
    <x v="33"/>
    <s v="Non need-based"/>
    <m/>
    <m/>
    <x v="12"/>
    <m/>
    <m/>
    <m/>
    <m/>
    <m/>
    <m/>
    <m/>
    <m/>
    <n v="0"/>
    <m/>
    <m/>
    <n v="0"/>
    <n v="0"/>
    <n v="0"/>
    <m/>
    <m/>
    <m/>
    <m/>
    <n v="0"/>
    <m/>
    <m/>
    <n v="0"/>
    <m/>
    <m/>
    <m/>
    <m/>
    <m/>
    <m/>
    <n v="0"/>
    <n v="0"/>
  </r>
  <r>
    <x v="3"/>
    <x v="25"/>
    <s v="Children of deceased/disabled Veterans"/>
    <m/>
    <m/>
    <x v="12"/>
    <m/>
    <m/>
    <m/>
    <m/>
    <m/>
    <m/>
    <m/>
    <m/>
    <n v="0"/>
    <m/>
    <m/>
    <n v="0"/>
    <n v="0"/>
    <n v="0"/>
    <m/>
    <m/>
    <m/>
    <m/>
    <n v="0"/>
    <m/>
    <m/>
    <n v="0"/>
    <m/>
    <m/>
    <m/>
    <m/>
    <m/>
    <m/>
    <n v="0"/>
    <n v="0"/>
  </r>
  <r>
    <x v="3"/>
    <x v="26"/>
    <s v="Need-based"/>
    <m/>
    <m/>
    <x v="12"/>
    <m/>
    <m/>
    <m/>
    <m/>
    <m/>
    <m/>
    <m/>
    <m/>
    <n v="0"/>
    <m/>
    <m/>
    <n v="0"/>
    <n v="0"/>
    <n v="0"/>
    <m/>
    <m/>
    <m/>
    <m/>
    <n v="0"/>
    <m/>
    <m/>
    <n v="0"/>
    <m/>
    <m/>
    <m/>
    <m/>
    <m/>
    <m/>
    <n v="0"/>
    <n v="0"/>
  </r>
  <r>
    <x v="3"/>
    <x v="27"/>
    <s v="Non need-based"/>
    <m/>
    <m/>
    <x v="12"/>
    <m/>
    <m/>
    <m/>
    <m/>
    <m/>
    <m/>
    <m/>
    <m/>
    <n v="0"/>
    <m/>
    <m/>
    <n v="0"/>
    <n v="0"/>
    <n v="0"/>
    <n v="2895907"/>
    <n v="2895907"/>
    <m/>
    <m/>
    <n v="0"/>
    <m/>
    <m/>
    <n v="0"/>
    <m/>
    <m/>
    <m/>
    <m/>
    <m/>
    <m/>
    <n v="2895907"/>
    <n v="2895907"/>
  </r>
  <r>
    <x v="3"/>
    <x v="28"/>
    <s v="Amount to public sector students"/>
    <m/>
    <m/>
    <x v="12"/>
    <m/>
    <m/>
    <m/>
    <m/>
    <m/>
    <m/>
    <m/>
    <m/>
    <n v="0"/>
    <m/>
    <m/>
    <n v="0"/>
    <n v="0"/>
    <n v="0"/>
    <m/>
    <m/>
    <m/>
    <m/>
    <n v="0"/>
    <m/>
    <m/>
    <n v="0"/>
    <m/>
    <m/>
    <m/>
    <m/>
    <m/>
    <m/>
    <n v="0"/>
    <n v="0"/>
  </r>
  <r>
    <x v="3"/>
    <x v="29"/>
    <s v="Need-based"/>
    <m/>
    <m/>
    <x v="12"/>
    <m/>
    <m/>
    <m/>
    <m/>
    <m/>
    <m/>
    <m/>
    <m/>
    <n v="0"/>
    <m/>
    <m/>
    <n v="0"/>
    <n v="0"/>
    <n v="0"/>
    <m/>
    <m/>
    <m/>
    <m/>
    <n v="0"/>
    <m/>
    <m/>
    <n v="0"/>
    <m/>
    <m/>
    <m/>
    <m/>
    <m/>
    <m/>
    <n v="0"/>
    <n v="0"/>
  </r>
  <r>
    <x v="3"/>
    <x v="30"/>
    <s v="Non need-based"/>
    <m/>
    <m/>
    <x v="12"/>
    <m/>
    <m/>
    <m/>
    <m/>
    <m/>
    <m/>
    <m/>
    <m/>
    <n v="0"/>
    <m/>
    <m/>
    <n v="0"/>
    <n v="0"/>
    <n v="0"/>
    <m/>
    <m/>
    <m/>
    <m/>
    <n v="0"/>
    <m/>
    <m/>
    <n v="0"/>
    <m/>
    <m/>
    <m/>
    <m/>
    <m/>
    <m/>
    <n v="0"/>
    <n v="0"/>
  </r>
  <r>
    <x v="3"/>
    <x v="31"/>
    <s v="Amount to private sector students"/>
    <m/>
    <m/>
    <x v="12"/>
    <m/>
    <m/>
    <m/>
    <m/>
    <m/>
    <m/>
    <m/>
    <m/>
    <n v="0"/>
    <m/>
    <m/>
    <n v="0"/>
    <n v="0"/>
    <n v="0"/>
    <m/>
    <m/>
    <m/>
    <m/>
    <n v="0"/>
    <m/>
    <m/>
    <n v="0"/>
    <m/>
    <m/>
    <m/>
    <m/>
    <m/>
    <m/>
    <n v="0"/>
    <n v="0"/>
  </r>
  <r>
    <x v="3"/>
    <x v="32"/>
    <s v="Need-based"/>
    <m/>
    <m/>
    <x v="12"/>
    <m/>
    <m/>
    <m/>
    <m/>
    <m/>
    <m/>
    <m/>
    <m/>
    <n v="0"/>
    <m/>
    <m/>
    <n v="0"/>
    <n v="0"/>
    <n v="0"/>
    <m/>
    <m/>
    <m/>
    <m/>
    <n v="0"/>
    <m/>
    <m/>
    <n v="0"/>
    <m/>
    <m/>
    <m/>
    <m/>
    <m/>
    <m/>
    <n v="0"/>
    <n v="0"/>
  </r>
  <r>
    <x v="3"/>
    <x v="33"/>
    <s v="Non need-based"/>
    <m/>
    <m/>
    <x v="12"/>
    <m/>
    <m/>
    <m/>
    <m/>
    <m/>
    <m/>
    <m/>
    <m/>
    <n v="0"/>
    <m/>
    <m/>
    <n v="0"/>
    <n v="0"/>
    <n v="0"/>
    <m/>
    <m/>
    <m/>
    <m/>
    <n v="0"/>
    <m/>
    <m/>
    <n v="0"/>
    <m/>
    <m/>
    <m/>
    <m/>
    <m/>
    <m/>
    <n v="0"/>
    <n v="0"/>
  </r>
  <r>
    <x v="3"/>
    <x v="25"/>
    <s v="Florida Work Experience"/>
    <m/>
    <m/>
    <x v="12"/>
    <m/>
    <m/>
    <m/>
    <m/>
    <m/>
    <m/>
    <m/>
    <m/>
    <n v="0"/>
    <m/>
    <m/>
    <n v="0"/>
    <n v="0"/>
    <n v="0"/>
    <m/>
    <m/>
    <m/>
    <m/>
    <n v="0"/>
    <m/>
    <m/>
    <n v="0"/>
    <m/>
    <m/>
    <m/>
    <m/>
    <m/>
    <m/>
    <n v="0"/>
    <n v="0"/>
  </r>
  <r>
    <x v="3"/>
    <x v="26"/>
    <s v="Need-based"/>
    <m/>
    <m/>
    <x v="12"/>
    <m/>
    <m/>
    <m/>
    <m/>
    <m/>
    <m/>
    <m/>
    <m/>
    <n v="0"/>
    <m/>
    <m/>
    <n v="0"/>
    <n v="0"/>
    <n v="0"/>
    <n v="1569922"/>
    <n v="1569922"/>
    <m/>
    <m/>
    <n v="0"/>
    <m/>
    <m/>
    <n v="0"/>
    <m/>
    <m/>
    <m/>
    <m/>
    <m/>
    <m/>
    <n v="1569922"/>
    <n v="1569922"/>
  </r>
  <r>
    <x v="3"/>
    <x v="27"/>
    <s v="Non need-based"/>
    <m/>
    <m/>
    <x v="12"/>
    <m/>
    <m/>
    <m/>
    <m/>
    <m/>
    <m/>
    <m/>
    <m/>
    <n v="0"/>
    <m/>
    <m/>
    <n v="0"/>
    <n v="0"/>
    <n v="0"/>
    <m/>
    <m/>
    <m/>
    <m/>
    <n v="0"/>
    <m/>
    <m/>
    <n v="0"/>
    <m/>
    <m/>
    <m/>
    <m/>
    <m/>
    <m/>
    <n v="0"/>
    <n v="0"/>
  </r>
  <r>
    <x v="3"/>
    <x v="28"/>
    <s v="Amount to public sector students"/>
    <m/>
    <m/>
    <x v="12"/>
    <m/>
    <m/>
    <m/>
    <m/>
    <m/>
    <m/>
    <m/>
    <m/>
    <n v="0"/>
    <m/>
    <m/>
    <n v="0"/>
    <n v="0"/>
    <n v="0"/>
    <m/>
    <m/>
    <m/>
    <m/>
    <n v="0"/>
    <m/>
    <m/>
    <n v="0"/>
    <m/>
    <m/>
    <m/>
    <m/>
    <m/>
    <m/>
    <n v="0"/>
    <n v="0"/>
  </r>
  <r>
    <x v="3"/>
    <x v="29"/>
    <s v="Need-based"/>
    <m/>
    <m/>
    <x v="12"/>
    <m/>
    <m/>
    <m/>
    <m/>
    <m/>
    <m/>
    <m/>
    <m/>
    <n v="0"/>
    <m/>
    <m/>
    <n v="0"/>
    <n v="0"/>
    <n v="0"/>
    <m/>
    <m/>
    <m/>
    <m/>
    <n v="0"/>
    <m/>
    <m/>
    <n v="0"/>
    <m/>
    <m/>
    <m/>
    <m/>
    <m/>
    <m/>
    <n v="0"/>
    <n v="0"/>
  </r>
  <r>
    <x v="3"/>
    <x v="30"/>
    <s v="Non need-based"/>
    <m/>
    <m/>
    <x v="12"/>
    <m/>
    <m/>
    <m/>
    <m/>
    <m/>
    <m/>
    <m/>
    <m/>
    <n v="0"/>
    <m/>
    <m/>
    <n v="0"/>
    <n v="0"/>
    <n v="0"/>
    <m/>
    <m/>
    <m/>
    <m/>
    <n v="0"/>
    <m/>
    <m/>
    <n v="0"/>
    <m/>
    <m/>
    <m/>
    <m/>
    <m/>
    <m/>
    <n v="0"/>
    <n v="0"/>
  </r>
  <r>
    <x v="3"/>
    <x v="31"/>
    <s v="Amount to private sector students"/>
    <m/>
    <m/>
    <x v="12"/>
    <m/>
    <m/>
    <m/>
    <m/>
    <m/>
    <m/>
    <m/>
    <m/>
    <n v="0"/>
    <m/>
    <m/>
    <n v="0"/>
    <n v="0"/>
    <n v="0"/>
    <m/>
    <m/>
    <m/>
    <m/>
    <n v="0"/>
    <m/>
    <m/>
    <n v="0"/>
    <m/>
    <m/>
    <m/>
    <m/>
    <m/>
    <m/>
    <n v="0"/>
    <n v="0"/>
  </r>
  <r>
    <x v="3"/>
    <x v="32"/>
    <s v="Need-based"/>
    <m/>
    <m/>
    <x v="12"/>
    <m/>
    <m/>
    <m/>
    <m/>
    <m/>
    <m/>
    <m/>
    <m/>
    <n v="0"/>
    <m/>
    <m/>
    <n v="0"/>
    <n v="0"/>
    <n v="0"/>
    <m/>
    <m/>
    <m/>
    <m/>
    <n v="0"/>
    <m/>
    <m/>
    <n v="0"/>
    <m/>
    <m/>
    <m/>
    <m/>
    <m/>
    <m/>
    <n v="0"/>
    <n v="0"/>
  </r>
  <r>
    <x v="3"/>
    <x v="33"/>
    <s v="Non need-based"/>
    <m/>
    <m/>
    <x v="12"/>
    <m/>
    <m/>
    <m/>
    <m/>
    <m/>
    <m/>
    <m/>
    <m/>
    <n v="0"/>
    <m/>
    <m/>
    <n v="0"/>
    <n v="0"/>
    <n v="0"/>
    <m/>
    <m/>
    <m/>
    <m/>
    <n v="0"/>
    <m/>
    <m/>
    <n v="0"/>
    <m/>
    <m/>
    <m/>
    <m/>
    <m/>
    <m/>
    <n v="0"/>
    <n v="0"/>
  </r>
  <r>
    <x v="3"/>
    <x v="25"/>
    <s v="Jose Marti Scholarship Challenge Grant"/>
    <m/>
    <m/>
    <x v="12"/>
    <m/>
    <m/>
    <m/>
    <m/>
    <m/>
    <m/>
    <m/>
    <m/>
    <n v="0"/>
    <m/>
    <m/>
    <n v="0"/>
    <n v="0"/>
    <n v="0"/>
    <m/>
    <m/>
    <m/>
    <m/>
    <n v="0"/>
    <m/>
    <m/>
    <n v="0"/>
    <m/>
    <m/>
    <m/>
    <m/>
    <m/>
    <m/>
    <n v="0"/>
    <n v="0"/>
  </r>
  <r>
    <x v="3"/>
    <x v="26"/>
    <s v="Need-based"/>
    <m/>
    <m/>
    <x v="12"/>
    <m/>
    <m/>
    <m/>
    <m/>
    <m/>
    <m/>
    <m/>
    <m/>
    <n v="0"/>
    <m/>
    <m/>
    <n v="0"/>
    <n v="0"/>
    <n v="0"/>
    <n v="49500"/>
    <n v="50000"/>
    <m/>
    <m/>
    <n v="0"/>
    <m/>
    <m/>
    <n v="0"/>
    <m/>
    <m/>
    <m/>
    <m/>
    <m/>
    <m/>
    <n v="49500"/>
    <n v="50000"/>
  </r>
  <r>
    <x v="3"/>
    <x v="27"/>
    <s v="Non need-based"/>
    <m/>
    <m/>
    <x v="12"/>
    <m/>
    <m/>
    <m/>
    <m/>
    <m/>
    <m/>
    <m/>
    <m/>
    <n v="0"/>
    <m/>
    <m/>
    <n v="0"/>
    <n v="0"/>
    <n v="0"/>
    <m/>
    <m/>
    <m/>
    <m/>
    <n v="0"/>
    <m/>
    <m/>
    <n v="0"/>
    <m/>
    <m/>
    <m/>
    <m/>
    <m/>
    <m/>
    <n v="0"/>
    <n v="0"/>
  </r>
  <r>
    <x v="3"/>
    <x v="28"/>
    <s v="Amount to public sector students"/>
    <m/>
    <m/>
    <x v="12"/>
    <m/>
    <m/>
    <m/>
    <m/>
    <m/>
    <m/>
    <m/>
    <m/>
    <n v="0"/>
    <m/>
    <m/>
    <n v="0"/>
    <n v="0"/>
    <n v="0"/>
    <m/>
    <m/>
    <m/>
    <m/>
    <n v="0"/>
    <m/>
    <m/>
    <n v="0"/>
    <m/>
    <m/>
    <m/>
    <m/>
    <m/>
    <m/>
    <n v="0"/>
    <n v="0"/>
  </r>
  <r>
    <x v="3"/>
    <x v="29"/>
    <s v="Need-based"/>
    <m/>
    <m/>
    <x v="12"/>
    <m/>
    <m/>
    <m/>
    <m/>
    <m/>
    <m/>
    <m/>
    <m/>
    <n v="0"/>
    <m/>
    <m/>
    <n v="0"/>
    <n v="0"/>
    <n v="0"/>
    <m/>
    <m/>
    <m/>
    <m/>
    <n v="0"/>
    <m/>
    <m/>
    <n v="0"/>
    <m/>
    <m/>
    <m/>
    <m/>
    <m/>
    <m/>
    <n v="0"/>
    <n v="0"/>
  </r>
  <r>
    <x v="3"/>
    <x v="30"/>
    <s v="Non need-based"/>
    <m/>
    <m/>
    <x v="12"/>
    <m/>
    <m/>
    <m/>
    <m/>
    <m/>
    <m/>
    <m/>
    <m/>
    <n v="0"/>
    <m/>
    <m/>
    <n v="0"/>
    <n v="0"/>
    <n v="0"/>
    <m/>
    <m/>
    <m/>
    <m/>
    <n v="0"/>
    <m/>
    <m/>
    <n v="0"/>
    <m/>
    <m/>
    <m/>
    <m/>
    <m/>
    <m/>
    <n v="0"/>
    <n v="0"/>
  </r>
  <r>
    <x v="3"/>
    <x v="31"/>
    <s v="Amount to private sector students"/>
    <m/>
    <m/>
    <x v="12"/>
    <m/>
    <m/>
    <m/>
    <m/>
    <m/>
    <m/>
    <m/>
    <m/>
    <n v="0"/>
    <m/>
    <m/>
    <n v="0"/>
    <n v="0"/>
    <n v="0"/>
    <m/>
    <m/>
    <m/>
    <m/>
    <n v="0"/>
    <m/>
    <m/>
    <n v="0"/>
    <m/>
    <m/>
    <m/>
    <m/>
    <m/>
    <m/>
    <n v="0"/>
    <n v="0"/>
  </r>
  <r>
    <x v="3"/>
    <x v="32"/>
    <s v="Need-based"/>
    <m/>
    <m/>
    <x v="12"/>
    <m/>
    <m/>
    <m/>
    <m/>
    <m/>
    <m/>
    <m/>
    <m/>
    <n v="0"/>
    <m/>
    <m/>
    <n v="0"/>
    <n v="0"/>
    <n v="0"/>
    <m/>
    <m/>
    <m/>
    <m/>
    <n v="0"/>
    <m/>
    <m/>
    <n v="0"/>
    <m/>
    <m/>
    <m/>
    <m/>
    <m/>
    <m/>
    <n v="0"/>
    <n v="0"/>
  </r>
  <r>
    <x v="3"/>
    <x v="33"/>
    <s v="Non need-based"/>
    <m/>
    <m/>
    <x v="12"/>
    <m/>
    <m/>
    <m/>
    <m/>
    <m/>
    <m/>
    <m/>
    <m/>
    <n v="0"/>
    <m/>
    <m/>
    <n v="0"/>
    <n v="0"/>
    <n v="0"/>
    <m/>
    <m/>
    <m/>
    <m/>
    <n v="0"/>
    <m/>
    <m/>
    <n v="0"/>
    <m/>
    <m/>
    <m/>
    <m/>
    <m/>
    <m/>
    <n v="0"/>
    <n v="0"/>
  </r>
  <r>
    <x v="3"/>
    <x v="25"/>
    <s v="Prepaid Tuition Scholarships"/>
    <m/>
    <m/>
    <x v="12"/>
    <m/>
    <m/>
    <m/>
    <m/>
    <m/>
    <m/>
    <m/>
    <m/>
    <n v="0"/>
    <m/>
    <m/>
    <n v="0"/>
    <n v="0"/>
    <n v="0"/>
    <m/>
    <m/>
    <m/>
    <m/>
    <n v="0"/>
    <m/>
    <m/>
    <n v="0"/>
    <m/>
    <m/>
    <m/>
    <m/>
    <m/>
    <m/>
    <n v="0"/>
    <n v="0"/>
  </r>
  <r>
    <x v="3"/>
    <x v="26"/>
    <s v="Need-based"/>
    <m/>
    <m/>
    <x v="12"/>
    <m/>
    <m/>
    <m/>
    <m/>
    <m/>
    <m/>
    <m/>
    <m/>
    <n v="0"/>
    <m/>
    <m/>
    <n v="0"/>
    <n v="0"/>
    <n v="0"/>
    <n v="7000000"/>
    <n v="7000000"/>
    <m/>
    <m/>
    <n v="0"/>
    <m/>
    <m/>
    <n v="0"/>
    <m/>
    <m/>
    <m/>
    <m/>
    <m/>
    <m/>
    <n v="7000000"/>
    <n v="7000000"/>
  </r>
  <r>
    <x v="3"/>
    <x v="27"/>
    <s v="Non need-based"/>
    <m/>
    <m/>
    <x v="12"/>
    <m/>
    <m/>
    <m/>
    <m/>
    <m/>
    <m/>
    <m/>
    <m/>
    <n v="0"/>
    <m/>
    <m/>
    <n v="0"/>
    <n v="0"/>
    <n v="0"/>
    <m/>
    <m/>
    <m/>
    <m/>
    <n v="0"/>
    <m/>
    <m/>
    <n v="0"/>
    <m/>
    <m/>
    <m/>
    <m/>
    <m/>
    <m/>
    <n v="0"/>
    <n v="0"/>
  </r>
  <r>
    <x v="3"/>
    <x v="28"/>
    <s v="Amount to public sector students"/>
    <m/>
    <m/>
    <x v="12"/>
    <m/>
    <m/>
    <m/>
    <m/>
    <m/>
    <m/>
    <m/>
    <m/>
    <n v="0"/>
    <m/>
    <m/>
    <n v="0"/>
    <n v="0"/>
    <n v="0"/>
    <m/>
    <m/>
    <m/>
    <m/>
    <n v="0"/>
    <m/>
    <m/>
    <n v="0"/>
    <m/>
    <m/>
    <m/>
    <m/>
    <m/>
    <m/>
    <n v="0"/>
    <n v="0"/>
  </r>
  <r>
    <x v="3"/>
    <x v="29"/>
    <s v="Need-based"/>
    <m/>
    <m/>
    <x v="12"/>
    <m/>
    <m/>
    <m/>
    <m/>
    <m/>
    <m/>
    <m/>
    <m/>
    <n v="0"/>
    <m/>
    <m/>
    <n v="0"/>
    <n v="0"/>
    <n v="0"/>
    <m/>
    <m/>
    <m/>
    <m/>
    <n v="0"/>
    <m/>
    <m/>
    <n v="0"/>
    <m/>
    <m/>
    <m/>
    <m/>
    <m/>
    <m/>
    <n v="0"/>
    <n v="0"/>
  </r>
  <r>
    <x v="3"/>
    <x v="30"/>
    <s v="Non need-based"/>
    <m/>
    <m/>
    <x v="12"/>
    <m/>
    <m/>
    <m/>
    <m/>
    <m/>
    <m/>
    <m/>
    <m/>
    <n v="0"/>
    <m/>
    <m/>
    <n v="0"/>
    <n v="0"/>
    <n v="0"/>
    <m/>
    <m/>
    <m/>
    <m/>
    <n v="0"/>
    <m/>
    <m/>
    <n v="0"/>
    <m/>
    <m/>
    <m/>
    <m/>
    <m/>
    <m/>
    <n v="0"/>
    <n v="0"/>
  </r>
  <r>
    <x v="3"/>
    <x v="31"/>
    <s v="Amount to private sector students"/>
    <m/>
    <m/>
    <x v="12"/>
    <m/>
    <m/>
    <m/>
    <m/>
    <m/>
    <m/>
    <m/>
    <m/>
    <n v="0"/>
    <m/>
    <m/>
    <n v="0"/>
    <n v="0"/>
    <n v="0"/>
    <m/>
    <m/>
    <m/>
    <m/>
    <n v="0"/>
    <m/>
    <m/>
    <n v="0"/>
    <m/>
    <m/>
    <m/>
    <m/>
    <m/>
    <m/>
    <n v="0"/>
    <n v="0"/>
  </r>
  <r>
    <x v="3"/>
    <x v="32"/>
    <s v="Need-based"/>
    <m/>
    <m/>
    <x v="12"/>
    <m/>
    <m/>
    <m/>
    <m/>
    <m/>
    <m/>
    <m/>
    <m/>
    <n v="0"/>
    <m/>
    <m/>
    <n v="0"/>
    <n v="0"/>
    <n v="0"/>
    <m/>
    <m/>
    <m/>
    <m/>
    <n v="0"/>
    <m/>
    <m/>
    <n v="0"/>
    <m/>
    <m/>
    <m/>
    <m/>
    <m/>
    <m/>
    <n v="0"/>
    <n v="0"/>
  </r>
  <r>
    <x v="3"/>
    <x v="33"/>
    <s v="Non need-based"/>
    <m/>
    <m/>
    <x v="12"/>
    <m/>
    <m/>
    <m/>
    <m/>
    <m/>
    <m/>
    <m/>
    <m/>
    <n v="0"/>
    <m/>
    <m/>
    <n v="0"/>
    <n v="0"/>
    <n v="0"/>
    <m/>
    <m/>
    <m/>
    <m/>
    <n v="0"/>
    <m/>
    <m/>
    <n v="0"/>
    <m/>
    <m/>
    <m/>
    <m/>
    <m/>
    <m/>
    <n v="0"/>
    <n v="0"/>
  </r>
  <r>
    <x v="3"/>
    <x v="34"/>
    <s v="Limited to public college students"/>
    <m/>
    <m/>
    <x v="12"/>
    <m/>
    <m/>
    <m/>
    <m/>
    <m/>
    <m/>
    <m/>
    <m/>
    <n v="0"/>
    <m/>
    <m/>
    <n v="0"/>
    <n v="0"/>
    <n v="0"/>
    <m/>
    <m/>
    <m/>
    <m/>
    <n v="0"/>
    <m/>
    <m/>
    <n v="0"/>
    <m/>
    <m/>
    <m/>
    <m/>
    <m/>
    <m/>
    <n v="0"/>
    <n v="0"/>
  </r>
  <r>
    <x v="3"/>
    <x v="34"/>
    <s v="Florida Student Assistance - Public - Full &amp; Part-time"/>
    <m/>
    <m/>
    <x v="12"/>
    <m/>
    <m/>
    <m/>
    <m/>
    <m/>
    <m/>
    <m/>
    <m/>
    <n v="0"/>
    <m/>
    <m/>
    <n v="0"/>
    <n v="0"/>
    <n v="0"/>
    <m/>
    <m/>
    <m/>
    <m/>
    <n v="0"/>
    <m/>
    <m/>
    <n v="0"/>
    <m/>
    <m/>
    <m/>
    <m/>
    <m/>
    <m/>
    <n v="0"/>
    <n v="0"/>
  </r>
  <r>
    <x v="3"/>
    <x v="35"/>
    <s v="Need-based"/>
    <m/>
    <m/>
    <x v="12"/>
    <m/>
    <m/>
    <m/>
    <m/>
    <m/>
    <m/>
    <m/>
    <m/>
    <n v="0"/>
    <m/>
    <m/>
    <n v="0"/>
    <n v="0"/>
    <n v="0"/>
    <n v="104703724"/>
    <n v="102964587"/>
    <m/>
    <m/>
    <n v="0"/>
    <m/>
    <m/>
    <n v="0"/>
    <m/>
    <m/>
    <m/>
    <m/>
    <m/>
    <m/>
    <n v="104703724"/>
    <n v="102964587"/>
  </r>
  <r>
    <x v="3"/>
    <x v="36"/>
    <s v="Non need-based"/>
    <m/>
    <m/>
    <x v="12"/>
    <m/>
    <m/>
    <m/>
    <m/>
    <m/>
    <m/>
    <m/>
    <m/>
    <n v="0"/>
    <m/>
    <m/>
    <n v="0"/>
    <n v="0"/>
    <n v="0"/>
    <m/>
    <m/>
    <m/>
    <m/>
    <n v="0"/>
    <m/>
    <m/>
    <n v="0"/>
    <m/>
    <m/>
    <m/>
    <m/>
    <m/>
    <m/>
    <n v="0"/>
    <n v="0"/>
  </r>
  <r>
    <x v="3"/>
    <x v="34"/>
    <s v="Minority Teachers Scholarships"/>
    <m/>
    <m/>
    <x v="12"/>
    <m/>
    <m/>
    <m/>
    <m/>
    <m/>
    <m/>
    <m/>
    <m/>
    <n v="0"/>
    <m/>
    <m/>
    <n v="0"/>
    <n v="0"/>
    <n v="0"/>
    <m/>
    <m/>
    <m/>
    <m/>
    <n v="0"/>
    <m/>
    <m/>
    <n v="0"/>
    <m/>
    <m/>
    <m/>
    <m/>
    <m/>
    <m/>
    <n v="0"/>
    <n v="0"/>
  </r>
  <r>
    <x v="3"/>
    <x v="35"/>
    <s v="Need-based"/>
    <m/>
    <m/>
    <x v="12"/>
    <m/>
    <m/>
    <m/>
    <m/>
    <m/>
    <m/>
    <m/>
    <m/>
    <n v="0"/>
    <m/>
    <m/>
    <n v="0"/>
    <n v="0"/>
    <n v="0"/>
    <m/>
    <m/>
    <m/>
    <m/>
    <n v="0"/>
    <m/>
    <m/>
    <n v="0"/>
    <m/>
    <m/>
    <m/>
    <m/>
    <m/>
    <m/>
    <n v="0"/>
    <n v="0"/>
  </r>
  <r>
    <x v="3"/>
    <x v="36"/>
    <s v="Non need-based"/>
    <m/>
    <m/>
    <x v="12"/>
    <m/>
    <m/>
    <m/>
    <m/>
    <m/>
    <m/>
    <m/>
    <m/>
    <n v="0"/>
    <m/>
    <m/>
    <n v="0"/>
    <n v="0"/>
    <n v="0"/>
    <n v="885468"/>
    <n v="885468"/>
    <m/>
    <m/>
    <n v="0"/>
    <m/>
    <m/>
    <n v="0"/>
    <m/>
    <m/>
    <m/>
    <m/>
    <m/>
    <m/>
    <n v="885468"/>
    <n v="885468"/>
  </r>
  <r>
    <x v="3"/>
    <x v="34"/>
    <s v="Rosewood Family Scholarships"/>
    <m/>
    <m/>
    <x v="12"/>
    <m/>
    <m/>
    <m/>
    <m/>
    <m/>
    <m/>
    <m/>
    <m/>
    <n v="0"/>
    <m/>
    <m/>
    <n v="0"/>
    <n v="0"/>
    <n v="0"/>
    <m/>
    <m/>
    <m/>
    <m/>
    <n v="0"/>
    <m/>
    <m/>
    <n v="0"/>
    <m/>
    <m/>
    <m/>
    <m/>
    <m/>
    <m/>
    <n v="0"/>
    <n v="0"/>
  </r>
  <r>
    <x v="3"/>
    <x v="35"/>
    <s v="Need-based"/>
    <m/>
    <m/>
    <x v="12"/>
    <m/>
    <m/>
    <m/>
    <m/>
    <m/>
    <m/>
    <m/>
    <m/>
    <n v="0"/>
    <m/>
    <m/>
    <n v="0"/>
    <n v="0"/>
    <n v="0"/>
    <m/>
    <m/>
    <m/>
    <m/>
    <n v="0"/>
    <m/>
    <m/>
    <n v="0"/>
    <m/>
    <m/>
    <m/>
    <m/>
    <m/>
    <m/>
    <n v="0"/>
    <n v="0"/>
  </r>
  <r>
    <x v="3"/>
    <x v="36"/>
    <s v="Non need-based"/>
    <m/>
    <m/>
    <x v="12"/>
    <m/>
    <m/>
    <m/>
    <m/>
    <m/>
    <m/>
    <m/>
    <m/>
    <n v="0"/>
    <m/>
    <m/>
    <n v="0"/>
    <n v="0"/>
    <n v="0"/>
    <n v="60000"/>
    <n v="60000"/>
    <m/>
    <m/>
    <n v="0"/>
    <m/>
    <m/>
    <n v="0"/>
    <m/>
    <m/>
    <m/>
    <m/>
    <m/>
    <m/>
    <n v="60000"/>
    <n v="60000"/>
  </r>
  <r>
    <x v="3"/>
    <x v="37"/>
    <s v="Limited to private college students"/>
    <m/>
    <m/>
    <x v="12"/>
    <m/>
    <m/>
    <m/>
    <m/>
    <m/>
    <m/>
    <m/>
    <m/>
    <n v="0"/>
    <m/>
    <m/>
    <n v="0"/>
    <n v="0"/>
    <n v="0"/>
    <m/>
    <m/>
    <m/>
    <m/>
    <n v="0"/>
    <m/>
    <m/>
    <n v="0"/>
    <m/>
    <m/>
    <m/>
    <m/>
    <m/>
    <m/>
    <n v="0"/>
    <n v="0"/>
  </r>
  <r>
    <x v="3"/>
    <x v="37"/>
    <s v="Florida Resident Access Grant"/>
    <m/>
    <m/>
    <x v="12"/>
    <m/>
    <m/>
    <m/>
    <m/>
    <m/>
    <m/>
    <m/>
    <m/>
    <n v="0"/>
    <m/>
    <m/>
    <n v="0"/>
    <n v="0"/>
    <n v="0"/>
    <m/>
    <m/>
    <m/>
    <m/>
    <n v="0"/>
    <m/>
    <m/>
    <n v="0"/>
    <m/>
    <m/>
    <m/>
    <m/>
    <m/>
    <m/>
    <n v="0"/>
    <n v="0"/>
  </r>
  <r>
    <x v="3"/>
    <x v="38"/>
    <s v="Need-based"/>
    <m/>
    <m/>
    <x v="12"/>
    <m/>
    <m/>
    <m/>
    <m/>
    <m/>
    <m/>
    <m/>
    <m/>
    <n v="0"/>
    <m/>
    <m/>
    <n v="0"/>
    <n v="0"/>
    <n v="0"/>
    <m/>
    <m/>
    <m/>
    <m/>
    <n v="0"/>
    <m/>
    <m/>
    <n v="0"/>
    <m/>
    <m/>
    <m/>
    <m/>
    <m/>
    <m/>
    <n v="0"/>
    <n v="0"/>
  </r>
  <r>
    <x v="3"/>
    <x v="39"/>
    <s v="Non need-based"/>
    <m/>
    <m/>
    <x v="12"/>
    <m/>
    <m/>
    <m/>
    <m/>
    <m/>
    <m/>
    <m/>
    <m/>
    <n v="0"/>
    <m/>
    <m/>
    <n v="0"/>
    <n v="0"/>
    <n v="0"/>
    <n v="78958406"/>
    <n v="89664961"/>
    <m/>
    <m/>
    <n v="0"/>
    <m/>
    <m/>
    <n v="0"/>
    <m/>
    <m/>
    <m/>
    <m/>
    <m/>
    <m/>
    <n v="78958406"/>
    <n v="89664961"/>
  </r>
  <r>
    <x v="3"/>
    <x v="37"/>
    <s v="Access to Better Learning and Education"/>
    <m/>
    <m/>
    <x v="12"/>
    <m/>
    <m/>
    <m/>
    <m/>
    <m/>
    <m/>
    <m/>
    <m/>
    <n v="0"/>
    <m/>
    <m/>
    <n v="0"/>
    <n v="0"/>
    <n v="0"/>
    <m/>
    <m/>
    <m/>
    <m/>
    <n v="0"/>
    <m/>
    <m/>
    <n v="0"/>
    <m/>
    <m/>
    <m/>
    <m/>
    <m/>
    <m/>
    <n v="0"/>
    <n v="0"/>
  </r>
  <r>
    <x v="3"/>
    <x v="38"/>
    <s v="Need-based"/>
    <m/>
    <m/>
    <x v="12"/>
    <m/>
    <m/>
    <m/>
    <m/>
    <m/>
    <m/>
    <m/>
    <m/>
    <n v="0"/>
    <m/>
    <m/>
    <n v="0"/>
    <n v="0"/>
    <n v="0"/>
    <m/>
    <m/>
    <m/>
    <m/>
    <n v="0"/>
    <m/>
    <m/>
    <n v="0"/>
    <m/>
    <m/>
    <m/>
    <m/>
    <m/>
    <m/>
    <n v="0"/>
    <n v="0"/>
  </r>
  <r>
    <x v="3"/>
    <x v="39"/>
    <s v="Non need-based"/>
    <m/>
    <m/>
    <x v="12"/>
    <m/>
    <m/>
    <m/>
    <m/>
    <m/>
    <m/>
    <m/>
    <m/>
    <n v="0"/>
    <m/>
    <m/>
    <n v="0"/>
    <n v="0"/>
    <n v="0"/>
    <n v="2310231"/>
    <n v="3239567"/>
    <m/>
    <m/>
    <n v="0"/>
    <m/>
    <m/>
    <n v="0"/>
    <m/>
    <m/>
    <m/>
    <m/>
    <m/>
    <m/>
    <n v="2310231"/>
    <n v="3239567"/>
  </r>
  <r>
    <x v="3"/>
    <x v="37"/>
    <s v="Postsecondary Student Assistance Grant"/>
    <m/>
    <m/>
    <x v="12"/>
    <m/>
    <m/>
    <m/>
    <m/>
    <m/>
    <m/>
    <m/>
    <m/>
    <n v="0"/>
    <m/>
    <m/>
    <n v="0"/>
    <n v="0"/>
    <n v="0"/>
    <m/>
    <m/>
    <m/>
    <m/>
    <n v="0"/>
    <m/>
    <m/>
    <n v="0"/>
    <m/>
    <m/>
    <m/>
    <m/>
    <m/>
    <m/>
    <n v="0"/>
    <n v="0"/>
  </r>
  <r>
    <x v="3"/>
    <x v="38"/>
    <s v="Need-based"/>
    <m/>
    <m/>
    <x v="12"/>
    <m/>
    <m/>
    <m/>
    <m/>
    <m/>
    <m/>
    <m/>
    <m/>
    <n v="0"/>
    <m/>
    <m/>
    <n v="0"/>
    <n v="0"/>
    <n v="0"/>
    <n v="9281150"/>
    <n v="11806087"/>
    <m/>
    <m/>
    <n v="0"/>
    <m/>
    <m/>
    <n v="0"/>
    <m/>
    <m/>
    <m/>
    <m/>
    <m/>
    <m/>
    <n v="9281150"/>
    <n v="11806087"/>
  </r>
  <r>
    <x v="3"/>
    <x v="39"/>
    <s v="Non need-based"/>
    <m/>
    <m/>
    <x v="12"/>
    <m/>
    <m/>
    <m/>
    <m/>
    <m/>
    <m/>
    <m/>
    <m/>
    <n v="0"/>
    <m/>
    <m/>
    <n v="0"/>
    <n v="0"/>
    <n v="0"/>
    <m/>
    <m/>
    <m/>
    <m/>
    <n v="0"/>
    <m/>
    <m/>
    <n v="0"/>
    <m/>
    <m/>
    <m/>
    <m/>
    <m/>
    <m/>
    <n v="0"/>
    <n v="0"/>
  </r>
  <r>
    <x v="3"/>
    <x v="37"/>
    <s v="Private Student Assistance Grants"/>
    <m/>
    <m/>
    <x v="12"/>
    <m/>
    <m/>
    <m/>
    <m/>
    <m/>
    <m/>
    <m/>
    <m/>
    <n v="0"/>
    <m/>
    <m/>
    <n v="0"/>
    <n v="0"/>
    <n v="0"/>
    <m/>
    <m/>
    <m/>
    <m/>
    <n v="0"/>
    <m/>
    <m/>
    <n v="0"/>
    <m/>
    <m/>
    <m/>
    <m/>
    <m/>
    <m/>
    <n v="0"/>
    <n v="0"/>
  </r>
  <r>
    <x v="3"/>
    <x v="38"/>
    <s v="Need-based"/>
    <m/>
    <m/>
    <x v="12"/>
    <m/>
    <m/>
    <m/>
    <m/>
    <m/>
    <m/>
    <m/>
    <m/>
    <n v="0"/>
    <m/>
    <m/>
    <n v="0"/>
    <n v="0"/>
    <n v="0"/>
    <n v="12941343"/>
    <n v="16578164"/>
    <m/>
    <m/>
    <n v="0"/>
    <m/>
    <m/>
    <n v="0"/>
    <m/>
    <m/>
    <m/>
    <m/>
    <m/>
    <m/>
    <n v="12941343"/>
    <n v="16578164"/>
  </r>
  <r>
    <x v="3"/>
    <x v="39"/>
    <s v="Non need-based"/>
    <m/>
    <m/>
    <x v="12"/>
    <m/>
    <m/>
    <m/>
    <m/>
    <m/>
    <m/>
    <m/>
    <m/>
    <n v="0"/>
    <m/>
    <m/>
    <n v="0"/>
    <n v="0"/>
    <n v="0"/>
    <m/>
    <m/>
    <m/>
    <m/>
    <n v="0"/>
    <m/>
    <m/>
    <n v="0"/>
    <m/>
    <m/>
    <m/>
    <m/>
    <m/>
    <m/>
    <n v="0"/>
    <n v="0"/>
  </r>
  <r>
    <x v="3"/>
    <x v="37"/>
    <s v="Mary McCleod Bethune Scholarship"/>
    <m/>
    <m/>
    <x v="12"/>
    <m/>
    <m/>
    <m/>
    <m/>
    <m/>
    <m/>
    <m/>
    <m/>
    <n v="0"/>
    <m/>
    <m/>
    <n v="0"/>
    <n v="0"/>
    <n v="0"/>
    <m/>
    <m/>
    <m/>
    <m/>
    <n v="0"/>
    <m/>
    <m/>
    <n v="0"/>
    <m/>
    <m/>
    <m/>
    <m/>
    <m/>
    <m/>
    <n v="0"/>
    <n v="0"/>
  </r>
  <r>
    <x v="3"/>
    <x v="38"/>
    <s v="Need-based"/>
    <m/>
    <m/>
    <x v="12"/>
    <m/>
    <m/>
    <m/>
    <m/>
    <m/>
    <m/>
    <m/>
    <m/>
    <n v="0"/>
    <m/>
    <m/>
    <n v="0"/>
    <n v="0"/>
    <n v="0"/>
    <n v="160837"/>
    <n v="160500"/>
    <m/>
    <m/>
    <n v="0"/>
    <m/>
    <m/>
    <n v="0"/>
    <m/>
    <m/>
    <m/>
    <m/>
    <m/>
    <m/>
    <n v="160837"/>
    <n v="160500"/>
  </r>
  <r>
    <x v="3"/>
    <x v="39"/>
    <s v="Non need-based"/>
    <m/>
    <m/>
    <x v="12"/>
    <m/>
    <m/>
    <m/>
    <m/>
    <m/>
    <m/>
    <m/>
    <m/>
    <n v="0"/>
    <m/>
    <m/>
    <n v="0"/>
    <n v="0"/>
    <n v="0"/>
    <m/>
    <m/>
    <m/>
    <m/>
    <n v="0"/>
    <m/>
    <m/>
    <n v="0"/>
    <m/>
    <m/>
    <m/>
    <m/>
    <m/>
    <m/>
    <n v="0"/>
    <n v="0"/>
  </r>
  <r>
    <x v="3"/>
    <x v="0"/>
    <s v="Chipola College "/>
    <m/>
    <n v="133021"/>
    <x v="14"/>
    <n v="10947554"/>
    <n v="11243042"/>
    <m/>
    <m/>
    <m/>
    <m/>
    <n v="3410542"/>
    <m/>
    <n v="3410542"/>
    <n v="3161316"/>
    <m/>
    <n v="3161316"/>
    <n v="14358096"/>
    <n v="14404358"/>
    <m/>
    <m/>
    <m/>
    <m/>
    <n v="0"/>
    <m/>
    <m/>
    <n v="0"/>
    <m/>
    <m/>
    <m/>
    <m/>
    <m/>
    <m/>
    <n v="14358096"/>
    <n v="14404358"/>
  </r>
  <r>
    <x v="3"/>
    <x v="0"/>
    <s v="Daytona State College "/>
    <m/>
    <n v="133386"/>
    <x v="14"/>
    <n v="58374712"/>
    <n v="50626420"/>
    <m/>
    <m/>
    <m/>
    <m/>
    <n v="28349816"/>
    <m/>
    <n v="28349816"/>
    <n v="27140451"/>
    <m/>
    <n v="27140451"/>
    <n v="86724528"/>
    <n v="77766871"/>
    <m/>
    <m/>
    <m/>
    <m/>
    <n v="0"/>
    <m/>
    <m/>
    <n v="0"/>
    <m/>
    <m/>
    <m/>
    <m/>
    <m/>
    <m/>
    <n v="86724528"/>
    <n v="77766871"/>
  </r>
  <r>
    <x v="3"/>
    <x v="0"/>
    <s v="Edison State College "/>
    <m/>
    <n v="133508"/>
    <x v="14"/>
    <n v="25144443"/>
    <n v="30334488"/>
    <m/>
    <m/>
    <m/>
    <m/>
    <n v="25980764"/>
    <m/>
    <n v="25980764"/>
    <n v="25541960"/>
    <m/>
    <n v="25541960"/>
    <n v="51125207"/>
    <n v="55876448"/>
    <m/>
    <m/>
    <m/>
    <m/>
    <n v="0"/>
    <m/>
    <m/>
    <n v="0"/>
    <m/>
    <m/>
    <m/>
    <m/>
    <m/>
    <m/>
    <n v="51125207"/>
    <n v="55876448"/>
  </r>
  <r>
    <x v="3"/>
    <x v="0"/>
    <s v="Florida State College at Jacksonville"/>
    <m/>
    <n v="133702"/>
    <x v="14"/>
    <n v="73722608"/>
    <n v="76467992"/>
    <m/>
    <m/>
    <m/>
    <m/>
    <n v="54737765"/>
    <m/>
    <n v="54737765"/>
    <n v="53159628"/>
    <m/>
    <n v="53159628"/>
    <n v="128460373"/>
    <n v="129627620"/>
    <m/>
    <m/>
    <m/>
    <m/>
    <n v="0"/>
    <m/>
    <m/>
    <n v="0"/>
    <m/>
    <m/>
    <m/>
    <m/>
    <m/>
    <m/>
    <n v="128460373"/>
    <n v="129627620"/>
  </r>
  <r>
    <x v="3"/>
    <x v="0"/>
    <s v="Indian River State College "/>
    <m/>
    <n v="134608"/>
    <x v="14"/>
    <n v="44177840"/>
    <n v="46596282"/>
    <m/>
    <m/>
    <m/>
    <m/>
    <n v="29456824"/>
    <m/>
    <n v="29456824"/>
    <n v="28010756"/>
    <m/>
    <n v="28010756"/>
    <n v="73634664"/>
    <n v="74607038"/>
    <m/>
    <m/>
    <m/>
    <m/>
    <n v="0"/>
    <m/>
    <m/>
    <n v="0"/>
    <m/>
    <m/>
    <m/>
    <m/>
    <m/>
    <m/>
    <n v="73634664"/>
    <n v="74607038"/>
  </r>
  <r>
    <x v="3"/>
    <x v="0"/>
    <s v="Miami Dade College "/>
    <m/>
    <n v="135717"/>
    <x v="14"/>
    <n v="166268487"/>
    <n v="173217376"/>
    <m/>
    <m/>
    <m/>
    <m/>
    <n v="152600745"/>
    <m/>
    <n v="152600745"/>
    <n v="145409706"/>
    <m/>
    <n v="145409706"/>
    <n v="318869232"/>
    <n v="318627082"/>
    <m/>
    <m/>
    <m/>
    <m/>
    <n v="0"/>
    <m/>
    <m/>
    <n v="0"/>
    <m/>
    <m/>
    <m/>
    <m/>
    <m/>
    <m/>
    <n v="318869232"/>
    <n v="318627082"/>
  </r>
  <r>
    <x v="3"/>
    <x v="0"/>
    <s v="Northwest Florida State College"/>
    <m/>
    <n v="136233"/>
    <x v="14"/>
    <n v="18216303"/>
    <n v="18575488"/>
    <m/>
    <m/>
    <m/>
    <m/>
    <n v="12421689"/>
    <m/>
    <n v="12421689"/>
    <n v="11793393"/>
    <m/>
    <n v="11793393"/>
    <n v="30637992"/>
    <n v="30368881"/>
    <m/>
    <m/>
    <m/>
    <m/>
    <n v="0"/>
    <m/>
    <m/>
    <n v="0"/>
    <m/>
    <m/>
    <m/>
    <m/>
    <m/>
    <m/>
    <n v="30637992"/>
    <n v="30368881"/>
  </r>
  <r>
    <x v="3"/>
    <x v="0"/>
    <s v="St. Petersburg College "/>
    <m/>
    <n v="137078"/>
    <x v="14"/>
    <n v="63234353"/>
    <n v="67208473"/>
    <m/>
    <m/>
    <m/>
    <m/>
    <n v="56870943"/>
    <m/>
    <n v="56870943"/>
    <n v="54188470"/>
    <m/>
    <n v="54188470"/>
    <n v="120105296"/>
    <n v="121396943"/>
    <m/>
    <m/>
    <m/>
    <m/>
    <n v="0"/>
    <m/>
    <m/>
    <n v="0"/>
    <m/>
    <m/>
    <m/>
    <m/>
    <m/>
    <m/>
    <n v="120105296"/>
    <n v="121396943"/>
  </r>
  <r>
    <x v="3"/>
    <x v="0"/>
    <s v="Broward College "/>
    <s v="Reclassified: met the criteria for Two-Year with Bachelor's in 2011-12, 2012-13, and 2013-14."/>
    <n v="132709"/>
    <x v="14"/>
    <n v="71006946"/>
    <n v="81519321"/>
    <m/>
    <m/>
    <m/>
    <m/>
    <n v="74728669"/>
    <m/>
    <n v="74728669"/>
    <n v="74733830"/>
    <m/>
    <n v="74733830"/>
    <n v="145735615"/>
    <n v="156253151"/>
    <m/>
    <m/>
    <m/>
    <m/>
    <n v="0"/>
    <m/>
    <m/>
    <n v="0"/>
    <m/>
    <m/>
    <m/>
    <m/>
    <m/>
    <m/>
    <n v="145735615"/>
    <n v="156253151"/>
  </r>
  <r>
    <x v="3"/>
    <x v="0"/>
    <s v="College of Central Florida"/>
    <s v="Met the criteria for Two-Year with Bachelor's in 2013-14."/>
    <n v="132851"/>
    <x v="6"/>
    <n v="19726352"/>
    <n v="20987826"/>
    <m/>
    <m/>
    <m/>
    <m/>
    <n v="15507394"/>
    <m/>
    <n v="15507394"/>
    <n v="14639255"/>
    <m/>
    <n v="14639255"/>
    <n v="35233746"/>
    <n v="35627081"/>
    <m/>
    <m/>
    <m/>
    <m/>
    <n v="0"/>
    <m/>
    <m/>
    <n v="0"/>
    <m/>
    <m/>
    <m/>
    <m/>
    <m/>
    <m/>
    <n v="35233746"/>
    <n v="35627081"/>
  </r>
  <r>
    <x v="3"/>
    <x v="0"/>
    <s v="Eastern Florida State College"/>
    <m/>
    <n v="132693"/>
    <x v="6"/>
    <n v="43456704"/>
    <n v="41059428"/>
    <m/>
    <m/>
    <m/>
    <m/>
    <n v="26976606"/>
    <m/>
    <n v="26976606"/>
    <n v="26020474"/>
    <m/>
    <n v="26020474"/>
    <n v="70433310"/>
    <n v="67079902"/>
    <m/>
    <m/>
    <m/>
    <m/>
    <n v="0"/>
    <m/>
    <m/>
    <n v="0"/>
    <m/>
    <m/>
    <m/>
    <m/>
    <m/>
    <m/>
    <n v="70433310"/>
    <n v="67079902"/>
  </r>
  <r>
    <x v="3"/>
    <x v="0"/>
    <s v="Hillsborough Community College "/>
    <m/>
    <n v="134495"/>
    <x v="6"/>
    <n v="48259745"/>
    <n v="52640686"/>
    <m/>
    <m/>
    <m/>
    <m/>
    <n v="51452590"/>
    <m/>
    <n v="51452590"/>
    <n v="49254757"/>
    <m/>
    <n v="49254757"/>
    <n v="99712335"/>
    <n v="101895443"/>
    <m/>
    <m/>
    <m/>
    <m/>
    <n v="0"/>
    <m/>
    <m/>
    <n v="0"/>
    <m/>
    <m/>
    <m/>
    <m/>
    <m/>
    <m/>
    <n v="99712335"/>
    <n v="101895443"/>
  </r>
  <r>
    <x v="3"/>
    <x v="0"/>
    <s v="Palm Beach State College "/>
    <s v="Reclassified: met the criteria for Two-Year with Bachelor's in 2011-12, 2012-13, and 2013-14."/>
    <n v="136358"/>
    <x v="14"/>
    <n v="50996885"/>
    <n v="53701201"/>
    <m/>
    <m/>
    <m/>
    <m/>
    <n v="50636787"/>
    <m/>
    <n v="50636787"/>
    <n v="50250232"/>
    <m/>
    <n v="50250232"/>
    <n v="101633672"/>
    <n v="103951433"/>
    <m/>
    <m/>
    <m/>
    <m/>
    <n v="0"/>
    <m/>
    <m/>
    <n v="0"/>
    <m/>
    <m/>
    <m/>
    <m/>
    <m/>
    <m/>
    <n v="101633672"/>
    <n v="103951433"/>
  </r>
  <r>
    <x v="3"/>
    <x v="0"/>
    <s v="Pasco-Hernando Community College "/>
    <m/>
    <n v="136400"/>
    <x v="6"/>
    <n v="19523024"/>
    <n v="27248501"/>
    <m/>
    <m/>
    <m/>
    <m/>
    <n v="15322778"/>
    <m/>
    <n v="15322778"/>
    <n v="15627739"/>
    <m/>
    <n v="15627739"/>
    <n v="34845802"/>
    <n v="42876240"/>
    <m/>
    <m/>
    <m/>
    <m/>
    <n v="0"/>
    <m/>
    <m/>
    <n v="0"/>
    <m/>
    <m/>
    <m/>
    <m/>
    <m/>
    <m/>
    <n v="34845802"/>
    <n v="42876240"/>
  </r>
  <r>
    <x v="3"/>
    <x v="0"/>
    <s v="Pensacola State College "/>
    <s v="Met the criteria for Two-Year with Bachelor's in 2012-13 and 2013-14."/>
    <n v="136473"/>
    <x v="6"/>
    <n v="33239464"/>
    <n v="34256668"/>
    <m/>
    <m/>
    <m/>
    <m/>
    <n v="20062747"/>
    <m/>
    <n v="20062747"/>
    <n v="18323517"/>
    <m/>
    <n v="18323517"/>
    <n v="53302211"/>
    <n v="52580185"/>
    <m/>
    <m/>
    <m/>
    <m/>
    <n v="0"/>
    <m/>
    <m/>
    <n v="0"/>
    <m/>
    <m/>
    <m/>
    <m/>
    <m/>
    <m/>
    <n v="53302211"/>
    <n v="52580185"/>
  </r>
  <r>
    <x v="3"/>
    <x v="0"/>
    <s v="Polk State College "/>
    <s v="Reclassified: met the criteria for Two-Year with Bachelor's in 2011-12, 2012-13, and 2013-14."/>
    <n v="136516"/>
    <x v="14"/>
    <n v="27551462"/>
    <n v="26573056"/>
    <m/>
    <m/>
    <m/>
    <m/>
    <n v="18730169"/>
    <m/>
    <n v="18730169"/>
    <n v="18773133"/>
    <m/>
    <n v="18773133"/>
    <n v="46281631"/>
    <n v="45346189"/>
    <m/>
    <m/>
    <m/>
    <m/>
    <n v="0"/>
    <m/>
    <m/>
    <n v="0"/>
    <m/>
    <m/>
    <m/>
    <m/>
    <m/>
    <m/>
    <n v="46281631"/>
    <n v="45346189"/>
  </r>
  <r>
    <x v="3"/>
    <x v="0"/>
    <s v="Santa Fe College "/>
    <s v="Met the criteria for Two-Year with Bachelor's in 2012-13 and 2013-14."/>
    <n v="137096"/>
    <x v="6"/>
    <n v="34154347"/>
    <n v="35341108"/>
    <m/>
    <m/>
    <m/>
    <m/>
    <n v="30513303"/>
    <m/>
    <n v="30513303"/>
    <n v="29025165"/>
    <m/>
    <n v="29025165"/>
    <n v="64667650"/>
    <n v="64366273"/>
    <m/>
    <m/>
    <m/>
    <m/>
    <n v="0"/>
    <m/>
    <m/>
    <n v="0"/>
    <m/>
    <m/>
    <m/>
    <m/>
    <m/>
    <m/>
    <n v="64667650"/>
    <n v="64366273"/>
  </r>
  <r>
    <x v="3"/>
    <x v="0"/>
    <s v="Seminole State College of Florida"/>
    <s v="Met the criteria for Two-Year with Bachelor's in 2012-13 and 2013-14."/>
    <n v="137209"/>
    <x v="6"/>
    <n v="37140315"/>
    <n v="37244286"/>
    <m/>
    <m/>
    <m/>
    <m/>
    <n v="36215337"/>
    <m/>
    <n v="36215337"/>
    <n v="33438119"/>
    <m/>
    <n v="33438119"/>
    <n v="73355652"/>
    <n v="70682405"/>
    <m/>
    <m/>
    <m/>
    <m/>
    <n v="0"/>
    <m/>
    <m/>
    <n v="0"/>
    <m/>
    <m/>
    <m/>
    <m/>
    <m/>
    <m/>
    <n v="73355652"/>
    <n v="70682405"/>
  </r>
  <r>
    <x v="3"/>
    <x v="0"/>
    <s v="State College of Florida, Manatee-Sarasota"/>
    <s v="Reclassified: met the criteria for Two-Year with Bachelor's in 2011-12, 2012-13, and 2013-14."/>
    <n v="135391"/>
    <x v="14"/>
    <n v="21420707"/>
    <n v="22310836"/>
    <m/>
    <m/>
    <m/>
    <m/>
    <n v="20498752"/>
    <m/>
    <n v="20498752"/>
    <n v="19224312"/>
    <m/>
    <n v="19224312"/>
    <n v="41919459"/>
    <n v="41535148"/>
    <m/>
    <m/>
    <m/>
    <m/>
    <n v="0"/>
    <m/>
    <m/>
    <n v="0"/>
    <m/>
    <m/>
    <m/>
    <m/>
    <m/>
    <m/>
    <n v="41919459"/>
    <n v="41535148"/>
  </r>
  <r>
    <x v="3"/>
    <x v="0"/>
    <s v="Tallahassee Community College "/>
    <m/>
    <n v="137759"/>
    <x v="6"/>
    <n v="28120971"/>
    <n v="29735762"/>
    <m/>
    <m/>
    <m/>
    <m/>
    <n v="28592596"/>
    <m/>
    <n v="28592596"/>
    <n v="26454335"/>
    <m/>
    <n v="26454335"/>
    <n v="56713567"/>
    <n v="56190097"/>
    <m/>
    <m/>
    <m/>
    <m/>
    <n v="0"/>
    <m/>
    <m/>
    <n v="0"/>
    <m/>
    <m/>
    <m/>
    <m/>
    <m/>
    <m/>
    <n v="56713567"/>
    <n v="56190097"/>
  </r>
  <r>
    <x v="3"/>
    <x v="0"/>
    <s v="Valencia College "/>
    <s v="Met the criteria for Two-Year with Bachelor's in 2013-14."/>
    <n v="138187"/>
    <x v="6"/>
    <n v="68997892"/>
    <n v="67215536"/>
    <m/>
    <m/>
    <m/>
    <m/>
    <n v="79769443"/>
    <m/>
    <n v="79769443"/>
    <n v="77923147"/>
    <m/>
    <n v="77923147"/>
    <n v="148767335"/>
    <n v="145138683"/>
    <m/>
    <m/>
    <m/>
    <m/>
    <n v="0"/>
    <m/>
    <m/>
    <n v="0"/>
    <m/>
    <m/>
    <m/>
    <m/>
    <m/>
    <m/>
    <n v="148767335"/>
    <n v="145138683"/>
  </r>
  <r>
    <x v="3"/>
    <x v="0"/>
    <s v="Florida Gateway College"/>
    <m/>
    <n v="135160"/>
    <x v="7"/>
    <n v="12305029"/>
    <n v="12685807"/>
    <m/>
    <m/>
    <m/>
    <m/>
    <n v="4458426"/>
    <m/>
    <n v="4458426"/>
    <n v="4098139"/>
    <m/>
    <n v="4098139"/>
    <n v="16763455"/>
    <n v="16783946"/>
    <m/>
    <m/>
    <m/>
    <m/>
    <n v="0"/>
    <m/>
    <m/>
    <n v="0"/>
    <m/>
    <m/>
    <m/>
    <m/>
    <m/>
    <m/>
    <n v="16763455"/>
    <n v="16783946"/>
  </r>
  <r>
    <x v="3"/>
    <x v="0"/>
    <s v="Gulf Coast State College "/>
    <s v="Met the criteria for Two-Year with Bachelor's in 2012-13 and 2013-14."/>
    <n v="134343"/>
    <x v="7"/>
    <n v="21221035"/>
    <n v="21735273"/>
    <m/>
    <m/>
    <m/>
    <m/>
    <n v="9497757"/>
    <m/>
    <n v="9497757"/>
    <n v="9566406"/>
    <m/>
    <n v="9566406"/>
    <n v="30718792"/>
    <n v="31301679"/>
    <m/>
    <m/>
    <m/>
    <m/>
    <n v="0"/>
    <m/>
    <m/>
    <n v="0"/>
    <m/>
    <m/>
    <m/>
    <m/>
    <m/>
    <m/>
    <n v="30718792"/>
    <n v="31301679"/>
  </r>
  <r>
    <x v="3"/>
    <x v="0"/>
    <s v="Lake-Sumter State College "/>
    <m/>
    <n v="135188"/>
    <x v="7"/>
    <n v="10932043"/>
    <n v="13603078"/>
    <m/>
    <m/>
    <m/>
    <m/>
    <n v="6623549"/>
    <m/>
    <n v="6623549"/>
    <n v="6276278"/>
    <m/>
    <n v="6276278"/>
    <n v="17555592"/>
    <n v="19879356"/>
    <m/>
    <m/>
    <m/>
    <m/>
    <n v="0"/>
    <m/>
    <m/>
    <n v="0"/>
    <m/>
    <m/>
    <m/>
    <m/>
    <m/>
    <m/>
    <n v="17555592"/>
    <n v="19879356"/>
  </r>
  <r>
    <x v="3"/>
    <x v="0"/>
    <s v="South Florida State College "/>
    <m/>
    <n v="137315"/>
    <x v="7"/>
    <n v="15152285"/>
    <n v="15736621"/>
    <m/>
    <m/>
    <m/>
    <m/>
    <n v="3917638"/>
    <m/>
    <n v="3917638"/>
    <n v="3756177"/>
    <m/>
    <n v="3756177"/>
    <n v="19069923"/>
    <n v="19492798"/>
    <m/>
    <m/>
    <m/>
    <m/>
    <n v="0"/>
    <m/>
    <m/>
    <n v="0"/>
    <m/>
    <m/>
    <m/>
    <m/>
    <m/>
    <m/>
    <n v="19069923"/>
    <n v="19492798"/>
  </r>
  <r>
    <x v="3"/>
    <x v="0"/>
    <s v="St. Johns River State College "/>
    <s v="Reclassified: met the criteria for Two-Year with Bachelor's in 2011-12, 2012-13, and 2013-14."/>
    <n v="137281"/>
    <x v="14"/>
    <n v="16561820"/>
    <n v="19167779"/>
    <m/>
    <m/>
    <m/>
    <m/>
    <n v="10680162"/>
    <m/>
    <n v="10680162"/>
    <n v="10751526"/>
    <m/>
    <n v="10751526"/>
    <n v="27241982"/>
    <n v="29919305"/>
    <m/>
    <m/>
    <m/>
    <m/>
    <n v="0"/>
    <m/>
    <m/>
    <n v="0"/>
    <m/>
    <m/>
    <m/>
    <m/>
    <m/>
    <m/>
    <n v="27241982"/>
    <n v="29919305"/>
  </r>
  <r>
    <x v="3"/>
    <x v="0"/>
    <s v="Florida Keys Community College "/>
    <m/>
    <n v="133960"/>
    <x v="8"/>
    <n v="5780527"/>
    <n v="6409496"/>
    <m/>
    <m/>
    <m/>
    <m/>
    <n v="2557346"/>
    <m/>
    <n v="2557346"/>
    <n v="2393563"/>
    <m/>
    <n v="2393563"/>
    <n v="8337873"/>
    <n v="8803059"/>
    <m/>
    <m/>
    <m/>
    <m/>
    <n v="0"/>
    <m/>
    <m/>
    <n v="0"/>
    <m/>
    <m/>
    <m/>
    <m/>
    <m/>
    <m/>
    <n v="8337873"/>
    <n v="8803059"/>
  </r>
  <r>
    <x v="3"/>
    <x v="0"/>
    <s v="North Florida Community College "/>
    <m/>
    <n v="136145"/>
    <x v="8"/>
    <n v="6156421"/>
    <n v="6946880"/>
    <m/>
    <m/>
    <m/>
    <m/>
    <n v="1926709"/>
    <m/>
    <n v="1926709"/>
    <n v="1749639"/>
    <m/>
    <n v="1749639"/>
    <n v="8083130"/>
    <n v="8696519"/>
    <m/>
    <m/>
    <m/>
    <m/>
    <n v="0"/>
    <m/>
    <m/>
    <n v="0"/>
    <m/>
    <m/>
    <m/>
    <m/>
    <m/>
    <m/>
    <n v="8083130"/>
    <n v="8696519"/>
  </r>
  <r>
    <x v="3"/>
    <x v="16"/>
    <s v="Division of Florida Colleges Central Office "/>
    <m/>
    <m/>
    <x v="12"/>
    <m/>
    <m/>
    <m/>
    <m/>
    <m/>
    <m/>
    <m/>
    <m/>
    <n v="0"/>
    <m/>
    <m/>
    <n v="0"/>
    <n v="0"/>
    <n v="0"/>
    <n v="1621007.0699999996"/>
    <n v="2274086"/>
    <m/>
    <m/>
    <n v="0"/>
    <m/>
    <m/>
    <n v="0"/>
    <m/>
    <m/>
    <m/>
    <m/>
    <m/>
    <m/>
    <n v="1621007.0699999996"/>
    <n v="2274086"/>
  </r>
  <r>
    <x v="3"/>
    <x v="14"/>
    <s v="Statewide System Operations"/>
    <m/>
    <m/>
    <x v="12"/>
    <m/>
    <m/>
    <m/>
    <m/>
    <m/>
    <m/>
    <m/>
    <m/>
    <n v="0"/>
    <m/>
    <m/>
    <n v="0"/>
    <n v="0"/>
    <n v="0"/>
    <m/>
    <m/>
    <m/>
    <m/>
    <n v="0"/>
    <m/>
    <m/>
    <n v="0"/>
    <m/>
    <m/>
    <m/>
    <m/>
    <m/>
    <m/>
    <n v="0"/>
    <n v="0"/>
  </r>
  <r>
    <x v="4"/>
    <x v="0"/>
    <s v="Georgia State University "/>
    <m/>
    <n v="139940"/>
    <x v="0"/>
    <n v="176080213"/>
    <n v="187700309"/>
    <m/>
    <m/>
    <m/>
    <m/>
    <n v="244981169"/>
    <m/>
    <n v="244981169"/>
    <n v="258288568"/>
    <m/>
    <n v="258288568"/>
    <n v="421061382"/>
    <n v="445988877"/>
    <m/>
    <m/>
    <m/>
    <m/>
    <n v="0"/>
    <m/>
    <m/>
    <n v="0"/>
    <m/>
    <m/>
    <m/>
    <m/>
    <m/>
    <m/>
    <n v="421061382"/>
    <n v="445988877"/>
  </r>
  <r>
    <x v="4"/>
    <x v="0"/>
    <s v="University of Georgia"/>
    <m/>
    <n v="139959"/>
    <x v="0"/>
    <n v="277759311"/>
    <n v="299748876"/>
    <m/>
    <m/>
    <m/>
    <m/>
    <n v="343413098"/>
    <m/>
    <n v="343413098"/>
    <n v="349392697"/>
    <m/>
    <n v="349392697"/>
    <n v="621172409"/>
    <n v="649141573"/>
    <m/>
    <m/>
    <m/>
    <m/>
    <n v="0"/>
    <m/>
    <m/>
    <n v="0"/>
    <m/>
    <m/>
    <m/>
    <m/>
    <m/>
    <m/>
    <n v="621172409"/>
    <n v="649141573"/>
  </r>
  <r>
    <x v="4"/>
    <x v="1"/>
    <s v="Heatlh Professions Education"/>
    <m/>
    <n v="139959"/>
    <x v="0"/>
    <m/>
    <m/>
    <m/>
    <m/>
    <m/>
    <m/>
    <m/>
    <m/>
    <n v="0"/>
    <m/>
    <m/>
    <n v="0"/>
    <n v="0"/>
    <n v="0"/>
    <m/>
    <m/>
    <m/>
    <m/>
    <n v="0"/>
    <m/>
    <m/>
    <n v="0"/>
    <m/>
    <m/>
    <m/>
    <m/>
    <m/>
    <m/>
    <n v="0"/>
    <n v="0"/>
  </r>
  <r>
    <x v="4"/>
    <x v="1"/>
    <s v="College of Veterinary Medicine"/>
    <m/>
    <n v="139959"/>
    <x v="0"/>
    <m/>
    <m/>
    <m/>
    <m/>
    <m/>
    <m/>
    <m/>
    <m/>
    <n v="0"/>
    <m/>
    <m/>
    <n v="0"/>
    <n v="0"/>
    <n v="0"/>
    <m/>
    <m/>
    <m/>
    <m/>
    <n v="0"/>
    <m/>
    <m/>
    <n v="0"/>
    <n v="13056883"/>
    <n v="13045397"/>
    <n v="6810336"/>
    <m/>
    <n v="7067460"/>
    <m/>
    <n v="19867219"/>
    <n v="20112857"/>
  </r>
  <r>
    <x v="4"/>
    <x v="1"/>
    <s v="Vet Med Teaching Hospital"/>
    <m/>
    <n v="139959"/>
    <x v="0"/>
    <m/>
    <m/>
    <m/>
    <m/>
    <m/>
    <m/>
    <m/>
    <m/>
    <n v="0"/>
    <m/>
    <m/>
    <n v="0"/>
    <n v="0"/>
    <n v="0"/>
    <m/>
    <m/>
    <m/>
    <m/>
    <n v="0"/>
    <m/>
    <m/>
    <n v="0"/>
    <n v="416168"/>
    <n v="386135"/>
    <m/>
    <m/>
    <m/>
    <m/>
    <n v="416168"/>
    <n v="386135"/>
  </r>
  <r>
    <x v="4"/>
    <x v="3"/>
    <s v="Public Service Units"/>
    <m/>
    <n v="139959"/>
    <x v="0"/>
    <m/>
    <m/>
    <m/>
    <m/>
    <m/>
    <m/>
    <m/>
    <m/>
    <n v="0"/>
    <m/>
    <m/>
    <n v="0"/>
    <n v="0"/>
    <n v="0"/>
    <m/>
    <m/>
    <m/>
    <m/>
    <n v="0"/>
    <m/>
    <m/>
    <n v="0"/>
    <m/>
    <m/>
    <m/>
    <m/>
    <m/>
    <m/>
    <n v="0"/>
    <n v="0"/>
  </r>
  <r>
    <x v="4"/>
    <x v="5"/>
    <s v="Ag Cooperative Extension Service"/>
    <m/>
    <n v="139959"/>
    <x v="0"/>
    <m/>
    <m/>
    <n v="28583815"/>
    <n v="29365384"/>
    <m/>
    <m/>
    <m/>
    <m/>
    <n v="0"/>
    <m/>
    <m/>
    <n v="0"/>
    <n v="28583815"/>
    <n v="29365384"/>
    <m/>
    <m/>
    <m/>
    <m/>
    <n v="0"/>
    <m/>
    <m/>
    <n v="0"/>
    <m/>
    <m/>
    <m/>
    <m/>
    <m/>
    <m/>
    <n v="28583815"/>
    <n v="29365384"/>
  </r>
  <r>
    <x v="4"/>
    <x v="6"/>
    <s v="Ag Experiment Stations"/>
    <m/>
    <n v="139959"/>
    <x v="0"/>
    <m/>
    <m/>
    <n v="34053795"/>
    <n v="35233027"/>
    <m/>
    <m/>
    <m/>
    <m/>
    <n v="0"/>
    <m/>
    <m/>
    <n v="0"/>
    <n v="34053795"/>
    <n v="35233027"/>
    <m/>
    <m/>
    <m/>
    <m/>
    <n v="0"/>
    <m/>
    <m/>
    <n v="0"/>
    <m/>
    <m/>
    <m/>
    <m/>
    <m/>
    <m/>
    <n v="34053795"/>
    <n v="35233027"/>
  </r>
  <r>
    <x v="4"/>
    <x v="7"/>
    <s v="Research Units"/>
    <m/>
    <n v="139959"/>
    <x v="0"/>
    <m/>
    <m/>
    <m/>
    <m/>
    <m/>
    <m/>
    <m/>
    <m/>
    <n v="0"/>
    <m/>
    <m/>
    <n v="0"/>
    <n v="0"/>
    <n v="0"/>
    <m/>
    <m/>
    <m/>
    <m/>
    <n v="0"/>
    <m/>
    <m/>
    <n v="0"/>
    <m/>
    <m/>
    <m/>
    <m/>
    <m/>
    <m/>
    <n v="0"/>
    <n v="0"/>
  </r>
  <r>
    <x v="4"/>
    <x v="7"/>
    <s v="Marine Extension Service"/>
    <m/>
    <n v="139959"/>
    <x v="0"/>
    <m/>
    <m/>
    <n v="1163147"/>
    <n v="1179252"/>
    <m/>
    <m/>
    <m/>
    <m/>
    <n v="0"/>
    <m/>
    <m/>
    <n v="0"/>
    <n v="1163147"/>
    <n v="1179252"/>
    <m/>
    <m/>
    <m/>
    <m/>
    <n v="0"/>
    <m/>
    <m/>
    <n v="0"/>
    <m/>
    <m/>
    <m/>
    <m/>
    <m/>
    <m/>
    <n v="1163147"/>
    <n v="1179252"/>
  </r>
  <r>
    <x v="4"/>
    <x v="7"/>
    <s v="Vet Med Exp Station"/>
    <m/>
    <n v="139959"/>
    <x v="0"/>
    <m/>
    <m/>
    <n v="2470069"/>
    <n v="2569841"/>
    <m/>
    <m/>
    <m/>
    <m/>
    <n v="0"/>
    <m/>
    <m/>
    <n v="0"/>
    <n v="2470069"/>
    <n v="2569841"/>
    <m/>
    <m/>
    <m/>
    <m/>
    <n v="0"/>
    <m/>
    <m/>
    <n v="0"/>
    <m/>
    <m/>
    <m/>
    <m/>
    <m/>
    <m/>
    <n v="2470069"/>
    <n v="2569841"/>
  </r>
  <r>
    <x v="4"/>
    <x v="7"/>
    <s v="Marine Institute"/>
    <m/>
    <n v="139959"/>
    <x v="0"/>
    <m/>
    <m/>
    <n v="707566"/>
    <n v="714567"/>
    <m/>
    <m/>
    <m/>
    <m/>
    <n v="0"/>
    <m/>
    <m/>
    <n v="0"/>
    <n v="707566"/>
    <n v="714567"/>
    <m/>
    <m/>
    <m/>
    <m/>
    <n v="0"/>
    <m/>
    <m/>
    <n v="0"/>
    <m/>
    <m/>
    <m/>
    <m/>
    <m/>
    <m/>
    <n v="707566"/>
    <n v="714567"/>
  </r>
  <r>
    <x v="4"/>
    <x v="7"/>
    <s v="Forest Research"/>
    <m/>
    <n v="139959"/>
    <x v="0"/>
    <m/>
    <m/>
    <n v="2990232"/>
    <n v="3057445"/>
    <m/>
    <m/>
    <m/>
    <m/>
    <n v="0"/>
    <m/>
    <m/>
    <n v="0"/>
    <n v="2990232"/>
    <n v="3057445"/>
    <m/>
    <m/>
    <m/>
    <m/>
    <n v="0"/>
    <m/>
    <m/>
    <n v="0"/>
    <m/>
    <m/>
    <m/>
    <m/>
    <m/>
    <m/>
    <n v="2990232"/>
    <n v="3057445"/>
  </r>
  <r>
    <x v="4"/>
    <x v="7"/>
    <s v="Skidaway Inst of Oceanography"/>
    <m/>
    <n v="139959"/>
    <x v="0"/>
    <m/>
    <m/>
    <n v="2393134"/>
    <n v="2803450"/>
    <m/>
    <m/>
    <m/>
    <m/>
    <n v="0"/>
    <m/>
    <m/>
    <n v="0"/>
    <n v="2393134"/>
    <n v="2803450"/>
    <m/>
    <m/>
    <m/>
    <m/>
    <n v="0"/>
    <m/>
    <m/>
    <n v="0"/>
    <m/>
    <m/>
    <m/>
    <m/>
    <m/>
    <m/>
    <n v="2393134"/>
    <n v="2803450"/>
  </r>
  <r>
    <x v="4"/>
    <x v="0"/>
    <s v="Georgia Institute of Technology"/>
    <m/>
    <n v="139755"/>
    <x v="1"/>
    <n v="194313067"/>
    <n v="209550458"/>
    <m/>
    <m/>
    <m/>
    <m/>
    <n v="313900000"/>
    <m/>
    <n v="313900000"/>
    <n v="329757719"/>
    <m/>
    <n v="329757719"/>
    <n v="508213067"/>
    <n v="539308177"/>
    <m/>
    <m/>
    <m/>
    <m/>
    <n v="0"/>
    <m/>
    <m/>
    <n v="0"/>
    <m/>
    <m/>
    <m/>
    <m/>
    <m/>
    <m/>
    <n v="508213067"/>
    <n v="539308177"/>
  </r>
  <r>
    <x v="4"/>
    <x v="3"/>
    <s v="Public Service Units"/>
    <m/>
    <n v="139755"/>
    <x v="1"/>
    <m/>
    <m/>
    <m/>
    <m/>
    <m/>
    <m/>
    <m/>
    <m/>
    <n v="0"/>
    <m/>
    <m/>
    <n v="0"/>
    <n v="0"/>
    <n v="0"/>
    <m/>
    <m/>
    <m/>
    <m/>
    <n v="0"/>
    <m/>
    <m/>
    <n v="0"/>
    <m/>
    <m/>
    <m/>
    <m/>
    <m/>
    <m/>
    <n v="0"/>
    <n v="0"/>
  </r>
  <r>
    <x v="4"/>
    <x v="3"/>
    <s v="Advanced Technology Development Center"/>
    <m/>
    <n v="139755"/>
    <x v="1"/>
    <m/>
    <m/>
    <n v="7154177"/>
    <n v="7187612"/>
    <m/>
    <m/>
    <m/>
    <m/>
    <n v="0"/>
    <m/>
    <m/>
    <n v="0"/>
    <n v="7154177"/>
    <n v="7187612"/>
    <m/>
    <m/>
    <m/>
    <m/>
    <n v="0"/>
    <m/>
    <m/>
    <n v="0"/>
    <m/>
    <m/>
    <m/>
    <m/>
    <m/>
    <m/>
    <n v="7154177"/>
    <n v="7187612"/>
  </r>
  <r>
    <x v="4"/>
    <x v="7"/>
    <s v="Research Units"/>
    <m/>
    <n v="139755"/>
    <x v="1"/>
    <m/>
    <m/>
    <m/>
    <m/>
    <m/>
    <m/>
    <m/>
    <m/>
    <n v="0"/>
    <m/>
    <m/>
    <n v="0"/>
    <n v="0"/>
    <n v="0"/>
    <m/>
    <m/>
    <m/>
    <m/>
    <n v="0"/>
    <m/>
    <m/>
    <n v="0"/>
    <m/>
    <m/>
    <m/>
    <m/>
    <m/>
    <m/>
    <n v="0"/>
    <n v="0"/>
  </r>
  <r>
    <x v="4"/>
    <x v="43"/>
    <s v="Eng Experiment Station (Ga. Tech. Resch Inst.)"/>
    <m/>
    <n v="139755"/>
    <x v="1"/>
    <m/>
    <m/>
    <n v="5569382"/>
    <n v="5588520"/>
    <m/>
    <m/>
    <m/>
    <m/>
    <n v="0"/>
    <m/>
    <m/>
    <n v="0"/>
    <n v="5569382"/>
    <n v="5588520"/>
    <m/>
    <m/>
    <m/>
    <m/>
    <n v="0"/>
    <m/>
    <m/>
    <n v="0"/>
    <m/>
    <m/>
    <m/>
    <m/>
    <m/>
    <m/>
    <n v="5569382"/>
    <n v="5588520"/>
  </r>
  <r>
    <x v="4"/>
    <x v="0"/>
    <s v="Georgia Southern University"/>
    <m/>
    <n v="139931"/>
    <x v="2"/>
    <n v="76205063"/>
    <n v="81637310"/>
    <m/>
    <m/>
    <m/>
    <m/>
    <n v="116800684"/>
    <m/>
    <n v="116800684"/>
    <n v="117003531"/>
    <m/>
    <n v="117003531"/>
    <n v="193005747"/>
    <n v="198640841"/>
    <m/>
    <m/>
    <m/>
    <m/>
    <n v="0"/>
    <m/>
    <m/>
    <n v="0"/>
    <m/>
    <m/>
    <m/>
    <m/>
    <m/>
    <m/>
    <n v="193005747"/>
    <n v="198640841"/>
  </r>
  <r>
    <x v="4"/>
    <x v="0"/>
    <s v="University of West Georgia"/>
    <m/>
    <n v="141334"/>
    <x v="2"/>
    <n v="44558082"/>
    <n v="44301877"/>
    <m/>
    <m/>
    <m/>
    <m/>
    <n v="63921592"/>
    <m/>
    <n v="63921592"/>
    <n v="64881304"/>
    <m/>
    <n v="64881304"/>
    <n v="108479674"/>
    <n v="109183181"/>
    <m/>
    <m/>
    <m/>
    <m/>
    <n v="0"/>
    <m/>
    <m/>
    <n v="0"/>
    <m/>
    <m/>
    <m/>
    <m/>
    <m/>
    <m/>
    <n v="108479674"/>
    <n v="109183181"/>
  </r>
  <r>
    <x v="4"/>
    <x v="0"/>
    <s v="Valdosta State University"/>
    <m/>
    <n v="141264"/>
    <x v="2"/>
    <n v="45016305"/>
    <n v="48673777"/>
    <m/>
    <m/>
    <m/>
    <m/>
    <n v="66446203"/>
    <m/>
    <n v="66446203"/>
    <n v="62507046"/>
    <m/>
    <n v="62507046"/>
    <n v="111462508"/>
    <n v="111180823"/>
    <m/>
    <m/>
    <m/>
    <m/>
    <n v="0"/>
    <m/>
    <m/>
    <n v="0"/>
    <m/>
    <m/>
    <m/>
    <m/>
    <m/>
    <m/>
    <n v="111462508"/>
    <n v="111180823"/>
  </r>
  <r>
    <x v="4"/>
    <x v="0"/>
    <s v="Albany State University "/>
    <m/>
    <n v="138716"/>
    <x v="3"/>
    <n v="19154146"/>
    <n v="18940821"/>
    <m/>
    <m/>
    <m/>
    <m/>
    <n v="21582704"/>
    <m/>
    <n v="21582704"/>
    <n v="19297763"/>
    <m/>
    <n v="19297763"/>
    <n v="40736850"/>
    <n v="38238584"/>
    <m/>
    <m/>
    <m/>
    <m/>
    <n v="0"/>
    <m/>
    <m/>
    <n v="0"/>
    <m/>
    <m/>
    <m/>
    <m/>
    <m/>
    <m/>
    <n v="40736850"/>
    <n v="38238584"/>
  </r>
  <r>
    <x v="4"/>
    <x v="0"/>
    <s v="Armstrong Atlantic State University"/>
    <m/>
    <n v="138789"/>
    <x v="3"/>
    <n v="26682356"/>
    <n v="28838670"/>
    <m/>
    <m/>
    <m/>
    <m/>
    <n v="36429364"/>
    <m/>
    <n v="36429364"/>
    <n v="36579115"/>
    <m/>
    <n v="36579115"/>
    <n v="63111720"/>
    <n v="65417785"/>
    <m/>
    <m/>
    <m/>
    <m/>
    <n v="0"/>
    <m/>
    <m/>
    <n v="0"/>
    <m/>
    <m/>
    <m/>
    <m/>
    <m/>
    <m/>
    <n v="63111720"/>
    <n v="65417785"/>
  </r>
  <r>
    <x v="4"/>
    <x v="0"/>
    <s v="Columbus State University"/>
    <m/>
    <n v="139366"/>
    <x v="3"/>
    <n v="30845110"/>
    <n v="33181647"/>
    <m/>
    <m/>
    <m/>
    <m/>
    <n v="41843565"/>
    <m/>
    <n v="41843565"/>
    <n v="42883501"/>
    <m/>
    <n v="42883501"/>
    <n v="72688675"/>
    <n v="76065148"/>
    <m/>
    <m/>
    <m/>
    <m/>
    <n v="0"/>
    <m/>
    <m/>
    <n v="0"/>
    <m/>
    <m/>
    <m/>
    <m/>
    <m/>
    <m/>
    <n v="72688675"/>
    <n v="76065148"/>
  </r>
  <r>
    <x v="4"/>
    <x v="0"/>
    <s v="Georgia College and State University"/>
    <m/>
    <n v="139861"/>
    <x v="3"/>
    <n v="27240350"/>
    <n v="29038579"/>
    <m/>
    <m/>
    <m/>
    <m/>
    <n v="47271105"/>
    <m/>
    <n v="47271105"/>
    <n v="50180775"/>
    <m/>
    <n v="50180775"/>
    <n v="74511455"/>
    <n v="79219354"/>
    <m/>
    <m/>
    <m/>
    <m/>
    <n v="0"/>
    <m/>
    <m/>
    <n v="0"/>
    <m/>
    <m/>
    <m/>
    <m/>
    <m/>
    <m/>
    <n v="74511455"/>
    <n v="79219354"/>
  </r>
  <r>
    <x v="4"/>
    <x v="0"/>
    <s v="Georgia Regents University"/>
    <m/>
    <n v="482149"/>
    <x v="3"/>
    <n v="23027222"/>
    <n v="24720854"/>
    <m/>
    <m/>
    <m/>
    <m/>
    <n v="29011748"/>
    <m/>
    <n v="29011748"/>
    <n v="36084702"/>
    <m/>
    <n v="36084702"/>
    <n v="52038970"/>
    <n v="60805556"/>
    <m/>
    <m/>
    <m/>
    <m/>
    <n v="0"/>
    <m/>
    <m/>
    <n v="0"/>
    <m/>
    <m/>
    <m/>
    <m/>
    <m/>
    <m/>
    <n v="52038970"/>
    <n v="60805556"/>
  </r>
  <r>
    <x v="4"/>
    <x v="1"/>
    <s v="Heatlh Professions Education"/>
    <m/>
    <n v="482149"/>
    <x v="3"/>
    <m/>
    <m/>
    <m/>
    <m/>
    <m/>
    <m/>
    <m/>
    <m/>
    <n v="0"/>
    <m/>
    <m/>
    <n v="0"/>
    <n v="0"/>
    <n v="0"/>
    <m/>
    <m/>
    <m/>
    <m/>
    <n v="0"/>
    <m/>
    <m/>
    <n v="0"/>
    <n v="167379550"/>
    <n v="177232939"/>
    <n v="45964716"/>
    <m/>
    <n v="43211088"/>
    <m/>
    <n v="213344266"/>
    <n v="220444027"/>
  </r>
  <r>
    <x v="4"/>
    <x v="0"/>
    <s v="Kennesaw State University"/>
    <s v="Reclassified: met the criteria for Four-Year 3 in 2011-12, 2012-13, and 2013-14."/>
    <n v="140164"/>
    <x v="2"/>
    <n v="75897167"/>
    <n v="82429443"/>
    <m/>
    <m/>
    <m/>
    <m/>
    <n v="133826316"/>
    <m/>
    <n v="133826316"/>
    <n v="135549412"/>
    <m/>
    <n v="135549412"/>
    <n v="209723483"/>
    <n v="217978855"/>
    <m/>
    <m/>
    <m/>
    <m/>
    <n v="0"/>
    <m/>
    <m/>
    <n v="0"/>
    <m/>
    <m/>
    <m/>
    <m/>
    <m/>
    <m/>
    <n v="209723483"/>
    <n v="217978855"/>
  </r>
  <r>
    <x v="4"/>
    <x v="0"/>
    <s v="University of North Georgia"/>
    <m/>
    <n v="482680"/>
    <x v="3"/>
    <n v="40980500"/>
    <n v="45277086"/>
    <m/>
    <m/>
    <m/>
    <m/>
    <n v="58079107"/>
    <m/>
    <n v="58079107"/>
    <n v="63605080"/>
    <m/>
    <n v="63605080"/>
    <n v="99059607"/>
    <n v="108882166"/>
    <m/>
    <m/>
    <m/>
    <m/>
    <n v="0"/>
    <m/>
    <m/>
    <n v="0"/>
    <m/>
    <m/>
    <m/>
    <m/>
    <m/>
    <m/>
    <n v="99059607"/>
    <n v="108882166"/>
  </r>
  <r>
    <x v="4"/>
    <x v="0"/>
    <s v="Clayton State University"/>
    <s v="Met the criteria for Four-Year 4 in 2012-13 and 2013-14."/>
    <n v="139311"/>
    <x v="4"/>
    <n v="21899158"/>
    <n v="23414055"/>
    <m/>
    <m/>
    <m/>
    <m/>
    <n v="32409471"/>
    <m/>
    <n v="32409471"/>
    <n v="32115044"/>
    <m/>
    <n v="32115044"/>
    <n v="54308629"/>
    <n v="55529099"/>
    <m/>
    <m/>
    <m/>
    <m/>
    <n v="0"/>
    <m/>
    <m/>
    <n v="0"/>
    <m/>
    <m/>
    <m/>
    <m/>
    <m/>
    <m/>
    <n v="54308629"/>
    <n v="55529099"/>
  </r>
  <r>
    <x v="4"/>
    <x v="0"/>
    <s v="Fort Valley State University"/>
    <s v="Met the criteria for Four-Year 4 in 2013-14."/>
    <n v="139719"/>
    <x v="4"/>
    <n v="21800724"/>
    <n v="24005877"/>
    <m/>
    <m/>
    <m/>
    <m/>
    <n v="15290285"/>
    <m/>
    <n v="15290285"/>
    <n v="15088186"/>
    <m/>
    <n v="15088186"/>
    <n v="37091009"/>
    <n v="39094063"/>
    <m/>
    <m/>
    <m/>
    <m/>
    <n v="0"/>
    <m/>
    <m/>
    <n v="0"/>
    <m/>
    <m/>
    <m/>
    <m/>
    <m/>
    <m/>
    <n v="37091009"/>
    <n v="39094063"/>
  </r>
  <r>
    <x v="4"/>
    <x v="0"/>
    <s v="Georgia Southwestern State University"/>
    <m/>
    <n v="139764"/>
    <x v="4"/>
    <n v="11085293"/>
    <n v="11869936"/>
    <m/>
    <m/>
    <m/>
    <m/>
    <n v="13476330"/>
    <m/>
    <n v="13476330"/>
    <n v="14020481"/>
    <m/>
    <n v="14020481"/>
    <n v="24561623"/>
    <n v="25890417"/>
    <m/>
    <m/>
    <m/>
    <m/>
    <n v="0"/>
    <m/>
    <m/>
    <n v="0"/>
    <m/>
    <m/>
    <m/>
    <m/>
    <m/>
    <m/>
    <n v="24561623"/>
    <n v="25890417"/>
  </r>
  <r>
    <x v="4"/>
    <x v="0"/>
    <s v="Savannah State University"/>
    <m/>
    <n v="140960"/>
    <x v="4"/>
    <n v="17273383"/>
    <n v="18671267"/>
    <m/>
    <m/>
    <m/>
    <m/>
    <n v="23165111"/>
    <m/>
    <n v="23165111"/>
    <n v="24243021"/>
    <m/>
    <n v="24243021"/>
    <n v="40438494"/>
    <n v="42914288"/>
    <m/>
    <m/>
    <m/>
    <m/>
    <n v="0"/>
    <m/>
    <m/>
    <n v="0"/>
    <m/>
    <m/>
    <m/>
    <m/>
    <m/>
    <m/>
    <n v="40438494"/>
    <n v="42914288"/>
  </r>
  <r>
    <x v="4"/>
    <x v="9"/>
    <s v="Georgia Gwinnett College"/>
    <m/>
    <n v="447689"/>
    <x v="5"/>
    <n v="34786134"/>
    <n v="39791420"/>
    <m/>
    <m/>
    <m/>
    <m/>
    <n v="34359112"/>
    <m/>
    <n v="34359112"/>
    <n v="35671148"/>
    <m/>
    <n v="35671148"/>
    <n v="69145246"/>
    <n v="75462568"/>
    <m/>
    <m/>
    <m/>
    <m/>
    <n v="0"/>
    <m/>
    <m/>
    <n v="0"/>
    <m/>
    <m/>
    <m/>
    <m/>
    <m/>
    <m/>
    <n v="69145246"/>
    <n v="75462568"/>
  </r>
  <r>
    <x v="4"/>
    <x v="0"/>
    <s v="Middle Georgia State College"/>
    <m/>
    <n v="482158"/>
    <x v="5"/>
    <n v="32375925"/>
    <n v="34390867"/>
    <m/>
    <m/>
    <m/>
    <m/>
    <n v="25926996"/>
    <m/>
    <n v="25926996"/>
    <n v="24445234"/>
    <m/>
    <n v="24445234"/>
    <n v="58302921"/>
    <n v="58836101"/>
    <m/>
    <m/>
    <m/>
    <m/>
    <n v="0"/>
    <m/>
    <m/>
    <n v="0"/>
    <m/>
    <m/>
    <m/>
    <m/>
    <m/>
    <m/>
    <n v="58302921"/>
    <n v="58836101"/>
  </r>
  <r>
    <x v="4"/>
    <x v="0"/>
    <s v="Dalton State College "/>
    <s v="Reclassified: met the criteria for Four-Year 6 in 2011-12, 2012-13, and 2013-14."/>
    <n v="139463"/>
    <x v="5"/>
    <n v="13269964"/>
    <n v="14043992"/>
    <m/>
    <m/>
    <m/>
    <m/>
    <n v="13784628"/>
    <m/>
    <n v="13784628"/>
    <n v="13495209"/>
    <m/>
    <n v="13495209"/>
    <n v="27054592"/>
    <n v="27539201"/>
    <m/>
    <m/>
    <m/>
    <m/>
    <n v="0"/>
    <m/>
    <m/>
    <n v="0"/>
    <m/>
    <m/>
    <m/>
    <m/>
    <m/>
    <m/>
    <n v="27054592"/>
    <n v="27539201"/>
  </r>
  <r>
    <x v="4"/>
    <x v="0"/>
    <s v="Gordon State College "/>
    <m/>
    <n v="139968"/>
    <x v="14"/>
    <n v="11376859"/>
    <n v="11295645"/>
    <m/>
    <m/>
    <m/>
    <m/>
    <n v="11377566"/>
    <m/>
    <n v="11377566"/>
    <n v="11623896"/>
    <m/>
    <n v="11623896"/>
    <n v="22754425"/>
    <n v="22919541"/>
    <m/>
    <m/>
    <m/>
    <m/>
    <n v="0"/>
    <m/>
    <m/>
    <n v="0"/>
    <m/>
    <m/>
    <m/>
    <m/>
    <m/>
    <m/>
    <n v="22754425"/>
    <n v="22919541"/>
  </r>
  <r>
    <x v="4"/>
    <x v="0"/>
    <s v="Georgia Perimeter College "/>
    <m/>
    <n v="244437"/>
    <x v="6"/>
    <n v="45018238"/>
    <n v="56886594"/>
    <m/>
    <m/>
    <m/>
    <m/>
    <n v="63274289"/>
    <m/>
    <n v="63274289"/>
    <n v="57412699"/>
    <m/>
    <n v="57412699"/>
    <n v="108292527"/>
    <n v="114299293"/>
    <m/>
    <m/>
    <m/>
    <m/>
    <n v="0"/>
    <m/>
    <m/>
    <n v="0"/>
    <m/>
    <m/>
    <m/>
    <m/>
    <m/>
    <m/>
    <n v="108292527"/>
    <n v="114299293"/>
  </r>
  <r>
    <x v="4"/>
    <x v="0"/>
    <s v="Abraham Baldwin Agricultural College "/>
    <s v="Reclassified: met the criteria for Two-Year with Bachelor's in 2011-12, 2012-13, and 2013-14. "/>
    <n v="138558"/>
    <x v="14"/>
    <n v="12439122"/>
    <n v="13421632"/>
    <m/>
    <m/>
    <m/>
    <m/>
    <n v="9309859"/>
    <m/>
    <n v="9309859"/>
    <n v="10285856"/>
    <m/>
    <n v="10285856"/>
    <n v="21748981"/>
    <n v="23707488"/>
    <m/>
    <m/>
    <m/>
    <m/>
    <n v="0"/>
    <m/>
    <m/>
    <n v="0"/>
    <m/>
    <m/>
    <m/>
    <m/>
    <m/>
    <m/>
    <n v="21748981"/>
    <n v="23707488"/>
  </r>
  <r>
    <x v="4"/>
    <x v="0"/>
    <s v="Atlanta Metropolitan State College"/>
    <m/>
    <n v="138901"/>
    <x v="7"/>
    <n v="8228293"/>
    <n v="8907405"/>
    <m/>
    <m/>
    <m/>
    <m/>
    <n v="8560224"/>
    <m/>
    <n v="8560224"/>
    <n v="8559342"/>
    <m/>
    <n v="8559342"/>
    <n v="16788517"/>
    <n v="17466747"/>
    <m/>
    <m/>
    <m/>
    <m/>
    <n v="0"/>
    <m/>
    <m/>
    <n v="0"/>
    <m/>
    <m/>
    <m/>
    <m/>
    <m/>
    <m/>
    <n v="16788517"/>
    <n v="17466747"/>
  </r>
  <r>
    <x v="4"/>
    <x v="0"/>
    <s v="Bainbridge State College "/>
    <m/>
    <n v="139010"/>
    <x v="7"/>
    <n v="8815059"/>
    <n v="10007069"/>
    <m/>
    <m/>
    <m/>
    <m/>
    <n v="8227330"/>
    <m/>
    <n v="8227330"/>
    <n v="6357131"/>
    <m/>
    <n v="6357131"/>
    <n v="17042389"/>
    <n v="16364200"/>
    <m/>
    <m/>
    <m/>
    <m/>
    <n v="0"/>
    <m/>
    <m/>
    <n v="0"/>
    <m/>
    <m/>
    <m/>
    <m/>
    <m/>
    <m/>
    <n v="17042389"/>
    <n v="16364200"/>
  </r>
  <r>
    <x v="4"/>
    <x v="0"/>
    <s v="College of Coastal Georgia"/>
    <s v="Reclassified: met the criteria for Two-Year with Bachelor's in 2011-12, 2012-13, and 2013-14. "/>
    <n v="139250"/>
    <x v="14"/>
    <n v="12868032"/>
    <n v="13958960"/>
    <m/>
    <m/>
    <m/>
    <m/>
    <n v="9105000"/>
    <m/>
    <n v="9105000"/>
    <n v="8822136"/>
    <m/>
    <n v="8822136"/>
    <n v="21973032"/>
    <n v="22781096"/>
    <m/>
    <m/>
    <m/>
    <m/>
    <n v="0"/>
    <m/>
    <m/>
    <n v="0"/>
    <m/>
    <m/>
    <m/>
    <m/>
    <m/>
    <m/>
    <n v="21973032"/>
    <n v="22781096"/>
  </r>
  <r>
    <x v="4"/>
    <x v="0"/>
    <s v="Darton State College "/>
    <m/>
    <n v="138691"/>
    <x v="7"/>
    <n v="14155641"/>
    <n v="15537414"/>
    <m/>
    <m/>
    <m/>
    <m/>
    <n v="15995000"/>
    <m/>
    <n v="15995000"/>
    <n v="15311335"/>
    <m/>
    <n v="15311335"/>
    <n v="30150641"/>
    <n v="30848749"/>
    <m/>
    <m/>
    <m/>
    <m/>
    <n v="0"/>
    <m/>
    <m/>
    <n v="0"/>
    <m/>
    <m/>
    <m/>
    <m/>
    <m/>
    <m/>
    <n v="30150641"/>
    <n v="30848749"/>
  </r>
  <r>
    <x v="4"/>
    <x v="0"/>
    <s v="East Georgia State College"/>
    <m/>
    <n v="139621"/>
    <x v="7"/>
    <n v="6487311"/>
    <n v="7617744"/>
    <m/>
    <m/>
    <m/>
    <m/>
    <n v="8160421"/>
    <m/>
    <n v="8160421"/>
    <n v="7740370"/>
    <m/>
    <n v="7740370"/>
    <n v="14647732"/>
    <n v="15358114"/>
    <m/>
    <m/>
    <m/>
    <m/>
    <n v="0"/>
    <m/>
    <m/>
    <n v="0"/>
    <m/>
    <m/>
    <m/>
    <m/>
    <m/>
    <m/>
    <n v="14647732"/>
    <n v="15358114"/>
  </r>
  <r>
    <x v="4"/>
    <x v="0"/>
    <s v="Georgia Highlands College "/>
    <m/>
    <n v="139700"/>
    <x v="7"/>
    <n v="13435434"/>
    <n v="14486960"/>
    <m/>
    <m/>
    <m/>
    <m/>
    <n v="13565110"/>
    <m/>
    <n v="13565110"/>
    <n v="13240770"/>
    <m/>
    <n v="13240770"/>
    <n v="27000544"/>
    <n v="27727730"/>
    <m/>
    <m/>
    <m/>
    <m/>
    <n v="0"/>
    <m/>
    <m/>
    <n v="0"/>
    <m/>
    <m/>
    <m/>
    <m/>
    <m/>
    <m/>
    <n v="27000544"/>
    <n v="27727730"/>
  </r>
  <r>
    <x v="4"/>
    <x v="0"/>
    <s v="South Georgia State College"/>
    <m/>
    <n v="482699"/>
    <x v="7"/>
    <n v="10135837"/>
    <n v="11013133"/>
    <m/>
    <m/>
    <m/>
    <m/>
    <n v="8003413"/>
    <m/>
    <n v="8003413"/>
    <n v="6910724"/>
    <m/>
    <n v="6910724"/>
    <n v="18139250"/>
    <n v="17923857"/>
    <m/>
    <m/>
    <m/>
    <m/>
    <n v="0"/>
    <m/>
    <m/>
    <n v="0"/>
    <m/>
    <m/>
    <m/>
    <m/>
    <m/>
    <m/>
    <n v="18139250"/>
    <n v="17923857"/>
  </r>
  <r>
    <x v="4"/>
    <x v="9"/>
    <s v="Southern Polytechnic State University"/>
    <m/>
    <n v="141097"/>
    <x v="11"/>
    <m/>
    <m/>
    <m/>
    <m/>
    <m/>
    <m/>
    <m/>
    <m/>
    <n v="0"/>
    <m/>
    <m/>
    <n v="0"/>
    <n v="0"/>
    <n v="0"/>
    <n v="19678891"/>
    <n v="21375236"/>
    <n v="34765683"/>
    <m/>
    <n v="34765683"/>
    <n v="36426718"/>
    <m/>
    <n v="36426718"/>
    <m/>
    <m/>
    <m/>
    <m/>
    <m/>
    <m/>
    <n v="54444574"/>
    <n v="57801954"/>
  </r>
  <r>
    <x v="4"/>
    <x v="10"/>
    <s v="Statewide Special-Purpose Units"/>
    <m/>
    <m/>
    <x v="12"/>
    <m/>
    <m/>
    <m/>
    <m/>
    <m/>
    <m/>
    <m/>
    <m/>
    <n v="0"/>
    <m/>
    <m/>
    <n v="0"/>
    <n v="0"/>
    <n v="0"/>
    <m/>
    <m/>
    <m/>
    <m/>
    <n v="0"/>
    <m/>
    <m/>
    <n v="0"/>
    <m/>
    <m/>
    <m/>
    <m/>
    <m/>
    <m/>
    <n v="0"/>
    <n v="0"/>
  </r>
  <r>
    <x v="4"/>
    <x v="11"/>
    <s v="Research centers/institutes"/>
    <m/>
    <m/>
    <x v="12"/>
    <m/>
    <m/>
    <m/>
    <m/>
    <m/>
    <m/>
    <m/>
    <m/>
    <n v="0"/>
    <m/>
    <m/>
    <n v="0"/>
    <n v="0"/>
    <n v="0"/>
    <m/>
    <m/>
    <m/>
    <m/>
    <n v="0"/>
    <m/>
    <m/>
    <n v="0"/>
    <m/>
    <m/>
    <m/>
    <m/>
    <m/>
    <m/>
    <n v="0"/>
    <n v="0"/>
  </r>
  <r>
    <x v="4"/>
    <x v="11"/>
    <s v="Georgia Archives"/>
    <m/>
    <m/>
    <x v="12"/>
    <m/>
    <m/>
    <m/>
    <n v="4151428"/>
    <m/>
    <m/>
    <m/>
    <m/>
    <n v="0"/>
    <m/>
    <m/>
    <n v="0"/>
    <n v="0"/>
    <n v="4151428"/>
    <m/>
    <m/>
    <m/>
    <m/>
    <n v="0"/>
    <m/>
    <m/>
    <n v="0"/>
    <m/>
    <m/>
    <m/>
    <m/>
    <m/>
    <m/>
    <n v="0"/>
    <n v="4151428"/>
  </r>
  <r>
    <x v="4"/>
    <x v="11"/>
    <s v="Georgia Public Libraries"/>
    <m/>
    <m/>
    <x v="12"/>
    <m/>
    <m/>
    <m/>
    <n v="31497624"/>
    <m/>
    <m/>
    <m/>
    <m/>
    <n v="0"/>
    <m/>
    <m/>
    <n v="0"/>
    <n v="0"/>
    <n v="31497624"/>
    <m/>
    <m/>
    <m/>
    <m/>
    <n v="0"/>
    <m/>
    <m/>
    <n v="0"/>
    <m/>
    <m/>
    <m/>
    <m/>
    <m/>
    <m/>
    <n v="0"/>
    <n v="31497624"/>
  </r>
  <r>
    <x v="4"/>
    <x v="13"/>
    <s v="Education special purpose funds -all other"/>
    <m/>
    <m/>
    <x v="12"/>
    <m/>
    <m/>
    <m/>
    <m/>
    <m/>
    <m/>
    <m/>
    <m/>
    <n v="0"/>
    <m/>
    <m/>
    <n v="0"/>
    <n v="0"/>
    <n v="0"/>
    <m/>
    <m/>
    <m/>
    <m/>
    <n v="0"/>
    <m/>
    <m/>
    <n v="0"/>
    <m/>
    <m/>
    <m/>
    <m/>
    <m/>
    <m/>
    <n v="0"/>
    <n v="0"/>
  </r>
  <r>
    <x v="4"/>
    <x v="13"/>
    <s v="Residence Instruction Reserve"/>
    <m/>
    <m/>
    <x v="12"/>
    <m/>
    <m/>
    <n v="2534532"/>
    <n v="0"/>
    <m/>
    <m/>
    <m/>
    <m/>
    <n v="0"/>
    <m/>
    <m/>
    <n v="0"/>
    <n v="2534532"/>
    <n v="0"/>
    <m/>
    <m/>
    <m/>
    <m/>
    <n v="0"/>
    <m/>
    <m/>
    <n v="0"/>
    <m/>
    <m/>
    <m/>
    <m/>
    <m/>
    <m/>
    <n v="2534532"/>
    <n v="0"/>
  </r>
  <r>
    <x v="4"/>
    <x v="13"/>
    <s v="Office of Information and Instructional Technology"/>
    <m/>
    <m/>
    <x v="12"/>
    <m/>
    <m/>
    <n v="27078727"/>
    <n v="27116683"/>
    <m/>
    <m/>
    <m/>
    <m/>
    <n v="0"/>
    <m/>
    <m/>
    <n v="0"/>
    <n v="27078727"/>
    <n v="27116683"/>
    <m/>
    <m/>
    <m/>
    <m/>
    <n v="0"/>
    <m/>
    <m/>
    <n v="0"/>
    <m/>
    <m/>
    <m/>
    <m/>
    <m/>
    <m/>
    <n v="27078727"/>
    <n v="27116683"/>
  </r>
  <r>
    <x v="4"/>
    <x v="13"/>
    <s v="(SHARED SERVICES) University System Regents"/>
    <m/>
    <m/>
    <x v="12"/>
    <m/>
    <m/>
    <n v="8537120"/>
    <n v="8718211"/>
    <m/>
    <m/>
    <m/>
    <m/>
    <n v="0"/>
    <m/>
    <m/>
    <n v="0"/>
    <n v="8537120"/>
    <n v="8718211"/>
    <m/>
    <m/>
    <m/>
    <m/>
    <n v="0"/>
    <m/>
    <m/>
    <n v="0"/>
    <m/>
    <m/>
    <m/>
    <m/>
    <m/>
    <m/>
    <n v="8537120"/>
    <n v="8718211"/>
  </r>
  <r>
    <x v="4"/>
    <x v="13"/>
    <s v="&quot;RCO A&quot;"/>
    <m/>
    <m/>
    <x v="12"/>
    <m/>
    <m/>
    <n v="15521908"/>
    <n v="25551107"/>
    <m/>
    <m/>
    <m/>
    <m/>
    <n v="0"/>
    <m/>
    <m/>
    <n v="0"/>
    <n v="15521908"/>
    <n v="25551107"/>
    <m/>
    <m/>
    <m/>
    <m/>
    <n v="0"/>
    <m/>
    <m/>
    <n v="0"/>
    <m/>
    <m/>
    <m/>
    <m/>
    <m/>
    <m/>
    <n v="15521908"/>
    <n v="25551107"/>
  </r>
  <r>
    <x v="4"/>
    <x v="14"/>
    <s v="Statewide System Operations"/>
    <m/>
    <m/>
    <x v="12"/>
    <m/>
    <m/>
    <m/>
    <m/>
    <m/>
    <m/>
    <m/>
    <m/>
    <n v="0"/>
    <m/>
    <m/>
    <n v="0"/>
    <n v="0"/>
    <n v="0"/>
    <m/>
    <m/>
    <m/>
    <m/>
    <n v="0"/>
    <m/>
    <m/>
    <n v="0"/>
    <m/>
    <m/>
    <m/>
    <m/>
    <m/>
    <m/>
    <n v="0"/>
    <n v="0"/>
  </r>
  <r>
    <x v="4"/>
    <x v="15"/>
    <s v="Colleges and universities"/>
    <m/>
    <m/>
    <x v="12"/>
    <m/>
    <m/>
    <m/>
    <m/>
    <m/>
    <m/>
    <m/>
    <m/>
    <n v="0"/>
    <m/>
    <m/>
    <n v="0"/>
    <n v="0"/>
    <n v="0"/>
    <m/>
    <m/>
    <m/>
    <m/>
    <n v="0"/>
    <m/>
    <m/>
    <n v="0"/>
    <m/>
    <m/>
    <m/>
    <m/>
    <m/>
    <m/>
    <n v="0"/>
    <n v="0"/>
  </r>
  <r>
    <x v="4"/>
    <x v="15"/>
    <s v="&quot;RCO B&quot;"/>
    <m/>
    <m/>
    <x v="12"/>
    <m/>
    <m/>
    <m/>
    <m/>
    <m/>
    <m/>
    <m/>
    <m/>
    <n v="0"/>
    <m/>
    <m/>
    <n v="0"/>
    <n v="0"/>
    <n v="0"/>
    <n v="6890349"/>
    <n v="7190038"/>
    <m/>
    <m/>
    <n v="0"/>
    <m/>
    <m/>
    <n v="0"/>
    <m/>
    <m/>
    <m/>
    <m/>
    <m/>
    <m/>
    <n v="6890349"/>
    <n v="7190038"/>
  </r>
  <r>
    <x v="4"/>
    <x v="17"/>
    <s v="National or regional associations, compacts or consortia"/>
    <m/>
    <m/>
    <x v="12"/>
    <m/>
    <m/>
    <m/>
    <m/>
    <m/>
    <m/>
    <m/>
    <m/>
    <n v="0"/>
    <m/>
    <m/>
    <n v="0"/>
    <n v="0"/>
    <n v="0"/>
    <m/>
    <m/>
    <m/>
    <m/>
    <n v="0"/>
    <m/>
    <m/>
    <n v="0"/>
    <m/>
    <m/>
    <m/>
    <m/>
    <m/>
    <m/>
    <n v="0"/>
    <n v="0"/>
  </r>
  <r>
    <x v="4"/>
    <x v="17"/>
    <s v="SREB membership"/>
    <m/>
    <m/>
    <x v="12"/>
    <m/>
    <m/>
    <m/>
    <m/>
    <m/>
    <m/>
    <m/>
    <m/>
    <n v="0"/>
    <m/>
    <m/>
    <n v="0"/>
    <n v="0"/>
    <n v="0"/>
    <n v="193550"/>
    <n v="193550"/>
    <m/>
    <m/>
    <n v="0"/>
    <m/>
    <m/>
    <n v="0"/>
    <m/>
    <m/>
    <m/>
    <m/>
    <m/>
    <m/>
    <n v="193550"/>
    <n v="193550"/>
  </r>
  <r>
    <x v="4"/>
    <x v="17"/>
    <s v="Doctoral Scholars"/>
    <m/>
    <m/>
    <x v="12"/>
    <m/>
    <m/>
    <m/>
    <m/>
    <m/>
    <m/>
    <m/>
    <m/>
    <n v="0"/>
    <m/>
    <m/>
    <n v="0"/>
    <n v="0"/>
    <n v="0"/>
    <n v="500000"/>
    <n v="498000"/>
    <m/>
    <m/>
    <n v="0"/>
    <m/>
    <m/>
    <n v="0"/>
    <m/>
    <m/>
    <m/>
    <m/>
    <m/>
    <m/>
    <n v="500000"/>
    <n v="498000"/>
  </r>
  <r>
    <x v="4"/>
    <x v="18"/>
    <s v="Adm. of Statewide Student Aid Progs. (incldng centralized guaranteed student loans)"/>
    <m/>
    <m/>
    <x v="12"/>
    <m/>
    <m/>
    <m/>
    <m/>
    <m/>
    <m/>
    <m/>
    <m/>
    <n v="0"/>
    <m/>
    <m/>
    <n v="0"/>
    <n v="0"/>
    <n v="0"/>
    <m/>
    <m/>
    <m/>
    <m/>
    <n v="0"/>
    <m/>
    <m/>
    <n v="0"/>
    <m/>
    <m/>
    <m/>
    <m/>
    <m/>
    <m/>
    <n v="0"/>
    <n v="0"/>
  </r>
  <r>
    <x v="4"/>
    <x v="18"/>
    <s v="Ga Student Finance Commission"/>
    <m/>
    <m/>
    <x v="12"/>
    <m/>
    <m/>
    <m/>
    <m/>
    <m/>
    <m/>
    <m/>
    <m/>
    <n v="0"/>
    <m/>
    <m/>
    <n v="0"/>
    <n v="0"/>
    <n v="0"/>
    <m/>
    <m/>
    <m/>
    <m/>
    <n v="0"/>
    <m/>
    <m/>
    <n v="0"/>
    <m/>
    <m/>
    <m/>
    <m/>
    <m/>
    <m/>
    <n v="0"/>
    <n v="0"/>
  </r>
  <r>
    <x v="4"/>
    <x v="19"/>
    <s v="State Support to Private Colleges Other Than Student Aid"/>
    <m/>
    <m/>
    <x v="12"/>
    <m/>
    <m/>
    <m/>
    <m/>
    <m/>
    <m/>
    <m/>
    <m/>
    <n v="0"/>
    <m/>
    <m/>
    <n v="0"/>
    <n v="0"/>
    <n v="0"/>
    <m/>
    <m/>
    <m/>
    <m/>
    <n v="0"/>
    <m/>
    <m/>
    <n v="0"/>
    <m/>
    <m/>
    <m/>
    <m/>
    <m/>
    <m/>
    <n v="0"/>
    <n v="0"/>
  </r>
  <r>
    <x v="4"/>
    <x v="19"/>
    <s v="Ga Military College"/>
    <m/>
    <m/>
    <x v="12"/>
    <m/>
    <m/>
    <m/>
    <m/>
    <m/>
    <m/>
    <m/>
    <m/>
    <n v="0"/>
    <m/>
    <m/>
    <n v="0"/>
    <n v="0"/>
    <n v="0"/>
    <n v="2269752"/>
    <n v="2288309"/>
    <m/>
    <m/>
    <n v="0"/>
    <m/>
    <m/>
    <n v="0"/>
    <m/>
    <m/>
    <m/>
    <m/>
    <m/>
    <m/>
    <n v="2269752"/>
    <n v="2288309"/>
  </r>
  <r>
    <x v="4"/>
    <x v="19"/>
    <s v="Mercer University (Medicine)"/>
    <m/>
    <m/>
    <x v="12"/>
    <m/>
    <m/>
    <m/>
    <m/>
    <m/>
    <m/>
    <m/>
    <m/>
    <n v="0"/>
    <m/>
    <m/>
    <n v="0"/>
    <n v="0"/>
    <n v="0"/>
    <n v="20969911"/>
    <n v="20969911"/>
    <m/>
    <m/>
    <n v="0"/>
    <m/>
    <m/>
    <n v="0"/>
    <m/>
    <m/>
    <m/>
    <m/>
    <m/>
    <m/>
    <n v="20969911"/>
    <n v="20969911"/>
  </r>
  <r>
    <x v="4"/>
    <x v="19"/>
    <s v="Morehouse School of Medicine"/>
    <m/>
    <m/>
    <x v="12"/>
    <m/>
    <m/>
    <m/>
    <m/>
    <m/>
    <m/>
    <m/>
    <m/>
    <n v="0"/>
    <m/>
    <m/>
    <n v="0"/>
    <n v="0"/>
    <n v="0"/>
    <n v="10671474"/>
    <n v="10933643"/>
    <m/>
    <m/>
    <n v="0"/>
    <m/>
    <m/>
    <n v="0"/>
    <m/>
    <m/>
    <m/>
    <m/>
    <m/>
    <m/>
    <n v="10671474"/>
    <n v="10933643"/>
  </r>
  <r>
    <x v="4"/>
    <x v="20"/>
    <s v="Contract Education Programs"/>
    <m/>
    <m/>
    <x v="12"/>
    <m/>
    <m/>
    <m/>
    <m/>
    <m/>
    <m/>
    <m/>
    <m/>
    <n v="0"/>
    <m/>
    <m/>
    <n v="0"/>
    <n v="0"/>
    <n v="0"/>
    <m/>
    <m/>
    <m/>
    <m/>
    <n v="0"/>
    <m/>
    <m/>
    <n v="0"/>
    <m/>
    <m/>
    <m/>
    <m/>
    <m/>
    <m/>
    <n v="0"/>
    <n v="0"/>
  </r>
  <r>
    <x v="4"/>
    <x v="21"/>
    <s v="SREB contract program with private colleges"/>
    <m/>
    <m/>
    <x v="12"/>
    <m/>
    <m/>
    <m/>
    <m/>
    <m/>
    <m/>
    <m/>
    <m/>
    <n v="0"/>
    <m/>
    <m/>
    <n v="0"/>
    <n v="0"/>
    <n v="0"/>
    <m/>
    <m/>
    <m/>
    <m/>
    <n v="0"/>
    <m/>
    <m/>
    <n v="0"/>
    <m/>
    <m/>
    <m/>
    <m/>
    <m/>
    <m/>
    <n v="0"/>
    <n v="0"/>
  </r>
  <r>
    <x v="4"/>
    <x v="21"/>
    <s v="Georgia Military College"/>
    <m/>
    <m/>
    <x v="12"/>
    <m/>
    <m/>
    <m/>
    <m/>
    <m/>
    <m/>
    <m/>
    <m/>
    <n v="0"/>
    <m/>
    <m/>
    <n v="0"/>
    <n v="0"/>
    <n v="0"/>
    <m/>
    <m/>
    <m/>
    <m/>
    <n v="0"/>
    <m/>
    <m/>
    <n v="0"/>
    <m/>
    <m/>
    <m/>
    <m/>
    <m/>
    <m/>
    <n v="0"/>
    <n v="0"/>
  </r>
  <r>
    <x v="4"/>
    <x v="21"/>
    <s v="Southern College (Optometry)"/>
    <m/>
    <m/>
    <x v="12"/>
    <m/>
    <m/>
    <m/>
    <m/>
    <m/>
    <m/>
    <m/>
    <m/>
    <n v="0"/>
    <m/>
    <m/>
    <n v="0"/>
    <n v="0"/>
    <n v="0"/>
    <n v="355400"/>
    <n v="367200"/>
    <m/>
    <m/>
    <n v="0"/>
    <m/>
    <m/>
    <n v="0"/>
    <m/>
    <m/>
    <m/>
    <m/>
    <m/>
    <m/>
    <n v="355400"/>
    <n v="367200"/>
  </r>
  <r>
    <x v="4"/>
    <x v="21"/>
    <s v="Nova Southeastern University (Osteopathic Medicine)"/>
    <m/>
    <m/>
    <x v="12"/>
    <m/>
    <m/>
    <m/>
    <m/>
    <m/>
    <m/>
    <m/>
    <m/>
    <n v="0"/>
    <m/>
    <m/>
    <n v="0"/>
    <n v="0"/>
    <n v="0"/>
    <n v="14800"/>
    <n v="0"/>
    <m/>
    <m/>
    <n v="0"/>
    <m/>
    <m/>
    <n v="0"/>
    <m/>
    <m/>
    <m/>
    <m/>
    <m/>
    <m/>
    <n v="14800"/>
    <n v="0"/>
  </r>
  <r>
    <x v="4"/>
    <x v="22"/>
    <s v="SREB contract program with public colleges"/>
    <m/>
    <m/>
    <x v="12"/>
    <m/>
    <m/>
    <m/>
    <m/>
    <m/>
    <m/>
    <m/>
    <m/>
    <n v="0"/>
    <m/>
    <m/>
    <n v="0"/>
    <n v="0"/>
    <n v="0"/>
    <m/>
    <m/>
    <m/>
    <m/>
    <n v="0"/>
    <m/>
    <m/>
    <n v="0"/>
    <m/>
    <m/>
    <m/>
    <m/>
    <m/>
    <m/>
    <n v="0"/>
    <n v="0"/>
  </r>
  <r>
    <x v="4"/>
    <x v="22"/>
    <s v="University of Alabama at Birmingham (Medicine)"/>
    <m/>
    <m/>
    <x v="12"/>
    <m/>
    <m/>
    <m/>
    <m/>
    <m/>
    <m/>
    <m/>
    <m/>
    <n v="0"/>
    <m/>
    <m/>
    <n v="0"/>
    <n v="0"/>
    <n v="0"/>
    <n v="148000"/>
    <n v="153000"/>
    <m/>
    <m/>
    <n v="0"/>
    <m/>
    <m/>
    <n v="0"/>
    <m/>
    <m/>
    <m/>
    <m/>
    <m/>
    <m/>
    <n v="148000"/>
    <n v="153000"/>
  </r>
  <r>
    <x v="4"/>
    <x v="23"/>
    <s v="Other contracted programs (Med. Student Capitation Grants)"/>
    <m/>
    <m/>
    <x v="12"/>
    <m/>
    <m/>
    <m/>
    <m/>
    <m/>
    <m/>
    <m/>
    <m/>
    <n v="0"/>
    <m/>
    <m/>
    <n v="0"/>
    <n v="0"/>
    <n v="0"/>
    <m/>
    <m/>
    <m/>
    <m/>
    <n v="0"/>
    <m/>
    <m/>
    <n v="0"/>
    <m/>
    <m/>
    <m/>
    <m/>
    <m/>
    <m/>
    <n v="0"/>
    <n v="0"/>
  </r>
  <r>
    <x v="4"/>
    <x v="23"/>
    <s v="Mercer University (Medicine)"/>
    <m/>
    <m/>
    <x v="12"/>
    <m/>
    <m/>
    <m/>
    <m/>
    <m/>
    <m/>
    <m/>
    <m/>
    <n v="0"/>
    <m/>
    <m/>
    <n v="0"/>
    <n v="0"/>
    <n v="0"/>
    <n v="1336343"/>
    <n v="1336343"/>
    <m/>
    <m/>
    <n v="0"/>
    <m/>
    <m/>
    <n v="0"/>
    <m/>
    <m/>
    <m/>
    <m/>
    <m/>
    <m/>
    <n v="1336343"/>
    <n v="1336343"/>
  </r>
  <r>
    <x v="4"/>
    <x v="23"/>
    <s v="Morehouse School of Medicine"/>
    <m/>
    <m/>
    <x v="12"/>
    <m/>
    <m/>
    <m/>
    <m/>
    <m/>
    <m/>
    <m/>
    <m/>
    <n v="0"/>
    <m/>
    <m/>
    <n v="0"/>
    <n v="0"/>
    <n v="0"/>
    <n v="591796"/>
    <n v="0"/>
    <m/>
    <m/>
    <n v="0"/>
    <m/>
    <m/>
    <n v="0"/>
    <m/>
    <m/>
    <m/>
    <m/>
    <m/>
    <m/>
    <n v="591796"/>
    <n v="0"/>
  </r>
  <r>
    <x v="4"/>
    <x v="23"/>
    <s v="Emory University (Medicine)"/>
    <m/>
    <m/>
    <x v="12"/>
    <m/>
    <m/>
    <m/>
    <m/>
    <m/>
    <m/>
    <m/>
    <m/>
    <n v="0"/>
    <m/>
    <m/>
    <n v="0"/>
    <n v="0"/>
    <n v="0"/>
    <n v="719089"/>
    <n v="719089"/>
    <m/>
    <m/>
    <n v="0"/>
    <m/>
    <m/>
    <n v="0"/>
    <m/>
    <m/>
    <m/>
    <m/>
    <m/>
    <m/>
    <n v="719089"/>
    <n v="719089"/>
  </r>
  <r>
    <x v="4"/>
    <x v="24"/>
    <s v="Statewide Student Financial Aid Programs Administered Off Campus"/>
    <m/>
    <m/>
    <x v="12"/>
    <m/>
    <m/>
    <m/>
    <m/>
    <m/>
    <m/>
    <m/>
    <m/>
    <n v="0"/>
    <m/>
    <m/>
    <n v="0"/>
    <n v="0"/>
    <n v="0"/>
    <m/>
    <m/>
    <m/>
    <m/>
    <n v="0"/>
    <m/>
    <m/>
    <n v="0"/>
    <m/>
    <m/>
    <m/>
    <m/>
    <m/>
    <m/>
    <n v="0"/>
    <n v="0"/>
  </r>
  <r>
    <x v="4"/>
    <x v="25"/>
    <s v="Available to public &amp; private sector students"/>
    <m/>
    <m/>
    <x v="12"/>
    <m/>
    <m/>
    <m/>
    <m/>
    <m/>
    <m/>
    <m/>
    <m/>
    <n v="0"/>
    <m/>
    <m/>
    <n v="0"/>
    <n v="0"/>
    <n v="0"/>
    <m/>
    <m/>
    <m/>
    <m/>
    <n v="0"/>
    <m/>
    <m/>
    <n v="0"/>
    <m/>
    <m/>
    <m/>
    <m/>
    <m/>
    <m/>
    <n v="0"/>
    <n v="0"/>
  </r>
  <r>
    <x v="4"/>
    <x v="25"/>
    <s v="Public Safety Memorial Grant"/>
    <m/>
    <m/>
    <x v="12"/>
    <m/>
    <m/>
    <m/>
    <m/>
    <m/>
    <m/>
    <m/>
    <m/>
    <n v="0"/>
    <m/>
    <m/>
    <n v="0"/>
    <n v="0"/>
    <n v="0"/>
    <m/>
    <m/>
    <m/>
    <m/>
    <n v="0"/>
    <m/>
    <m/>
    <n v="0"/>
    <m/>
    <m/>
    <m/>
    <m/>
    <m/>
    <m/>
    <n v="0"/>
    <n v="0"/>
  </r>
  <r>
    <x v="4"/>
    <x v="28"/>
    <s v="Amount to public sector students"/>
    <m/>
    <m/>
    <x v="12"/>
    <m/>
    <m/>
    <m/>
    <m/>
    <m/>
    <m/>
    <m/>
    <m/>
    <n v="0"/>
    <m/>
    <m/>
    <n v="0"/>
    <n v="0"/>
    <n v="0"/>
    <m/>
    <m/>
    <m/>
    <m/>
    <n v="0"/>
    <m/>
    <m/>
    <n v="0"/>
    <m/>
    <m/>
    <m/>
    <m/>
    <m/>
    <m/>
    <n v="0"/>
    <n v="0"/>
  </r>
  <r>
    <x v="4"/>
    <x v="29"/>
    <s v="Need-based"/>
    <m/>
    <m/>
    <x v="12"/>
    <m/>
    <m/>
    <m/>
    <m/>
    <m/>
    <m/>
    <m/>
    <m/>
    <n v="0"/>
    <m/>
    <m/>
    <n v="0"/>
    <n v="0"/>
    <n v="0"/>
    <m/>
    <m/>
    <m/>
    <m/>
    <n v="0"/>
    <m/>
    <m/>
    <n v="0"/>
    <m/>
    <m/>
    <m/>
    <m/>
    <m/>
    <m/>
    <n v="0"/>
    <n v="0"/>
  </r>
  <r>
    <x v="4"/>
    <x v="30"/>
    <s v="Non need-based"/>
    <m/>
    <m/>
    <x v="12"/>
    <m/>
    <m/>
    <m/>
    <m/>
    <m/>
    <m/>
    <m/>
    <m/>
    <n v="0"/>
    <m/>
    <m/>
    <n v="0"/>
    <n v="0"/>
    <n v="0"/>
    <n v="376761"/>
    <n v="376761"/>
    <m/>
    <m/>
    <n v="0"/>
    <m/>
    <m/>
    <n v="0"/>
    <m/>
    <m/>
    <m/>
    <m/>
    <m/>
    <m/>
    <n v="376761"/>
    <n v="376761"/>
  </r>
  <r>
    <x v="4"/>
    <x v="31"/>
    <s v="Amount to private sector students"/>
    <m/>
    <m/>
    <x v="12"/>
    <m/>
    <m/>
    <m/>
    <m/>
    <m/>
    <m/>
    <m/>
    <m/>
    <n v="0"/>
    <m/>
    <m/>
    <n v="0"/>
    <n v="0"/>
    <n v="0"/>
    <m/>
    <m/>
    <m/>
    <m/>
    <n v="0"/>
    <m/>
    <m/>
    <n v="0"/>
    <m/>
    <m/>
    <m/>
    <m/>
    <m/>
    <m/>
    <n v="0"/>
    <n v="0"/>
  </r>
  <r>
    <x v="4"/>
    <x v="32"/>
    <s v="Need-based"/>
    <m/>
    <m/>
    <x v="12"/>
    <m/>
    <m/>
    <m/>
    <m/>
    <m/>
    <m/>
    <m/>
    <m/>
    <n v="0"/>
    <m/>
    <m/>
    <n v="0"/>
    <n v="0"/>
    <n v="0"/>
    <m/>
    <m/>
    <m/>
    <m/>
    <n v="0"/>
    <m/>
    <m/>
    <n v="0"/>
    <m/>
    <m/>
    <m/>
    <m/>
    <m/>
    <m/>
    <n v="0"/>
    <n v="0"/>
  </r>
  <r>
    <x v="4"/>
    <x v="33"/>
    <s v="Non need-based"/>
    <m/>
    <m/>
    <x v="12"/>
    <m/>
    <m/>
    <m/>
    <m/>
    <m/>
    <m/>
    <m/>
    <m/>
    <n v="0"/>
    <m/>
    <m/>
    <n v="0"/>
    <n v="0"/>
    <n v="0"/>
    <m/>
    <m/>
    <m/>
    <m/>
    <n v="0"/>
    <m/>
    <m/>
    <n v="0"/>
    <m/>
    <m/>
    <m/>
    <m/>
    <m/>
    <m/>
    <n v="0"/>
    <n v="0"/>
  </r>
  <r>
    <x v="4"/>
    <x v="25"/>
    <s v="Engineer Scholarships"/>
    <m/>
    <m/>
    <x v="12"/>
    <m/>
    <m/>
    <m/>
    <m/>
    <m/>
    <m/>
    <m/>
    <m/>
    <n v="0"/>
    <m/>
    <m/>
    <n v="0"/>
    <n v="0"/>
    <n v="0"/>
    <m/>
    <m/>
    <m/>
    <m/>
    <n v="0"/>
    <m/>
    <m/>
    <n v="0"/>
    <m/>
    <m/>
    <m/>
    <m/>
    <m/>
    <m/>
    <n v="0"/>
    <n v="0"/>
  </r>
  <r>
    <x v="4"/>
    <x v="28"/>
    <s v="Amount to public sector students"/>
    <m/>
    <m/>
    <x v="12"/>
    <m/>
    <m/>
    <m/>
    <m/>
    <m/>
    <m/>
    <m/>
    <m/>
    <n v="0"/>
    <m/>
    <m/>
    <n v="0"/>
    <n v="0"/>
    <n v="0"/>
    <m/>
    <m/>
    <m/>
    <m/>
    <n v="0"/>
    <m/>
    <m/>
    <n v="0"/>
    <m/>
    <m/>
    <m/>
    <m/>
    <m/>
    <m/>
    <n v="0"/>
    <n v="0"/>
  </r>
  <r>
    <x v="4"/>
    <x v="29"/>
    <s v="Need-based"/>
    <m/>
    <m/>
    <x v="12"/>
    <m/>
    <m/>
    <m/>
    <m/>
    <m/>
    <m/>
    <m/>
    <m/>
    <n v="0"/>
    <m/>
    <m/>
    <n v="0"/>
    <n v="0"/>
    <n v="0"/>
    <m/>
    <m/>
    <m/>
    <m/>
    <n v="0"/>
    <m/>
    <m/>
    <n v="0"/>
    <m/>
    <m/>
    <m/>
    <m/>
    <m/>
    <m/>
    <n v="0"/>
    <n v="0"/>
  </r>
  <r>
    <x v="4"/>
    <x v="30"/>
    <s v="Non need-based"/>
    <m/>
    <m/>
    <x v="12"/>
    <m/>
    <m/>
    <m/>
    <m/>
    <m/>
    <m/>
    <m/>
    <m/>
    <n v="0"/>
    <m/>
    <m/>
    <n v="0"/>
    <n v="0"/>
    <n v="0"/>
    <m/>
    <m/>
    <m/>
    <m/>
    <n v="0"/>
    <m/>
    <m/>
    <n v="0"/>
    <m/>
    <m/>
    <m/>
    <m/>
    <m/>
    <m/>
    <n v="0"/>
    <n v="0"/>
  </r>
  <r>
    <x v="4"/>
    <x v="31"/>
    <s v="Amount to private sector students"/>
    <m/>
    <m/>
    <x v="12"/>
    <m/>
    <m/>
    <m/>
    <m/>
    <m/>
    <m/>
    <m/>
    <m/>
    <n v="0"/>
    <m/>
    <m/>
    <n v="0"/>
    <n v="0"/>
    <n v="0"/>
    <m/>
    <m/>
    <m/>
    <m/>
    <n v="0"/>
    <m/>
    <m/>
    <n v="0"/>
    <m/>
    <m/>
    <m/>
    <m/>
    <m/>
    <m/>
    <n v="0"/>
    <n v="0"/>
  </r>
  <r>
    <x v="4"/>
    <x v="32"/>
    <s v="Need-based"/>
    <m/>
    <m/>
    <x v="12"/>
    <m/>
    <m/>
    <m/>
    <m/>
    <m/>
    <m/>
    <m/>
    <m/>
    <n v="0"/>
    <m/>
    <m/>
    <n v="0"/>
    <n v="0"/>
    <n v="0"/>
    <m/>
    <m/>
    <m/>
    <m/>
    <n v="0"/>
    <m/>
    <m/>
    <n v="0"/>
    <m/>
    <m/>
    <m/>
    <m/>
    <m/>
    <m/>
    <n v="0"/>
    <n v="0"/>
  </r>
  <r>
    <x v="4"/>
    <x v="33"/>
    <s v="Non need-based"/>
    <m/>
    <m/>
    <x v="12"/>
    <m/>
    <m/>
    <m/>
    <m/>
    <m/>
    <m/>
    <m/>
    <m/>
    <n v="0"/>
    <m/>
    <m/>
    <n v="0"/>
    <n v="0"/>
    <n v="0"/>
    <n v="701750"/>
    <n v="785250"/>
    <m/>
    <m/>
    <n v="0"/>
    <m/>
    <m/>
    <n v="0"/>
    <m/>
    <m/>
    <m/>
    <m/>
    <m/>
    <m/>
    <n v="701750"/>
    <n v="785250"/>
  </r>
  <r>
    <x v="4"/>
    <x v="34"/>
    <s v="Limited to public college students only"/>
    <m/>
    <m/>
    <x v="12"/>
    <m/>
    <m/>
    <m/>
    <m/>
    <m/>
    <m/>
    <m/>
    <m/>
    <n v="0"/>
    <m/>
    <m/>
    <n v="0"/>
    <n v="0"/>
    <n v="0"/>
    <m/>
    <m/>
    <m/>
    <m/>
    <n v="0"/>
    <m/>
    <m/>
    <n v="0"/>
    <m/>
    <m/>
    <m/>
    <m/>
    <m/>
    <m/>
    <n v="0"/>
    <n v="0"/>
  </r>
  <r>
    <x v="4"/>
    <x v="34"/>
    <s v="HOPE Scholarships"/>
    <m/>
    <m/>
    <x v="12"/>
    <m/>
    <m/>
    <m/>
    <m/>
    <m/>
    <m/>
    <m/>
    <m/>
    <n v="0"/>
    <m/>
    <m/>
    <n v="0"/>
    <n v="0"/>
    <n v="0"/>
    <m/>
    <m/>
    <m/>
    <m/>
    <n v="0"/>
    <m/>
    <m/>
    <n v="0"/>
    <m/>
    <m/>
    <m/>
    <m/>
    <m/>
    <m/>
    <n v="0"/>
    <n v="0"/>
  </r>
  <r>
    <x v="4"/>
    <x v="35"/>
    <s v="Need-based"/>
    <m/>
    <m/>
    <x v="12"/>
    <m/>
    <m/>
    <m/>
    <m/>
    <m/>
    <m/>
    <m/>
    <m/>
    <n v="0"/>
    <m/>
    <m/>
    <n v="0"/>
    <n v="0"/>
    <n v="0"/>
    <m/>
    <m/>
    <m/>
    <m/>
    <n v="0"/>
    <m/>
    <m/>
    <n v="0"/>
    <m/>
    <m/>
    <m/>
    <m/>
    <m/>
    <m/>
    <n v="0"/>
    <n v="0"/>
  </r>
  <r>
    <x v="4"/>
    <x v="36"/>
    <s v="Non need-based"/>
    <m/>
    <m/>
    <x v="12"/>
    <m/>
    <m/>
    <m/>
    <m/>
    <m/>
    <m/>
    <m/>
    <m/>
    <n v="0"/>
    <m/>
    <m/>
    <n v="0"/>
    <n v="0"/>
    <n v="0"/>
    <n v="401800599"/>
    <n v="424345076"/>
    <m/>
    <m/>
    <n v="0"/>
    <m/>
    <m/>
    <n v="0"/>
    <m/>
    <m/>
    <m/>
    <m/>
    <m/>
    <m/>
    <n v="401800599"/>
    <n v="424345076"/>
  </r>
  <r>
    <x v="4"/>
    <x v="37"/>
    <s v="Limited to private college students"/>
    <m/>
    <m/>
    <x v="12"/>
    <m/>
    <m/>
    <m/>
    <m/>
    <m/>
    <m/>
    <m/>
    <m/>
    <n v="0"/>
    <m/>
    <m/>
    <n v="0"/>
    <n v="0"/>
    <n v="0"/>
    <m/>
    <m/>
    <m/>
    <m/>
    <n v="0"/>
    <m/>
    <m/>
    <n v="0"/>
    <m/>
    <m/>
    <m/>
    <m/>
    <m/>
    <m/>
    <n v="0"/>
    <n v="0"/>
  </r>
  <r>
    <x v="4"/>
    <x v="37"/>
    <s v="Georgia Military College Scholarships"/>
    <m/>
    <m/>
    <x v="12"/>
    <m/>
    <m/>
    <m/>
    <m/>
    <m/>
    <m/>
    <m/>
    <m/>
    <n v="0"/>
    <m/>
    <m/>
    <n v="0"/>
    <n v="0"/>
    <n v="0"/>
    <m/>
    <m/>
    <m/>
    <m/>
    <n v="0"/>
    <m/>
    <m/>
    <n v="0"/>
    <m/>
    <m/>
    <m/>
    <m/>
    <m/>
    <m/>
    <n v="0"/>
    <n v="0"/>
  </r>
  <r>
    <x v="4"/>
    <x v="38"/>
    <s v="Need-based"/>
    <m/>
    <m/>
    <x v="12"/>
    <m/>
    <m/>
    <m/>
    <m/>
    <m/>
    <m/>
    <m/>
    <m/>
    <n v="0"/>
    <m/>
    <m/>
    <n v="0"/>
    <n v="0"/>
    <n v="0"/>
    <m/>
    <m/>
    <m/>
    <m/>
    <n v="0"/>
    <m/>
    <m/>
    <n v="0"/>
    <m/>
    <m/>
    <m/>
    <m/>
    <m/>
    <m/>
    <n v="0"/>
    <n v="0"/>
  </r>
  <r>
    <x v="4"/>
    <x v="39"/>
    <s v="Non need-based"/>
    <m/>
    <m/>
    <x v="12"/>
    <m/>
    <m/>
    <m/>
    <m/>
    <m/>
    <m/>
    <m/>
    <m/>
    <n v="0"/>
    <m/>
    <m/>
    <n v="0"/>
    <n v="0"/>
    <n v="0"/>
    <n v="1094862"/>
    <n v="1094862"/>
    <m/>
    <m/>
    <n v="0"/>
    <m/>
    <m/>
    <n v="0"/>
    <m/>
    <m/>
    <m/>
    <m/>
    <m/>
    <m/>
    <n v="1094862"/>
    <n v="1094862"/>
  </r>
  <r>
    <x v="4"/>
    <x v="37"/>
    <s v="HOPE Scholarships"/>
    <m/>
    <m/>
    <x v="12"/>
    <m/>
    <m/>
    <m/>
    <m/>
    <m/>
    <m/>
    <m/>
    <m/>
    <n v="0"/>
    <m/>
    <m/>
    <n v="0"/>
    <n v="0"/>
    <n v="0"/>
    <m/>
    <m/>
    <m/>
    <m/>
    <n v="0"/>
    <m/>
    <m/>
    <n v="0"/>
    <m/>
    <m/>
    <m/>
    <m/>
    <m/>
    <m/>
    <n v="0"/>
    <n v="0"/>
  </r>
  <r>
    <x v="4"/>
    <x v="38"/>
    <s v="Need-based"/>
    <m/>
    <m/>
    <x v="12"/>
    <m/>
    <m/>
    <m/>
    <m/>
    <m/>
    <m/>
    <m/>
    <m/>
    <n v="0"/>
    <m/>
    <m/>
    <n v="0"/>
    <n v="0"/>
    <n v="0"/>
    <m/>
    <m/>
    <m/>
    <m/>
    <n v="0"/>
    <m/>
    <m/>
    <n v="0"/>
    <m/>
    <m/>
    <m/>
    <m/>
    <m/>
    <m/>
    <n v="0"/>
    <n v="0"/>
  </r>
  <r>
    <x v="4"/>
    <x v="39"/>
    <s v="Non need-based"/>
    <m/>
    <m/>
    <x v="12"/>
    <m/>
    <m/>
    <m/>
    <m/>
    <m/>
    <m/>
    <m/>
    <m/>
    <n v="0"/>
    <m/>
    <m/>
    <n v="0"/>
    <n v="0"/>
    <n v="0"/>
    <m/>
    <m/>
    <m/>
    <m/>
    <n v="0"/>
    <m/>
    <m/>
    <n v="0"/>
    <m/>
    <m/>
    <m/>
    <m/>
    <m/>
    <m/>
    <n v="0"/>
    <n v="0"/>
  </r>
  <r>
    <x v="4"/>
    <x v="0"/>
    <s v="Albany Technical College"/>
    <m/>
    <n v="138682"/>
    <x v="9"/>
    <n v="10121988.51"/>
    <n v="9043023"/>
    <m/>
    <m/>
    <m/>
    <m/>
    <n v="10988594.35"/>
    <m/>
    <n v="10988594.35"/>
    <n v="10768822.463"/>
    <m/>
    <n v="10768822.463"/>
    <n v="21110582.859999999"/>
    <n v="19811845.463"/>
    <m/>
    <m/>
    <m/>
    <m/>
    <n v="0"/>
    <m/>
    <m/>
    <n v="0"/>
    <m/>
    <m/>
    <m/>
    <m/>
    <m/>
    <m/>
    <n v="21110582.859999999"/>
    <n v="19811845.463"/>
  </r>
  <r>
    <x v="4"/>
    <x v="0"/>
    <s v="Altamaha Technical College"/>
    <m/>
    <n v="366447"/>
    <x v="9"/>
    <n v="7042007.8399999999"/>
    <n v="6882362"/>
    <m/>
    <m/>
    <m/>
    <m/>
    <n v="3674890.1"/>
    <m/>
    <n v="3674890.1"/>
    <n v="3601392.298"/>
    <m/>
    <n v="3601392.298"/>
    <n v="10716897.939999999"/>
    <n v="10483754.298"/>
    <m/>
    <m/>
    <m/>
    <m/>
    <n v="0"/>
    <m/>
    <m/>
    <n v="0"/>
    <m/>
    <m/>
    <m/>
    <m/>
    <m/>
    <m/>
    <n v="10716897.939999999"/>
    <n v="10483754.298"/>
  </r>
  <r>
    <x v="4"/>
    <x v="0"/>
    <s v="Athens Technical College"/>
    <m/>
    <n v="246813"/>
    <x v="9"/>
    <n v="10903443"/>
    <n v="10434374"/>
    <m/>
    <m/>
    <m/>
    <m/>
    <n v="12033368.452"/>
    <m/>
    <n v="12033368.452"/>
    <n v="11792701.08296"/>
    <m/>
    <n v="11792701.08296"/>
    <n v="22936811.452"/>
    <n v="22227075.082960002"/>
    <m/>
    <m/>
    <m/>
    <m/>
    <n v="0"/>
    <m/>
    <m/>
    <n v="0"/>
    <m/>
    <m/>
    <m/>
    <m/>
    <m/>
    <m/>
    <n v="22936811.452"/>
    <n v="22227075.082960002"/>
  </r>
  <r>
    <x v="4"/>
    <x v="0"/>
    <s v="Atlanta Technical College"/>
    <m/>
    <n v="138840"/>
    <x v="9"/>
    <n v="12472126.390000001"/>
    <n v="11137351"/>
    <m/>
    <m/>
    <m/>
    <m/>
    <n v="13771778.182400001"/>
    <m/>
    <n v="13771778.182400001"/>
    <n v="13496342.618752001"/>
    <m/>
    <n v="13496342.618752001"/>
    <n v="26243904.572400004"/>
    <n v="24633693.618752003"/>
    <m/>
    <m/>
    <m/>
    <m/>
    <n v="0"/>
    <m/>
    <m/>
    <n v="0"/>
    <m/>
    <m/>
    <m/>
    <m/>
    <m/>
    <m/>
    <n v="26243904.572400004"/>
    <n v="24633693.618752003"/>
  </r>
  <r>
    <x v="4"/>
    <x v="0"/>
    <s v="Augusta Technical College"/>
    <m/>
    <n v="138956"/>
    <x v="9"/>
    <n v="13128991.84"/>
    <n v="12843834"/>
    <m/>
    <m/>
    <m/>
    <m/>
    <n v="10207001.220000001"/>
    <m/>
    <n v="10207001.220000001"/>
    <n v="10002861.195600001"/>
    <m/>
    <n v="10002861.195600001"/>
    <n v="23335993.060000002"/>
    <n v="22846695.195600003"/>
    <m/>
    <m/>
    <m/>
    <m/>
    <n v="0"/>
    <m/>
    <m/>
    <n v="0"/>
    <m/>
    <m/>
    <m/>
    <m/>
    <m/>
    <m/>
    <n v="23335993.060000002"/>
    <n v="22846695.195600003"/>
  </r>
  <r>
    <x v="4"/>
    <x v="0"/>
    <s v="Central Georgia Technical College"/>
    <m/>
    <n v="140304"/>
    <x v="9"/>
    <n v="22495183.419999998"/>
    <n v="20193913"/>
    <m/>
    <m/>
    <m/>
    <m/>
    <n v="17765544.992200002"/>
    <m/>
    <n v="17765544.992200002"/>
    <n v="17355650"/>
    <m/>
    <n v="17355650"/>
    <n v="40260728.412200004"/>
    <n v="37549563"/>
    <m/>
    <m/>
    <m/>
    <m/>
    <n v="0"/>
    <m/>
    <m/>
    <n v="0"/>
    <m/>
    <m/>
    <m/>
    <m/>
    <m/>
    <m/>
    <n v="40260728.412200004"/>
    <n v="37549563"/>
  </r>
  <r>
    <x v="4"/>
    <x v="0"/>
    <s v="Chattahoochee Technical College"/>
    <m/>
    <n v="140331"/>
    <x v="9"/>
    <n v="19674210.640000001"/>
    <n v="19242616"/>
    <m/>
    <m/>
    <m/>
    <m/>
    <n v="25616662.02"/>
    <m/>
    <n v="25616662.02"/>
    <n v="25104328.779599998"/>
    <m/>
    <n v="25104328.779599998"/>
    <n v="45290872.659999996"/>
    <n v="44346944.779599994"/>
    <m/>
    <m/>
    <m/>
    <m/>
    <n v="0"/>
    <m/>
    <m/>
    <n v="0"/>
    <m/>
    <m/>
    <m/>
    <m/>
    <m/>
    <m/>
    <n v="45290872.659999996"/>
    <n v="44346944.779599994"/>
  </r>
  <r>
    <x v="4"/>
    <x v="0"/>
    <s v="Columbus Technical College"/>
    <m/>
    <n v="139357"/>
    <x v="9"/>
    <n v="9121327.2300000004"/>
    <n v="10224993"/>
    <m/>
    <m/>
    <m/>
    <m/>
    <n v="12563308.85"/>
    <m/>
    <n v="12563308.85"/>
    <n v="12312042.672999999"/>
    <m/>
    <n v="12312042.672999999"/>
    <n v="21684636.079999998"/>
    <n v="22537035.673"/>
    <m/>
    <m/>
    <m/>
    <m/>
    <n v="0"/>
    <m/>
    <m/>
    <n v="0"/>
    <m/>
    <m/>
    <m/>
    <m/>
    <m/>
    <m/>
    <n v="21684636.079999998"/>
    <n v="22537035.673"/>
  </r>
  <r>
    <x v="4"/>
    <x v="0"/>
    <s v="Georgia Northwestern Technical College"/>
    <m/>
    <n v="139384"/>
    <x v="9"/>
    <n v="15792914.119999999"/>
    <n v="15963610"/>
    <m/>
    <m/>
    <m/>
    <m/>
    <n v="13856968.800000001"/>
    <m/>
    <n v="13856968.800000001"/>
    <n v="13579829.424000001"/>
    <m/>
    <n v="13579829.424000001"/>
    <n v="29649882.920000002"/>
    <n v="29543439.424000002"/>
    <m/>
    <m/>
    <m/>
    <m/>
    <n v="0"/>
    <m/>
    <m/>
    <n v="0"/>
    <m/>
    <m/>
    <m/>
    <m/>
    <m/>
    <m/>
    <n v="29649882.920000002"/>
    <n v="29543439.424000002"/>
  </r>
  <r>
    <x v="4"/>
    <x v="0"/>
    <s v="Georgia Piedmont Technical College"/>
    <m/>
    <n v="244446"/>
    <x v="9"/>
    <n v="13347181.119999999"/>
    <n v="13460035"/>
    <m/>
    <m/>
    <m/>
    <m/>
    <n v="13850937.6"/>
    <m/>
    <n v="13850937.6"/>
    <n v="13573918.847999999"/>
    <m/>
    <n v="13573918.847999999"/>
    <n v="27198118.719999999"/>
    <n v="27033953.847999997"/>
    <m/>
    <m/>
    <m/>
    <m/>
    <n v="0"/>
    <m/>
    <m/>
    <n v="0"/>
    <m/>
    <m/>
    <m/>
    <m/>
    <m/>
    <m/>
    <n v="27198118.719999999"/>
    <n v="27033953.847999997"/>
  </r>
  <r>
    <x v="4"/>
    <x v="0"/>
    <s v="Gwinnett Technical College"/>
    <m/>
    <n v="140012"/>
    <x v="9"/>
    <n v="13105568.52"/>
    <n v="13470295"/>
    <m/>
    <m/>
    <m/>
    <m/>
    <n v="19476570.146600001"/>
    <m/>
    <n v="19476570.146600001"/>
    <n v="19087038.743668001"/>
    <m/>
    <n v="19087038.743668001"/>
    <n v="32582138.6666"/>
    <n v="32557333.743668001"/>
    <m/>
    <m/>
    <m/>
    <m/>
    <n v="0"/>
    <m/>
    <m/>
    <n v="0"/>
    <m/>
    <m/>
    <m/>
    <m/>
    <m/>
    <m/>
    <n v="32582138.6666"/>
    <n v="32557333.743668001"/>
  </r>
  <r>
    <x v="4"/>
    <x v="0"/>
    <s v="Lanier Technical College"/>
    <m/>
    <n v="140243"/>
    <x v="9"/>
    <n v="9374172.25"/>
    <n v="8962781"/>
    <m/>
    <m/>
    <m/>
    <m/>
    <n v="7792371.1799999997"/>
    <m/>
    <n v="7792371.1799999997"/>
    <n v="7636523.7563999994"/>
    <m/>
    <n v="7636523.7563999994"/>
    <n v="17166543.43"/>
    <n v="16599304.7564"/>
    <m/>
    <m/>
    <m/>
    <m/>
    <n v="0"/>
    <m/>
    <m/>
    <n v="0"/>
    <m/>
    <m/>
    <m/>
    <m/>
    <m/>
    <m/>
    <n v="17166543.43"/>
    <n v="16599304.7564"/>
  </r>
  <r>
    <x v="4"/>
    <x v="0"/>
    <s v="Moultrie Technical College"/>
    <m/>
    <n v="140599"/>
    <x v="9"/>
    <n v="7099512.2199999997"/>
    <n v="7302403"/>
    <m/>
    <m/>
    <m/>
    <m/>
    <n v="5650931.1600000001"/>
    <m/>
    <n v="5650931.1600000001"/>
    <n v="5537912.5367999999"/>
    <m/>
    <n v="5537912.5367999999"/>
    <n v="12750443.379999999"/>
    <n v="12840315.536800001"/>
    <m/>
    <m/>
    <m/>
    <m/>
    <n v="0"/>
    <m/>
    <m/>
    <n v="0"/>
    <m/>
    <m/>
    <m/>
    <m/>
    <m/>
    <m/>
    <n v="12750443.379999999"/>
    <n v="12840315.536800001"/>
  </r>
  <r>
    <x v="4"/>
    <x v="0"/>
    <s v="North Georgia Technical College"/>
    <m/>
    <n v="140678"/>
    <x v="9"/>
    <n v="8388504.0099999998"/>
    <n v="8247548"/>
    <m/>
    <m/>
    <m/>
    <m/>
    <n v="8413472.9199999999"/>
    <m/>
    <n v="8413472.9199999999"/>
    <n v="8245203.4616"/>
    <m/>
    <n v="8245203.4616"/>
    <n v="16801976.93"/>
    <n v="16492751.4616"/>
    <m/>
    <m/>
    <m/>
    <m/>
    <n v="0"/>
    <m/>
    <m/>
    <n v="0"/>
    <m/>
    <m/>
    <m/>
    <m/>
    <m/>
    <m/>
    <n v="16801976.93"/>
    <n v="16492751.4616"/>
  </r>
  <r>
    <x v="4"/>
    <x v="0"/>
    <s v="Oconee Fall Line Technical College"/>
    <m/>
    <n v="420431"/>
    <x v="9"/>
    <n v="9397614.3499999996"/>
    <n v="8596523"/>
    <m/>
    <m/>
    <m/>
    <m/>
    <n v="5364539.74"/>
    <m/>
    <n v="5364539.74"/>
    <n v="5257248.9452"/>
    <m/>
    <n v="5257248.9452"/>
    <n v="14762154.09"/>
    <n v="13853771.9452"/>
    <m/>
    <m/>
    <m/>
    <m/>
    <n v="0"/>
    <m/>
    <m/>
    <n v="0"/>
    <m/>
    <m/>
    <m/>
    <m/>
    <m/>
    <m/>
    <n v="14762154.09"/>
    <n v="13853771.9452"/>
  </r>
  <r>
    <x v="4"/>
    <x v="0"/>
    <s v="Ogeechee Technical College"/>
    <m/>
    <n v="366465"/>
    <x v="9"/>
    <n v="7129926.5599999996"/>
    <n v="6853174"/>
    <m/>
    <m/>
    <m/>
    <m/>
    <n v="7549310.6699999999"/>
    <m/>
    <n v="7549310.6699999999"/>
    <n v="7398324.4566000002"/>
    <m/>
    <n v="7398324.4566000002"/>
    <n v="14679237.23"/>
    <n v="14251498.456599999"/>
    <m/>
    <m/>
    <m/>
    <m/>
    <n v="0"/>
    <m/>
    <m/>
    <n v="0"/>
    <m/>
    <m/>
    <m/>
    <m/>
    <m/>
    <m/>
    <n v="14679237.23"/>
    <n v="14251498.456599999"/>
  </r>
  <r>
    <x v="4"/>
    <x v="0"/>
    <s v="Okefenokee Technical College"/>
    <s v="Met the criteria for Technical College or Institute 2 in 2013-14."/>
    <n v="248776"/>
    <x v="9"/>
    <n v="5602735.46"/>
    <n v="5665354"/>
    <m/>
    <m/>
    <m/>
    <m/>
    <n v="3435005.11"/>
    <m/>
    <n v="3435005.11"/>
    <n v="3366305.0077999998"/>
    <m/>
    <n v="3366305.0077999998"/>
    <n v="9037740.5700000003"/>
    <n v="9031659.0077999998"/>
    <m/>
    <m/>
    <m/>
    <m/>
    <n v="0"/>
    <m/>
    <m/>
    <n v="0"/>
    <m/>
    <m/>
    <m/>
    <m/>
    <m/>
    <m/>
    <n v="9037740.5700000003"/>
    <n v="9031659.0077999998"/>
  </r>
  <r>
    <x v="4"/>
    <x v="0"/>
    <s v="Savannah Technical College"/>
    <m/>
    <n v="140942"/>
    <x v="9"/>
    <n v="10917075.93"/>
    <n v="10788342"/>
    <m/>
    <m/>
    <m/>
    <m/>
    <n v="14939108.869999999"/>
    <m/>
    <n v="14939108.869999999"/>
    <n v="14640326.692599999"/>
    <m/>
    <n v="14640326.692599999"/>
    <n v="25856184.799999997"/>
    <n v="25428668.692599997"/>
    <m/>
    <m/>
    <m/>
    <m/>
    <n v="0"/>
    <m/>
    <m/>
    <n v="0"/>
    <m/>
    <m/>
    <m/>
    <m/>
    <m/>
    <m/>
    <n v="25856184.799999997"/>
    <n v="25428668.692599997"/>
  </r>
  <r>
    <x v="4"/>
    <x v="0"/>
    <s v="South Georgia Technical College"/>
    <m/>
    <n v="141006"/>
    <x v="9"/>
    <n v="8072152.6900000004"/>
    <n v="7876309"/>
    <m/>
    <m/>
    <m/>
    <m/>
    <n v="5534094.9299999997"/>
    <m/>
    <n v="5534094.9299999997"/>
    <n v="5423413.0313999997"/>
    <m/>
    <n v="5423413.0313999997"/>
    <n v="13606247.620000001"/>
    <n v="13299722.031399999"/>
    <m/>
    <m/>
    <m/>
    <m/>
    <n v="0"/>
    <m/>
    <m/>
    <n v="0"/>
    <m/>
    <m/>
    <m/>
    <m/>
    <m/>
    <m/>
    <n v="13606247.620000001"/>
    <n v="13299722.031399999"/>
  </r>
  <r>
    <x v="4"/>
    <x v="0"/>
    <s v="Southeastern Technical College"/>
    <m/>
    <n v="368911"/>
    <x v="9"/>
    <n v="8365490"/>
    <n v="7641180"/>
    <m/>
    <m/>
    <m/>
    <m/>
    <n v="4357443.03"/>
    <m/>
    <n v="4357443.03"/>
    <n v="4270294.1694"/>
    <m/>
    <n v="4270294.1694"/>
    <n v="12722933.030000001"/>
    <n v="11911474.169399999"/>
    <m/>
    <m/>
    <m/>
    <m/>
    <n v="0"/>
    <m/>
    <m/>
    <n v="0"/>
    <m/>
    <m/>
    <m/>
    <m/>
    <m/>
    <m/>
    <n v="12722933.030000001"/>
    <n v="11911474.169399999"/>
  </r>
  <r>
    <x v="4"/>
    <x v="0"/>
    <s v="Southern Crescent Technical College"/>
    <m/>
    <n v="139986"/>
    <x v="9"/>
    <n v="11287125.210000001"/>
    <n v="11744413"/>
    <m/>
    <m/>
    <m/>
    <m/>
    <n v="13602782.9"/>
    <m/>
    <n v="13602782.9"/>
    <n v="13330727.242000001"/>
    <m/>
    <n v="13330727.242000001"/>
    <n v="24889908.109999999"/>
    <n v="25075140.241999999"/>
    <m/>
    <m/>
    <m/>
    <m/>
    <n v="0"/>
    <m/>
    <m/>
    <n v="0"/>
    <m/>
    <m/>
    <m/>
    <m/>
    <m/>
    <m/>
    <n v="24889908.109999999"/>
    <n v="25075140.241999999"/>
  </r>
  <r>
    <x v="4"/>
    <x v="0"/>
    <s v="Southwest Georgia Technical College"/>
    <m/>
    <n v="141158"/>
    <x v="9"/>
    <n v="7191219.2599999998"/>
    <n v="6636559"/>
    <m/>
    <m/>
    <m/>
    <m/>
    <n v="3997410.76"/>
    <m/>
    <n v="3997410.76"/>
    <n v="3917462.5447999998"/>
    <m/>
    <n v="3917462.5447999998"/>
    <n v="11188630.02"/>
    <n v="10554021.5448"/>
    <m/>
    <m/>
    <m/>
    <m/>
    <n v="0"/>
    <m/>
    <m/>
    <n v="0"/>
    <m/>
    <m/>
    <m/>
    <m/>
    <m/>
    <m/>
    <n v="11188630.02"/>
    <n v="10554021.5448"/>
  </r>
  <r>
    <x v="4"/>
    <x v="0"/>
    <s v="West Georgia Technical College"/>
    <m/>
    <n v="139278"/>
    <x v="9"/>
    <n v="15886014.68"/>
    <n v="15680863"/>
    <m/>
    <m/>
    <m/>
    <m/>
    <n v="18263018.140000001"/>
    <m/>
    <n v="18263018.140000001"/>
    <n v="17897757.777199998"/>
    <m/>
    <n v="17897757.777199998"/>
    <n v="34149032.82"/>
    <n v="33578620.777199998"/>
    <m/>
    <m/>
    <m/>
    <m/>
    <n v="0"/>
    <m/>
    <m/>
    <n v="0"/>
    <m/>
    <m/>
    <m/>
    <m/>
    <m/>
    <m/>
    <n v="34149032.82"/>
    <n v="33578620.777199998"/>
  </r>
  <r>
    <x v="4"/>
    <x v="0"/>
    <s v="Wiregrass Georgia Technical College"/>
    <m/>
    <n v="141255"/>
    <x v="9"/>
    <n v="12353770.9"/>
    <n v="11923344"/>
    <m/>
    <m/>
    <m/>
    <m/>
    <n v="10369850.939999999"/>
    <m/>
    <n v="10369850.939999999"/>
    <n v="10162453.9212"/>
    <m/>
    <n v="10162453.9212"/>
    <n v="22723621.84"/>
    <n v="22085797.9212"/>
    <m/>
    <m/>
    <m/>
    <m/>
    <n v="0"/>
    <m/>
    <m/>
    <n v="0"/>
    <m/>
    <m/>
    <m/>
    <m/>
    <m/>
    <m/>
    <n v="22723621.84"/>
    <n v="22085797.9212"/>
  </r>
  <r>
    <x v="4"/>
    <x v="10"/>
    <s v="Education special purpose funds -statewide units"/>
    <m/>
    <m/>
    <x v="12"/>
    <m/>
    <m/>
    <m/>
    <m/>
    <m/>
    <m/>
    <m/>
    <m/>
    <n v="0"/>
    <m/>
    <m/>
    <n v="0"/>
    <n v="0"/>
    <n v="0"/>
    <m/>
    <m/>
    <m/>
    <m/>
    <n v="0"/>
    <m/>
    <m/>
    <n v="0"/>
    <m/>
    <m/>
    <m/>
    <m/>
    <m/>
    <m/>
    <n v="0"/>
    <n v="0"/>
  </r>
  <r>
    <x v="4"/>
    <x v="42"/>
    <s v="Community or public service units"/>
    <m/>
    <m/>
    <x v="12"/>
    <m/>
    <m/>
    <m/>
    <m/>
    <m/>
    <m/>
    <m/>
    <m/>
    <n v="0"/>
    <m/>
    <m/>
    <n v="0"/>
    <n v="0"/>
    <n v="0"/>
    <m/>
    <m/>
    <m/>
    <m/>
    <n v="0"/>
    <m/>
    <m/>
    <n v="0"/>
    <m/>
    <m/>
    <m/>
    <m/>
    <m/>
    <m/>
    <n v="0"/>
    <n v="0"/>
  </r>
  <r>
    <x v="4"/>
    <x v="13"/>
    <s v="Education special purpose funds -all other"/>
    <m/>
    <s v=" "/>
    <x v="12"/>
    <m/>
    <m/>
    <m/>
    <m/>
    <m/>
    <m/>
    <m/>
    <m/>
    <n v="0"/>
    <m/>
    <m/>
    <n v="0"/>
    <n v="0"/>
    <n v="0"/>
    <m/>
    <m/>
    <m/>
    <m/>
    <n v="0"/>
    <m/>
    <m/>
    <n v="0"/>
    <m/>
    <m/>
    <m/>
    <m/>
    <m/>
    <m/>
    <n v="0"/>
    <n v="0"/>
  </r>
  <r>
    <x v="4"/>
    <x v="13"/>
    <s v="TCSG Technical Divisions at USG Schools"/>
    <m/>
    <m/>
    <x v="12"/>
    <m/>
    <m/>
    <n v="1071185"/>
    <n v="1044405"/>
    <m/>
    <m/>
    <m/>
    <m/>
    <n v="0"/>
    <m/>
    <m/>
    <n v="0"/>
    <n v="1071185"/>
    <n v="1044405"/>
    <m/>
    <m/>
    <m/>
    <m/>
    <n v="0"/>
    <m/>
    <m/>
    <n v="0"/>
    <m/>
    <m/>
    <m/>
    <m/>
    <m/>
    <m/>
    <n v="1071185"/>
    <n v="1044405"/>
  </r>
  <r>
    <x v="4"/>
    <x v="14"/>
    <s v="Statewide System Operations"/>
    <m/>
    <m/>
    <x v="12"/>
    <m/>
    <m/>
    <m/>
    <m/>
    <m/>
    <m/>
    <m/>
    <m/>
    <n v="0"/>
    <m/>
    <m/>
    <n v="0"/>
    <n v="0"/>
    <n v="0"/>
    <m/>
    <m/>
    <m/>
    <m/>
    <n v="0"/>
    <m/>
    <m/>
    <n v="0"/>
    <m/>
    <m/>
    <m/>
    <m/>
    <m/>
    <m/>
    <n v="0"/>
    <n v="0"/>
  </r>
  <r>
    <x v="4"/>
    <x v="16"/>
    <s v="Two-year system(s), if any"/>
    <m/>
    <m/>
    <x v="12"/>
    <m/>
    <m/>
    <m/>
    <m/>
    <m/>
    <m/>
    <m/>
    <m/>
    <n v="0"/>
    <m/>
    <m/>
    <n v="0"/>
    <n v="0"/>
    <n v="0"/>
    <m/>
    <m/>
    <m/>
    <m/>
    <n v="0"/>
    <m/>
    <m/>
    <n v="0"/>
    <m/>
    <m/>
    <m/>
    <m/>
    <m/>
    <m/>
    <n v="0"/>
    <n v="0"/>
  </r>
  <r>
    <x v="4"/>
    <x v="16"/>
    <s v="TCSG Oversight Unit"/>
    <m/>
    <m/>
    <x v="12"/>
    <m/>
    <m/>
    <m/>
    <m/>
    <m/>
    <m/>
    <m/>
    <m/>
    <n v="0"/>
    <m/>
    <m/>
    <n v="0"/>
    <n v="0"/>
    <n v="0"/>
    <n v="15273286"/>
    <n v="18309337"/>
    <m/>
    <m/>
    <n v="0"/>
    <m/>
    <m/>
    <n v="0"/>
    <m/>
    <m/>
    <m/>
    <m/>
    <m/>
    <m/>
    <n v="15273286"/>
    <n v="18309337"/>
  </r>
  <r>
    <x v="5"/>
    <x v="0"/>
    <s v="University of Kentucky"/>
    <m/>
    <n v="157085"/>
    <x v="0"/>
    <n v="164067629"/>
    <n v="159483973.78"/>
    <m/>
    <m/>
    <m/>
    <m/>
    <n v="339108099"/>
    <m/>
    <n v="339108099"/>
    <n v="352588858.3788836"/>
    <m/>
    <n v="352588858.3788836"/>
    <n v="503175728"/>
    <n v="512072832.15888357"/>
    <m/>
    <m/>
    <m/>
    <m/>
    <n v="0"/>
    <m/>
    <m/>
    <n v="0"/>
    <m/>
    <m/>
    <m/>
    <m/>
    <m/>
    <m/>
    <n v="503175728"/>
    <n v="512072832.15888357"/>
  </r>
  <r>
    <x v="5"/>
    <x v="1"/>
    <s v="Medical School"/>
    <m/>
    <n v="157085"/>
    <x v="0"/>
    <m/>
    <m/>
    <m/>
    <m/>
    <m/>
    <m/>
    <m/>
    <m/>
    <n v="0"/>
    <m/>
    <m/>
    <n v="0"/>
    <n v="0"/>
    <n v="0"/>
    <m/>
    <m/>
    <m/>
    <m/>
    <n v="0"/>
    <m/>
    <m/>
    <n v="0"/>
    <n v="45657300"/>
    <n v="46080300"/>
    <n v="25439401"/>
    <m/>
    <n v="27404441.621116377"/>
    <m/>
    <n v="71096701"/>
    <n v="73484741.62111637"/>
  </r>
  <r>
    <x v="5"/>
    <x v="3"/>
    <s v="Public Service Units"/>
    <m/>
    <n v="157085"/>
    <x v="0"/>
    <m/>
    <m/>
    <m/>
    <m/>
    <m/>
    <m/>
    <m/>
    <m/>
    <n v="0"/>
    <m/>
    <m/>
    <n v="0"/>
    <n v="0"/>
    <n v="0"/>
    <m/>
    <m/>
    <m/>
    <m/>
    <n v="0"/>
    <m/>
    <m/>
    <n v="0"/>
    <m/>
    <m/>
    <m/>
    <m/>
    <m/>
    <m/>
    <n v="0"/>
    <n v="0"/>
  </r>
  <r>
    <x v="5"/>
    <x v="3"/>
    <s v="Livestock Disease Diagnostic Laboratory"/>
    <m/>
    <n v="157085"/>
    <x v="0"/>
    <m/>
    <m/>
    <n v="3815400"/>
    <n v="3938800"/>
    <m/>
    <m/>
    <m/>
    <m/>
    <n v="0"/>
    <m/>
    <m/>
    <n v="0"/>
    <n v="3815400"/>
    <n v="3938800"/>
    <m/>
    <m/>
    <m/>
    <m/>
    <n v="0"/>
    <m/>
    <m/>
    <n v="0"/>
    <m/>
    <m/>
    <m/>
    <m/>
    <m/>
    <m/>
    <n v="3815400"/>
    <n v="3938800"/>
  </r>
  <r>
    <x v="5"/>
    <x v="3"/>
    <s v="Agriculture Public Service"/>
    <m/>
    <n v="157085"/>
    <x v="0"/>
    <m/>
    <m/>
    <n v="1613900"/>
    <n v="1740300"/>
    <m/>
    <m/>
    <m/>
    <m/>
    <n v="0"/>
    <m/>
    <m/>
    <n v="0"/>
    <n v="1613900"/>
    <n v="1740300"/>
    <m/>
    <m/>
    <m/>
    <m/>
    <n v="0"/>
    <m/>
    <m/>
    <n v="0"/>
    <m/>
    <m/>
    <m/>
    <m/>
    <m/>
    <m/>
    <n v="1613900"/>
    <n v="1740300"/>
  </r>
  <r>
    <x v="5"/>
    <x v="3"/>
    <s v="Kentucky Geological Survey"/>
    <m/>
    <n v="157085"/>
    <x v="0"/>
    <m/>
    <m/>
    <n v="3910800"/>
    <n v="4028700"/>
    <m/>
    <m/>
    <m/>
    <m/>
    <n v="0"/>
    <m/>
    <m/>
    <n v="0"/>
    <n v="3910800"/>
    <n v="4028700"/>
    <m/>
    <m/>
    <m/>
    <m/>
    <n v="0"/>
    <m/>
    <m/>
    <n v="0"/>
    <m/>
    <m/>
    <m/>
    <m/>
    <m/>
    <m/>
    <n v="3910800"/>
    <n v="4028700"/>
  </r>
  <r>
    <x v="5"/>
    <x v="3"/>
    <s v="University Press"/>
    <m/>
    <n v="157085"/>
    <x v="0"/>
    <m/>
    <m/>
    <n v="610600"/>
    <n v="624900"/>
    <m/>
    <m/>
    <m/>
    <m/>
    <n v="0"/>
    <m/>
    <m/>
    <n v="0"/>
    <n v="610600"/>
    <n v="624900"/>
    <m/>
    <m/>
    <m/>
    <m/>
    <n v="0"/>
    <m/>
    <m/>
    <n v="0"/>
    <m/>
    <m/>
    <m/>
    <m/>
    <m/>
    <m/>
    <n v="610600"/>
    <n v="624900"/>
  </r>
  <r>
    <x v="5"/>
    <x v="3"/>
    <s v="Japanese Saturday School"/>
    <m/>
    <n v="157085"/>
    <x v="0"/>
    <m/>
    <m/>
    <n v="272000"/>
    <n v="255600"/>
    <m/>
    <m/>
    <m/>
    <m/>
    <n v="0"/>
    <m/>
    <m/>
    <n v="0"/>
    <n v="272000"/>
    <n v="255600"/>
    <m/>
    <m/>
    <m/>
    <m/>
    <n v="0"/>
    <m/>
    <m/>
    <n v="0"/>
    <m/>
    <m/>
    <m/>
    <m/>
    <m/>
    <m/>
    <n v="272000"/>
    <n v="255600"/>
  </r>
  <r>
    <x v="5"/>
    <x v="3"/>
    <s v="Rural Health Care"/>
    <m/>
    <n v="157085"/>
    <x v="0"/>
    <m/>
    <m/>
    <n v="0"/>
    <n v="0"/>
    <m/>
    <m/>
    <m/>
    <m/>
    <n v="0"/>
    <m/>
    <m/>
    <n v="0"/>
    <n v="0"/>
    <n v="0"/>
    <m/>
    <m/>
    <m/>
    <m/>
    <n v="0"/>
    <m/>
    <m/>
    <n v="0"/>
    <m/>
    <m/>
    <m/>
    <m/>
    <m/>
    <m/>
    <n v="0"/>
    <n v="0"/>
  </r>
  <r>
    <x v="5"/>
    <x v="5"/>
    <s v="Agricultural cooperative extension"/>
    <m/>
    <n v="157085"/>
    <x v="0"/>
    <m/>
    <m/>
    <n v="31136800"/>
    <n v="32762900"/>
    <m/>
    <m/>
    <m/>
    <m/>
    <n v="0"/>
    <m/>
    <m/>
    <n v="0"/>
    <n v="31136800"/>
    <n v="32762900"/>
    <m/>
    <m/>
    <m/>
    <m/>
    <n v="0"/>
    <m/>
    <m/>
    <n v="0"/>
    <m/>
    <m/>
    <m/>
    <m/>
    <m/>
    <m/>
    <n v="31136800"/>
    <n v="32762900"/>
  </r>
  <r>
    <x v="5"/>
    <x v="5"/>
    <s v="Agricultural experiment stations"/>
    <m/>
    <n v="157085"/>
    <x v="0"/>
    <m/>
    <m/>
    <n v="26944800"/>
    <n v="29127500"/>
    <m/>
    <m/>
    <m/>
    <m/>
    <n v="0"/>
    <m/>
    <m/>
    <n v="0"/>
    <n v="26944800"/>
    <n v="29127500"/>
    <m/>
    <m/>
    <m/>
    <m/>
    <n v="0"/>
    <m/>
    <m/>
    <n v="0"/>
    <m/>
    <m/>
    <m/>
    <m/>
    <m/>
    <m/>
    <n v="26944800"/>
    <n v="29127500"/>
  </r>
  <r>
    <x v="5"/>
    <x v="7"/>
    <s v="Research centers/institutes"/>
    <m/>
    <n v="157085"/>
    <x v="0"/>
    <m/>
    <m/>
    <m/>
    <m/>
    <m/>
    <m/>
    <m/>
    <m/>
    <n v="0"/>
    <m/>
    <m/>
    <n v="0"/>
    <n v="0"/>
    <n v="0"/>
    <m/>
    <m/>
    <m/>
    <m/>
    <n v="0"/>
    <m/>
    <m/>
    <n v="0"/>
    <m/>
    <m/>
    <m/>
    <m/>
    <m/>
    <m/>
    <n v="0"/>
    <n v="0"/>
  </r>
  <r>
    <x v="5"/>
    <x v="7"/>
    <s v="Center for Applied Energy Research"/>
    <m/>
    <n v="157085"/>
    <x v="0"/>
    <m/>
    <m/>
    <n v="4502500"/>
    <n v="4524500"/>
    <m/>
    <m/>
    <m/>
    <m/>
    <n v="0"/>
    <m/>
    <m/>
    <n v="0"/>
    <n v="4502500"/>
    <n v="4524500"/>
    <m/>
    <m/>
    <m/>
    <m/>
    <n v="0"/>
    <m/>
    <m/>
    <n v="0"/>
    <m/>
    <m/>
    <m/>
    <m/>
    <m/>
    <m/>
    <n v="4502500"/>
    <n v="4524500"/>
  </r>
  <r>
    <x v="5"/>
    <x v="7"/>
    <s v="KY Cancer Registry"/>
    <m/>
    <n v="157085"/>
    <x v="0"/>
    <m/>
    <m/>
    <n v="785171"/>
    <n v="710526.22"/>
    <m/>
    <m/>
    <m/>
    <m/>
    <n v="0"/>
    <m/>
    <m/>
    <n v="0"/>
    <n v="785171"/>
    <n v="710526.22"/>
    <m/>
    <m/>
    <m/>
    <m/>
    <n v="0"/>
    <m/>
    <m/>
    <n v="0"/>
    <m/>
    <m/>
    <m/>
    <m/>
    <m/>
    <m/>
    <n v="785171"/>
    <n v="710526.22"/>
  </r>
  <r>
    <x v="5"/>
    <x v="7"/>
    <s v="Rural Health Care"/>
    <m/>
    <n v="157085"/>
    <x v="0"/>
    <m/>
    <m/>
    <n v="552400"/>
    <n v="591300"/>
    <m/>
    <m/>
    <m/>
    <m/>
    <n v="0"/>
    <m/>
    <m/>
    <n v="0"/>
    <n v="552400"/>
    <n v="591300"/>
    <m/>
    <m/>
    <m/>
    <m/>
    <n v="0"/>
    <m/>
    <m/>
    <n v="0"/>
    <m/>
    <m/>
    <m/>
    <m/>
    <m/>
    <m/>
    <n v="552400"/>
    <n v="591300"/>
  </r>
  <r>
    <x v="5"/>
    <x v="0"/>
    <s v="University of Louisville"/>
    <m/>
    <n v="157289"/>
    <x v="0"/>
    <n v="125068000"/>
    <n v="128746600"/>
    <m/>
    <m/>
    <m/>
    <m/>
    <n v="220459419.02840909"/>
    <n v="2055848"/>
    <n v="222515267.02840909"/>
    <n v="220874185.66651899"/>
    <n v="2992692"/>
    <n v="223866877.66651899"/>
    <n v="345527419.02840912"/>
    <n v="349620785.66651899"/>
    <m/>
    <m/>
    <m/>
    <m/>
    <n v="0"/>
    <m/>
    <m/>
    <n v="0"/>
    <m/>
    <m/>
    <m/>
    <m/>
    <m/>
    <m/>
    <n v="345527419.02840912"/>
    <n v="349620785.66651899"/>
  </r>
  <r>
    <x v="5"/>
    <x v="1"/>
    <s v="Medical School"/>
    <m/>
    <n v="157289"/>
    <x v="0"/>
    <m/>
    <m/>
    <m/>
    <m/>
    <m/>
    <m/>
    <m/>
    <m/>
    <n v="0"/>
    <m/>
    <m/>
    <n v="0"/>
    <n v="0"/>
    <n v="0"/>
    <m/>
    <m/>
    <m/>
    <m/>
    <n v="0"/>
    <m/>
    <m/>
    <n v="0"/>
    <n v="35562000"/>
    <n v="32437100"/>
    <n v="42210740"/>
    <m/>
    <n v="47158322.333480999"/>
    <m/>
    <n v="77772740"/>
    <n v="79595422.333480999"/>
  </r>
  <r>
    <x v="5"/>
    <x v="3"/>
    <s v="Public Service Units"/>
    <m/>
    <n v="157289"/>
    <x v="0"/>
    <m/>
    <m/>
    <m/>
    <m/>
    <m/>
    <m/>
    <m/>
    <m/>
    <n v="0"/>
    <m/>
    <m/>
    <n v="0"/>
    <n v="0"/>
    <n v="0"/>
    <m/>
    <m/>
    <m/>
    <m/>
    <n v="0"/>
    <m/>
    <m/>
    <n v="0"/>
    <m/>
    <m/>
    <m/>
    <m/>
    <m/>
    <m/>
    <n v="0"/>
    <n v="0"/>
  </r>
  <r>
    <x v="5"/>
    <x v="3"/>
    <s v="Community Cancer Program"/>
    <m/>
    <n v="157289"/>
    <x v="0"/>
    <m/>
    <m/>
    <n v="846100"/>
    <n v="843400"/>
    <m/>
    <m/>
    <m/>
    <m/>
    <n v="0"/>
    <m/>
    <m/>
    <n v="0"/>
    <n v="846100"/>
    <n v="843400"/>
    <m/>
    <m/>
    <m/>
    <m/>
    <n v="0"/>
    <m/>
    <m/>
    <n v="0"/>
    <m/>
    <m/>
    <m/>
    <m/>
    <m/>
    <m/>
    <n v="846100"/>
    <n v="843400"/>
  </r>
  <r>
    <x v="5"/>
    <x v="3"/>
    <s v="State Data Center"/>
    <m/>
    <n v="157289"/>
    <x v="0"/>
    <m/>
    <m/>
    <n v="153100"/>
    <n v="257300"/>
    <m/>
    <m/>
    <m/>
    <m/>
    <n v="0"/>
    <m/>
    <m/>
    <n v="0"/>
    <n v="153100"/>
    <n v="257300"/>
    <m/>
    <m/>
    <m/>
    <m/>
    <n v="0"/>
    <m/>
    <m/>
    <n v="0"/>
    <m/>
    <m/>
    <m/>
    <m/>
    <m/>
    <m/>
    <n v="153100"/>
    <n v="257300"/>
  </r>
  <r>
    <x v="5"/>
    <x v="7"/>
    <s v="Research centers/institutes"/>
    <m/>
    <n v="157289"/>
    <x v="0"/>
    <m/>
    <m/>
    <m/>
    <m/>
    <m/>
    <m/>
    <m/>
    <m/>
    <n v="0"/>
    <m/>
    <m/>
    <n v="0"/>
    <n v="0"/>
    <n v="0"/>
    <m/>
    <m/>
    <m/>
    <m/>
    <n v="0"/>
    <m/>
    <m/>
    <n v="0"/>
    <m/>
    <m/>
    <m/>
    <m/>
    <m/>
    <m/>
    <n v="0"/>
    <n v="0"/>
  </r>
  <r>
    <x v="5"/>
    <x v="0"/>
    <s v="Eastern Kentucky University "/>
    <m/>
    <n v="156620"/>
    <x v="2"/>
    <n v="67673700"/>
    <n v="67673700"/>
    <m/>
    <m/>
    <m/>
    <m/>
    <n v="132387000"/>
    <m/>
    <n v="132387000"/>
    <n v="138387800"/>
    <m/>
    <n v="138387800"/>
    <n v="200060700"/>
    <n v="206061500"/>
    <m/>
    <m/>
    <m/>
    <m/>
    <n v="0"/>
    <m/>
    <m/>
    <n v="0"/>
    <m/>
    <m/>
    <m/>
    <m/>
    <m/>
    <m/>
    <n v="200060700"/>
    <n v="206061500"/>
  </r>
  <r>
    <x v="5"/>
    <x v="0"/>
    <s v="Morehead State University "/>
    <m/>
    <n v="157386"/>
    <x v="2"/>
    <n v="39892600"/>
    <n v="39892600"/>
    <m/>
    <m/>
    <m/>
    <m/>
    <n v="69581297"/>
    <n v="686103"/>
    <n v="70267400"/>
    <n v="71170283"/>
    <n v="708517"/>
    <n v="71878800"/>
    <n v="109473897"/>
    <n v="111062883"/>
    <m/>
    <m/>
    <m/>
    <m/>
    <n v="0"/>
    <m/>
    <m/>
    <n v="0"/>
    <m/>
    <m/>
    <m/>
    <m/>
    <m/>
    <m/>
    <n v="109473897"/>
    <n v="111062883"/>
  </r>
  <r>
    <x v="5"/>
    <x v="3"/>
    <s v="Public Service Units"/>
    <m/>
    <n v="157386"/>
    <x v="2"/>
    <m/>
    <m/>
    <m/>
    <m/>
    <m/>
    <m/>
    <m/>
    <m/>
    <n v="0"/>
    <m/>
    <m/>
    <n v="0"/>
    <n v="0"/>
    <n v="0"/>
    <m/>
    <m/>
    <m/>
    <m/>
    <n v="0"/>
    <m/>
    <m/>
    <n v="0"/>
    <m/>
    <m/>
    <m/>
    <m/>
    <m/>
    <m/>
    <n v="0"/>
    <n v="0"/>
  </r>
  <r>
    <x v="5"/>
    <x v="3"/>
    <s v="Appalachian Regional Service"/>
    <m/>
    <n v="157386"/>
    <x v="2"/>
    <m/>
    <m/>
    <n v="982800"/>
    <n v="982800"/>
    <m/>
    <m/>
    <m/>
    <m/>
    <n v="0"/>
    <m/>
    <m/>
    <n v="0"/>
    <n v="982800"/>
    <n v="982800"/>
    <m/>
    <m/>
    <m/>
    <m/>
    <n v="0"/>
    <m/>
    <m/>
    <n v="0"/>
    <m/>
    <m/>
    <m/>
    <m/>
    <m/>
    <m/>
    <n v="982800"/>
    <n v="982800"/>
  </r>
  <r>
    <x v="5"/>
    <x v="7"/>
    <s v="Research centers/institutes"/>
    <m/>
    <n v="157386"/>
    <x v="2"/>
    <m/>
    <m/>
    <m/>
    <m/>
    <m/>
    <m/>
    <m/>
    <m/>
    <n v="0"/>
    <m/>
    <m/>
    <n v="0"/>
    <n v="0"/>
    <n v="0"/>
    <m/>
    <m/>
    <m/>
    <m/>
    <n v="0"/>
    <m/>
    <m/>
    <n v="0"/>
    <m/>
    <m/>
    <m/>
    <m/>
    <m/>
    <m/>
    <n v="0"/>
    <n v="0"/>
  </r>
  <r>
    <x v="5"/>
    <x v="7"/>
    <s v="Institute for Correctional Training/Research"/>
    <m/>
    <n v="157386"/>
    <x v="2"/>
    <m/>
    <m/>
    <n v="141000"/>
    <n v="141000"/>
    <m/>
    <m/>
    <m/>
    <m/>
    <n v="0"/>
    <m/>
    <m/>
    <n v="0"/>
    <n v="141000"/>
    <n v="141000"/>
    <m/>
    <m/>
    <m/>
    <m/>
    <n v="0"/>
    <m/>
    <m/>
    <n v="0"/>
    <m/>
    <m/>
    <m/>
    <m/>
    <m/>
    <m/>
    <n v="141000"/>
    <n v="141000"/>
  </r>
  <r>
    <x v="5"/>
    <x v="0"/>
    <s v="Murray State University "/>
    <m/>
    <n v="157401"/>
    <x v="2"/>
    <n v="45361100"/>
    <n v="45361100"/>
    <m/>
    <m/>
    <m/>
    <m/>
    <n v="101421400"/>
    <m/>
    <n v="101421400"/>
    <n v="106197700"/>
    <m/>
    <n v="106197700"/>
    <n v="146782500"/>
    <n v="151558800"/>
    <m/>
    <m/>
    <m/>
    <m/>
    <n v="0"/>
    <m/>
    <m/>
    <n v="0"/>
    <m/>
    <m/>
    <m/>
    <m/>
    <m/>
    <m/>
    <n v="146782500"/>
    <n v="151558800"/>
  </r>
  <r>
    <x v="5"/>
    <x v="3"/>
    <s v="Community or public service units"/>
    <m/>
    <n v="157401"/>
    <x v="2"/>
    <m/>
    <m/>
    <m/>
    <m/>
    <m/>
    <m/>
    <m/>
    <m/>
    <n v="0"/>
    <m/>
    <m/>
    <n v="0"/>
    <n v="0"/>
    <n v="0"/>
    <m/>
    <m/>
    <m/>
    <m/>
    <n v="0"/>
    <m/>
    <m/>
    <n v="0"/>
    <m/>
    <m/>
    <m/>
    <m/>
    <m/>
    <m/>
    <n v="0"/>
    <n v="0"/>
  </r>
  <r>
    <x v="5"/>
    <x v="3"/>
    <s v="Breathitt Veterinary Clinic"/>
    <m/>
    <n v="157401"/>
    <x v="2"/>
    <m/>
    <m/>
    <n v="2644700"/>
    <n v="2644700"/>
    <m/>
    <m/>
    <m/>
    <m/>
    <n v="0"/>
    <m/>
    <m/>
    <n v="0"/>
    <n v="2644700"/>
    <n v="2644700"/>
    <m/>
    <m/>
    <m/>
    <m/>
    <n v="0"/>
    <m/>
    <m/>
    <n v="0"/>
    <m/>
    <m/>
    <m/>
    <m/>
    <m/>
    <m/>
    <n v="2644700"/>
    <n v="2644700"/>
  </r>
  <r>
    <x v="5"/>
    <x v="0"/>
    <s v="Western Kentucky University "/>
    <m/>
    <n v="157951"/>
    <x v="2"/>
    <n v="69580600"/>
    <n v="69580600"/>
    <m/>
    <m/>
    <m/>
    <m/>
    <n v="173778300"/>
    <n v="2127000"/>
    <n v="175905300"/>
    <n v="180004000"/>
    <n v="2076000"/>
    <n v="182080000"/>
    <n v="243358900"/>
    <n v="249584600"/>
    <m/>
    <m/>
    <m/>
    <m/>
    <n v="0"/>
    <m/>
    <m/>
    <n v="0"/>
    <m/>
    <m/>
    <m/>
    <m/>
    <m/>
    <m/>
    <n v="243358900"/>
    <n v="249584600"/>
  </r>
  <r>
    <x v="5"/>
    <x v="3"/>
    <s v="Community or public service units"/>
    <m/>
    <n v="157951"/>
    <x v="2"/>
    <m/>
    <m/>
    <m/>
    <m/>
    <m/>
    <m/>
    <m/>
    <m/>
    <n v="0"/>
    <m/>
    <m/>
    <n v="0"/>
    <n v="0"/>
    <n v="0"/>
    <m/>
    <m/>
    <m/>
    <m/>
    <n v="0"/>
    <m/>
    <m/>
    <n v="0"/>
    <m/>
    <m/>
    <m/>
    <m/>
    <m/>
    <m/>
    <n v="0"/>
    <n v="0"/>
  </r>
  <r>
    <x v="5"/>
    <x v="3"/>
    <s v="Kentucky Academy for Math and Science"/>
    <m/>
    <n v="157951"/>
    <x v="2"/>
    <m/>
    <m/>
    <n v="2844600"/>
    <n v="2844600"/>
    <m/>
    <m/>
    <m/>
    <m/>
    <n v="0"/>
    <m/>
    <m/>
    <n v="0"/>
    <n v="2844600"/>
    <n v="2844600"/>
    <m/>
    <m/>
    <m/>
    <m/>
    <n v="0"/>
    <m/>
    <m/>
    <n v="0"/>
    <m/>
    <m/>
    <m/>
    <m/>
    <m/>
    <m/>
    <n v="2844600"/>
    <n v="2844600"/>
  </r>
  <r>
    <x v="5"/>
    <x v="0"/>
    <s v="Kentucky State University "/>
    <m/>
    <n v="157058"/>
    <x v="3"/>
    <n v="19176845"/>
    <n v="19176845"/>
    <m/>
    <m/>
    <m/>
    <m/>
    <n v="23476538.410000004"/>
    <m/>
    <n v="23476538.410000004"/>
    <n v="22754362"/>
    <m/>
    <n v="22754362"/>
    <n v="42653383.410000004"/>
    <n v="41931207"/>
    <m/>
    <m/>
    <m/>
    <m/>
    <n v="0"/>
    <m/>
    <m/>
    <n v="0"/>
    <m/>
    <m/>
    <m/>
    <m/>
    <m/>
    <m/>
    <n v="42653383.410000004"/>
    <n v="41931207"/>
  </r>
  <r>
    <x v="5"/>
    <x v="3"/>
    <s v="Public Service Units"/>
    <m/>
    <n v="157058"/>
    <x v="3"/>
    <m/>
    <m/>
    <n v="2117790"/>
    <n v="2125897"/>
    <m/>
    <m/>
    <m/>
    <m/>
    <n v="0"/>
    <m/>
    <m/>
    <n v="0"/>
    <n v="2117790"/>
    <n v="2125897"/>
    <m/>
    <m/>
    <m/>
    <m/>
    <n v="0"/>
    <m/>
    <m/>
    <n v="0"/>
    <m/>
    <m/>
    <m/>
    <m/>
    <m/>
    <m/>
    <n v="2117790"/>
    <n v="2125897"/>
  </r>
  <r>
    <x v="5"/>
    <x v="5"/>
    <s v="Agricultural cooperative extension"/>
    <m/>
    <n v="157058"/>
    <x v="3"/>
    <m/>
    <m/>
    <n v="2242765"/>
    <n v="1449601"/>
    <m/>
    <m/>
    <m/>
    <m/>
    <n v="0"/>
    <m/>
    <m/>
    <n v="0"/>
    <n v="2242765"/>
    <n v="1449601"/>
    <m/>
    <m/>
    <m/>
    <m/>
    <n v="0"/>
    <m/>
    <m/>
    <n v="0"/>
    <m/>
    <m/>
    <m/>
    <m/>
    <m/>
    <m/>
    <n v="2242765"/>
    <n v="1449601"/>
  </r>
  <r>
    <x v="5"/>
    <x v="0"/>
    <s v="Northern Kentucky University "/>
    <s v="Met the criteria for Four-Year 3 in 2012-13 and 2013-14."/>
    <n v="157447"/>
    <x v="3"/>
    <n v="45335100"/>
    <n v="45335100"/>
    <m/>
    <m/>
    <m/>
    <m/>
    <n v="135260774"/>
    <n v="2438326"/>
    <n v="137699100"/>
    <n v="143417271.90000001"/>
    <n v="273328.09999999998"/>
    <n v="143690600"/>
    <n v="180595874"/>
    <n v="188752371.90000001"/>
    <m/>
    <m/>
    <m/>
    <m/>
    <n v="0"/>
    <m/>
    <m/>
    <n v="0"/>
    <m/>
    <m/>
    <m/>
    <m/>
    <m/>
    <m/>
    <n v="180595874"/>
    <n v="188752371.90000001"/>
  </r>
  <r>
    <x v="5"/>
    <x v="3"/>
    <s v="Community or public service units"/>
    <m/>
    <n v="157447"/>
    <x v="3"/>
    <m/>
    <m/>
    <m/>
    <m/>
    <m/>
    <m/>
    <m/>
    <m/>
    <n v="0"/>
    <m/>
    <m/>
    <n v="0"/>
    <n v="0"/>
    <n v="0"/>
    <m/>
    <m/>
    <m/>
    <m/>
    <n v="0"/>
    <m/>
    <m/>
    <n v="0"/>
    <m/>
    <m/>
    <m/>
    <m/>
    <m/>
    <m/>
    <n v="0"/>
    <n v="0"/>
  </r>
  <r>
    <x v="5"/>
    <x v="3"/>
    <s v="Kentucky Center for Mathamatics"/>
    <m/>
    <n v="157447"/>
    <x v="3"/>
    <m/>
    <m/>
    <n v="1500000"/>
    <n v="1500000"/>
    <m/>
    <m/>
    <m/>
    <m/>
    <n v="0"/>
    <m/>
    <m/>
    <n v="0"/>
    <n v="1500000"/>
    <n v="1500000"/>
    <m/>
    <m/>
    <m/>
    <m/>
    <n v="0"/>
    <m/>
    <m/>
    <n v="0"/>
    <m/>
    <m/>
    <m/>
    <m/>
    <m/>
    <m/>
    <n v="1500000"/>
    <n v="1500000"/>
  </r>
  <r>
    <x v="5"/>
    <x v="0"/>
    <s v="Bluegrass Community and Technical College"/>
    <m/>
    <n v="157173"/>
    <x v="6"/>
    <n v="11652328.106205866"/>
    <n v="10160722.34668738"/>
    <m/>
    <m/>
    <m/>
    <m/>
    <n v="38021000"/>
    <m/>
    <n v="38021000"/>
    <n v="35556900"/>
    <m/>
    <n v="35556900"/>
    <n v="49673328.106205866"/>
    <n v="45717622.346687376"/>
    <m/>
    <m/>
    <m/>
    <m/>
    <n v="0"/>
    <m/>
    <m/>
    <n v="0"/>
    <m/>
    <m/>
    <m/>
    <m/>
    <m/>
    <m/>
    <n v="49673328.106205866"/>
    <n v="45717622.346687376"/>
  </r>
  <r>
    <x v="5"/>
    <x v="0"/>
    <s v="Jefferson Community and Technical College "/>
    <m/>
    <n v="156921"/>
    <x v="6"/>
    <n v="17732709.179815341"/>
    <n v="17299245.327378422"/>
    <m/>
    <m/>
    <m/>
    <m/>
    <n v="35324000"/>
    <m/>
    <n v="35324000"/>
    <n v="32895200"/>
    <m/>
    <n v="32895200"/>
    <n v="53056709.179815337"/>
    <n v="50194445.327378422"/>
    <m/>
    <m/>
    <m/>
    <m/>
    <n v="0"/>
    <m/>
    <m/>
    <n v="0"/>
    <m/>
    <m/>
    <m/>
    <m/>
    <m/>
    <m/>
    <n v="53056709.179815337"/>
    <n v="50194445.327378422"/>
  </r>
  <r>
    <x v="5"/>
    <x v="0"/>
    <s v="Ashland Community and Technical College"/>
    <m/>
    <n v="156231"/>
    <x v="7"/>
    <n v="9630843.3648285475"/>
    <n v="9730484.4156947471"/>
    <m/>
    <m/>
    <m/>
    <m/>
    <n v="10619000"/>
    <m/>
    <n v="10619000"/>
    <n v="9763100"/>
    <m/>
    <n v="9763100"/>
    <n v="20249843.364828549"/>
    <n v="19493584.415694747"/>
    <m/>
    <m/>
    <m/>
    <m/>
    <n v="0"/>
    <m/>
    <m/>
    <n v="0"/>
    <m/>
    <m/>
    <m/>
    <m/>
    <m/>
    <m/>
    <n v="20249843.364828549"/>
    <n v="19493584.415694747"/>
  </r>
  <r>
    <x v="5"/>
    <x v="0"/>
    <s v="Big Sandy Community and Technical College "/>
    <m/>
    <n v="157553"/>
    <x v="7"/>
    <n v="11347267.681598017"/>
    <n v="10822324.215202009"/>
    <m/>
    <m/>
    <m/>
    <m/>
    <n v="11162000"/>
    <m/>
    <n v="11162000"/>
    <n v="10835800"/>
    <m/>
    <n v="10835800"/>
    <n v="22509267.681598015"/>
    <n v="21658124.215202011"/>
    <m/>
    <m/>
    <m/>
    <m/>
    <n v="0"/>
    <m/>
    <m/>
    <n v="0"/>
    <m/>
    <m/>
    <m/>
    <m/>
    <m/>
    <m/>
    <n v="22509267.681598015"/>
    <n v="21658124.215202011"/>
  </r>
  <r>
    <x v="5"/>
    <x v="0"/>
    <s v="Elizabethtown Community and Technical College "/>
    <m/>
    <n v="156648"/>
    <x v="7"/>
    <n v="9432370.3174933195"/>
    <n v="9291743.2571574207"/>
    <m/>
    <m/>
    <m/>
    <m/>
    <n v="15900000"/>
    <m/>
    <n v="15900000"/>
    <n v="15751300"/>
    <m/>
    <n v="15751300"/>
    <n v="25332370.31749332"/>
    <n v="25043043.257157423"/>
    <m/>
    <m/>
    <m/>
    <m/>
    <n v="0"/>
    <m/>
    <m/>
    <n v="0"/>
    <m/>
    <m/>
    <m/>
    <m/>
    <m/>
    <m/>
    <n v="25332370.31749332"/>
    <n v="25043043.257157423"/>
  </r>
  <r>
    <x v="5"/>
    <x v="0"/>
    <s v="Hazard Community and Technical College"/>
    <m/>
    <n v="156790"/>
    <x v="7"/>
    <n v="13888212.74439593"/>
    <n v="13823075.141570687"/>
    <m/>
    <m/>
    <m/>
    <m/>
    <n v="8875000"/>
    <m/>
    <n v="8875000"/>
    <n v="8146100"/>
    <m/>
    <n v="8146100"/>
    <n v="22763212.74439593"/>
    <n v="21969175.141570687"/>
    <m/>
    <m/>
    <m/>
    <m/>
    <n v="0"/>
    <m/>
    <m/>
    <n v="0"/>
    <m/>
    <m/>
    <m/>
    <m/>
    <m/>
    <m/>
    <n v="22763212.74439593"/>
    <n v="21969175.141570687"/>
  </r>
  <r>
    <x v="5"/>
    <x v="0"/>
    <s v="Hopkinsville Community College "/>
    <m/>
    <n v="156860"/>
    <x v="7"/>
    <n v="5036559.8616982773"/>
    <n v="4884786.9398157699"/>
    <m/>
    <m/>
    <m/>
    <m/>
    <n v="9600000"/>
    <m/>
    <n v="9600000"/>
    <n v="9971600"/>
    <m/>
    <n v="9971600"/>
    <n v="14636559.861698277"/>
    <n v="14856386.939815771"/>
    <m/>
    <m/>
    <m/>
    <m/>
    <n v="0"/>
    <m/>
    <m/>
    <n v="0"/>
    <m/>
    <m/>
    <m/>
    <m/>
    <m/>
    <m/>
    <n v="14636559.861698277"/>
    <n v="14856386.939815771"/>
  </r>
  <r>
    <x v="5"/>
    <x v="0"/>
    <s v="Madisonville Community College"/>
    <m/>
    <n v="157304"/>
    <x v="7"/>
    <n v="9590413.6700010002"/>
    <n v="9123328.5862349365"/>
    <m/>
    <m/>
    <m/>
    <m/>
    <n v="8889000"/>
    <m/>
    <n v="8889000"/>
    <n v="8080000"/>
    <m/>
    <n v="8080000"/>
    <n v="18479413.670001"/>
    <n v="17203328.586234935"/>
    <m/>
    <m/>
    <m/>
    <m/>
    <n v="0"/>
    <m/>
    <m/>
    <n v="0"/>
    <m/>
    <m/>
    <m/>
    <m/>
    <m/>
    <m/>
    <n v="18479413.670001"/>
    <n v="17203328.586234935"/>
  </r>
  <r>
    <x v="5"/>
    <x v="0"/>
    <s v="Maysville Community and Technical College "/>
    <m/>
    <n v="157331"/>
    <x v="7"/>
    <n v="7627735.7574637495"/>
    <n v="7496039.2790999673"/>
    <m/>
    <m/>
    <m/>
    <m/>
    <n v="12451000"/>
    <m/>
    <n v="12451000"/>
    <n v="12185000"/>
    <m/>
    <n v="12185000"/>
    <n v="20078735.757463749"/>
    <n v="19681039.279099967"/>
    <m/>
    <m/>
    <m/>
    <m/>
    <n v="0"/>
    <m/>
    <m/>
    <n v="0"/>
    <m/>
    <m/>
    <m/>
    <m/>
    <m/>
    <m/>
    <n v="20078735.757463749"/>
    <n v="19681039.279099967"/>
  </r>
  <r>
    <x v="5"/>
    <x v="0"/>
    <s v="Owensboro Community and Technical College "/>
    <m/>
    <n v="247940"/>
    <x v="7"/>
    <n v="7187909.6834307453"/>
    <n v="7127354.5624233894"/>
    <m/>
    <m/>
    <m/>
    <m/>
    <n v="11793000"/>
    <m/>
    <n v="11793000"/>
    <n v="11084700"/>
    <m/>
    <n v="11084700"/>
    <n v="18980909.683430746"/>
    <n v="18212054.562423389"/>
    <m/>
    <m/>
    <m/>
    <m/>
    <n v="0"/>
    <m/>
    <m/>
    <n v="0"/>
    <m/>
    <m/>
    <m/>
    <m/>
    <m/>
    <m/>
    <n v="18980909.683430746"/>
    <n v="18212054.562423389"/>
  </r>
  <r>
    <x v="5"/>
    <x v="0"/>
    <s v="Somerset Community College "/>
    <m/>
    <n v="157711"/>
    <x v="7"/>
    <n v="11931660.543196186"/>
    <n v="11760598.263529012"/>
    <m/>
    <m/>
    <m/>
    <m/>
    <n v="20260000"/>
    <m/>
    <n v="20260000"/>
    <n v="19188700"/>
    <m/>
    <n v="19188700"/>
    <n v="32191660.543196186"/>
    <n v="30949298.26352901"/>
    <m/>
    <m/>
    <m/>
    <m/>
    <n v="0"/>
    <m/>
    <m/>
    <n v="0"/>
    <m/>
    <m/>
    <m/>
    <m/>
    <m/>
    <m/>
    <n v="32191660.543196186"/>
    <n v="30949298.26352901"/>
  </r>
  <r>
    <x v="5"/>
    <x v="0"/>
    <s v="Southeast Kentucky Community and Technical College"/>
    <m/>
    <n v="157739"/>
    <x v="7"/>
    <n v="12817438.402599704"/>
    <n v="14464624.62274112"/>
    <m/>
    <m/>
    <m/>
    <m/>
    <n v="9712000"/>
    <m/>
    <n v="9712000"/>
    <n v="8594900"/>
    <m/>
    <n v="8594900"/>
    <n v="22529438.402599704"/>
    <n v="23059524.622741118"/>
    <m/>
    <m/>
    <m/>
    <m/>
    <n v="0"/>
    <m/>
    <m/>
    <n v="0"/>
    <m/>
    <m/>
    <m/>
    <m/>
    <m/>
    <m/>
    <n v="22529438.402599704"/>
    <n v="23059524.622741118"/>
  </r>
  <r>
    <x v="5"/>
    <x v="0"/>
    <s v="West Kentucky Community and Technical College"/>
    <m/>
    <n v="157483"/>
    <x v="7"/>
    <n v="10829032.502444921"/>
    <n v="10652386.578152116"/>
    <m/>
    <m/>
    <m/>
    <m/>
    <n v="17524000"/>
    <m/>
    <n v="17524000"/>
    <n v="15820200"/>
    <m/>
    <n v="15820200"/>
    <n v="28353032.502444923"/>
    <n v="26472586.578152116"/>
    <m/>
    <m/>
    <m/>
    <m/>
    <n v="0"/>
    <m/>
    <m/>
    <n v="0"/>
    <m/>
    <m/>
    <m/>
    <m/>
    <m/>
    <m/>
    <n v="28353032.502444923"/>
    <n v="26472586.578152116"/>
  </r>
  <r>
    <x v="5"/>
    <x v="0"/>
    <s v="Henderson Community College "/>
    <m/>
    <n v="156851"/>
    <x v="8"/>
    <n v="5161524.3729834203"/>
    <n v="4982764.4273456559"/>
    <m/>
    <m/>
    <m/>
    <m/>
    <n v="5437000"/>
    <m/>
    <n v="5437000"/>
    <n v="5074000"/>
    <m/>
    <n v="5074000"/>
    <n v="10598524.37298342"/>
    <n v="10056764.427345656"/>
    <m/>
    <m/>
    <m/>
    <m/>
    <n v="0"/>
    <m/>
    <m/>
    <n v="0"/>
    <m/>
    <m/>
    <m/>
    <m/>
    <m/>
    <m/>
    <n v="10598524.37298342"/>
    <n v="10056764.427345656"/>
  </r>
  <r>
    <x v="5"/>
    <x v="0"/>
    <s v="Gateway Community and Technical College"/>
    <m/>
    <n v="157438"/>
    <x v="9"/>
    <n v="7851936.7924165074"/>
    <n v="7830457.2579098754"/>
    <m/>
    <m/>
    <m/>
    <m/>
    <n v="10763000"/>
    <m/>
    <n v="10763000"/>
    <n v="9902900"/>
    <m/>
    <n v="9902900"/>
    <n v="18614936.792416506"/>
    <n v="17733357.257909875"/>
    <m/>
    <m/>
    <m/>
    <m/>
    <n v="0"/>
    <m/>
    <m/>
    <n v="0"/>
    <m/>
    <m/>
    <m/>
    <m/>
    <m/>
    <m/>
    <n v="18614936.792416506"/>
    <n v="17733357.257909875"/>
  </r>
  <r>
    <x v="5"/>
    <x v="0"/>
    <s v="Southcentral Kentucky Community and Technical College"/>
    <m/>
    <n v="156338"/>
    <x v="9"/>
    <n v="7380257.0194284655"/>
    <n v="7409864.7790574897"/>
    <m/>
    <m/>
    <m/>
    <m/>
    <n v="11688000"/>
    <m/>
    <n v="11688000"/>
    <n v="9953100"/>
    <m/>
    <n v="9953100"/>
    <n v="19068257.019428466"/>
    <n v="17362964.779057488"/>
    <m/>
    <m/>
    <m/>
    <m/>
    <n v="0"/>
    <m/>
    <m/>
    <n v="0"/>
    <m/>
    <m/>
    <m/>
    <m/>
    <m/>
    <m/>
    <n v="19068257.019428466"/>
    <n v="17362964.779057488"/>
  </r>
  <r>
    <x v="5"/>
    <x v="42"/>
    <s v="Education special purpose funds -statewide units"/>
    <m/>
    <m/>
    <x v="12"/>
    <m/>
    <m/>
    <m/>
    <m/>
    <m/>
    <m/>
    <m/>
    <m/>
    <n v="0"/>
    <m/>
    <m/>
    <n v="0"/>
    <n v="0"/>
    <n v="0"/>
    <m/>
    <m/>
    <m/>
    <m/>
    <n v="0"/>
    <m/>
    <m/>
    <n v="0"/>
    <m/>
    <m/>
    <m/>
    <m/>
    <m/>
    <m/>
    <n v="0"/>
    <n v="0"/>
  </r>
  <r>
    <x v="5"/>
    <x v="42"/>
    <s v="Public Service Units"/>
    <m/>
    <m/>
    <x v="12"/>
    <m/>
    <m/>
    <m/>
    <m/>
    <m/>
    <m/>
    <m/>
    <m/>
    <n v="0"/>
    <m/>
    <m/>
    <n v="0"/>
    <n v="0"/>
    <n v="0"/>
    <m/>
    <m/>
    <m/>
    <m/>
    <n v="0"/>
    <m/>
    <m/>
    <n v="0"/>
    <m/>
    <m/>
    <m/>
    <m/>
    <m/>
    <m/>
    <n v="0"/>
    <n v="0"/>
  </r>
  <r>
    <x v="5"/>
    <x v="42"/>
    <s v="KY WINS"/>
    <m/>
    <m/>
    <x v="12"/>
    <m/>
    <m/>
    <n v="5054800"/>
    <n v="5054800"/>
    <m/>
    <m/>
    <m/>
    <m/>
    <n v="0"/>
    <m/>
    <m/>
    <n v="0"/>
    <n v="5054800"/>
    <n v="5054800"/>
    <m/>
    <m/>
    <m/>
    <m/>
    <n v="0"/>
    <m/>
    <m/>
    <n v="0"/>
    <m/>
    <m/>
    <m/>
    <m/>
    <m/>
    <m/>
    <n v="5054800"/>
    <n v="5054800"/>
  </r>
  <r>
    <x v="5"/>
    <x v="42"/>
    <s v="Kentucky Coal Academy"/>
    <m/>
    <m/>
    <x v="12"/>
    <m/>
    <m/>
    <m/>
    <m/>
    <m/>
    <m/>
    <m/>
    <m/>
    <n v="0"/>
    <m/>
    <m/>
    <n v="0"/>
    <n v="0"/>
    <n v="0"/>
    <m/>
    <m/>
    <m/>
    <m/>
    <n v="0"/>
    <m/>
    <m/>
    <n v="0"/>
    <m/>
    <m/>
    <m/>
    <m/>
    <m/>
    <m/>
    <n v="0"/>
    <n v="0"/>
  </r>
  <r>
    <x v="5"/>
    <x v="42"/>
    <s v="University Health Insurance Premium Supplement"/>
    <m/>
    <m/>
    <x v="12"/>
    <m/>
    <m/>
    <n v="842600"/>
    <n v="842600"/>
    <m/>
    <m/>
    <m/>
    <m/>
    <n v="0"/>
    <m/>
    <m/>
    <n v="0"/>
    <n v="842600"/>
    <n v="842600"/>
    <m/>
    <m/>
    <m/>
    <m/>
    <n v="0"/>
    <m/>
    <m/>
    <n v="0"/>
    <m/>
    <m/>
    <m/>
    <m/>
    <m/>
    <m/>
    <n v="842600"/>
    <n v="842600"/>
  </r>
  <r>
    <x v="5"/>
    <x v="42"/>
    <s v="Kentucky Board of Emergency Medical Services"/>
    <m/>
    <m/>
    <x v="12"/>
    <m/>
    <m/>
    <n v="2025800"/>
    <n v="2025800"/>
    <m/>
    <m/>
    <m/>
    <m/>
    <n v="0"/>
    <m/>
    <m/>
    <n v="0"/>
    <n v="2025800"/>
    <n v="2025800"/>
    <m/>
    <m/>
    <m/>
    <m/>
    <n v="0"/>
    <m/>
    <m/>
    <n v="0"/>
    <m/>
    <m/>
    <m/>
    <m/>
    <m/>
    <m/>
    <n v="2025800"/>
    <n v="2025800"/>
  </r>
  <r>
    <x v="5"/>
    <x v="42"/>
    <s v="Fire Commission"/>
    <m/>
    <m/>
    <x v="12"/>
    <m/>
    <m/>
    <n v="2105300"/>
    <n v="2105400"/>
    <m/>
    <m/>
    <m/>
    <m/>
    <n v="0"/>
    <m/>
    <m/>
    <n v="0"/>
    <n v="2105300"/>
    <n v="2105400"/>
    <m/>
    <m/>
    <m/>
    <m/>
    <n v="0"/>
    <m/>
    <m/>
    <n v="0"/>
    <m/>
    <m/>
    <m/>
    <m/>
    <m/>
    <m/>
    <n v="2105300"/>
    <n v="2105400"/>
  </r>
  <r>
    <x v="5"/>
    <x v="13"/>
    <s v="Education special purpose funds — all other"/>
    <m/>
    <m/>
    <x v="12"/>
    <m/>
    <m/>
    <m/>
    <m/>
    <m/>
    <m/>
    <m/>
    <m/>
    <n v="0"/>
    <m/>
    <m/>
    <n v="0"/>
    <n v="0"/>
    <n v="0"/>
    <m/>
    <m/>
    <m/>
    <m/>
    <n v="0"/>
    <m/>
    <m/>
    <n v="0"/>
    <m/>
    <m/>
    <m/>
    <m/>
    <m/>
    <m/>
    <n v="0"/>
    <n v="0"/>
  </r>
  <r>
    <x v="5"/>
    <x v="13"/>
    <s v="(PEPP) Health Programs"/>
    <m/>
    <m/>
    <x v="12"/>
    <m/>
    <m/>
    <n v="265100"/>
    <n v="265100"/>
    <m/>
    <m/>
    <m/>
    <m/>
    <n v="0"/>
    <m/>
    <m/>
    <n v="0"/>
    <n v="265100"/>
    <n v="265100"/>
    <m/>
    <m/>
    <m/>
    <m/>
    <n v="0"/>
    <m/>
    <m/>
    <n v="0"/>
    <m/>
    <m/>
    <m/>
    <m/>
    <m/>
    <m/>
    <n v="265100"/>
    <n v="265100"/>
  </r>
  <r>
    <x v="5"/>
    <x v="13"/>
    <s v="Minority Student Col Prep"/>
    <m/>
    <m/>
    <x v="12"/>
    <m/>
    <m/>
    <n v="185200"/>
    <n v="185200"/>
    <m/>
    <m/>
    <m/>
    <m/>
    <n v="0"/>
    <m/>
    <m/>
    <n v="0"/>
    <n v="185200"/>
    <n v="185200"/>
    <m/>
    <m/>
    <m/>
    <m/>
    <n v="0"/>
    <m/>
    <m/>
    <n v="0"/>
    <m/>
    <m/>
    <m/>
    <m/>
    <m/>
    <m/>
    <n v="185200"/>
    <n v="185200"/>
  </r>
  <r>
    <x v="5"/>
    <x v="13"/>
    <s v="Research Challenge Trust Fund-Lung Cancer Research"/>
    <m/>
    <m/>
    <x v="12"/>
    <m/>
    <m/>
    <n v="4247800"/>
    <n v="4187800"/>
    <m/>
    <m/>
    <m/>
    <m/>
    <n v="0"/>
    <m/>
    <m/>
    <n v="0"/>
    <n v="4247800"/>
    <n v="4187800"/>
    <m/>
    <m/>
    <m/>
    <m/>
    <n v="0"/>
    <m/>
    <m/>
    <n v="0"/>
    <m/>
    <m/>
    <m/>
    <m/>
    <m/>
    <m/>
    <n v="4247800"/>
    <n v="4187800"/>
  </r>
  <r>
    <x v="5"/>
    <x v="13"/>
    <s v="KY Postsecondary Education Network"/>
    <m/>
    <m/>
    <x v="12"/>
    <m/>
    <m/>
    <n v="2413205"/>
    <n v="2408600"/>
    <m/>
    <m/>
    <m/>
    <m/>
    <n v="0"/>
    <m/>
    <m/>
    <n v="0"/>
    <n v="2413205"/>
    <n v="2408600"/>
    <m/>
    <m/>
    <m/>
    <m/>
    <n v="0"/>
    <m/>
    <m/>
    <n v="0"/>
    <m/>
    <m/>
    <m/>
    <m/>
    <m/>
    <m/>
    <n v="2413205"/>
    <n v="2408600"/>
  </r>
  <r>
    <x v="5"/>
    <x v="13"/>
    <s v="Commonweatlh Virtual Univ"/>
    <m/>
    <m/>
    <x v="12"/>
    <m/>
    <m/>
    <n v="1880200"/>
    <n v="1880200"/>
    <m/>
    <m/>
    <m/>
    <m/>
    <n v="0"/>
    <m/>
    <m/>
    <n v="0"/>
    <n v="1880200"/>
    <n v="1880200"/>
    <m/>
    <m/>
    <m/>
    <m/>
    <n v="0"/>
    <m/>
    <m/>
    <n v="0"/>
    <m/>
    <m/>
    <m/>
    <m/>
    <m/>
    <m/>
    <n v="1880200"/>
    <n v="1880200"/>
  </r>
  <r>
    <x v="5"/>
    <x v="13"/>
    <s v="Adult Education Operations"/>
    <m/>
    <m/>
    <x v="12"/>
    <m/>
    <m/>
    <n v="940000"/>
    <n v="940000"/>
    <m/>
    <m/>
    <m/>
    <m/>
    <n v="0"/>
    <m/>
    <m/>
    <n v="0"/>
    <n v="940000"/>
    <n v="940000"/>
    <m/>
    <m/>
    <m/>
    <m/>
    <n v="0"/>
    <m/>
    <m/>
    <n v="0"/>
    <m/>
    <m/>
    <m/>
    <m/>
    <m/>
    <m/>
    <n v="940000"/>
    <n v="940000"/>
  </r>
  <r>
    <x v="5"/>
    <x v="13"/>
    <s v=" Adult Education and Literacy Funding Program"/>
    <m/>
    <m/>
    <x v="12"/>
    <m/>
    <m/>
    <n v="19548600"/>
    <n v="19548600"/>
    <m/>
    <m/>
    <m/>
    <m/>
    <n v="0"/>
    <m/>
    <m/>
    <n v="0"/>
    <n v="19548600"/>
    <n v="19548600"/>
    <m/>
    <m/>
    <m/>
    <m/>
    <n v="0"/>
    <m/>
    <m/>
    <n v="0"/>
    <m/>
    <m/>
    <m/>
    <m/>
    <m/>
    <m/>
    <n v="19548600"/>
    <n v="19548600"/>
  </r>
  <r>
    <x v="5"/>
    <x v="13"/>
    <s v="State Autism Training Center"/>
    <m/>
    <m/>
    <x v="12"/>
    <m/>
    <m/>
    <m/>
    <m/>
    <m/>
    <m/>
    <m/>
    <m/>
    <n v="0"/>
    <m/>
    <m/>
    <n v="0"/>
    <n v="0"/>
    <n v="0"/>
    <m/>
    <m/>
    <m/>
    <m/>
    <n v="0"/>
    <m/>
    <m/>
    <n v="0"/>
    <m/>
    <m/>
    <m/>
    <m/>
    <m/>
    <m/>
    <n v="0"/>
    <n v="0"/>
  </r>
  <r>
    <x v="5"/>
    <x v="13"/>
    <s v="Science and Technology Trust Fund"/>
    <m/>
    <m/>
    <x v="12"/>
    <m/>
    <m/>
    <n v="5717900"/>
    <n v="5717900"/>
    <m/>
    <m/>
    <m/>
    <m/>
    <n v="0"/>
    <m/>
    <m/>
    <n v="0"/>
    <n v="5717900"/>
    <n v="5717900"/>
    <m/>
    <m/>
    <m/>
    <m/>
    <n v="0"/>
    <m/>
    <m/>
    <n v="0"/>
    <m/>
    <m/>
    <m/>
    <m/>
    <m/>
    <m/>
    <n v="5717900"/>
    <n v="5717900"/>
  </r>
  <r>
    <x v="5"/>
    <x v="13"/>
    <s v="State Autism Traning Center"/>
    <m/>
    <m/>
    <x v="12"/>
    <m/>
    <m/>
    <n v="132400"/>
    <n v="132400"/>
    <m/>
    <m/>
    <m/>
    <m/>
    <n v="0"/>
    <m/>
    <m/>
    <n v="0"/>
    <n v="132400"/>
    <n v="132400"/>
    <m/>
    <m/>
    <m/>
    <m/>
    <n v="0"/>
    <m/>
    <m/>
    <n v="0"/>
    <m/>
    <m/>
    <m/>
    <m/>
    <m/>
    <m/>
    <n v="132400"/>
    <n v="132400"/>
  </r>
  <r>
    <x v="5"/>
    <x v="14"/>
    <s v="Statewide System Operations"/>
    <m/>
    <m/>
    <x v="12"/>
    <m/>
    <m/>
    <m/>
    <m/>
    <m/>
    <m/>
    <m/>
    <m/>
    <n v="0"/>
    <m/>
    <m/>
    <n v="0"/>
    <n v="0"/>
    <n v="0"/>
    <m/>
    <m/>
    <m/>
    <m/>
    <n v="0"/>
    <m/>
    <m/>
    <n v="0"/>
    <m/>
    <m/>
    <m/>
    <m/>
    <m/>
    <m/>
    <n v="0"/>
    <n v="0"/>
  </r>
  <r>
    <x v="5"/>
    <x v="15"/>
    <s v="Colleges and universities"/>
    <m/>
    <m/>
    <x v="12"/>
    <m/>
    <m/>
    <m/>
    <m/>
    <m/>
    <m/>
    <m/>
    <m/>
    <n v="0"/>
    <m/>
    <m/>
    <n v="0"/>
    <n v="0"/>
    <n v="0"/>
    <m/>
    <m/>
    <m/>
    <m/>
    <n v="0"/>
    <m/>
    <m/>
    <n v="0"/>
    <m/>
    <m/>
    <m/>
    <m/>
    <m/>
    <m/>
    <n v="0"/>
    <n v="0"/>
  </r>
  <r>
    <x v="5"/>
    <x v="15"/>
    <s v=" Ky Council on Postsecondary Education"/>
    <m/>
    <m/>
    <x v="12"/>
    <m/>
    <m/>
    <m/>
    <m/>
    <m/>
    <m/>
    <m/>
    <m/>
    <n v="0"/>
    <m/>
    <m/>
    <n v="0"/>
    <n v="0"/>
    <n v="0"/>
    <n v="6618300"/>
    <n v="6618300"/>
    <m/>
    <m/>
    <n v="0"/>
    <m/>
    <m/>
    <n v="0"/>
    <m/>
    <m/>
    <m/>
    <m/>
    <m/>
    <m/>
    <n v="6618300"/>
    <n v="6618300"/>
  </r>
  <r>
    <x v="5"/>
    <x v="16"/>
    <s v="Two-year system(s), if any"/>
    <m/>
    <m/>
    <x v="12"/>
    <m/>
    <m/>
    <m/>
    <m/>
    <m/>
    <m/>
    <m/>
    <m/>
    <n v="0"/>
    <m/>
    <m/>
    <n v="0"/>
    <n v="0"/>
    <n v="0"/>
    <m/>
    <m/>
    <m/>
    <m/>
    <n v="0"/>
    <m/>
    <m/>
    <n v="0"/>
    <m/>
    <m/>
    <m/>
    <m/>
    <m/>
    <m/>
    <n v="0"/>
    <n v="0"/>
  </r>
  <r>
    <x v="5"/>
    <x v="16"/>
    <s v="Ky Community and Technical College System operations"/>
    <m/>
    <m/>
    <x v="12"/>
    <m/>
    <m/>
    <m/>
    <m/>
    <m/>
    <m/>
    <m/>
    <m/>
    <n v="0"/>
    <m/>
    <m/>
    <n v="0"/>
    <n v="0"/>
    <n v="0"/>
    <n v="22329000"/>
    <n v="24567300"/>
    <m/>
    <m/>
    <n v="0"/>
    <m/>
    <m/>
    <n v="0"/>
    <m/>
    <m/>
    <m/>
    <m/>
    <m/>
    <m/>
    <n v="22329000"/>
    <n v="24567300"/>
  </r>
  <r>
    <x v="5"/>
    <x v="17"/>
    <s v="National or regional associations, compacts or consortia"/>
    <m/>
    <m/>
    <x v="12"/>
    <m/>
    <m/>
    <m/>
    <m/>
    <m/>
    <m/>
    <m/>
    <m/>
    <n v="0"/>
    <m/>
    <m/>
    <n v="0"/>
    <n v="0"/>
    <n v="0"/>
    <m/>
    <m/>
    <m/>
    <m/>
    <n v="0"/>
    <m/>
    <m/>
    <n v="0"/>
    <m/>
    <m/>
    <m/>
    <m/>
    <m/>
    <m/>
    <n v="0"/>
    <n v="0"/>
  </r>
  <r>
    <x v="5"/>
    <x v="17"/>
    <s v="SREB (General Operations + Small Grants)"/>
    <m/>
    <m/>
    <x v="12"/>
    <m/>
    <m/>
    <m/>
    <m/>
    <m/>
    <m/>
    <m/>
    <m/>
    <n v="0"/>
    <m/>
    <m/>
    <n v="0"/>
    <n v="0"/>
    <n v="0"/>
    <n v="193550"/>
    <n v="193600"/>
    <m/>
    <m/>
    <n v="0"/>
    <m/>
    <m/>
    <n v="0"/>
    <m/>
    <m/>
    <m/>
    <m/>
    <m/>
    <m/>
    <n v="193550"/>
    <n v="193600"/>
  </r>
  <r>
    <x v="5"/>
    <x v="13"/>
    <s v="SREB Doctoral Scholar Program"/>
    <m/>
    <m/>
    <x v="12"/>
    <m/>
    <m/>
    <n v="71500"/>
    <n v="71500"/>
    <m/>
    <m/>
    <m/>
    <m/>
    <n v="0"/>
    <m/>
    <m/>
    <n v="0"/>
    <n v="71500"/>
    <n v="71500"/>
    <m/>
    <m/>
    <m/>
    <m/>
    <n v="0"/>
    <m/>
    <m/>
    <n v="0"/>
    <m/>
    <m/>
    <m/>
    <m/>
    <m/>
    <m/>
    <n v="71500"/>
    <n v="71500"/>
  </r>
  <r>
    <x v="5"/>
    <x v="18"/>
    <s v="Adm. of Statewide Student Aid Progs. (incldng centralized guaranteed student loans)"/>
    <m/>
    <m/>
    <x v="12"/>
    <m/>
    <m/>
    <m/>
    <m/>
    <m/>
    <m/>
    <m/>
    <m/>
    <n v="0"/>
    <m/>
    <m/>
    <n v="0"/>
    <n v="0"/>
    <n v="0"/>
    <m/>
    <m/>
    <m/>
    <m/>
    <n v="0"/>
    <m/>
    <m/>
    <n v="0"/>
    <m/>
    <m/>
    <m/>
    <m/>
    <m/>
    <m/>
    <n v="0"/>
    <n v="0"/>
  </r>
  <r>
    <x v="5"/>
    <x v="18"/>
    <s v="H. Ed. Asst. Authority"/>
    <m/>
    <m/>
    <x v="12"/>
    <m/>
    <m/>
    <m/>
    <m/>
    <m/>
    <m/>
    <m/>
    <m/>
    <n v="0"/>
    <m/>
    <m/>
    <n v="0"/>
    <n v="0"/>
    <n v="0"/>
    <m/>
    <m/>
    <m/>
    <m/>
    <n v="0"/>
    <m/>
    <m/>
    <n v="0"/>
    <m/>
    <m/>
    <m/>
    <m/>
    <m/>
    <m/>
    <n v="0"/>
    <n v="0"/>
  </r>
  <r>
    <x v="5"/>
    <x v="19"/>
    <s v="State Support to Private Colleges Other Than Student Aid"/>
    <m/>
    <m/>
    <x v="12"/>
    <m/>
    <m/>
    <m/>
    <m/>
    <m/>
    <m/>
    <m/>
    <m/>
    <n v="0"/>
    <m/>
    <m/>
    <n v="0"/>
    <n v="0"/>
    <n v="0"/>
    <m/>
    <m/>
    <m/>
    <m/>
    <n v="0"/>
    <m/>
    <m/>
    <n v="0"/>
    <m/>
    <m/>
    <m/>
    <m/>
    <m/>
    <m/>
    <n v="0"/>
    <n v="0"/>
  </r>
  <r>
    <x v="5"/>
    <x v="20"/>
    <s v="Contract Education Programs"/>
    <m/>
    <m/>
    <x v="12"/>
    <m/>
    <m/>
    <m/>
    <m/>
    <m/>
    <m/>
    <m/>
    <m/>
    <n v="0"/>
    <m/>
    <m/>
    <n v="0"/>
    <n v="0"/>
    <n v="0"/>
    <m/>
    <m/>
    <m/>
    <m/>
    <n v="0"/>
    <m/>
    <m/>
    <n v="0"/>
    <m/>
    <m/>
    <m/>
    <m/>
    <m/>
    <m/>
    <n v="0"/>
    <n v="0"/>
  </r>
  <r>
    <x v="5"/>
    <x v="21"/>
    <s v="SREB contract program with private colleges"/>
    <m/>
    <m/>
    <x v="12"/>
    <m/>
    <m/>
    <m/>
    <m/>
    <m/>
    <m/>
    <m/>
    <m/>
    <n v="0"/>
    <m/>
    <m/>
    <n v="0"/>
    <n v="0"/>
    <n v="0"/>
    <m/>
    <m/>
    <m/>
    <m/>
    <n v="0"/>
    <m/>
    <m/>
    <n v="0"/>
    <m/>
    <m/>
    <m/>
    <m/>
    <m/>
    <m/>
    <n v="0"/>
    <n v="0"/>
  </r>
  <r>
    <x v="5"/>
    <x v="21"/>
    <s v="Tuskegee University (Veterinary Medicine)"/>
    <m/>
    <m/>
    <x v="12"/>
    <m/>
    <m/>
    <m/>
    <m/>
    <m/>
    <m/>
    <m/>
    <m/>
    <n v="0"/>
    <m/>
    <m/>
    <n v="0"/>
    <n v="0"/>
    <n v="0"/>
    <n v="309600"/>
    <n v="319200"/>
    <m/>
    <m/>
    <n v="0"/>
    <m/>
    <m/>
    <n v="0"/>
    <m/>
    <m/>
    <m/>
    <m/>
    <m/>
    <m/>
    <n v="309600"/>
    <n v="319200"/>
  </r>
  <r>
    <x v="5"/>
    <x v="21"/>
    <s v="Southern College of Optometry"/>
    <m/>
    <m/>
    <x v="12"/>
    <m/>
    <m/>
    <m/>
    <m/>
    <m/>
    <m/>
    <m/>
    <m/>
    <n v="0"/>
    <m/>
    <m/>
    <n v="0"/>
    <n v="0"/>
    <n v="0"/>
    <n v="296000"/>
    <n v="306000"/>
    <m/>
    <m/>
    <n v="0"/>
    <m/>
    <m/>
    <n v="0"/>
    <m/>
    <m/>
    <m/>
    <m/>
    <m/>
    <m/>
    <n v="296000"/>
    <n v="306000"/>
  </r>
  <r>
    <x v="5"/>
    <x v="22"/>
    <s v="SREB contract program with public colleges"/>
    <m/>
    <m/>
    <x v="12"/>
    <m/>
    <m/>
    <m/>
    <m/>
    <m/>
    <m/>
    <m/>
    <m/>
    <n v="0"/>
    <m/>
    <m/>
    <n v="0"/>
    <n v="0"/>
    <n v="0"/>
    <m/>
    <m/>
    <m/>
    <m/>
    <n v="0"/>
    <m/>
    <m/>
    <n v="0"/>
    <m/>
    <m/>
    <m/>
    <m/>
    <m/>
    <m/>
    <n v="0"/>
    <n v="0"/>
  </r>
  <r>
    <x v="5"/>
    <x v="22"/>
    <s v="Auburn University (Veterinary Medicine)"/>
    <m/>
    <m/>
    <x v="12"/>
    <m/>
    <m/>
    <m/>
    <m/>
    <m/>
    <m/>
    <m/>
    <m/>
    <n v="0"/>
    <m/>
    <m/>
    <n v="0"/>
    <n v="0"/>
    <n v="0"/>
    <n v="3921600"/>
    <n v="4043200"/>
    <m/>
    <m/>
    <n v="0"/>
    <m/>
    <m/>
    <n v="0"/>
    <m/>
    <m/>
    <m/>
    <m/>
    <m/>
    <m/>
    <n v="3921600"/>
    <n v="4043200"/>
  </r>
  <r>
    <x v="5"/>
    <x v="22"/>
    <s v="University of Alabama at Birmingham (Optometry)"/>
    <m/>
    <m/>
    <x v="12"/>
    <m/>
    <m/>
    <m/>
    <m/>
    <m/>
    <m/>
    <m/>
    <m/>
    <n v="0"/>
    <m/>
    <m/>
    <n v="0"/>
    <n v="0"/>
    <n v="0"/>
    <n v="177600"/>
    <n v="183600"/>
    <m/>
    <m/>
    <n v="0"/>
    <m/>
    <m/>
    <n v="0"/>
    <m/>
    <m/>
    <m/>
    <m/>
    <m/>
    <m/>
    <n v="177600"/>
    <n v="183600"/>
  </r>
  <r>
    <x v="5"/>
    <x v="23"/>
    <s v="Other contract education programs (Indiana University)"/>
    <m/>
    <m/>
    <x v="12"/>
    <m/>
    <m/>
    <m/>
    <m/>
    <m/>
    <m/>
    <m/>
    <m/>
    <n v="0"/>
    <m/>
    <m/>
    <n v="0"/>
    <n v="0"/>
    <n v="0"/>
    <n v="151200"/>
    <n v="156000"/>
    <m/>
    <m/>
    <n v="0"/>
    <m/>
    <m/>
    <n v="0"/>
    <m/>
    <m/>
    <m/>
    <m/>
    <m/>
    <m/>
    <n v="151200"/>
    <n v="156000"/>
  </r>
  <r>
    <x v="5"/>
    <x v="24"/>
    <s v="Statewide Student Financial Aid Programs Administered Off Campus"/>
    <m/>
    <m/>
    <x v="12"/>
    <m/>
    <m/>
    <m/>
    <m/>
    <m/>
    <m/>
    <m/>
    <m/>
    <n v="0"/>
    <m/>
    <m/>
    <n v="0"/>
    <n v="0"/>
    <n v="0"/>
    <m/>
    <m/>
    <m/>
    <m/>
    <n v="0"/>
    <m/>
    <m/>
    <n v="0"/>
    <m/>
    <m/>
    <m/>
    <m/>
    <m/>
    <m/>
    <n v="0"/>
    <n v="0"/>
  </r>
  <r>
    <x v="5"/>
    <x v="25"/>
    <s v="Available to public &amp; private sector students"/>
    <m/>
    <m/>
    <x v="12"/>
    <m/>
    <m/>
    <m/>
    <m/>
    <m/>
    <m/>
    <m/>
    <m/>
    <n v="0"/>
    <m/>
    <m/>
    <n v="0"/>
    <n v="0"/>
    <n v="0"/>
    <m/>
    <m/>
    <m/>
    <m/>
    <n v="0"/>
    <m/>
    <m/>
    <n v="0"/>
    <m/>
    <m/>
    <m/>
    <m/>
    <m/>
    <m/>
    <n v="0"/>
    <n v="0"/>
  </r>
  <r>
    <x v="5"/>
    <x v="28"/>
    <s v="KEES Kentucky Educational Excellence Scholarship"/>
    <m/>
    <m/>
    <x v="12"/>
    <m/>
    <m/>
    <m/>
    <m/>
    <m/>
    <m/>
    <m/>
    <m/>
    <n v="0"/>
    <m/>
    <m/>
    <n v="0"/>
    <n v="0"/>
    <n v="0"/>
    <m/>
    <m/>
    <m/>
    <m/>
    <n v="0"/>
    <m/>
    <m/>
    <n v="0"/>
    <m/>
    <m/>
    <m/>
    <m/>
    <m/>
    <m/>
    <n v="0"/>
    <n v="0"/>
  </r>
  <r>
    <x v="5"/>
    <x v="28"/>
    <s v="Amount to public sector students"/>
    <m/>
    <m/>
    <x v="12"/>
    <m/>
    <m/>
    <m/>
    <m/>
    <m/>
    <m/>
    <m/>
    <m/>
    <n v="0"/>
    <m/>
    <m/>
    <n v="0"/>
    <n v="0"/>
    <n v="0"/>
    <m/>
    <m/>
    <m/>
    <m/>
    <n v="0"/>
    <m/>
    <m/>
    <n v="0"/>
    <m/>
    <m/>
    <m/>
    <m/>
    <m/>
    <m/>
    <n v="0"/>
    <n v="0"/>
  </r>
  <r>
    <x v="5"/>
    <x v="29"/>
    <s v="Need-based"/>
    <m/>
    <m/>
    <x v="12"/>
    <m/>
    <m/>
    <m/>
    <m/>
    <m/>
    <m/>
    <m/>
    <m/>
    <n v="0"/>
    <m/>
    <m/>
    <n v="0"/>
    <n v="0"/>
    <n v="0"/>
    <m/>
    <m/>
    <m/>
    <m/>
    <n v="0"/>
    <m/>
    <m/>
    <n v="0"/>
    <m/>
    <m/>
    <m/>
    <m/>
    <m/>
    <m/>
    <n v="0"/>
    <n v="0"/>
  </r>
  <r>
    <x v="5"/>
    <x v="30"/>
    <s v="Non need-based"/>
    <m/>
    <m/>
    <x v="12"/>
    <m/>
    <m/>
    <m/>
    <m/>
    <m/>
    <m/>
    <m/>
    <m/>
    <n v="0"/>
    <m/>
    <m/>
    <n v="0"/>
    <n v="0"/>
    <n v="0"/>
    <n v="83358911"/>
    <n v="85956246"/>
    <m/>
    <m/>
    <n v="0"/>
    <m/>
    <m/>
    <n v="0"/>
    <m/>
    <m/>
    <m/>
    <m/>
    <m/>
    <m/>
    <n v="83358911"/>
    <n v="85956246"/>
  </r>
  <r>
    <x v="5"/>
    <x v="31"/>
    <s v="Amount to private sector students"/>
    <m/>
    <m/>
    <x v="12"/>
    <m/>
    <m/>
    <m/>
    <m/>
    <m/>
    <m/>
    <m/>
    <m/>
    <n v="0"/>
    <m/>
    <m/>
    <n v="0"/>
    <n v="0"/>
    <n v="0"/>
    <m/>
    <m/>
    <m/>
    <m/>
    <n v="0"/>
    <m/>
    <m/>
    <n v="0"/>
    <m/>
    <m/>
    <m/>
    <m/>
    <m/>
    <m/>
    <n v="0"/>
    <n v="0"/>
  </r>
  <r>
    <x v="5"/>
    <x v="32"/>
    <s v="Need-based"/>
    <m/>
    <m/>
    <x v="12"/>
    <m/>
    <m/>
    <m/>
    <m/>
    <m/>
    <m/>
    <m/>
    <m/>
    <n v="0"/>
    <m/>
    <m/>
    <n v="0"/>
    <n v="0"/>
    <n v="0"/>
    <m/>
    <m/>
    <m/>
    <m/>
    <n v="0"/>
    <m/>
    <m/>
    <n v="0"/>
    <m/>
    <m/>
    <m/>
    <m/>
    <m/>
    <m/>
    <n v="0"/>
    <n v="0"/>
  </r>
  <r>
    <x v="5"/>
    <x v="33"/>
    <s v="Non need-based"/>
    <m/>
    <m/>
    <x v="12"/>
    <m/>
    <m/>
    <m/>
    <m/>
    <m/>
    <m/>
    <m/>
    <m/>
    <n v="0"/>
    <m/>
    <m/>
    <n v="0"/>
    <n v="0"/>
    <n v="0"/>
    <n v="18512353"/>
    <n v="18420585"/>
    <m/>
    <m/>
    <n v="0"/>
    <m/>
    <m/>
    <n v="0"/>
    <m/>
    <m/>
    <m/>
    <m/>
    <m/>
    <m/>
    <n v="18512353"/>
    <n v="18420585"/>
  </r>
  <r>
    <x v="5"/>
    <x v="25"/>
    <s v="College Access Program(CAP)"/>
    <m/>
    <m/>
    <x v="12"/>
    <m/>
    <m/>
    <m/>
    <m/>
    <m/>
    <m/>
    <m/>
    <m/>
    <n v="0"/>
    <m/>
    <m/>
    <n v="0"/>
    <n v="0"/>
    <n v="0"/>
    <m/>
    <m/>
    <m/>
    <m/>
    <n v="0"/>
    <m/>
    <m/>
    <n v="0"/>
    <m/>
    <m/>
    <m/>
    <m/>
    <m/>
    <m/>
    <n v="0"/>
    <n v="0"/>
  </r>
  <r>
    <x v="5"/>
    <x v="28"/>
    <s v="Amount to public sector students"/>
    <m/>
    <m/>
    <x v="12"/>
    <m/>
    <m/>
    <m/>
    <m/>
    <m/>
    <m/>
    <m/>
    <m/>
    <n v="0"/>
    <m/>
    <m/>
    <n v="0"/>
    <n v="0"/>
    <n v="0"/>
    <m/>
    <m/>
    <m/>
    <m/>
    <n v="0"/>
    <m/>
    <m/>
    <n v="0"/>
    <m/>
    <m/>
    <m/>
    <m/>
    <m/>
    <m/>
    <n v="0"/>
    <n v="0"/>
  </r>
  <r>
    <x v="5"/>
    <x v="29"/>
    <s v="Need-based"/>
    <m/>
    <m/>
    <x v="12"/>
    <m/>
    <m/>
    <m/>
    <m/>
    <m/>
    <m/>
    <m/>
    <m/>
    <n v="0"/>
    <m/>
    <m/>
    <n v="0"/>
    <n v="0"/>
    <n v="0"/>
    <n v="41253823"/>
    <n v="46607653"/>
    <m/>
    <m/>
    <n v="0"/>
    <m/>
    <m/>
    <n v="0"/>
    <m/>
    <m/>
    <m/>
    <m/>
    <m/>
    <m/>
    <n v="41253823"/>
    <n v="46607653"/>
  </r>
  <r>
    <x v="5"/>
    <x v="30"/>
    <s v="Non need-based"/>
    <m/>
    <m/>
    <x v="12"/>
    <m/>
    <m/>
    <m/>
    <m/>
    <m/>
    <m/>
    <m/>
    <m/>
    <n v="0"/>
    <m/>
    <m/>
    <n v="0"/>
    <n v="0"/>
    <n v="0"/>
    <m/>
    <m/>
    <m/>
    <m/>
    <n v="0"/>
    <m/>
    <m/>
    <n v="0"/>
    <m/>
    <m/>
    <m/>
    <m/>
    <m/>
    <m/>
    <n v="0"/>
    <n v="0"/>
  </r>
  <r>
    <x v="5"/>
    <x v="31"/>
    <s v="Amount to private sector students"/>
    <m/>
    <m/>
    <x v="12"/>
    <m/>
    <m/>
    <m/>
    <m/>
    <m/>
    <m/>
    <m/>
    <m/>
    <n v="0"/>
    <m/>
    <m/>
    <n v="0"/>
    <n v="0"/>
    <n v="0"/>
    <m/>
    <m/>
    <m/>
    <m/>
    <n v="0"/>
    <m/>
    <m/>
    <n v="0"/>
    <m/>
    <m/>
    <m/>
    <m/>
    <m/>
    <m/>
    <n v="0"/>
    <n v="0"/>
  </r>
  <r>
    <x v="5"/>
    <x v="32"/>
    <s v="Need-based"/>
    <m/>
    <m/>
    <x v="12"/>
    <m/>
    <m/>
    <m/>
    <m/>
    <m/>
    <m/>
    <m/>
    <m/>
    <n v="0"/>
    <m/>
    <m/>
    <n v="0"/>
    <n v="0"/>
    <n v="0"/>
    <n v="15844234"/>
    <n v="15684986"/>
    <m/>
    <m/>
    <n v="0"/>
    <m/>
    <m/>
    <n v="0"/>
    <m/>
    <m/>
    <m/>
    <m/>
    <m/>
    <m/>
    <n v="15844234"/>
    <n v="15684986"/>
  </r>
  <r>
    <x v="5"/>
    <x v="33"/>
    <s v="Non need-based"/>
    <m/>
    <m/>
    <x v="12"/>
    <m/>
    <m/>
    <m/>
    <m/>
    <m/>
    <m/>
    <m/>
    <m/>
    <n v="0"/>
    <m/>
    <m/>
    <n v="0"/>
    <n v="0"/>
    <n v="0"/>
    <m/>
    <m/>
    <m/>
    <m/>
    <n v="0"/>
    <m/>
    <m/>
    <n v="0"/>
    <m/>
    <m/>
    <m/>
    <m/>
    <m/>
    <m/>
    <n v="0"/>
    <n v="0"/>
  </r>
  <r>
    <x v="5"/>
    <x v="34"/>
    <s v="Limited to public college students only"/>
    <m/>
    <m/>
    <x v="12"/>
    <m/>
    <m/>
    <m/>
    <m/>
    <m/>
    <m/>
    <m/>
    <m/>
    <n v="0"/>
    <m/>
    <m/>
    <n v="0"/>
    <n v="0"/>
    <n v="0"/>
    <m/>
    <m/>
    <m/>
    <m/>
    <n v="0"/>
    <m/>
    <m/>
    <n v="0"/>
    <m/>
    <m/>
    <m/>
    <m/>
    <m/>
    <m/>
    <n v="0"/>
    <n v="0"/>
  </r>
  <r>
    <x v="5"/>
    <x v="37"/>
    <s v="Limited to private college students"/>
    <m/>
    <m/>
    <x v="12"/>
    <m/>
    <m/>
    <m/>
    <m/>
    <m/>
    <m/>
    <m/>
    <m/>
    <n v="0"/>
    <m/>
    <m/>
    <n v="0"/>
    <n v="0"/>
    <n v="0"/>
    <m/>
    <m/>
    <m/>
    <m/>
    <n v="0"/>
    <m/>
    <m/>
    <n v="0"/>
    <m/>
    <m/>
    <m/>
    <m/>
    <m/>
    <m/>
    <n v="0"/>
    <n v="0"/>
  </r>
  <r>
    <x v="5"/>
    <x v="37"/>
    <s v="Kentucky Tuition Grant (KTG)"/>
    <m/>
    <m/>
    <x v="12"/>
    <m/>
    <m/>
    <m/>
    <m/>
    <m/>
    <m/>
    <m/>
    <m/>
    <n v="0"/>
    <m/>
    <m/>
    <n v="0"/>
    <n v="0"/>
    <n v="0"/>
    <m/>
    <m/>
    <m/>
    <m/>
    <n v="0"/>
    <m/>
    <m/>
    <n v="0"/>
    <m/>
    <m/>
    <m/>
    <m/>
    <m/>
    <m/>
    <n v="0"/>
    <n v="0"/>
  </r>
  <r>
    <x v="5"/>
    <x v="38"/>
    <s v="Need-based"/>
    <m/>
    <m/>
    <x v="12"/>
    <m/>
    <m/>
    <m/>
    <m/>
    <m/>
    <m/>
    <m/>
    <m/>
    <n v="0"/>
    <m/>
    <m/>
    <n v="0"/>
    <n v="0"/>
    <n v="0"/>
    <n v="29735109"/>
    <n v="29982741"/>
    <m/>
    <m/>
    <n v="0"/>
    <m/>
    <m/>
    <n v="0"/>
    <m/>
    <m/>
    <m/>
    <m/>
    <m/>
    <m/>
    <n v="29735109"/>
    <n v="29982741"/>
  </r>
  <r>
    <x v="5"/>
    <x v="39"/>
    <s v="Non need-based"/>
    <m/>
    <m/>
    <x v="12"/>
    <m/>
    <m/>
    <m/>
    <m/>
    <m/>
    <m/>
    <m/>
    <m/>
    <n v="0"/>
    <m/>
    <m/>
    <n v="0"/>
    <n v="0"/>
    <n v="0"/>
    <m/>
    <m/>
    <m/>
    <m/>
    <n v="0"/>
    <m/>
    <m/>
    <n v="0"/>
    <m/>
    <m/>
    <m/>
    <m/>
    <m/>
    <m/>
    <n v="0"/>
    <n v="0"/>
  </r>
  <r>
    <x v="5"/>
    <x v="37"/>
    <s v="Pikeville College Osteopathic Medicine Scholarship"/>
    <m/>
    <m/>
    <x v="12"/>
    <m/>
    <m/>
    <m/>
    <m/>
    <m/>
    <m/>
    <m/>
    <m/>
    <n v="0"/>
    <m/>
    <m/>
    <n v="0"/>
    <n v="0"/>
    <n v="0"/>
    <m/>
    <m/>
    <m/>
    <m/>
    <n v="0"/>
    <m/>
    <m/>
    <n v="0"/>
    <m/>
    <m/>
    <m/>
    <m/>
    <m/>
    <m/>
    <n v="0"/>
    <n v="0"/>
  </r>
  <r>
    <x v="5"/>
    <x v="38"/>
    <s v="Need-based"/>
    <m/>
    <m/>
    <x v="12"/>
    <m/>
    <m/>
    <m/>
    <m/>
    <m/>
    <m/>
    <m/>
    <m/>
    <n v="0"/>
    <m/>
    <m/>
    <n v="0"/>
    <n v="0"/>
    <n v="0"/>
    <m/>
    <m/>
    <m/>
    <m/>
    <n v="0"/>
    <m/>
    <m/>
    <n v="0"/>
    <m/>
    <m/>
    <m/>
    <m/>
    <m/>
    <m/>
    <n v="0"/>
    <n v="0"/>
  </r>
  <r>
    <x v="5"/>
    <x v="39"/>
    <s v="Non need-based"/>
    <m/>
    <m/>
    <x v="12"/>
    <m/>
    <m/>
    <m/>
    <m/>
    <m/>
    <m/>
    <m/>
    <m/>
    <n v="0"/>
    <m/>
    <m/>
    <n v="0"/>
    <n v="0"/>
    <n v="0"/>
    <n v="660940"/>
    <n v="704295"/>
    <m/>
    <m/>
    <n v="0"/>
    <m/>
    <m/>
    <n v="0"/>
    <m/>
    <m/>
    <m/>
    <m/>
    <m/>
    <m/>
    <n v="660940"/>
    <n v="704295"/>
  </r>
  <r>
    <x v="6"/>
    <x v="0"/>
    <s v="Louisiana State University and A &amp; M College"/>
    <m/>
    <n v="159391"/>
    <x v="0"/>
    <n v="122045827"/>
    <n v="96893044"/>
    <m/>
    <m/>
    <m/>
    <m/>
    <n v="254657507"/>
    <m/>
    <n v="254657507"/>
    <n v="289520153"/>
    <m/>
    <n v="289520153"/>
    <n v="376703334"/>
    <n v="386413197"/>
    <m/>
    <m/>
    <m/>
    <m/>
    <n v="0"/>
    <m/>
    <m/>
    <n v="0"/>
    <m/>
    <m/>
    <m/>
    <m/>
    <m/>
    <m/>
    <n v="376703334"/>
    <n v="386413197"/>
  </r>
  <r>
    <x v="6"/>
    <x v="12"/>
    <s v="Special line items for education operations"/>
    <m/>
    <n v="159391"/>
    <x v="0"/>
    <m/>
    <m/>
    <m/>
    <m/>
    <m/>
    <m/>
    <m/>
    <m/>
    <n v="0"/>
    <m/>
    <m/>
    <n v="0"/>
    <n v="0"/>
    <n v="0"/>
    <m/>
    <m/>
    <m/>
    <m/>
    <n v="0"/>
    <m/>
    <m/>
    <n v="0"/>
    <m/>
    <m/>
    <m/>
    <m/>
    <m/>
    <m/>
    <n v="0"/>
    <n v="0"/>
  </r>
  <r>
    <x v="6"/>
    <x v="12"/>
    <s v="Paul M. Hebert Law Center"/>
    <m/>
    <n v="159391"/>
    <x v="0"/>
    <n v="5812672"/>
    <n v="5048924"/>
    <m/>
    <m/>
    <m/>
    <m/>
    <n v="17625197"/>
    <m/>
    <n v="17625197"/>
    <n v="18371936"/>
    <m/>
    <n v="18371936"/>
    <n v="23437869"/>
    <n v="23420860"/>
    <m/>
    <m/>
    <m/>
    <m/>
    <n v="0"/>
    <m/>
    <m/>
    <n v="0"/>
    <m/>
    <m/>
    <m/>
    <m/>
    <m/>
    <m/>
    <n v="23437869"/>
    <n v="23420860"/>
  </r>
  <r>
    <x v="6"/>
    <x v="1"/>
    <s v="Health professions education"/>
    <m/>
    <n v="159391"/>
    <x v="0"/>
    <m/>
    <m/>
    <m/>
    <m/>
    <m/>
    <m/>
    <m/>
    <m/>
    <n v="0"/>
    <m/>
    <m/>
    <n v="0"/>
    <n v="0"/>
    <n v="0"/>
    <m/>
    <m/>
    <m/>
    <m/>
    <n v="0"/>
    <m/>
    <m/>
    <n v="0"/>
    <m/>
    <m/>
    <m/>
    <m/>
    <m/>
    <m/>
    <n v="0"/>
    <n v="0"/>
  </r>
  <r>
    <x v="6"/>
    <x v="1"/>
    <s v="Vet School"/>
    <m/>
    <n v="159391"/>
    <x v="0"/>
    <m/>
    <m/>
    <m/>
    <m/>
    <m/>
    <m/>
    <m/>
    <m/>
    <n v="0"/>
    <m/>
    <m/>
    <n v="0"/>
    <n v="0"/>
    <n v="0"/>
    <m/>
    <m/>
    <m/>
    <m/>
    <n v="0"/>
    <m/>
    <m/>
    <n v="0"/>
    <n v="19582008"/>
    <n v="19901821"/>
    <n v="11274295"/>
    <n v="0"/>
    <n v="12462470"/>
    <m/>
    <n v="30856303"/>
    <n v="32364291"/>
  </r>
  <r>
    <x v="6"/>
    <x v="5"/>
    <s v="Agricultural Center"/>
    <m/>
    <n v="159391"/>
    <x v="0"/>
    <m/>
    <m/>
    <m/>
    <m/>
    <m/>
    <m/>
    <m/>
    <m/>
    <n v="0"/>
    <m/>
    <m/>
    <n v="0"/>
    <n v="0"/>
    <n v="0"/>
    <m/>
    <m/>
    <m/>
    <m/>
    <n v="0"/>
    <m/>
    <m/>
    <n v="0"/>
    <m/>
    <m/>
    <m/>
    <m/>
    <m/>
    <m/>
    <n v="0"/>
    <n v="0"/>
  </r>
  <r>
    <x v="6"/>
    <x v="5"/>
    <s v="Agricultural cooperative extension"/>
    <m/>
    <n v="159391"/>
    <x v="0"/>
    <m/>
    <m/>
    <n v="24197726"/>
    <n v="23938017"/>
    <m/>
    <m/>
    <m/>
    <m/>
    <n v="0"/>
    <m/>
    <m/>
    <n v="0"/>
    <n v="24197726"/>
    <n v="23938017"/>
    <m/>
    <m/>
    <m/>
    <m/>
    <n v="0"/>
    <m/>
    <m/>
    <n v="0"/>
    <m/>
    <m/>
    <m/>
    <m/>
    <m/>
    <m/>
    <n v="24197726"/>
    <n v="23938017"/>
  </r>
  <r>
    <x v="6"/>
    <x v="6"/>
    <s v="Agricultural experiment stations"/>
    <m/>
    <n v="159391"/>
    <x v="0"/>
    <m/>
    <m/>
    <n v="30331621"/>
    <n v="30809105"/>
    <m/>
    <m/>
    <m/>
    <m/>
    <n v="0"/>
    <m/>
    <m/>
    <n v="0"/>
    <n v="30331621"/>
    <n v="30809105"/>
    <m/>
    <m/>
    <m/>
    <m/>
    <n v="0"/>
    <m/>
    <m/>
    <n v="0"/>
    <m/>
    <m/>
    <m/>
    <m/>
    <m/>
    <m/>
    <n v="30331621"/>
    <n v="30809105"/>
  </r>
  <r>
    <x v="6"/>
    <x v="5"/>
    <s v="Administration"/>
    <m/>
    <n v="159391"/>
    <x v="0"/>
    <m/>
    <m/>
    <n v="15255443"/>
    <n v="15757720"/>
    <m/>
    <m/>
    <m/>
    <m/>
    <n v="0"/>
    <m/>
    <m/>
    <n v="0"/>
    <n v="15255443"/>
    <n v="15757720"/>
    <m/>
    <m/>
    <m/>
    <m/>
    <n v="0"/>
    <m/>
    <m/>
    <n v="0"/>
    <m/>
    <m/>
    <m/>
    <m/>
    <m/>
    <m/>
    <n v="15255443"/>
    <n v="15757720"/>
  </r>
  <r>
    <x v="6"/>
    <x v="0"/>
    <s v="Louisiana Tech University "/>
    <m/>
    <n v="159647"/>
    <x v="1"/>
    <n v="37392451"/>
    <n v="29672838"/>
    <m/>
    <m/>
    <m/>
    <m/>
    <n v="54733000"/>
    <m/>
    <n v="54733000"/>
    <n v="60435700"/>
    <m/>
    <n v="60435700"/>
    <n v="92125451"/>
    <n v="90108538"/>
    <m/>
    <m/>
    <m/>
    <m/>
    <n v="0"/>
    <m/>
    <m/>
    <n v="0"/>
    <m/>
    <m/>
    <m/>
    <m/>
    <m/>
    <m/>
    <n v="92125451"/>
    <n v="90108538"/>
  </r>
  <r>
    <x v="6"/>
    <x v="0"/>
    <s v="University of Louisiana at Lafayette"/>
    <m/>
    <n v="160658"/>
    <x v="1"/>
    <n v="56703542"/>
    <n v="47597349"/>
    <m/>
    <m/>
    <m/>
    <m/>
    <n v="69729300"/>
    <m/>
    <n v="69729300"/>
    <n v="76591326"/>
    <m/>
    <n v="76591326"/>
    <n v="126432842"/>
    <n v="124188675"/>
    <m/>
    <m/>
    <m/>
    <m/>
    <n v="0"/>
    <m/>
    <m/>
    <n v="0"/>
    <m/>
    <m/>
    <m/>
    <m/>
    <m/>
    <m/>
    <n v="126432842"/>
    <n v="124188675"/>
  </r>
  <r>
    <x v="6"/>
    <x v="0"/>
    <s v="University of New Orleans"/>
    <m/>
    <n v="159939"/>
    <x v="1"/>
    <n v="38433113"/>
    <n v="32713516"/>
    <m/>
    <m/>
    <m/>
    <m/>
    <n v="65170399"/>
    <m/>
    <n v="65170399"/>
    <n v="67064964"/>
    <m/>
    <n v="67064964"/>
    <n v="103603512"/>
    <n v="99778480"/>
    <m/>
    <m/>
    <m/>
    <m/>
    <n v="0"/>
    <m/>
    <m/>
    <n v="0"/>
    <m/>
    <m/>
    <m/>
    <m/>
    <m/>
    <m/>
    <n v="103603512"/>
    <n v="99778480"/>
  </r>
  <r>
    <x v="6"/>
    <x v="0"/>
    <s v="Southeastern Louisiana University "/>
    <m/>
    <n v="160612"/>
    <x v="2"/>
    <n v="39301339"/>
    <n v="31582069"/>
    <m/>
    <m/>
    <m/>
    <m/>
    <n v="64947412"/>
    <m/>
    <n v="64947412"/>
    <n v="69906315"/>
    <m/>
    <n v="69906315"/>
    <n v="104248751"/>
    <n v="101488384"/>
    <m/>
    <m/>
    <m/>
    <m/>
    <n v="0"/>
    <m/>
    <m/>
    <n v="0"/>
    <m/>
    <m/>
    <m/>
    <m/>
    <m/>
    <m/>
    <n v="104248751"/>
    <n v="101488384"/>
  </r>
  <r>
    <x v="6"/>
    <x v="0"/>
    <s v="Southern University and A&amp;M College at Baton Rouge "/>
    <m/>
    <n v="160621"/>
    <x v="2"/>
    <n v="29353076"/>
    <n v="24741106"/>
    <m/>
    <m/>
    <m/>
    <m/>
    <n v="37451464"/>
    <m/>
    <n v="37451464"/>
    <n v="37837989"/>
    <m/>
    <n v="37837989"/>
    <n v="66804540"/>
    <n v="62579095"/>
    <m/>
    <m/>
    <m/>
    <m/>
    <n v="0"/>
    <m/>
    <m/>
    <n v="0"/>
    <m/>
    <m/>
    <m/>
    <m/>
    <m/>
    <m/>
    <n v="66804540"/>
    <n v="62579095"/>
  </r>
  <r>
    <x v="6"/>
    <x v="0"/>
    <s v="Law Center"/>
    <m/>
    <n v="160621"/>
    <x v="2"/>
    <n v="4172612"/>
    <n v="4163974"/>
    <m/>
    <m/>
    <m/>
    <m/>
    <n v="8492876"/>
    <m/>
    <n v="8492876"/>
    <n v="8492876"/>
    <m/>
    <n v="8492876"/>
    <n v="12665488"/>
    <n v="12656850"/>
    <m/>
    <m/>
    <m/>
    <m/>
    <n v="0"/>
    <m/>
    <m/>
    <n v="0"/>
    <m/>
    <m/>
    <m/>
    <m/>
    <m/>
    <m/>
    <n v="12665488"/>
    <n v="12656850"/>
  </r>
  <r>
    <x v="6"/>
    <x v="5"/>
    <s v="Agricultural Center"/>
    <m/>
    <n v="160621"/>
    <x v="2"/>
    <m/>
    <m/>
    <m/>
    <m/>
    <m/>
    <m/>
    <m/>
    <m/>
    <n v="0"/>
    <m/>
    <m/>
    <n v="0"/>
    <n v="0"/>
    <n v="0"/>
    <m/>
    <m/>
    <m/>
    <m/>
    <n v="0"/>
    <m/>
    <m/>
    <n v="0"/>
    <m/>
    <m/>
    <m/>
    <m/>
    <m/>
    <m/>
    <n v="0"/>
    <n v="0"/>
  </r>
  <r>
    <x v="6"/>
    <x v="5"/>
    <s v="Agriculture Center"/>
    <m/>
    <n v="160621"/>
    <x v="2"/>
    <m/>
    <m/>
    <n v="4317454"/>
    <n v="5215083"/>
    <m/>
    <m/>
    <m/>
    <m/>
    <n v="0"/>
    <m/>
    <m/>
    <n v="0"/>
    <n v="4317454"/>
    <n v="5215083"/>
    <m/>
    <m/>
    <m/>
    <m/>
    <n v="0"/>
    <m/>
    <m/>
    <n v="0"/>
    <m/>
    <m/>
    <m/>
    <m/>
    <m/>
    <m/>
    <n v="4317454"/>
    <n v="5215083"/>
  </r>
  <r>
    <x v="6"/>
    <x v="0"/>
    <s v="University of Louisiana at Monroe"/>
    <m/>
    <n v="159993"/>
    <x v="2"/>
    <n v="30975353"/>
    <n v="26362846"/>
    <m/>
    <m/>
    <m/>
    <m/>
    <n v="40249575"/>
    <m/>
    <n v="40249575"/>
    <n v="43816288"/>
    <m/>
    <n v="43816288"/>
    <n v="71224928"/>
    <n v="70179134"/>
    <m/>
    <m/>
    <m/>
    <m/>
    <n v="0"/>
    <m/>
    <m/>
    <n v="0"/>
    <m/>
    <m/>
    <m/>
    <m/>
    <m/>
    <m/>
    <n v="71224928"/>
    <n v="70179134"/>
  </r>
  <r>
    <x v="6"/>
    <x v="0"/>
    <s v="Grambling State University"/>
    <m/>
    <n v="159009"/>
    <x v="3"/>
    <n v="16116486"/>
    <n v="13891949"/>
    <m/>
    <m/>
    <m/>
    <m/>
    <n v="35027884"/>
    <m/>
    <n v="35027884"/>
    <n v="34420770"/>
    <m/>
    <n v="34420770"/>
    <n v="51144370"/>
    <n v="48312719"/>
    <m/>
    <m/>
    <m/>
    <m/>
    <n v="0"/>
    <m/>
    <m/>
    <n v="0"/>
    <m/>
    <m/>
    <m/>
    <m/>
    <m/>
    <m/>
    <n v="51144370"/>
    <n v="48312719"/>
  </r>
  <r>
    <x v="6"/>
    <x v="0"/>
    <s v="Louisiana State University in Shreveport"/>
    <m/>
    <n v="159416"/>
    <x v="3"/>
    <n v="9997854"/>
    <n v="7844685"/>
    <m/>
    <m/>
    <m/>
    <m/>
    <n v="18492357"/>
    <m/>
    <n v="18492357"/>
    <n v="20420029"/>
    <m/>
    <n v="20420029"/>
    <n v="28490211"/>
    <n v="28264714"/>
    <m/>
    <m/>
    <m/>
    <m/>
    <n v="0"/>
    <m/>
    <m/>
    <n v="0"/>
    <m/>
    <m/>
    <m/>
    <m/>
    <m/>
    <m/>
    <n v="28490211"/>
    <n v="28264714"/>
  </r>
  <r>
    <x v="6"/>
    <x v="0"/>
    <s v="McNeese State University"/>
    <m/>
    <n v="159717"/>
    <x v="3"/>
    <n v="23142671"/>
    <n v="20583545"/>
    <m/>
    <m/>
    <m/>
    <m/>
    <n v="35670828"/>
    <m/>
    <n v="35670828"/>
    <n v="39657842"/>
    <m/>
    <n v="39657842"/>
    <n v="58813499"/>
    <n v="60241387"/>
    <m/>
    <m/>
    <m/>
    <m/>
    <n v="0"/>
    <m/>
    <m/>
    <n v="0"/>
    <m/>
    <m/>
    <m/>
    <m/>
    <m/>
    <m/>
    <n v="58813499"/>
    <n v="60241387"/>
  </r>
  <r>
    <x v="6"/>
    <x v="0"/>
    <s v="Nicholls State University "/>
    <m/>
    <n v="159966"/>
    <x v="3"/>
    <n v="18346022"/>
    <n v="16072597"/>
    <m/>
    <m/>
    <m/>
    <m/>
    <n v="30237559"/>
    <m/>
    <n v="30237559"/>
    <n v="32207400"/>
    <m/>
    <n v="32207400"/>
    <n v="48583581"/>
    <n v="48279997"/>
    <m/>
    <m/>
    <m/>
    <m/>
    <n v="0"/>
    <m/>
    <m/>
    <n v="0"/>
    <m/>
    <m/>
    <m/>
    <m/>
    <m/>
    <m/>
    <n v="48583581"/>
    <n v="48279997"/>
  </r>
  <r>
    <x v="6"/>
    <x v="0"/>
    <s v="Northwestern State University"/>
    <m/>
    <n v="160038"/>
    <x v="3"/>
    <n v="26115237"/>
    <n v="21699327"/>
    <m/>
    <m/>
    <m/>
    <m/>
    <n v="42812195"/>
    <m/>
    <n v="42812195"/>
    <n v="46321824"/>
    <m/>
    <n v="46321824"/>
    <n v="68927432"/>
    <n v="68021151"/>
    <m/>
    <m/>
    <m/>
    <m/>
    <n v="0"/>
    <m/>
    <m/>
    <n v="0"/>
    <m/>
    <m/>
    <m/>
    <m/>
    <m/>
    <m/>
    <n v="68927432"/>
    <n v="68021151"/>
  </r>
  <r>
    <x v="6"/>
    <x v="0"/>
    <s v="Southern University at New Orleans"/>
    <s v="Met the criteria for Four-Year 5 in 2012-13 and 2013-14."/>
    <n v="160630"/>
    <x v="3"/>
    <n v="7978298"/>
    <n v="8038737"/>
    <m/>
    <m/>
    <m/>
    <m/>
    <n v="11097420"/>
    <m/>
    <n v="11097420"/>
    <n v="11665746"/>
    <m/>
    <n v="11665746"/>
    <n v="19075718"/>
    <n v="19704483"/>
    <m/>
    <m/>
    <m/>
    <m/>
    <n v="0"/>
    <m/>
    <m/>
    <n v="0"/>
    <m/>
    <m/>
    <m/>
    <m/>
    <m/>
    <m/>
    <n v="19075718"/>
    <n v="19704483"/>
  </r>
  <r>
    <x v="6"/>
    <x v="0"/>
    <s v="Louisiana State University at Alexandria"/>
    <m/>
    <n v="159382"/>
    <x v="5"/>
    <n v="6620415"/>
    <n v="5520027"/>
    <m/>
    <m/>
    <m/>
    <m/>
    <n v="9115459"/>
    <m/>
    <n v="9115459"/>
    <n v="9838448"/>
    <m/>
    <n v="9838448"/>
    <n v="15735874"/>
    <n v="15358475"/>
    <m/>
    <m/>
    <m/>
    <m/>
    <n v="0"/>
    <m/>
    <m/>
    <n v="0"/>
    <m/>
    <m/>
    <m/>
    <m/>
    <m/>
    <m/>
    <n v="15735874"/>
    <n v="15358475"/>
  </r>
  <r>
    <x v="6"/>
    <x v="0"/>
    <s v="Baton Rouge Community College"/>
    <m/>
    <n v="437103"/>
    <x v="6"/>
    <n v="10059999"/>
    <n v="15506345"/>
    <m/>
    <m/>
    <m/>
    <m/>
    <n v="16970214"/>
    <m/>
    <n v="16970214"/>
    <n v="21176742"/>
    <m/>
    <n v="21176742"/>
    <n v="27030213"/>
    <n v="36683087"/>
    <m/>
    <m/>
    <m/>
    <m/>
    <n v="0"/>
    <m/>
    <m/>
    <n v="0"/>
    <m/>
    <m/>
    <m/>
    <m/>
    <m/>
    <m/>
    <n v="27030213"/>
    <n v="36683087"/>
  </r>
  <r>
    <x v="6"/>
    <x v="0"/>
    <s v="Bossier Parish Community College"/>
    <m/>
    <n v="158431"/>
    <x v="6"/>
    <n v="8266984"/>
    <n v="7597351"/>
    <m/>
    <m/>
    <m/>
    <m/>
    <n v="17667305"/>
    <m/>
    <n v="17667305"/>
    <n v="22165605"/>
    <m/>
    <n v="22165605"/>
    <n v="25934289"/>
    <n v="29762956"/>
    <m/>
    <m/>
    <m/>
    <m/>
    <n v="0"/>
    <m/>
    <m/>
    <n v="0"/>
    <m/>
    <m/>
    <m/>
    <m/>
    <m/>
    <m/>
    <n v="25934289"/>
    <n v="29762956"/>
  </r>
  <r>
    <x v="6"/>
    <x v="0"/>
    <s v="Delgado Community College "/>
    <m/>
    <n v="158662"/>
    <x v="6"/>
    <n v="29250135"/>
    <n v="26855285"/>
    <m/>
    <m/>
    <m/>
    <m/>
    <n v="55578415"/>
    <m/>
    <n v="55578415"/>
    <n v="53678415"/>
    <m/>
    <n v="53678415"/>
    <n v="84828550"/>
    <n v="80533700"/>
    <m/>
    <m/>
    <m/>
    <m/>
    <n v="0"/>
    <m/>
    <m/>
    <n v="0"/>
    <m/>
    <m/>
    <m/>
    <m/>
    <m/>
    <m/>
    <n v="84828550"/>
    <n v="80533700"/>
  </r>
  <r>
    <x v="6"/>
    <x v="0"/>
    <s v="Louisiana State University at Eunice"/>
    <s v="Met the criteria for Two-Year 3 in 2013-14. "/>
    <n v="159407"/>
    <x v="7"/>
    <n v="5054935"/>
    <n v="4925736"/>
    <m/>
    <m/>
    <m/>
    <m/>
    <n v="7448837"/>
    <m/>
    <n v="7448837"/>
    <n v="7451837"/>
    <m/>
    <n v="7451837"/>
    <n v="12503772"/>
    <n v="12377573"/>
    <m/>
    <m/>
    <m/>
    <m/>
    <n v="0"/>
    <m/>
    <m/>
    <n v="0"/>
    <m/>
    <m/>
    <m/>
    <m/>
    <m/>
    <m/>
    <n v="12503772"/>
    <n v="12377573"/>
  </r>
  <r>
    <x v="6"/>
    <x v="0"/>
    <s v="South Louisiana Community College"/>
    <m/>
    <n v="434061"/>
    <x v="7"/>
    <n v="14431435"/>
    <n v="13202447"/>
    <m/>
    <m/>
    <m/>
    <m/>
    <n v="13555912"/>
    <m/>
    <n v="13555912"/>
    <n v="13615719"/>
    <m/>
    <n v="13615719"/>
    <n v="27987347"/>
    <n v="26818166"/>
    <m/>
    <m/>
    <m/>
    <m/>
    <n v="0"/>
    <m/>
    <m/>
    <n v="0"/>
    <m/>
    <m/>
    <m/>
    <m/>
    <m/>
    <m/>
    <n v="27987347"/>
    <n v="26818166"/>
  </r>
  <r>
    <x v="6"/>
    <x v="0"/>
    <s v="Louisiana Delta Community College"/>
    <s v="Reclassified: met the criteria for Two-Year 2 in 2011-12, 2012-13, and 2013-14."/>
    <n v="440624"/>
    <x v="7"/>
    <n v="8463049"/>
    <n v="8320402"/>
    <m/>
    <m/>
    <m/>
    <m/>
    <n v="9493432"/>
    <m/>
    <n v="9493432"/>
    <n v="9307432"/>
    <m/>
    <n v="9307432"/>
    <n v="17956481"/>
    <n v="17627834"/>
    <m/>
    <m/>
    <m/>
    <m/>
    <n v="0"/>
    <m/>
    <m/>
    <n v="0"/>
    <m/>
    <m/>
    <m/>
    <m/>
    <m/>
    <m/>
    <n v="17956481"/>
    <n v="17627834"/>
  </r>
  <r>
    <x v="6"/>
    <x v="0"/>
    <s v="Nunez Community College"/>
    <m/>
    <n v="158884"/>
    <x v="8"/>
    <n v="3324945"/>
    <n v="3195369"/>
    <m/>
    <m/>
    <m/>
    <m/>
    <n v="4200581"/>
    <m/>
    <n v="4200581"/>
    <n v="4203128"/>
    <m/>
    <n v="4203128"/>
    <n v="7525526"/>
    <n v="7398497"/>
    <m/>
    <m/>
    <m/>
    <m/>
    <n v="0"/>
    <m/>
    <m/>
    <n v="0"/>
    <m/>
    <m/>
    <m/>
    <m/>
    <m/>
    <m/>
    <n v="7525526"/>
    <n v="7398497"/>
  </r>
  <r>
    <x v="6"/>
    <x v="0"/>
    <s v="River Parishes Community College"/>
    <m/>
    <n v="436304"/>
    <x v="8"/>
    <n v="3292548"/>
    <n v="3064565"/>
    <m/>
    <m/>
    <m/>
    <m/>
    <n v="4885686"/>
    <m/>
    <n v="4885686"/>
    <n v="4885686"/>
    <m/>
    <n v="4885686"/>
    <n v="8178234"/>
    <n v="7950251"/>
    <m/>
    <m/>
    <m/>
    <m/>
    <n v="0"/>
    <m/>
    <m/>
    <n v="0"/>
    <m/>
    <m/>
    <m/>
    <m/>
    <m/>
    <m/>
    <n v="8178234"/>
    <n v="7950251"/>
  </r>
  <r>
    <x v="6"/>
    <x v="0"/>
    <s v="Southern University in Shreveport"/>
    <s v="Reclassified: met the criteria for Two-Year 2 in 2011-12, 2012-13, and 2013-14."/>
    <n v="160649"/>
    <x v="7"/>
    <n v="5951073"/>
    <n v="7266720"/>
    <m/>
    <m/>
    <m/>
    <m/>
    <n v="6131429"/>
    <m/>
    <n v="6131429"/>
    <n v="6914848"/>
    <m/>
    <n v="6914848"/>
    <n v="12082502"/>
    <n v="14181568"/>
    <m/>
    <m/>
    <m/>
    <m/>
    <n v="0"/>
    <m/>
    <m/>
    <n v="0"/>
    <m/>
    <m/>
    <m/>
    <m/>
    <m/>
    <m/>
    <n v="12082502"/>
    <n v="14181568"/>
  </r>
  <r>
    <x v="6"/>
    <x v="0"/>
    <s v="Capital Area Technical College"/>
    <s v="Met the criteria for Technical Institute or College 2 in 2013-14."/>
    <n v="158352"/>
    <x v="9"/>
    <n v="6736654"/>
    <n v="0"/>
    <m/>
    <m/>
    <m/>
    <m/>
    <n v="2156123"/>
    <m/>
    <n v="2156123"/>
    <n v="0"/>
    <m/>
    <n v="0"/>
    <n v="8892777"/>
    <n v="0"/>
    <m/>
    <m/>
    <m/>
    <m/>
    <n v="0"/>
    <m/>
    <m/>
    <n v="0"/>
    <m/>
    <m/>
    <m/>
    <m/>
    <m/>
    <m/>
    <n v="8892777"/>
    <n v="0"/>
  </r>
  <r>
    <x v="6"/>
    <x v="0"/>
    <s v="Central LA Technical College"/>
    <m/>
    <n v="158088"/>
    <x v="9"/>
    <n v="6307926"/>
    <n v="5964289"/>
    <m/>
    <m/>
    <m/>
    <m/>
    <n v="3622581"/>
    <m/>
    <n v="3622581"/>
    <n v="3568428"/>
    <m/>
    <n v="3568428"/>
    <n v="9930507"/>
    <n v="9532717"/>
    <m/>
    <m/>
    <m/>
    <m/>
    <n v="0"/>
    <m/>
    <m/>
    <n v="0"/>
    <m/>
    <m/>
    <m/>
    <m/>
    <m/>
    <m/>
    <n v="9930507"/>
    <n v="9532717"/>
  </r>
  <r>
    <x v="6"/>
    <x v="0"/>
    <s v="L.E. Fletcher Technical Community College"/>
    <m/>
    <n v="160481"/>
    <x v="9"/>
    <n v="2974394"/>
    <n v="2750722"/>
    <m/>
    <m/>
    <m/>
    <m/>
    <n v="5258138"/>
    <m/>
    <n v="5258138"/>
    <n v="5260138"/>
    <m/>
    <n v="5260138"/>
    <n v="8232532"/>
    <n v="8010860"/>
    <m/>
    <m/>
    <m/>
    <m/>
    <n v="0"/>
    <m/>
    <m/>
    <n v="0"/>
    <m/>
    <m/>
    <m/>
    <m/>
    <m/>
    <m/>
    <n v="8232532"/>
    <n v="8010860"/>
  </r>
  <r>
    <x v="6"/>
    <x v="0"/>
    <s v="Northshore Technical College"/>
    <m/>
    <n v="160667"/>
    <x v="9"/>
    <n v="5088336"/>
    <n v="5139834"/>
    <m/>
    <m/>
    <m/>
    <m/>
    <n v="4592135"/>
    <m/>
    <n v="4592135"/>
    <n v="4602943"/>
    <m/>
    <n v="4602943"/>
    <n v="9680471"/>
    <n v="9742777"/>
    <m/>
    <m/>
    <m/>
    <m/>
    <n v="0"/>
    <m/>
    <m/>
    <n v="0"/>
    <m/>
    <m/>
    <m/>
    <m/>
    <m/>
    <m/>
    <n v="9680471"/>
    <n v="9742777"/>
  </r>
  <r>
    <x v="6"/>
    <x v="0"/>
    <s v="Northwest LA Technical College"/>
    <m/>
    <n v="160010"/>
    <x v="9"/>
    <n v="7425604"/>
    <n v="7073086"/>
    <m/>
    <m/>
    <m/>
    <m/>
    <n v="2904576"/>
    <m/>
    <n v="2904576"/>
    <n v="3194576"/>
    <m/>
    <n v="3194576"/>
    <n v="10330180"/>
    <n v="10267662"/>
    <m/>
    <m/>
    <m/>
    <m/>
    <n v="0"/>
    <m/>
    <m/>
    <n v="0"/>
    <m/>
    <m/>
    <m/>
    <m/>
    <m/>
    <m/>
    <n v="10330180"/>
    <n v="10267662"/>
  </r>
  <r>
    <x v="6"/>
    <x v="0"/>
    <s v="South Central LA Technical College"/>
    <m/>
    <n v="160913"/>
    <x v="9"/>
    <n v="5200772"/>
    <n v="4382401"/>
    <m/>
    <m/>
    <m/>
    <m/>
    <n v="3378827"/>
    <m/>
    <n v="3378827"/>
    <n v="3378827"/>
    <m/>
    <n v="3378827"/>
    <n v="8579599"/>
    <n v="7761228"/>
    <m/>
    <m/>
    <m/>
    <m/>
    <n v="0"/>
    <m/>
    <m/>
    <n v="0"/>
    <m/>
    <m/>
    <m/>
    <m/>
    <m/>
    <m/>
    <n v="8579599"/>
    <n v="7761228"/>
  </r>
  <r>
    <x v="6"/>
    <x v="0"/>
    <s v="Sowela Technical Community College"/>
    <m/>
    <n v="160579"/>
    <x v="9"/>
    <n v="6116270"/>
    <n v="5969614"/>
    <m/>
    <m/>
    <m/>
    <m/>
    <n v="5785517"/>
    <m/>
    <n v="5785517"/>
    <n v="6587706"/>
    <m/>
    <n v="6587706"/>
    <n v="11901787"/>
    <n v="12557320"/>
    <m/>
    <m/>
    <m/>
    <m/>
    <n v="0"/>
    <m/>
    <m/>
    <n v="0"/>
    <m/>
    <m/>
    <m/>
    <m/>
    <m/>
    <m/>
    <n v="11901787"/>
    <n v="12557320"/>
  </r>
  <r>
    <x v="6"/>
    <x v="41"/>
    <s v="Louisiana State University Health Sciences Center—New Orleans"/>
    <m/>
    <n v="159373"/>
    <x v="11"/>
    <m/>
    <m/>
    <m/>
    <m/>
    <m/>
    <m/>
    <m/>
    <m/>
    <n v="0"/>
    <m/>
    <m/>
    <n v="0"/>
    <n v="0"/>
    <n v="0"/>
    <m/>
    <m/>
    <m/>
    <m/>
    <n v="0"/>
    <m/>
    <m/>
    <n v="0"/>
    <n v="95248738"/>
    <n v="92191762"/>
    <n v="33672249"/>
    <m/>
    <n v="38433326"/>
    <m/>
    <n v="128920987"/>
    <n v="130625088"/>
  </r>
  <r>
    <x v="6"/>
    <x v="41"/>
    <s v="Louisiana State University Health Sciences Center — Shreveport"/>
    <m/>
    <n v="435000"/>
    <x v="11"/>
    <m/>
    <m/>
    <m/>
    <m/>
    <m/>
    <m/>
    <m/>
    <m/>
    <n v="0"/>
    <m/>
    <m/>
    <n v="0"/>
    <n v="0"/>
    <n v="0"/>
    <m/>
    <m/>
    <m/>
    <m/>
    <n v="0"/>
    <m/>
    <m/>
    <n v="0"/>
    <n v="60728817"/>
    <n v="47521783"/>
    <n v="12272191"/>
    <m/>
    <n v="13803766"/>
    <m/>
    <n v="73001008"/>
    <n v="61325549"/>
  </r>
  <r>
    <x v="6"/>
    <x v="10"/>
    <s v="Statewide Special-Purpose Units"/>
    <m/>
    <m/>
    <x v="12"/>
    <m/>
    <m/>
    <m/>
    <m/>
    <m/>
    <m/>
    <m/>
    <m/>
    <n v="0"/>
    <m/>
    <m/>
    <n v="0"/>
    <n v="0"/>
    <n v="0"/>
    <m/>
    <m/>
    <m/>
    <m/>
    <n v="0"/>
    <m/>
    <m/>
    <n v="0"/>
    <m/>
    <m/>
    <m/>
    <m/>
    <m/>
    <m/>
    <n v="0"/>
    <n v="0"/>
  </r>
  <r>
    <x v="6"/>
    <x v="42"/>
    <s v="Community or public service units"/>
    <m/>
    <m/>
    <x v="12"/>
    <m/>
    <m/>
    <m/>
    <m/>
    <m/>
    <m/>
    <m/>
    <m/>
    <n v="0"/>
    <m/>
    <m/>
    <n v="0"/>
    <n v="0"/>
    <n v="0"/>
    <m/>
    <m/>
    <m/>
    <m/>
    <n v="0"/>
    <m/>
    <m/>
    <n v="0"/>
    <m/>
    <m/>
    <m/>
    <m/>
    <m/>
    <m/>
    <n v="0"/>
    <n v="0"/>
  </r>
  <r>
    <x v="6"/>
    <x v="42"/>
    <s v="Center for Innovative Teaching and Learning (CITAL)"/>
    <m/>
    <m/>
    <x v="12"/>
    <m/>
    <m/>
    <n v="311466"/>
    <n v="287216"/>
    <m/>
    <m/>
    <m/>
    <m/>
    <n v="0"/>
    <m/>
    <m/>
    <n v="0"/>
    <n v="311466"/>
    <n v="287216"/>
    <m/>
    <m/>
    <m/>
    <m/>
    <n v="0"/>
    <m/>
    <m/>
    <n v="0"/>
    <m/>
    <m/>
    <m/>
    <m/>
    <m/>
    <m/>
    <n v="311466"/>
    <n v="287216"/>
  </r>
  <r>
    <x v="6"/>
    <x v="11"/>
    <s v="LA Universities' Marine Consortium"/>
    <m/>
    <m/>
    <x v="12"/>
    <m/>
    <m/>
    <n v="2439647"/>
    <n v="2376091"/>
    <m/>
    <m/>
    <m/>
    <m/>
    <n v="0"/>
    <m/>
    <m/>
    <n v="0"/>
    <n v="2439647"/>
    <n v="2376091"/>
    <m/>
    <m/>
    <m/>
    <m/>
    <n v="0"/>
    <m/>
    <m/>
    <n v="0"/>
    <m/>
    <m/>
    <m/>
    <m/>
    <m/>
    <m/>
    <n v="2439647"/>
    <n v="2376091"/>
  </r>
  <r>
    <x v="6"/>
    <x v="11"/>
    <s v="Pennington Biomedical Research Center"/>
    <m/>
    <m/>
    <x v="12"/>
    <m/>
    <m/>
    <n v="12454062"/>
    <n v="13450046"/>
    <m/>
    <m/>
    <m/>
    <m/>
    <n v="0"/>
    <m/>
    <m/>
    <n v="0"/>
    <n v="12454062"/>
    <n v="13450046"/>
    <m/>
    <m/>
    <m/>
    <m/>
    <n v="0"/>
    <m/>
    <m/>
    <n v="0"/>
    <m/>
    <m/>
    <m/>
    <m/>
    <m/>
    <m/>
    <n v="12454062"/>
    <n v="13450046"/>
  </r>
  <r>
    <x v="6"/>
    <x v="13"/>
    <s v="Education special purpose funds — all other"/>
    <m/>
    <m/>
    <x v="12"/>
    <m/>
    <m/>
    <m/>
    <m/>
    <m/>
    <m/>
    <m/>
    <m/>
    <n v="0"/>
    <m/>
    <m/>
    <n v="0"/>
    <n v="0"/>
    <n v="0"/>
    <m/>
    <m/>
    <m/>
    <m/>
    <n v="0"/>
    <m/>
    <m/>
    <n v="0"/>
    <m/>
    <m/>
    <m/>
    <m/>
    <m/>
    <m/>
    <n v="0"/>
    <n v="0"/>
  </r>
  <r>
    <x v="6"/>
    <x v="13"/>
    <s v="Health Care WorkForce"/>
    <m/>
    <m/>
    <x v="12"/>
    <m/>
    <m/>
    <n v="1487676"/>
    <n v="400000"/>
    <m/>
    <m/>
    <m/>
    <m/>
    <n v="0"/>
    <m/>
    <m/>
    <n v="0"/>
    <n v="1487676"/>
    <n v="400000"/>
    <m/>
    <m/>
    <m/>
    <m/>
    <n v="0"/>
    <m/>
    <m/>
    <n v="0"/>
    <m/>
    <m/>
    <m/>
    <m/>
    <m/>
    <m/>
    <n v="1487676"/>
    <n v="400000"/>
  </r>
  <r>
    <x v="6"/>
    <x v="13"/>
    <s v="Distance learning"/>
    <m/>
    <m/>
    <x v="12"/>
    <m/>
    <m/>
    <n v="354000"/>
    <n v="250000"/>
    <m/>
    <m/>
    <m/>
    <m/>
    <n v="0"/>
    <m/>
    <m/>
    <n v="0"/>
    <n v="354000"/>
    <n v="250000"/>
    <m/>
    <m/>
    <m/>
    <m/>
    <n v="0"/>
    <m/>
    <m/>
    <n v="0"/>
    <m/>
    <m/>
    <m/>
    <m/>
    <m/>
    <m/>
    <n v="354000"/>
    <n v="250000"/>
  </r>
  <r>
    <x v="6"/>
    <x v="13"/>
    <s v="LA Online Library Network (LOUIS)"/>
    <m/>
    <m/>
    <x v="12"/>
    <m/>
    <m/>
    <n v="500000"/>
    <n v="500000"/>
    <m/>
    <m/>
    <m/>
    <m/>
    <n v="0"/>
    <m/>
    <m/>
    <n v="0"/>
    <n v="500000"/>
    <n v="500000"/>
    <m/>
    <m/>
    <m/>
    <m/>
    <n v="0"/>
    <m/>
    <m/>
    <n v="0"/>
    <m/>
    <m/>
    <m/>
    <m/>
    <m/>
    <m/>
    <n v="500000"/>
    <n v="500000"/>
  </r>
  <r>
    <x v="6"/>
    <x v="13"/>
    <s v="LA Endowment for the Humanities"/>
    <m/>
    <m/>
    <x v="12"/>
    <m/>
    <m/>
    <n v="0"/>
    <n v="0"/>
    <m/>
    <m/>
    <m/>
    <m/>
    <n v="0"/>
    <m/>
    <m/>
    <n v="0"/>
    <n v="0"/>
    <n v="0"/>
    <m/>
    <m/>
    <m/>
    <m/>
    <n v="0"/>
    <m/>
    <m/>
    <n v="0"/>
    <m/>
    <m/>
    <m/>
    <m/>
    <m/>
    <m/>
    <n v="0"/>
    <n v="0"/>
  </r>
  <r>
    <x v="6"/>
    <x v="13"/>
    <s v="Endowed Chairs/Professorships"/>
    <m/>
    <m/>
    <x v="12"/>
    <m/>
    <m/>
    <n v="3200000"/>
    <n v="4020000"/>
    <m/>
    <m/>
    <m/>
    <m/>
    <n v="0"/>
    <m/>
    <m/>
    <n v="0"/>
    <n v="3200000"/>
    <n v="4020000"/>
    <m/>
    <m/>
    <m/>
    <m/>
    <n v="0"/>
    <m/>
    <m/>
    <n v="0"/>
    <m/>
    <m/>
    <m/>
    <m/>
    <m/>
    <m/>
    <n v="3200000"/>
    <n v="4020000"/>
  </r>
  <r>
    <x v="6"/>
    <x v="13"/>
    <s v="Endowed Scholarships"/>
    <m/>
    <m/>
    <x v="12"/>
    <m/>
    <m/>
    <n v="1000000"/>
    <n v="1000000"/>
    <m/>
    <m/>
    <m/>
    <m/>
    <n v="0"/>
    <m/>
    <m/>
    <n v="0"/>
    <n v="1000000"/>
    <n v="1000000"/>
    <m/>
    <m/>
    <m/>
    <m/>
    <n v="0"/>
    <m/>
    <m/>
    <n v="0"/>
    <m/>
    <m/>
    <m/>
    <m/>
    <m/>
    <m/>
    <n v="1000000"/>
    <n v="1000000"/>
  </r>
  <r>
    <x v="6"/>
    <x v="13"/>
    <s v="LONI"/>
    <m/>
    <m/>
    <x v="12"/>
    <m/>
    <m/>
    <n v="3740434"/>
    <n v="4626423"/>
    <m/>
    <m/>
    <m/>
    <m/>
    <n v="0"/>
    <m/>
    <m/>
    <n v="0"/>
    <n v="3740434"/>
    <n v="4626423"/>
    <m/>
    <m/>
    <m/>
    <m/>
    <n v="0"/>
    <m/>
    <m/>
    <n v="0"/>
    <m/>
    <m/>
    <m/>
    <m/>
    <m/>
    <m/>
    <n v="3740434"/>
    <n v="4626423"/>
  </r>
  <r>
    <x v="6"/>
    <x v="13"/>
    <s v="Other Initiatives"/>
    <m/>
    <m/>
    <x v="12"/>
    <m/>
    <m/>
    <n v="100000"/>
    <n v="0"/>
    <m/>
    <m/>
    <m/>
    <m/>
    <n v="0"/>
    <m/>
    <m/>
    <n v="0"/>
    <n v="100000"/>
    <n v="0"/>
    <m/>
    <m/>
    <m/>
    <m/>
    <n v="0"/>
    <m/>
    <m/>
    <n v="0"/>
    <m/>
    <m/>
    <m/>
    <m/>
    <m/>
    <m/>
    <n v="100000"/>
    <n v="0"/>
  </r>
  <r>
    <x v="6"/>
    <x v="13"/>
    <s v="Adult Education"/>
    <m/>
    <m/>
    <x v="12"/>
    <m/>
    <m/>
    <n v="350000"/>
    <n v="150000"/>
    <m/>
    <m/>
    <m/>
    <m/>
    <n v="0"/>
    <m/>
    <m/>
    <n v="0"/>
    <n v="350000"/>
    <n v="150000"/>
    <m/>
    <m/>
    <m/>
    <m/>
    <n v="0"/>
    <m/>
    <m/>
    <n v="0"/>
    <m/>
    <m/>
    <m/>
    <m/>
    <m/>
    <m/>
    <n v="350000"/>
    <n v="150000"/>
  </r>
  <r>
    <x v="6"/>
    <x v="14"/>
    <s v="Statewide System Operations"/>
    <m/>
    <m/>
    <x v="12"/>
    <m/>
    <m/>
    <m/>
    <m/>
    <m/>
    <m/>
    <m/>
    <m/>
    <n v="0"/>
    <m/>
    <m/>
    <n v="0"/>
    <n v="0"/>
    <n v="0"/>
    <m/>
    <m/>
    <m/>
    <m/>
    <n v="0"/>
    <m/>
    <m/>
    <n v="0"/>
    <m/>
    <m/>
    <m/>
    <m/>
    <m/>
    <m/>
    <n v="0"/>
    <n v="0"/>
  </r>
  <r>
    <x v="6"/>
    <x v="15"/>
    <s v="Colleges and universities"/>
    <m/>
    <m/>
    <x v="12"/>
    <m/>
    <m/>
    <m/>
    <m/>
    <m/>
    <m/>
    <m/>
    <m/>
    <n v="0"/>
    <m/>
    <m/>
    <n v="0"/>
    <n v="0"/>
    <n v="0"/>
    <m/>
    <m/>
    <m/>
    <m/>
    <n v="0"/>
    <m/>
    <m/>
    <n v="0"/>
    <m/>
    <m/>
    <m/>
    <m/>
    <m/>
    <m/>
    <n v="0"/>
    <n v="0"/>
  </r>
  <r>
    <x v="6"/>
    <x v="15"/>
    <s v="Board of Regents"/>
    <m/>
    <m/>
    <x v="12"/>
    <m/>
    <m/>
    <m/>
    <m/>
    <m/>
    <m/>
    <m/>
    <m/>
    <n v="0"/>
    <m/>
    <m/>
    <n v="0"/>
    <n v="0"/>
    <n v="0"/>
    <n v="6428372"/>
    <n v="6897522"/>
    <m/>
    <m/>
    <n v="0"/>
    <m/>
    <m/>
    <n v="0"/>
    <m/>
    <m/>
    <m/>
    <m/>
    <m/>
    <m/>
    <n v="6428372"/>
    <n v="6897522"/>
  </r>
  <r>
    <x v="6"/>
    <x v="15"/>
    <s v="Southern University System Office"/>
    <m/>
    <m/>
    <x v="12"/>
    <m/>
    <m/>
    <m/>
    <m/>
    <m/>
    <m/>
    <m/>
    <m/>
    <n v="0"/>
    <m/>
    <m/>
    <n v="0"/>
    <n v="0"/>
    <n v="0"/>
    <n v="2421547"/>
    <n v="14421547"/>
    <m/>
    <m/>
    <n v="0"/>
    <m/>
    <m/>
    <n v="0"/>
    <m/>
    <m/>
    <m/>
    <m/>
    <m/>
    <m/>
    <n v="2421547"/>
    <n v="14421547"/>
  </r>
  <r>
    <x v="6"/>
    <x v="15"/>
    <s v="LA State University System Office"/>
    <m/>
    <m/>
    <x v="12"/>
    <m/>
    <m/>
    <m/>
    <m/>
    <m/>
    <m/>
    <m/>
    <m/>
    <n v="0"/>
    <m/>
    <m/>
    <n v="0"/>
    <n v="0"/>
    <n v="0"/>
    <n v="3495054"/>
    <n v="12495054"/>
    <m/>
    <m/>
    <n v="0"/>
    <m/>
    <m/>
    <n v="0"/>
    <m/>
    <m/>
    <m/>
    <m/>
    <m/>
    <m/>
    <n v="3495054"/>
    <n v="12495054"/>
  </r>
  <r>
    <x v="6"/>
    <x v="15"/>
    <s v="Univ. of LA System Office"/>
    <m/>
    <m/>
    <x v="12"/>
    <m/>
    <m/>
    <m/>
    <m/>
    <m/>
    <m/>
    <m/>
    <m/>
    <n v="0"/>
    <m/>
    <m/>
    <n v="0"/>
    <n v="0"/>
    <n v="0"/>
    <n v="1034112"/>
    <n v="11034112"/>
    <m/>
    <m/>
    <n v="0"/>
    <m/>
    <m/>
    <n v="0"/>
    <m/>
    <m/>
    <m/>
    <m/>
    <m/>
    <m/>
    <n v="1034112"/>
    <n v="11034112"/>
  </r>
  <r>
    <x v="6"/>
    <x v="16"/>
    <s v="Two-year system(s), if any"/>
    <m/>
    <m/>
    <x v="12"/>
    <m/>
    <m/>
    <m/>
    <m/>
    <m/>
    <m/>
    <m/>
    <m/>
    <n v="0"/>
    <m/>
    <m/>
    <n v="0"/>
    <n v="0"/>
    <n v="0"/>
    <m/>
    <m/>
    <m/>
    <m/>
    <n v="0"/>
    <m/>
    <m/>
    <n v="0"/>
    <m/>
    <m/>
    <m/>
    <m/>
    <m/>
    <m/>
    <n v="0"/>
    <n v="0"/>
  </r>
  <r>
    <x v="6"/>
    <x v="16"/>
    <s v="LA Community and Technical College System Office"/>
    <m/>
    <m/>
    <x v="12"/>
    <m/>
    <m/>
    <m/>
    <m/>
    <m/>
    <m/>
    <m/>
    <m/>
    <n v="0"/>
    <m/>
    <m/>
    <n v="0"/>
    <n v="0"/>
    <n v="0"/>
    <n v="17059701"/>
    <n v="27156540"/>
    <m/>
    <m/>
    <n v="0"/>
    <m/>
    <m/>
    <n v="0"/>
    <m/>
    <m/>
    <m/>
    <m/>
    <m/>
    <m/>
    <n v="17059701"/>
    <n v="27156540"/>
  </r>
  <r>
    <x v="6"/>
    <x v="17"/>
    <s v="National or regional associations, compacts or consortia"/>
    <m/>
    <m/>
    <x v="12"/>
    <m/>
    <m/>
    <m/>
    <m/>
    <m/>
    <m/>
    <m/>
    <m/>
    <n v="0"/>
    <m/>
    <m/>
    <n v="0"/>
    <n v="0"/>
    <n v="0"/>
    <m/>
    <m/>
    <m/>
    <m/>
    <n v="0"/>
    <m/>
    <m/>
    <n v="0"/>
    <m/>
    <m/>
    <m/>
    <m/>
    <m/>
    <m/>
    <n v="0"/>
    <n v="0"/>
  </r>
  <r>
    <x v="6"/>
    <x v="17"/>
    <s v="SREB"/>
    <m/>
    <m/>
    <x v="12"/>
    <m/>
    <m/>
    <m/>
    <m/>
    <m/>
    <m/>
    <m/>
    <m/>
    <n v="0"/>
    <m/>
    <m/>
    <n v="0"/>
    <n v="0"/>
    <n v="0"/>
    <m/>
    <m/>
    <m/>
    <m/>
    <n v="0"/>
    <m/>
    <m/>
    <n v="0"/>
    <m/>
    <m/>
    <m/>
    <m/>
    <m/>
    <m/>
    <n v="0"/>
    <n v="0"/>
  </r>
  <r>
    <x v="6"/>
    <x v="18"/>
    <s v="Adm. of Statewide Student Aid Progs. (incldng centralized guaranteed student loans)"/>
    <m/>
    <m/>
    <x v="12"/>
    <m/>
    <m/>
    <m/>
    <m/>
    <m/>
    <m/>
    <m/>
    <m/>
    <n v="0"/>
    <m/>
    <m/>
    <n v="0"/>
    <n v="0"/>
    <n v="0"/>
    <m/>
    <m/>
    <m/>
    <m/>
    <n v="0"/>
    <m/>
    <m/>
    <n v="0"/>
    <m/>
    <m/>
    <m/>
    <m/>
    <m/>
    <m/>
    <n v="0"/>
    <n v="0"/>
  </r>
  <r>
    <x v="6"/>
    <x v="18"/>
    <s v="Louisiana Office of Student Financial Aid (LOSFA)"/>
    <m/>
    <m/>
    <x v="12"/>
    <m/>
    <m/>
    <m/>
    <m/>
    <m/>
    <m/>
    <m/>
    <m/>
    <n v="0"/>
    <m/>
    <m/>
    <n v="0"/>
    <n v="0"/>
    <n v="0"/>
    <n v="2228864"/>
    <n v="120864"/>
    <m/>
    <m/>
    <n v="0"/>
    <m/>
    <m/>
    <n v="0"/>
    <m/>
    <m/>
    <m/>
    <m/>
    <m/>
    <m/>
    <n v="2228864"/>
    <n v="120864"/>
  </r>
  <r>
    <x v="6"/>
    <x v="19"/>
    <s v="State Support to Private Colleges Other Than Student Aid (ATI)"/>
    <m/>
    <m/>
    <x v="12"/>
    <m/>
    <m/>
    <m/>
    <m/>
    <m/>
    <m/>
    <m/>
    <m/>
    <n v="0"/>
    <m/>
    <m/>
    <n v="0"/>
    <n v="0"/>
    <n v="0"/>
    <m/>
    <m/>
    <m/>
    <m/>
    <n v="0"/>
    <m/>
    <m/>
    <n v="0"/>
    <m/>
    <m/>
    <m/>
    <m/>
    <m/>
    <m/>
    <n v="0"/>
    <n v="0"/>
  </r>
  <r>
    <x v="6"/>
    <x v="20"/>
    <s v="Contract Education Programs"/>
    <m/>
    <m/>
    <x v="12"/>
    <m/>
    <m/>
    <m/>
    <m/>
    <m/>
    <m/>
    <m/>
    <m/>
    <n v="0"/>
    <m/>
    <m/>
    <n v="0"/>
    <n v="0"/>
    <n v="0"/>
    <m/>
    <m/>
    <m/>
    <m/>
    <n v="0"/>
    <m/>
    <m/>
    <n v="0"/>
    <m/>
    <m/>
    <m/>
    <m/>
    <m/>
    <m/>
    <n v="0"/>
    <n v="0"/>
  </r>
  <r>
    <x v="6"/>
    <x v="21"/>
    <s v="SREB contract program with private colleges"/>
    <m/>
    <m/>
    <x v="12"/>
    <m/>
    <m/>
    <m/>
    <m/>
    <m/>
    <m/>
    <m/>
    <m/>
    <n v="0"/>
    <m/>
    <m/>
    <n v="0"/>
    <n v="0"/>
    <n v="0"/>
    <m/>
    <m/>
    <m/>
    <m/>
    <n v="0"/>
    <m/>
    <m/>
    <n v="0"/>
    <m/>
    <m/>
    <m/>
    <m/>
    <m/>
    <m/>
    <n v="0"/>
    <n v="0"/>
  </r>
  <r>
    <x v="6"/>
    <x v="22"/>
    <s v="SREB contract program with public colleges"/>
    <m/>
    <m/>
    <x v="12"/>
    <m/>
    <m/>
    <m/>
    <m/>
    <m/>
    <m/>
    <m/>
    <m/>
    <n v="0"/>
    <m/>
    <m/>
    <n v="0"/>
    <n v="0"/>
    <n v="0"/>
    <n v="380000"/>
    <n v="587495"/>
    <m/>
    <m/>
    <n v="0"/>
    <m/>
    <m/>
    <n v="0"/>
    <m/>
    <m/>
    <m/>
    <m/>
    <m/>
    <m/>
    <n v="380000"/>
    <n v="587495"/>
  </r>
  <r>
    <x v="6"/>
    <x v="23"/>
    <s v="Other contract education programs"/>
    <m/>
    <m/>
    <x v="12"/>
    <m/>
    <m/>
    <m/>
    <m/>
    <m/>
    <m/>
    <m/>
    <m/>
    <n v="0"/>
    <m/>
    <m/>
    <n v="0"/>
    <n v="0"/>
    <n v="0"/>
    <m/>
    <m/>
    <m/>
    <m/>
    <n v="0"/>
    <m/>
    <m/>
    <n v="0"/>
    <m/>
    <m/>
    <m/>
    <m/>
    <m/>
    <m/>
    <n v="0"/>
    <n v="0"/>
  </r>
  <r>
    <x v="6"/>
    <x v="24"/>
    <s v="Statewide Student Financial Aid Programs Administered Off Campus"/>
    <m/>
    <m/>
    <x v="12"/>
    <m/>
    <m/>
    <m/>
    <m/>
    <m/>
    <m/>
    <m/>
    <m/>
    <n v="0"/>
    <m/>
    <m/>
    <n v="0"/>
    <n v="0"/>
    <n v="0"/>
    <m/>
    <m/>
    <m/>
    <m/>
    <n v="0"/>
    <m/>
    <m/>
    <n v="0"/>
    <m/>
    <m/>
    <m/>
    <m/>
    <m/>
    <m/>
    <n v="0"/>
    <n v="0"/>
  </r>
  <r>
    <x v="6"/>
    <x v="25"/>
    <s v="Available to public &amp; private sector students"/>
    <m/>
    <m/>
    <x v="12"/>
    <m/>
    <m/>
    <m/>
    <m/>
    <m/>
    <m/>
    <m/>
    <m/>
    <n v="0"/>
    <m/>
    <m/>
    <n v="0"/>
    <n v="0"/>
    <n v="0"/>
    <m/>
    <m/>
    <m/>
    <m/>
    <n v="0"/>
    <m/>
    <m/>
    <n v="0"/>
    <m/>
    <m/>
    <m/>
    <m/>
    <m/>
    <m/>
    <n v="0"/>
    <n v="0"/>
  </r>
  <r>
    <x v="6"/>
    <x v="25"/>
    <s v="TOPS,GO GRANT, LEAP"/>
    <m/>
    <m/>
    <x v="12"/>
    <m/>
    <m/>
    <m/>
    <m/>
    <m/>
    <m/>
    <m/>
    <m/>
    <n v="0"/>
    <m/>
    <m/>
    <n v="0"/>
    <n v="0"/>
    <n v="0"/>
    <m/>
    <m/>
    <m/>
    <m/>
    <n v="0"/>
    <m/>
    <m/>
    <n v="0"/>
    <m/>
    <m/>
    <m/>
    <m/>
    <m/>
    <m/>
    <n v="0"/>
    <n v="0"/>
  </r>
  <r>
    <x v="6"/>
    <x v="28"/>
    <s v="Amount to public sector students"/>
    <m/>
    <m/>
    <x v="12"/>
    <m/>
    <m/>
    <m/>
    <m/>
    <m/>
    <m/>
    <m/>
    <m/>
    <n v="0"/>
    <m/>
    <m/>
    <n v="0"/>
    <n v="0"/>
    <n v="0"/>
    <m/>
    <m/>
    <m/>
    <m/>
    <n v="0"/>
    <m/>
    <m/>
    <n v="0"/>
    <m/>
    <m/>
    <m/>
    <m/>
    <m/>
    <m/>
    <n v="0"/>
    <n v="0"/>
  </r>
  <r>
    <x v="6"/>
    <x v="29"/>
    <s v="Need-based"/>
    <m/>
    <m/>
    <x v="12"/>
    <m/>
    <m/>
    <m/>
    <m/>
    <m/>
    <m/>
    <m/>
    <m/>
    <n v="0"/>
    <m/>
    <m/>
    <n v="0"/>
    <n v="0"/>
    <n v="0"/>
    <n v="23823140"/>
    <n v="23783131"/>
    <m/>
    <m/>
    <n v="0"/>
    <m/>
    <m/>
    <n v="0"/>
    <m/>
    <m/>
    <m/>
    <m/>
    <m/>
    <m/>
    <n v="23823140"/>
    <n v="23783131"/>
  </r>
  <r>
    <x v="6"/>
    <x v="30"/>
    <s v="Non need-based"/>
    <m/>
    <m/>
    <x v="12"/>
    <m/>
    <m/>
    <m/>
    <m/>
    <m/>
    <m/>
    <m/>
    <m/>
    <n v="0"/>
    <m/>
    <m/>
    <n v="0"/>
    <n v="0"/>
    <n v="0"/>
    <n v="176903369"/>
    <n v="199825710"/>
    <m/>
    <m/>
    <n v="0"/>
    <m/>
    <m/>
    <n v="0"/>
    <m/>
    <m/>
    <m/>
    <m/>
    <m/>
    <m/>
    <n v="176903369"/>
    <n v="199825710"/>
  </r>
  <r>
    <x v="6"/>
    <x v="31"/>
    <s v="Amount to private sector students"/>
    <m/>
    <m/>
    <x v="12"/>
    <m/>
    <m/>
    <m/>
    <m/>
    <m/>
    <m/>
    <m/>
    <m/>
    <n v="0"/>
    <m/>
    <m/>
    <n v="0"/>
    <n v="0"/>
    <n v="0"/>
    <m/>
    <m/>
    <m/>
    <m/>
    <n v="0"/>
    <m/>
    <m/>
    <n v="0"/>
    <m/>
    <m/>
    <m/>
    <m/>
    <m/>
    <m/>
    <n v="0"/>
    <n v="0"/>
  </r>
  <r>
    <x v="6"/>
    <x v="32"/>
    <s v="Need-based"/>
    <m/>
    <m/>
    <x v="12"/>
    <m/>
    <m/>
    <m/>
    <m/>
    <m/>
    <m/>
    <m/>
    <m/>
    <n v="0"/>
    <m/>
    <m/>
    <n v="0"/>
    <n v="0"/>
    <n v="0"/>
    <n v="2340677"/>
    <n v="2335638"/>
    <m/>
    <m/>
    <n v="0"/>
    <m/>
    <m/>
    <n v="0"/>
    <m/>
    <m/>
    <m/>
    <m/>
    <m/>
    <m/>
    <n v="2340677"/>
    <n v="2335638"/>
  </r>
  <r>
    <x v="6"/>
    <x v="33"/>
    <s v="Non need-based"/>
    <m/>
    <m/>
    <x v="12"/>
    <m/>
    <m/>
    <m/>
    <m/>
    <m/>
    <m/>
    <m/>
    <m/>
    <n v="0"/>
    <m/>
    <m/>
    <n v="0"/>
    <n v="0"/>
    <n v="0"/>
    <n v="14121895"/>
    <n v="14866958"/>
    <m/>
    <m/>
    <n v="0"/>
    <m/>
    <m/>
    <n v="0"/>
    <m/>
    <m/>
    <m/>
    <m/>
    <m/>
    <m/>
    <n v="14121895"/>
    <n v="14866958"/>
  </r>
  <r>
    <x v="6"/>
    <x v="34"/>
    <s v="Limited to public college students only"/>
    <m/>
    <m/>
    <x v="12"/>
    <m/>
    <m/>
    <m/>
    <m/>
    <m/>
    <m/>
    <m/>
    <m/>
    <n v="0"/>
    <m/>
    <m/>
    <n v="0"/>
    <n v="0"/>
    <n v="0"/>
    <m/>
    <m/>
    <m/>
    <m/>
    <n v="0"/>
    <m/>
    <m/>
    <n v="0"/>
    <m/>
    <m/>
    <m/>
    <m/>
    <m/>
    <m/>
    <n v="0"/>
    <n v="0"/>
  </r>
  <r>
    <x v="6"/>
    <x v="34"/>
    <s v="ROCKEFELLER/DUAL ENROLLMENT"/>
    <m/>
    <m/>
    <x v="12"/>
    <m/>
    <m/>
    <m/>
    <m/>
    <m/>
    <m/>
    <m/>
    <m/>
    <n v="0"/>
    <m/>
    <m/>
    <n v="0"/>
    <n v="0"/>
    <n v="0"/>
    <m/>
    <m/>
    <m/>
    <m/>
    <n v="0"/>
    <m/>
    <m/>
    <n v="0"/>
    <m/>
    <m/>
    <m/>
    <m/>
    <m/>
    <m/>
    <n v="0"/>
    <n v="0"/>
  </r>
  <r>
    <x v="6"/>
    <x v="35"/>
    <s v="Need-based"/>
    <m/>
    <m/>
    <x v="12"/>
    <m/>
    <m/>
    <m/>
    <m/>
    <m/>
    <m/>
    <m/>
    <m/>
    <n v="0"/>
    <m/>
    <m/>
    <n v="0"/>
    <n v="0"/>
    <n v="0"/>
    <m/>
    <m/>
    <m/>
    <m/>
    <n v="0"/>
    <m/>
    <m/>
    <n v="0"/>
    <m/>
    <m/>
    <m/>
    <m/>
    <m/>
    <m/>
    <n v="0"/>
    <n v="0"/>
  </r>
  <r>
    <x v="6"/>
    <x v="36"/>
    <s v="Non need-based"/>
    <m/>
    <m/>
    <x v="12"/>
    <m/>
    <m/>
    <m/>
    <m/>
    <m/>
    <m/>
    <m/>
    <m/>
    <n v="0"/>
    <m/>
    <m/>
    <n v="0"/>
    <n v="0"/>
    <n v="0"/>
    <n v="0"/>
    <m/>
    <m/>
    <m/>
    <n v="0"/>
    <m/>
    <m/>
    <n v="0"/>
    <m/>
    <m/>
    <m/>
    <m/>
    <m/>
    <m/>
    <n v="0"/>
    <n v="0"/>
  </r>
  <r>
    <x v="6"/>
    <x v="37"/>
    <s v="Limited to private college students only"/>
    <m/>
    <m/>
    <x v="12"/>
    <m/>
    <m/>
    <m/>
    <m/>
    <m/>
    <m/>
    <m/>
    <m/>
    <n v="0"/>
    <m/>
    <m/>
    <n v="0"/>
    <n v="0"/>
    <n v="0"/>
    <m/>
    <m/>
    <m/>
    <m/>
    <n v="0"/>
    <m/>
    <m/>
    <n v="0"/>
    <m/>
    <m/>
    <m/>
    <m/>
    <m/>
    <m/>
    <n v="0"/>
    <n v="0"/>
  </r>
  <r>
    <x v="6"/>
    <x v="38"/>
    <s v="Need-based"/>
    <m/>
    <m/>
    <x v="12"/>
    <m/>
    <m/>
    <m/>
    <m/>
    <m/>
    <m/>
    <m/>
    <m/>
    <n v="0"/>
    <m/>
    <m/>
    <n v="0"/>
    <n v="0"/>
    <n v="0"/>
    <n v="0"/>
    <m/>
    <m/>
    <m/>
    <n v="0"/>
    <m/>
    <m/>
    <n v="0"/>
    <m/>
    <m/>
    <m/>
    <m/>
    <m/>
    <m/>
    <n v="0"/>
    <n v="0"/>
  </r>
  <r>
    <x v="6"/>
    <x v="39"/>
    <s v="Non need-based"/>
    <m/>
    <m/>
    <x v="12"/>
    <m/>
    <m/>
    <m/>
    <m/>
    <m/>
    <m/>
    <m/>
    <m/>
    <n v="0"/>
    <m/>
    <m/>
    <n v="0"/>
    <n v="0"/>
    <n v="0"/>
    <m/>
    <m/>
    <m/>
    <m/>
    <n v="0"/>
    <m/>
    <m/>
    <n v="0"/>
    <m/>
    <m/>
    <m/>
    <m/>
    <m/>
    <m/>
    <n v="0"/>
    <n v="0"/>
  </r>
  <r>
    <x v="7"/>
    <x v="0"/>
    <s v="University of Maryland College Park"/>
    <m/>
    <n v="163286"/>
    <x v="0"/>
    <n v="410197182"/>
    <n v="455159393"/>
    <m/>
    <m/>
    <m/>
    <m/>
    <n v="473762537"/>
    <m/>
    <n v="473762537"/>
    <n v="488480692"/>
    <m/>
    <n v="488480692"/>
    <n v="883959719"/>
    <n v="943640085"/>
    <m/>
    <m/>
    <m/>
    <m/>
    <n v="0"/>
    <m/>
    <m/>
    <n v="0"/>
    <m/>
    <m/>
    <m/>
    <m/>
    <m/>
    <m/>
    <n v="883959719"/>
    <n v="943640085"/>
  </r>
  <r>
    <x v="7"/>
    <x v="4"/>
    <s v="Non-Credit Continuing Education"/>
    <m/>
    <n v="163286"/>
    <x v="0"/>
    <m/>
    <m/>
    <m/>
    <m/>
    <m/>
    <m/>
    <m/>
    <m/>
    <n v="0"/>
    <m/>
    <m/>
    <n v="0"/>
    <n v="0"/>
    <n v="0"/>
    <m/>
    <m/>
    <m/>
    <m/>
    <n v="0"/>
    <m/>
    <m/>
    <n v="0"/>
    <m/>
    <m/>
    <m/>
    <m/>
    <m/>
    <m/>
    <n v="0"/>
    <n v="0"/>
  </r>
  <r>
    <x v="7"/>
    <x v="5"/>
    <s v="Agricultural cooperative extension"/>
    <m/>
    <n v="163286"/>
    <x v="0"/>
    <m/>
    <m/>
    <n v="19443892"/>
    <n v="20588859"/>
    <m/>
    <m/>
    <m/>
    <m/>
    <n v="0"/>
    <m/>
    <m/>
    <n v="0"/>
    <n v="19443892"/>
    <n v="20588859"/>
    <m/>
    <m/>
    <m/>
    <m/>
    <n v="0"/>
    <m/>
    <m/>
    <n v="0"/>
    <m/>
    <m/>
    <m/>
    <m/>
    <m/>
    <m/>
    <n v="19443892"/>
    <n v="20588859"/>
  </r>
  <r>
    <x v="7"/>
    <x v="6"/>
    <s v="Agricultural experiment stations"/>
    <m/>
    <n v="163286"/>
    <x v="0"/>
    <m/>
    <m/>
    <n v="17912363"/>
    <n v="19055840"/>
    <m/>
    <m/>
    <m/>
    <m/>
    <n v="0"/>
    <m/>
    <m/>
    <n v="0"/>
    <n v="17912363"/>
    <n v="19055840"/>
    <m/>
    <m/>
    <m/>
    <m/>
    <n v="0"/>
    <m/>
    <m/>
    <n v="0"/>
    <m/>
    <m/>
    <m/>
    <m/>
    <m/>
    <m/>
    <n v="17912363"/>
    <n v="19055840"/>
  </r>
  <r>
    <x v="7"/>
    <x v="7"/>
    <s v="Research centers/institutes"/>
    <m/>
    <n v="163286"/>
    <x v="0"/>
    <m/>
    <m/>
    <m/>
    <m/>
    <m/>
    <m/>
    <m/>
    <m/>
    <n v="0"/>
    <m/>
    <m/>
    <n v="0"/>
    <n v="0"/>
    <n v="0"/>
    <m/>
    <m/>
    <m/>
    <m/>
    <n v="0"/>
    <m/>
    <m/>
    <n v="0"/>
    <m/>
    <m/>
    <m/>
    <m/>
    <m/>
    <m/>
    <n v="0"/>
    <n v="0"/>
  </r>
  <r>
    <x v="7"/>
    <x v="7"/>
    <s v="Center for Environmental Science"/>
    <m/>
    <n v="163286"/>
    <x v="0"/>
    <m/>
    <m/>
    <n v="19645704"/>
    <n v="21216681"/>
    <m/>
    <m/>
    <m/>
    <m/>
    <n v="0"/>
    <m/>
    <m/>
    <n v="0"/>
    <n v="19645704"/>
    <n v="21216681"/>
    <m/>
    <m/>
    <m/>
    <m/>
    <n v="0"/>
    <m/>
    <m/>
    <n v="0"/>
    <m/>
    <m/>
    <m/>
    <m/>
    <m/>
    <m/>
    <n v="19645704"/>
    <n v="21216681"/>
  </r>
  <r>
    <x v="7"/>
    <x v="0"/>
    <s v="Morgan State University"/>
    <m/>
    <n v="163453"/>
    <x v="1"/>
    <n v="73494626"/>
    <n v="82210974"/>
    <m/>
    <m/>
    <m/>
    <m/>
    <n v="55765780"/>
    <m/>
    <n v="55765780"/>
    <n v="53111520"/>
    <m/>
    <n v="53111520"/>
    <n v="129260406"/>
    <n v="135322494"/>
    <m/>
    <m/>
    <m/>
    <m/>
    <n v="0"/>
    <m/>
    <m/>
    <n v="0"/>
    <m/>
    <m/>
    <m/>
    <m/>
    <m/>
    <m/>
    <n v="129260406"/>
    <n v="135322494"/>
  </r>
  <r>
    <x v="7"/>
    <x v="0"/>
    <s v="University of Maryland, Baltimore County"/>
    <m/>
    <n v="163268"/>
    <x v="1"/>
    <n v="95582802"/>
    <n v="105320819"/>
    <m/>
    <m/>
    <m/>
    <m/>
    <n v="105521183"/>
    <m/>
    <n v="105521183"/>
    <n v="110706350"/>
    <m/>
    <n v="110706350"/>
    <n v="201103985"/>
    <n v="216027169"/>
    <m/>
    <m/>
    <m/>
    <m/>
    <n v="0"/>
    <m/>
    <m/>
    <n v="0"/>
    <m/>
    <m/>
    <m/>
    <m/>
    <m/>
    <m/>
    <n v="201103985"/>
    <n v="216027169"/>
  </r>
  <r>
    <x v="7"/>
    <x v="0"/>
    <s v="Towson University "/>
    <m/>
    <n v="164076"/>
    <x v="2"/>
    <n v="90645750"/>
    <n v="101246531"/>
    <m/>
    <m/>
    <m/>
    <m/>
    <n v="171212937"/>
    <m/>
    <n v="171212937"/>
    <n v="174715652"/>
    <m/>
    <n v="174715652"/>
    <n v="261858687"/>
    <n v="275962183"/>
    <m/>
    <m/>
    <m/>
    <m/>
    <n v="0"/>
    <m/>
    <m/>
    <n v="0"/>
    <m/>
    <m/>
    <m/>
    <m/>
    <m/>
    <m/>
    <n v="261858687"/>
    <n v="275962183"/>
  </r>
  <r>
    <x v="7"/>
    <x v="0"/>
    <s v="Bowie State University "/>
    <m/>
    <n v="162007"/>
    <x v="3"/>
    <n v="35697747"/>
    <n v="39854302"/>
    <m/>
    <m/>
    <m/>
    <m/>
    <n v="33315610"/>
    <m/>
    <n v="33315610"/>
    <n v="32432764"/>
    <m/>
    <n v="32432764"/>
    <n v="69013357"/>
    <n v="72287066"/>
    <m/>
    <m/>
    <m/>
    <m/>
    <n v="0"/>
    <m/>
    <m/>
    <n v="0"/>
    <m/>
    <m/>
    <m/>
    <m/>
    <m/>
    <m/>
    <n v="69013357"/>
    <n v="72287066"/>
  </r>
  <r>
    <x v="7"/>
    <x v="0"/>
    <s v="Frostburg State University "/>
    <m/>
    <n v="162584"/>
    <x v="3"/>
    <n v="33192007"/>
    <n v="37053890"/>
    <m/>
    <m/>
    <m/>
    <m/>
    <n v="33507317"/>
    <m/>
    <n v="33507317"/>
    <n v="34494919"/>
    <m/>
    <n v="34494919"/>
    <n v="66699324"/>
    <n v="71548809"/>
    <m/>
    <m/>
    <m/>
    <m/>
    <n v="0"/>
    <m/>
    <m/>
    <n v="0"/>
    <m/>
    <m/>
    <m/>
    <m/>
    <m/>
    <m/>
    <n v="66699324"/>
    <n v="71548809"/>
  </r>
  <r>
    <x v="7"/>
    <x v="0"/>
    <s v="Salisbury University "/>
    <m/>
    <n v="163851"/>
    <x v="3"/>
    <n v="39474316"/>
    <n v="43645198"/>
    <m/>
    <m/>
    <m/>
    <m/>
    <n v="63138678"/>
    <m/>
    <n v="63138678"/>
    <n v="65763097"/>
    <m/>
    <n v="65763097"/>
    <n v="102612994"/>
    <n v="109408295"/>
    <m/>
    <m/>
    <m/>
    <m/>
    <n v="0"/>
    <m/>
    <m/>
    <n v="0"/>
    <m/>
    <m/>
    <m/>
    <m/>
    <m/>
    <m/>
    <n v="102612994"/>
    <n v="109408295"/>
  </r>
  <r>
    <x v="7"/>
    <x v="0"/>
    <s v="University of Baltimore"/>
    <m/>
    <n v="161873"/>
    <x v="3"/>
    <n v="30041834"/>
    <n v="33737000"/>
    <m/>
    <m/>
    <m/>
    <m/>
    <n v="67234638"/>
    <m/>
    <n v="67234638"/>
    <n v="67723540"/>
    <m/>
    <n v="67723540"/>
    <n v="97276472"/>
    <n v="101460540"/>
    <m/>
    <m/>
    <m/>
    <m/>
    <n v="0"/>
    <m/>
    <m/>
    <n v="0"/>
    <m/>
    <m/>
    <m/>
    <m/>
    <m/>
    <m/>
    <n v="97276472"/>
    <n v="101460540"/>
  </r>
  <r>
    <x v="7"/>
    <x v="0"/>
    <s v="University of Maryland Eastern Shore "/>
    <m/>
    <n v="163338"/>
    <x v="3"/>
    <n v="31978642"/>
    <n v="36380402"/>
    <m/>
    <m/>
    <m/>
    <m/>
    <n v="31855005"/>
    <m/>
    <n v="31855005"/>
    <n v="33222356"/>
    <m/>
    <n v="33222356"/>
    <n v="63833647"/>
    <n v="69602758"/>
    <m/>
    <m/>
    <m/>
    <m/>
    <n v="0"/>
    <m/>
    <m/>
    <n v="0"/>
    <m/>
    <m/>
    <m/>
    <m/>
    <m/>
    <m/>
    <n v="63833647"/>
    <n v="69602758"/>
  </r>
  <r>
    <x v="7"/>
    <x v="0"/>
    <s v="Coppin State University"/>
    <s v="Met the criteria for Four-Year 4 in 2013-14."/>
    <n v="162283"/>
    <x v="4"/>
    <n v="37868454"/>
    <n v="42179694"/>
    <m/>
    <m/>
    <m/>
    <m/>
    <n v="16227546"/>
    <m/>
    <n v="16227546"/>
    <n v="16109389"/>
    <m/>
    <n v="16109389"/>
    <n v="54096000"/>
    <n v="58289083"/>
    <m/>
    <m/>
    <m/>
    <m/>
    <n v="0"/>
    <m/>
    <m/>
    <n v="0"/>
    <m/>
    <m/>
    <m/>
    <m/>
    <m/>
    <m/>
    <n v="54096000"/>
    <n v="58289083"/>
  </r>
  <r>
    <x v="7"/>
    <x v="0"/>
    <s v="Saint Mary's College of Maryland"/>
    <m/>
    <n v="163912"/>
    <x v="5"/>
    <n v="18074321"/>
    <n v="19908997"/>
    <m/>
    <m/>
    <m/>
    <m/>
    <n v="30502480"/>
    <m/>
    <n v="30502480"/>
    <n v="27567945"/>
    <m/>
    <n v="27567945"/>
    <n v="48576801"/>
    <n v="47476942"/>
    <m/>
    <m/>
    <m/>
    <m/>
    <n v="0"/>
    <m/>
    <m/>
    <n v="0"/>
    <m/>
    <m/>
    <m/>
    <m/>
    <m/>
    <m/>
    <n v="48576801"/>
    <n v="47476942"/>
  </r>
  <r>
    <x v="7"/>
    <x v="0"/>
    <s v="Anne Arundel Community College "/>
    <m/>
    <n v="161767"/>
    <x v="6"/>
    <n v="27235329"/>
    <n v="28108493"/>
    <m/>
    <m/>
    <n v="32047700"/>
    <n v="35137700"/>
    <n v="45860000"/>
    <m/>
    <n v="45860000"/>
    <n v="45710000"/>
    <m/>
    <n v="45710000"/>
    <n v="105143029"/>
    <n v="108956193"/>
    <m/>
    <m/>
    <m/>
    <m/>
    <n v="0"/>
    <m/>
    <m/>
    <n v="0"/>
    <m/>
    <m/>
    <m/>
    <m/>
    <m/>
    <m/>
    <n v="105143029"/>
    <n v="108956193"/>
  </r>
  <r>
    <x v="7"/>
    <x v="0"/>
    <s v="College of Southern Maryland"/>
    <m/>
    <n v="162122"/>
    <x v="6"/>
    <n v="10902580"/>
    <n v="12088572"/>
    <m/>
    <m/>
    <n v="16663918"/>
    <n v="17477362"/>
    <n v="29864227"/>
    <m/>
    <n v="29864227"/>
    <n v="31173469"/>
    <m/>
    <n v="31173469"/>
    <n v="57430725"/>
    <n v="60739403"/>
    <m/>
    <m/>
    <m/>
    <m/>
    <n v="0"/>
    <m/>
    <m/>
    <n v="0"/>
    <m/>
    <m/>
    <m/>
    <m/>
    <m/>
    <m/>
    <n v="57430725"/>
    <n v="60739403"/>
  </r>
  <r>
    <x v="7"/>
    <x v="0"/>
    <s v="Community College of Baltimore County"/>
    <m/>
    <n v="434672"/>
    <x v="6"/>
    <n v="34398366"/>
    <n v="37412633"/>
    <m/>
    <m/>
    <n v="38462795"/>
    <n v="38462795"/>
    <n v="85656305"/>
    <m/>
    <n v="85656305"/>
    <n v="83018061"/>
    <m/>
    <n v="83018061"/>
    <n v="158517466"/>
    <n v="158893489"/>
    <m/>
    <m/>
    <m/>
    <m/>
    <n v="0"/>
    <m/>
    <m/>
    <n v="0"/>
    <m/>
    <m/>
    <m/>
    <m/>
    <m/>
    <m/>
    <n v="158517466"/>
    <n v="158893489"/>
  </r>
  <r>
    <x v="7"/>
    <x v="0"/>
    <s v="Howard Community College "/>
    <m/>
    <n v="162779"/>
    <x v="6"/>
    <n v="12584485"/>
    <n v="14073509"/>
    <m/>
    <m/>
    <n v="27093286"/>
    <n v="29131683"/>
    <n v="40434542"/>
    <m/>
    <n v="40434542"/>
    <n v="42006001"/>
    <m/>
    <n v="42006001"/>
    <n v="80112313"/>
    <n v="85211193"/>
    <m/>
    <m/>
    <m/>
    <m/>
    <n v="0"/>
    <m/>
    <m/>
    <n v="0"/>
    <m/>
    <m/>
    <m/>
    <m/>
    <m/>
    <m/>
    <n v="80112313"/>
    <n v="85211193"/>
  </r>
  <r>
    <x v="7"/>
    <x v="0"/>
    <s v="Montgomery College"/>
    <m/>
    <n v="163426"/>
    <x v="6"/>
    <n v="35998553"/>
    <n v="37835547"/>
    <m/>
    <m/>
    <n v="96263605"/>
    <n v="100529527"/>
    <n v="95548152"/>
    <m/>
    <n v="95548152"/>
    <n v="96703251"/>
    <m/>
    <n v="96703251"/>
    <n v="227810310"/>
    <n v="235068325"/>
    <m/>
    <m/>
    <m/>
    <m/>
    <n v="0"/>
    <m/>
    <m/>
    <n v="0"/>
    <m/>
    <m/>
    <m/>
    <m/>
    <m/>
    <m/>
    <n v="227810310"/>
    <n v="235068325"/>
  </r>
  <r>
    <x v="7"/>
    <x v="0"/>
    <s v="Prince George's Community College "/>
    <m/>
    <n v="163657"/>
    <x v="6"/>
    <n v="22013074"/>
    <n v="24412144"/>
    <m/>
    <m/>
    <n v="29545200"/>
    <n v="29545200"/>
    <n v="45317826"/>
    <m/>
    <n v="45317826"/>
    <n v="44969658"/>
    <m/>
    <n v="44969658"/>
    <n v="96876100"/>
    <n v="98927002"/>
    <m/>
    <m/>
    <m/>
    <m/>
    <n v="0"/>
    <m/>
    <m/>
    <n v="0"/>
    <m/>
    <m/>
    <m/>
    <m/>
    <m/>
    <m/>
    <n v="96876100"/>
    <n v="98927002"/>
  </r>
  <r>
    <x v="7"/>
    <x v="0"/>
    <s v="Allegany College of Maryland"/>
    <m/>
    <n v="161688"/>
    <x v="7"/>
    <n v="4773622"/>
    <n v="4773622"/>
    <n v="1013810"/>
    <m/>
    <n v="7425000"/>
    <n v="7555000"/>
    <n v="15172103"/>
    <m/>
    <n v="15172103"/>
    <n v="15034786"/>
    <m/>
    <n v="15034786"/>
    <n v="28384535"/>
    <n v="27363408"/>
    <m/>
    <m/>
    <m/>
    <m/>
    <n v="0"/>
    <m/>
    <m/>
    <n v="0"/>
    <m/>
    <m/>
    <m/>
    <m/>
    <m/>
    <m/>
    <n v="28384535"/>
    <n v="27363408"/>
  </r>
  <r>
    <x v="7"/>
    <x v="0"/>
    <s v="Baltimore City Community College"/>
    <m/>
    <n v="161864"/>
    <x v="7"/>
    <n v="40564700"/>
    <n v="42239662"/>
    <m/>
    <m/>
    <n v="125000"/>
    <n v="125000"/>
    <n v="19413554"/>
    <m/>
    <n v="19413554"/>
    <n v="14140492"/>
    <m/>
    <n v="14140492"/>
    <n v="60103254"/>
    <n v="56505154"/>
    <m/>
    <m/>
    <m/>
    <m/>
    <n v="0"/>
    <m/>
    <m/>
    <n v="0"/>
    <m/>
    <m/>
    <m/>
    <m/>
    <m/>
    <m/>
    <n v="60103254"/>
    <n v="56505154"/>
  </r>
  <r>
    <x v="7"/>
    <x v="0"/>
    <s v="Carroll Community College"/>
    <m/>
    <n v="405872"/>
    <x v="7"/>
    <n v="6851515"/>
    <n v="7119212"/>
    <n v="326900"/>
    <m/>
    <n v="8625450"/>
    <n v="8924024"/>
    <n v="12833052"/>
    <m/>
    <n v="12833052"/>
    <n v="13390715"/>
    <m/>
    <n v="13390715"/>
    <n v="28636917"/>
    <n v="29433951"/>
    <m/>
    <m/>
    <m/>
    <m/>
    <n v="0"/>
    <m/>
    <m/>
    <n v="0"/>
    <m/>
    <m/>
    <m/>
    <m/>
    <m/>
    <m/>
    <n v="28636917"/>
    <n v="29433951"/>
  </r>
  <r>
    <x v="7"/>
    <x v="0"/>
    <s v="Frederick Community College "/>
    <m/>
    <n v="162557"/>
    <x v="7"/>
    <n v="8145648"/>
    <n v="8839216"/>
    <m/>
    <m/>
    <n v="14004812"/>
    <n v="14279055"/>
    <n v="19042818"/>
    <m/>
    <n v="19042818"/>
    <n v="18728576"/>
    <m/>
    <n v="18728576"/>
    <n v="41193278"/>
    <n v="41846847"/>
    <m/>
    <m/>
    <m/>
    <m/>
    <n v="0"/>
    <m/>
    <m/>
    <n v="0"/>
    <m/>
    <m/>
    <m/>
    <m/>
    <m/>
    <m/>
    <n v="41193278"/>
    <n v="41846847"/>
  </r>
  <r>
    <x v="7"/>
    <x v="0"/>
    <s v="Hagerstown Community College "/>
    <m/>
    <n v="162690"/>
    <x v="7"/>
    <n v="6965064"/>
    <n v="7365786"/>
    <n v="653800"/>
    <m/>
    <n v="8865010"/>
    <n v="8965010"/>
    <n v="16052729"/>
    <m/>
    <n v="16052729"/>
    <n v="17011249"/>
    <m/>
    <n v="17011249"/>
    <n v="32536603"/>
    <n v="33342045"/>
    <m/>
    <m/>
    <m/>
    <m/>
    <n v="0"/>
    <m/>
    <m/>
    <n v="0"/>
    <m/>
    <m/>
    <m/>
    <m/>
    <m/>
    <m/>
    <n v="32536603"/>
    <n v="33342045"/>
  </r>
  <r>
    <x v="7"/>
    <x v="0"/>
    <s v="Harford Community College "/>
    <m/>
    <n v="162706"/>
    <x v="7"/>
    <n v="9990806"/>
    <n v="10345649"/>
    <m/>
    <m/>
    <n v="14961612"/>
    <n v="14961612"/>
    <n v="17467429"/>
    <m/>
    <n v="17467429"/>
    <n v="18181704"/>
    <m/>
    <n v="18181704"/>
    <n v="42419847"/>
    <n v="43488965"/>
    <m/>
    <m/>
    <m/>
    <m/>
    <n v="0"/>
    <m/>
    <m/>
    <n v="0"/>
    <m/>
    <m/>
    <m/>
    <m/>
    <m/>
    <m/>
    <n v="42419847"/>
    <n v="43488965"/>
  </r>
  <r>
    <x v="7"/>
    <x v="0"/>
    <s v="Wor-Wic Community College "/>
    <m/>
    <n v="164313"/>
    <x v="7"/>
    <n v="6784796"/>
    <n v="7020911"/>
    <n v="326900"/>
    <m/>
    <n v="4507360"/>
    <n v="5273134"/>
    <n v="11186794"/>
    <m/>
    <n v="11186794"/>
    <n v="10556856"/>
    <m/>
    <n v="10556856"/>
    <n v="22805850"/>
    <n v="22850901"/>
    <m/>
    <m/>
    <m/>
    <m/>
    <n v="0"/>
    <m/>
    <m/>
    <n v="0"/>
    <m/>
    <m/>
    <m/>
    <m/>
    <m/>
    <m/>
    <n v="22805850"/>
    <n v="22850901"/>
  </r>
  <r>
    <x v="7"/>
    <x v="0"/>
    <s v="Cecil Community College "/>
    <m/>
    <n v="162104"/>
    <x v="8"/>
    <n v="4645771"/>
    <n v="4940229"/>
    <n v="326900"/>
    <m/>
    <n v="8025308"/>
    <n v="8197009"/>
    <n v="7919325"/>
    <m/>
    <n v="7919325"/>
    <n v="8210706"/>
    <m/>
    <n v="8210706"/>
    <n v="20917304"/>
    <n v="21347944"/>
    <m/>
    <m/>
    <m/>
    <m/>
    <n v="0"/>
    <m/>
    <m/>
    <n v="0"/>
    <m/>
    <m/>
    <m/>
    <m/>
    <m/>
    <m/>
    <n v="20917304"/>
    <n v="21347944"/>
  </r>
  <r>
    <x v="7"/>
    <x v="0"/>
    <s v="Chesapeake College "/>
    <m/>
    <n v="162168"/>
    <x v="8"/>
    <n v="5675851"/>
    <n v="6134108"/>
    <n v="326900"/>
    <m/>
    <n v="6126591"/>
    <n v="5885591"/>
    <n v="8082196"/>
    <m/>
    <n v="8082196"/>
    <n v="8170166"/>
    <m/>
    <n v="8170166"/>
    <n v="20211538"/>
    <n v="20189865"/>
    <m/>
    <m/>
    <m/>
    <m/>
    <n v="0"/>
    <m/>
    <m/>
    <n v="0"/>
    <m/>
    <m/>
    <m/>
    <m/>
    <m/>
    <m/>
    <n v="20211538"/>
    <n v="20189865"/>
  </r>
  <r>
    <x v="7"/>
    <x v="0"/>
    <s v="Garrett College "/>
    <m/>
    <n v="162609"/>
    <x v="8"/>
    <n v="2246709"/>
    <n v="2497547"/>
    <n v="893800"/>
    <m/>
    <n v="4523000"/>
    <n v="4523000"/>
    <n v="4156050"/>
    <m/>
    <n v="4156050"/>
    <n v="4099621"/>
    <m/>
    <n v="4099621"/>
    <n v="11819559"/>
    <n v="11120168"/>
    <m/>
    <m/>
    <m/>
    <m/>
    <n v="0"/>
    <m/>
    <m/>
    <n v="0"/>
    <m/>
    <m/>
    <m/>
    <m/>
    <m/>
    <m/>
    <n v="11819559"/>
    <n v="11120168"/>
  </r>
  <r>
    <x v="7"/>
    <x v="9"/>
    <s v="University of Maryland University College"/>
    <m/>
    <n v="163204"/>
    <x v="11"/>
    <m/>
    <m/>
    <m/>
    <m/>
    <m/>
    <m/>
    <m/>
    <m/>
    <n v="0"/>
    <m/>
    <m/>
    <n v="0"/>
    <n v="0"/>
    <n v="0"/>
    <n v="33898386"/>
    <n v="36601760"/>
    <n v="350389432"/>
    <m/>
    <n v="350389432"/>
    <n v="350158351"/>
    <m/>
    <n v="350158351"/>
    <m/>
    <m/>
    <m/>
    <m/>
    <m/>
    <m/>
    <n v="384287818"/>
    <n v="386760111"/>
  </r>
  <r>
    <x v="7"/>
    <x v="41"/>
    <s v="University of Maryland at Baltimore"/>
    <m/>
    <n v="163259"/>
    <x v="11"/>
    <m/>
    <m/>
    <m/>
    <m/>
    <m/>
    <m/>
    <m/>
    <m/>
    <n v="0"/>
    <m/>
    <m/>
    <n v="0"/>
    <n v="0"/>
    <n v="0"/>
    <m/>
    <m/>
    <m/>
    <m/>
    <n v="0"/>
    <m/>
    <m/>
    <n v="0"/>
    <n v="183986492"/>
    <n v="203312714"/>
    <n v="116228036"/>
    <m/>
    <n v="118107254"/>
    <m/>
    <n v="300214528"/>
    <n v="321419968"/>
  </r>
  <r>
    <x v="7"/>
    <x v="13"/>
    <s v="Education special purpose funds — all other"/>
    <m/>
    <m/>
    <x v="12"/>
    <m/>
    <m/>
    <m/>
    <m/>
    <m/>
    <m/>
    <m/>
    <m/>
    <n v="0"/>
    <m/>
    <m/>
    <n v="0"/>
    <n v="0"/>
    <n v="0"/>
    <m/>
    <m/>
    <m/>
    <m/>
    <n v="0"/>
    <m/>
    <m/>
    <n v="0"/>
    <m/>
    <m/>
    <m/>
    <m/>
    <m/>
    <m/>
    <n v="0"/>
    <n v="0"/>
  </r>
  <r>
    <x v="7"/>
    <x v="13"/>
    <s v="Community College Statewide Programs"/>
    <m/>
    <m/>
    <x v="12"/>
    <m/>
    <m/>
    <n v="6000000"/>
    <n v="6000000"/>
    <m/>
    <m/>
    <m/>
    <m/>
    <n v="0"/>
    <m/>
    <m/>
    <n v="0"/>
    <n v="6000000"/>
    <n v="6000000"/>
    <m/>
    <m/>
    <m/>
    <m/>
    <n v="0"/>
    <m/>
    <m/>
    <n v="0"/>
    <m/>
    <m/>
    <m/>
    <m/>
    <m/>
    <m/>
    <n v="6000000"/>
    <n v="6000000"/>
  </r>
  <r>
    <x v="7"/>
    <x v="14"/>
    <s v="Statewide System Operations"/>
    <m/>
    <m/>
    <x v="12"/>
    <m/>
    <m/>
    <m/>
    <m/>
    <m/>
    <m/>
    <m/>
    <m/>
    <n v="0"/>
    <m/>
    <m/>
    <n v="0"/>
    <n v="0"/>
    <n v="0"/>
    <m/>
    <m/>
    <m/>
    <m/>
    <n v="0"/>
    <m/>
    <m/>
    <n v="0"/>
    <m/>
    <m/>
    <m/>
    <m/>
    <m/>
    <m/>
    <n v="0"/>
    <n v="0"/>
  </r>
  <r>
    <x v="7"/>
    <x v="15"/>
    <s v="Colleges and universities"/>
    <m/>
    <m/>
    <x v="12"/>
    <m/>
    <m/>
    <m/>
    <m/>
    <m/>
    <m/>
    <m/>
    <m/>
    <n v="0"/>
    <m/>
    <m/>
    <n v="0"/>
    <n v="0"/>
    <n v="0"/>
    <m/>
    <m/>
    <m/>
    <m/>
    <n v="0"/>
    <m/>
    <m/>
    <n v="0"/>
    <m/>
    <m/>
    <m/>
    <m/>
    <m/>
    <m/>
    <n v="0"/>
    <n v="0"/>
  </r>
  <r>
    <x v="7"/>
    <x v="15"/>
    <s v="Univ MD System Adm"/>
    <m/>
    <m/>
    <x v="12"/>
    <m/>
    <m/>
    <m/>
    <m/>
    <m/>
    <m/>
    <m/>
    <m/>
    <n v="0"/>
    <m/>
    <m/>
    <n v="0"/>
    <n v="0"/>
    <n v="0"/>
    <n v="8472327"/>
    <n v="11723416"/>
    <m/>
    <m/>
    <n v="0"/>
    <m/>
    <m/>
    <n v="0"/>
    <m/>
    <m/>
    <m/>
    <m/>
    <m/>
    <m/>
    <n v="8472327"/>
    <n v="11723416"/>
  </r>
  <r>
    <x v="7"/>
    <x v="15"/>
    <s v="Md Commission on Higher Education"/>
    <m/>
    <m/>
    <x v="12"/>
    <m/>
    <m/>
    <m/>
    <m/>
    <m/>
    <m/>
    <m/>
    <m/>
    <n v="0"/>
    <m/>
    <m/>
    <n v="0"/>
    <n v="0"/>
    <n v="0"/>
    <n v="4386488"/>
    <n v="5359053"/>
    <m/>
    <m/>
    <n v="0"/>
    <m/>
    <m/>
    <n v="0"/>
    <m/>
    <m/>
    <m/>
    <m/>
    <m/>
    <m/>
    <n v="4386488"/>
    <n v="5359053"/>
  </r>
  <r>
    <x v="7"/>
    <x v="17"/>
    <s v="National or regional associations, compacts or consortia"/>
    <m/>
    <m/>
    <x v="12"/>
    <m/>
    <m/>
    <m/>
    <m/>
    <m/>
    <m/>
    <m/>
    <m/>
    <n v="0"/>
    <m/>
    <m/>
    <n v="0"/>
    <n v="0"/>
    <n v="0"/>
    <m/>
    <m/>
    <m/>
    <m/>
    <n v="0"/>
    <m/>
    <m/>
    <n v="0"/>
    <m/>
    <m/>
    <m/>
    <m/>
    <m/>
    <m/>
    <n v="0"/>
    <n v="0"/>
  </r>
  <r>
    <x v="7"/>
    <x v="17"/>
    <s v="SREB"/>
    <m/>
    <m/>
    <x v="12"/>
    <m/>
    <m/>
    <m/>
    <m/>
    <m/>
    <m/>
    <m/>
    <m/>
    <n v="0"/>
    <m/>
    <m/>
    <n v="0"/>
    <n v="0"/>
    <n v="0"/>
    <m/>
    <m/>
    <m/>
    <m/>
    <n v="0"/>
    <m/>
    <m/>
    <n v="0"/>
    <m/>
    <m/>
    <m/>
    <m/>
    <m/>
    <m/>
    <n v="0"/>
    <n v="0"/>
  </r>
  <r>
    <x v="7"/>
    <x v="18"/>
    <s v="Adm. of Statewide Student Aid Progs. (incldng centralized guaranteed student loans)"/>
    <m/>
    <m/>
    <x v="12"/>
    <m/>
    <m/>
    <m/>
    <m/>
    <m/>
    <m/>
    <m/>
    <m/>
    <n v="0"/>
    <m/>
    <m/>
    <n v="0"/>
    <n v="0"/>
    <n v="0"/>
    <m/>
    <m/>
    <m/>
    <m/>
    <n v="0"/>
    <m/>
    <m/>
    <n v="0"/>
    <m/>
    <m/>
    <m/>
    <m/>
    <m/>
    <m/>
    <n v="0"/>
    <n v="0"/>
  </r>
  <r>
    <x v="7"/>
    <x v="19"/>
    <s v="State Support to Private Colleges Other Than Student Aid"/>
    <m/>
    <m/>
    <x v="12"/>
    <m/>
    <m/>
    <m/>
    <m/>
    <m/>
    <m/>
    <m/>
    <m/>
    <n v="0"/>
    <m/>
    <m/>
    <n v="0"/>
    <n v="0"/>
    <n v="0"/>
    <n v="38056175"/>
    <n v="41291975"/>
    <m/>
    <m/>
    <n v="0"/>
    <m/>
    <m/>
    <n v="0"/>
    <m/>
    <m/>
    <m/>
    <m/>
    <m/>
    <m/>
    <n v="38056175"/>
    <n v="41291975"/>
  </r>
  <r>
    <x v="7"/>
    <x v="20"/>
    <s v="Contract Education Programs"/>
    <m/>
    <m/>
    <x v="12"/>
    <m/>
    <m/>
    <m/>
    <m/>
    <m/>
    <m/>
    <m/>
    <m/>
    <n v="0"/>
    <m/>
    <m/>
    <n v="0"/>
    <n v="0"/>
    <n v="0"/>
    <m/>
    <m/>
    <m/>
    <m/>
    <n v="0"/>
    <m/>
    <m/>
    <n v="0"/>
    <m/>
    <m/>
    <m/>
    <m/>
    <m/>
    <m/>
    <n v="0"/>
    <n v="0"/>
  </r>
  <r>
    <x v="7"/>
    <x v="21"/>
    <s v="SREB contract program with private colleges"/>
    <m/>
    <m/>
    <x v="12"/>
    <m/>
    <m/>
    <m/>
    <m/>
    <m/>
    <m/>
    <m/>
    <m/>
    <n v="0"/>
    <m/>
    <m/>
    <n v="0"/>
    <n v="0"/>
    <n v="0"/>
    <m/>
    <m/>
    <m/>
    <m/>
    <n v="0"/>
    <m/>
    <m/>
    <n v="0"/>
    <m/>
    <m/>
    <m/>
    <m/>
    <m/>
    <m/>
    <n v="0"/>
    <n v="0"/>
  </r>
  <r>
    <x v="7"/>
    <x v="22"/>
    <s v="SREB contract program with public colleges"/>
    <m/>
    <m/>
    <x v="12"/>
    <m/>
    <m/>
    <m/>
    <m/>
    <m/>
    <m/>
    <m/>
    <m/>
    <n v="0"/>
    <m/>
    <m/>
    <n v="0"/>
    <n v="0"/>
    <n v="0"/>
    <m/>
    <m/>
    <m/>
    <m/>
    <n v="0"/>
    <m/>
    <m/>
    <n v="0"/>
    <m/>
    <m/>
    <m/>
    <m/>
    <m/>
    <m/>
    <n v="0"/>
    <n v="0"/>
  </r>
  <r>
    <x v="7"/>
    <x v="23"/>
    <s v="Other contract education programs"/>
    <m/>
    <m/>
    <x v="12"/>
    <m/>
    <m/>
    <m/>
    <m/>
    <m/>
    <m/>
    <m/>
    <m/>
    <n v="0"/>
    <m/>
    <m/>
    <n v="0"/>
    <n v="0"/>
    <n v="0"/>
    <m/>
    <m/>
    <m/>
    <m/>
    <n v="0"/>
    <m/>
    <m/>
    <n v="0"/>
    <m/>
    <m/>
    <m/>
    <m/>
    <m/>
    <m/>
    <n v="0"/>
    <n v="0"/>
  </r>
  <r>
    <x v="7"/>
    <x v="24"/>
    <s v="Statewide Student Financial Aid Programs Administered Off Campus"/>
    <m/>
    <m/>
    <x v="12"/>
    <m/>
    <m/>
    <m/>
    <m/>
    <m/>
    <m/>
    <m/>
    <m/>
    <n v="0"/>
    <m/>
    <m/>
    <n v="0"/>
    <n v="0"/>
    <n v="0"/>
    <m/>
    <m/>
    <m/>
    <m/>
    <n v="0"/>
    <m/>
    <m/>
    <n v="0"/>
    <m/>
    <m/>
    <m/>
    <m/>
    <m/>
    <m/>
    <n v="0"/>
    <n v="0"/>
  </r>
  <r>
    <x v="7"/>
    <x v="25"/>
    <s v="Available to public &amp; private sector students"/>
    <m/>
    <m/>
    <x v="12"/>
    <m/>
    <m/>
    <m/>
    <m/>
    <m/>
    <m/>
    <m/>
    <m/>
    <n v="0"/>
    <m/>
    <m/>
    <n v="0"/>
    <n v="0"/>
    <n v="0"/>
    <m/>
    <m/>
    <m/>
    <m/>
    <n v="0"/>
    <m/>
    <m/>
    <n v="0"/>
    <m/>
    <m/>
    <m/>
    <m/>
    <m/>
    <m/>
    <n v="0"/>
    <n v="0"/>
  </r>
  <r>
    <x v="7"/>
    <x v="25"/>
    <s v="Campus-Based Educational Assistance Grant"/>
    <m/>
    <m/>
    <x v="12"/>
    <m/>
    <m/>
    <m/>
    <m/>
    <m/>
    <m/>
    <m/>
    <m/>
    <n v="0"/>
    <m/>
    <m/>
    <n v="0"/>
    <n v="0"/>
    <n v="0"/>
    <m/>
    <m/>
    <m/>
    <m/>
    <n v="0"/>
    <m/>
    <m/>
    <n v="0"/>
    <m/>
    <m/>
    <m/>
    <m/>
    <m/>
    <m/>
    <n v="0"/>
    <n v="0"/>
  </r>
  <r>
    <x v="7"/>
    <x v="26"/>
    <s v="Need-based"/>
    <m/>
    <m/>
    <x v="12"/>
    <m/>
    <m/>
    <m/>
    <m/>
    <m/>
    <m/>
    <m/>
    <m/>
    <n v="0"/>
    <m/>
    <m/>
    <n v="0"/>
    <n v="0"/>
    <n v="0"/>
    <m/>
    <m/>
    <m/>
    <m/>
    <n v="0"/>
    <m/>
    <m/>
    <n v="0"/>
    <m/>
    <m/>
    <m/>
    <m/>
    <m/>
    <m/>
    <n v="0"/>
    <n v="0"/>
  </r>
  <r>
    <x v="7"/>
    <x v="27"/>
    <s v="Non need-based"/>
    <m/>
    <m/>
    <x v="12"/>
    <m/>
    <m/>
    <m/>
    <m/>
    <m/>
    <m/>
    <m/>
    <m/>
    <n v="0"/>
    <m/>
    <m/>
    <n v="0"/>
    <n v="0"/>
    <n v="0"/>
    <m/>
    <m/>
    <m/>
    <m/>
    <n v="0"/>
    <m/>
    <m/>
    <n v="0"/>
    <m/>
    <m/>
    <m/>
    <m/>
    <m/>
    <m/>
    <n v="0"/>
    <n v="0"/>
  </r>
  <r>
    <x v="7"/>
    <x v="28"/>
    <s v="Amount to public sector students"/>
    <m/>
    <m/>
    <x v="12"/>
    <m/>
    <m/>
    <m/>
    <m/>
    <m/>
    <m/>
    <m/>
    <m/>
    <n v="0"/>
    <m/>
    <m/>
    <n v="0"/>
    <n v="0"/>
    <n v="0"/>
    <m/>
    <m/>
    <m/>
    <m/>
    <n v="0"/>
    <m/>
    <m/>
    <n v="0"/>
    <m/>
    <m/>
    <m/>
    <m/>
    <m/>
    <m/>
    <n v="0"/>
    <n v="0"/>
  </r>
  <r>
    <x v="7"/>
    <x v="29"/>
    <s v="Need-based"/>
    <m/>
    <m/>
    <x v="12"/>
    <m/>
    <m/>
    <m/>
    <m/>
    <m/>
    <m/>
    <m/>
    <m/>
    <n v="0"/>
    <m/>
    <m/>
    <n v="0"/>
    <n v="0"/>
    <n v="0"/>
    <n v="1025900"/>
    <n v="1258575"/>
    <m/>
    <m/>
    <n v="0"/>
    <m/>
    <m/>
    <n v="0"/>
    <m/>
    <m/>
    <m/>
    <m/>
    <m/>
    <m/>
    <n v="1025900"/>
    <n v="1258575"/>
  </r>
  <r>
    <x v="7"/>
    <x v="27"/>
    <s v="Non need-based"/>
    <m/>
    <m/>
    <x v="12"/>
    <m/>
    <m/>
    <m/>
    <m/>
    <m/>
    <m/>
    <m/>
    <m/>
    <n v="0"/>
    <m/>
    <m/>
    <n v="0"/>
    <n v="0"/>
    <n v="0"/>
    <m/>
    <m/>
    <m/>
    <m/>
    <n v="0"/>
    <m/>
    <m/>
    <n v="0"/>
    <m/>
    <m/>
    <m/>
    <m/>
    <m/>
    <m/>
    <n v="0"/>
    <n v="0"/>
  </r>
  <r>
    <x v="7"/>
    <x v="31"/>
    <s v="Amount to private sector students"/>
    <m/>
    <m/>
    <x v="12"/>
    <m/>
    <m/>
    <m/>
    <m/>
    <m/>
    <m/>
    <m/>
    <m/>
    <n v="0"/>
    <m/>
    <m/>
    <n v="0"/>
    <n v="0"/>
    <n v="0"/>
    <m/>
    <m/>
    <m/>
    <m/>
    <n v="0"/>
    <m/>
    <m/>
    <n v="0"/>
    <m/>
    <m/>
    <m/>
    <m/>
    <m/>
    <m/>
    <n v="0"/>
    <n v="0"/>
  </r>
  <r>
    <x v="7"/>
    <x v="32"/>
    <s v="Need-based"/>
    <m/>
    <m/>
    <x v="12"/>
    <m/>
    <m/>
    <m/>
    <m/>
    <m/>
    <m/>
    <m/>
    <m/>
    <n v="0"/>
    <m/>
    <m/>
    <n v="0"/>
    <n v="0"/>
    <n v="0"/>
    <n v="30170"/>
    <n v="78800"/>
    <m/>
    <m/>
    <n v="0"/>
    <m/>
    <m/>
    <n v="0"/>
    <m/>
    <m/>
    <m/>
    <m/>
    <m/>
    <m/>
    <n v="30170"/>
    <n v="78800"/>
  </r>
  <r>
    <x v="7"/>
    <x v="27"/>
    <s v="Non need-based"/>
    <m/>
    <m/>
    <x v="12"/>
    <m/>
    <m/>
    <m/>
    <m/>
    <m/>
    <m/>
    <m/>
    <m/>
    <n v="0"/>
    <m/>
    <m/>
    <n v="0"/>
    <n v="0"/>
    <n v="0"/>
    <m/>
    <m/>
    <m/>
    <m/>
    <n v="0"/>
    <m/>
    <m/>
    <n v="0"/>
    <m/>
    <m/>
    <m/>
    <m/>
    <m/>
    <m/>
    <n v="0"/>
    <n v="0"/>
  </r>
  <r>
    <x v="7"/>
    <x v="25"/>
    <s v="Educational Excellence Awards"/>
    <m/>
    <m/>
    <x v="12"/>
    <m/>
    <m/>
    <m/>
    <m/>
    <m/>
    <m/>
    <m/>
    <m/>
    <n v="0"/>
    <m/>
    <m/>
    <n v="0"/>
    <n v="0"/>
    <n v="0"/>
    <m/>
    <m/>
    <m/>
    <m/>
    <n v="0"/>
    <m/>
    <m/>
    <n v="0"/>
    <m/>
    <m/>
    <m/>
    <m/>
    <m/>
    <m/>
    <n v="0"/>
    <n v="0"/>
  </r>
  <r>
    <x v="7"/>
    <x v="28"/>
    <s v="Amount to public sector students"/>
    <m/>
    <m/>
    <x v="12"/>
    <m/>
    <m/>
    <m/>
    <m/>
    <m/>
    <m/>
    <m/>
    <m/>
    <n v="0"/>
    <m/>
    <m/>
    <n v="0"/>
    <n v="0"/>
    <n v="0"/>
    <m/>
    <m/>
    <m/>
    <m/>
    <n v="0"/>
    <m/>
    <m/>
    <n v="0"/>
    <m/>
    <m/>
    <m/>
    <m/>
    <m/>
    <m/>
    <n v="0"/>
    <n v="0"/>
  </r>
  <r>
    <x v="7"/>
    <x v="29"/>
    <s v="Need-based"/>
    <m/>
    <m/>
    <x v="12"/>
    <m/>
    <m/>
    <m/>
    <m/>
    <m/>
    <m/>
    <m/>
    <m/>
    <n v="0"/>
    <m/>
    <m/>
    <n v="0"/>
    <n v="0"/>
    <n v="0"/>
    <n v="69238525"/>
    <n v="68657528"/>
    <m/>
    <m/>
    <n v="0"/>
    <m/>
    <m/>
    <n v="0"/>
    <m/>
    <m/>
    <m/>
    <m/>
    <m/>
    <m/>
    <n v="69238525"/>
    <n v="68657528"/>
  </r>
  <r>
    <x v="7"/>
    <x v="27"/>
    <s v="Non need-based"/>
    <m/>
    <m/>
    <x v="12"/>
    <m/>
    <m/>
    <m/>
    <m/>
    <m/>
    <m/>
    <m/>
    <m/>
    <n v="0"/>
    <m/>
    <m/>
    <n v="0"/>
    <n v="0"/>
    <n v="0"/>
    <m/>
    <m/>
    <m/>
    <m/>
    <n v="0"/>
    <m/>
    <m/>
    <n v="0"/>
    <m/>
    <m/>
    <m/>
    <m/>
    <m/>
    <m/>
    <n v="0"/>
    <n v="0"/>
  </r>
  <r>
    <x v="7"/>
    <x v="31"/>
    <s v="Amount to private sector students"/>
    <m/>
    <m/>
    <x v="12"/>
    <m/>
    <m/>
    <m/>
    <m/>
    <m/>
    <m/>
    <m/>
    <m/>
    <n v="0"/>
    <m/>
    <m/>
    <n v="0"/>
    <n v="0"/>
    <n v="0"/>
    <m/>
    <m/>
    <m/>
    <m/>
    <n v="0"/>
    <m/>
    <m/>
    <n v="0"/>
    <m/>
    <m/>
    <m/>
    <m/>
    <m/>
    <m/>
    <n v="0"/>
    <n v="0"/>
  </r>
  <r>
    <x v="7"/>
    <x v="32"/>
    <s v="Need-based"/>
    <m/>
    <m/>
    <x v="12"/>
    <m/>
    <m/>
    <m/>
    <m/>
    <m/>
    <m/>
    <m/>
    <m/>
    <n v="0"/>
    <m/>
    <m/>
    <n v="0"/>
    <n v="0"/>
    <n v="0"/>
    <n v="15465575"/>
    <n v="15329700"/>
    <m/>
    <m/>
    <n v="0"/>
    <m/>
    <m/>
    <n v="0"/>
    <m/>
    <m/>
    <m/>
    <m/>
    <m/>
    <m/>
    <n v="15465575"/>
    <n v="15329700"/>
  </r>
  <r>
    <x v="7"/>
    <x v="27"/>
    <s v="Non need-based"/>
    <m/>
    <m/>
    <x v="12"/>
    <m/>
    <m/>
    <m/>
    <m/>
    <m/>
    <m/>
    <m/>
    <m/>
    <n v="0"/>
    <m/>
    <m/>
    <n v="0"/>
    <n v="0"/>
    <n v="0"/>
    <m/>
    <m/>
    <m/>
    <m/>
    <n v="0"/>
    <m/>
    <m/>
    <n v="0"/>
    <m/>
    <m/>
    <m/>
    <m/>
    <m/>
    <m/>
    <n v="0"/>
    <n v="0"/>
  </r>
  <r>
    <x v="7"/>
    <x v="25"/>
    <s v="Senatorial Scholarship"/>
    <m/>
    <m/>
    <x v="12"/>
    <m/>
    <m/>
    <m/>
    <m/>
    <m/>
    <m/>
    <m/>
    <m/>
    <n v="0"/>
    <m/>
    <m/>
    <n v="0"/>
    <n v="0"/>
    <n v="0"/>
    <m/>
    <m/>
    <m/>
    <m/>
    <n v="0"/>
    <m/>
    <m/>
    <n v="0"/>
    <m/>
    <m/>
    <m/>
    <m/>
    <m/>
    <m/>
    <n v="0"/>
    <n v="0"/>
  </r>
  <r>
    <x v="7"/>
    <x v="26"/>
    <s v="Need-based"/>
    <m/>
    <m/>
    <x v="12"/>
    <m/>
    <m/>
    <m/>
    <m/>
    <m/>
    <m/>
    <m/>
    <m/>
    <n v="0"/>
    <m/>
    <m/>
    <n v="0"/>
    <n v="0"/>
    <n v="0"/>
    <m/>
    <m/>
    <m/>
    <m/>
    <n v="0"/>
    <m/>
    <m/>
    <n v="0"/>
    <m/>
    <m/>
    <m/>
    <m/>
    <m/>
    <m/>
    <n v="0"/>
    <n v="0"/>
  </r>
  <r>
    <x v="7"/>
    <x v="27"/>
    <s v="Non need-based"/>
    <m/>
    <m/>
    <x v="12"/>
    <m/>
    <m/>
    <m/>
    <m/>
    <m/>
    <m/>
    <m/>
    <m/>
    <n v="0"/>
    <m/>
    <m/>
    <n v="0"/>
    <n v="0"/>
    <n v="0"/>
    <m/>
    <m/>
    <m/>
    <m/>
    <n v="0"/>
    <m/>
    <m/>
    <n v="0"/>
    <m/>
    <m/>
    <m/>
    <m/>
    <m/>
    <m/>
    <n v="0"/>
    <n v="0"/>
  </r>
  <r>
    <x v="7"/>
    <x v="28"/>
    <s v="Amount to public sector students"/>
    <m/>
    <m/>
    <x v="12"/>
    <m/>
    <m/>
    <m/>
    <m/>
    <m/>
    <m/>
    <m/>
    <m/>
    <n v="0"/>
    <m/>
    <m/>
    <n v="0"/>
    <n v="0"/>
    <n v="0"/>
    <m/>
    <m/>
    <m/>
    <m/>
    <n v="0"/>
    <m/>
    <m/>
    <n v="0"/>
    <m/>
    <m/>
    <m/>
    <m/>
    <m/>
    <m/>
    <n v="0"/>
    <n v="0"/>
  </r>
  <r>
    <x v="7"/>
    <x v="29"/>
    <s v="Need-based"/>
    <m/>
    <m/>
    <x v="12"/>
    <m/>
    <m/>
    <m/>
    <m/>
    <m/>
    <m/>
    <m/>
    <m/>
    <n v="0"/>
    <m/>
    <m/>
    <n v="0"/>
    <n v="0"/>
    <n v="0"/>
    <n v="5868784"/>
    <n v="5665833"/>
    <m/>
    <m/>
    <n v="0"/>
    <m/>
    <m/>
    <n v="0"/>
    <m/>
    <m/>
    <m/>
    <m/>
    <m/>
    <m/>
    <n v="5868784"/>
    <n v="5665833"/>
  </r>
  <r>
    <x v="7"/>
    <x v="27"/>
    <s v="Non need-based"/>
    <m/>
    <m/>
    <x v="12"/>
    <m/>
    <m/>
    <m/>
    <m/>
    <m/>
    <m/>
    <m/>
    <m/>
    <n v="0"/>
    <m/>
    <m/>
    <n v="0"/>
    <n v="0"/>
    <n v="0"/>
    <m/>
    <m/>
    <m/>
    <m/>
    <n v="0"/>
    <m/>
    <m/>
    <n v="0"/>
    <m/>
    <m/>
    <m/>
    <m/>
    <m/>
    <m/>
    <n v="0"/>
    <n v="0"/>
  </r>
  <r>
    <x v="7"/>
    <x v="31"/>
    <s v="Amount to private sector students"/>
    <m/>
    <m/>
    <x v="12"/>
    <m/>
    <m/>
    <m/>
    <m/>
    <m/>
    <m/>
    <m/>
    <m/>
    <n v="0"/>
    <m/>
    <m/>
    <n v="0"/>
    <n v="0"/>
    <n v="0"/>
    <m/>
    <m/>
    <m/>
    <m/>
    <n v="0"/>
    <m/>
    <m/>
    <n v="0"/>
    <m/>
    <m/>
    <m/>
    <m/>
    <m/>
    <m/>
    <n v="0"/>
    <n v="0"/>
  </r>
  <r>
    <x v="7"/>
    <x v="32"/>
    <s v="Need-based"/>
    <m/>
    <m/>
    <x v="12"/>
    <m/>
    <m/>
    <m/>
    <m/>
    <m/>
    <m/>
    <m/>
    <m/>
    <n v="0"/>
    <m/>
    <m/>
    <n v="0"/>
    <n v="0"/>
    <n v="0"/>
    <n v="1180450"/>
    <n v="1115125"/>
    <m/>
    <m/>
    <n v="0"/>
    <m/>
    <m/>
    <n v="0"/>
    <m/>
    <m/>
    <m/>
    <m/>
    <m/>
    <m/>
    <n v="1180450"/>
    <n v="1115125"/>
  </r>
  <r>
    <x v="7"/>
    <x v="27"/>
    <s v="Non need-based"/>
    <m/>
    <m/>
    <x v="12"/>
    <m/>
    <m/>
    <m/>
    <m/>
    <m/>
    <m/>
    <m/>
    <m/>
    <n v="0"/>
    <m/>
    <m/>
    <n v="0"/>
    <n v="0"/>
    <n v="0"/>
    <m/>
    <m/>
    <m/>
    <m/>
    <n v="0"/>
    <m/>
    <m/>
    <n v="0"/>
    <m/>
    <m/>
    <m/>
    <m/>
    <m/>
    <m/>
    <n v="0"/>
    <n v="0"/>
  </r>
  <r>
    <x v="7"/>
    <x v="25"/>
    <s v="Edward Conroy Grant"/>
    <m/>
    <m/>
    <x v="12"/>
    <m/>
    <m/>
    <m/>
    <m/>
    <m/>
    <m/>
    <m/>
    <m/>
    <n v="0"/>
    <m/>
    <m/>
    <n v="0"/>
    <n v="0"/>
    <n v="0"/>
    <m/>
    <m/>
    <m/>
    <m/>
    <n v="0"/>
    <m/>
    <m/>
    <n v="0"/>
    <m/>
    <m/>
    <m/>
    <m/>
    <m/>
    <m/>
    <n v="0"/>
    <n v="0"/>
  </r>
  <r>
    <x v="7"/>
    <x v="28"/>
    <s v="Amount to public sector students"/>
    <m/>
    <m/>
    <x v="12"/>
    <m/>
    <m/>
    <m/>
    <m/>
    <m/>
    <m/>
    <m/>
    <m/>
    <n v="0"/>
    <m/>
    <m/>
    <n v="0"/>
    <n v="0"/>
    <n v="0"/>
    <m/>
    <m/>
    <m/>
    <m/>
    <n v="0"/>
    <m/>
    <m/>
    <n v="0"/>
    <m/>
    <m/>
    <m/>
    <m/>
    <m/>
    <m/>
    <n v="0"/>
    <n v="0"/>
  </r>
  <r>
    <x v="7"/>
    <x v="29"/>
    <s v="Need-based"/>
    <m/>
    <m/>
    <x v="12"/>
    <m/>
    <m/>
    <m/>
    <m/>
    <m/>
    <m/>
    <m/>
    <m/>
    <n v="0"/>
    <m/>
    <m/>
    <n v="0"/>
    <n v="0"/>
    <n v="0"/>
    <m/>
    <m/>
    <m/>
    <m/>
    <n v="0"/>
    <m/>
    <m/>
    <n v="0"/>
    <m/>
    <m/>
    <m/>
    <m/>
    <m/>
    <m/>
    <n v="0"/>
    <n v="0"/>
  </r>
  <r>
    <x v="7"/>
    <x v="30"/>
    <s v="Non-need based"/>
    <m/>
    <m/>
    <x v="12"/>
    <m/>
    <m/>
    <m/>
    <m/>
    <m/>
    <m/>
    <m/>
    <m/>
    <n v="0"/>
    <m/>
    <m/>
    <n v="0"/>
    <n v="0"/>
    <n v="0"/>
    <n v="151346"/>
    <n v="516032"/>
    <m/>
    <m/>
    <n v="0"/>
    <m/>
    <m/>
    <n v="0"/>
    <m/>
    <m/>
    <m/>
    <m/>
    <m/>
    <m/>
    <n v="151346"/>
    <n v="516032"/>
  </r>
  <r>
    <x v="7"/>
    <x v="31"/>
    <s v="Amount to private sector students"/>
    <m/>
    <m/>
    <x v="12"/>
    <m/>
    <m/>
    <m/>
    <m/>
    <m/>
    <m/>
    <m/>
    <m/>
    <n v="0"/>
    <m/>
    <m/>
    <n v="0"/>
    <n v="0"/>
    <n v="0"/>
    <m/>
    <m/>
    <m/>
    <m/>
    <n v="0"/>
    <m/>
    <m/>
    <n v="0"/>
    <m/>
    <m/>
    <m/>
    <m/>
    <m/>
    <m/>
    <n v="0"/>
    <n v="0"/>
  </r>
  <r>
    <x v="7"/>
    <x v="32"/>
    <s v="Need-based"/>
    <m/>
    <m/>
    <x v="12"/>
    <m/>
    <m/>
    <m/>
    <m/>
    <m/>
    <m/>
    <m/>
    <m/>
    <n v="0"/>
    <m/>
    <m/>
    <n v="0"/>
    <n v="0"/>
    <n v="0"/>
    <m/>
    <m/>
    <m/>
    <m/>
    <n v="0"/>
    <m/>
    <m/>
    <n v="0"/>
    <m/>
    <m/>
    <m/>
    <m/>
    <m/>
    <m/>
    <n v="0"/>
    <n v="0"/>
  </r>
  <r>
    <x v="7"/>
    <x v="33"/>
    <s v="Non-need based"/>
    <m/>
    <m/>
    <x v="12"/>
    <m/>
    <m/>
    <m/>
    <m/>
    <m/>
    <m/>
    <m/>
    <m/>
    <n v="0"/>
    <m/>
    <m/>
    <n v="0"/>
    <n v="0"/>
    <n v="0"/>
    <n v="53358"/>
    <n v="70062"/>
    <m/>
    <m/>
    <n v="0"/>
    <m/>
    <m/>
    <n v="0"/>
    <m/>
    <m/>
    <m/>
    <m/>
    <m/>
    <m/>
    <n v="53358"/>
    <n v="70062"/>
  </r>
  <r>
    <x v="7"/>
    <x v="25"/>
    <s v="Delegate Scholarship"/>
    <m/>
    <m/>
    <x v="12"/>
    <m/>
    <m/>
    <m/>
    <m/>
    <m/>
    <m/>
    <m/>
    <m/>
    <n v="0"/>
    <m/>
    <m/>
    <n v="0"/>
    <n v="0"/>
    <n v="0"/>
    <m/>
    <m/>
    <m/>
    <m/>
    <n v="0"/>
    <m/>
    <m/>
    <n v="0"/>
    <m/>
    <m/>
    <m/>
    <m/>
    <m/>
    <m/>
    <n v="0"/>
    <n v="0"/>
  </r>
  <r>
    <x v="7"/>
    <x v="26"/>
    <s v="Need-based"/>
    <m/>
    <m/>
    <x v="12"/>
    <m/>
    <m/>
    <m/>
    <m/>
    <m/>
    <m/>
    <m/>
    <m/>
    <n v="0"/>
    <m/>
    <m/>
    <n v="0"/>
    <n v="0"/>
    <n v="0"/>
    <m/>
    <m/>
    <m/>
    <m/>
    <n v="0"/>
    <m/>
    <m/>
    <n v="0"/>
    <m/>
    <m/>
    <m/>
    <m/>
    <m/>
    <m/>
    <n v="0"/>
    <n v="0"/>
  </r>
  <r>
    <x v="7"/>
    <x v="27"/>
    <s v="Non need-based"/>
    <m/>
    <m/>
    <x v="12"/>
    <m/>
    <m/>
    <m/>
    <m/>
    <m/>
    <m/>
    <m/>
    <m/>
    <n v="0"/>
    <m/>
    <m/>
    <n v="0"/>
    <n v="0"/>
    <n v="0"/>
    <m/>
    <m/>
    <m/>
    <m/>
    <n v="0"/>
    <m/>
    <m/>
    <n v="0"/>
    <m/>
    <m/>
    <m/>
    <m/>
    <m/>
    <m/>
    <n v="0"/>
    <n v="0"/>
  </r>
  <r>
    <x v="7"/>
    <x v="28"/>
    <s v="Amount to public sector students"/>
    <m/>
    <m/>
    <x v="12"/>
    <m/>
    <m/>
    <m/>
    <m/>
    <m/>
    <m/>
    <m/>
    <m/>
    <n v="0"/>
    <m/>
    <m/>
    <n v="0"/>
    <n v="0"/>
    <n v="0"/>
    <m/>
    <m/>
    <m/>
    <m/>
    <n v="0"/>
    <m/>
    <m/>
    <n v="0"/>
    <m/>
    <m/>
    <m/>
    <m/>
    <m/>
    <m/>
    <n v="0"/>
    <n v="0"/>
  </r>
  <r>
    <x v="7"/>
    <x v="29"/>
    <s v="Need-based"/>
    <m/>
    <m/>
    <x v="12"/>
    <m/>
    <m/>
    <m/>
    <m/>
    <m/>
    <m/>
    <m/>
    <m/>
    <n v="0"/>
    <m/>
    <m/>
    <n v="0"/>
    <n v="0"/>
    <n v="0"/>
    <m/>
    <m/>
    <m/>
    <m/>
    <n v="0"/>
    <m/>
    <m/>
    <n v="0"/>
    <m/>
    <m/>
    <m/>
    <m/>
    <m/>
    <m/>
    <n v="0"/>
    <n v="0"/>
  </r>
  <r>
    <x v="7"/>
    <x v="30"/>
    <s v="Non-need based"/>
    <m/>
    <m/>
    <x v="12"/>
    <m/>
    <m/>
    <m/>
    <m/>
    <m/>
    <m/>
    <m/>
    <m/>
    <n v="0"/>
    <m/>
    <m/>
    <n v="0"/>
    <n v="0"/>
    <n v="0"/>
    <n v="4343241"/>
    <n v="4348007"/>
    <m/>
    <m/>
    <n v="0"/>
    <m/>
    <m/>
    <n v="0"/>
    <m/>
    <m/>
    <m/>
    <m/>
    <m/>
    <m/>
    <n v="4343241"/>
    <n v="4348007"/>
  </r>
  <r>
    <x v="7"/>
    <x v="31"/>
    <s v="Amount to private sector students"/>
    <m/>
    <m/>
    <x v="12"/>
    <m/>
    <m/>
    <m/>
    <m/>
    <m/>
    <m/>
    <m/>
    <m/>
    <n v="0"/>
    <m/>
    <m/>
    <n v="0"/>
    <n v="0"/>
    <n v="0"/>
    <m/>
    <m/>
    <m/>
    <m/>
    <n v="0"/>
    <m/>
    <m/>
    <n v="0"/>
    <m/>
    <m/>
    <m/>
    <m/>
    <m/>
    <m/>
    <n v="0"/>
    <n v="0"/>
  </r>
  <r>
    <x v="7"/>
    <x v="32"/>
    <s v="Need-based"/>
    <m/>
    <m/>
    <x v="12"/>
    <m/>
    <m/>
    <m/>
    <m/>
    <m/>
    <m/>
    <m/>
    <m/>
    <n v="0"/>
    <m/>
    <m/>
    <n v="0"/>
    <n v="0"/>
    <n v="0"/>
    <m/>
    <m/>
    <m/>
    <m/>
    <n v="0"/>
    <m/>
    <m/>
    <n v="0"/>
    <m/>
    <m/>
    <m/>
    <m/>
    <m/>
    <m/>
    <n v="0"/>
    <n v="0"/>
  </r>
  <r>
    <x v="7"/>
    <x v="33"/>
    <s v="Non-need based"/>
    <m/>
    <m/>
    <x v="12"/>
    <m/>
    <m/>
    <m/>
    <m/>
    <m/>
    <m/>
    <m/>
    <m/>
    <n v="0"/>
    <m/>
    <m/>
    <n v="0"/>
    <n v="0"/>
    <n v="0"/>
    <n v="861393"/>
    <n v="799919"/>
    <m/>
    <m/>
    <n v="0"/>
    <m/>
    <m/>
    <n v="0"/>
    <m/>
    <m/>
    <m/>
    <m/>
    <m/>
    <m/>
    <n v="861393"/>
    <n v="799919"/>
  </r>
  <r>
    <x v="7"/>
    <x v="25"/>
    <s v="Firemen's Tuition Reimbursement"/>
    <m/>
    <m/>
    <x v="12"/>
    <m/>
    <m/>
    <m/>
    <m/>
    <m/>
    <m/>
    <m/>
    <m/>
    <n v="0"/>
    <m/>
    <m/>
    <n v="0"/>
    <n v="0"/>
    <n v="0"/>
    <m/>
    <m/>
    <m/>
    <m/>
    <n v="0"/>
    <m/>
    <m/>
    <n v="0"/>
    <m/>
    <m/>
    <m/>
    <m/>
    <m/>
    <m/>
    <n v="0"/>
    <n v="0"/>
  </r>
  <r>
    <x v="7"/>
    <x v="28"/>
    <s v="Amount to public sector students"/>
    <m/>
    <m/>
    <x v="12"/>
    <m/>
    <m/>
    <m/>
    <m/>
    <m/>
    <m/>
    <m/>
    <m/>
    <n v="0"/>
    <m/>
    <m/>
    <n v="0"/>
    <n v="0"/>
    <n v="0"/>
    <m/>
    <m/>
    <m/>
    <m/>
    <n v="0"/>
    <m/>
    <m/>
    <n v="0"/>
    <m/>
    <m/>
    <m/>
    <m/>
    <m/>
    <m/>
    <n v="0"/>
    <n v="0"/>
  </r>
  <r>
    <x v="7"/>
    <x v="29"/>
    <s v="Need-based"/>
    <m/>
    <m/>
    <x v="12"/>
    <m/>
    <m/>
    <m/>
    <m/>
    <m/>
    <m/>
    <m/>
    <m/>
    <n v="0"/>
    <m/>
    <m/>
    <n v="0"/>
    <n v="0"/>
    <n v="0"/>
    <m/>
    <m/>
    <m/>
    <m/>
    <n v="0"/>
    <m/>
    <m/>
    <n v="0"/>
    <m/>
    <m/>
    <m/>
    <m/>
    <m/>
    <m/>
    <n v="0"/>
    <n v="0"/>
  </r>
  <r>
    <x v="7"/>
    <x v="30"/>
    <s v="Non-need based"/>
    <m/>
    <m/>
    <x v="12"/>
    <m/>
    <m/>
    <m/>
    <m/>
    <m/>
    <m/>
    <m/>
    <m/>
    <n v="0"/>
    <m/>
    <m/>
    <n v="0"/>
    <n v="0"/>
    <n v="0"/>
    <n v="305698"/>
    <n v="330692"/>
    <m/>
    <m/>
    <n v="0"/>
    <m/>
    <m/>
    <n v="0"/>
    <m/>
    <m/>
    <m/>
    <m/>
    <m/>
    <m/>
    <n v="305698"/>
    <n v="330692"/>
  </r>
  <r>
    <x v="7"/>
    <x v="31"/>
    <s v="Amount to private sector students"/>
    <m/>
    <m/>
    <x v="12"/>
    <m/>
    <m/>
    <m/>
    <m/>
    <m/>
    <m/>
    <m/>
    <m/>
    <n v="0"/>
    <m/>
    <m/>
    <n v="0"/>
    <n v="0"/>
    <n v="0"/>
    <m/>
    <m/>
    <m/>
    <m/>
    <n v="0"/>
    <m/>
    <m/>
    <n v="0"/>
    <m/>
    <m/>
    <m/>
    <m/>
    <m/>
    <m/>
    <n v="0"/>
    <n v="0"/>
  </r>
  <r>
    <x v="7"/>
    <x v="32"/>
    <s v="Need-based"/>
    <m/>
    <m/>
    <x v="12"/>
    <m/>
    <m/>
    <m/>
    <m/>
    <m/>
    <m/>
    <m/>
    <m/>
    <n v="0"/>
    <m/>
    <m/>
    <n v="0"/>
    <n v="0"/>
    <n v="0"/>
    <m/>
    <m/>
    <m/>
    <m/>
    <n v="0"/>
    <m/>
    <m/>
    <n v="0"/>
    <m/>
    <m/>
    <m/>
    <m/>
    <m/>
    <m/>
    <n v="0"/>
    <n v="0"/>
  </r>
  <r>
    <x v="7"/>
    <x v="33"/>
    <s v="Non-need based"/>
    <m/>
    <m/>
    <x v="12"/>
    <m/>
    <m/>
    <m/>
    <m/>
    <m/>
    <m/>
    <m/>
    <m/>
    <n v="0"/>
    <m/>
    <m/>
    <n v="0"/>
    <n v="0"/>
    <n v="0"/>
    <m/>
    <m/>
    <m/>
    <m/>
    <n v="0"/>
    <m/>
    <m/>
    <n v="0"/>
    <m/>
    <m/>
    <m/>
    <m/>
    <m/>
    <m/>
    <n v="0"/>
    <n v="0"/>
  </r>
  <r>
    <x v="7"/>
    <x v="25"/>
    <s v="Distinguished Scholar Award"/>
    <m/>
    <m/>
    <x v="12"/>
    <m/>
    <m/>
    <m/>
    <m/>
    <m/>
    <m/>
    <m/>
    <m/>
    <n v="0"/>
    <m/>
    <m/>
    <n v="0"/>
    <n v="0"/>
    <n v="0"/>
    <m/>
    <m/>
    <m/>
    <m/>
    <n v="0"/>
    <m/>
    <m/>
    <n v="0"/>
    <m/>
    <m/>
    <m/>
    <m/>
    <m/>
    <m/>
    <n v="0"/>
    <n v="0"/>
  </r>
  <r>
    <x v="7"/>
    <x v="28"/>
    <s v="Amount to public sector students"/>
    <m/>
    <m/>
    <x v="12"/>
    <m/>
    <m/>
    <m/>
    <m/>
    <m/>
    <m/>
    <m/>
    <m/>
    <n v="0"/>
    <m/>
    <m/>
    <n v="0"/>
    <n v="0"/>
    <n v="0"/>
    <m/>
    <m/>
    <m/>
    <m/>
    <n v="0"/>
    <m/>
    <m/>
    <n v="0"/>
    <m/>
    <m/>
    <m/>
    <m/>
    <m/>
    <m/>
    <n v="0"/>
    <n v="0"/>
  </r>
  <r>
    <x v="7"/>
    <x v="29"/>
    <s v="Need-based"/>
    <m/>
    <m/>
    <x v="12"/>
    <m/>
    <m/>
    <m/>
    <m/>
    <m/>
    <m/>
    <m/>
    <m/>
    <n v="0"/>
    <m/>
    <m/>
    <n v="0"/>
    <n v="0"/>
    <n v="0"/>
    <m/>
    <m/>
    <m/>
    <m/>
    <n v="0"/>
    <m/>
    <m/>
    <n v="0"/>
    <m/>
    <m/>
    <m/>
    <m/>
    <m/>
    <m/>
    <n v="0"/>
    <n v="0"/>
  </r>
  <r>
    <x v="7"/>
    <x v="30"/>
    <s v="Non-need based"/>
    <m/>
    <m/>
    <x v="12"/>
    <m/>
    <m/>
    <m/>
    <m/>
    <m/>
    <m/>
    <m/>
    <m/>
    <n v="0"/>
    <m/>
    <m/>
    <n v="0"/>
    <n v="0"/>
    <n v="0"/>
    <n v="1857000"/>
    <n v="1179000"/>
    <m/>
    <m/>
    <n v="0"/>
    <m/>
    <m/>
    <n v="0"/>
    <m/>
    <m/>
    <m/>
    <m/>
    <m/>
    <m/>
    <n v="1857000"/>
    <n v="1179000"/>
  </r>
  <r>
    <x v="7"/>
    <x v="31"/>
    <s v="Amount to private sector students"/>
    <m/>
    <m/>
    <x v="12"/>
    <m/>
    <m/>
    <m/>
    <m/>
    <m/>
    <m/>
    <m/>
    <m/>
    <n v="0"/>
    <m/>
    <m/>
    <n v="0"/>
    <n v="0"/>
    <n v="0"/>
    <m/>
    <m/>
    <m/>
    <m/>
    <n v="0"/>
    <m/>
    <m/>
    <n v="0"/>
    <m/>
    <m/>
    <m/>
    <m/>
    <m/>
    <m/>
    <n v="0"/>
    <n v="0"/>
  </r>
  <r>
    <x v="7"/>
    <x v="32"/>
    <s v="Need-based"/>
    <m/>
    <m/>
    <x v="12"/>
    <m/>
    <m/>
    <m/>
    <m/>
    <m/>
    <m/>
    <m/>
    <m/>
    <n v="0"/>
    <m/>
    <m/>
    <n v="0"/>
    <n v="0"/>
    <n v="0"/>
    <m/>
    <m/>
    <m/>
    <m/>
    <n v="0"/>
    <m/>
    <m/>
    <n v="0"/>
    <m/>
    <m/>
    <m/>
    <m/>
    <m/>
    <m/>
    <n v="0"/>
    <n v="0"/>
  </r>
  <r>
    <x v="7"/>
    <x v="33"/>
    <s v="Non-need based"/>
    <m/>
    <m/>
    <x v="12"/>
    <m/>
    <m/>
    <m/>
    <m/>
    <m/>
    <m/>
    <m/>
    <m/>
    <n v="0"/>
    <m/>
    <m/>
    <n v="0"/>
    <n v="0"/>
    <n v="0"/>
    <n v="421500"/>
    <n v="262500"/>
    <m/>
    <m/>
    <n v="0"/>
    <m/>
    <m/>
    <n v="0"/>
    <m/>
    <m/>
    <m/>
    <m/>
    <m/>
    <m/>
    <n v="421500"/>
    <n v="262500"/>
  </r>
  <r>
    <x v="7"/>
    <x v="25"/>
    <s v="Jack F. Tolbert Memorial Student Grant Program"/>
    <m/>
    <m/>
    <x v="12"/>
    <m/>
    <m/>
    <m/>
    <m/>
    <m/>
    <m/>
    <m/>
    <m/>
    <n v="0"/>
    <m/>
    <m/>
    <n v="0"/>
    <n v="0"/>
    <n v="0"/>
    <m/>
    <m/>
    <m/>
    <m/>
    <n v="0"/>
    <m/>
    <m/>
    <n v="0"/>
    <m/>
    <m/>
    <m/>
    <m/>
    <m/>
    <m/>
    <n v="0"/>
    <n v="0"/>
  </r>
  <r>
    <x v="7"/>
    <x v="28"/>
    <s v="Amount to public sector students"/>
    <m/>
    <m/>
    <x v="12"/>
    <m/>
    <m/>
    <m/>
    <m/>
    <m/>
    <m/>
    <m/>
    <m/>
    <n v="0"/>
    <m/>
    <m/>
    <n v="0"/>
    <n v="0"/>
    <n v="0"/>
    <m/>
    <m/>
    <m/>
    <m/>
    <n v="0"/>
    <m/>
    <m/>
    <n v="0"/>
    <m/>
    <m/>
    <m/>
    <m/>
    <m/>
    <m/>
    <n v="0"/>
    <n v="0"/>
  </r>
  <r>
    <x v="7"/>
    <x v="29"/>
    <s v="Need-based"/>
    <m/>
    <m/>
    <x v="12"/>
    <m/>
    <m/>
    <m/>
    <m/>
    <m/>
    <m/>
    <m/>
    <m/>
    <n v="0"/>
    <m/>
    <m/>
    <n v="0"/>
    <n v="0"/>
    <n v="0"/>
    <m/>
    <m/>
    <m/>
    <m/>
    <n v="0"/>
    <m/>
    <m/>
    <n v="0"/>
    <m/>
    <m/>
    <m/>
    <m/>
    <m/>
    <m/>
    <n v="0"/>
    <n v="0"/>
  </r>
  <r>
    <x v="7"/>
    <x v="30"/>
    <s v="Non-need based"/>
    <m/>
    <m/>
    <x v="12"/>
    <m/>
    <m/>
    <m/>
    <m/>
    <m/>
    <m/>
    <m/>
    <m/>
    <n v="0"/>
    <m/>
    <m/>
    <n v="0"/>
    <n v="0"/>
    <n v="0"/>
    <m/>
    <m/>
    <m/>
    <m/>
    <n v="0"/>
    <m/>
    <m/>
    <n v="0"/>
    <m/>
    <m/>
    <m/>
    <m/>
    <m/>
    <m/>
    <n v="0"/>
    <n v="0"/>
  </r>
  <r>
    <x v="7"/>
    <x v="31"/>
    <s v="Amount to private sector students"/>
    <m/>
    <m/>
    <x v="12"/>
    <m/>
    <m/>
    <m/>
    <m/>
    <m/>
    <m/>
    <m/>
    <m/>
    <n v="0"/>
    <m/>
    <m/>
    <n v="0"/>
    <n v="0"/>
    <n v="0"/>
    <m/>
    <m/>
    <m/>
    <m/>
    <n v="0"/>
    <m/>
    <m/>
    <n v="0"/>
    <m/>
    <m/>
    <m/>
    <m/>
    <m/>
    <m/>
    <n v="0"/>
    <n v="0"/>
  </r>
  <r>
    <x v="7"/>
    <x v="32"/>
    <s v="Need-based"/>
    <m/>
    <m/>
    <x v="12"/>
    <m/>
    <m/>
    <m/>
    <m/>
    <m/>
    <m/>
    <m/>
    <m/>
    <n v="0"/>
    <m/>
    <m/>
    <n v="0"/>
    <n v="0"/>
    <n v="0"/>
    <n v="125750"/>
    <n v="117000"/>
    <m/>
    <m/>
    <n v="0"/>
    <m/>
    <m/>
    <n v="0"/>
    <m/>
    <m/>
    <m/>
    <m/>
    <m/>
    <m/>
    <n v="125750"/>
    <n v="117000"/>
  </r>
  <r>
    <x v="7"/>
    <x v="33"/>
    <s v="Non-need based"/>
    <m/>
    <m/>
    <x v="12"/>
    <m/>
    <m/>
    <m/>
    <m/>
    <m/>
    <m/>
    <m/>
    <m/>
    <n v="0"/>
    <m/>
    <m/>
    <n v="0"/>
    <n v="0"/>
    <n v="0"/>
    <m/>
    <m/>
    <m/>
    <m/>
    <n v="0"/>
    <m/>
    <m/>
    <n v="0"/>
    <m/>
    <m/>
    <m/>
    <m/>
    <m/>
    <m/>
    <n v="0"/>
    <n v="0"/>
  </r>
  <r>
    <x v="7"/>
    <x v="25"/>
    <s v="Child Care Providers Scholarship"/>
    <m/>
    <m/>
    <x v="12"/>
    <m/>
    <m/>
    <m/>
    <m/>
    <m/>
    <m/>
    <m/>
    <m/>
    <n v="0"/>
    <m/>
    <m/>
    <n v="0"/>
    <n v="0"/>
    <n v="0"/>
    <m/>
    <m/>
    <m/>
    <m/>
    <n v="0"/>
    <m/>
    <m/>
    <n v="0"/>
    <m/>
    <m/>
    <m/>
    <m/>
    <m/>
    <m/>
    <n v="0"/>
    <n v="0"/>
  </r>
  <r>
    <x v="7"/>
    <x v="28"/>
    <s v="Amount to public sector students"/>
    <m/>
    <m/>
    <x v="12"/>
    <m/>
    <m/>
    <m/>
    <m/>
    <m/>
    <m/>
    <m/>
    <m/>
    <n v="0"/>
    <m/>
    <m/>
    <n v="0"/>
    <n v="0"/>
    <n v="0"/>
    <m/>
    <m/>
    <m/>
    <m/>
    <n v="0"/>
    <m/>
    <m/>
    <n v="0"/>
    <m/>
    <m/>
    <m/>
    <m/>
    <m/>
    <m/>
    <n v="0"/>
    <n v="0"/>
  </r>
  <r>
    <x v="7"/>
    <x v="29"/>
    <s v="Need-based"/>
    <m/>
    <m/>
    <x v="12"/>
    <m/>
    <m/>
    <m/>
    <m/>
    <m/>
    <m/>
    <m/>
    <m/>
    <n v="0"/>
    <m/>
    <m/>
    <n v="0"/>
    <n v="0"/>
    <n v="0"/>
    <m/>
    <m/>
    <m/>
    <m/>
    <n v="0"/>
    <m/>
    <m/>
    <n v="0"/>
    <m/>
    <m/>
    <m/>
    <m/>
    <m/>
    <m/>
    <n v="0"/>
    <n v="0"/>
  </r>
  <r>
    <x v="7"/>
    <x v="30"/>
    <s v="Non-need based"/>
    <m/>
    <m/>
    <x v="12"/>
    <m/>
    <m/>
    <m/>
    <m/>
    <m/>
    <m/>
    <m/>
    <m/>
    <n v="0"/>
    <m/>
    <m/>
    <n v="0"/>
    <n v="0"/>
    <n v="0"/>
    <n v="0"/>
    <m/>
    <m/>
    <m/>
    <n v="0"/>
    <m/>
    <m/>
    <n v="0"/>
    <m/>
    <m/>
    <m/>
    <m/>
    <m/>
    <m/>
    <n v="0"/>
    <n v="0"/>
  </r>
  <r>
    <x v="7"/>
    <x v="31"/>
    <s v="Amount to private sector students"/>
    <m/>
    <m/>
    <x v="12"/>
    <m/>
    <m/>
    <m/>
    <m/>
    <m/>
    <m/>
    <m/>
    <m/>
    <n v="0"/>
    <m/>
    <m/>
    <n v="0"/>
    <n v="0"/>
    <n v="0"/>
    <m/>
    <m/>
    <m/>
    <m/>
    <n v="0"/>
    <m/>
    <m/>
    <n v="0"/>
    <m/>
    <m/>
    <m/>
    <m/>
    <m/>
    <m/>
    <n v="0"/>
    <n v="0"/>
  </r>
  <r>
    <x v="7"/>
    <x v="32"/>
    <s v="Need-based"/>
    <m/>
    <m/>
    <x v="12"/>
    <m/>
    <m/>
    <m/>
    <m/>
    <m/>
    <m/>
    <m/>
    <m/>
    <n v="0"/>
    <m/>
    <m/>
    <n v="0"/>
    <n v="0"/>
    <n v="0"/>
    <m/>
    <m/>
    <m/>
    <m/>
    <n v="0"/>
    <m/>
    <m/>
    <n v="0"/>
    <m/>
    <m/>
    <m/>
    <m/>
    <m/>
    <m/>
    <n v="0"/>
    <n v="0"/>
  </r>
  <r>
    <x v="7"/>
    <x v="33"/>
    <s v="Non-need based"/>
    <m/>
    <m/>
    <x v="12"/>
    <m/>
    <m/>
    <m/>
    <m/>
    <m/>
    <m/>
    <m/>
    <m/>
    <n v="0"/>
    <m/>
    <m/>
    <n v="0"/>
    <n v="0"/>
    <n v="0"/>
    <m/>
    <m/>
    <m/>
    <m/>
    <n v="0"/>
    <m/>
    <m/>
    <n v="0"/>
    <m/>
    <m/>
    <m/>
    <m/>
    <m/>
    <m/>
    <n v="0"/>
    <n v="0"/>
  </r>
  <r>
    <x v="7"/>
    <x v="25"/>
    <s v="Developmental Disabilities, Mental Health, Child Welfare, and Juvenile Justice Workforce Tuition Assistance Program "/>
    <m/>
    <m/>
    <x v="12"/>
    <m/>
    <m/>
    <m/>
    <m/>
    <m/>
    <m/>
    <m/>
    <m/>
    <n v="0"/>
    <m/>
    <m/>
    <n v="0"/>
    <n v="0"/>
    <n v="0"/>
    <m/>
    <m/>
    <m/>
    <m/>
    <n v="0"/>
    <m/>
    <m/>
    <n v="0"/>
    <m/>
    <m/>
    <m/>
    <m/>
    <m/>
    <m/>
    <n v="0"/>
    <n v="0"/>
  </r>
  <r>
    <x v="7"/>
    <x v="28"/>
    <s v="Amount to public sector students"/>
    <m/>
    <m/>
    <x v="12"/>
    <m/>
    <m/>
    <m/>
    <m/>
    <m/>
    <m/>
    <m/>
    <m/>
    <n v="0"/>
    <m/>
    <m/>
    <n v="0"/>
    <n v="0"/>
    <n v="0"/>
    <m/>
    <m/>
    <m/>
    <m/>
    <n v="0"/>
    <m/>
    <m/>
    <n v="0"/>
    <m/>
    <m/>
    <m/>
    <m/>
    <m/>
    <m/>
    <n v="0"/>
    <n v="0"/>
  </r>
  <r>
    <x v="7"/>
    <x v="29"/>
    <s v="Need-based"/>
    <m/>
    <m/>
    <x v="12"/>
    <m/>
    <m/>
    <m/>
    <m/>
    <m/>
    <m/>
    <m/>
    <m/>
    <n v="0"/>
    <m/>
    <m/>
    <n v="0"/>
    <n v="0"/>
    <n v="0"/>
    <m/>
    <m/>
    <m/>
    <m/>
    <n v="0"/>
    <m/>
    <m/>
    <n v="0"/>
    <m/>
    <m/>
    <m/>
    <m/>
    <m/>
    <m/>
    <n v="0"/>
    <n v="0"/>
  </r>
  <r>
    <x v="7"/>
    <x v="30"/>
    <s v="Non-need based"/>
    <m/>
    <m/>
    <x v="12"/>
    <m/>
    <m/>
    <m/>
    <m/>
    <m/>
    <m/>
    <m/>
    <m/>
    <n v="0"/>
    <m/>
    <m/>
    <n v="0"/>
    <n v="0"/>
    <n v="0"/>
    <n v="0"/>
    <m/>
    <m/>
    <m/>
    <n v="0"/>
    <m/>
    <m/>
    <n v="0"/>
    <m/>
    <m/>
    <m/>
    <m/>
    <m/>
    <m/>
    <n v="0"/>
    <n v="0"/>
  </r>
  <r>
    <x v="7"/>
    <x v="31"/>
    <s v="Amount to private sector students"/>
    <m/>
    <m/>
    <x v="12"/>
    <m/>
    <m/>
    <m/>
    <m/>
    <m/>
    <m/>
    <m/>
    <m/>
    <n v="0"/>
    <m/>
    <m/>
    <n v="0"/>
    <n v="0"/>
    <n v="0"/>
    <m/>
    <m/>
    <m/>
    <m/>
    <n v="0"/>
    <m/>
    <m/>
    <n v="0"/>
    <m/>
    <m/>
    <m/>
    <m/>
    <m/>
    <m/>
    <n v="0"/>
    <n v="0"/>
  </r>
  <r>
    <x v="7"/>
    <x v="32"/>
    <s v="Need-based"/>
    <m/>
    <m/>
    <x v="12"/>
    <m/>
    <m/>
    <m/>
    <m/>
    <m/>
    <m/>
    <m/>
    <m/>
    <n v="0"/>
    <m/>
    <m/>
    <n v="0"/>
    <n v="0"/>
    <n v="0"/>
    <m/>
    <m/>
    <m/>
    <m/>
    <n v="0"/>
    <m/>
    <m/>
    <n v="0"/>
    <m/>
    <m/>
    <m/>
    <m/>
    <m/>
    <m/>
    <n v="0"/>
    <n v="0"/>
  </r>
  <r>
    <x v="7"/>
    <x v="33"/>
    <s v="Non-need based"/>
    <m/>
    <m/>
    <x v="12"/>
    <m/>
    <m/>
    <m/>
    <m/>
    <m/>
    <m/>
    <m/>
    <m/>
    <n v="0"/>
    <m/>
    <m/>
    <n v="0"/>
    <n v="0"/>
    <n v="0"/>
    <m/>
    <m/>
    <m/>
    <m/>
    <n v="0"/>
    <m/>
    <m/>
    <n v="0"/>
    <m/>
    <m/>
    <m/>
    <m/>
    <m/>
    <m/>
    <n v="0"/>
    <n v="0"/>
  </r>
  <r>
    <x v="7"/>
    <x v="25"/>
    <s v="Distinguished Scholar Community College Transfer Program"/>
    <m/>
    <m/>
    <x v="12"/>
    <m/>
    <m/>
    <m/>
    <m/>
    <m/>
    <m/>
    <m/>
    <m/>
    <n v="0"/>
    <m/>
    <m/>
    <n v="0"/>
    <n v="0"/>
    <n v="0"/>
    <m/>
    <m/>
    <m/>
    <m/>
    <n v="0"/>
    <m/>
    <m/>
    <n v="0"/>
    <m/>
    <m/>
    <m/>
    <m/>
    <m/>
    <m/>
    <n v="0"/>
    <n v="0"/>
  </r>
  <r>
    <x v="7"/>
    <x v="28"/>
    <s v="Amount to public sector students"/>
    <m/>
    <m/>
    <x v="12"/>
    <m/>
    <m/>
    <m/>
    <m/>
    <m/>
    <m/>
    <m/>
    <m/>
    <n v="0"/>
    <m/>
    <m/>
    <n v="0"/>
    <n v="0"/>
    <n v="0"/>
    <m/>
    <m/>
    <m/>
    <m/>
    <n v="0"/>
    <m/>
    <m/>
    <n v="0"/>
    <m/>
    <m/>
    <m/>
    <m/>
    <m/>
    <m/>
    <n v="0"/>
    <n v="0"/>
  </r>
  <r>
    <x v="7"/>
    <x v="29"/>
    <s v="Need-based"/>
    <m/>
    <m/>
    <x v="12"/>
    <m/>
    <m/>
    <m/>
    <m/>
    <m/>
    <m/>
    <m/>
    <m/>
    <n v="0"/>
    <m/>
    <m/>
    <n v="0"/>
    <n v="0"/>
    <n v="0"/>
    <m/>
    <m/>
    <m/>
    <m/>
    <n v="0"/>
    <m/>
    <m/>
    <n v="0"/>
    <m/>
    <m/>
    <m/>
    <m/>
    <m/>
    <m/>
    <n v="0"/>
    <n v="0"/>
  </r>
  <r>
    <x v="7"/>
    <x v="30"/>
    <s v="Non-need based"/>
    <m/>
    <m/>
    <x v="12"/>
    <m/>
    <m/>
    <m/>
    <m/>
    <m/>
    <m/>
    <m/>
    <m/>
    <n v="0"/>
    <m/>
    <m/>
    <n v="0"/>
    <n v="0"/>
    <n v="0"/>
    <n v="0"/>
    <m/>
    <m/>
    <m/>
    <n v="0"/>
    <m/>
    <m/>
    <n v="0"/>
    <m/>
    <m/>
    <m/>
    <m/>
    <m/>
    <m/>
    <n v="0"/>
    <n v="0"/>
  </r>
  <r>
    <x v="7"/>
    <x v="31"/>
    <s v="Amount to private sector students"/>
    <m/>
    <m/>
    <x v="12"/>
    <m/>
    <m/>
    <m/>
    <m/>
    <m/>
    <m/>
    <m/>
    <m/>
    <n v="0"/>
    <m/>
    <m/>
    <n v="0"/>
    <n v="0"/>
    <n v="0"/>
    <m/>
    <m/>
    <m/>
    <m/>
    <n v="0"/>
    <m/>
    <m/>
    <n v="0"/>
    <m/>
    <m/>
    <m/>
    <m/>
    <m/>
    <m/>
    <n v="0"/>
    <n v="0"/>
  </r>
  <r>
    <x v="7"/>
    <x v="32"/>
    <s v="Need-based"/>
    <m/>
    <m/>
    <x v="12"/>
    <m/>
    <m/>
    <m/>
    <m/>
    <m/>
    <m/>
    <m/>
    <m/>
    <n v="0"/>
    <m/>
    <m/>
    <n v="0"/>
    <n v="0"/>
    <n v="0"/>
    <m/>
    <m/>
    <m/>
    <m/>
    <n v="0"/>
    <m/>
    <m/>
    <n v="0"/>
    <m/>
    <m/>
    <m/>
    <m/>
    <m/>
    <m/>
    <n v="0"/>
    <n v="0"/>
  </r>
  <r>
    <x v="7"/>
    <x v="33"/>
    <s v="Non-need based"/>
    <m/>
    <m/>
    <x v="12"/>
    <m/>
    <m/>
    <m/>
    <m/>
    <m/>
    <m/>
    <m/>
    <m/>
    <n v="0"/>
    <m/>
    <m/>
    <n v="0"/>
    <n v="0"/>
    <n v="0"/>
    <n v="0"/>
    <m/>
    <m/>
    <m/>
    <n v="0"/>
    <m/>
    <m/>
    <n v="0"/>
    <m/>
    <m/>
    <m/>
    <m/>
    <m/>
    <m/>
    <n v="0"/>
    <n v="0"/>
  </r>
  <r>
    <x v="7"/>
    <x v="25"/>
    <s v="Gear Up Scholarship"/>
    <m/>
    <m/>
    <x v="12"/>
    <m/>
    <m/>
    <m/>
    <m/>
    <m/>
    <m/>
    <m/>
    <m/>
    <n v="0"/>
    <m/>
    <m/>
    <n v="0"/>
    <n v="0"/>
    <n v="0"/>
    <m/>
    <m/>
    <m/>
    <m/>
    <n v="0"/>
    <m/>
    <m/>
    <n v="0"/>
    <m/>
    <m/>
    <m/>
    <m/>
    <m/>
    <m/>
    <n v="0"/>
    <n v="0"/>
  </r>
  <r>
    <x v="7"/>
    <x v="26"/>
    <s v="Need-based"/>
    <m/>
    <m/>
    <x v="12"/>
    <m/>
    <m/>
    <m/>
    <m/>
    <m/>
    <m/>
    <m/>
    <m/>
    <n v="0"/>
    <m/>
    <m/>
    <n v="0"/>
    <n v="0"/>
    <n v="0"/>
    <m/>
    <m/>
    <m/>
    <m/>
    <n v="0"/>
    <m/>
    <m/>
    <n v="0"/>
    <m/>
    <m/>
    <m/>
    <m/>
    <m/>
    <m/>
    <n v="0"/>
    <n v="0"/>
  </r>
  <r>
    <x v="7"/>
    <x v="28"/>
    <s v="Amount to public sector students"/>
    <m/>
    <m/>
    <x v="12"/>
    <m/>
    <m/>
    <m/>
    <m/>
    <m/>
    <m/>
    <m/>
    <m/>
    <n v="0"/>
    <m/>
    <m/>
    <n v="0"/>
    <n v="0"/>
    <n v="0"/>
    <m/>
    <m/>
    <m/>
    <m/>
    <n v="0"/>
    <m/>
    <m/>
    <n v="0"/>
    <m/>
    <m/>
    <m/>
    <m/>
    <m/>
    <m/>
    <n v="0"/>
    <n v="0"/>
  </r>
  <r>
    <x v="7"/>
    <x v="29"/>
    <s v="Need-based"/>
    <m/>
    <m/>
    <x v="12"/>
    <m/>
    <m/>
    <m/>
    <m/>
    <m/>
    <m/>
    <m/>
    <m/>
    <n v="0"/>
    <m/>
    <m/>
    <n v="0"/>
    <n v="0"/>
    <n v="0"/>
    <m/>
    <m/>
    <m/>
    <m/>
    <n v="0"/>
    <m/>
    <m/>
    <n v="0"/>
    <m/>
    <m/>
    <m/>
    <m/>
    <m/>
    <m/>
    <n v="0"/>
    <n v="0"/>
  </r>
  <r>
    <x v="7"/>
    <x v="30"/>
    <s v="Non-need based"/>
    <m/>
    <m/>
    <x v="12"/>
    <m/>
    <m/>
    <m/>
    <m/>
    <m/>
    <m/>
    <m/>
    <m/>
    <n v="0"/>
    <m/>
    <m/>
    <n v="0"/>
    <n v="0"/>
    <n v="0"/>
    <n v="15100"/>
    <n v="10700"/>
    <m/>
    <m/>
    <n v="0"/>
    <m/>
    <m/>
    <n v="0"/>
    <m/>
    <m/>
    <m/>
    <m/>
    <m/>
    <m/>
    <n v="15100"/>
    <n v="10700"/>
  </r>
  <r>
    <x v="7"/>
    <x v="31"/>
    <s v="Amount to private sector students"/>
    <m/>
    <m/>
    <x v="12"/>
    <m/>
    <m/>
    <m/>
    <m/>
    <m/>
    <m/>
    <m/>
    <m/>
    <n v="0"/>
    <m/>
    <m/>
    <n v="0"/>
    <n v="0"/>
    <n v="0"/>
    <m/>
    <m/>
    <m/>
    <m/>
    <n v="0"/>
    <m/>
    <m/>
    <n v="0"/>
    <m/>
    <m/>
    <m/>
    <m/>
    <m/>
    <m/>
    <n v="0"/>
    <n v="0"/>
  </r>
  <r>
    <x v="7"/>
    <x v="32"/>
    <s v="Need-based"/>
    <m/>
    <m/>
    <x v="12"/>
    <m/>
    <m/>
    <m/>
    <m/>
    <m/>
    <m/>
    <m/>
    <m/>
    <n v="0"/>
    <m/>
    <m/>
    <n v="0"/>
    <n v="0"/>
    <n v="0"/>
    <m/>
    <m/>
    <m/>
    <m/>
    <n v="0"/>
    <m/>
    <m/>
    <n v="0"/>
    <m/>
    <m/>
    <m/>
    <m/>
    <m/>
    <m/>
    <n v="0"/>
    <n v="0"/>
  </r>
  <r>
    <x v="7"/>
    <x v="33"/>
    <s v="Non-need based"/>
    <m/>
    <m/>
    <x v="12"/>
    <m/>
    <m/>
    <m/>
    <m/>
    <m/>
    <m/>
    <m/>
    <m/>
    <n v="0"/>
    <m/>
    <m/>
    <n v="0"/>
    <n v="0"/>
    <n v="0"/>
    <n v="1000"/>
    <n v="1000"/>
    <m/>
    <m/>
    <n v="0"/>
    <m/>
    <m/>
    <n v="0"/>
    <m/>
    <m/>
    <m/>
    <m/>
    <m/>
    <m/>
    <n v="1000"/>
    <n v="1000"/>
  </r>
  <r>
    <x v="7"/>
    <x v="25"/>
    <s v="Graduate Nursing Faculy Scholarship "/>
    <m/>
    <m/>
    <x v="12"/>
    <m/>
    <m/>
    <m/>
    <m/>
    <m/>
    <m/>
    <m/>
    <m/>
    <n v="0"/>
    <m/>
    <m/>
    <n v="0"/>
    <n v="0"/>
    <n v="0"/>
    <m/>
    <m/>
    <m/>
    <m/>
    <n v="0"/>
    <m/>
    <m/>
    <n v="0"/>
    <m/>
    <m/>
    <m/>
    <m/>
    <m/>
    <m/>
    <n v="0"/>
    <n v="0"/>
  </r>
  <r>
    <x v="7"/>
    <x v="28"/>
    <s v="Amount to public sector students"/>
    <m/>
    <m/>
    <x v="12"/>
    <m/>
    <m/>
    <m/>
    <m/>
    <m/>
    <m/>
    <m/>
    <m/>
    <n v="0"/>
    <m/>
    <m/>
    <n v="0"/>
    <n v="0"/>
    <n v="0"/>
    <m/>
    <m/>
    <m/>
    <m/>
    <n v="0"/>
    <m/>
    <m/>
    <n v="0"/>
    <m/>
    <m/>
    <m/>
    <m/>
    <m/>
    <m/>
    <n v="0"/>
    <n v="0"/>
  </r>
  <r>
    <x v="7"/>
    <x v="29"/>
    <s v="Need-based"/>
    <m/>
    <m/>
    <x v="12"/>
    <m/>
    <m/>
    <m/>
    <m/>
    <m/>
    <m/>
    <m/>
    <m/>
    <n v="0"/>
    <m/>
    <m/>
    <n v="0"/>
    <n v="0"/>
    <n v="0"/>
    <m/>
    <m/>
    <m/>
    <m/>
    <n v="0"/>
    <m/>
    <m/>
    <n v="0"/>
    <m/>
    <m/>
    <m/>
    <m/>
    <m/>
    <m/>
    <n v="0"/>
    <n v="0"/>
  </r>
  <r>
    <x v="7"/>
    <x v="30"/>
    <s v="Non-need based"/>
    <m/>
    <m/>
    <x v="12"/>
    <m/>
    <m/>
    <m/>
    <m/>
    <m/>
    <m/>
    <m/>
    <m/>
    <n v="0"/>
    <m/>
    <m/>
    <n v="0"/>
    <n v="0"/>
    <n v="0"/>
    <n v="1031917"/>
    <n v="662642"/>
    <m/>
    <m/>
    <n v="0"/>
    <m/>
    <m/>
    <n v="0"/>
    <m/>
    <m/>
    <m/>
    <m/>
    <m/>
    <m/>
    <n v="1031917"/>
    <n v="662642"/>
  </r>
  <r>
    <x v="7"/>
    <x v="31"/>
    <s v="Amount to private sector students"/>
    <m/>
    <m/>
    <x v="12"/>
    <m/>
    <m/>
    <m/>
    <m/>
    <m/>
    <m/>
    <m/>
    <m/>
    <n v="0"/>
    <m/>
    <m/>
    <n v="0"/>
    <n v="0"/>
    <n v="0"/>
    <m/>
    <m/>
    <m/>
    <m/>
    <n v="0"/>
    <m/>
    <m/>
    <n v="0"/>
    <m/>
    <m/>
    <m/>
    <m/>
    <m/>
    <m/>
    <n v="0"/>
    <n v="0"/>
  </r>
  <r>
    <x v="7"/>
    <x v="32"/>
    <s v="Need-based"/>
    <m/>
    <m/>
    <x v="12"/>
    <m/>
    <m/>
    <m/>
    <m/>
    <m/>
    <m/>
    <m/>
    <m/>
    <n v="0"/>
    <m/>
    <m/>
    <n v="0"/>
    <n v="0"/>
    <n v="0"/>
    <m/>
    <m/>
    <m/>
    <m/>
    <n v="0"/>
    <m/>
    <m/>
    <n v="0"/>
    <m/>
    <m/>
    <m/>
    <m/>
    <m/>
    <m/>
    <n v="0"/>
    <n v="0"/>
  </r>
  <r>
    <x v="7"/>
    <x v="33"/>
    <s v="Non-need based"/>
    <m/>
    <m/>
    <x v="12"/>
    <m/>
    <m/>
    <m/>
    <m/>
    <m/>
    <m/>
    <m/>
    <m/>
    <n v="0"/>
    <m/>
    <m/>
    <n v="0"/>
    <n v="0"/>
    <n v="0"/>
    <n v="510965"/>
    <n v="458682"/>
    <m/>
    <m/>
    <n v="0"/>
    <m/>
    <m/>
    <n v="0"/>
    <m/>
    <m/>
    <m/>
    <m/>
    <m/>
    <m/>
    <n v="510965"/>
    <n v="458682"/>
  </r>
  <r>
    <x v="7"/>
    <x v="25"/>
    <s v="Graduate Nursing Faculy Living Expenses Grant "/>
    <m/>
    <m/>
    <x v="12"/>
    <m/>
    <m/>
    <m/>
    <m/>
    <m/>
    <m/>
    <m/>
    <m/>
    <n v="0"/>
    <m/>
    <m/>
    <n v="0"/>
    <n v="0"/>
    <n v="0"/>
    <m/>
    <m/>
    <m/>
    <m/>
    <n v="0"/>
    <m/>
    <m/>
    <n v="0"/>
    <m/>
    <m/>
    <m/>
    <m/>
    <m/>
    <m/>
    <n v="0"/>
    <n v="0"/>
  </r>
  <r>
    <x v="7"/>
    <x v="28"/>
    <s v="Amount to public sector students"/>
    <m/>
    <m/>
    <x v="12"/>
    <m/>
    <m/>
    <m/>
    <m/>
    <m/>
    <m/>
    <m/>
    <m/>
    <n v="0"/>
    <m/>
    <m/>
    <n v="0"/>
    <n v="0"/>
    <n v="0"/>
    <m/>
    <m/>
    <m/>
    <m/>
    <n v="0"/>
    <m/>
    <m/>
    <n v="0"/>
    <m/>
    <m/>
    <m/>
    <m/>
    <m/>
    <m/>
    <n v="0"/>
    <n v="0"/>
  </r>
  <r>
    <x v="7"/>
    <x v="29"/>
    <s v="Need-based"/>
    <m/>
    <m/>
    <x v="12"/>
    <m/>
    <m/>
    <m/>
    <m/>
    <m/>
    <m/>
    <m/>
    <m/>
    <n v="0"/>
    <m/>
    <m/>
    <n v="0"/>
    <n v="0"/>
    <n v="0"/>
    <m/>
    <m/>
    <m/>
    <m/>
    <n v="0"/>
    <m/>
    <m/>
    <n v="0"/>
    <m/>
    <m/>
    <m/>
    <m/>
    <m/>
    <m/>
    <n v="0"/>
    <n v="0"/>
  </r>
  <r>
    <x v="7"/>
    <x v="30"/>
    <s v="Non-need based"/>
    <m/>
    <m/>
    <x v="12"/>
    <m/>
    <m/>
    <m/>
    <m/>
    <m/>
    <m/>
    <m/>
    <m/>
    <n v="0"/>
    <m/>
    <m/>
    <n v="0"/>
    <n v="0"/>
    <n v="0"/>
    <n v="721250"/>
    <n v="409375"/>
    <m/>
    <m/>
    <n v="0"/>
    <m/>
    <m/>
    <n v="0"/>
    <m/>
    <m/>
    <m/>
    <m/>
    <m/>
    <m/>
    <n v="721250"/>
    <n v="409375"/>
  </r>
  <r>
    <x v="7"/>
    <x v="31"/>
    <s v="Amount to private sector students"/>
    <m/>
    <m/>
    <x v="12"/>
    <m/>
    <m/>
    <m/>
    <m/>
    <m/>
    <m/>
    <m/>
    <m/>
    <n v="0"/>
    <m/>
    <m/>
    <n v="0"/>
    <n v="0"/>
    <n v="0"/>
    <m/>
    <m/>
    <m/>
    <m/>
    <n v="0"/>
    <m/>
    <m/>
    <n v="0"/>
    <m/>
    <m/>
    <m/>
    <m/>
    <m/>
    <m/>
    <n v="0"/>
    <n v="0"/>
  </r>
  <r>
    <x v="7"/>
    <x v="32"/>
    <s v="Need-based"/>
    <m/>
    <m/>
    <x v="12"/>
    <m/>
    <m/>
    <m/>
    <m/>
    <m/>
    <m/>
    <m/>
    <m/>
    <n v="0"/>
    <m/>
    <m/>
    <n v="0"/>
    <n v="0"/>
    <n v="0"/>
    <m/>
    <m/>
    <m/>
    <m/>
    <n v="0"/>
    <m/>
    <m/>
    <n v="0"/>
    <m/>
    <m/>
    <m/>
    <m/>
    <m/>
    <m/>
    <n v="0"/>
    <n v="0"/>
  </r>
  <r>
    <x v="7"/>
    <x v="33"/>
    <s v="Non-need based"/>
    <m/>
    <m/>
    <x v="12"/>
    <m/>
    <m/>
    <m/>
    <m/>
    <m/>
    <m/>
    <m/>
    <m/>
    <n v="0"/>
    <m/>
    <m/>
    <n v="0"/>
    <n v="0"/>
    <n v="0"/>
    <n v="227000"/>
    <n v="156250"/>
    <m/>
    <m/>
    <n v="0"/>
    <m/>
    <m/>
    <n v="0"/>
    <m/>
    <m/>
    <m/>
    <m/>
    <m/>
    <m/>
    <n v="227000"/>
    <n v="156250"/>
  </r>
  <r>
    <x v="7"/>
    <x v="25"/>
    <s v="Veterans of Afghanistan and Iraq Conflicts Scholarship "/>
    <m/>
    <m/>
    <x v="12"/>
    <m/>
    <m/>
    <m/>
    <m/>
    <m/>
    <m/>
    <m/>
    <m/>
    <n v="0"/>
    <m/>
    <m/>
    <n v="0"/>
    <n v="0"/>
    <n v="0"/>
    <m/>
    <m/>
    <m/>
    <m/>
    <n v="0"/>
    <m/>
    <m/>
    <n v="0"/>
    <m/>
    <m/>
    <m/>
    <m/>
    <m/>
    <m/>
    <n v="0"/>
    <n v="0"/>
  </r>
  <r>
    <x v="7"/>
    <x v="28"/>
    <s v="Amount to public sector students"/>
    <m/>
    <m/>
    <x v="12"/>
    <m/>
    <m/>
    <m/>
    <m/>
    <m/>
    <m/>
    <m/>
    <m/>
    <n v="0"/>
    <m/>
    <m/>
    <n v="0"/>
    <n v="0"/>
    <n v="0"/>
    <m/>
    <m/>
    <m/>
    <m/>
    <n v="0"/>
    <m/>
    <m/>
    <n v="0"/>
    <m/>
    <m/>
    <m/>
    <m/>
    <m/>
    <m/>
    <n v="0"/>
    <n v="0"/>
  </r>
  <r>
    <x v="7"/>
    <x v="29"/>
    <s v="Need-based"/>
    <m/>
    <m/>
    <x v="12"/>
    <m/>
    <m/>
    <m/>
    <m/>
    <m/>
    <m/>
    <m/>
    <m/>
    <n v="0"/>
    <m/>
    <m/>
    <n v="0"/>
    <n v="0"/>
    <n v="0"/>
    <m/>
    <m/>
    <m/>
    <m/>
    <n v="0"/>
    <m/>
    <m/>
    <n v="0"/>
    <m/>
    <m/>
    <m/>
    <m/>
    <m/>
    <m/>
    <n v="0"/>
    <n v="0"/>
  </r>
  <r>
    <x v="7"/>
    <x v="30"/>
    <s v="Non-need based"/>
    <m/>
    <m/>
    <x v="12"/>
    <m/>
    <m/>
    <m/>
    <m/>
    <m/>
    <m/>
    <m/>
    <m/>
    <n v="0"/>
    <m/>
    <m/>
    <n v="0"/>
    <n v="0"/>
    <n v="0"/>
    <n v="713516"/>
    <n v="1185913"/>
    <m/>
    <m/>
    <n v="0"/>
    <m/>
    <m/>
    <n v="0"/>
    <m/>
    <m/>
    <m/>
    <m/>
    <m/>
    <m/>
    <n v="713516"/>
    <n v="1185913"/>
  </r>
  <r>
    <x v="7"/>
    <x v="31"/>
    <s v="Amount to private sector students"/>
    <m/>
    <m/>
    <x v="12"/>
    <m/>
    <m/>
    <m/>
    <m/>
    <m/>
    <m/>
    <m/>
    <m/>
    <n v="0"/>
    <m/>
    <m/>
    <n v="0"/>
    <n v="0"/>
    <n v="0"/>
    <m/>
    <m/>
    <m/>
    <m/>
    <n v="0"/>
    <m/>
    <m/>
    <n v="0"/>
    <m/>
    <m/>
    <m/>
    <m/>
    <m/>
    <m/>
    <n v="0"/>
    <n v="0"/>
  </r>
  <r>
    <x v="7"/>
    <x v="32"/>
    <s v="Need-based"/>
    <m/>
    <m/>
    <x v="12"/>
    <m/>
    <m/>
    <m/>
    <m/>
    <m/>
    <m/>
    <m/>
    <m/>
    <n v="0"/>
    <m/>
    <m/>
    <n v="0"/>
    <n v="0"/>
    <n v="0"/>
    <m/>
    <m/>
    <m/>
    <m/>
    <n v="0"/>
    <m/>
    <m/>
    <n v="0"/>
    <m/>
    <m/>
    <m/>
    <m/>
    <m/>
    <m/>
    <n v="0"/>
    <n v="0"/>
  </r>
  <r>
    <x v="7"/>
    <x v="33"/>
    <s v="Non-need based"/>
    <m/>
    <m/>
    <x v="12"/>
    <m/>
    <m/>
    <m/>
    <m/>
    <m/>
    <m/>
    <m/>
    <m/>
    <n v="0"/>
    <m/>
    <m/>
    <n v="0"/>
    <n v="0"/>
    <n v="0"/>
    <n v="113395"/>
    <n v="165058"/>
    <m/>
    <m/>
    <n v="0"/>
    <m/>
    <m/>
    <n v="0"/>
    <m/>
    <m/>
    <m/>
    <m/>
    <m/>
    <m/>
    <n v="113395"/>
    <n v="165058"/>
  </r>
  <r>
    <x v="7"/>
    <x v="25"/>
    <s v="Workforce Shortage Student Assistance Grant"/>
    <m/>
    <m/>
    <x v="12"/>
    <m/>
    <m/>
    <m/>
    <m/>
    <m/>
    <m/>
    <m/>
    <m/>
    <n v="0"/>
    <m/>
    <m/>
    <n v="0"/>
    <n v="0"/>
    <n v="0"/>
    <m/>
    <m/>
    <m/>
    <m/>
    <n v="0"/>
    <m/>
    <m/>
    <n v="0"/>
    <m/>
    <m/>
    <m/>
    <m/>
    <m/>
    <m/>
    <n v="0"/>
    <n v="0"/>
  </r>
  <r>
    <x v="7"/>
    <x v="28"/>
    <s v="Amount to public sector students"/>
    <m/>
    <m/>
    <x v="12"/>
    <m/>
    <m/>
    <m/>
    <m/>
    <m/>
    <m/>
    <m/>
    <m/>
    <n v="0"/>
    <m/>
    <m/>
    <n v="0"/>
    <n v="0"/>
    <n v="0"/>
    <m/>
    <m/>
    <m/>
    <m/>
    <n v="0"/>
    <m/>
    <m/>
    <n v="0"/>
    <m/>
    <m/>
    <m/>
    <m/>
    <m/>
    <m/>
    <n v="0"/>
    <n v="0"/>
  </r>
  <r>
    <x v="7"/>
    <x v="29"/>
    <s v="Need-based"/>
    <m/>
    <m/>
    <x v="12"/>
    <m/>
    <m/>
    <m/>
    <m/>
    <m/>
    <m/>
    <m/>
    <m/>
    <n v="0"/>
    <m/>
    <m/>
    <n v="0"/>
    <n v="0"/>
    <n v="0"/>
    <n v="899750"/>
    <n v="570250"/>
    <m/>
    <m/>
    <n v="0"/>
    <m/>
    <m/>
    <n v="0"/>
    <m/>
    <m/>
    <m/>
    <m/>
    <m/>
    <m/>
    <n v="899750"/>
    <n v="570250"/>
  </r>
  <r>
    <x v="7"/>
    <x v="30"/>
    <s v="Non-need based"/>
    <m/>
    <m/>
    <x v="12"/>
    <m/>
    <m/>
    <m/>
    <m/>
    <m/>
    <m/>
    <m/>
    <m/>
    <n v="0"/>
    <m/>
    <m/>
    <n v="0"/>
    <n v="0"/>
    <n v="0"/>
    <m/>
    <m/>
    <m/>
    <m/>
    <n v="0"/>
    <m/>
    <m/>
    <n v="0"/>
    <m/>
    <m/>
    <m/>
    <m/>
    <m/>
    <m/>
    <n v="0"/>
    <n v="0"/>
  </r>
  <r>
    <x v="7"/>
    <x v="31"/>
    <s v="Amount to private sector students"/>
    <m/>
    <m/>
    <x v="12"/>
    <m/>
    <m/>
    <m/>
    <m/>
    <m/>
    <m/>
    <m/>
    <m/>
    <n v="0"/>
    <m/>
    <m/>
    <n v="0"/>
    <n v="0"/>
    <n v="0"/>
    <m/>
    <m/>
    <m/>
    <m/>
    <n v="0"/>
    <m/>
    <m/>
    <n v="0"/>
    <m/>
    <m/>
    <m/>
    <m/>
    <m/>
    <m/>
    <n v="0"/>
    <n v="0"/>
  </r>
  <r>
    <x v="7"/>
    <x v="32"/>
    <s v="Need-based"/>
    <m/>
    <m/>
    <x v="12"/>
    <m/>
    <m/>
    <m/>
    <m/>
    <m/>
    <m/>
    <m/>
    <m/>
    <n v="0"/>
    <m/>
    <m/>
    <n v="0"/>
    <n v="0"/>
    <n v="0"/>
    <n v="293500"/>
    <n v="175500"/>
    <m/>
    <m/>
    <n v="0"/>
    <m/>
    <m/>
    <n v="0"/>
    <m/>
    <m/>
    <m/>
    <m/>
    <m/>
    <m/>
    <n v="293500"/>
    <n v="175500"/>
  </r>
  <r>
    <x v="7"/>
    <x v="33"/>
    <s v="Non-need based"/>
    <m/>
    <m/>
    <x v="12"/>
    <m/>
    <m/>
    <m/>
    <m/>
    <m/>
    <m/>
    <m/>
    <m/>
    <n v="0"/>
    <m/>
    <m/>
    <n v="0"/>
    <n v="0"/>
    <n v="0"/>
    <m/>
    <m/>
    <m/>
    <m/>
    <n v="0"/>
    <m/>
    <m/>
    <n v="0"/>
    <m/>
    <m/>
    <m/>
    <m/>
    <m/>
    <m/>
    <n v="0"/>
    <n v="0"/>
  </r>
  <r>
    <x v="7"/>
    <x v="34"/>
    <s v="Limited to public college students only"/>
    <m/>
    <m/>
    <x v="12"/>
    <m/>
    <m/>
    <m/>
    <m/>
    <m/>
    <m/>
    <m/>
    <m/>
    <n v="0"/>
    <m/>
    <m/>
    <n v="0"/>
    <n v="0"/>
    <n v="0"/>
    <m/>
    <m/>
    <m/>
    <m/>
    <n v="0"/>
    <m/>
    <m/>
    <n v="0"/>
    <m/>
    <m/>
    <m/>
    <m/>
    <m/>
    <m/>
    <n v="0"/>
    <n v="0"/>
  </r>
  <r>
    <x v="7"/>
    <x v="35"/>
    <s v="Need-based"/>
    <m/>
    <m/>
    <x v="12"/>
    <m/>
    <m/>
    <m/>
    <m/>
    <m/>
    <m/>
    <m/>
    <m/>
    <n v="0"/>
    <m/>
    <m/>
    <n v="0"/>
    <n v="0"/>
    <n v="0"/>
    <m/>
    <m/>
    <m/>
    <m/>
    <n v="0"/>
    <m/>
    <m/>
    <n v="0"/>
    <m/>
    <m/>
    <m/>
    <m/>
    <m/>
    <m/>
    <n v="0"/>
    <n v="0"/>
  </r>
  <r>
    <x v="7"/>
    <x v="36"/>
    <s v="Non need-based"/>
    <m/>
    <m/>
    <x v="12"/>
    <m/>
    <m/>
    <m/>
    <m/>
    <m/>
    <m/>
    <m/>
    <m/>
    <n v="0"/>
    <m/>
    <m/>
    <n v="0"/>
    <n v="0"/>
    <n v="0"/>
    <m/>
    <m/>
    <m/>
    <m/>
    <n v="0"/>
    <m/>
    <m/>
    <n v="0"/>
    <m/>
    <m/>
    <m/>
    <m/>
    <m/>
    <m/>
    <n v="0"/>
    <n v="0"/>
  </r>
  <r>
    <x v="7"/>
    <x v="37"/>
    <s v="Limited to private college students"/>
    <m/>
    <m/>
    <x v="12"/>
    <m/>
    <m/>
    <m/>
    <m/>
    <m/>
    <m/>
    <m/>
    <m/>
    <n v="0"/>
    <m/>
    <m/>
    <n v="0"/>
    <n v="0"/>
    <n v="0"/>
    <m/>
    <m/>
    <m/>
    <m/>
    <n v="0"/>
    <m/>
    <m/>
    <n v="0"/>
    <m/>
    <m/>
    <m/>
    <m/>
    <m/>
    <m/>
    <n v="0"/>
    <n v="0"/>
  </r>
  <r>
    <x v="7"/>
    <x v="38"/>
    <s v="Need-based"/>
    <m/>
    <m/>
    <x v="12"/>
    <m/>
    <m/>
    <m/>
    <m/>
    <m/>
    <m/>
    <m/>
    <m/>
    <n v="0"/>
    <m/>
    <m/>
    <n v="0"/>
    <n v="0"/>
    <n v="0"/>
    <m/>
    <m/>
    <m/>
    <m/>
    <n v="0"/>
    <m/>
    <m/>
    <n v="0"/>
    <m/>
    <m/>
    <m/>
    <m/>
    <m/>
    <m/>
    <n v="0"/>
    <n v="0"/>
  </r>
  <r>
    <x v="7"/>
    <x v="39"/>
    <s v="Non need-based"/>
    <m/>
    <m/>
    <x v="12"/>
    <m/>
    <m/>
    <m/>
    <m/>
    <m/>
    <m/>
    <m/>
    <m/>
    <n v="0"/>
    <m/>
    <m/>
    <n v="0"/>
    <n v="0"/>
    <n v="0"/>
    <m/>
    <m/>
    <m/>
    <m/>
    <n v="0"/>
    <m/>
    <m/>
    <n v="0"/>
    <m/>
    <m/>
    <m/>
    <m/>
    <m/>
    <m/>
    <n v="0"/>
    <n v="0"/>
  </r>
  <r>
    <x v="8"/>
    <x v="0"/>
    <s v="Mississippi State University"/>
    <m/>
    <n v="176080"/>
    <x v="0"/>
    <n v="86543866"/>
    <n v="91296903"/>
    <m/>
    <m/>
    <m/>
    <m/>
    <n v="152943035"/>
    <m/>
    <n v="152943035"/>
    <n v="160881543"/>
    <m/>
    <n v="160881543"/>
    <n v="239486901"/>
    <n v="252178446"/>
    <m/>
    <m/>
    <m/>
    <m/>
    <n v="0"/>
    <m/>
    <m/>
    <n v="0"/>
    <m/>
    <m/>
    <m/>
    <m/>
    <m/>
    <m/>
    <n v="239486901"/>
    <n v="252178446"/>
  </r>
  <r>
    <x v="8"/>
    <x v="1"/>
    <s v="Vet Med School"/>
    <m/>
    <n v="176080"/>
    <x v="0"/>
    <m/>
    <m/>
    <m/>
    <m/>
    <m/>
    <m/>
    <m/>
    <m/>
    <n v="0"/>
    <m/>
    <m/>
    <n v="0"/>
    <n v="0"/>
    <n v="0"/>
    <m/>
    <m/>
    <m/>
    <m/>
    <n v="0"/>
    <m/>
    <m/>
    <n v="0"/>
    <n v="16203711"/>
    <n v="17291269"/>
    <n v="9550000"/>
    <n v="0"/>
    <n v="9900000"/>
    <m/>
    <n v="25753711"/>
    <n v="27191269"/>
  </r>
  <r>
    <x v="8"/>
    <x v="5"/>
    <s v="Agricultural Cooperative Extension"/>
    <m/>
    <n v="176080"/>
    <x v="0"/>
    <m/>
    <m/>
    <n v="27369914"/>
    <n v="29139390"/>
    <m/>
    <m/>
    <m/>
    <m/>
    <n v="0"/>
    <m/>
    <m/>
    <n v="0"/>
    <n v="27369914"/>
    <n v="29139390"/>
    <m/>
    <m/>
    <m/>
    <m/>
    <n v="0"/>
    <m/>
    <m/>
    <n v="0"/>
    <m/>
    <m/>
    <m/>
    <m/>
    <m/>
    <m/>
    <n v="27369914"/>
    <n v="29139390"/>
  </r>
  <r>
    <x v="8"/>
    <x v="6"/>
    <s v="Agricultural Experiment Stations"/>
    <m/>
    <n v="176080"/>
    <x v="0"/>
    <m/>
    <m/>
    <n v="21365833"/>
    <n v="22650355"/>
    <m/>
    <m/>
    <m/>
    <m/>
    <n v="0"/>
    <m/>
    <m/>
    <n v="0"/>
    <n v="21365833"/>
    <n v="22650355"/>
    <m/>
    <m/>
    <m/>
    <m/>
    <n v="0"/>
    <m/>
    <m/>
    <n v="0"/>
    <m/>
    <m/>
    <m/>
    <m/>
    <m/>
    <m/>
    <n v="21365833"/>
    <n v="22650355"/>
  </r>
  <r>
    <x v="8"/>
    <x v="7"/>
    <s v="Research Units"/>
    <m/>
    <n v="176080"/>
    <x v="0"/>
    <m/>
    <m/>
    <m/>
    <m/>
    <m/>
    <m/>
    <m/>
    <m/>
    <n v="0"/>
    <m/>
    <m/>
    <n v="0"/>
    <n v="0"/>
    <n v="0"/>
    <m/>
    <m/>
    <m/>
    <m/>
    <n v="0"/>
    <m/>
    <m/>
    <n v="0"/>
    <m/>
    <m/>
    <m/>
    <m/>
    <m/>
    <m/>
    <n v="0"/>
    <n v="0"/>
  </r>
  <r>
    <x v="8"/>
    <x v="7"/>
    <s v="State Chemical Lab"/>
    <m/>
    <n v="176080"/>
    <x v="0"/>
    <m/>
    <m/>
    <n v="1743849"/>
    <n v="2062803"/>
    <m/>
    <m/>
    <m/>
    <m/>
    <n v="0"/>
    <m/>
    <m/>
    <n v="0"/>
    <n v="1743849"/>
    <n v="2062803"/>
    <m/>
    <m/>
    <m/>
    <m/>
    <n v="0"/>
    <m/>
    <m/>
    <n v="0"/>
    <m/>
    <m/>
    <m/>
    <m/>
    <m/>
    <m/>
    <n v="1743849"/>
    <n v="2062803"/>
  </r>
  <r>
    <x v="8"/>
    <x v="7"/>
    <s v="Forest/wildlife Research Center"/>
    <m/>
    <n v="176080"/>
    <x v="0"/>
    <m/>
    <m/>
    <n v="5392854"/>
    <n v="5972870"/>
    <m/>
    <m/>
    <m/>
    <m/>
    <n v="0"/>
    <m/>
    <m/>
    <n v="0"/>
    <n v="5392854"/>
    <n v="5972870"/>
    <m/>
    <m/>
    <m/>
    <m/>
    <n v="0"/>
    <m/>
    <m/>
    <n v="0"/>
    <m/>
    <m/>
    <m/>
    <m/>
    <m/>
    <m/>
    <n v="5392854"/>
    <n v="5972870"/>
  </r>
  <r>
    <x v="8"/>
    <x v="7"/>
    <s v="Water resources institute"/>
    <m/>
    <n v="176080"/>
    <x v="0"/>
    <m/>
    <m/>
    <n v="180531"/>
    <n v="240531"/>
    <m/>
    <m/>
    <m/>
    <m/>
    <n v="0"/>
    <m/>
    <m/>
    <n v="0"/>
    <n v="180531"/>
    <n v="240531"/>
    <m/>
    <m/>
    <m/>
    <m/>
    <n v="0"/>
    <m/>
    <m/>
    <n v="0"/>
    <m/>
    <m/>
    <m/>
    <m/>
    <m/>
    <m/>
    <n v="180531"/>
    <n v="240531"/>
  </r>
  <r>
    <x v="8"/>
    <x v="7"/>
    <s v="Stennis Institute"/>
    <m/>
    <n v="176080"/>
    <x v="0"/>
    <m/>
    <m/>
    <n v="901782"/>
    <n v="909550"/>
    <m/>
    <m/>
    <m/>
    <m/>
    <n v="0"/>
    <m/>
    <m/>
    <n v="0"/>
    <n v="901782"/>
    <n v="909550"/>
    <m/>
    <m/>
    <m/>
    <m/>
    <n v="0"/>
    <m/>
    <m/>
    <n v="0"/>
    <m/>
    <m/>
    <m/>
    <m/>
    <m/>
    <m/>
    <n v="901782"/>
    <n v="909550"/>
  </r>
  <r>
    <x v="8"/>
    <x v="7"/>
    <s v="Advanced Vehicular Systems"/>
    <m/>
    <n v="176080"/>
    <x v="0"/>
    <m/>
    <m/>
    <n v="3300000"/>
    <n v="3328126"/>
    <m/>
    <m/>
    <m/>
    <m/>
    <n v="0"/>
    <m/>
    <m/>
    <n v="0"/>
    <n v="3300000"/>
    <n v="3328126"/>
    <m/>
    <m/>
    <m/>
    <m/>
    <n v="0"/>
    <m/>
    <m/>
    <n v="0"/>
    <m/>
    <m/>
    <m/>
    <m/>
    <m/>
    <m/>
    <n v="3300000"/>
    <n v="3328126"/>
  </r>
  <r>
    <x v="8"/>
    <x v="0"/>
    <s v="University of Southern Mississippi"/>
    <m/>
    <n v="176372"/>
    <x v="0"/>
    <n v="77868748"/>
    <n v="82147618"/>
    <m/>
    <m/>
    <m/>
    <m/>
    <n v="107195807"/>
    <m/>
    <n v="107195807"/>
    <n v="113527117"/>
    <m/>
    <n v="113527117"/>
    <n v="185064555"/>
    <n v="195674735"/>
    <m/>
    <m/>
    <m/>
    <m/>
    <n v="0"/>
    <m/>
    <m/>
    <n v="0"/>
    <m/>
    <m/>
    <m/>
    <m/>
    <m/>
    <m/>
    <n v="185064555"/>
    <n v="195674735"/>
  </r>
  <r>
    <x v="8"/>
    <x v="7"/>
    <s v="Research Units"/>
    <m/>
    <n v="176372"/>
    <x v="0"/>
    <m/>
    <m/>
    <m/>
    <m/>
    <m/>
    <m/>
    <m/>
    <m/>
    <n v="0"/>
    <m/>
    <m/>
    <n v="0"/>
    <n v="0"/>
    <n v="0"/>
    <m/>
    <m/>
    <m/>
    <m/>
    <n v="0"/>
    <m/>
    <m/>
    <n v="0"/>
    <m/>
    <m/>
    <m/>
    <m/>
    <m/>
    <m/>
    <n v="0"/>
    <n v="0"/>
  </r>
  <r>
    <x v="8"/>
    <x v="7"/>
    <s v="Gulf-Coast Research Lab"/>
    <m/>
    <n v="176372"/>
    <x v="0"/>
    <m/>
    <m/>
    <n v="3176881"/>
    <n v="3517645"/>
    <m/>
    <m/>
    <n v="347000"/>
    <m/>
    <n v="347000"/>
    <n v="256000"/>
    <m/>
    <n v="256000"/>
    <n v="3523881"/>
    <n v="3773645"/>
    <m/>
    <m/>
    <m/>
    <m/>
    <n v="0"/>
    <m/>
    <m/>
    <n v="0"/>
    <m/>
    <m/>
    <m/>
    <m/>
    <m/>
    <m/>
    <n v="3523881"/>
    <n v="3773645"/>
  </r>
  <r>
    <x v="8"/>
    <x v="7"/>
    <s v="Polymer Institute"/>
    <m/>
    <n v="176372"/>
    <x v="0"/>
    <m/>
    <m/>
    <n v="668440"/>
    <n v="675869"/>
    <m/>
    <m/>
    <m/>
    <m/>
    <n v="0"/>
    <m/>
    <m/>
    <n v="0"/>
    <n v="668440"/>
    <n v="675869"/>
    <m/>
    <m/>
    <m/>
    <m/>
    <n v="0"/>
    <m/>
    <m/>
    <n v="0"/>
    <m/>
    <m/>
    <m/>
    <m/>
    <m/>
    <m/>
    <n v="668440"/>
    <n v="675869"/>
  </r>
  <r>
    <x v="8"/>
    <x v="7"/>
    <s v="Stennis Center"/>
    <m/>
    <n v="176372"/>
    <x v="0"/>
    <m/>
    <m/>
    <n v="436618"/>
    <n v="439724"/>
    <m/>
    <m/>
    <m/>
    <m/>
    <n v="0"/>
    <m/>
    <m/>
    <n v="0"/>
    <n v="436618"/>
    <n v="439724"/>
    <m/>
    <m/>
    <m/>
    <m/>
    <n v="0"/>
    <m/>
    <m/>
    <n v="0"/>
    <m/>
    <m/>
    <m/>
    <m/>
    <m/>
    <m/>
    <n v="436618"/>
    <n v="439724"/>
  </r>
  <r>
    <x v="8"/>
    <x v="0"/>
    <s v="Jackson State University "/>
    <m/>
    <n v="175856"/>
    <x v="1"/>
    <n v="47630108"/>
    <n v="47436266"/>
    <m/>
    <m/>
    <m/>
    <m/>
    <n v="50792633"/>
    <m/>
    <n v="50792633"/>
    <n v="55731643"/>
    <m/>
    <n v="55731643"/>
    <n v="98422741"/>
    <n v="103167909"/>
    <m/>
    <m/>
    <m/>
    <m/>
    <n v="0"/>
    <m/>
    <m/>
    <n v="0"/>
    <m/>
    <m/>
    <m/>
    <m/>
    <m/>
    <m/>
    <n v="98422741"/>
    <n v="103167909"/>
  </r>
  <r>
    <x v="8"/>
    <x v="7"/>
    <s v="Urban Research Center"/>
    <m/>
    <n v="175856"/>
    <x v="1"/>
    <m/>
    <m/>
    <n v="515734"/>
    <n v="520372"/>
    <m/>
    <m/>
    <m/>
    <m/>
    <n v="0"/>
    <m/>
    <m/>
    <n v="0"/>
    <n v="515734"/>
    <n v="520372"/>
    <m/>
    <m/>
    <m/>
    <m/>
    <n v="0"/>
    <m/>
    <m/>
    <n v="0"/>
    <m/>
    <m/>
    <m/>
    <m/>
    <m/>
    <m/>
    <n v="515734"/>
    <n v="520372"/>
  </r>
  <r>
    <x v="8"/>
    <x v="0"/>
    <s v="University of Mississippi"/>
    <m/>
    <n v="176017"/>
    <x v="1"/>
    <n v="71549034"/>
    <n v="79823071"/>
    <m/>
    <m/>
    <m/>
    <m/>
    <n v="183545731"/>
    <m/>
    <n v="183545731"/>
    <n v="198158864"/>
    <m/>
    <n v="198158864"/>
    <n v="255094765"/>
    <n v="277981935"/>
    <m/>
    <m/>
    <m/>
    <m/>
    <n v="0"/>
    <m/>
    <m/>
    <n v="0"/>
    <m/>
    <m/>
    <m/>
    <m/>
    <m/>
    <m/>
    <n v="255094765"/>
    <n v="277981935"/>
  </r>
  <r>
    <x v="8"/>
    <x v="3"/>
    <s v="Community/Public Service  Units"/>
    <m/>
    <n v="176017"/>
    <x v="1"/>
    <m/>
    <m/>
    <m/>
    <m/>
    <m/>
    <m/>
    <m/>
    <m/>
    <n v="0"/>
    <m/>
    <m/>
    <n v="0"/>
    <n v="0"/>
    <n v="0"/>
    <m/>
    <m/>
    <m/>
    <m/>
    <n v="0"/>
    <m/>
    <m/>
    <n v="0"/>
    <m/>
    <m/>
    <m/>
    <m/>
    <m/>
    <m/>
    <n v="0"/>
    <n v="0"/>
  </r>
  <r>
    <x v="8"/>
    <x v="3"/>
    <s v="Small Business Development Ctr."/>
    <m/>
    <n v="176017"/>
    <x v="1"/>
    <m/>
    <m/>
    <n v="231222"/>
    <n v="290329"/>
    <m/>
    <m/>
    <m/>
    <m/>
    <n v="0"/>
    <m/>
    <m/>
    <n v="0"/>
    <n v="231222"/>
    <n v="290329"/>
    <m/>
    <m/>
    <m/>
    <m/>
    <n v="0"/>
    <m/>
    <m/>
    <n v="0"/>
    <m/>
    <m/>
    <m/>
    <m/>
    <m/>
    <m/>
    <n v="231222"/>
    <n v="290329"/>
  </r>
  <r>
    <x v="8"/>
    <x v="7"/>
    <s v="Research Units"/>
    <m/>
    <n v="176017"/>
    <x v="1"/>
    <m/>
    <m/>
    <m/>
    <m/>
    <m/>
    <m/>
    <m/>
    <m/>
    <n v="0"/>
    <m/>
    <m/>
    <n v="0"/>
    <n v="0"/>
    <n v="0"/>
    <m/>
    <m/>
    <m/>
    <m/>
    <n v="0"/>
    <m/>
    <m/>
    <n v="0"/>
    <m/>
    <m/>
    <m/>
    <m/>
    <m/>
    <m/>
    <n v="0"/>
    <n v="0"/>
  </r>
  <r>
    <x v="8"/>
    <x v="7"/>
    <s v="Pharmaceutical research"/>
    <m/>
    <n v="176017"/>
    <x v="1"/>
    <m/>
    <m/>
    <n v="3202749"/>
    <n v="3291936"/>
    <m/>
    <m/>
    <m/>
    <m/>
    <n v="0"/>
    <m/>
    <m/>
    <n v="0"/>
    <n v="3202749"/>
    <n v="3291936"/>
    <m/>
    <m/>
    <m/>
    <m/>
    <n v="0"/>
    <m/>
    <m/>
    <n v="0"/>
    <m/>
    <m/>
    <m/>
    <m/>
    <m/>
    <m/>
    <n v="3202749"/>
    <n v="3291936"/>
  </r>
  <r>
    <x v="8"/>
    <x v="7"/>
    <s v="Law Research Institute"/>
    <m/>
    <n v="176017"/>
    <x v="1"/>
    <m/>
    <m/>
    <n v="809003"/>
    <n v="823015"/>
    <m/>
    <m/>
    <m/>
    <m/>
    <n v="0"/>
    <m/>
    <m/>
    <n v="0"/>
    <n v="809003"/>
    <n v="823015"/>
    <m/>
    <m/>
    <m/>
    <m/>
    <n v="0"/>
    <m/>
    <m/>
    <n v="0"/>
    <m/>
    <m/>
    <m/>
    <m/>
    <m/>
    <m/>
    <n v="809003"/>
    <n v="823015"/>
  </r>
  <r>
    <x v="8"/>
    <x v="7"/>
    <s v="Mineral Resources Institute"/>
    <m/>
    <n v="176017"/>
    <x v="1"/>
    <m/>
    <m/>
    <n v="400824"/>
    <n v="413650"/>
    <m/>
    <m/>
    <m/>
    <m/>
    <n v="0"/>
    <m/>
    <m/>
    <n v="0"/>
    <n v="400824"/>
    <n v="413650"/>
    <m/>
    <m/>
    <m/>
    <m/>
    <n v="0"/>
    <m/>
    <m/>
    <n v="0"/>
    <m/>
    <m/>
    <m/>
    <m/>
    <m/>
    <m/>
    <n v="400824"/>
    <n v="413650"/>
  </r>
  <r>
    <x v="8"/>
    <x v="7"/>
    <s v="Supercomputer"/>
    <m/>
    <n v="176017"/>
    <x v="1"/>
    <m/>
    <m/>
    <n v="691278"/>
    <n v="695804"/>
    <m/>
    <m/>
    <m/>
    <m/>
    <n v="0"/>
    <m/>
    <m/>
    <n v="0"/>
    <n v="691278"/>
    <n v="695804"/>
    <m/>
    <m/>
    <m/>
    <m/>
    <n v="0"/>
    <m/>
    <m/>
    <n v="0"/>
    <m/>
    <m/>
    <m/>
    <m/>
    <m/>
    <m/>
    <n v="691278"/>
    <n v="695804"/>
  </r>
  <r>
    <x v="8"/>
    <x v="7"/>
    <s v="Center for Manufacturing Excellence "/>
    <m/>
    <n v="176017"/>
    <x v="1"/>
    <m/>
    <m/>
    <n v="1000000"/>
    <n v="1310311"/>
    <m/>
    <m/>
    <m/>
    <m/>
    <n v="0"/>
    <m/>
    <m/>
    <n v="0"/>
    <n v="1000000"/>
    <n v="1310311"/>
    <m/>
    <m/>
    <m/>
    <m/>
    <n v="0"/>
    <m/>
    <m/>
    <n v="0"/>
    <m/>
    <m/>
    <m/>
    <m/>
    <m/>
    <m/>
    <n v="1000000"/>
    <n v="1310311"/>
  </r>
  <r>
    <x v="8"/>
    <x v="0"/>
    <s v="Alcorn State University"/>
    <m/>
    <n v="175342"/>
    <x v="3"/>
    <n v="22678641"/>
    <n v="23301476"/>
    <m/>
    <m/>
    <m/>
    <m/>
    <n v="27193798"/>
    <m/>
    <n v="27193798"/>
    <n v="27863638"/>
    <m/>
    <n v="27863638"/>
    <n v="49872439"/>
    <n v="51165114"/>
    <m/>
    <m/>
    <m/>
    <m/>
    <n v="0"/>
    <m/>
    <m/>
    <n v="0"/>
    <m/>
    <m/>
    <m/>
    <m/>
    <m/>
    <m/>
    <n v="49872439"/>
    <n v="51165114"/>
  </r>
  <r>
    <x v="8"/>
    <x v="5"/>
    <s v="Agricultural Units"/>
    <m/>
    <n v="175342"/>
    <x v="3"/>
    <m/>
    <m/>
    <n v="5498389"/>
    <n v="5819110"/>
    <m/>
    <m/>
    <m/>
    <m/>
    <n v="0"/>
    <m/>
    <m/>
    <n v="0"/>
    <n v="5498389"/>
    <n v="5819110"/>
    <m/>
    <m/>
    <m/>
    <m/>
    <n v="0"/>
    <m/>
    <m/>
    <n v="0"/>
    <m/>
    <m/>
    <m/>
    <m/>
    <m/>
    <m/>
    <n v="5498389"/>
    <n v="5819110"/>
  </r>
  <r>
    <x v="8"/>
    <x v="0"/>
    <s v="Delta State University"/>
    <m/>
    <n v="175616"/>
    <x v="3"/>
    <n v="21180960"/>
    <n v="22015820"/>
    <m/>
    <m/>
    <m/>
    <m/>
    <n v="20997590"/>
    <m/>
    <n v="20997590"/>
    <n v="19311647"/>
    <m/>
    <n v="19311647"/>
    <n v="42178550"/>
    <n v="41327467"/>
    <m/>
    <m/>
    <m/>
    <m/>
    <n v="0"/>
    <m/>
    <m/>
    <n v="0"/>
    <m/>
    <m/>
    <m/>
    <m/>
    <m/>
    <m/>
    <n v="42178550"/>
    <n v="41327467"/>
  </r>
  <r>
    <x v="8"/>
    <x v="0"/>
    <s v="Mississippi Valley State University"/>
    <m/>
    <n v="176044"/>
    <x v="3"/>
    <n v="19342906"/>
    <n v="18711545"/>
    <m/>
    <m/>
    <m/>
    <m/>
    <n v="15645965"/>
    <m/>
    <n v="15645965"/>
    <n v="13611549"/>
    <m/>
    <n v="13611549"/>
    <n v="34988871"/>
    <n v="32323094"/>
    <m/>
    <m/>
    <m/>
    <m/>
    <n v="0"/>
    <m/>
    <m/>
    <n v="0"/>
    <m/>
    <m/>
    <m/>
    <m/>
    <m/>
    <m/>
    <n v="34988871"/>
    <n v="32323094"/>
  </r>
  <r>
    <x v="8"/>
    <x v="0"/>
    <s v="Mississippi University for Women"/>
    <m/>
    <n v="176035"/>
    <x v="4"/>
    <n v="13638450"/>
    <n v="15103402"/>
    <m/>
    <m/>
    <m/>
    <m/>
    <n v="17024899"/>
    <m/>
    <n v="17024899"/>
    <n v="18278223"/>
    <m/>
    <n v="18278223"/>
    <n v="30663349"/>
    <n v="33381625"/>
    <m/>
    <m/>
    <m/>
    <m/>
    <n v="0"/>
    <m/>
    <m/>
    <n v="0"/>
    <m/>
    <m/>
    <m/>
    <m/>
    <m/>
    <m/>
    <n v="30663349"/>
    <n v="33381625"/>
  </r>
  <r>
    <x v="8"/>
    <x v="41"/>
    <s v="University of Mississippi Medical Center"/>
    <m/>
    <n v="176026"/>
    <x v="11"/>
    <m/>
    <m/>
    <m/>
    <m/>
    <m/>
    <m/>
    <m/>
    <m/>
    <n v="0"/>
    <m/>
    <m/>
    <n v="0"/>
    <n v="0"/>
    <n v="0"/>
    <m/>
    <m/>
    <m/>
    <m/>
    <n v="0"/>
    <m/>
    <m/>
    <n v="0"/>
    <n v="177017002"/>
    <n v="185718612"/>
    <n v="22962335"/>
    <m/>
    <n v="27320057"/>
    <m/>
    <n v="199979337"/>
    <n v="213038669"/>
  </r>
  <r>
    <x v="8"/>
    <x v="10"/>
    <s v="Statewide Special-Purpose Units"/>
    <m/>
    <m/>
    <x v="12"/>
    <m/>
    <m/>
    <m/>
    <m/>
    <m/>
    <m/>
    <m/>
    <m/>
    <n v="0"/>
    <m/>
    <m/>
    <n v="0"/>
    <n v="0"/>
    <n v="0"/>
    <m/>
    <m/>
    <m/>
    <m/>
    <n v="0"/>
    <m/>
    <m/>
    <n v="0"/>
    <m/>
    <m/>
    <m/>
    <m/>
    <m/>
    <m/>
    <n v="0"/>
    <n v="0"/>
  </r>
  <r>
    <x v="8"/>
    <x v="42"/>
    <s v="Community or public service units"/>
    <m/>
    <m/>
    <x v="12"/>
    <m/>
    <m/>
    <m/>
    <m/>
    <m/>
    <m/>
    <m/>
    <m/>
    <n v="0"/>
    <m/>
    <m/>
    <n v="0"/>
    <n v="0"/>
    <n v="0"/>
    <m/>
    <m/>
    <m/>
    <m/>
    <n v="0"/>
    <m/>
    <m/>
    <n v="0"/>
    <m/>
    <m/>
    <m/>
    <m/>
    <m/>
    <m/>
    <n v="0"/>
    <n v="0"/>
  </r>
  <r>
    <x v="8"/>
    <x v="42"/>
    <s v="Volunteer Commission"/>
    <m/>
    <m/>
    <x v="12"/>
    <m/>
    <m/>
    <m/>
    <m/>
    <m/>
    <m/>
    <m/>
    <m/>
    <n v="0"/>
    <m/>
    <m/>
    <n v="0"/>
    <n v="0"/>
    <n v="0"/>
    <n v="500000"/>
    <n v="509619"/>
    <m/>
    <m/>
    <n v="0"/>
    <m/>
    <m/>
    <n v="0"/>
    <m/>
    <m/>
    <m/>
    <m/>
    <m/>
    <m/>
    <n v="500000"/>
    <n v="509619"/>
  </r>
  <r>
    <x v="8"/>
    <x v="13"/>
    <s v="Education special purpose funds — all other"/>
    <m/>
    <m/>
    <x v="12"/>
    <m/>
    <m/>
    <m/>
    <m/>
    <m/>
    <m/>
    <m/>
    <m/>
    <n v="0"/>
    <m/>
    <m/>
    <n v="0"/>
    <n v="0"/>
    <n v="0"/>
    <m/>
    <m/>
    <m/>
    <m/>
    <n v="0"/>
    <m/>
    <m/>
    <n v="0"/>
    <m/>
    <m/>
    <m/>
    <m/>
    <m/>
    <m/>
    <n v="0"/>
    <n v="0"/>
  </r>
  <r>
    <x v="8"/>
    <x v="13"/>
    <s v="AYERS Endowment/Summer Programs"/>
    <m/>
    <m/>
    <x v="12"/>
    <m/>
    <m/>
    <n v="5750000"/>
    <n v="5750000"/>
    <m/>
    <m/>
    <m/>
    <m/>
    <n v="0"/>
    <m/>
    <m/>
    <n v="0"/>
    <n v="5750000"/>
    <n v="5750000"/>
    <m/>
    <m/>
    <m/>
    <m/>
    <n v="0"/>
    <m/>
    <m/>
    <n v="0"/>
    <m/>
    <m/>
    <m/>
    <m/>
    <m/>
    <m/>
    <n v="5750000"/>
    <n v="5750000"/>
  </r>
  <r>
    <x v="8"/>
    <x v="14"/>
    <s v="Statewide System Operations"/>
    <m/>
    <m/>
    <x v="12"/>
    <m/>
    <m/>
    <m/>
    <m/>
    <m/>
    <m/>
    <m/>
    <m/>
    <n v="0"/>
    <m/>
    <m/>
    <n v="0"/>
    <n v="0"/>
    <n v="0"/>
    <m/>
    <m/>
    <m/>
    <m/>
    <n v="0"/>
    <m/>
    <m/>
    <n v="0"/>
    <m/>
    <m/>
    <m/>
    <m/>
    <m/>
    <m/>
    <n v="0"/>
    <n v="0"/>
  </r>
  <r>
    <x v="8"/>
    <x v="15"/>
    <s v="Colleges and universities"/>
    <m/>
    <m/>
    <x v="12"/>
    <m/>
    <m/>
    <m/>
    <m/>
    <m/>
    <m/>
    <m/>
    <m/>
    <n v="0"/>
    <m/>
    <m/>
    <n v="0"/>
    <n v="0"/>
    <n v="0"/>
    <m/>
    <m/>
    <m/>
    <m/>
    <n v="0"/>
    <m/>
    <m/>
    <n v="0"/>
    <m/>
    <m/>
    <m/>
    <m/>
    <m/>
    <m/>
    <n v="0"/>
    <n v="0"/>
  </r>
  <r>
    <x v="8"/>
    <x v="15"/>
    <s v="Ms Board of Trustees I.H.L"/>
    <m/>
    <m/>
    <x v="12"/>
    <m/>
    <m/>
    <m/>
    <m/>
    <m/>
    <m/>
    <m/>
    <m/>
    <n v="0"/>
    <m/>
    <m/>
    <n v="0"/>
    <n v="0"/>
    <n v="0"/>
    <n v="6968781"/>
    <n v="7412934"/>
    <m/>
    <m/>
    <n v="0"/>
    <m/>
    <m/>
    <n v="0"/>
    <m/>
    <m/>
    <m/>
    <m/>
    <m/>
    <m/>
    <n v="6968781"/>
    <n v="7412934"/>
  </r>
  <r>
    <x v="8"/>
    <x v="17"/>
    <s v="National or regional associations, compacts or consortia"/>
    <m/>
    <m/>
    <x v="12"/>
    <m/>
    <m/>
    <m/>
    <m/>
    <m/>
    <m/>
    <m/>
    <m/>
    <n v="0"/>
    <m/>
    <m/>
    <n v="0"/>
    <n v="0"/>
    <n v="0"/>
    <m/>
    <m/>
    <m/>
    <m/>
    <n v="0"/>
    <m/>
    <m/>
    <n v="0"/>
    <m/>
    <m/>
    <m/>
    <m/>
    <m/>
    <m/>
    <n v="0"/>
    <n v="0"/>
  </r>
  <r>
    <x v="8"/>
    <x v="17"/>
    <s v="SREB"/>
    <m/>
    <m/>
    <x v="12"/>
    <m/>
    <m/>
    <m/>
    <m/>
    <m/>
    <m/>
    <m/>
    <m/>
    <n v="0"/>
    <m/>
    <m/>
    <n v="0"/>
    <n v="0"/>
    <n v="0"/>
    <m/>
    <m/>
    <m/>
    <m/>
    <n v="0"/>
    <m/>
    <m/>
    <n v="0"/>
    <m/>
    <m/>
    <m/>
    <m/>
    <m/>
    <m/>
    <n v="0"/>
    <n v="0"/>
  </r>
  <r>
    <x v="8"/>
    <x v="18"/>
    <s v="Student Financial Aid Administration"/>
    <m/>
    <m/>
    <x v="12"/>
    <m/>
    <m/>
    <m/>
    <m/>
    <m/>
    <m/>
    <m/>
    <m/>
    <n v="0"/>
    <m/>
    <m/>
    <n v="0"/>
    <n v="0"/>
    <n v="0"/>
    <n v="1036941"/>
    <n v="1106986"/>
    <m/>
    <m/>
    <n v="0"/>
    <m/>
    <m/>
    <n v="0"/>
    <m/>
    <m/>
    <m/>
    <m/>
    <m/>
    <m/>
    <n v="1036941"/>
    <n v="1106986"/>
  </r>
  <r>
    <x v="8"/>
    <x v="19"/>
    <s v="State Support to Private Colleges Other Than Student Aid"/>
    <m/>
    <m/>
    <x v="12"/>
    <m/>
    <m/>
    <m/>
    <m/>
    <m/>
    <m/>
    <m/>
    <m/>
    <n v="0"/>
    <m/>
    <m/>
    <n v="0"/>
    <n v="0"/>
    <n v="0"/>
    <m/>
    <m/>
    <m/>
    <m/>
    <n v="0"/>
    <m/>
    <m/>
    <n v="0"/>
    <m/>
    <m/>
    <m/>
    <m/>
    <m/>
    <m/>
    <n v="0"/>
    <n v="0"/>
  </r>
  <r>
    <x v="8"/>
    <x v="20"/>
    <s v="Contract Education Programs"/>
    <m/>
    <m/>
    <x v="12"/>
    <m/>
    <m/>
    <m/>
    <m/>
    <m/>
    <m/>
    <m/>
    <m/>
    <n v="0"/>
    <m/>
    <m/>
    <n v="0"/>
    <n v="0"/>
    <n v="0"/>
    <m/>
    <m/>
    <m/>
    <m/>
    <n v="0"/>
    <m/>
    <m/>
    <n v="0"/>
    <m/>
    <m/>
    <m/>
    <m/>
    <m/>
    <m/>
    <n v="0"/>
    <n v="0"/>
  </r>
  <r>
    <x v="8"/>
    <x v="21"/>
    <s v="SREB contract program with private colleges"/>
    <m/>
    <m/>
    <x v="12"/>
    <m/>
    <m/>
    <m/>
    <m/>
    <m/>
    <m/>
    <m/>
    <m/>
    <n v="0"/>
    <m/>
    <m/>
    <n v="0"/>
    <n v="0"/>
    <n v="0"/>
    <m/>
    <m/>
    <m/>
    <m/>
    <n v="0"/>
    <m/>
    <m/>
    <n v="0"/>
    <m/>
    <m/>
    <m/>
    <m/>
    <m/>
    <m/>
    <n v="0"/>
    <n v="0"/>
  </r>
  <r>
    <x v="8"/>
    <x v="21"/>
    <s v="Nova Southeastern University (Osteopathic Medicine)"/>
    <m/>
    <m/>
    <x v="12"/>
    <m/>
    <m/>
    <m/>
    <m/>
    <m/>
    <m/>
    <m/>
    <m/>
    <n v="0"/>
    <m/>
    <m/>
    <n v="0"/>
    <n v="0"/>
    <n v="0"/>
    <n v="0"/>
    <n v="0"/>
    <m/>
    <m/>
    <n v="0"/>
    <m/>
    <m/>
    <n v="0"/>
    <m/>
    <m/>
    <m/>
    <m/>
    <m/>
    <m/>
    <n v="0"/>
    <n v="0"/>
  </r>
  <r>
    <x v="8"/>
    <x v="21"/>
    <s v="Southern College of Optometry"/>
    <m/>
    <m/>
    <x v="12"/>
    <m/>
    <m/>
    <m/>
    <m/>
    <m/>
    <m/>
    <m/>
    <m/>
    <n v="0"/>
    <m/>
    <m/>
    <n v="0"/>
    <n v="0"/>
    <n v="0"/>
    <n v="340400"/>
    <n v="367200"/>
    <m/>
    <m/>
    <n v="0"/>
    <m/>
    <m/>
    <n v="0"/>
    <m/>
    <m/>
    <m/>
    <m/>
    <m/>
    <m/>
    <n v="340400"/>
    <n v="367200"/>
  </r>
  <r>
    <x v="8"/>
    <x v="21"/>
    <s v="Edward Via VA College of Osteopathic Medicine"/>
    <m/>
    <m/>
    <x v="12"/>
    <m/>
    <m/>
    <m/>
    <m/>
    <m/>
    <m/>
    <m/>
    <m/>
    <n v="0"/>
    <m/>
    <m/>
    <n v="0"/>
    <n v="0"/>
    <n v="0"/>
    <n v="14800"/>
    <n v="0"/>
    <m/>
    <m/>
    <n v="0"/>
    <m/>
    <m/>
    <n v="0"/>
    <m/>
    <m/>
    <m/>
    <m/>
    <m/>
    <m/>
    <n v="14800"/>
    <n v="0"/>
  </r>
  <r>
    <x v="8"/>
    <x v="22"/>
    <s v="SREB contract program with public colleges"/>
    <m/>
    <m/>
    <x v="12"/>
    <m/>
    <m/>
    <m/>
    <m/>
    <m/>
    <m/>
    <m/>
    <m/>
    <n v="0"/>
    <m/>
    <m/>
    <n v="0"/>
    <n v="0"/>
    <n v="0"/>
    <m/>
    <m/>
    <m/>
    <m/>
    <n v="0"/>
    <m/>
    <m/>
    <n v="0"/>
    <m/>
    <m/>
    <m/>
    <m/>
    <m/>
    <m/>
    <n v="0"/>
    <n v="0"/>
  </r>
  <r>
    <x v="8"/>
    <x v="22"/>
    <s v="University of Houston (Optometry)"/>
    <m/>
    <m/>
    <x v="12"/>
    <m/>
    <m/>
    <m/>
    <m/>
    <m/>
    <m/>
    <m/>
    <m/>
    <n v="0"/>
    <m/>
    <m/>
    <n v="0"/>
    <n v="0"/>
    <n v="0"/>
    <n v="14800"/>
    <n v="0"/>
    <m/>
    <m/>
    <n v="0"/>
    <m/>
    <m/>
    <n v="0"/>
    <m/>
    <m/>
    <m/>
    <m/>
    <m/>
    <m/>
    <n v="14800"/>
    <n v="0"/>
  </r>
  <r>
    <x v="8"/>
    <x v="22"/>
    <s v="University of Alabama at Birmingham (Optometry)"/>
    <m/>
    <m/>
    <x v="12"/>
    <m/>
    <m/>
    <m/>
    <m/>
    <m/>
    <m/>
    <m/>
    <m/>
    <n v="0"/>
    <m/>
    <m/>
    <n v="0"/>
    <n v="0"/>
    <n v="0"/>
    <n v="118400"/>
    <n v="168300"/>
    <m/>
    <m/>
    <n v="0"/>
    <m/>
    <m/>
    <n v="0"/>
    <m/>
    <m/>
    <m/>
    <m/>
    <m/>
    <m/>
    <n v="118400"/>
    <n v="168300"/>
  </r>
  <r>
    <x v="8"/>
    <x v="24"/>
    <s v="Statewide Student Financial Aid Programs Administered Off Campus"/>
    <m/>
    <m/>
    <x v="12"/>
    <m/>
    <m/>
    <m/>
    <m/>
    <m/>
    <m/>
    <m/>
    <m/>
    <n v="0"/>
    <m/>
    <m/>
    <n v="0"/>
    <n v="0"/>
    <n v="0"/>
    <m/>
    <m/>
    <m/>
    <m/>
    <n v="0"/>
    <m/>
    <m/>
    <n v="0"/>
    <m/>
    <m/>
    <m/>
    <m/>
    <m/>
    <m/>
    <n v="0"/>
    <n v="0"/>
  </r>
  <r>
    <x v="8"/>
    <x v="25"/>
    <s v="Available to public &amp; private sector students"/>
    <m/>
    <m/>
    <x v="12"/>
    <m/>
    <m/>
    <m/>
    <m/>
    <m/>
    <m/>
    <m/>
    <m/>
    <n v="0"/>
    <m/>
    <m/>
    <n v="0"/>
    <n v="0"/>
    <n v="0"/>
    <m/>
    <m/>
    <m/>
    <m/>
    <n v="0"/>
    <m/>
    <m/>
    <n v="0"/>
    <m/>
    <m/>
    <m/>
    <m/>
    <m/>
    <m/>
    <n v="0"/>
    <n v="0"/>
  </r>
  <r>
    <x v="8"/>
    <x v="25"/>
    <s v="Higher Education Legislative Plan"/>
    <m/>
    <m/>
    <x v="12"/>
    <m/>
    <m/>
    <m/>
    <m/>
    <m/>
    <m/>
    <m/>
    <m/>
    <n v="0"/>
    <m/>
    <m/>
    <n v="0"/>
    <n v="0"/>
    <n v="0"/>
    <m/>
    <m/>
    <m/>
    <m/>
    <n v="0"/>
    <m/>
    <m/>
    <n v="0"/>
    <m/>
    <m/>
    <m/>
    <m/>
    <m/>
    <m/>
    <n v="0"/>
    <n v="0"/>
  </r>
  <r>
    <x v="8"/>
    <x v="28"/>
    <s v="Amount to public sector students"/>
    <m/>
    <m/>
    <x v="12"/>
    <m/>
    <m/>
    <m/>
    <m/>
    <m/>
    <m/>
    <m/>
    <m/>
    <n v="0"/>
    <m/>
    <m/>
    <n v="0"/>
    <n v="0"/>
    <n v="0"/>
    <m/>
    <m/>
    <m/>
    <m/>
    <n v="0"/>
    <m/>
    <m/>
    <n v="0"/>
    <m/>
    <m/>
    <m/>
    <m/>
    <m/>
    <m/>
    <n v="0"/>
    <n v="0"/>
  </r>
  <r>
    <x v="8"/>
    <x v="29"/>
    <s v="Need-based"/>
    <m/>
    <m/>
    <x v="12"/>
    <m/>
    <m/>
    <m/>
    <m/>
    <m/>
    <m/>
    <m/>
    <m/>
    <n v="0"/>
    <m/>
    <m/>
    <n v="0"/>
    <n v="0"/>
    <n v="0"/>
    <n v="4352527"/>
    <n v="6725387"/>
    <m/>
    <m/>
    <n v="0"/>
    <m/>
    <m/>
    <n v="0"/>
    <m/>
    <m/>
    <m/>
    <m/>
    <m/>
    <m/>
    <n v="4352527"/>
    <n v="6725387"/>
  </r>
  <r>
    <x v="8"/>
    <x v="27"/>
    <s v="Non need-based"/>
    <m/>
    <m/>
    <x v="12"/>
    <m/>
    <m/>
    <m/>
    <m/>
    <m/>
    <m/>
    <m/>
    <m/>
    <n v="0"/>
    <m/>
    <m/>
    <n v="0"/>
    <n v="0"/>
    <n v="0"/>
    <m/>
    <m/>
    <m/>
    <m/>
    <n v="0"/>
    <m/>
    <m/>
    <n v="0"/>
    <m/>
    <m/>
    <m/>
    <m/>
    <m/>
    <m/>
    <n v="0"/>
    <n v="0"/>
  </r>
  <r>
    <x v="8"/>
    <x v="31"/>
    <s v="Amount to private sector students"/>
    <m/>
    <m/>
    <x v="12"/>
    <m/>
    <m/>
    <m/>
    <m/>
    <m/>
    <m/>
    <m/>
    <m/>
    <n v="0"/>
    <m/>
    <m/>
    <n v="0"/>
    <n v="0"/>
    <n v="0"/>
    <m/>
    <m/>
    <m/>
    <m/>
    <n v="0"/>
    <m/>
    <m/>
    <n v="0"/>
    <m/>
    <m/>
    <m/>
    <m/>
    <m/>
    <m/>
    <n v="0"/>
    <n v="0"/>
  </r>
  <r>
    <x v="8"/>
    <x v="32"/>
    <s v="Need-based"/>
    <m/>
    <m/>
    <x v="12"/>
    <m/>
    <m/>
    <m/>
    <m/>
    <m/>
    <m/>
    <m/>
    <m/>
    <n v="0"/>
    <m/>
    <m/>
    <n v="0"/>
    <n v="0"/>
    <n v="0"/>
    <n v="501228"/>
    <n v="761222"/>
    <m/>
    <m/>
    <n v="0"/>
    <m/>
    <m/>
    <n v="0"/>
    <m/>
    <m/>
    <m/>
    <m/>
    <m/>
    <m/>
    <n v="501228"/>
    <n v="761222"/>
  </r>
  <r>
    <x v="8"/>
    <x v="27"/>
    <s v="Non need-based"/>
    <m/>
    <m/>
    <x v="12"/>
    <m/>
    <m/>
    <m/>
    <m/>
    <m/>
    <m/>
    <m/>
    <m/>
    <n v="0"/>
    <m/>
    <m/>
    <n v="0"/>
    <n v="0"/>
    <n v="0"/>
    <m/>
    <m/>
    <m/>
    <m/>
    <n v="0"/>
    <m/>
    <m/>
    <n v="0"/>
    <m/>
    <m/>
    <m/>
    <m/>
    <m/>
    <m/>
    <n v="0"/>
    <n v="0"/>
  </r>
  <r>
    <x v="8"/>
    <x v="25"/>
    <s v="Scholarship/Grant Programs"/>
    <m/>
    <m/>
    <x v="12"/>
    <m/>
    <m/>
    <m/>
    <m/>
    <m/>
    <m/>
    <m/>
    <m/>
    <n v="0"/>
    <m/>
    <m/>
    <n v="0"/>
    <n v="0"/>
    <n v="0"/>
    <m/>
    <m/>
    <m/>
    <m/>
    <n v="0"/>
    <m/>
    <m/>
    <n v="0"/>
    <m/>
    <m/>
    <m/>
    <m/>
    <m/>
    <m/>
    <n v="0"/>
    <n v="0"/>
  </r>
  <r>
    <x v="8"/>
    <x v="28"/>
    <s v="Amount to public sector students"/>
    <m/>
    <m/>
    <x v="12"/>
    <m/>
    <m/>
    <m/>
    <m/>
    <m/>
    <m/>
    <m/>
    <m/>
    <n v="0"/>
    <m/>
    <m/>
    <n v="0"/>
    <n v="0"/>
    <n v="0"/>
    <m/>
    <m/>
    <m/>
    <m/>
    <n v="0"/>
    <m/>
    <m/>
    <n v="0"/>
    <m/>
    <m/>
    <m/>
    <m/>
    <m/>
    <m/>
    <n v="0"/>
    <n v="0"/>
  </r>
  <r>
    <x v="8"/>
    <x v="29"/>
    <s v="Need-based (GUMS and State LEAP)"/>
    <m/>
    <m/>
    <x v="12"/>
    <m/>
    <m/>
    <m/>
    <m/>
    <m/>
    <m/>
    <m/>
    <m/>
    <n v="0"/>
    <m/>
    <m/>
    <n v="0"/>
    <n v="0"/>
    <n v="0"/>
    <n v="149351"/>
    <n v="8440"/>
    <m/>
    <m/>
    <n v="0"/>
    <m/>
    <m/>
    <n v="0"/>
    <m/>
    <m/>
    <m/>
    <m/>
    <m/>
    <m/>
    <n v="149351"/>
    <n v="8440"/>
  </r>
  <r>
    <x v="8"/>
    <x v="27"/>
    <s v="Non need-based (CGSA)"/>
    <m/>
    <m/>
    <x v="12"/>
    <m/>
    <m/>
    <m/>
    <m/>
    <m/>
    <m/>
    <m/>
    <m/>
    <n v="0"/>
    <m/>
    <m/>
    <n v="0"/>
    <n v="0"/>
    <n v="0"/>
    <n v="18750"/>
    <n v="19500"/>
    <m/>
    <m/>
    <n v="0"/>
    <m/>
    <m/>
    <n v="0"/>
    <m/>
    <m/>
    <m/>
    <m/>
    <m/>
    <m/>
    <n v="18750"/>
    <n v="19500"/>
  </r>
  <r>
    <x v="8"/>
    <x v="31"/>
    <s v="Amount to private sector students"/>
    <m/>
    <m/>
    <x v="12"/>
    <m/>
    <m/>
    <m/>
    <m/>
    <m/>
    <m/>
    <m/>
    <m/>
    <n v="0"/>
    <m/>
    <m/>
    <n v="0"/>
    <n v="0"/>
    <n v="0"/>
    <m/>
    <m/>
    <m/>
    <m/>
    <n v="0"/>
    <m/>
    <m/>
    <n v="0"/>
    <m/>
    <m/>
    <m/>
    <m/>
    <m/>
    <m/>
    <n v="0"/>
    <n v="0"/>
  </r>
  <r>
    <x v="8"/>
    <x v="32"/>
    <s v="Need-based (GUMS and State LEAP)"/>
    <m/>
    <m/>
    <x v="12"/>
    <m/>
    <m/>
    <m/>
    <m/>
    <m/>
    <m/>
    <m/>
    <m/>
    <n v="0"/>
    <m/>
    <m/>
    <n v="0"/>
    <n v="0"/>
    <n v="0"/>
    <n v="2775"/>
    <n v="0"/>
    <m/>
    <m/>
    <n v="0"/>
    <m/>
    <m/>
    <n v="0"/>
    <m/>
    <m/>
    <m/>
    <m/>
    <m/>
    <m/>
    <n v="2775"/>
    <n v="0"/>
  </r>
  <r>
    <x v="8"/>
    <x v="27"/>
    <s v="Non need-based (CGSA)"/>
    <m/>
    <m/>
    <x v="12"/>
    <m/>
    <m/>
    <m/>
    <m/>
    <m/>
    <m/>
    <m/>
    <m/>
    <n v="0"/>
    <m/>
    <m/>
    <n v="0"/>
    <n v="0"/>
    <n v="0"/>
    <n v="1500"/>
    <n v="1000"/>
    <m/>
    <m/>
    <n v="0"/>
    <m/>
    <m/>
    <n v="0"/>
    <m/>
    <m/>
    <m/>
    <m/>
    <m/>
    <m/>
    <n v="1500"/>
    <n v="1000"/>
  </r>
  <r>
    <x v="8"/>
    <x v="25"/>
    <s v="Critical NeedsTeacherScholarship"/>
    <m/>
    <m/>
    <x v="12"/>
    <m/>
    <m/>
    <m/>
    <m/>
    <m/>
    <m/>
    <m/>
    <m/>
    <n v="0"/>
    <m/>
    <m/>
    <n v="0"/>
    <n v="0"/>
    <n v="0"/>
    <m/>
    <m/>
    <m/>
    <m/>
    <n v="0"/>
    <m/>
    <m/>
    <n v="0"/>
    <m/>
    <m/>
    <m/>
    <m/>
    <m/>
    <m/>
    <n v="0"/>
    <n v="0"/>
  </r>
  <r>
    <x v="8"/>
    <x v="28"/>
    <s v="Amount to public sector students"/>
    <m/>
    <m/>
    <x v="12"/>
    <m/>
    <m/>
    <m/>
    <m/>
    <m/>
    <m/>
    <m/>
    <m/>
    <n v="0"/>
    <m/>
    <m/>
    <n v="0"/>
    <n v="0"/>
    <n v="0"/>
    <m/>
    <m/>
    <m/>
    <m/>
    <n v="0"/>
    <m/>
    <m/>
    <n v="0"/>
    <m/>
    <m/>
    <m/>
    <m/>
    <m/>
    <m/>
    <n v="0"/>
    <n v="0"/>
  </r>
  <r>
    <x v="8"/>
    <x v="29"/>
    <s v="Non need-based"/>
    <m/>
    <m/>
    <x v="12"/>
    <m/>
    <m/>
    <m/>
    <m/>
    <m/>
    <m/>
    <m/>
    <m/>
    <n v="0"/>
    <m/>
    <m/>
    <n v="0"/>
    <n v="0"/>
    <n v="0"/>
    <n v="2154390"/>
    <n v="2422756"/>
    <m/>
    <m/>
    <n v="0"/>
    <m/>
    <m/>
    <n v="0"/>
    <m/>
    <m/>
    <m/>
    <m/>
    <m/>
    <m/>
    <n v="2154390"/>
    <n v="2422756"/>
  </r>
  <r>
    <x v="8"/>
    <x v="27"/>
    <s v="Amount to private sector students Non need-based"/>
    <m/>
    <m/>
    <x v="12"/>
    <m/>
    <m/>
    <m/>
    <m/>
    <m/>
    <m/>
    <m/>
    <m/>
    <n v="0"/>
    <m/>
    <m/>
    <n v="0"/>
    <n v="0"/>
    <n v="0"/>
    <n v="338126"/>
    <n v="503030"/>
    <m/>
    <m/>
    <n v="0"/>
    <m/>
    <m/>
    <n v="0"/>
    <m/>
    <m/>
    <m/>
    <m/>
    <m/>
    <m/>
    <n v="338126"/>
    <n v="503030"/>
  </r>
  <r>
    <x v="8"/>
    <x v="25"/>
    <s v="MS Resident Tuition Assistance Grant"/>
    <m/>
    <m/>
    <x v="12"/>
    <m/>
    <m/>
    <m/>
    <m/>
    <m/>
    <m/>
    <m/>
    <m/>
    <n v="0"/>
    <m/>
    <m/>
    <n v="0"/>
    <n v="0"/>
    <n v="0"/>
    <m/>
    <m/>
    <m/>
    <m/>
    <n v="0"/>
    <m/>
    <m/>
    <n v="0"/>
    <m/>
    <m/>
    <m/>
    <m/>
    <m/>
    <m/>
    <n v="0"/>
    <n v="0"/>
  </r>
  <r>
    <x v="8"/>
    <x v="28"/>
    <s v="Amount to public sector students"/>
    <m/>
    <m/>
    <x v="12"/>
    <m/>
    <m/>
    <m/>
    <m/>
    <m/>
    <m/>
    <m/>
    <m/>
    <n v="0"/>
    <m/>
    <m/>
    <n v="0"/>
    <n v="0"/>
    <n v="0"/>
    <m/>
    <m/>
    <m/>
    <m/>
    <n v="0"/>
    <m/>
    <m/>
    <n v="0"/>
    <m/>
    <m/>
    <m/>
    <m/>
    <m/>
    <m/>
    <n v="0"/>
    <n v="0"/>
  </r>
  <r>
    <x v="8"/>
    <x v="30"/>
    <s v="Non need-based"/>
    <m/>
    <m/>
    <x v="12"/>
    <m/>
    <m/>
    <m/>
    <m/>
    <m/>
    <m/>
    <m/>
    <m/>
    <n v="0"/>
    <m/>
    <m/>
    <n v="0"/>
    <n v="0"/>
    <n v="0"/>
    <m/>
    <m/>
    <m/>
    <m/>
    <n v="0"/>
    <m/>
    <m/>
    <n v="0"/>
    <m/>
    <m/>
    <m/>
    <m/>
    <m/>
    <m/>
    <n v="0"/>
    <n v="0"/>
  </r>
  <r>
    <x v="8"/>
    <x v="30"/>
    <s v="Non need-based"/>
    <m/>
    <m/>
    <x v="12"/>
    <m/>
    <m/>
    <m/>
    <m/>
    <m/>
    <m/>
    <m/>
    <m/>
    <n v="0"/>
    <m/>
    <m/>
    <n v="0"/>
    <n v="0"/>
    <n v="0"/>
    <n v="12625636"/>
    <n v="12814638"/>
    <m/>
    <m/>
    <n v="0"/>
    <m/>
    <m/>
    <n v="0"/>
    <m/>
    <m/>
    <m/>
    <m/>
    <m/>
    <m/>
    <n v="12625636"/>
    <n v="12814638"/>
  </r>
  <r>
    <x v="8"/>
    <x v="31"/>
    <s v="Amount to private sector students"/>
    <m/>
    <m/>
    <x v="12"/>
    <m/>
    <m/>
    <m/>
    <m/>
    <m/>
    <m/>
    <m/>
    <m/>
    <n v="0"/>
    <m/>
    <m/>
    <n v="0"/>
    <n v="0"/>
    <n v="0"/>
    <m/>
    <m/>
    <m/>
    <m/>
    <n v="0"/>
    <m/>
    <m/>
    <n v="0"/>
    <m/>
    <m/>
    <m/>
    <m/>
    <m/>
    <m/>
    <n v="0"/>
    <n v="0"/>
  </r>
  <r>
    <x v="8"/>
    <x v="33"/>
    <s v="Non need-based"/>
    <m/>
    <m/>
    <x v="12"/>
    <m/>
    <m/>
    <m/>
    <m/>
    <m/>
    <m/>
    <m/>
    <m/>
    <n v="0"/>
    <m/>
    <m/>
    <n v="0"/>
    <n v="0"/>
    <n v="0"/>
    <n v="1348923"/>
    <n v="1324350"/>
    <m/>
    <m/>
    <n v="0"/>
    <m/>
    <m/>
    <n v="0"/>
    <m/>
    <m/>
    <m/>
    <m/>
    <m/>
    <m/>
    <n v="1348923"/>
    <n v="1324350"/>
  </r>
  <r>
    <x v="8"/>
    <x v="30"/>
    <s v="MS Eminent Scholars Grant"/>
    <m/>
    <m/>
    <x v="12"/>
    <m/>
    <m/>
    <m/>
    <m/>
    <m/>
    <m/>
    <m/>
    <m/>
    <n v="0"/>
    <m/>
    <m/>
    <n v="0"/>
    <n v="0"/>
    <n v="0"/>
    <m/>
    <m/>
    <m/>
    <m/>
    <n v="0"/>
    <m/>
    <m/>
    <n v="0"/>
    <m/>
    <m/>
    <m/>
    <m/>
    <m/>
    <m/>
    <n v="0"/>
    <n v="0"/>
  </r>
  <r>
    <x v="8"/>
    <x v="28"/>
    <s v="Amount to public sector students"/>
    <m/>
    <m/>
    <x v="12"/>
    <m/>
    <m/>
    <m/>
    <m/>
    <m/>
    <m/>
    <m/>
    <m/>
    <n v="0"/>
    <m/>
    <m/>
    <n v="0"/>
    <n v="0"/>
    <n v="0"/>
    <m/>
    <m/>
    <m/>
    <m/>
    <n v="0"/>
    <m/>
    <m/>
    <n v="0"/>
    <m/>
    <m/>
    <m/>
    <m/>
    <m/>
    <m/>
    <n v="0"/>
    <n v="0"/>
  </r>
  <r>
    <x v="8"/>
    <x v="35"/>
    <s v="Need-based"/>
    <m/>
    <m/>
    <x v="12"/>
    <m/>
    <m/>
    <m/>
    <m/>
    <m/>
    <m/>
    <m/>
    <m/>
    <n v="0"/>
    <m/>
    <m/>
    <n v="0"/>
    <n v="0"/>
    <n v="0"/>
    <m/>
    <m/>
    <m/>
    <m/>
    <n v="0"/>
    <m/>
    <m/>
    <n v="0"/>
    <m/>
    <m/>
    <m/>
    <m/>
    <m/>
    <m/>
    <n v="0"/>
    <n v="0"/>
  </r>
  <r>
    <x v="8"/>
    <x v="36"/>
    <s v="Non need-based"/>
    <m/>
    <m/>
    <x v="12"/>
    <m/>
    <m/>
    <m/>
    <m/>
    <m/>
    <m/>
    <m/>
    <m/>
    <n v="0"/>
    <m/>
    <m/>
    <n v="0"/>
    <n v="0"/>
    <n v="0"/>
    <n v="4479155"/>
    <n v="4698143"/>
    <m/>
    <m/>
    <n v="0"/>
    <m/>
    <m/>
    <n v="0"/>
    <m/>
    <m/>
    <m/>
    <m/>
    <m/>
    <m/>
    <n v="4479155"/>
    <n v="4698143"/>
  </r>
  <r>
    <x v="8"/>
    <x v="31"/>
    <s v="Amount to private sector students"/>
    <m/>
    <m/>
    <x v="12"/>
    <m/>
    <m/>
    <m/>
    <m/>
    <m/>
    <m/>
    <m/>
    <m/>
    <n v="0"/>
    <m/>
    <m/>
    <n v="0"/>
    <n v="0"/>
    <n v="0"/>
    <m/>
    <m/>
    <m/>
    <m/>
    <n v="0"/>
    <m/>
    <m/>
    <n v="0"/>
    <m/>
    <m/>
    <m/>
    <m/>
    <m/>
    <m/>
    <n v="0"/>
    <n v="0"/>
  </r>
  <r>
    <x v="8"/>
    <x v="33"/>
    <s v="Non need-based"/>
    <m/>
    <m/>
    <x v="12"/>
    <m/>
    <m/>
    <m/>
    <m/>
    <m/>
    <m/>
    <m/>
    <m/>
    <n v="0"/>
    <m/>
    <m/>
    <n v="0"/>
    <n v="0"/>
    <n v="0"/>
    <n v="733750"/>
    <n v="699999"/>
    <m/>
    <m/>
    <n v="0"/>
    <m/>
    <m/>
    <n v="0"/>
    <m/>
    <m/>
    <m/>
    <m/>
    <m/>
    <m/>
    <n v="733750"/>
    <n v="699999"/>
  </r>
  <r>
    <x v="8"/>
    <x v="28"/>
    <s v="Loan/Scholarship Programs"/>
    <m/>
    <m/>
    <x v="12"/>
    <m/>
    <m/>
    <m/>
    <m/>
    <m/>
    <m/>
    <m/>
    <m/>
    <n v="0"/>
    <m/>
    <m/>
    <n v="0"/>
    <n v="0"/>
    <n v="0"/>
    <m/>
    <m/>
    <m/>
    <m/>
    <n v="0"/>
    <m/>
    <m/>
    <n v="0"/>
    <m/>
    <m/>
    <m/>
    <m/>
    <m/>
    <m/>
    <n v="0"/>
    <n v="0"/>
  </r>
  <r>
    <x v="8"/>
    <x v="28"/>
    <s v="Mississippi Teacher Loan Repayment Program"/>
    <m/>
    <m/>
    <x v="12"/>
    <m/>
    <m/>
    <m/>
    <m/>
    <m/>
    <m/>
    <m/>
    <m/>
    <n v="0"/>
    <m/>
    <m/>
    <n v="0"/>
    <n v="0"/>
    <n v="0"/>
    <n v="572679"/>
    <n v="590749"/>
    <m/>
    <m/>
    <n v="0"/>
    <m/>
    <m/>
    <n v="0"/>
    <m/>
    <m/>
    <m/>
    <m/>
    <m/>
    <m/>
    <n v="572679"/>
    <n v="590749"/>
  </r>
  <r>
    <x v="8"/>
    <x v="28"/>
    <s v="Amount to public sector students"/>
    <m/>
    <m/>
    <x v="12"/>
    <m/>
    <m/>
    <m/>
    <m/>
    <m/>
    <m/>
    <m/>
    <m/>
    <n v="0"/>
    <m/>
    <m/>
    <n v="0"/>
    <n v="0"/>
    <n v="0"/>
    <m/>
    <m/>
    <m/>
    <m/>
    <n v="0"/>
    <m/>
    <m/>
    <n v="0"/>
    <m/>
    <m/>
    <m/>
    <m/>
    <m/>
    <m/>
    <n v="0"/>
    <n v="0"/>
  </r>
  <r>
    <x v="8"/>
    <x v="36"/>
    <s v="Non need-based"/>
    <m/>
    <m/>
    <x v="12"/>
    <m/>
    <m/>
    <m/>
    <m/>
    <m/>
    <m/>
    <m/>
    <m/>
    <n v="0"/>
    <m/>
    <m/>
    <n v="0"/>
    <n v="0"/>
    <n v="0"/>
    <n v="2956710"/>
    <n v="3120586"/>
    <m/>
    <m/>
    <n v="0"/>
    <m/>
    <m/>
    <n v="0"/>
    <m/>
    <m/>
    <m/>
    <m/>
    <m/>
    <m/>
    <n v="2956710"/>
    <n v="3120586"/>
  </r>
  <r>
    <x v="8"/>
    <x v="31"/>
    <s v="Amount to private sector students"/>
    <m/>
    <m/>
    <x v="12"/>
    <m/>
    <m/>
    <m/>
    <m/>
    <m/>
    <m/>
    <m/>
    <m/>
    <n v="0"/>
    <m/>
    <m/>
    <n v="0"/>
    <n v="0"/>
    <n v="0"/>
    <m/>
    <m/>
    <m/>
    <m/>
    <n v="0"/>
    <m/>
    <m/>
    <n v="0"/>
    <m/>
    <m/>
    <m/>
    <m/>
    <m/>
    <m/>
    <n v="0"/>
    <n v="0"/>
  </r>
  <r>
    <x v="8"/>
    <x v="33"/>
    <s v="Non need-based"/>
    <m/>
    <m/>
    <x v="12"/>
    <m/>
    <m/>
    <m/>
    <m/>
    <m/>
    <m/>
    <m/>
    <m/>
    <n v="0"/>
    <m/>
    <m/>
    <n v="0"/>
    <n v="0"/>
    <n v="0"/>
    <n v="837362"/>
    <n v="1162996"/>
    <m/>
    <m/>
    <n v="0"/>
    <m/>
    <m/>
    <n v="0"/>
    <m/>
    <m/>
    <m/>
    <m/>
    <m/>
    <m/>
    <n v="837362"/>
    <n v="1162996"/>
  </r>
  <r>
    <x v="8"/>
    <x v="34"/>
    <s v="Limited to public college students only"/>
    <m/>
    <m/>
    <x v="12"/>
    <m/>
    <m/>
    <m/>
    <m/>
    <m/>
    <m/>
    <m/>
    <m/>
    <n v="0"/>
    <m/>
    <m/>
    <n v="0"/>
    <n v="0"/>
    <n v="0"/>
    <m/>
    <m/>
    <m/>
    <m/>
    <n v="0"/>
    <m/>
    <m/>
    <n v="0"/>
    <m/>
    <m/>
    <m/>
    <m/>
    <m/>
    <m/>
    <n v="0"/>
    <n v="0"/>
  </r>
  <r>
    <x v="8"/>
    <x v="35"/>
    <s v="Need-based (SUMD)"/>
    <m/>
    <m/>
    <x v="12"/>
    <m/>
    <m/>
    <m/>
    <m/>
    <m/>
    <m/>
    <m/>
    <m/>
    <n v="0"/>
    <m/>
    <m/>
    <n v="0"/>
    <n v="0"/>
    <n v="0"/>
    <n v="750000"/>
    <n v="888536"/>
    <m/>
    <m/>
    <n v="0"/>
    <m/>
    <m/>
    <n v="0"/>
    <m/>
    <m/>
    <m/>
    <m/>
    <m/>
    <m/>
    <n v="750000"/>
    <n v="888536"/>
  </r>
  <r>
    <x v="8"/>
    <x v="36"/>
    <s v="Non need-based (DENT, LAW, MED,PMGT, SDSP, VMMP,NISS)"/>
    <m/>
    <m/>
    <x v="12"/>
    <m/>
    <m/>
    <m/>
    <m/>
    <m/>
    <m/>
    <m/>
    <m/>
    <n v="0"/>
    <m/>
    <m/>
    <n v="0"/>
    <n v="0"/>
    <n v="0"/>
    <n v="736874"/>
    <n v="1268902"/>
    <m/>
    <m/>
    <n v="0"/>
    <m/>
    <m/>
    <n v="0"/>
    <m/>
    <m/>
    <m/>
    <m/>
    <m/>
    <m/>
    <n v="736874"/>
    <n v="1268902"/>
  </r>
  <r>
    <x v="8"/>
    <x v="34"/>
    <s v="Limited to private college students only"/>
    <m/>
    <m/>
    <x v="12"/>
    <m/>
    <m/>
    <m/>
    <m/>
    <m/>
    <m/>
    <m/>
    <m/>
    <n v="0"/>
    <m/>
    <m/>
    <n v="0"/>
    <n v="0"/>
    <n v="0"/>
    <m/>
    <m/>
    <m/>
    <m/>
    <n v="0"/>
    <m/>
    <m/>
    <n v="0"/>
    <m/>
    <m/>
    <m/>
    <m/>
    <m/>
    <m/>
    <n v="0"/>
    <n v="0"/>
  </r>
  <r>
    <x v="8"/>
    <x v="35"/>
    <s v="Need-based"/>
    <m/>
    <m/>
    <x v="12"/>
    <m/>
    <m/>
    <m/>
    <m/>
    <m/>
    <m/>
    <m/>
    <m/>
    <n v="0"/>
    <m/>
    <m/>
    <n v="0"/>
    <n v="0"/>
    <n v="0"/>
    <m/>
    <m/>
    <m/>
    <m/>
    <n v="0"/>
    <m/>
    <m/>
    <n v="0"/>
    <m/>
    <m/>
    <m/>
    <m/>
    <m/>
    <m/>
    <n v="0"/>
    <n v="0"/>
  </r>
  <r>
    <x v="8"/>
    <x v="36"/>
    <s v="Non need-based (STSC)"/>
    <m/>
    <m/>
    <x v="12"/>
    <m/>
    <m/>
    <m/>
    <m/>
    <m/>
    <m/>
    <m/>
    <m/>
    <n v="0"/>
    <m/>
    <m/>
    <n v="0"/>
    <n v="0"/>
    <n v="0"/>
    <n v="34103"/>
    <n v="65469"/>
    <m/>
    <m/>
    <n v="0"/>
    <m/>
    <m/>
    <n v="0"/>
    <m/>
    <m/>
    <m/>
    <m/>
    <m/>
    <m/>
    <n v="34103"/>
    <n v="65469"/>
  </r>
  <r>
    <x v="8"/>
    <x v="0"/>
    <s v="Hinds Community College "/>
    <m/>
    <n v="175786"/>
    <x v="6"/>
    <n v="31962657"/>
    <n v="32427323"/>
    <m/>
    <m/>
    <n v="10913365"/>
    <n v="10891615"/>
    <n v="26856327"/>
    <m/>
    <n v="26856327"/>
    <n v="28283932"/>
    <m/>
    <n v="28283932"/>
    <n v="69732349"/>
    <n v="71602870"/>
    <m/>
    <m/>
    <m/>
    <m/>
    <n v="0"/>
    <m/>
    <m/>
    <n v="0"/>
    <m/>
    <m/>
    <m/>
    <m/>
    <m/>
    <m/>
    <n v="69732349"/>
    <n v="71602870"/>
  </r>
  <r>
    <x v="8"/>
    <x v="8"/>
    <s v="Special line items for education operations"/>
    <m/>
    <n v="175786"/>
    <x v="6"/>
    <m/>
    <m/>
    <m/>
    <m/>
    <m/>
    <m/>
    <m/>
    <m/>
    <n v="0"/>
    <m/>
    <m/>
    <n v="0"/>
    <n v="0"/>
    <n v="0"/>
    <m/>
    <m/>
    <m/>
    <m/>
    <n v="0"/>
    <m/>
    <m/>
    <n v="0"/>
    <m/>
    <m/>
    <m/>
    <m/>
    <m/>
    <m/>
    <n v="0"/>
    <n v="0"/>
  </r>
  <r>
    <x v="8"/>
    <x v="8"/>
    <s v="Post-Secondary Vocational Education"/>
    <m/>
    <n v="175786"/>
    <x v="6"/>
    <m/>
    <m/>
    <n v="4823579.1100000003"/>
    <n v="4370880"/>
    <m/>
    <m/>
    <m/>
    <m/>
    <n v="0"/>
    <m/>
    <m/>
    <n v="0"/>
    <n v="4823579.1100000003"/>
    <n v="4370880"/>
    <m/>
    <m/>
    <m/>
    <m/>
    <n v="0"/>
    <m/>
    <m/>
    <n v="0"/>
    <m/>
    <m/>
    <m/>
    <m/>
    <m/>
    <m/>
    <n v="4823579.1100000003"/>
    <n v="4370880"/>
  </r>
  <r>
    <x v="8"/>
    <x v="0"/>
    <s v="Itawamba Community College "/>
    <m/>
    <n v="175829"/>
    <x v="6"/>
    <n v="19980530"/>
    <n v="19020898"/>
    <m/>
    <m/>
    <n v="5403450"/>
    <n v="5393259"/>
    <n v="12886497"/>
    <m/>
    <n v="12886497"/>
    <n v="13648575"/>
    <m/>
    <n v="13648575"/>
    <n v="38270477"/>
    <n v="38062732"/>
    <m/>
    <m/>
    <m/>
    <m/>
    <n v="0"/>
    <m/>
    <m/>
    <n v="0"/>
    <m/>
    <m/>
    <m/>
    <m/>
    <m/>
    <m/>
    <n v="38270477"/>
    <n v="38062732"/>
  </r>
  <r>
    <x v="8"/>
    <x v="8"/>
    <s v="Special line items for education operations"/>
    <m/>
    <n v="175829"/>
    <x v="6"/>
    <m/>
    <m/>
    <m/>
    <m/>
    <m/>
    <m/>
    <m/>
    <m/>
    <n v="0"/>
    <m/>
    <m/>
    <n v="0"/>
    <n v="0"/>
    <n v="0"/>
    <m/>
    <m/>
    <m/>
    <m/>
    <n v="0"/>
    <m/>
    <m/>
    <n v="0"/>
    <m/>
    <m/>
    <m/>
    <m/>
    <m/>
    <m/>
    <n v="0"/>
    <n v="0"/>
  </r>
  <r>
    <x v="8"/>
    <x v="8"/>
    <s v="Post-Secondary Vocational Education"/>
    <m/>
    <n v="175830"/>
    <x v="6"/>
    <m/>
    <m/>
    <n v="1737998"/>
    <n v="1698245"/>
    <m/>
    <m/>
    <m/>
    <m/>
    <n v="0"/>
    <m/>
    <m/>
    <n v="0"/>
    <n v="1737998"/>
    <n v="1698245"/>
    <m/>
    <m/>
    <m/>
    <m/>
    <n v="0"/>
    <m/>
    <m/>
    <n v="0"/>
    <m/>
    <m/>
    <m/>
    <m/>
    <m/>
    <m/>
    <n v="1737998"/>
    <n v="1698245"/>
  </r>
  <r>
    <x v="8"/>
    <x v="0"/>
    <s v="Mississippi Gulf Coast Community College "/>
    <m/>
    <n v="176071"/>
    <x v="6"/>
    <n v="24832784"/>
    <n v="27185469"/>
    <m/>
    <m/>
    <n v="8869426"/>
    <n v="8886531"/>
    <n v="27426798"/>
    <m/>
    <n v="27426798"/>
    <n v="26833526"/>
    <m/>
    <n v="26833526"/>
    <n v="61129008"/>
    <n v="62905526"/>
    <m/>
    <m/>
    <m/>
    <m/>
    <n v="0"/>
    <m/>
    <m/>
    <n v="0"/>
    <m/>
    <m/>
    <m/>
    <m/>
    <m/>
    <m/>
    <n v="61129008"/>
    <n v="62905526"/>
  </r>
  <r>
    <x v="8"/>
    <x v="8"/>
    <s v="Special line items for education operations"/>
    <m/>
    <n v="176071"/>
    <x v="6"/>
    <m/>
    <m/>
    <m/>
    <m/>
    <m/>
    <m/>
    <m/>
    <m/>
    <n v="0"/>
    <m/>
    <m/>
    <n v="0"/>
    <n v="0"/>
    <n v="0"/>
    <m/>
    <m/>
    <m/>
    <m/>
    <n v="0"/>
    <m/>
    <m/>
    <n v="0"/>
    <m/>
    <m/>
    <m/>
    <m/>
    <m/>
    <m/>
    <n v="0"/>
    <n v="0"/>
  </r>
  <r>
    <x v="8"/>
    <x v="8"/>
    <s v="Post-Secondary Vocational Education"/>
    <m/>
    <n v="176071"/>
    <x v="6"/>
    <m/>
    <m/>
    <n v="2837671"/>
    <n v="3241548.46"/>
    <m/>
    <m/>
    <m/>
    <m/>
    <n v="0"/>
    <m/>
    <m/>
    <n v="0"/>
    <n v="2837671"/>
    <n v="3241548.46"/>
    <m/>
    <m/>
    <m/>
    <m/>
    <n v="0"/>
    <m/>
    <m/>
    <n v="0"/>
    <m/>
    <m/>
    <m/>
    <m/>
    <m/>
    <m/>
    <n v="2837671"/>
    <n v="3241548.46"/>
  </r>
  <r>
    <x v="8"/>
    <x v="0"/>
    <s v="Northwest Mississippi Community College "/>
    <m/>
    <n v="176178"/>
    <x v="6"/>
    <n v="20834919"/>
    <n v="21976052"/>
    <m/>
    <m/>
    <n v="5011974"/>
    <n v="5138490"/>
    <n v="15054783"/>
    <m/>
    <n v="15054783"/>
    <n v="17567374"/>
    <m/>
    <n v="17567374"/>
    <n v="40901676"/>
    <n v="44681916"/>
    <m/>
    <m/>
    <m/>
    <m/>
    <n v="0"/>
    <m/>
    <m/>
    <n v="0"/>
    <m/>
    <m/>
    <m/>
    <m/>
    <m/>
    <m/>
    <n v="40901676"/>
    <n v="44681916"/>
  </r>
  <r>
    <x v="8"/>
    <x v="8"/>
    <s v="Special line items for education operations"/>
    <m/>
    <n v="176178"/>
    <x v="6"/>
    <m/>
    <m/>
    <m/>
    <m/>
    <m/>
    <m/>
    <m/>
    <m/>
    <n v="0"/>
    <m/>
    <m/>
    <n v="0"/>
    <n v="0"/>
    <n v="0"/>
    <m/>
    <m/>
    <m/>
    <m/>
    <n v="0"/>
    <m/>
    <m/>
    <n v="0"/>
    <m/>
    <m/>
    <m/>
    <m/>
    <m/>
    <m/>
    <n v="0"/>
    <n v="0"/>
  </r>
  <r>
    <x v="8"/>
    <x v="8"/>
    <s v="Post-Secondary Vocational Education"/>
    <m/>
    <n v="176178"/>
    <x v="6"/>
    <m/>
    <m/>
    <n v="2053554"/>
    <n v="2068295"/>
    <m/>
    <m/>
    <m/>
    <m/>
    <n v="0"/>
    <m/>
    <m/>
    <n v="0"/>
    <n v="2053554"/>
    <n v="2068295"/>
    <m/>
    <m/>
    <m/>
    <m/>
    <n v="0"/>
    <m/>
    <m/>
    <n v="0"/>
    <m/>
    <m/>
    <m/>
    <m/>
    <m/>
    <m/>
    <n v="2053554"/>
    <n v="2068295"/>
  </r>
  <r>
    <x v="8"/>
    <x v="0"/>
    <s v="Copiah-Lincoln Community College "/>
    <m/>
    <n v="175573"/>
    <x v="7"/>
    <n v="10966425"/>
    <n v="11202177"/>
    <m/>
    <m/>
    <n v="2337749"/>
    <n v="2332531"/>
    <n v="7436279"/>
    <m/>
    <n v="7436279"/>
    <n v="7764888"/>
    <m/>
    <n v="7764888"/>
    <n v="20740453"/>
    <n v="21299596"/>
    <m/>
    <m/>
    <m/>
    <m/>
    <n v="0"/>
    <m/>
    <m/>
    <n v="0"/>
    <m/>
    <m/>
    <m/>
    <m/>
    <m/>
    <m/>
    <n v="20740453"/>
    <n v="21299596"/>
  </r>
  <r>
    <x v="8"/>
    <x v="8"/>
    <s v="Special line items for education operations"/>
    <m/>
    <n v="175573"/>
    <x v="7"/>
    <m/>
    <m/>
    <m/>
    <m/>
    <m/>
    <m/>
    <m/>
    <m/>
    <n v="0"/>
    <m/>
    <m/>
    <n v="0"/>
    <n v="0"/>
    <n v="0"/>
    <m/>
    <m/>
    <m/>
    <m/>
    <n v="0"/>
    <m/>
    <m/>
    <n v="0"/>
    <m/>
    <m/>
    <m/>
    <m/>
    <m/>
    <m/>
    <n v="0"/>
    <n v="0"/>
  </r>
  <r>
    <x v="8"/>
    <x v="8"/>
    <s v="Post-Secondary Vocational Education"/>
    <m/>
    <n v="175573"/>
    <x v="7"/>
    <m/>
    <m/>
    <n v="1399332.6"/>
    <n v="1263240.75"/>
    <m/>
    <m/>
    <m/>
    <m/>
    <n v="0"/>
    <m/>
    <m/>
    <n v="0"/>
    <n v="1399332.6"/>
    <n v="1263240.75"/>
    <m/>
    <m/>
    <m/>
    <m/>
    <n v="0"/>
    <m/>
    <m/>
    <n v="0"/>
    <m/>
    <m/>
    <m/>
    <m/>
    <m/>
    <m/>
    <n v="1399332.6"/>
    <n v="1263240.75"/>
  </r>
  <r>
    <x v="8"/>
    <x v="0"/>
    <s v="East Central Community College "/>
    <m/>
    <n v="175643"/>
    <x v="7"/>
    <n v="8912404"/>
    <n v="9454214"/>
    <m/>
    <m/>
    <n v="1314122"/>
    <n v="1283765"/>
    <n v="5547235"/>
    <m/>
    <n v="5547235"/>
    <n v="5608148"/>
    <m/>
    <n v="5608148"/>
    <n v="15773761"/>
    <n v="16346127"/>
    <m/>
    <m/>
    <m/>
    <m/>
    <n v="0"/>
    <m/>
    <m/>
    <n v="0"/>
    <m/>
    <m/>
    <m/>
    <m/>
    <m/>
    <m/>
    <n v="15773761"/>
    <n v="16346127"/>
  </r>
  <r>
    <x v="8"/>
    <x v="8"/>
    <s v="Special line items for education operations"/>
    <m/>
    <n v="175643"/>
    <x v="7"/>
    <m/>
    <m/>
    <m/>
    <m/>
    <m/>
    <m/>
    <m/>
    <m/>
    <n v="0"/>
    <m/>
    <m/>
    <n v="0"/>
    <n v="0"/>
    <n v="0"/>
    <m/>
    <m/>
    <m/>
    <m/>
    <n v="0"/>
    <m/>
    <m/>
    <n v="0"/>
    <m/>
    <m/>
    <m/>
    <m/>
    <m/>
    <m/>
    <n v="0"/>
    <n v="0"/>
  </r>
  <r>
    <x v="8"/>
    <x v="8"/>
    <s v="Post-Secondary Vocational Education"/>
    <m/>
    <n v="175643"/>
    <x v="7"/>
    <m/>
    <m/>
    <n v="1054647"/>
    <n v="1087765"/>
    <m/>
    <m/>
    <m/>
    <m/>
    <n v="0"/>
    <m/>
    <m/>
    <n v="0"/>
    <n v="1054647"/>
    <n v="1087765"/>
    <m/>
    <m/>
    <m/>
    <m/>
    <n v="0"/>
    <m/>
    <m/>
    <n v="0"/>
    <m/>
    <m/>
    <m/>
    <m/>
    <m/>
    <m/>
    <n v="1054647"/>
    <n v="1087765"/>
  </r>
  <r>
    <x v="8"/>
    <x v="0"/>
    <s v="East Mississippi Community College "/>
    <m/>
    <n v="175652"/>
    <x v="7"/>
    <n v="13349241"/>
    <n v="14216616"/>
    <m/>
    <m/>
    <n v="1705200"/>
    <n v="1705200"/>
    <n v="15035262"/>
    <m/>
    <n v="15035262"/>
    <n v="13932026"/>
    <m/>
    <n v="13932026"/>
    <n v="30089703"/>
    <n v="29853842"/>
    <m/>
    <m/>
    <m/>
    <m/>
    <n v="0"/>
    <m/>
    <m/>
    <n v="0"/>
    <m/>
    <m/>
    <m/>
    <m/>
    <m/>
    <m/>
    <n v="30089703"/>
    <n v="29853842"/>
  </r>
  <r>
    <x v="8"/>
    <x v="8"/>
    <s v="Special line items for education operations"/>
    <m/>
    <n v="175652"/>
    <x v="7"/>
    <m/>
    <m/>
    <m/>
    <m/>
    <m/>
    <m/>
    <m/>
    <m/>
    <n v="0"/>
    <m/>
    <m/>
    <n v="0"/>
    <n v="0"/>
    <n v="0"/>
    <m/>
    <m/>
    <m/>
    <m/>
    <n v="0"/>
    <m/>
    <m/>
    <n v="0"/>
    <m/>
    <m/>
    <m/>
    <m/>
    <m/>
    <m/>
    <n v="0"/>
    <n v="0"/>
  </r>
  <r>
    <x v="8"/>
    <x v="8"/>
    <s v="Post-Secondary Vocational Education"/>
    <m/>
    <n v="175652"/>
    <x v="7"/>
    <m/>
    <m/>
    <n v="1063798.06"/>
    <n v="1138549.03"/>
    <m/>
    <m/>
    <m/>
    <m/>
    <n v="0"/>
    <m/>
    <m/>
    <n v="0"/>
    <n v="1063798.06"/>
    <n v="1138549.03"/>
    <m/>
    <m/>
    <m/>
    <m/>
    <n v="0"/>
    <m/>
    <m/>
    <n v="0"/>
    <m/>
    <m/>
    <m/>
    <m/>
    <m/>
    <m/>
    <n v="1063798.06"/>
    <n v="1138549.03"/>
  </r>
  <r>
    <x v="8"/>
    <x v="0"/>
    <s v="Holmes Community College "/>
    <s v="Met criteria for Two-Year 1 in 2012-13 and 2013-14."/>
    <n v="175810"/>
    <x v="7"/>
    <n v="16891483"/>
    <n v="18516368"/>
    <m/>
    <m/>
    <n v="2626323"/>
    <n v="2740008"/>
    <n v="15334415"/>
    <m/>
    <n v="15334415"/>
    <n v="15041109"/>
    <m/>
    <n v="15041109"/>
    <n v="34852221"/>
    <n v="36297485"/>
    <m/>
    <m/>
    <m/>
    <m/>
    <n v="0"/>
    <m/>
    <m/>
    <n v="0"/>
    <m/>
    <m/>
    <m/>
    <m/>
    <m/>
    <m/>
    <n v="34852221"/>
    <n v="36297485"/>
  </r>
  <r>
    <x v="8"/>
    <x v="8"/>
    <s v="Special line items for education operations"/>
    <m/>
    <n v="175810"/>
    <x v="7"/>
    <m/>
    <m/>
    <m/>
    <m/>
    <m/>
    <m/>
    <m/>
    <m/>
    <n v="0"/>
    <m/>
    <m/>
    <n v="0"/>
    <n v="0"/>
    <n v="0"/>
    <m/>
    <m/>
    <m/>
    <m/>
    <n v="0"/>
    <m/>
    <m/>
    <n v="0"/>
    <m/>
    <m/>
    <m/>
    <m/>
    <m/>
    <m/>
    <n v="0"/>
    <n v="0"/>
  </r>
  <r>
    <x v="8"/>
    <x v="8"/>
    <s v="Post-Secondary Vocational Education"/>
    <m/>
    <n v="175810"/>
    <x v="7"/>
    <m/>
    <m/>
    <n v="1680006"/>
    <n v="1841654.85"/>
    <m/>
    <m/>
    <m/>
    <m/>
    <n v="0"/>
    <m/>
    <m/>
    <n v="0"/>
    <n v="1680006"/>
    <n v="1841654.85"/>
    <m/>
    <m/>
    <m/>
    <m/>
    <n v="0"/>
    <m/>
    <m/>
    <n v="0"/>
    <m/>
    <m/>
    <m/>
    <m/>
    <m/>
    <m/>
    <n v="1680006"/>
    <n v="1841654.85"/>
  </r>
  <r>
    <x v="8"/>
    <x v="0"/>
    <s v="Jones County Junior College "/>
    <m/>
    <n v="175883"/>
    <x v="7"/>
    <n v="13963867"/>
    <n v="14315536"/>
    <m/>
    <m/>
    <n v="3072308"/>
    <n v="2653289"/>
    <n v="11279073"/>
    <m/>
    <n v="11279073"/>
    <n v="12146654"/>
    <m/>
    <n v="12146654"/>
    <n v="28315248"/>
    <n v="29115479"/>
    <m/>
    <m/>
    <m/>
    <m/>
    <n v="0"/>
    <m/>
    <m/>
    <n v="0"/>
    <m/>
    <m/>
    <m/>
    <m/>
    <m/>
    <m/>
    <n v="28315248"/>
    <n v="29115479"/>
  </r>
  <r>
    <x v="8"/>
    <x v="8"/>
    <s v="Special line items for education operations"/>
    <m/>
    <n v="175883"/>
    <x v="7"/>
    <m/>
    <m/>
    <m/>
    <m/>
    <m/>
    <m/>
    <m/>
    <m/>
    <n v="0"/>
    <m/>
    <m/>
    <n v="0"/>
    <n v="0"/>
    <n v="0"/>
    <m/>
    <m/>
    <m/>
    <m/>
    <n v="0"/>
    <m/>
    <m/>
    <n v="0"/>
    <m/>
    <m/>
    <m/>
    <m/>
    <m/>
    <m/>
    <n v="0"/>
    <n v="0"/>
  </r>
  <r>
    <x v="8"/>
    <x v="8"/>
    <s v="Post-Secondary Vocational Education"/>
    <m/>
    <n v="175884"/>
    <x v="7"/>
    <m/>
    <m/>
    <n v="1645640.65"/>
    <n v="1547217"/>
    <m/>
    <m/>
    <m/>
    <m/>
    <n v="0"/>
    <m/>
    <m/>
    <n v="0"/>
    <n v="1645640.65"/>
    <n v="1547217"/>
    <m/>
    <m/>
    <m/>
    <m/>
    <n v="0"/>
    <m/>
    <m/>
    <n v="0"/>
    <m/>
    <m/>
    <m/>
    <m/>
    <m/>
    <m/>
    <n v="1645640.65"/>
    <n v="1547217"/>
  </r>
  <r>
    <x v="8"/>
    <x v="0"/>
    <s v="Meridian Community College "/>
    <m/>
    <n v="175935"/>
    <x v="7"/>
    <n v="12055140"/>
    <n v="12772340"/>
    <m/>
    <m/>
    <n v="2197459"/>
    <n v="2241350"/>
    <n v="9272341"/>
    <m/>
    <n v="9272341"/>
    <n v="8757295"/>
    <m/>
    <n v="8757295"/>
    <n v="23524940"/>
    <n v="23770985"/>
    <m/>
    <m/>
    <m/>
    <m/>
    <n v="0"/>
    <m/>
    <m/>
    <n v="0"/>
    <m/>
    <m/>
    <m/>
    <m/>
    <m/>
    <m/>
    <n v="23524940"/>
    <n v="23770985"/>
  </r>
  <r>
    <x v="8"/>
    <x v="8"/>
    <s v="Special line items for education operations"/>
    <m/>
    <n v="175935"/>
    <x v="7"/>
    <m/>
    <m/>
    <m/>
    <m/>
    <m/>
    <m/>
    <m/>
    <m/>
    <n v="0"/>
    <m/>
    <m/>
    <n v="0"/>
    <n v="0"/>
    <n v="0"/>
    <m/>
    <m/>
    <m/>
    <m/>
    <n v="0"/>
    <m/>
    <m/>
    <n v="0"/>
    <m/>
    <m/>
    <m/>
    <m/>
    <m/>
    <m/>
    <n v="0"/>
    <n v="0"/>
  </r>
  <r>
    <x v="8"/>
    <x v="8"/>
    <s v="Post-Secondary Vocational Education"/>
    <m/>
    <n v="175935"/>
    <x v="7"/>
    <m/>
    <m/>
    <n v="1573512.86"/>
    <n v="1626031.41"/>
    <m/>
    <m/>
    <m/>
    <m/>
    <n v="0"/>
    <m/>
    <m/>
    <n v="0"/>
    <n v="1573512.86"/>
    <n v="1626031.41"/>
    <m/>
    <m/>
    <m/>
    <m/>
    <n v="0"/>
    <m/>
    <m/>
    <n v="0"/>
    <m/>
    <m/>
    <m/>
    <m/>
    <m/>
    <m/>
    <n v="1573512.86"/>
    <n v="1626031.41"/>
  </r>
  <r>
    <x v="8"/>
    <x v="0"/>
    <s v="Mississippi Delta Community College "/>
    <m/>
    <n v="176008"/>
    <x v="7"/>
    <n v="10443742"/>
    <n v="10774309"/>
    <m/>
    <m/>
    <n v="2026043"/>
    <n v="2128266"/>
    <n v="8504974"/>
    <m/>
    <n v="8504974"/>
    <n v="7875874"/>
    <m/>
    <n v="7875874"/>
    <n v="20974759"/>
    <n v="20778449"/>
    <m/>
    <m/>
    <m/>
    <m/>
    <n v="0"/>
    <m/>
    <m/>
    <n v="0"/>
    <m/>
    <m/>
    <m/>
    <m/>
    <m/>
    <m/>
    <n v="20974759"/>
    <n v="20778449"/>
  </r>
  <r>
    <x v="8"/>
    <x v="8"/>
    <s v="Special line items for education operations"/>
    <m/>
    <n v="176008"/>
    <x v="7"/>
    <m/>
    <m/>
    <m/>
    <m/>
    <m/>
    <m/>
    <m/>
    <m/>
    <n v="0"/>
    <m/>
    <m/>
    <n v="0"/>
    <n v="0"/>
    <n v="0"/>
    <m/>
    <m/>
    <m/>
    <m/>
    <n v="0"/>
    <m/>
    <m/>
    <n v="0"/>
    <m/>
    <m/>
    <m/>
    <m/>
    <m/>
    <m/>
    <n v="0"/>
    <n v="0"/>
  </r>
  <r>
    <x v="8"/>
    <x v="8"/>
    <s v="Post-Secondary Vocational Education"/>
    <m/>
    <n v="176008"/>
    <x v="7"/>
    <m/>
    <m/>
    <n v="1000323.8"/>
    <n v="1013734"/>
    <m/>
    <m/>
    <m/>
    <m/>
    <n v="0"/>
    <m/>
    <m/>
    <n v="0"/>
    <n v="1000323.8"/>
    <n v="1013734"/>
    <m/>
    <m/>
    <m/>
    <m/>
    <n v="0"/>
    <m/>
    <m/>
    <n v="0"/>
    <m/>
    <m/>
    <m/>
    <m/>
    <m/>
    <m/>
    <n v="1000323.8"/>
    <n v="1013734"/>
  </r>
  <r>
    <x v="8"/>
    <x v="0"/>
    <s v="Northeast Mississippi Community College "/>
    <m/>
    <n v="176169"/>
    <x v="7"/>
    <n v="11324671"/>
    <n v="11977987"/>
    <m/>
    <m/>
    <n v="1463562"/>
    <n v="1460840"/>
    <n v="7929723"/>
    <m/>
    <n v="7929723"/>
    <n v="7901313"/>
    <m/>
    <n v="7901313"/>
    <n v="20717956"/>
    <n v="21340140"/>
    <m/>
    <m/>
    <m/>
    <m/>
    <n v="0"/>
    <m/>
    <m/>
    <n v="0"/>
    <m/>
    <m/>
    <m/>
    <m/>
    <m/>
    <m/>
    <n v="20717956"/>
    <n v="21340140"/>
  </r>
  <r>
    <x v="8"/>
    <x v="8"/>
    <s v="Special line items for education operations"/>
    <m/>
    <n v="176169"/>
    <x v="7"/>
    <m/>
    <m/>
    <m/>
    <m/>
    <m/>
    <m/>
    <m/>
    <m/>
    <n v="0"/>
    <m/>
    <m/>
    <n v="0"/>
    <n v="0"/>
    <n v="0"/>
    <m/>
    <m/>
    <m/>
    <m/>
    <n v="0"/>
    <m/>
    <m/>
    <n v="0"/>
    <m/>
    <m/>
    <m/>
    <m/>
    <m/>
    <m/>
    <n v="0"/>
    <n v="0"/>
  </r>
  <r>
    <x v="8"/>
    <x v="8"/>
    <s v="Post-Secondary Vocational Education"/>
    <m/>
    <n v="176169"/>
    <x v="7"/>
    <m/>
    <m/>
    <n v="1286768"/>
    <n v="1245413"/>
    <m/>
    <m/>
    <m/>
    <m/>
    <n v="0"/>
    <m/>
    <m/>
    <n v="0"/>
    <n v="1286768"/>
    <n v="1245413"/>
    <m/>
    <m/>
    <m/>
    <m/>
    <n v="0"/>
    <m/>
    <m/>
    <n v="0"/>
    <m/>
    <m/>
    <m/>
    <m/>
    <m/>
    <m/>
    <n v="1286768"/>
    <n v="1245413"/>
  </r>
  <r>
    <x v="8"/>
    <x v="0"/>
    <s v="Pearl River Community College "/>
    <m/>
    <n v="176239"/>
    <x v="7"/>
    <n v="14417385"/>
    <n v="15033468"/>
    <m/>
    <m/>
    <n v="3156587"/>
    <n v="3104587"/>
    <n v="13584101"/>
    <m/>
    <n v="13584101"/>
    <n v="13028088"/>
    <m/>
    <n v="13028088"/>
    <n v="31158073"/>
    <n v="31166143"/>
    <m/>
    <m/>
    <m/>
    <m/>
    <n v="0"/>
    <m/>
    <m/>
    <n v="0"/>
    <m/>
    <m/>
    <m/>
    <m/>
    <m/>
    <m/>
    <n v="31158073"/>
    <n v="31166143"/>
  </r>
  <r>
    <x v="8"/>
    <x v="8"/>
    <s v="Special line items for education operations"/>
    <m/>
    <n v="176239"/>
    <x v="7"/>
    <m/>
    <m/>
    <m/>
    <m/>
    <m/>
    <m/>
    <m/>
    <m/>
    <n v="0"/>
    <m/>
    <m/>
    <n v="0"/>
    <n v="0"/>
    <n v="0"/>
    <m/>
    <m/>
    <m/>
    <m/>
    <n v="0"/>
    <m/>
    <m/>
    <n v="0"/>
    <m/>
    <m/>
    <m/>
    <m/>
    <m/>
    <m/>
    <n v="0"/>
    <n v="0"/>
  </r>
  <r>
    <x v="8"/>
    <x v="8"/>
    <s v="Post-Secondary Vocational Education"/>
    <m/>
    <n v="176239"/>
    <x v="7"/>
    <m/>
    <m/>
    <n v="2090189.4"/>
    <n v="2207984.4"/>
    <m/>
    <m/>
    <m/>
    <m/>
    <n v="0"/>
    <m/>
    <m/>
    <n v="0"/>
    <n v="2090189.4"/>
    <n v="2207984.4"/>
    <m/>
    <m/>
    <m/>
    <m/>
    <n v="0"/>
    <m/>
    <m/>
    <n v="0"/>
    <m/>
    <m/>
    <m/>
    <m/>
    <m/>
    <m/>
    <n v="2090189.4"/>
    <n v="2207984.4"/>
  </r>
  <r>
    <x v="8"/>
    <x v="0"/>
    <s v="Coahoma Community College "/>
    <m/>
    <n v="175519"/>
    <x v="8"/>
    <n v="8271194"/>
    <n v="8019955"/>
    <m/>
    <m/>
    <n v="1911927"/>
    <n v="2049303"/>
    <n v="5349623"/>
    <m/>
    <n v="5349623"/>
    <n v="5013791"/>
    <m/>
    <n v="5013791"/>
    <n v="15532744"/>
    <n v="15083049"/>
    <m/>
    <m/>
    <m/>
    <m/>
    <n v="0"/>
    <m/>
    <m/>
    <n v="0"/>
    <m/>
    <m/>
    <m/>
    <m/>
    <m/>
    <m/>
    <n v="15532744"/>
    <n v="15083049"/>
  </r>
  <r>
    <x v="8"/>
    <x v="8"/>
    <s v="Special line items for education operations"/>
    <m/>
    <n v="175519"/>
    <x v="8"/>
    <m/>
    <m/>
    <m/>
    <m/>
    <m/>
    <m/>
    <m/>
    <m/>
    <n v="0"/>
    <m/>
    <m/>
    <n v="0"/>
    <n v="0"/>
    <n v="0"/>
    <m/>
    <m/>
    <m/>
    <m/>
    <n v="0"/>
    <m/>
    <m/>
    <n v="0"/>
    <m/>
    <m/>
    <m/>
    <m/>
    <m/>
    <m/>
    <n v="0"/>
    <n v="0"/>
  </r>
  <r>
    <x v="8"/>
    <x v="8"/>
    <s v="Post-Secondary Vocational Education"/>
    <m/>
    <n v="175519"/>
    <x v="8"/>
    <m/>
    <m/>
    <n v="1467402"/>
    <n v="1397411"/>
    <m/>
    <m/>
    <m/>
    <m/>
    <n v="0"/>
    <m/>
    <m/>
    <n v="0"/>
    <n v="1467402"/>
    <n v="1397411"/>
    <m/>
    <m/>
    <m/>
    <m/>
    <n v="0"/>
    <m/>
    <m/>
    <n v="0"/>
    <m/>
    <m/>
    <m/>
    <m/>
    <m/>
    <m/>
    <n v="1467402"/>
    <n v="1397411"/>
  </r>
  <r>
    <x v="8"/>
    <x v="0"/>
    <s v="Southwest Mississippi Community College  "/>
    <m/>
    <n v="176354"/>
    <x v="8"/>
    <n v="7779171"/>
    <n v="8154654"/>
    <m/>
    <m/>
    <n v="1169991"/>
    <n v="1191300"/>
    <n v="5276500"/>
    <m/>
    <n v="5276500"/>
    <n v="5831817"/>
    <m/>
    <n v="5831817"/>
    <n v="14225662"/>
    <n v="15177771"/>
    <m/>
    <m/>
    <m/>
    <m/>
    <n v="0"/>
    <m/>
    <m/>
    <n v="0"/>
    <m/>
    <m/>
    <m/>
    <m/>
    <m/>
    <m/>
    <n v="14225662"/>
    <n v="15177771"/>
  </r>
  <r>
    <x v="8"/>
    <x v="8"/>
    <s v="Special line items for education operations"/>
    <m/>
    <n v="176354"/>
    <x v="8"/>
    <m/>
    <m/>
    <m/>
    <m/>
    <m/>
    <m/>
    <m/>
    <m/>
    <n v="0"/>
    <m/>
    <m/>
    <n v="0"/>
    <n v="0"/>
    <n v="0"/>
    <m/>
    <m/>
    <m/>
    <m/>
    <n v="0"/>
    <m/>
    <m/>
    <n v="0"/>
    <m/>
    <m/>
    <m/>
    <m/>
    <m/>
    <m/>
    <n v="0"/>
    <n v="0"/>
  </r>
  <r>
    <x v="8"/>
    <x v="8"/>
    <s v="Post-Secondary Vocational Education"/>
    <m/>
    <n v="176354"/>
    <x v="8"/>
    <m/>
    <m/>
    <n v="1048395"/>
    <n v="1013945.66"/>
    <m/>
    <m/>
    <m/>
    <m/>
    <n v="0"/>
    <m/>
    <m/>
    <n v="0"/>
    <n v="1048395"/>
    <n v="1013945.66"/>
    <m/>
    <m/>
    <m/>
    <m/>
    <n v="0"/>
    <m/>
    <m/>
    <n v="0"/>
    <m/>
    <m/>
    <m/>
    <m/>
    <m/>
    <m/>
    <n v="1048395"/>
    <n v="1013945.66"/>
  </r>
  <r>
    <x v="8"/>
    <x v="10"/>
    <s v="Education special purpose funds — statewide units"/>
    <m/>
    <m/>
    <x v="12"/>
    <m/>
    <m/>
    <m/>
    <m/>
    <m/>
    <m/>
    <m/>
    <m/>
    <n v="0"/>
    <m/>
    <m/>
    <n v="0"/>
    <n v="0"/>
    <n v="0"/>
    <m/>
    <m/>
    <m/>
    <m/>
    <n v="0"/>
    <m/>
    <m/>
    <n v="0"/>
    <m/>
    <m/>
    <m/>
    <m/>
    <m/>
    <m/>
    <n v="0"/>
    <n v="0"/>
  </r>
  <r>
    <x v="8"/>
    <x v="13"/>
    <s v="Education special purpose funds — all other"/>
    <m/>
    <m/>
    <x v="12"/>
    <m/>
    <m/>
    <m/>
    <m/>
    <m/>
    <m/>
    <m/>
    <m/>
    <n v="0"/>
    <m/>
    <m/>
    <n v="0"/>
    <n v="0"/>
    <n v="0"/>
    <m/>
    <m/>
    <m/>
    <m/>
    <n v="0"/>
    <m/>
    <m/>
    <n v="0"/>
    <m/>
    <m/>
    <m/>
    <m/>
    <m/>
    <m/>
    <n v="0"/>
    <n v="0"/>
  </r>
  <r>
    <x v="8"/>
    <x v="13"/>
    <s v="Internet and Line Charges for community colleges"/>
    <m/>
    <m/>
    <x v="12"/>
    <m/>
    <m/>
    <n v="595938.78"/>
    <n v="649432.16"/>
    <m/>
    <m/>
    <m/>
    <m/>
    <n v="0"/>
    <m/>
    <m/>
    <n v="0"/>
    <n v="595938.78"/>
    <n v="649432.16"/>
    <m/>
    <m/>
    <m/>
    <m/>
    <n v="0"/>
    <m/>
    <m/>
    <n v="0"/>
    <m/>
    <m/>
    <m/>
    <m/>
    <m/>
    <m/>
    <n v="595938.78"/>
    <n v="649432.16"/>
  </r>
  <r>
    <x v="8"/>
    <x v="13"/>
    <s v=" "/>
    <m/>
    <m/>
    <x v="12"/>
    <m/>
    <m/>
    <m/>
    <m/>
    <m/>
    <m/>
    <m/>
    <m/>
    <n v="0"/>
    <m/>
    <m/>
    <n v="0"/>
    <n v="0"/>
    <n v="0"/>
    <m/>
    <m/>
    <m/>
    <m/>
    <n v="0"/>
    <m/>
    <m/>
    <n v="0"/>
    <m/>
    <m/>
    <m/>
    <m/>
    <m/>
    <m/>
    <n v="0"/>
    <n v="0"/>
  </r>
  <r>
    <x v="8"/>
    <x v="13"/>
    <s v="Greenville Higher Education Center (MDCC via MCCB)"/>
    <m/>
    <m/>
    <x v="12"/>
    <m/>
    <m/>
    <n v="542459"/>
    <n v="542459"/>
    <m/>
    <m/>
    <m/>
    <m/>
    <n v="0"/>
    <m/>
    <m/>
    <n v="0"/>
    <n v="542459"/>
    <n v="542459"/>
    <m/>
    <m/>
    <m/>
    <m/>
    <n v="0"/>
    <m/>
    <m/>
    <n v="0"/>
    <m/>
    <m/>
    <m/>
    <m/>
    <m/>
    <m/>
    <n v="542459"/>
    <n v="542459"/>
  </r>
  <r>
    <x v="8"/>
    <x v="14"/>
    <s v="Statewide System Operations"/>
    <m/>
    <m/>
    <x v="12"/>
    <m/>
    <m/>
    <m/>
    <m/>
    <m/>
    <m/>
    <m/>
    <m/>
    <n v="0"/>
    <m/>
    <m/>
    <n v="0"/>
    <n v="0"/>
    <n v="0"/>
    <m/>
    <m/>
    <m/>
    <m/>
    <n v="0"/>
    <m/>
    <m/>
    <n v="0"/>
    <m/>
    <m/>
    <m/>
    <m/>
    <m/>
    <m/>
    <n v="0"/>
    <n v="0"/>
  </r>
  <r>
    <x v="8"/>
    <x v="16"/>
    <s v="Two-year system(s), if any"/>
    <m/>
    <m/>
    <x v="12"/>
    <m/>
    <m/>
    <m/>
    <m/>
    <m/>
    <m/>
    <m/>
    <m/>
    <n v="0"/>
    <m/>
    <m/>
    <n v="0"/>
    <n v="0"/>
    <n v="0"/>
    <m/>
    <m/>
    <m/>
    <m/>
    <n v="0"/>
    <m/>
    <m/>
    <n v="0"/>
    <m/>
    <m/>
    <m/>
    <m/>
    <m/>
    <m/>
    <n v="0"/>
    <n v="0"/>
  </r>
  <r>
    <x v="8"/>
    <x v="16"/>
    <s v="MS Community College Board"/>
    <m/>
    <m/>
    <x v="12"/>
    <m/>
    <m/>
    <m/>
    <m/>
    <m/>
    <m/>
    <m/>
    <m/>
    <n v="0"/>
    <m/>
    <m/>
    <n v="0"/>
    <n v="0"/>
    <n v="0"/>
    <n v="2445396"/>
    <m/>
    <m/>
    <m/>
    <n v="0"/>
    <m/>
    <m/>
    <n v="0"/>
    <m/>
    <m/>
    <m/>
    <m/>
    <m/>
    <m/>
    <n v="2445396"/>
    <n v="0"/>
  </r>
  <r>
    <x v="9"/>
    <x v="0"/>
    <s v="North Carolina State University "/>
    <m/>
    <n v="199193"/>
    <x v="0"/>
    <n v="350081386"/>
    <n v="348292433"/>
    <m/>
    <m/>
    <m/>
    <m/>
    <n v="264635966"/>
    <m/>
    <n v="264635966"/>
    <n v="275065202"/>
    <m/>
    <n v="275065202"/>
    <n v="614717352"/>
    <n v="623357635"/>
    <m/>
    <m/>
    <m/>
    <m/>
    <n v="0"/>
    <m/>
    <m/>
    <n v="0"/>
    <m/>
    <m/>
    <m/>
    <m/>
    <m/>
    <m/>
    <n v="614717352"/>
    <n v="623357635"/>
  </r>
  <r>
    <x v="9"/>
    <x v="1"/>
    <s v="Vet Med School"/>
    <m/>
    <n v="199193"/>
    <x v="0"/>
    <m/>
    <m/>
    <m/>
    <m/>
    <m/>
    <m/>
    <n v="0"/>
    <m/>
    <n v="0"/>
    <m/>
    <m/>
    <n v="0"/>
    <n v="0"/>
    <n v="0"/>
    <m/>
    <m/>
    <m/>
    <m/>
    <n v="0"/>
    <m/>
    <m/>
    <n v="0"/>
    <n v="33024370"/>
    <n v="33229380"/>
    <n v="5061928"/>
    <m/>
    <n v="5820609"/>
    <m/>
    <n v="38086298"/>
    <n v="39049989"/>
  </r>
  <r>
    <x v="9"/>
    <x v="5"/>
    <s v="Agricultural cooperative extension"/>
    <m/>
    <n v="199193"/>
    <x v="0"/>
    <m/>
    <m/>
    <n v="39859680"/>
    <n v="38552799"/>
    <m/>
    <m/>
    <m/>
    <m/>
    <n v="0"/>
    <m/>
    <m/>
    <n v="0"/>
    <n v="39859680"/>
    <n v="38552799"/>
    <m/>
    <m/>
    <m/>
    <m/>
    <n v="0"/>
    <m/>
    <m/>
    <n v="0"/>
    <m/>
    <m/>
    <m/>
    <m/>
    <m/>
    <m/>
    <n v="39859680"/>
    <n v="38552799"/>
  </r>
  <r>
    <x v="9"/>
    <x v="6"/>
    <s v="Agricultural experiment stations"/>
    <m/>
    <n v="199193"/>
    <x v="0"/>
    <m/>
    <m/>
    <m/>
    <m/>
    <m/>
    <m/>
    <n v="0"/>
    <m/>
    <n v="0"/>
    <m/>
    <m/>
    <n v="0"/>
    <n v="0"/>
    <n v="0"/>
    <m/>
    <m/>
    <m/>
    <m/>
    <n v="0"/>
    <m/>
    <m/>
    <n v="0"/>
    <m/>
    <m/>
    <m/>
    <m/>
    <m/>
    <m/>
    <n v="0"/>
    <n v="0"/>
  </r>
  <r>
    <x v="9"/>
    <x v="6"/>
    <s v="Agricultural Research Service"/>
    <m/>
    <n v="199193"/>
    <x v="0"/>
    <m/>
    <m/>
    <n v="54926026"/>
    <n v="53238851"/>
    <m/>
    <m/>
    <m/>
    <m/>
    <n v="0"/>
    <m/>
    <m/>
    <n v="0"/>
    <n v="54926026"/>
    <n v="53238851"/>
    <m/>
    <m/>
    <m/>
    <m/>
    <n v="0"/>
    <m/>
    <m/>
    <n v="0"/>
    <m/>
    <m/>
    <m/>
    <m/>
    <m/>
    <m/>
    <n v="54926026"/>
    <n v="53238851"/>
  </r>
  <r>
    <x v="9"/>
    <x v="0"/>
    <s v="University of North Carolina at Chapel Hill "/>
    <m/>
    <n v="199120"/>
    <x v="0"/>
    <n v="274884226"/>
    <n v="263674548"/>
    <m/>
    <m/>
    <m/>
    <m/>
    <n v="243895327"/>
    <m/>
    <n v="243895327"/>
    <n v="267312623"/>
    <m/>
    <n v="267312623"/>
    <n v="518779553"/>
    <n v="530987171"/>
    <m/>
    <m/>
    <m/>
    <m/>
    <n v="0"/>
    <m/>
    <m/>
    <n v="0"/>
    <m/>
    <m/>
    <m/>
    <m/>
    <m/>
    <m/>
    <n v="518779553"/>
    <n v="530987171"/>
  </r>
  <r>
    <x v="9"/>
    <x v="1"/>
    <s v="Health professions education"/>
    <m/>
    <n v="199120"/>
    <x v="0"/>
    <m/>
    <m/>
    <m/>
    <m/>
    <m/>
    <m/>
    <n v="0"/>
    <m/>
    <n v="0"/>
    <m/>
    <m/>
    <n v="0"/>
    <n v="0"/>
    <n v="0"/>
    <m/>
    <m/>
    <m/>
    <m/>
    <n v="0"/>
    <m/>
    <m/>
    <n v="0"/>
    <m/>
    <m/>
    <m/>
    <m/>
    <m/>
    <m/>
    <n v="0"/>
    <n v="0"/>
  </r>
  <r>
    <x v="9"/>
    <x v="1"/>
    <s v="Medical School"/>
    <m/>
    <n v="199120"/>
    <x v="0"/>
    <m/>
    <m/>
    <m/>
    <m/>
    <m/>
    <m/>
    <n v="0"/>
    <m/>
    <n v="0"/>
    <m/>
    <m/>
    <n v="0"/>
    <n v="0"/>
    <n v="0"/>
    <m/>
    <m/>
    <m/>
    <m/>
    <n v="0"/>
    <m/>
    <m/>
    <n v="0"/>
    <n v="197324223"/>
    <n v="181460003"/>
    <n v="84937798"/>
    <m/>
    <n v="100692517"/>
    <m/>
    <n v="282262021"/>
    <n v="282152520"/>
  </r>
  <r>
    <x v="9"/>
    <x v="0"/>
    <s v="University of North Carolina at Greensboro"/>
    <m/>
    <n v="199148"/>
    <x v="0"/>
    <n v="154250591"/>
    <n v="148882530"/>
    <m/>
    <m/>
    <m/>
    <m/>
    <n v="83061190"/>
    <m/>
    <n v="83061190"/>
    <n v="85067369"/>
    <m/>
    <n v="85067369"/>
    <n v="237311781"/>
    <n v="233949899"/>
    <m/>
    <m/>
    <m/>
    <m/>
    <n v="0"/>
    <m/>
    <m/>
    <n v="0"/>
    <m/>
    <m/>
    <m/>
    <m/>
    <m/>
    <m/>
    <n v="237311781"/>
    <n v="233949899"/>
  </r>
  <r>
    <x v="9"/>
    <x v="0"/>
    <s v="East Carolina University "/>
    <m/>
    <n v="198464"/>
    <x v="1"/>
    <n v="219041117"/>
    <n v="212466345"/>
    <m/>
    <m/>
    <m/>
    <m/>
    <n v="139423646.83000001"/>
    <m/>
    <n v="139423646.83000001"/>
    <n v="155263099"/>
    <m/>
    <n v="155263099"/>
    <n v="358464763.83000004"/>
    <n v="367729444"/>
    <m/>
    <m/>
    <m/>
    <m/>
    <n v="0"/>
    <m/>
    <m/>
    <n v="0"/>
    <m/>
    <m/>
    <m/>
    <m/>
    <m/>
    <m/>
    <n v="358464763.83000004"/>
    <n v="367729444"/>
  </r>
  <r>
    <x v="9"/>
    <x v="1"/>
    <s v="Medical School"/>
    <m/>
    <n v="198464"/>
    <x v="1"/>
    <m/>
    <m/>
    <m/>
    <m/>
    <m/>
    <m/>
    <n v="0"/>
    <m/>
    <n v="0"/>
    <m/>
    <m/>
    <n v="0"/>
    <n v="0"/>
    <n v="0"/>
    <m/>
    <m/>
    <m/>
    <m/>
    <n v="0"/>
    <m/>
    <m/>
    <n v="0"/>
    <n v="64792309"/>
    <n v="65209669"/>
    <n v="6309963"/>
    <m/>
    <n v="8364718"/>
    <m/>
    <n v="71102272"/>
    <n v="73574387"/>
  </r>
  <r>
    <x v="9"/>
    <x v="0"/>
    <s v="University of North Carolina at Charlotte"/>
    <s v="Met the criteria for Four-Year 1 in 2012-13 and 2013-14."/>
    <n v="199139"/>
    <x v="1"/>
    <n v="191397836"/>
    <n v="193649824"/>
    <m/>
    <m/>
    <m/>
    <m/>
    <n v="116128651"/>
    <m/>
    <n v="116128651"/>
    <n v="120457064"/>
    <m/>
    <n v="120457064"/>
    <n v="307526487"/>
    <n v="314106888"/>
    <m/>
    <m/>
    <m/>
    <m/>
    <n v="0"/>
    <m/>
    <m/>
    <n v="0"/>
    <m/>
    <m/>
    <m/>
    <m/>
    <m/>
    <m/>
    <n v="307526487"/>
    <n v="314106888"/>
  </r>
  <r>
    <x v="9"/>
    <x v="0"/>
    <s v="Appalachian State University "/>
    <m/>
    <n v="197869"/>
    <x v="2"/>
    <n v="127853035"/>
    <n v="128414259"/>
    <m/>
    <m/>
    <m/>
    <m/>
    <n v="78199334"/>
    <m/>
    <n v="78199334"/>
    <n v="83543651"/>
    <m/>
    <n v="83543651"/>
    <n v="206052369"/>
    <n v="211957910"/>
    <m/>
    <m/>
    <m/>
    <m/>
    <n v="0"/>
    <m/>
    <m/>
    <n v="0"/>
    <m/>
    <m/>
    <m/>
    <m/>
    <m/>
    <m/>
    <n v="206052369"/>
    <n v="211957910"/>
  </r>
  <r>
    <x v="9"/>
    <x v="0"/>
    <s v="North Carolina Agricultural &amp; Technical State University"/>
    <m/>
    <n v="199102"/>
    <x v="2"/>
    <n v="97475794"/>
    <n v="93547596"/>
    <m/>
    <m/>
    <m/>
    <m/>
    <n v="52499277"/>
    <m/>
    <n v="52499277"/>
    <n v="54507295"/>
    <m/>
    <n v="54507295"/>
    <n v="149975071"/>
    <n v="148054891"/>
    <m/>
    <m/>
    <m/>
    <m/>
    <n v="0"/>
    <m/>
    <m/>
    <n v="0"/>
    <m/>
    <m/>
    <m/>
    <m/>
    <m/>
    <m/>
    <n v="149975071"/>
    <n v="148054891"/>
  </r>
  <r>
    <x v="9"/>
    <x v="0"/>
    <s v="North Carolina Central University "/>
    <m/>
    <n v="199157"/>
    <x v="2"/>
    <n v="84124964"/>
    <n v="79743755"/>
    <m/>
    <m/>
    <m/>
    <m/>
    <n v="39234563"/>
    <m/>
    <n v="39234563"/>
    <n v="43604160"/>
    <m/>
    <n v="43604160"/>
    <n v="123359527"/>
    <n v="123347915"/>
    <m/>
    <m/>
    <m/>
    <m/>
    <n v="0"/>
    <m/>
    <m/>
    <n v="0"/>
    <m/>
    <m/>
    <m/>
    <m/>
    <m/>
    <m/>
    <n v="123359527"/>
    <n v="123347915"/>
  </r>
  <r>
    <x v="9"/>
    <x v="0"/>
    <s v="University of North Carolina at Wilmington"/>
    <m/>
    <n v="199218"/>
    <x v="2"/>
    <n v="96161391"/>
    <n v="98184642"/>
    <m/>
    <m/>
    <m/>
    <m/>
    <n v="71846023"/>
    <m/>
    <n v="71846023"/>
    <n v="73089020"/>
    <m/>
    <n v="73089020"/>
    <n v="168007414"/>
    <n v="171273662"/>
    <m/>
    <m/>
    <m/>
    <m/>
    <n v="0"/>
    <m/>
    <m/>
    <n v="0"/>
    <m/>
    <m/>
    <m/>
    <m/>
    <m/>
    <m/>
    <n v="168007414"/>
    <n v="171273662"/>
  </r>
  <r>
    <x v="9"/>
    <x v="0"/>
    <s v="Western Carolina University "/>
    <m/>
    <n v="200004"/>
    <x v="2"/>
    <n v="82755540"/>
    <n v="83322818"/>
    <m/>
    <m/>
    <m/>
    <m/>
    <n v="34846835"/>
    <m/>
    <n v="34846835"/>
    <n v="39510007"/>
    <m/>
    <n v="39510007"/>
    <n v="117602375"/>
    <n v="122832825"/>
    <m/>
    <m/>
    <m/>
    <m/>
    <n v="0"/>
    <m/>
    <m/>
    <n v="0"/>
    <m/>
    <m/>
    <m/>
    <m/>
    <m/>
    <m/>
    <n v="117602375"/>
    <n v="122832825"/>
  </r>
  <r>
    <x v="9"/>
    <x v="0"/>
    <s v="Fayetteville State University "/>
    <m/>
    <n v="198543"/>
    <x v="3"/>
    <n v="49347987"/>
    <n v="48005712"/>
    <m/>
    <m/>
    <m/>
    <m/>
    <n v="15591839"/>
    <m/>
    <n v="15591839"/>
    <n v="18720576"/>
    <m/>
    <n v="18720576"/>
    <n v="64939826"/>
    <n v="66726288"/>
    <m/>
    <m/>
    <m/>
    <m/>
    <n v="0"/>
    <m/>
    <m/>
    <n v="0"/>
    <m/>
    <m/>
    <m/>
    <m/>
    <m/>
    <m/>
    <n v="64939826"/>
    <n v="66726288"/>
  </r>
  <r>
    <x v="9"/>
    <x v="0"/>
    <s v="University of North Carolina at Pembroke"/>
    <m/>
    <n v="199281"/>
    <x v="4"/>
    <n v="54398160"/>
    <n v="52205252"/>
    <m/>
    <m/>
    <m/>
    <m/>
    <n v="17759849"/>
    <m/>
    <n v="17759849"/>
    <n v="23046121"/>
    <m/>
    <n v="23046121"/>
    <n v="72158009"/>
    <n v="75251373"/>
    <m/>
    <m/>
    <m/>
    <m/>
    <n v="0"/>
    <m/>
    <m/>
    <n v="0"/>
    <m/>
    <m/>
    <m/>
    <m/>
    <m/>
    <m/>
    <n v="72158009"/>
    <n v="75251373"/>
  </r>
  <r>
    <x v="9"/>
    <x v="0"/>
    <s v="Winston-Salem State University "/>
    <m/>
    <n v="199999"/>
    <x v="4"/>
    <n v="68860547"/>
    <n v="65360852"/>
    <m/>
    <m/>
    <m/>
    <m/>
    <n v="19698007"/>
    <m/>
    <n v="19698007"/>
    <n v="22699096"/>
    <m/>
    <n v="22699096"/>
    <n v="88558554"/>
    <n v="88059948"/>
    <m/>
    <m/>
    <m/>
    <m/>
    <n v="0"/>
    <m/>
    <m/>
    <n v="0"/>
    <m/>
    <m/>
    <m/>
    <m/>
    <m/>
    <m/>
    <n v="88558554"/>
    <n v="88059948"/>
  </r>
  <r>
    <x v="9"/>
    <x v="0"/>
    <s v="Elizabeth City State University "/>
    <s v="Met the criteria for Four-Year 5 in 2013-14."/>
    <n v="198507"/>
    <x v="5"/>
    <n v="35580077"/>
    <n v="32889636"/>
    <m/>
    <m/>
    <m/>
    <m/>
    <n v="10387154"/>
    <m/>
    <n v="10387154"/>
    <n v="9291108"/>
    <m/>
    <n v="9291108"/>
    <n v="45967231"/>
    <n v="42180744"/>
    <m/>
    <m/>
    <m/>
    <m/>
    <n v="0"/>
    <m/>
    <m/>
    <n v="0"/>
    <m/>
    <m/>
    <m/>
    <m/>
    <m/>
    <m/>
    <n v="45967231"/>
    <n v="42180744"/>
  </r>
  <r>
    <x v="9"/>
    <x v="0"/>
    <s v="University of North Carolina at Asheville"/>
    <m/>
    <n v="199111"/>
    <x v="5"/>
    <n v="36991363"/>
    <n v="36974372"/>
    <m/>
    <m/>
    <m/>
    <m/>
    <n v="16588779"/>
    <m/>
    <n v="16588779"/>
    <n v="17969804"/>
    <m/>
    <n v="17969804"/>
    <n v="53580142"/>
    <n v="54944176"/>
    <m/>
    <m/>
    <m/>
    <m/>
    <n v="0"/>
    <m/>
    <m/>
    <n v="0"/>
    <m/>
    <m/>
    <m/>
    <m/>
    <m/>
    <m/>
    <n v="53580142"/>
    <n v="54944176"/>
  </r>
  <r>
    <x v="9"/>
    <x v="9"/>
    <s v="North Carolina School of the Arts"/>
    <m/>
    <n v="199184"/>
    <x v="11"/>
    <n v="27154238"/>
    <n v="31919104"/>
    <m/>
    <m/>
    <m/>
    <m/>
    <m/>
    <m/>
    <n v="0"/>
    <m/>
    <m/>
    <n v="0"/>
    <n v="27154238"/>
    <n v="31919104"/>
    <n v="27154238"/>
    <n v="31919104"/>
    <n v="11027908"/>
    <m/>
    <n v="11027908"/>
    <n v="12263571"/>
    <m/>
    <n v="12263571"/>
    <m/>
    <m/>
    <m/>
    <m/>
    <m/>
    <m/>
    <n v="65336384"/>
    <n v="76101779"/>
  </r>
  <r>
    <x v="9"/>
    <x v="10"/>
    <s v="Education special purpose funds- statewide units"/>
    <m/>
    <m/>
    <x v="12"/>
    <m/>
    <m/>
    <m/>
    <m/>
    <m/>
    <m/>
    <m/>
    <m/>
    <n v="0"/>
    <m/>
    <m/>
    <n v="0"/>
    <n v="0"/>
    <n v="0"/>
    <m/>
    <m/>
    <m/>
    <m/>
    <n v="0"/>
    <m/>
    <m/>
    <n v="0"/>
    <m/>
    <m/>
    <m/>
    <m/>
    <m/>
    <m/>
    <n v="0"/>
    <n v="0"/>
  </r>
  <r>
    <x v="9"/>
    <x v="42"/>
    <s v="Community or public service units"/>
    <m/>
    <m/>
    <x v="12"/>
    <m/>
    <m/>
    <m/>
    <m/>
    <m/>
    <m/>
    <m/>
    <m/>
    <n v="0"/>
    <m/>
    <m/>
    <n v="0"/>
    <n v="0"/>
    <n v="0"/>
    <m/>
    <m/>
    <m/>
    <m/>
    <n v="0"/>
    <m/>
    <m/>
    <n v="0"/>
    <m/>
    <m/>
    <m/>
    <m/>
    <m/>
    <m/>
    <n v="0"/>
    <n v="0"/>
  </r>
  <r>
    <x v="9"/>
    <x v="42"/>
    <s v="Statewide Educational TV"/>
    <m/>
    <m/>
    <x v="12"/>
    <m/>
    <m/>
    <n v="10713214"/>
    <n v="9018264"/>
    <m/>
    <m/>
    <m/>
    <m/>
    <n v="0"/>
    <m/>
    <m/>
    <n v="0"/>
    <n v="10713214"/>
    <n v="9018264"/>
    <m/>
    <m/>
    <m/>
    <m/>
    <n v="0"/>
    <m/>
    <m/>
    <n v="0"/>
    <m/>
    <m/>
    <m/>
    <m/>
    <m/>
    <m/>
    <n v="10713214"/>
    <n v="9018264"/>
  </r>
  <r>
    <x v="9"/>
    <x v="42"/>
    <s v="Univ Syst Community Service Programs"/>
    <m/>
    <m/>
    <x v="12"/>
    <m/>
    <m/>
    <n v="1157862"/>
    <n v="1522346"/>
    <m/>
    <m/>
    <m/>
    <m/>
    <n v="0"/>
    <m/>
    <m/>
    <n v="0"/>
    <n v="1157862"/>
    <n v="1522346"/>
    <m/>
    <m/>
    <m/>
    <m/>
    <n v="0"/>
    <m/>
    <m/>
    <n v="0"/>
    <m/>
    <m/>
    <m/>
    <m/>
    <m/>
    <m/>
    <n v="1157862"/>
    <n v="1522346"/>
  </r>
  <r>
    <x v="9"/>
    <x v="42"/>
    <s v="Univ Syst Educational Computing Service"/>
    <m/>
    <m/>
    <x v="12"/>
    <m/>
    <m/>
    <n v="0"/>
    <m/>
    <m/>
    <m/>
    <m/>
    <m/>
    <n v="0"/>
    <m/>
    <m/>
    <n v="0"/>
    <n v="0"/>
    <n v="0"/>
    <m/>
    <m/>
    <m/>
    <m/>
    <n v="0"/>
    <m/>
    <m/>
    <n v="0"/>
    <m/>
    <m/>
    <m/>
    <m/>
    <m/>
    <m/>
    <n v="0"/>
    <n v="0"/>
  </r>
  <r>
    <x v="9"/>
    <x v="42"/>
    <s v="UNC Hospitals"/>
    <m/>
    <m/>
    <x v="12"/>
    <m/>
    <m/>
    <m/>
    <m/>
    <m/>
    <m/>
    <m/>
    <m/>
    <n v="0"/>
    <m/>
    <m/>
    <n v="0"/>
    <n v="0"/>
    <n v="0"/>
    <n v="0"/>
    <m/>
    <m/>
    <m/>
    <n v="0"/>
    <m/>
    <m/>
    <n v="0"/>
    <m/>
    <m/>
    <m/>
    <m/>
    <m/>
    <m/>
    <n v="0"/>
    <n v="0"/>
  </r>
  <r>
    <x v="9"/>
    <x v="42"/>
    <s v="UNC Area Health Education Centers Program"/>
    <m/>
    <m/>
    <x v="12"/>
    <m/>
    <m/>
    <m/>
    <m/>
    <m/>
    <m/>
    <m/>
    <m/>
    <n v="0"/>
    <m/>
    <m/>
    <n v="0"/>
    <n v="0"/>
    <n v="0"/>
    <n v="42418346"/>
    <n v="41580395"/>
    <m/>
    <m/>
    <n v="0"/>
    <m/>
    <m/>
    <n v="0"/>
    <m/>
    <m/>
    <m/>
    <m/>
    <m/>
    <m/>
    <n v="42418346"/>
    <n v="41580395"/>
  </r>
  <r>
    <x v="9"/>
    <x v="11"/>
    <s v="Research centers/institutes"/>
    <m/>
    <m/>
    <x v="12"/>
    <m/>
    <m/>
    <m/>
    <m/>
    <m/>
    <m/>
    <m/>
    <m/>
    <n v="0"/>
    <m/>
    <m/>
    <n v="0"/>
    <n v="0"/>
    <n v="0"/>
    <m/>
    <m/>
    <m/>
    <m/>
    <n v="0"/>
    <m/>
    <m/>
    <n v="0"/>
    <m/>
    <m/>
    <m/>
    <m/>
    <m/>
    <m/>
    <n v="0"/>
    <n v="0"/>
  </r>
  <r>
    <x v="9"/>
    <x v="11"/>
    <s v="Microelectronic Computing Center of North Carolina"/>
    <m/>
    <m/>
    <x v="12"/>
    <m/>
    <m/>
    <n v="5000000"/>
    <n v="4900000"/>
    <m/>
    <m/>
    <m/>
    <m/>
    <n v="0"/>
    <m/>
    <m/>
    <n v="0"/>
    <n v="5000000"/>
    <n v="4900000"/>
    <m/>
    <m/>
    <m/>
    <m/>
    <n v="0"/>
    <m/>
    <m/>
    <n v="0"/>
    <m/>
    <m/>
    <m/>
    <m/>
    <m/>
    <m/>
    <n v="5000000"/>
    <n v="4900000"/>
  </r>
  <r>
    <x v="9"/>
    <x v="13"/>
    <s v="Education special purpose funds- all other"/>
    <m/>
    <m/>
    <x v="12"/>
    <m/>
    <m/>
    <m/>
    <m/>
    <m/>
    <m/>
    <m/>
    <m/>
    <n v="0"/>
    <m/>
    <m/>
    <n v="0"/>
    <n v="0"/>
    <n v="0"/>
    <m/>
    <m/>
    <m/>
    <m/>
    <n v="0"/>
    <m/>
    <m/>
    <n v="0"/>
    <m/>
    <m/>
    <m/>
    <m/>
    <m/>
    <m/>
    <n v="0"/>
    <n v="0"/>
  </r>
  <r>
    <x v="9"/>
    <x v="13"/>
    <s v="UNC Reserve for Future Allocation"/>
    <m/>
    <m/>
    <x v="12"/>
    <m/>
    <m/>
    <n v="0"/>
    <n v="19219504"/>
    <m/>
    <m/>
    <m/>
    <m/>
    <n v="0"/>
    <m/>
    <m/>
    <n v="0"/>
    <n v="0"/>
    <n v="19219504"/>
    <m/>
    <m/>
    <m/>
    <m/>
    <n v="0"/>
    <m/>
    <m/>
    <n v="0"/>
    <m/>
    <m/>
    <m/>
    <m/>
    <m/>
    <m/>
    <n v="0"/>
    <n v="19219504"/>
  </r>
  <r>
    <x v="9"/>
    <x v="14"/>
    <s v="Statewide System Operations"/>
    <m/>
    <m/>
    <x v="12"/>
    <m/>
    <m/>
    <m/>
    <m/>
    <m/>
    <m/>
    <m/>
    <m/>
    <n v="0"/>
    <m/>
    <m/>
    <n v="0"/>
    <n v="0"/>
    <n v="0"/>
    <m/>
    <m/>
    <m/>
    <m/>
    <n v="0"/>
    <m/>
    <m/>
    <n v="0"/>
    <m/>
    <m/>
    <m/>
    <m/>
    <m/>
    <m/>
    <n v="0"/>
    <n v="0"/>
  </r>
  <r>
    <x v="9"/>
    <x v="15"/>
    <s v="Colleges and universities"/>
    <m/>
    <m/>
    <x v="12"/>
    <m/>
    <m/>
    <m/>
    <m/>
    <m/>
    <m/>
    <m/>
    <m/>
    <n v="0"/>
    <m/>
    <m/>
    <n v="0"/>
    <n v="0"/>
    <n v="0"/>
    <m/>
    <m/>
    <m/>
    <m/>
    <n v="0"/>
    <m/>
    <m/>
    <n v="0"/>
    <m/>
    <m/>
    <m/>
    <m/>
    <m/>
    <m/>
    <n v="0"/>
    <n v="0"/>
  </r>
  <r>
    <x v="9"/>
    <x v="15"/>
    <s v="UNC General Administration"/>
    <m/>
    <m/>
    <x v="12"/>
    <m/>
    <m/>
    <m/>
    <m/>
    <m/>
    <m/>
    <m/>
    <m/>
    <n v="0"/>
    <m/>
    <m/>
    <n v="0"/>
    <n v="0"/>
    <n v="0"/>
    <n v="18166571"/>
    <n v="21949576"/>
    <m/>
    <m/>
    <n v="0"/>
    <m/>
    <m/>
    <n v="0"/>
    <m/>
    <m/>
    <m/>
    <m/>
    <m/>
    <m/>
    <n v="18166571"/>
    <n v="21949576"/>
  </r>
  <r>
    <x v="9"/>
    <x v="17"/>
    <s v="National or regional associations, compacts or consortia"/>
    <m/>
    <m/>
    <x v="12"/>
    <m/>
    <m/>
    <m/>
    <m/>
    <m/>
    <m/>
    <m/>
    <m/>
    <n v="0"/>
    <m/>
    <m/>
    <n v="0"/>
    <n v="0"/>
    <n v="0"/>
    <m/>
    <m/>
    <m/>
    <m/>
    <n v="0"/>
    <m/>
    <m/>
    <n v="0"/>
    <m/>
    <m/>
    <m/>
    <m/>
    <m/>
    <m/>
    <n v="0"/>
    <n v="0"/>
  </r>
  <r>
    <x v="9"/>
    <x v="17"/>
    <s v="SREB Membership"/>
    <m/>
    <m/>
    <x v="12"/>
    <m/>
    <m/>
    <m/>
    <m/>
    <m/>
    <m/>
    <m/>
    <m/>
    <n v="0"/>
    <m/>
    <m/>
    <n v="0"/>
    <n v="0"/>
    <n v="0"/>
    <n v="193550"/>
    <n v="204997"/>
    <m/>
    <m/>
    <n v="0"/>
    <m/>
    <m/>
    <n v="0"/>
    <m/>
    <m/>
    <m/>
    <m/>
    <m/>
    <m/>
    <n v="193550"/>
    <n v="204997"/>
  </r>
  <r>
    <x v="9"/>
    <x v="18"/>
    <s v="Adm. of Statewide Student Aid Progs. (incldng centralized guaranteed student loans)"/>
    <m/>
    <m/>
    <x v="12"/>
    <m/>
    <m/>
    <m/>
    <m/>
    <m/>
    <m/>
    <m/>
    <m/>
    <n v="0"/>
    <m/>
    <m/>
    <n v="0"/>
    <n v="0"/>
    <n v="0"/>
    <m/>
    <m/>
    <m/>
    <m/>
    <n v="0"/>
    <m/>
    <m/>
    <n v="0"/>
    <m/>
    <m/>
    <m/>
    <m/>
    <m/>
    <m/>
    <n v="0"/>
    <n v="0"/>
  </r>
  <r>
    <x v="9"/>
    <x v="19"/>
    <s v="State Support to Private Colleges Other Than Student Aid"/>
    <m/>
    <m/>
    <x v="12"/>
    <m/>
    <m/>
    <m/>
    <m/>
    <m/>
    <m/>
    <m/>
    <m/>
    <n v="0"/>
    <m/>
    <m/>
    <n v="0"/>
    <n v="0"/>
    <n v="0"/>
    <m/>
    <m/>
    <m/>
    <m/>
    <n v="0"/>
    <m/>
    <m/>
    <n v="0"/>
    <m/>
    <m/>
    <m/>
    <m/>
    <m/>
    <m/>
    <n v="0"/>
    <n v="0"/>
  </r>
  <r>
    <x v="9"/>
    <x v="19"/>
    <s v="Capitation pymnts &amp; fnncl ad for rsdnt stdnts nrlld at prvt md schls"/>
    <m/>
    <m/>
    <x v="12"/>
    <m/>
    <m/>
    <m/>
    <m/>
    <m/>
    <m/>
    <m/>
    <m/>
    <n v="0"/>
    <m/>
    <m/>
    <n v="0"/>
    <n v="0"/>
    <n v="0"/>
    <m/>
    <m/>
    <m/>
    <m/>
    <n v="0"/>
    <m/>
    <m/>
    <n v="0"/>
    <m/>
    <m/>
    <m/>
    <m/>
    <m/>
    <m/>
    <n v="0"/>
    <n v="0"/>
  </r>
  <r>
    <x v="9"/>
    <x v="20"/>
    <s v="Contract Education Programs"/>
    <m/>
    <m/>
    <x v="12"/>
    <m/>
    <m/>
    <m/>
    <m/>
    <m/>
    <m/>
    <m/>
    <m/>
    <n v="0"/>
    <m/>
    <m/>
    <n v="0"/>
    <n v="0"/>
    <n v="0"/>
    <m/>
    <m/>
    <m/>
    <m/>
    <n v="0"/>
    <m/>
    <m/>
    <n v="0"/>
    <m/>
    <m/>
    <m/>
    <m/>
    <m/>
    <m/>
    <n v="0"/>
    <n v="0"/>
  </r>
  <r>
    <x v="9"/>
    <x v="21"/>
    <s v="SREB contract program with private colleges"/>
    <m/>
    <m/>
    <x v="12"/>
    <m/>
    <m/>
    <m/>
    <m/>
    <m/>
    <m/>
    <m/>
    <m/>
    <n v="0"/>
    <m/>
    <m/>
    <n v="0"/>
    <n v="0"/>
    <n v="0"/>
    <m/>
    <m/>
    <m/>
    <m/>
    <n v="0"/>
    <m/>
    <m/>
    <n v="0"/>
    <m/>
    <m/>
    <m/>
    <m/>
    <m/>
    <m/>
    <n v="0"/>
    <n v="0"/>
  </r>
  <r>
    <x v="9"/>
    <x v="21"/>
    <s v="Meharry Medical College (Dentistry, Medicine, Special Aid)"/>
    <m/>
    <m/>
    <x v="12"/>
    <m/>
    <m/>
    <m/>
    <m/>
    <m/>
    <m/>
    <m/>
    <m/>
    <n v="0"/>
    <m/>
    <m/>
    <n v="0"/>
    <n v="0"/>
    <n v="0"/>
    <m/>
    <m/>
    <m/>
    <m/>
    <n v="0"/>
    <m/>
    <m/>
    <n v="0"/>
    <m/>
    <m/>
    <m/>
    <m/>
    <m/>
    <m/>
    <n v="0"/>
    <n v="0"/>
  </r>
  <r>
    <x v="9"/>
    <x v="21"/>
    <s v="Southern College of Optometry"/>
    <m/>
    <m/>
    <x v="12"/>
    <m/>
    <m/>
    <m/>
    <m/>
    <m/>
    <m/>
    <m/>
    <m/>
    <n v="0"/>
    <m/>
    <m/>
    <n v="0"/>
    <n v="0"/>
    <n v="0"/>
    <n v="0"/>
    <m/>
    <m/>
    <m/>
    <n v="0"/>
    <m/>
    <m/>
    <n v="0"/>
    <m/>
    <m/>
    <m/>
    <m/>
    <m/>
    <m/>
    <n v="0"/>
    <n v="0"/>
  </r>
  <r>
    <x v="9"/>
    <x v="22"/>
    <s v="SREB contract program with public colleges"/>
    <m/>
    <m/>
    <x v="12"/>
    <m/>
    <m/>
    <m/>
    <m/>
    <m/>
    <m/>
    <m/>
    <m/>
    <n v="0"/>
    <m/>
    <m/>
    <n v="0"/>
    <n v="0"/>
    <n v="0"/>
    <n v="0"/>
    <m/>
    <m/>
    <m/>
    <n v="0"/>
    <m/>
    <m/>
    <n v="0"/>
    <m/>
    <m/>
    <m/>
    <m/>
    <m/>
    <m/>
    <n v="0"/>
    <n v="0"/>
  </r>
  <r>
    <x v="9"/>
    <x v="22"/>
    <s v="University of Houston (Optometry)"/>
    <m/>
    <m/>
    <x v="12"/>
    <m/>
    <m/>
    <m/>
    <m/>
    <m/>
    <m/>
    <m/>
    <m/>
    <n v="0"/>
    <m/>
    <m/>
    <n v="0"/>
    <n v="0"/>
    <n v="0"/>
    <m/>
    <m/>
    <m/>
    <m/>
    <n v="0"/>
    <m/>
    <m/>
    <n v="0"/>
    <m/>
    <m/>
    <m/>
    <m/>
    <m/>
    <m/>
    <n v="0"/>
    <n v="0"/>
  </r>
  <r>
    <x v="9"/>
    <x v="22"/>
    <s v="University of Alabama at Birmingham (Optometry)"/>
    <m/>
    <m/>
    <x v="12"/>
    <m/>
    <m/>
    <m/>
    <m/>
    <m/>
    <m/>
    <m/>
    <m/>
    <n v="0"/>
    <m/>
    <m/>
    <n v="0"/>
    <n v="0"/>
    <n v="0"/>
    <n v="0"/>
    <m/>
    <m/>
    <m/>
    <n v="0"/>
    <m/>
    <m/>
    <n v="0"/>
    <m/>
    <m/>
    <m/>
    <m/>
    <m/>
    <m/>
    <n v="0"/>
    <n v="0"/>
  </r>
  <r>
    <x v="9"/>
    <x v="23"/>
    <s v="Other contract education programs"/>
    <m/>
    <m/>
    <x v="12"/>
    <m/>
    <m/>
    <m/>
    <m/>
    <m/>
    <m/>
    <m/>
    <m/>
    <n v="0"/>
    <m/>
    <m/>
    <n v="0"/>
    <n v="0"/>
    <n v="0"/>
    <n v="0"/>
    <m/>
    <m/>
    <m/>
    <n v="0"/>
    <m/>
    <m/>
    <n v="0"/>
    <m/>
    <m/>
    <m/>
    <m/>
    <m/>
    <m/>
    <n v="0"/>
    <n v="0"/>
  </r>
  <r>
    <x v="9"/>
    <x v="24"/>
    <s v="Statewide Student Financial Aid Programs Administered Off Campus"/>
    <m/>
    <m/>
    <x v="12"/>
    <m/>
    <m/>
    <m/>
    <m/>
    <m/>
    <m/>
    <m/>
    <m/>
    <n v="0"/>
    <m/>
    <m/>
    <n v="0"/>
    <n v="0"/>
    <n v="0"/>
    <n v="0"/>
    <m/>
    <m/>
    <m/>
    <n v="0"/>
    <m/>
    <m/>
    <n v="0"/>
    <m/>
    <m/>
    <m/>
    <m/>
    <m/>
    <m/>
    <n v="0"/>
    <n v="0"/>
  </r>
  <r>
    <x v="9"/>
    <x v="25"/>
    <s v="Available to public &amp; private sector students"/>
    <m/>
    <m/>
    <x v="12"/>
    <m/>
    <m/>
    <m/>
    <m/>
    <m/>
    <m/>
    <m/>
    <m/>
    <n v="0"/>
    <m/>
    <m/>
    <n v="0"/>
    <n v="0"/>
    <n v="0"/>
    <m/>
    <m/>
    <m/>
    <m/>
    <n v="0"/>
    <m/>
    <m/>
    <n v="0"/>
    <m/>
    <m/>
    <m/>
    <m/>
    <m/>
    <m/>
    <n v="0"/>
    <n v="0"/>
  </r>
  <r>
    <x v="9"/>
    <x v="25"/>
    <s v="Board of Governors Medical Scholarships"/>
    <m/>
    <m/>
    <x v="12"/>
    <m/>
    <m/>
    <m/>
    <m/>
    <m/>
    <m/>
    <m/>
    <m/>
    <n v="0"/>
    <m/>
    <m/>
    <n v="0"/>
    <n v="0"/>
    <n v="0"/>
    <m/>
    <m/>
    <m/>
    <m/>
    <n v="0"/>
    <m/>
    <m/>
    <n v="0"/>
    <m/>
    <m/>
    <m/>
    <m/>
    <m/>
    <m/>
    <n v="0"/>
    <n v="0"/>
  </r>
  <r>
    <x v="9"/>
    <x v="26"/>
    <s v="Need-based"/>
    <m/>
    <m/>
    <x v="12"/>
    <m/>
    <m/>
    <m/>
    <m/>
    <m/>
    <m/>
    <m/>
    <m/>
    <n v="0"/>
    <m/>
    <m/>
    <n v="0"/>
    <n v="0"/>
    <n v="0"/>
    <n v="0"/>
    <m/>
    <m/>
    <m/>
    <n v="0"/>
    <m/>
    <m/>
    <n v="0"/>
    <m/>
    <m/>
    <m/>
    <m/>
    <m/>
    <m/>
    <n v="0"/>
    <n v="0"/>
  </r>
  <r>
    <x v="9"/>
    <x v="27"/>
    <s v="Non need-based"/>
    <m/>
    <m/>
    <x v="12"/>
    <m/>
    <m/>
    <m/>
    <m/>
    <m/>
    <m/>
    <m/>
    <m/>
    <n v="0"/>
    <m/>
    <m/>
    <n v="0"/>
    <n v="0"/>
    <n v="0"/>
    <m/>
    <m/>
    <m/>
    <m/>
    <n v="0"/>
    <m/>
    <m/>
    <n v="0"/>
    <m/>
    <m/>
    <m/>
    <m/>
    <m/>
    <m/>
    <n v="0"/>
    <n v="0"/>
  </r>
  <r>
    <x v="9"/>
    <x v="28"/>
    <s v="Amount to public sector students"/>
    <m/>
    <m/>
    <x v="12"/>
    <m/>
    <m/>
    <m/>
    <m/>
    <m/>
    <m/>
    <m/>
    <m/>
    <n v="0"/>
    <m/>
    <m/>
    <n v="0"/>
    <n v="0"/>
    <n v="0"/>
    <m/>
    <m/>
    <m/>
    <m/>
    <n v="0"/>
    <m/>
    <m/>
    <n v="0"/>
    <m/>
    <m/>
    <m/>
    <m/>
    <m/>
    <m/>
    <n v="0"/>
    <n v="0"/>
  </r>
  <r>
    <x v="9"/>
    <x v="29"/>
    <s v="Need-based"/>
    <m/>
    <m/>
    <x v="12"/>
    <m/>
    <m/>
    <m/>
    <m/>
    <m/>
    <m/>
    <m/>
    <m/>
    <n v="0"/>
    <m/>
    <m/>
    <n v="0"/>
    <n v="0"/>
    <n v="0"/>
    <m/>
    <m/>
    <m/>
    <m/>
    <n v="0"/>
    <m/>
    <m/>
    <n v="0"/>
    <m/>
    <m/>
    <m/>
    <m/>
    <m/>
    <m/>
    <n v="0"/>
    <n v="0"/>
  </r>
  <r>
    <x v="9"/>
    <x v="27"/>
    <s v="Non need-based"/>
    <m/>
    <m/>
    <x v="12"/>
    <m/>
    <m/>
    <m/>
    <m/>
    <m/>
    <m/>
    <m/>
    <m/>
    <n v="0"/>
    <m/>
    <m/>
    <n v="0"/>
    <n v="0"/>
    <n v="0"/>
    <m/>
    <m/>
    <m/>
    <m/>
    <n v="0"/>
    <m/>
    <m/>
    <n v="0"/>
    <m/>
    <m/>
    <m/>
    <m/>
    <m/>
    <m/>
    <n v="0"/>
    <n v="0"/>
  </r>
  <r>
    <x v="9"/>
    <x v="31"/>
    <s v="Amount to private sector students"/>
    <m/>
    <m/>
    <x v="12"/>
    <m/>
    <m/>
    <m/>
    <m/>
    <m/>
    <m/>
    <m/>
    <m/>
    <n v="0"/>
    <m/>
    <m/>
    <n v="0"/>
    <n v="0"/>
    <n v="0"/>
    <m/>
    <m/>
    <m/>
    <m/>
    <n v="0"/>
    <m/>
    <m/>
    <n v="0"/>
    <m/>
    <m/>
    <m/>
    <m/>
    <m/>
    <m/>
    <n v="0"/>
    <n v="0"/>
  </r>
  <r>
    <x v="9"/>
    <x v="32"/>
    <s v="Need-based"/>
    <m/>
    <m/>
    <x v="12"/>
    <m/>
    <m/>
    <m/>
    <m/>
    <m/>
    <m/>
    <m/>
    <m/>
    <n v="0"/>
    <m/>
    <m/>
    <n v="0"/>
    <n v="0"/>
    <n v="0"/>
    <m/>
    <m/>
    <m/>
    <m/>
    <n v="0"/>
    <m/>
    <m/>
    <n v="0"/>
    <m/>
    <m/>
    <m/>
    <m/>
    <m/>
    <m/>
    <n v="0"/>
    <n v="0"/>
  </r>
  <r>
    <x v="9"/>
    <x v="27"/>
    <s v="Non need-based"/>
    <m/>
    <m/>
    <x v="12"/>
    <m/>
    <m/>
    <m/>
    <m/>
    <m/>
    <m/>
    <m/>
    <m/>
    <n v="0"/>
    <m/>
    <m/>
    <n v="0"/>
    <n v="0"/>
    <n v="0"/>
    <m/>
    <m/>
    <m/>
    <m/>
    <n v="0"/>
    <m/>
    <m/>
    <n v="0"/>
    <m/>
    <m/>
    <m/>
    <m/>
    <m/>
    <m/>
    <n v="0"/>
    <n v="0"/>
  </r>
  <r>
    <x v="9"/>
    <x v="25"/>
    <s v="NC Student Incentive Grant"/>
    <m/>
    <m/>
    <x v="12"/>
    <m/>
    <m/>
    <m/>
    <m/>
    <m/>
    <m/>
    <m/>
    <m/>
    <n v="0"/>
    <m/>
    <m/>
    <n v="0"/>
    <n v="0"/>
    <n v="0"/>
    <m/>
    <m/>
    <m/>
    <m/>
    <n v="0"/>
    <m/>
    <m/>
    <n v="0"/>
    <m/>
    <m/>
    <m/>
    <m/>
    <m/>
    <m/>
    <n v="0"/>
    <n v="0"/>
  </r>
  <r>
    <x v="9"/>
    <x v="26"/>
    <s v="Need-based"/>
    <m/>
    <m/>
    <x v="12"/>
    <m/>
    <m/>
    <m/>
    <m/>
    <m/>
    <m/>
    <m/>
    <m/>
    <n v="0"/>
    <m/>
    <m/>
    <n v="0"/>
    <n v="0"/>
    <n v="0"/>
    <m/>
    <m/>
    <m/>
    <m/>
    <n v="0"/>
    <m/>
    <m/>
    <n v="0"/>
    <m/>
    <m/>
    <m/>
    <m/>
    <m/>
    <m/>
    <n v="0"/>
    <n v="0"/>
  </r>
  <r>
    <x v="9"/>
    <x v="27"/>
    <s v="Non need-based"/>
    <m/>
    <m/>
    <x v="12"/>
    <m/>
    <m/>
    <m/>
    <m/>
    <m/>
    <m/>
    <m/>
    <m/>
    <n v="0"/>
    <m/>
    <m/>
    <n v="0"/>
    <n v="0"/>
    <n v="0"/>
    <m/>
    <m/>
    <m/>
    <m/>
    <n v="0"/>
    <m/>
    <m/>
    <n v="0"/>
    <m/>
    <m/>
    <m/>
    <m/>
    <m/>
    <m/>
    <n v="0"/>
    <n v="0"/>
  </r>
  <r>
    <x v="9"/>
    <x v="28"/>
    <s v="Amount to public sector students"/>
    <m/>
    <m/>
    <x v="12"/>
    <m/>
    <m/>
    <m/>
    <m/>
    <m/>
    <m/>
    <m/>
    <m/>
    <n v="0"/>
    <m/>
    <m/>
    <n v="0"/>
    <n v="0"/>
    <n v="0"/>
    <m/>
    <m/>
    <m/>
    <m/>
    <n v="0"/>
    <m/>
    <m/>
    <n v="0"/>
    <m/>
    <m/>
    <m/>
    <m/>
    <m/>
    <m/>
    <n v="0"/>
    <n v="0"/>
  </r>
  <r>
    <x v="9"/>
    <x v="29"/>
    <s v="Need-based"/>
    <m/>
    <m/>
    <x v="12"/>
    <m/>
    <m/>
    <m/>
    <m/>
    <m/>
    <m/>
    <m/>
    <m/>
    <n v="0"/>
    <m/>
    <m/>
    <n v="0"/>
    <n v="0"/>
    <n v="0"/>
    <m/>
    <m/>
    <m/>
    <m/>
    <n v="0"/>
    <m/>
    <m/>
    <n v="0"/>
    <m/>
    <m/>
    <m/>
    <m/>
    <m/>
    <m/>
    <n v="0"/>
    <n v="0"/>
  </r>
  <r>
    <x v="9"/>
    <x v="27"/>
    <s v="Non need-based"/>
    <m/>
    <m/>
    <x v="12"/>
    <m/>
    <m/>
    <m/>
    <m/>
    <m/>
    <m/>
    <m/>
    <m/>
    <n v="0"/>
    <m/>
    <m/>
    <n v="0"/>
    <n v="0"/>
    <n v="0"/>
    <m/>
    <m/>
    <m/>
    <m/>
    <n v="0"/>
    <m/>
    <m/>
    <n v="0"/>
    <m/>
    <m/>
    <m/>
    <m/>
    <m/>
    <m/>
    <n v="0"/>
    <n v="0"/>
  </r>
  <r>
    <x v="9"/>
    <x v="31"/>
    <s v="Amount to private sector students"/>
    <m/>
    <m/>
    <x v="12"/>
    <m/>
    <m/>
    <m/>
    <m/>
    <m/>
    <m/>
    <m/>
    <m/>
    <n v="0"/>
    <m/>
    <m/>
    <n v="0"/>
    <n v="0"/>
    <n v="0"/>
    <m/>
    <m/>
    <m/>
    <m/>
    <n v="0"/>
    <m/>
    <m/>
    <n v="0"/>
    <m/>
    <m/>
    <m/>
    <m/>
    <m/>
    <m/>
    <n v="0"/>
    <n v="0"/>
  </r>
  <r>
    <x v="9"/>
    <x v="32"/>
    <s v="Need-based"/>
    <m/>
    <m/>
    <x v="12"/>
    <m/>
    <m/>
    <m/>
    <m/>
    <m/>
    <m/>
    <m/>
    <m/>
    <n v="0"/>
    <m/>
    <m/>
    <n v="0"/>
    <n v="0"/>
    <n v="0"/>
    <m/>
    <m/>
    <m/>
    <m/>
    <n v="0"/>
    <m/>
    <m/>
    <n v="0"/>
    <m/>
    <m/>
    <m/>
    <m/>
    <m/>
    <m/>
    <n v="0"/>
    <n v="0"/>
  </r>
  <r>
    <x v="9"/>
    <x v="27"/>
    <s v="Non need-based"/>
    <m/>
    <m/>
    <x v="12"/>
    <m/>
    <m/>
    <m/>
    <m/>
    <m/>
    <m/>
    <m/>
    <m/>
    <n v="0"/>
    <m/>
    <m/>
    <n v="0"/>
    <n v="0"/>
    <n v="0"/>
    <m/>
    <m/>
    <m/>
    <m/>
    <n v="0"/>
    <m/>
    <m/>
    <n v="0"/>
    <m/>
    <m/>
    <m/>
    <m/>
    <m/>
    <m/>
    <n v="0"/>
    <n v="0"/>
  </r>
  <r>
    <x v="9"/>
    <x v="25"/>
    <s v="NC Student Loan Program for Health, Science and Mathematics"/>
    <m/>
    <m/>
    <x v="12"/>
    <m/>
    <m/>
    <m/>
    <m/>
    <m/>
    <m/>
    <m/>
    <m/>
    <n v="0"/>
    <m/>
    <m/>
    <n v="0"/>
    <n v="0"/>
    <n v="0"/>
    <m/>
    <m/>
    <m/>
    <m/>
    <n v="0"/>
    <m/>
    <m/>
    <n v="0"/>
    <m/>
    <m/>
    <m/>
    <m/>
    <m/>
    <m/>
    <n v="0"/>
    <n v="0"/>
  </r>
  <r>
    <x v="9"/>
    <x v="26"/>
    <s v="Need-based"/>
    <m/>
    <m/>
    <x v="12"/>
    <m/>
    <m/>
    <m/>
    <m/>
    <m/>
    <m/>
    <m/>
    <m/>
    <n v="0"/>
    <m/>
    <m/>
    <n v="0"/>
    <n v="0"/>
    <n v="0"/>
    <n v="0"/>
    <m/>
    <m/>
    <m/>
    <n v="0"/>
    <m/>
    <m/>
    <n v="0"/>
    <m/>
    <m/>
    <m/>
    <m/>
    <m/>
    <m/>
    <n v="0"/>
    <n v="0"/>
  </r>
  <r>
    <x v="9"/>
    <x v="27"/>
    <s v="Non need-based"/>
    <m/>
    <m/>
    <x v="12"/>
    <m/>
    <m/>
    <m/>
    <m/>
    <m/>
    <m/>
    <m/>
    <m/>
    <n v="0"/>
    <m/>
    <m/>
    <n v="0"/>
    <n v="0"/>
    <n v="0"/>
    <m/>
    <m/>
    <m/>
    <m/>
    <n v="0"/>
    <m/>
    <m/>
    <n v="0"/>
    <m/>
    <m/>
    <m/>
    <m/>
    <m/>
    <m/>
    <n v="0"/>
    <n v="0"/>
  </r>
  <r>
    <x v="9"/>
    <x v="28"/>
    <s v="Amount to public sector students"/>
    <m/>
    <m/>
    <x v="12"/>
    <m/>
    <m/>
    <m/>
    <m/>
    <m/>
    <m/>
    <m/>
    <m/>
    <n v="0"/>
    <m/>
    <m/>
    <n v="0"/>
    <n v="0"/>
    <n v="0"/>
    <m/>
    <m/>
    <m/>
    <m/>
    <n v="0"/>
    <m/>
    <m/>
    <n v="0"/>
    <m/>
    <m/>
    <m/>
    <m/>
    <m/>
    <m/>
    <n v="0"/>
    <n v="0"/>
  </r>
  <r>
    <x v="9"/>
    <x v="29"/>
    <s v="Need-based"/>
    <m/>
    <m/>
    <x v="12"/>
    <m/>
    <m/>
    <m/>
    <m/>
    <m/>
    <m/>
    <m/>
    <m/>
    <n v="0"/>
    <m/>
    <m/>
    <n v="0"/>
    <n v="0"/>
    <n v="0"/>
    <m/>
    <m/>
    <m/>
    <m/>
    <n v="0"/>
    <m/>
    <m/>
    <n v="0"/>
    <m/>
    <m/>
    <m/>
    <m/>
    <m/>
    <m/>
    <n v="0"/>
    <n v="0"/>
  </r>
  <r>
    <x v="9"/>
    <x v="27"/>
    <s v="Non need-based"/>
    <m/>
    <m/>
    <x v="12"/>
    <m/>
    <m/>
    <m/>
    <m/>
    <m/>
    <m/>
    <m/>
    <m/>
    <n v="0"/>
    <m/>
    <m/>
    <n v="0"/>
    <n v="0"/>
    <n v="0"/>
    <m/>
    <m/>
    <m/>
    <m/>
    <n v="0"/>
    <m/>
    <m/>
    <n v="0"/>
    <m/>
    <m/>
    <m/>
    <m/>
    <m/>
    <m/>
    <n v="0"/>
    <n v="0"/>
  </r>
  <r>
    <x v="9"/>
    <x v="31"/>
    <s v="Amount to private sector students"/>
    <m/>
    <m/>
    <x v="12"/>
    <m/>
    <m/>
    <m/>
    <m/>
    <m/>
    <m/>
    <m/>
    <m/>
    <n v="0"/>
    <m/>
    <m/>
    <n v="0"/>
    <n v="0"/>
    <n v="0"/>
    <m/>
    <m/>
    <m/>
    <m/>
    <n v="0"/>
    <m/>
    <m/>
    <n v="0"/>
    <m/>
    <m/>
    <m/>
    <m/>
    <m/>
    <m/>
    <n v="0"/>
    <n v="0"/>
  </r>
  <r>
    <x v="9"/>
    <x v="32"/>
    <s v="Need-based"/>
    <m/>
    <m/>
    <x v="12"/>
    <m/>
    <m/>
    <m/>
    <m/>
    <m/>
    <m/>
    <m/>
    <m/>
    <n v="0"/>
    <m/>
    <m/>
    <n v="0"/>
    <n v="0"/>
    <n v="0"/>
    <m/>
    <m/>
    <m/>
    <m/>
    <n v="0"/>
    <m/>
    <m/>
    <n v="0"/>
    <m/>
    <m/>
    <m/>
    <m/>
    <m/>
    <m/>
    <n v="0"/>
    <n v="0"/>
  </r>
  <r>
    <x v="9"/>
    <x v="27"/>
    <s v="Non need-based"/>
    <m/>
    <m/>
    <x v="12"/>
    <m/>
    <m/>
    <m/>
    <m/>
    <m/>
    <m/>
    <m/>
    <m/>
    <n v="0"/>
    <m/>
    <m/>
    <n v="0"/>
    <n v="0"/>
    <n v="0"/>
    <m/>
    <m/>
    <m/>
    <m/>
    <n v="0"/>
    <m/>
    <m/>
    <n v="0"/>
    <m/>
    <m/>
    <m/>
    <m/>
    <m/>
    <m/>
    <n v="0"/>
    <n v="0"/>
  </r>
  <r>
    <x v="9"/>
    <x v="25"/>
    <s v="Nurse Education Scholarship/Loans"/>
    <m/>
    <m/>
    <x v="12"/>
    <m/>
    <m/>
    <m/>
    <m/>
    <m/>
    <m/>
    <m/>
    <m/>
    <n v="0"/>
    <m/>
    <m/>
    <n v="0"/>
    <n v="0"/>
    <n v="0"/>
    <m/>
    <m/>
    <m/>
    <m/>
    <n v="0"/>
    <m/>
    <m/>
    <n v="0"/>
    <m/>
    <m/>
    <m/>
    <m/>
    <m/>
    <m/>
    <n v="0"/>
    <n v="0"/>
  </r>
  <r>
    <x v="9"/>
    <x v="26"/>
    <s v="Need-based"/>
    <m/>
    <m/>
    <x v="12"/>
    <m/>
    <m/>
    <m/>
    <m/>
    <m/>
    <m/>
    <m/>
    <m/>
    <n v="0"/>
    <m/>
    <m/>
    <n v="0"/>
    <n v="0"/>
    <n v="0"/>
    <n v="0"/>
    <m/>
    <m/>
    <m/>
    <n v="0"/>
    <m/>
    <m/>
    <n v="0"/>
    <m/>
    <m/>
    <m/>
    <m/>
    <m/>
    <m/>
    <n v="0"/>
    <n v="0"/>
  </r>
  <r>
    <x v="9"/>
    <x v="27"/>
    <s v="Non need-based"/>
    <m/>
    <m/>
    <x v="12"/>
    <m/>
    <m/>
    <m/>
    <m/>
    <m/>
    <m/>
    <m/>
    <m/>
    <n v="0"/>
    <m/>
    <m/>
    <n v="0"/>
    <n v="0"/>
    <n v="0"/>
    <m/>
    <m/>
    <m/>
    <m/>
    <n v="0"/>
    <m/>
    <m/>
    <n v="0"/>
    <m/>
    <m/>
    <m/>
    <m/>
    <m/>
    <m/>
    <n v="0"/>
    <n v="0"/>
  </r>
  <r>
    <x v="9"/>
    <x v="28"/>
    <s v="Amount to public sector students"/>
    <m/>
    <m/>
    <x v="12"/>
    <m/>
    <m/>
    <m/>
    <m/>
    <m/>
    <m/>
    <m/>
    <m/>
    <n v="0"/>
    <m/>
    <m/>
    <n v="0"/>
    <n v="0"/>
    <n v="0"/>
    <m/>
    <m/>
    <m/>
    <m/>
    <n v="0"/>
    <m/>
    <m/>
    <n v="0"/>
    <m/>
    <m/>
    <m/>
    <m/>
    <m/>
    <m/>
    <n v="0"/>
    <n v="0"/>
  </r>
  <r>
    <x v="9"/>
    <x v="29"/>
    <s v="Need-based"/>
    <m/>
    <m/>
    <x v="12"/>
    <m/>
    <m/>
    <m/>
    <m/>
    <m/>
    <m/>
    <m/>
    <m/>
    <n v="0"/>
    <m/>
    <m/>
    <n v="0"/>
    <n v="0"/>
    <n v="0"/>
    <m/>
    <m/>
    <m/>
    <m/>
    <n v="0"/>
    <m/>
    <m/>
    <n v="0"/>
    <m/>
    <m/>
    <m/>
    <m/>
    <m/>
    <m/>
    <n v="0"/>
    <n v="0"/>
  </r>
  <r>
    <x v="9"/>
    <x v="27"/>
    <s v="Non need-based"/>
    <m/>
    <m/>
    <x v="12"/>
    <m/>
    <m/>
    <m/>
    <m/>
    <m/>
    <m/>
    <m/>
    <m/>
    <n v="0"/>
    <m/>
    <m/>
    <n v="0"/>
    <n v="0"/>
    <n v="0"/>
    <m/>
    <m/>
    <m/>
    <m/>
    <n v="0"/>
    <m/>
    <m/>
    <n v="0"/>
    <m/>
    <m/>
    <m/>
    <m/>
    <m/>
    <m/>
    <n v="0"/>
    <n v="0"/>
  </r>
  <r>
    <x v="9"/>
    <x v="31"/>
    <s v="Amount to private sector students"/>
    <m/>
    <m/>
    <x v="12"/>
    <m/>
    <m/>
    <m/>
    <m/>
    <m/>
    <m/>
    <m/>
    <m/>
    <n v="0"/>
    <m/>
    <m/>
    <n v="0"/>
    <n v="0"/>
    <n v="0"/>
    <m/>
    <m/>
    <m/>
    <m/>
    <n v="0"/>
    <m/>
    <m/>
    <n v="0"/>
    <m/>
    <m/>
    <m/>
    <m/>
    <m/>
    <m/>
    <n v="0"/>
    <n v="0"/>
  </r>
  <r>
    <x v="9"/>
    <x v="32"/>
    <s v="Need-based"/>
    <m/>
    <m/>
    <x v="12"/>
    <m/>
    <m/>
    <m/>
    <m/>
    <m/>
    <m/>
    <m/>
    <m/>
    <n v="0"/>
    <m/>
    <m/>
    <n v="0"/>
    <n v="0"/>
    <n v="0"/>
    <m/>
    <m/>
    <m/>
    <m/>
    <n v="0"/>
    <m/>
    <m/>
    <n v="0"/>
    <m/>
    <m/>
    <m/>
    <m/>
    <m/>
    <m/>
    <n v="0"/>
    <n v="0"/>
  </r>
  <r>
    <x v="9"/>
    <x v="27"/>
    <s v="Non need-based"/>
    <m/>
    <m/>
    <x v="12"/>
    <m/>
    <m/>
    <m/>
    <m/>
    <m/>
    <m/>
    <m/>
    <m/>
    <n v="0"/>
    <m/>
    <m/>
    <n v="0"/>
    <n v="0"/>
    <n v="0"/>
    <m/>
    <m/>
    <m/>
    <m/>
    <n v="0"/>
    <m/>
    <m/>
    <n v="0"/>
    <m/>
    <m/>
    <m/>
    <m/>
    <m/>
    <m/>
    <n v="0"/>
    <n v="0"/>
  </r>
  <r>
    <x v="9"/>
    <x v="25"/>
    <s v="Graduate Nurse Scholars Program"/>
    <m/>
    <m/>
    <x v="12"/>
    <m/>
    <m/>
    <m/>
    <m/>
    <m/>
    <m/>
    <m/>
    <m/>
    <n v="0"/>
    <m/>
    <m/>
    <n v="0"/>
    <n v="0"/>
    <n v="0"/>
    <m/>
    <m/>
    <m/>
    <m/>
    <n v="0"/>
    <m/>
    <m/>
    <n v="0"/>
    <m/>
    <m/>
    <m/>
    <m/>
    <m/>
    <m/>
    <n v="0"/>
    <n v="0"/>
  </r>
  <r>
    <x v="9"/>
    <x v="26"/>
    <s v="Need-based"/>
    <m/>
    <m/>
    <x v="12"/>
    <m/>
    <m/>
    <m/>
    <m/>
    <m/>
    <m/>
    <m/>
    <m/>
    <n v="0"/>
    <m/>
    <m/>
    <n v="0"/>
    <n v="0"/>
    <n v="0"/>
    <m/>
    <m/>
    <m/>
    <m/>
    <n v="0"/>
    <m/>
    <m/>
    <n v="0"/>
    <m/>
    <m/>
    <m/>
    <m/>
    <m/>
    <m/>
    <n v="0"/>
    <n v="0"/>
  </r>
  <r>
    <x v="9"/>
    <x v="27"/>
    <s v="Non need-based"/>
    <m/>
    <m/>
    <x v="12"/>
    <m/>
    <m/>
    <m/>
    <m/>
    <m/>
    <m/>
    <m/>
    <m/>
    <n v="0"/>
    <m/>
    <m/>
    <n v="0"/>
    <n v="0"/>
    <n v="0"/>
    <n v="0"/>
    <m/>
    <m/>
    <m/>
    <n v="0"/>
    <m/>
    <m/>
    <n v="0"/>
    <m/>
    <m/>
    <m/>
    <m/>
    <m/>
    <m/>
    <n v="0"/>
    <n v="0"/>
  </r>
  <r>
    <x v="9"/>
    <x v="28"/>
    <s v="Amount to public sector students"/>
    <m/>
    <m/>
    <x v="12"/>
    <m/>
    <m/>
    <m/>
    <m/>
    <m/>
    <m/>
    <m/>
    <m/>
    <n v="0"/>
    <m/>
    <m/>
    <n v="0"/>
    <n v="0"/>
    <n v="0"/>
    <m/>
    <m/>
    <m/>
    <m/>
    <n v="0"/>
    <m/>
    <m/>
    <n v="0"/>
    <m/>
    <m/>
    <m/>
    <m/>
    <m/>
    <m/>
    <n v="0"/>
    <n v="0"/>
  </r>
  <r>
    <x v="9"/>
    <x v="29"/>
    <s v="Need-based"/>
    <m/>
    <m/>
    <x v="12"/>
    <m/>
    <m/>
    <m/>
    <m/>
    <m/>
    <m/>
    <m/>
    <m/>
    <n v="0"/>
    <m/>
    <m/>
    <n v="0"/>
    <n v="0"/>
    <n v="0"/>
    <m/>
    <m/>
    <m/>
    <m/>
    <n v="0"/>
    <m/>
    <m/>
    <n v="0"/>
    <m/>
    <m/>
    <m/>
    <m/>
    <m/>
    <m/>
    <n v="0"/>
    <n v="0"/>
  </r>
  <r>
    <x v="9"/>
    <x v="27"/>
    <s v="Non need-based"/>
    <m/>
    <m/>
    <x v="12"/>
    <m/>
    <m/>
    <m/>
    <m/>
    <m/>
    <m/>
    <m/>
    <m/>
    <n v="0"/>
    <m/>
    <m/>
    <n v="0"/>
    <n v="0"/>
    <n v="0"/>
    <m/>
    <m/>
    <m/>
    <m/>
    <n v="0"/>
    <m/>
    <m/>
    <n v="0"/>
    <m/>
    <m/>
    <m/>
    <m/>
    <m/>
    <m/>
    <n v="0"/>
    <n v="0"/>
  </r>
  <r>
    <x v="9"/>
    <x v="31"/>
    <s v="Amount to private sector students"/>
    <m/>
    <m/>
    <x v="12"/>
    <m/>
    <m/>
    <m/>
    <m/>
    <m/>
    <m/>
    <m/>
    <m/>
    <n v="0"/>
    <m/>
    <m/>
    <n v="0"/>
    <n v="0"/>
    <n v="0"/>
    <m/>
    <m/>
    <m/>
    <m/>
    <n v="0"/>
    <m/>
    <m/>
    <n v="0"/>
    <m/>
    <m/>
    <m/>
    <m/>
    <m/>
    <m/>
    <n v="0"/>
    <n v="0"/>
  </r>
  <r>
    <x v="9"/>
    <x v="32"/>
    <s v="Need-based"/>
    <m/>
    <m/>
    <x v="12"/>
    <m/>
    <m/>
    <m/>
    <m/>
    <m/>
    <m/>
    <m/>
    <m/>
    <n v="0"/>
    <m/>
    <m/>
    <n v="0"/>
    <n v="0"/>
    <n v="0"/>
    <m/>
    <m/>
    <m/>
    <m/>
    <n v="0"/>
    <m/>
    <m/>
    <n v="0"/>
    <m/>
    <m/>
    <m/>
    <m/>
    <m/>
    <m/>
    <n v="0"/>
    <n v="0"/>
  </r>
  <r>
    <x v="9"/>
    <x v="27"/>
    <s v="Non need-based"/>
    <m/>
    <m/>
    <x v="12"/>
    <m/>
    <m/>
    <m/>
    <m/>
    <m/>
    <m/>
    <m/>
    <m/>
    <n v="0"/>
    <m/>
    <m/>
    <n v="0"/>
    <n v="0"/>
    <n v="0"/>
    <m/>
    <m/>
    <m/>
    <m/>
    <n v="0"/>
    <m/>
    <m/>
    <n v="0"/>
    <m/>
    <m/>
    <m/>
    <m/>
    <m/>
    <m/>
    <n v="0"/>
    <n v="0"/>
  </r>
  <r>
    <x v="9"/>
    <x v="25"/>
    <s v="Prospective Teacher Scholarship Loan Program"/>
    <m/>
    <m/>
    <x v="12"/>
    <m/>
    <m/>
    <m/>
    <m/>
    <m/>
    <m/>
    <m/>
    <m/>
    <n v="0"/>
    <m/>
    <m/>
    <n v="0"/>
    <n v="0"/>
    <n v="0"/>
    <m/>
    <m/>
    <m/>
    <m/>
    <n v="0"/>
    <m/>
    <m/>
    <n v="0"/>
    <m/>
    <m/>
    <m/>
    <m/>
    <m/>
    <m/>
    <n v="0"/>
    <n v="0"/>
  </r>
  <r>
    <x v="9"/>
    <x v="26"/>
    <s v="Need-based"/>
    <m/>
    <m/>
    <x v="12"/>
    <m/>
    <m/>
    <m/>
    <m/>
    <m/>
    <m/>
    <m/>
    <m/>
    <n v="0"/>
    <m/>
    <m/>
    <n v="0"/>
    <n v="0"/>
    <n v="0"/>
    <m/>
    <m/>
    <m/>
    <m/>
    <n v="0"/>
    <m/>
    <m/>
    <n v="0"/>
    <m/>
    <m/>
    <m/>
    <m/>
    <m/>
    <m/>
    <n v="0"/>
    <n v="0"/>
  </r>
  <r>
    <x v="9"/>
    <x v="27"/>
    <s v="Non need-based"/>
    <m/>
    <m/>
    <x v="12"/>
    <m/>
    <m/>
    <m/>
    <m/>
    <m/>
    <m/>
    <m/>
    <m/>
    <n v="0"/>
    <m/>
    <m/>
    <n v="0"/>
    <n v="0"/>
    <n v="0"/>
    <n v="0"/>
    <m/>
    <m/>
    <m/>
    <n v="0"/>
    <m/>
    <m/>
    <n v="0"/>
    <m/>
    <m/>
    <m/>
    <m/>
    <m/>
    <m/>
    <n v="0"/>
    <n v="0"/>
  </r>
  <r>
    <x v="9"/>
    <x v="28"/>
    <s v="Amount to public sector students"/>
    <m/>
    <m/>
    <x v="12"/>
    <m/>
    <m/>
    <m/>
    <m/>
    <m/>
    <m/>
    <m/>
    <m/>
    <n v="0"/>
    <m/>
    <m/>
    <n v="0"/>
    <n v="0"/>
    <n v="0"/>
    <m/>
    <m/>
    <m/>
    <m/>
    <n v="0"/>
    <m/>
    <m/>
    <n v="0"/>
    <m/>
    <m/>
    <m/>
    <m/>
    <m/>
    <m/>
    <n v="0"/>
    <n v="0"/>
  </r>
  <r>
    <x v="9"/>
    <x v="29"/>
    <s v="Need-based"/>
    <m/>
    <m/>
    <x v="12"/>
    <m/>
    <m/>
    <m/>
    <m/>
    <m/>
    <m/>
    <m/>
    <m/>
    <n v="0"/>
    <m/>
    <m/>
    <n v="0"/>
    <n v="0"/>
    <n v="0"/>
    <m/>
    <m/>
    <m/>
    <m/>
    <n v="0"/>
    <m/>
    <m/>
    <n v="0"/>
    <m/>
    <m/>
    <m/>
    <m/>
    <m/>
    <m/>
    <n v="0"/>
    <n v="0"/>
  </r>
  <r>
    <x v="9"/>
    <x v="27"/>
    <s v="Non need-based"/>
    <m/>
    <m/>
    <x v="12"/>
    <m/>
    <m/>
    <m/>
    <m/>
    <m/>
    <m/>
    <m/>
    <m/>
    <n v="0"/>
    <m/>
    <m/>
    <n v="0"/>
    <n v="0"/>
    <n v="0"/>
    <m/>
    <m/>
    <m/>
    <m/>
    <n v="0"/>
    <m/>
    <m/>
    <n v="0"/>
    <m/>
    <m/>
    <m/>
    <m/>
    <m/>
    <m/>
    <n v="0"/>
    <n v="0"/>
  </r>
  <r>
    <x v="9"/>
    <x v="31"/>
    <s v="Amount to private sector students"/>
    <m/>
    <m/>
    <x v="12"/>
    <m/>
    <m/>
    <m/>
    <m/>
    <m/>
    <m/>
    <m/>
    <m/>
    <n v="0"/>
    <m/>
    <m/>
    <n v="0"/>
    <n v="0"/>
    <n v="0"/>
    <m/>
    <m/>
    <m/>
    <m/>
    <n v="0"/>
    <m/>
    <m/>
    <n v="0"/>
    <m/>
    <m/>
    <m/>
    <m/>
    <m/>
    <m/>
    <n v="0"/>
    <n v="0"/>
  </r>
  <r>
    <x v="9"/>
    <x v="32"/>
    <s v="Need-based"/>
    <m/>
    <m/>
    <x v="12"/>
    <m/>
    <m/>
    <m/>
    <m/>
    <m/>
    <m/>
    <m/>
    <m/>
    <n v="0"/>
    <m/>
    <m/>
    <n v="0"/>
    <n v="0"/>
    <n v="0"/>
    <m/>
    <m/>
    <m/>
    <m/>
    <n v="0"/>
    <m/>
    <m/>
    <n v="0"/>
    <m/>
    <m/>
    <m/>
    <m/>
    <m/>
    <m/>
    <n v="0"/>
    <n v="0"/>
  </r>
  <r>
    <x v="9"/>
    <x v="27"/>
    <s v="Non need-based"/>
    <m/>
    <m/>
    <x v="12"/>
    <m/>
    <m/>
    <m/>
    <m/>
    <m/>
    <m/>
    <m/>
    <m/>
    <n v="0"/>
    <m/>
    <m/>
    <n v="0"/>
    <n v="0"/>
    <n v="0"/>
    <m/>
    <m/>
    <m/>
    <m/>
    <n v="0"/>
    <m/>
    <m/>
    <n v="0"/>
    <m/>
    <m/>
    <m/>
    <m/>
    <m/>
    <m/>
    <n v="0"/>
    <n v="0"/>
  </r>
  <r>
    <x v="9"/>
    <x v="25"/>
    <s v="Future Teachers of North Carolina Scholarship Loan Program"/>
    <m/>
    <m/>
    <x v="12"/>
    <m/>
    <m/>
    <m/>
    <m/>
    <m/>
    <m/>
    <m/>
    <m/>
    <n v="0"/>
    <m/>
    <m/>
    <n v="0"/>
    <n v="0"/>
    <n v="0"/>
    <m/>
    <m/>
    <m/>
    <m/>
    <n v="0"/>
    <m/>
    <m/>
    <n v="0"/>
    <m/>
    <m/>
    <m/>
    <m/>
    <m/>
    <m/>
    <n v="0"/>
    <n v="0"/>
  </r>
  <r>
    <x v="9"/>
    <x v="26"/>
    <s v="Need-based"/>
    <m/>
    <m/>
    <x v="12"/>
    <m/>
    <m/>
    <m/>
    <m/>
    <m/>
    <m/>
    <m/>
    <m/>
    <n v="0"/>
    <m/>
    <m/>
    <n v="0"/>
    <n v="0"/>
    <n v="0"/>
    <m/>
    <m/>
    <m/>
    <m/>
    <n v="0"/>
    <m/>
    <m/>
    <n v="0"/>
    <m/>
    <m/>
    <m/>
    <m/>
    <m/>
    <m/>
    <n v="0"/>
    <n v="0"/>
  </r>
  <r>
    <x v="9"/>
    <x v="27"/>
    <s v="Non need-based"/>
    <m/>
    <m/>
    <x v="12"/>
    <m/>
    <m/>
    <m/>
    <m/>
    <m/>
    <m/>
    <m/>
    <m/>
    <n v="0"/>
    <m/>
    <m/>
    <n v="0"/>
    <n v="0"/>
    <n v="0"/>
    <n v="0"/>
    <m/>
    <m/>
    <m/>
    <n v="0"/>
    <m/>
    <m/>
    <n v="0"/>
    <m/>
    <m/>
    <m/>
    <m/>
    <m/>
    <m/>
    <n v="0"/>
    <n v="0"/>
  </r>
  <r>
    <x v="9"/>
    <x v="28"/>
    <s v="Amount to public sector students"/>
    <m/>
    <m/>
    <x v="12"/>
    <m/>
    <m/>
    <m/>
    <m/>
    <m/>
    <m/>
    <m/>
    <m/>
    <n v="0"/>
    <m/>
    <m/>
    <n v="0"/>
    <n v="0"/>
    <n v="0"/>
    <m/>
    <m/>
    <m/>
    <m/>
    <n v="0"/>
    <m/>
    <m/>
    <n v="0"/>
    <m/>
    <m/>
    <m/>
    <m/>
    <m/>
    <m/>
    <n v="0"/>
    <n v="0"/>
  </r>
  <r>
    <x v="9"/>
    <x v="29"/>
    <s v="Need-based"/>
    <m/>
    <m/>
    <x v="12"/>
    <m/>
    <m/>
    <m/>
    <m/>
    <m/>
    <m/>
    <m/>
    <m/>
    <n v="0"/>
    <m/>
    <m/>
    <n v="0"/>
    <n v="0"/>
    <n v="0"/>
    <m/>
    <m/>
    <m/>
    <m/>
    <n v="0"/>
    <m/>
    <m/>
    <n v="0"/>
    <m/>
    <m/>
    <m/>
    <m/>
    <m/>
    <m/>
    <n v="0"/>
    <n v="0"/>
  </r>
  <r>
    <x v="9"/>
    <x v="27"/>
    <s v="Non need-based"/>
    <m/>
    <m/>
    <x v="12"/>
    <m/>
    <m/>
    <m/>
    <m/>
    <m/>
    <m/>
    <m/>
    <m/>
    <n v="0"/>
    <m/>
    <m/>
    <n v="0"/>
    <n v="0"/>
    <n v="0"/>
    <m/>
    <m/>
    <m/>
    <m/>
    <n v="0"/>
    <m/>
    <m/>
    <n v="0"/>
    <m/>
    <m/>
    <m/>
    <m/>
    <m/>
    <m/>
    <n v="0"/>
    <n v="0"/>
  </r>
  <r>
    <x v="9"/>
    <x v="31"/>
    <s v="Amount to private sector students"/>
    <m/>
    <m/>
    <x v="12"/>
    <m/>
    <m/>
    <m/>
    <m/>
    <m/>
    <m/>
    <m/>
    <m/>
    <n v="0"/>
    <m/>
    <m/>
    <n v="0"/>
    <n v="0"/>
    <n v="0"/>
    <m/>
    <m/>
    <m/>
    <m/>
    <n v="0"/>
    <m/>
    <m/>
    <n v="0"/>
    <m/>
    <m/>
    <m/>
    <m/>
    <m/>
    <m/>
    <n v="0"/>
    <n v="0"/>
  </r>
  <r>
    <x v="9"/>
    <x v="32"/>
    <s v="Need-based"/>
    <m/>
    <m/>
    <x v="12"/>
    <m/>
    <m/>
    <m/>
    <m/>
    <m/>
    <m/>
    <m/>
    <m/>
    <n v="0"/>
    <m/>
    <m/>
    <n v="0"/>
    <n v="0"/>
    <n v="0"/>
    <m/>
    <m/>
    <m/>
    <m/>
    <n v="0"/>
    <m/>
    <m/>
    <n v="0"/>
    <m/>
    <m/>
    <m/>
    <m/>
    <m/>
    <m/>
    <n v="0"/>
    <n v="0"/>
  </r>
  <r>
    <x v="9"/>
    <x v="27"/>
    <s v="Non need-based"/>
    <m/>
    <m/>
    <x v="12"/>
    <m/>
    <m/>
    <m/>
    <m/>
    <m/>
    <m/>
    <m/>
    <m/>
    <n v="0"/>
    <m/>
    <m/>
    <n v="0"/>
    <n v="0"/>
    <n v="0"/>
    <m/>
    <m/>
    <m/>
    <m/>
    <n v="0"/>
    <m/>
    <m/>
    <n v="0"/>
    <m/>
    <m/>
    <m/>
    <m/>
    <m/>
    <m/>
    <n v="0"/>
    <n v="0"/>
  </r>
  <r>
    <x v="9"/>
    <x v="25"/>
    <s v="Nurse Scholars Program"/>
    <m/>
    <m/>
    <x v="12"/>
    <m/>
    <m/>
    <m/>
    <m/>
    <m/>
    <m/>
    <m/>
    <m/>
    <n v="0"/>
    <m/>
    <m/>
    <n v="0"/>
    <n v="0"/>
    <n v="0"/>
    <m/>
    <m/>
    <m/>
    <m/>
    <n v="0"/>
    <m/>
    <m/>
    <n v="0"/>
    <m/>
    <m/>
    <m/>
    <m/>
    <m/>
    <m/>
    <n v="0"/>
    <n v="0"/>
  </r>
  <r>
    <x v="9"/>
    <x v="26"/>
    <s v="Need-based"/>
    <m/>
    <m/>
    <x v="12"/>
    <m/>
    <m/>
    <m/>
    <m/>
    <m/>
    <m/>
    <m/>
    <m/>
    <n v="0"/>
    <m/>
    <m/>
    <n v="0"/>
    <n v="0"/>
    <n v="0"/>
    <m/>
    <m/>
    <m/>
    <m/>
    <n v="0"/>
    <m/>
    <m/>
    <n v="0"/>
    <m/>
    <m/>
    <m/>
    <m/>
    <m/>
    <m/>
    <n v="0"/>
    <n v="0"/>
  </r>
  <r>
    <x v="9"/>
    <x v="27"/>
    <s v="Non need-based"/>
    <m/>
    <m/>
    <x v="12"/>
    <m/>
    <m/>
    <m/>
    <m/>
    <m/>
    <m/>
    <m/>
    <m/>
    <n v="0"/>
    <m/>
    <m/>
    <n v="0"/>
    <n v="0"/>
    <n v="0"/>
    <n v="0"/>
    <m/>
    <m/>
    <m/>
    <n v="0"/>
    <m/>
    <m/>
    <n v="0"/>
    <m/>
    <m/>
    <m/>
    <m/>
    <m/>
    <m/>
    <n v="0"/>
    <n v="0"/>
  </r>
  <r>
    <x v="9"/>
    <x v="28"/>
    <s v="Amount to public sector students"/>
    <m/>
    <m/>
    <x v="12"/>
    <m/>
    <m/>
    <m/>
    <m/>
    <m/>
    <m/>
    <m/>
    <m/>
    <n v="0"/>
    <m/>
    <m/>
    <n v="0"/>
    <n v="0"/>
    <n v="0"/>
    <m/>
    <m/>
    <m/>
    <m/>
    <n v="0"/>
    <m/>
    <m/>
    <n v="0"/>
    <m/>
    <m/>
    <m/>
    <m/>
    <m/>
    <m/>
    <n v="0"/>
    <n v="0"/>
  </r>
  <r>
    <x v="9"/>
    <x v="29"/>
    <s v="Need-based"/>
    <m/>
    <m/>
    <x v="12"/>
    <m/>
    <m/>
    <m/>
    <m/>
    <m/>
    <m/>
    <m/>
    <m/>
    <n v="0"/>
    <m/>
    <m/>
    <n v="0"/>
    <n v="0"/>
    <n v="0"/>
    <m/>
    <m/>
    <m/>
    <m/>
    <n v="0"/>
    <m/>
    <m/>
    <n v="0"/>
    <m/>
    <m/>
    <m/>
    <m/>
    <m/>
    <m/>
    <n v="0"/>
    <n v="0"/>
  </r>
  <r>
    <x v="9"/>
    <x v="27"/>
    <s v="Non need-based"/>
    <m/>
    <m/>
    <x v="12"/>
    <m/>
    <m/>
    <m/>
    <m/>
    <m/>
    <m/>
    <m/>
    <m/>
    <n v="0"/>
    <m/>
    <m/>
    <n v="0"/>
    <n v="0"/>
    <n v="0"/>
    <m/>
    <m/>
    <m/>
    <m/>
    <n v="0"/>
    <m/>
    <m/>
    <n v="0"/>
    <m/>
    <m/>
    <m/>
    <m/>
    <m/>
    <m/>
    <n v="0"/>
    <n v="0"/>
  </r>
  <r>
    <x v="9"/>
    <x v="31"/>
    <s v="Amount to private sector students"/>
    <m/>
    <m/>
    <x v="12"/>
    <m/>
    <m/>
    <m/>
    <m/>
    <m/>
    <m/>
    <m/>
    <m/>
    <n v="0"/>
    <m/>
    <m/>
    <n v="0"/>
    <n v="0"/>
    <n v="0"/>
    <m/>
    <m/>
    <m/>
    <m/>
    <n v="0"/>
    <m/>
    <m/>
    <n v="0"/>
    <m/>
    <m/>
    <m/>
    <m/>
    <m/>
    <m/>
    <n v="0"/>
    <n v="0"/>
  </r>
  <r>
    <x v="9"/>
    <x v="32"/>
    <s v="Need-based"/>
    <m/>
    <m/>
    <x v="12"/>
    <m/>
    <m/>
    <m/>
    <m/>
    <m/>
    <m/>
    <m/>
    <m/>
    <n v="0"/>
    <m/>
    <m/>
    <n v="0"/>
    <n v="0"/>
    <n v="0"/>
    <m/>
    <m/>
    <m/>
    <m/>
    <n v="0"/>
    <m/>
    <m/>
    <n v="0"/>
    <m/>
    <m/>
    <m/>
    <m/>
    <m/>
    <m/>
    <n v="0"/>
    <n v="0"/>
  </r>
  <r>
    <x v="9"/>
    <x v="27"/>
    <s v="Non need-based"/>
    <m/>
    <m/>
    <x v="12"/>
    <m/>
    <m/>
    <m/>
    <m/>
    <m/>
    <m/>
    <m/>
    <m/>
    <n v="0"/>
    <m/>
    <m/>
    <n v="0"/>
    <n v="0"/>
    <n v="0"/>
    <m/>
    <m/>
    <m/>
    <m/>
    <n v="0"/>
    <m/>
    <m/>
    <n v="0"/>
    <m/>
    <m/>
    <m/>
    <m/>
    <m/>
    <m/>
    <n v="0"/>
    <n v="0"/>
  </r>
  <r>
    <x v="9"/>
    <x v="25"/>
    <s v="NC Veterans Scholarships"/>
    <m/>
    <m/>
    <x v="12"/>
    <m/>
    <m/>
    <m/>
    <m/>
    <m/>
    <m/>
    <m/>
    <m/>
    <n v="0"/>
    <m/>
    <m/>
    <n v="0"/>
    <n v="0"/>
    <n v="0"/>
    <m/>
    <m/>
    <m/>
    <m/>
    <n v="0"/>
    <m/>
    <m/>
    <n v="0"/>
    <m/>
    <m/>
    <m/>
    <m/>
    <m/>
    <m/>
    <n v="0"/>
    <n v="0"/>
  </r>
  <r>
    <x v="9"/>
    <x v="26"/>
    <s v="Need-based"/>
    <m/>
    <m/>
    <x v="12"/>
    <m/>
    <m/>
    <m/>
    <m/>
    <m/>
    <m/>
    <m/>
    <m/>
    <n v="0"/>
    <m/>
    <m/>
    <n v="0"/>
    <n v="0"/>
    <n v="0"/>
    <m/>
    <m/>
    <m/>
    <m/>
    <n v="0"/>
    <m/>
    <m/>
    <n v="0"/>
    <m/>
    <m/>
    <m/>
    <m/>
    <m/>
    <m/>
    <n v="0"/>
    <n v="0"/>
  </r>
  <r>
    <x v="9"/>
    <x v="27"/>
    <s v="Non need-based"/>
    <m/>
    <m/>
    <x v="12"/>
    <m/>
    <m/>
    <m/>
    <m/>
    <m/>
    <m/>
    <m/>
    <m/>
    <n v="0"/>
    <m/>
    <m/>
    <n v="0"/>
    <n v="0"/>
    <n v="0"/>
    <n v="5568222"/>
    <n v="5568222"/>
    <m/>
    <m/>
    <n v="0"/>
    <m/>
    <m/>
    <n v="0"/>
    <m/>
    <m/>
    <m/>
    <m/>
    <m/>
    <m/>
    <n v="5568222"/>
    <n v="5568222"/>
  </r>
  <r>
    <x v="9"/>
    <x v="28"/>
    <s v="Amount to public sector students"/>
    <m/>
    <m/>
    <x v="12"/>
    <m/>
    <m/>
    <m/>
    <m/>
    <m/>
    <m/>
    <m/>
    <m/>
    <n v="0"/>
    <m/>
    <m/>
    <n v="0"/>
    <n v="0"/>
    <n v="0"/>
    <m/>
    <m/>
    <m/>
    <m/>
    <n v="0"/>
    <m/>
    <m/>
    <n v="0"/>
    <m/>
    <m/>
    <m/>
    <m/>
    <m/>
    <m/>
    <n v="0"/>
    <n v="0"/>
  </r>
  <r>
    <x v="9"/>
    <x v="29"/>
    <s v="Need-based"/>
    <m/>
    <m/>
    <x v="12"/>
    <m/>
    <m/>
    <m/>
    <m/>
    <m/>
    <m/>
    <m/>
    <m/>
    <n v="0"/>
    <m/>
    <m/>
    <n v="0"/>
    <n v="0"/>
    <n v="0"/>
    <m/>
    <m/>
    <m/>
    <m/>
    <n v="0"/>
    <m/>
    <m/>
    <n v="0"/>
    <m/>
    <m/>
    <m/>
    <m/>
    <m/>
    <m/>
    <n v="0"/>
    <n v="0"/>
  </r>
  <r>
    <x v="9"/>
    <x v="27"/>
    <s v="Non need-based"/>
    <m/>
    <m/>
    <x v="12"/>
    <m/>
    <m/>
    <m/>
    <m/>
    <m/>
    <m/>
    <m/>
    <m/>
    <n v="0"/>
    <m/>
    <m/>
    <n v="0"/>
    <n v="0"/>
    <n v="0"/>
    <m/>
    <m/>
    <m/>
    <m/>
    <n v="0"/>
    <m/>
    <m/>
    <n v="0"/>
    <m/>
    <m/>
    <m/>
    <m/>
    <m/>
    <m/>
    <n v="0"/>
    <n v="0"/>
  </r>
  <r>
    <x v="9"/>
    <x v="31"/>
    <s v="Amount to private sector students"/>
    <m/>
    <m/>
    <x v="12"/>
    <m/>
    <m/>
    <m/>
    <m/>
    <m/>
    <m/>
    <m/>
    <m/>
    <n v="0"/>
    <m/>
    <m/>
    <n v="0"/>
    <n v="0"/>
    <n v="0"/>
    <m/>
    <m/>
    <m/>
    <m/>
    <n v="0"/>
    <m/>
    <m/>
    <n v="0"/>
    <m/>
    <m/>
    <m/>
    <m/>
    <m/>
    <m/>
    <n v="0"/>
    <n v="0"/>
  </r>
  <r>
    <x v="9"/>
    <x v="32"/>
    <s v="Need-based"/>
    <m/>
    <m/>
    <x v="12"/>
    <m/>
    <m/>
    <m/>
    <m/>
    <m/>
    <m/>
    <m/>
    <m/>
    <n v="0"/>
    <m/>
    <m/>
    <n v="0"/>
    <n v="0"/>
    <n v="0"/>
    <m/>
    <m/>
    <m/>
    <m/>
    <n v="0"/>
    <m/>
    <m/>
    <n v="0"/>
    <m/>
    <m/>
    <m/>
    <m/>
    <m/>
    <m/>
    <n v="0"/>
    <n v="0"/>
  </r>
  <r>
    <x v="9"/>
    <x v="27"/>
    <s v="Non need-based"/>
    <m/>
    <m/>
    <x v="12"/>
    <m/>
    <m/>
    <m/>
    <m/>
    <m/>
    <m/>
    <m/>
    <m/>
    <n v="0"/>
    <m/>
    <m/>
    <n v="0"/>
    <n v="0"/>
    <n v="0"/>
    <m/>
    <m/>
    <m/>
    <m/>
    <n v="0"/>
    <m/>
    <m/>
    <n v="0"/>
    <m/>
    <m/>
    <m/>
    <m/>
    <m/>
    <m/>
    <n v="0"/>
    <n v="0"/>
  </r>
  <r>
    <x v="9"/>
    <x v="25"/>
    <s v="Forgivable Education Loans for Service"/>
    <m/>
    <m/>
    <x v="12"/>
    <m/>
    <m/>
    <m/>
    <m/>
    <m/>
    <m/>
    <m/>
    <m/>
    <n v="0"/>
    <m/>
    <m/>
    <n v="0"/>
    <n v="0"/>
    <n v="0"/>
    <m/>
    <m/>
    <m/>
    <m/>
    <n v="0"/>
    <m/>
    <m/>
    <n v="0"/>
    <m/>
    <m/>
    <m/>
    <m/>
    <m/>
    <m/>
    <n v="0"/>
    <n v="0"/>
  </r>
  <r>
    <x v="9"/>
    <x v="26"/>
    <s v="Need-based"/>
    <m/>
    <m/>
    <x v="12"/>
    <m/>
    <m/>
    <m/>
    <m/>
    <m/>
    <m/>
    <m/>
    <m/>
    <n v="0"/>
    <m/>
    <m/>
    <n v="0"/>
    <n v="0"/>
    <n v="0"/>
    <m/>
    <m/>
    <m/>
    <m/>
    <n v="0"/>
    <m/>
    <m/>
    <n v="0"/>
    <m/>
    <m/>
    <m/>
    <m/>
    <m/>
    <m/>
    <n v="0"/>
    <n v="0"/>
  </r>
  <r>
    <x v="9"/>
    <x v="27"/>
    <s v="Non need-based"/>
    <m/>
    <m/>
    <x v="12"/>
    <m/>
    <m/>
    <m/>
    <m/>
    <m/>
    <m/>
    <m/>
    <m/>
    <n v="0"/>
    <m/>
    <m/>
    <n v="0"/>
    <n v="0"/>
    <n v="0"/>
    <n v="16857166"/>
    <n v="16594166"/>
    <m/>
    <m/>
    <n v="0"/>
    <m/>
    <m/>
    <n v="0"/>
    <m/>
    <m/>
    <m/>
    <m/>
    <m/>
    <m/>
    <n v="16857166"/>
    <n v="16594166"/>
  </r>
  <r>
    <x v="9"/>
    <x v="28"/>
    <s v="Amount to public sector students"/>
    <m/>
    <m/>
    <x v="12"/>
    <m/>
    <m/>
    <m/>
    <m/>
    <m/>
    <m/>
    <m/>
    <m/>
    <n v="0"/>
    <m/>
    <m/>
    <n v="0"/>
    <n v="0"/>
    <n v="0"/>
    <m/>
    <m/>
    <m/>
    <m/>
    <n v="0"/>
    <m/>
    <m/>
    <n v="0"/>
    <m/>
    <m/>
    <m/>
    <m/>
    <m/>
    <m/>
    <n v="0"/>
    <n v="0"/>
  </r>
  <r>
    <x v="9"/>
    <x v="29"/>
    <s v="Need-based"/>
    <m/>
    <m/>
    <x v="12"/>
    <m/>
    <m/>
    <m/>
    <m/>
    <m/>
    <m/>
    <m/>
    <m/>
    <n v="0"/>
    <m/>
    <m/>
    <n v="0"/>
    <n v="0"/>
    <n v="0"/>
    <m/>
    <m/>
    <m/>
    <m/>
    <n v="0"/>
    <m/>
    <m/>
    <n v="0"/>
    <m/>
    <m/>
    <m/>
    <m/>
    <m/>
    <m/>
    <n v="0"/>
    <n v="0"/>
  </r>
  <r>
    <x v="9"/>
    <x v="27"/>
    <s v="Non need-based"/>
    <m/>
    <m/>
    <x v="12"/>
    <m/>
    <m/>
    <m/>
    <m/>
    <m/>
    <m/>
    <m/>
    <m/>
    <n v="0"/>
    <m/>
    <m/>
    <n v="0"/>
    <n v="0"/>
    <n v="0"/>
    <m/>
    <m/>
    <m/>
    <m/>
    <n v="0"/>
    <m/>
    <m/>
    <n v="0"/>
    <m/>
    <m/>
    <m/>
    <m/>
    <m/>
    <m/>
    <n v="0"/>
    <n v="0"/>
  </r>
  <r>
    <x v="9"/>
    <x v="31"/>
    <s v="Amount to private sector students"/>
    <m/>
    <m/>
    <x v="12"/>
    <m/>
    <m/>
    <m/>
    <m/>
    <m/>
    <m/>
    <m/>
    <m/>
    <n v="0"/>
    <m/>
    <m/>
    <n v="0"/>
    <n v="0"/>
    <n v="0"/>
    <m/>
    <m/>
    <m/>
    <m/>
    <n v="0"/>
    <m/>
    <m/>
    <n v="0"/>
    <m/>
    <m/>
    <m/>
    <m/>
    <m/>
    <m/>
    <n v="0"/>
    <n v="0"/>
  </r>
  <r>
    <x v="9"/>
    <x v="32"/>
    <s v="Need-based"/>
    <m/>
    <m/>
    <x v="12"/>
    <m/>
    <m/>
    <m/>
    <m/>
    <m/>
    <m/>
    <m/>
    <m/>
    <n v="0"/>
    <m/>
    <m/>
    <n v="0"/>
    <n v="0"/>
    <n v="0"/>
    <m/>
    <m/>
    <m/>
    <m/>
    <n v="0"/>
    <m/>
    <m/>
    <n v="0"/>
    <m/>
    <m/>
    <m/>
    <m/>
    <m/>
    <m/>
    <n v="0"/>
    <n v="0"/>
  </r>
  <r>
    <x v="9"/>
    <x v="27"/>
    <s v="Non need-based"/>
    <m/>
    <m/>
    <x v="12"/>
    <m/>
    <m/>
    <m/>
    <m/>
    <m/>
    <m/>
    <m/>
    <m/>
    <n v="0"/>
    <m/>
    <m/>
    <n v="0"/>
    <n v="0"/>
    <n v="0"/>
    <m/>
    <m/>
    <m/>
    <m/>
    <n v="0"/>
    <m/>
    <m/>
    <n v="0"/>
    <m/>
    <m/>
    <m/>
    <m/>
    <m/>
    <m/>
    <n v="0"/>
    <n v="0"/>
  </r>
  <r>
    <x v="9"/>
    <x v="34"/>
    <s v="Limited to public college students only"/>
    <m/>
    <m/>
    <x v="12"/>
    <m/>
    <m/>
    <m/>
    <m/>
    <m/>
    <m/>
    <m/>
    <m/>
    <n v="0"/>
    <m/>
    <m/>
    <n v="0"/>
    <n v="0"/>
    <n v="0"/>
    <m/>
    <m/>
    <m/>
    <m/>
    <n v="0"/>
    <m/>
    <m/>
    <n v="0"/>
    <m/>
    <m/>
    <m/>
    <m/>
    <m/>
    <m/>
    <n v="0"/>
    <n v="0"/>
  </r>
  <r>
    <x v="9"/>
    <x v="34"/>
    <s v="UNC Need-Based Grant"/>
    <m/>
    <m/>
    <x v="12"/>
    <m/>
    <m/>
    <m/>
    <m/>
    <m/>
    <m/>
    <m/>
    <m/>
    <n v="0"/>
    <m/>
    <m/>
    <n v="0"/>
    <n v="0"/>
    <n v="0"/>
    <m/>
    <m/>
    <m/>
    <m/>
    <n v="0"/>
    <m/>
    <m/>
    <n v="0"/>
    <m/>
    <m/>
    <m/>
    <m/>
    <m/>
    <m/>
    <n v="0"/>
    <n v="0"/>
  </r>
  <r>
    <x v="9"/>
    <x v="35"/>
    <s v="Need-based"/>
    <m/>
    <m/>
    <x v="12"/>
    <m/>
    <m/>
    <m/>
    <m/>
    <m/>
    <m/>
    <m/>
    <m/>
    <n v="0"/>
    <m/>
    <m/>
    <n v="0"/>
    <n v="0"/>
    <n v="0"/>
    <n v="144455208"/>
    <n v="122372842"/>
    <m/>
    <m/>
    <n v="0"/>
    <m/>
    <m/>
    <n v="0"/>
    <m/>
    <m/>
    <m/>
    <m/>
    <m/>
    <m/>
    <n v="144455208"/>
    <n v="122372842"/>
  </r>
  <r>
    <x v="9"/>
    <x v="36"/>
    <s v="Non need-based"/>
    <m/>
    <m/>
    <x v="12"/>
    <m/>
    <m/>
    <m/>
    <m/>
    <m/>
    <m/>
    <m/>
    <m/>
    <n v="0"/>
    <m/>
    <m/>
    <n v="0"/>
    <n v="0"/>
    <n v="0"/>
    <m/>
    <m/>
    <m/>
    <m/>
    <n v="0"/>
    <m/>
    <m/>
    <n v="0"/>
    <m/>
    <m/>
    <m/>
    <m/>
    <m/>
    <m/>
    <n v="0"/>
    <n v="0"/>
  </r>
  <r>
    <x v="9"/>
    <x v="34"/>
    <s v="NCSSM Tuition Grant"/>
    <m/>
    <m/>
    <x v="12"/>
    <m/>
    <m/>
    <m/>
    <m/>
    <m/>
    <m/>
    <m/>
    <m/>
    <n v="0"/>
    <m/>
    <m/>
    <n v="0"/>
    <n v="0"/>
    <n v="0"/>
    <m/>
    <m/>
    <m/>
    <m/>
    <n v="0"/>
    <m/>
    <m/>
    <n v="0"/>
    <m/>
    <m/>
    <m/>
    <m/>
    <m/>
    <m/>
    <n v="0"/>
    <n v="0"/>
  </r>
  <r>
    <x v="9"/>
    <x v="35"/>
    <s v="Need-based"/>
    <m/>
    <m/>
    <x v="12"/>
    <m/>
    <m/>
    <m/>
    <m/>
    <m/>
    <m/>
    <m/>
    <m/>
    <n v="0"/>
    <m/>
    <m/>
    <n v="0"/>
    <n v="0"/>
    <n v="0"/>
    <m/>
    <m/>
    <m/>
    <m/>
    <n v="0"/>
    <m/>
    <m/>
    <n v="0"/>
    <m/>
    <m/>
    <m/>
    <m/>
    <m/>
    <m/>
    <n v="0"/>
    <n v="0"/>
  </r>
  <r>
    <x v="9"/>
    <x v="36"/>
    <s v="Non need-based"/>
    <m/>
    <m/>
    <x v="12"/>
    <m/>
    <m/>
    <m/>
    <m/>
    <m/>
    <m/>
    <m/>
    <m/>
    <n v="0"/>
    <m/>
    <m/>
    <n v="0"/>
    <n v="0"/>
    <n v="0"/>
    <n v="2193121"/>
    <n v="1220765"/>
    <m/>
    <m/>
    <n v="0"/>
    <m/>
    <m/>
    <n v="0"/>
    <m/>
    <m/>
    <m/>
    <m/>
    <m/>
    <m/>
    <n v="2193121"/>
    <n v="1220765"/>
  </r>
  <r>
    <x v="9"/>
    <x v="34"/>
    <s v="Teacher Assistant Scholarships"/>
    <m/>
    <m/>
    <x v="12"/>
    <m/>
    <m/>
    <m/>
    <m/>
    <m/>
    <m/>
    <m/>
    <m/>
    <n v="0"/>
    <m/>
    <m/>
    <n v="0"/>
    <n v="0"/>
    <n v="0"/>
    <m/>
    <m/>
    <m/>
    <m/>
    <n v="0"/>
    <m/>
    <m/>
    <n v="0"/>
    <m/>
    <m/>
    <m/>
    <m/>
    <m/>
    <m/>
    <n v="0"/>
    <n v="0"/>
  </r>
  <r>
    <x v="9"/>
    <x v="35"/>
    <s v="Need-based"/>
    <m/>
    <m/>
    <x v="12"/>
    <m/>
    <m/>
    <m/>
    <m/>
    <m/>
    <m/>
    <m/>
    <m/>
    <n v="0"/>
    <m/>
    <m/>
    <n v="0"/>
    <n v="0"/>
    <n v="0"/>
    <n v="0"/>
    <m/>
    <m/>
    <m/>
    <n v="0"/>
    <m/>
    <m/>
    <n v="0"/>
    <m/>
    <m/>
    <m/>
    <m/>
    <m/>
    <m/>
    <n v="0"/>
    <n v="0"/>
  </r>
  <r>
    <x v="9"/>
    <x v="36"/>
    <s v="Non need-based"/>
    <m/>
    <m/>
    <x v="12"/>
    <m/>
    <m/>
    <m/>
    <m/>
    <m/>
    <m/>
    <m/>
    <m/>
    <n v="0"/>
    <m/>
    <m/>
    <n v="0"/>
    <n v="0"/>
    <n v="0"/>
    <m/>
    <m/>
    <m/>
    <m/>
    <n v="0"/>
    <m/>
    <m/>
    <n v="0"/>
    <m/>
    <m/>
    <m/>
    <m/>
    <m/>
    <m/>
    <n v="0"/>
    <n v="0"/>
  </r>
  <r>
    <x v="9"/>
    <x v="34"/>
    <s v="Board of Governor's Dental Scholarships"/>
    <m/>
    <m/>
    <x v="12"/>
    <m/>
    <m/>
    <m/>
    <m/>
    <m/>
    <m/>
    <m/>
    <m/>
    <n v="0"/>
    <m/>
    <m/>
    <n v="0"/>
    <n v="0"/>
    <n v="0"/>
    <m/>
    <m/>
    <m/>
    <m/>
    <n v="0"/>
    <m/>
    <m/>
    <n v="0"/>
    <m/>
    <m/>
    <m/>
    <m/>
    <m/>
    <m/>
    <n v="0"/>
    <n v="0"/>
  </r>
  <r>
    <x v="9"/>
    <x v="35"/>
    <s v="Need-based"/>
    <m/>
    <m/>
    <x v="12"/>
    <m/>
    <m/>
    <m/>
    <m/>
    <m/>
    <m/>
    <m/>
    <m/>
    <n v="0"/>
    <m/>
    <m/>
    <n v="0"/>
    <n v="0"/>
    <n v="0"/>
    <n v="0"/>
    <m/>
    <m/>
    <m/>
    <n v="0"/>
    <m/>
    <m/>
    <n v="0"/>
    <m/>
    <m/>
    <m/>
    <m/>
    <m/>
    <m/>
    <n v="0"/>
    <n v="0"/>
  </r>
  <r>
    <x v="9"/>
    <x v="36"/>
    <s v="Non need-based"/>
    <m/>
    <m/>
    <x v="12"/>
    <m/>
    <m/>
    <m/>
    <m/>
    <m/>
    <m/>
    <m/>
    <m/>
    <n v="0"/>
    <m/>
    <m/>
    <n v="0"/>
    <n v="0"/>
    <n v="0"/>
    <m/>
    <m/>
    <m/>
    <m/>
    <n v="0"/>
    <m/>
    <m/>
    <n v="0"/>
    <m/>
    <m/>
    <m/>
    <m/>
    <m/>
    <m/>
    <n v="0"/>
    <n v="0"/>
  </r>
  <r>
    <x v="9"/>
    <x v="34"/>
    <s v="Principal Fellows Program"/>
    <m/>
    <m/>
    <x v="12"/>
    <m/>
    <m/>
    <m/>
    <m/>
    <m/>
    <m/>
    <m/>
    <m/>
    <n v="0"/>
    <m/>
    <m/>
    <n v="0"/>
    <n v="0"/>
    <n v="0"/>
    <m/>
    <m/>
    <m/>
    <m/>
    <n v="0"/>
    <m/>
    <m/>
    <n v="0"/>
    <m/>
    <m/>
    <m/>
    <m/>
    <m/>
    <m/>
    <n v="0"/>
    <n v="0"/>
  </r>
  <r>
    <x v="9"/>
    <x v="35"/>
    <s v="Need-based"/>
    <m/>
    <m/>
    <x v="12"/>
    <m/>
    <m/>
    <m/>
    <m/>
    <m/>
    <m/>
    <m/>
    <m/>
    <n v="0"/>
    <m/>
    <m/>
    <n v="0"/>
    <n v="0"/>
    <n v="0"/>
    <m/>
    <m/>
    <m/>
    <m/>
    <n v="0"/>
    <m/>
    <m/>
    <n v="0"/>
    <m/>
    <m/>
    <m/>
    <m/>
    <m/>
    <m/>
    <n v="0"/>
    <n v="0"/>
  </r>
  <r>
    <x v="9"/>
    <x v="36"/>
    <s v="Non need-based"/>
    <m/>
    <m/>
    <x v="12"/>
    <m/>
    <m/>
    <m/>
    <m/>
    <m/>
    <m/>
    <m/>
    <m/>
    <n v="0"/>
    <m/>
    <m/>
    <n v="0"/>
    <n v="0"/>
    <n v="0"/>
    <n v="3258000"/>
    <n v="3258000"/>
    <m/>
    <m/>
    <n v="0"/>
    <m/>
    <m/>
    <n v="0"/>
    <m/>
    <m/>
    <m/>
    <m/>
    <m/>
    <m/>
    <n v="3258000"/>
    <n v="3258000"/>
  </r>
  <r>
    <x v="9"/>
    <x v="37"/>
    <s v="Limited to private college students"/>
    <m/>
    <m/>
    <x v="12"/>
    <m/>
    <m/>
    <m/>
    <m/>
    <m/>
    <m/>
    <m/>
    <m/>
    <n v="0"/>
    <m/>
    <m/>
    <n v="0"/>
    <n v="0"/>
    <n v="0"/>
    <m/>
    <m/>
    <m/>
    <m/>
    <n v="0"/>
    <m/>
    <m/>
    <n v="0"/>
    <m/>
    <m/>
    <m/>
    <m/>
    <m/>
    <m/>
    <n v="0"/>
    <n v="0"/>
  </r>
  <r>
    <x v="9"/>
    <x v="37"/>
    <s v="State Contractual Scholarship Fund"/>
    <m/>
    <m/>
    <x v="12"/>
    <m/>
    <m/>
    <m/>
    <m/>
    <m/>
    <m/>
    <m/>
    <m/>
    <n v="0"/>
    <m/>
    <m/>
    <n v="0"/>
    <n v="0"/>
    <n v="0"/>
    <m/>
    <m/>
    <m/>
    <m/>
    <n v="0"/>
    <m/>
    <m/>
    <n v="0"/>
    <m/>
    <m/>
    <m/>
    <m/>
    <m/>
    <m/>
    <n v="0"/>
    <n v="0"/>
  </r>
  <r>
    <x v="9"/>
    <x v="38"/>
    <s v="Need-based"/>
    <m/>
    <m/>
    <x v="12"/>
    <m/>
    <m/>
    <m/>
    <m/>
    <m/>
    <m/>
    <m/>
    <m/>
    <n v="0"/>
    <m/>
    <m/>
    <n v="0"/>
    <n v="0"/>
    <n v="0"/>
    <m/>
    <m/>
    <m/>
    <m/>
    <n v="0"/>
    <m/>
    <m/>
    <n v="0"/>
    <m/>
    <m/>
    <m/>
    <m/>
    <m/>
    <m/>
    <n v="0"/>
    <n v="0"/>
  </r>
  <r>
    <x v="9"/>
    <x v="39"/>
    <s v="Non need-based"/>
    <m/>
    <m/>
    <x v="12"/>
    <m/>
    <m/>
    <m/>
    <m/>
    <m/>
    <m/>
    <m/>
    <m/>
    <n v="0"/>
    <m/>
    <m/>
    <n v="0"/>
    <n v="0"/>
    <n v="0"/>
    <m/>
    <m/>
    <m/>
    <m/>
    <n v="0"/>
    <m/>
    <m/>
    <n v="0"/>
    <m/>
    <m/>
    <m/>
    <m/>
    <m/>
    <m/>
    <n v="0"/>
    <n v="0"/>
  </r>
  <r>
    <x v="9"/>
    <x v="37"/>
    <s v="Private College Need Based Aid"/>
    <m/>
    <m/>
    <x v="12"/>
    <m/>
    <m/>
    <m/>
    <m/>
    <m/>
    <m/>
    <m/>
    <m/>
    <n v="0"/>
    <m/>
    <m/>
    <n v="0"/>
    <n v="0"/>
    <n v="0"/>
    <m/>
    <m/>
    <m/>
    <m/>
    <n v="0"/>
    <m/>
    <m/>
    <n v="0"/>
    <m/>
    <m/>
    <m/>
    <m/>
    <m/>
    <m/>
    <n v="0"/>
    <n v="0"/>
  </r>
  <r>
    <x v="9"/>
    <x v="38"/>
    <s v="Need-based"/>
    <m/>
    <m/>
    <x v="12"/>
    <m/>
    <m/>
    <m/>
    <m/>
    <m/>
    <m/>
    <m/>
    <m/>
    <n v="0"/>
    <m/>
    <m/>
    <n v="0"/>
    <n v="0"/>
    <n v="0"/>
    <n v="86351547"/>
    <n v="86351588"/>
    <m/>
    <m/>
    <n v="0"/>
    <m/>
    <m/>
    <n v="0"/>
    <m/>
    <m/>
    <m/>
    <m/>
    <m/>
    <m/>
    <n v="86351547"/>
    <n v="86351588"/>
  </r>
  <r>
    <x v="9"/>
    <x v="39"/>
    <s v="Non need-based"/>
    <m/>
    <m/>
    <x v="12"/>
    <m/>
    <m/>
    <m/>
    <m/>
    <m/>
    <m/>
    <m/>
    <m/>
    <n v="0"/>
    <m/>
    <m/>
    <n v="0"/>
    <n v="0"/>
    <n v="0"/>
    <m/>
    <m/>
    <m/>
    <m/>
    <n v="0"/>
    <m/>
    <m/>
    <n v="0"/>
    <m/>
    <m/>
    <m/>
    <m/>
    <m/>
    <m/>
    <n v="0"/>
    <n v="0"/>
  </r>
  <r>
    <x v="9"/>
    <x v="37"/>
    <s v="Legislative Tuition Grant"/>
    <m/>
    <m/>
    <x v="12"/>
    <m/>
    <m/>
    <m/>
    <m/>
    <m/>
    <m/>
    <m/>
    <m/>
    <n v="0"/>
    <m/>
    <m/>
    <n v="0"/>
    <n v="0"/>
    <n v="0"/>
    <m/>
    <m/>
    <m/>
    <m/>
    <n v="0"/>
    <m/>
    <m/>
    <n v="0"/>
    <m/>
    <m/>
    <m/>
    <m/>
    <m/>
    <m/>
    <n v="0"/>
    <n v="0"/>
  </r>
  <r>
    <x v="9"/>
    <x v="38"/>
    <s v="Need-based"/>
    <m/>
    <m/>
    <x v="12"/>
    <m/>
    <m/>
    <m/>
    <m/>
    <m/>
    <m/>
    <m/>
    <m/>
    <n v="0"/>
    <m/>
    <m/>
    <n v="0"/>
    <n v="0"/>
    <n v="0"/>
    <m/>
    <m/>
    <m/>
    <m/>
    <n v="0"/>
    <m/>
    <m/>
    <n v="0"/>
    <m/>
    <m/>
    <m/>
    <m/>
    <m/>
    <m/>
    <n v="0"/>
    <n v="0"/>
  </r>
  <r>
    <x v="9"/>
    <x v="39"/>
    <s v="Non need-based"/>
    <m/>
    <m/>
    <x v="12"/>
    <m/>
    <m/>
    <m/>
    <m/>
    <m/>
    <m/>
    <m/>
    <m/>
    <n v="0"/>
    <m/>
    <m/>
    <n v="0"/>
    <n v="0"/>
    <n v="0"/>
    <m/>
    <m/>
    <m/>
    <m/>
    <n v="0"/>
    <m/>
    <m/>
    <n v="0"/>
    <m/>
    <m/>
    <m/>
    <m/>
    <m/>
    <m/>
    <n v="0"/>
    <n v="0"/>
  </r>
  <r>
    <x v="9"/>
    <x v="0"/>
    <s v="Asheville-Buncombe Technical Community College"/>
    <m/>
    <n v="197887"/>
    <x v="6"/>
    <n v="22260342"/>
    <n v="21678608"/>
    <m/>
    <m/>
    <n v="8552201"/>
    <n v="8377999"/>
    <n v="10145608"/>
    <m/>
    <n v="10145608"/>
    <n v="11368277"/>
    <m/>
    <n v="11368277"/>
    <n v="40958151"/>
    <n v="41424884"/>
    <m/>
    <m/>
    <m/>
    <m/>
    <n v="0"/>
    <m/>
    <m/>
    <n v="0"/>
    <m/>
    <m/>
    <m/>
    <m/>
    <m/>
    <m/>
    <n v="40958151"/>
    <n v="41424884"/>
  </r>
  <r>
    <x v="9"/>
    <x v="0"/>
    <s v="Nursing / allied health supplement"/>
    <m/>
    <n v="197887"/>
    <x v="6"/>
    <m/>
    <m/>
    <m/>
    <m/>
    <m/>
    <m/>
    <m/>
    <m/>
    <n v="0"/>
    <m/>
    <m/>
    <n v="0"/>
    <n v="0"/>
    <n v="0"/>
    <m/>
    <m/>
    <m/>
    <m/>
    <n v="0"/>
    <m/>
    <m/>
    <n v="0"/>
    <m/>
    <m/>
    <m/>
    <m/>
    <m/>
    <m/>
    <n v="0"/>
    <n v="0"/>
  </r>
  <r>
    <x v="9"/>
    <x v="3"/>
    <s v="Community or public service units"/>
    <m/>
    <n v="197887"/>
    <x v="6"/>
    <m/>
    <m/>
    <n v="172836"/>
    <n v="171867"/>
    <m/>
    <m/>
    <m/>
    <m/>
    <n v="0"/>
    <m/>
    <m/>
    <n v="0"/>
    <n v="172836"/>
    <n v="171867"/>
    <m/>
    <m/>
    <m/>
    <m/>
    <n v="0"/>
    <m/>
    <m/>
    <n v="0"/>
    <m/>
    <m/>
    <m/>
    <m/>
    <m/>
    <m/>
    <n v="172836"/>
    <n v="171867"/>
  </r>
  <r>
    <x v="9"/>
    <x v="44"/>
    <s v="Non-credit continuing education"/>
    <m/>
    <n v="197887"/>
    <x v="6"/>
    <m/>
    <m/>
    <n v="2897307"/>
    <n v="2802021"/>
    <m/>
    <m/>
    <n v="574408"/>
    <m/>
    <n v="574408"/>
    <n v="400836"/>
    <m/>
    <n v="400836"/>
    <n v="3471715"/>
    <n v="3202857"/>
    <m/>
    <m/>
    <m/>
    <m/>
    <n v="0"/>
    <m/>
    <m/>
    <n v="0"/>
    <m/>
    <m/>
    <m/>
    <m/>
    <m/>
    <m/>
    <n v="3471715"/>
    <n v="3202857"/>
  </r>
  <r>
    <x v="9"/>
    <x v="0"/>
    <s v="Cape Fear Community College"/>
    <m/>
    <n v="198154"/>
    <x v="6"/>
    <n v="26491345"/>
    <n v="27519886"/>
    <m/>
    <m/>
    <n v="7302917"/>
    <n v="8742644"/>
    <n v="15713317"/>
    <m/>
    <n v="15713317"/>
    <n v="13886704"/>
    <m/>
    <n v="13886704"/>
    <n v="49507579"/>
    <n v="50149234"/>
    <m/>
    <m/>
    <m/>
    <m/>
    <n v="0"/>
    <m/>
    <m/>
    <n v="0"/>
    <m/>
    <m/>
    <m/>
    <m/>
    <m/>
    <m/>
    <n v="49507579"/>
    <n v="50149234"/>
  </r>
  <r>
    <x v="9"/>
    <x v="0"/>
    <s v="Nursing / allied health supplement"/>
    <m/>
    <n v="198154"/>
    <x v="6"/>
    <m/>
    <m/>
    <m/>
    <m/>
    <m/>
    <m/>
    <m/>
    <m/>
    <n v="0"/>
    <m/>
    <m/>
    <n v="0"/>
    <n v="0"/>
    <n v="0"/>
    <m/>
    <m/>
    <m/>
    <m/>
    <n v="0"/>
    <m/>
    <m/>
    <n v="0"/>
    <m/>
    <m/>
    <m/>
    <m/>
    <m/>
    <m/>
    <n v="0"/>
    <n v="0"/>
  </r>
  <r>
    <x v="9"/>
    <x v="3"/>
    <s v="Community or public service units"/>
    <m/>
    <n v="198154"/>
    <x v="6"/>
    <m/>
    <m/>
    <n v="170496"/>
    <n v="170138"/>
    <m/>
    <m/>
    <m/>
    <m/>
    <n v="0"/>
    <m/>
    <m/>
    <n v="0"/>
    <n v="170496"/>
    <n v="170138"/>
    <m/>
    <m/>
    <m/>
    <m/>
    <n v="0"/>
    <m/>
    <m/>
    <n v="0"/>
    <m/>
    <m/>
    <m/>
    <m/>
    <m/>
    <m/>
    <n v="170496"/>
    <n v="170138"/>
  </r>
  <r>
    <x v="9"/>
    <x v="44"/>
    <s v="Non-credit continuing education"/>
    <m/>
    <n v="198154"/>
    <x v="6"/>
    <m/>
    <m/>
    <n v="3646650"/>
    <n v="3623753"/>
    <m/>
    <m/>
    <n v="676478"/>
    <m/>
    <n v="676478"/>
    <n v="510385"/>
    <m/>
    <n v="510385"/>
    <n v="4323128"/>
    <n v="4134138"/>
    <m/>
    <m/>
    <m/>
    <m/>
    <n v="0"/>
    <m/>
    <m/>
    <n v="0"/>
    <m/>
    <m/>
    <m/>
    <m/>
    <m/>
    <m/>
    <n v="4323128"/>
    <n v="4134138"/>
  </r>
  <r>
    <x v="9"/>
    <x v="0"/>
    <s v="Central Piedmont Community College "/>
    <m/>
    <n v="198260"/>
    <x v="6"/>
    <n v="47092266"/>
    <n v="48697813"/>
    <m/>
    <m/>
    <n v="27099486"/>
    <n v="30883974"/>
    <n v="27547487"/>
    <m/>
    <n v="27547487"/>
    <n v="25517884"/>
    <m/>
    <n v="25517884"/>
    <n v="101739239"/>
    <n v="105099671"/>
    <m/>
    <m/>
    <m/>
    <m/>
    <n v="0"/>
    <m/>
    <m/>
    <n v="0"/>
    <m/>
    <m/>
    <m/>
    <m/>
    <m/>
    <m/>
    <n v="101739239"/>
    <n v="105099671"/>
  </r>
  <r>
    <x v="9"/>
    <x v="0"/>
    <s v="Nursing / allied health supplement"/>
    <m/>
    <n v="198260"/>
    <x v="6"/>
    <m/>
    <m/>
    <m/>
    <m/>
    <m/>
    <m/>
    <m/>
    <m/>
    <n v="0"/>
    <m/>
    <m/>
    <n v="0"/>
    <n v="0"/>
    <n v="0"/>
    <m/>
    <m/>
    <m/>
    <m/>
    <n v="0"/>
    <m/>
    <m/>
    <n v="0"/>
    <m/>
    <m/>
    <m/>
    <m/>
    <m/>
    <m/>
    <n v="0"/>
    <n v="0"/>
  </r>
  <r>
    <x v="9"/>
    <x v="3"/>
    <s v="Community or public service units"/>
    <m/>
    <n v="198260"/>
    <x v="6"/>
    <m/>
    <m/>
    <n v="172760"/>
    <n v="174083"/>
    <m/>
    <m/>
    <m/>
    <m/>
    <n v="0"/>
    <m/>
    <m/>
    <n v="0"/>
    <n v="172760"/>
    <n v="174083"/>
    <m/>
    <m/>
    <m/>
    <m/>
    <n v="0"/>
    <m/>
    <m/>
    <n v="0"/>
    <m/>
    <m/>
    <m/>
    <m/>
    <m/>
    <m/>
    <n v="172760"/>
    <n v="174083"/>
  </r>
  <r>
    <x v="9"/>
    <x v="44"/>
    <s v="Non-credit continuing education"/>
    <m/>
    <n v="198260"/>
    <x v="6"/>
    <m/>
    <m/>
    <n v="5682009"/>
    <n v="5816929"/>
    <m/>
    <m/>
    <n v="720829"/>
    <m/>
    <n v="720829"/>
    <n v="343211"/>
    <m/>
    <n v="343211"/>
    <n v="6402838"/>
    <n v="6160140"/>
    <m/>
    <m/>
    <m/>
    <m/>
    <n v="0"/>
    <m/>
    <m/>
    <n v="0"/>
    <m/>
    <m/>
    <m/>
    <m/>
    <m/>
    <m/>
    <n v="6402838"/>
    <n v="6160140"/>
  </r>
  <r>
    <x v="9"/>
    <x v="0"/>
    <s v="Fayetteville Technical Community College"/>
    <m/>
    <n v="198534"/>
    <x v="6"/>
    <n v="33573742"/>
    <n v="34192676"/>
    <m/>
    <m/>
    <n v="10350038"/>
    <n v="10662223"/>
    <n v="15900637"/>
    <m/>
    <n v="15900637"/>
    <n v="16637211"/>
    <m/>
    <n v="16637211"/>
    <n v="59824417"/>
    <n v="61492110"/>
    <m/>
    <m/>
    <m/>
    <m/>
    <n v="0"/>
    <m/>
    <m/>
    <n v="0"/>
    <m/>
    <m/>
    <m/>
    <m/>
    <m/>
    <m/>
    <n v="59824417"/>
    <n v="61492110"/>
  </r>
  <r>
    <x v="9"/>
    <x v="0"/>
    <s v="Nursing / allied health supplement"/>
    <m/>
    <n v="198534"/>
    <x v="6"/>
    <m/>
    <m/>
    <m/>
    <m/>
    <m/>
    <m/>
    <m/>
    <m/>
    <n v="0"/>
    <m/>
    <m/>
    <n v="0"/>
    <n v="0"/>
    <n v="0"/>
    <m/>
    <m/>
    <m/>
    <m/>
    <n v="0"/>
    <m/>
    <m/>
    <n v="0"/>
    <m/>
    <m/>
    <m/>
    <m/>
    <m/>
    <m/>
    <n v="0"/>
    <n v="0"/>
  </r>
  <r>
    <x v="9"/>
    <x v="3"/>
    <s v="Community or public service units"/>
    <m/>
    <n v="198534"/>
    <x v="6"/>
    <m/>
    <m/>
    <n v="168987"/>
    <n v="168895"/>
    <m/>
    <m/>
    <m/>
    <m/>
    <n v="0"/>
    <m/>
    <m/>
    <n v="0"/>
    <n v="168987"/>
    <n v="168895"/>
    <m/>
    <m/>
    <m/>
    <m/>
    <n v="0"/>
    <m/>
    <m/>
    <n v="0"/>
    <m/>
    <m/>
    <m/>
    <m/>
    <m/>
    <m/>
    <n v="168987"/>
    <n v="168895"/>
  </r>
  <r>
    <x v="9"/>
    <x v="44"/>
    <s v="Non-credit continuing education"/>
    <m/>
    <n v="198534"/>
    <x v="6"/>
    <m/>
    <m/>
    <n v="8158901"/>
    <n v="7766021"/>
    <m/>
    <m/>
    <n v="1451168"/>
    <m/>
    <n v="1451168"/>
    <n v="1224670"/>
    <m/>
    <n v="1224670"/>
    <n v="9610069"/>
    <n v="8990691"/>
    <m/>
    <m/>
    <m/>
    <m/>
    <n v="0"/>
    <m/>
    <m/>
    <n v="0"/>
    <m/>
    <m/>
    <m/>
    <m/>
    <m/>
    <m/>
    <n v="9610069"/>
    <n v="8990691"/>
  </r>
  <r>
    <x v="9"/>
    <x v="0"/>
    <s v="Forsyth Technical Community College"/>
    <m/>
    <n v="198552"/>
    <x v="6"/>
    <n v="26821671"/>
    <n v="26585395"/>
    <m/>
    <m/>
    <n v="8123096"/>
    <n v="8451742"/>
    <n v="14459125"/>
    <m/>
    <n v="14459125"/>
    <n v="13971921"/>
    <m/>
    <n v="13971921"/>
    <n v="49403892"/>
    <n v="49009058"/>
    <m/>
    <m/>
    <m/>
    <m/>
    <n v="0"/>
    <m/>
    <m/>
    <n v="0"/>
    <m/>
    <m/>
    <m/>
    <m/>
    <m/>
    <m/>
    <n v="49403892"/>
    <n v="49009058"/>
  </r>
  <r>
    <x v="9"/>
    <x v="0"/>
    <s v="Nursing / allied health supplement"/>
    <m/>
    <n v="198552"/>
    <x v="6"/>
    <m/>
    <m/>
    <m/>
    <m/>
    <m/>
    <m/>
    <m/>
    <m/>
    <n v="0"/>
    <m/>
    <m/>
    <n v="0"/>
    <n v="0"/>
    <n v="0"/>
    <m/>
    <m/>
    <m/>
    <m/>
    <n v="0"/>
    <m/>
    <m/>
    <n v="0"/>
    <m/>
    <m/>
    <m/>
    <m/>
    <m/>
    <m/>
    <n v="0"/>
    <n v="0"/>
  </r>
  <r>
    <x v="9"/>
    <x v="3"/>
    <s v="Community or public service units"/>
    <m/>
    <n v="198552"/>
    <x v="6"/>
    <m/>
    <m/>
    <n v="171779"/>
    <n v="171651"/>
    <m/>
    <m/>
    <m/>
    <m/>
    <n v="0"/>
    <m/>
    <m/>
    <n v="0"/>
    <n v="171779"/>
    <n v="171651"/>
    <m/>
    <m/>
    <m/>
    <m/>
    <n v="0"/>
    <m/>
    <m/>
    <n v="0"/>
    <m/>
    <m/>
    <m/>
    <m/>
    <m/>
    <m/>
    <n v="171779"/>
    <n v="171651"/>
  </r>
  <r>
    <x v="9"/>
    <x v="44"/>
    <s v="Non-credit continuing education"/>
    <m/>
    <n v="198552"/>
    <x v="6"/>
    <m/>
    <m/>
    <n v="4218171"/>
    <n v="4458082"/>
    <m/>
    <m/>
    <n v="1146339"/>
    <m/>
    <n v="1146339"/>
    <n v="624999"/>
    <m/>
    <n v="624999"/>
    <n v="5364510"/>
    <n v="5083081"/>
    <m/>
    <m/>
    <m/>
    <m/>
    <n v="0"/>
    <m/>
    <m/>
    <n v="0"/>
    <m/>
    <m/>
    <m/>
    <m/>
    <m/>
    <m/>
    <n v="5364510"/>
    <n v="5083081"/>
  </r>
  <r>
    <x v="9"/>
    <x v="0"/>
    <s v="Gaston College "/>
    <s v="Reclassified: met the criteria for Two-Year 2 in 2011-12, 2012-13, and 2013-14."/>
    <n v="198570"/>
    <x v="7"/>
    <n v="19363842"/>
    <n v="18482177"/>
    <m/>
    <m/>
    <n v="4565723"/>
    <n v="4735723"/>
    <n v="9697920"/>
    <m/>
    <n v="9697920"/>
    <n v="8791830"/>
    <m/>
    <n v="8791830"/>
    <n v="33627485"/>
    <n v="32009730"/>
    <m/>
    <m/>
    <m/>
    <m/>
    <n v="0"/>
    <m/>
    <m/>
    <n v="0"/>
    <m/>
    <m/>
    <m/>
    <m/>
    <m/>
    <m/>
    <n v="33627485"/>
    <n v="32009730"/>
  </r>
  <r>
    <x v="9"/>
    <x v="0"/>
    <s v="Nursing / allied health supplement"/>
    <m/>
    <n v="198570"/>
    <x v="7"/>
    <m/>
    <m/>
    <m/>
    <m/>
    <m/>
    <m/>
    <m/>
    <m/>
    <n v="0"/>
    <m/>
    <m/>
    <n v="0"/>
    <n v="0"/>
    <n v="0"/>
    <m/>
    <m/>
    <m/>
    <m/>
    <n v="0"/>
    <m/>
    <m/>
    <n v="0"/>
    <m/>
    <m/>
    <m/>
    <m/>
    <m/>
    <m/>
    <n v="0"/>
    <n v="0"/>
  </r>
  <r>
    <x v="9"/>
    <x v="3"/>
    <s v="Community or public service units"/>
    <m/>
    <n v="198570"/>
    <x v="7"/>
    <m/>
    <m/>
    <n v="167477"/>
    <n v="168246"/>
    <m/>
    <m/>
    <m/>
    <m/>
    <n v="0"/>
    <m/>
    <m/>
    <n v="0"/>
    <n v="167477"/>
    <n v="168246"/>
    <m/>
    <m/>
    <m/>
    <m/>
    <n v="0"/>
    <m/>
    <m/>
    <n v="0"/>
    <m/>
    <m/>
    <m/>
    <m/>
    <m/>
    <m/>
    <n v="167477"/>
    <n v="168246"/>
  </r>
  <r>
    <x v="9"/>
    <x v="44"/>
    <s v="Non-credit continuing education"/>
    <m/>
    <n v="198570"/>
    <x v="7"/>
    <m/>
    <m/>
    <n v="2229549"/>
    <n v="2047183"/>
    <m/>
    <m/>
    <n v="273971"/>
    <m/>
    <n v="273971"/>
    <n v="233029"/>
    <m/>
    <n v="233029"/>
    <n v="2503520"/>
    <n v="2280212"/>
    <m/>
    <m/>
    <m/>
    <m/>
    <n v="0"/>
    <m/>
    <m/>
    <n v="0"/>
    <m/>
    <m/>
    <m/>
    <m/>
    <m/>
    <m/>
    <n v="2503520"/>
    <n v="2280212"/>
  </r>
  <r>
    <x v="9"/>
    <x v="0"/>
    <s v="Guilford Technical Community College"/>
    <m/>
    <n v="198622"/>
    <x v="6"/>
    <n v="36490732"/>
    <n v="39614351"/>
    <m/>
    <m/>
    <n v="11659390"/>
    <n v="12297690"/>
    <n v="24401434"/>
    <m/>
    <n v="24401434"/>
    <n v="21093865"/>
    <m/>
    <n v="21093865"/>
    <n v="72551556"/>
    <n v="73005906"/>
    <m/>
    <m/>
    <m/>
    <m/>
    <n v="0"/>
    <m/>
    <m/>
    <n v="0"/>
    <m/>
    <m/>
    <m/>
    <m/>
    <m/>
    <m/>
    <n v="72551556"/>
    <n v="73005906"/>
  </r>
  <r>
    <x v="9"/>
    <x v="0"/>
    <s v="Nursing / allied health supplement"/>
    <m/>
    <n v="198622"/>
    <x v="6"/>
    <m/>
    <m/>
    <m/>
    <m/>
    <m/>
    <m/>
    <m/>
    <m/>
    <n v="0"/>
    <m/>
    <m/>
    <n v="0"/>
    <n v="0"/>
    <n v="0"/>
    <m/>
    <m/>
    <m/>
    <m/>
    <n v="0"/>
    <m/>
    <m/>
    <n v="0"/>
    <m/>
    <m/>
    <m/>
    <m/>
    <m/>
    <m/>
    <n v="0"/>
    <n v="0"/>
  </r>
  <r>
    <x v="9"/>
    <x v="3"/>
    <s v="Community or public service units"/>
    <m/>
    <n v="198622"/>
    <x v="6"/>
    <m/>
    <m/>
    <n v="172458"/>
    <n v="172354"/>
    <m/>
    <m/>
    <m/>
    <m/>
    <n v="0"/>
    <m/>
    <m/>
    <n v="0"/>
    <n v="172458"/>
    <n v="172354"/>
    <m/>
    <m/>
    <m/>
    <m/>
    <n v="0"/>
    <m/>
    <m/>
    <n v="0"/>
    <m/>
    <m/>
    <m/>
    <m/>
    <m/>
    <m/>
    <n v="172458"/>
    <n v="172354"/>
  </r>
  <r>
    <x v="9"/>
    <x v="44"/>
    <s v="Non-credit continuing education"/>
    <m/>
    <n v="198622"/>
    <x v="6"/>
    <m/>
    <m/>
    <n v="5070596"/>
    <n v="4879089"/>
    <m/>
    <m/>
    <n v="634327"/>
    <m/>
    <n v="634327"/>
    <n v="498353"/>
    <m/>
    <n v="498353"/>
    <n v="5704923"/>
    <n v="5377442"/>
    <m/>
    <m/>
    <m/>
    <m/>
    <n v="0"/>
    <m/>
    <m/>
    <n v="0"/>
    <m/>
    <m/>
    <m/>
    <m/>
    <m/>
    <m/>
    <n v="5704923"/>
    <n v="5377442"/>
  </r>
  <r>
    <x v="9"/>
    <x v="0"/>
    <s v="Pitt Community College"/>
    <m/>
    <n v="199333"/>
    <x v="6"/>
    <n v="21661847"/>
    <n v="24220611"/>
    <m/>
    <m/>
    <n v="4650872"/>
    <n v="5095326"/>
    <n v="13629991"/>
    <m/>
    <n v="13629991"/>
    <n v="13099809"/>
    <m/>
    <n v="13099809"/>
    <n v="39942710"/>
    <n v="42415746"/>
    <m/>
    <m/>
    <m/>
    <m/>
    <n v="0"/>
    <m/>
    <m/>
    <n v="0"/>
    <m/>
    <m/>
    <m/>
    <m/>
    <m/>
    <m/>
    <n v="39942710"/>
    <n v="42415746"/>
  </r>
  <r>
    <x v="9"/>
    <x v="0"/>
    <s v="Nursing / allied health supplement"/>
    <m/>
    <n v="199333"/>
    <x v="6"/>
    <m/>
    <m/>
    <m/>
    <m/>
    <m/>
    <m/>
    <m/>
    <m/>
    <n v="0"/>
    <m/>
    <m/>
    <n v="0"/>
    <n v="0"/>
    <n v="0"/>
    <m/>
    <m/>
    <m/>
    <m/>
    <n v="0"/>
    <m/>
    <m/>
    <n v="0"/>
    <m/>
    <m/>
    <m/>
    <m/>
    <m/>
    <m/>
    <n v="0"/>
    <n v="0"/>
  </r>
  <r>
    <x v="9"/>
    <x v="3"/>
    <s v="Community or public service units"/>
    <m/>
    <n v="199333"/>
    <x v="6"/>
    <m/>
    <m/>
    <n v="157553"/>
    <n v="170030"/>
    <m/>
    <m/>
    <m/>
    <m/>
    <n v="0"/>
    <m/>
    <m/>
    <n v="0"/>
    <n v="157553"/>
    <n v="170030"/>
    <m/>
    <m/>
    <m/>
    <m/>
    <n v="0"/>
    <m/>
    <m/>
    <n v="0"/>
    <m/>
    <m/>
    <m/>
    <m/>
    <m/>
    <m/>
    <n v="157553"/>
    <n v="170030"/>
  </r>
  <r>
    <x v="9"/>
    <x v="44"/>
    <s v="Non-credit continuing education"/>
    <m/>
    <n v="199333"/>
    <x v="6"/>
    <m/>
    <m/>
    <n v="2696604"/>
    <n v="2709919"/>
    <m/>
    <m/>
    <n v="356229"/>
    <m/>
    <n v="356229"/>
    <n v="360309"/>
    <m/>
    <n v="360309"/>
    <n v="3052833"/>
    <n v="3070228"/>
    <m/>
    <m/>
    <m/>
    <m/>
    <n v="0"/>
    <m/>
    <m/>
    <n v="0"/>
    <m/>
    <m/>
    <m/>
    <m/>
    <m/>
    <m/>
    <n v="3052833"/>
    <n v="3070228"/>
  </r>
  <r>
    <x v="9"/>
    <x v="0"/>
    <s v="Rowan-Cabarrus Community College"/>
    <m/>
    <n v="199494"/>
    <x v="6"/>
    <n v="24495671"/>
    <n v="23556712"/>
    <m/>
    <m/>
    <n v="3884344"/>
    <n v="3942925"/>
    <n v="10120263"/>
    <m/>
    <n v="10120263"/>
    <n v="9562407"/>
    <m/>
    <n v="9562407"/>
    <n v="38500278"/>
    <n v="37062044"/>
    <m/>
    <m/>
    <m/>
    <m/>
    <n v="0"/>
    <m/>
    <m/>
    <n v="0"/>
    <m/>
    <m/>
    <m/>
    <m/>
    <m/>
    <m/>
    <n v="38500278"/>
    <n v="37062044"/>
  </r>
  <r>
    <x v="9"/>
    <x v="0"/>
    <s v="Nursing / allied health supplement"/>
    <m/>
    <n v="199494"/>
    <x v="6"/>
    <m/>
    <m/>
    <m/>
    <m/>
    <m/>
    <m/>
    <m/>
    <m/>
    <n v="0"/>
    <m/>
    <m/>
    <n v="0"/>
    <n v="0"/>
    <n v="0"/>
    <m/>
    <m/>
    <m/>
    <m/>
    <n v="0"/>
    <m/>
    <m/>
    <n v="0"/>
    <m/>
    <m/>
    <m/>
    <m/>
    <m/>
    <m/>
    <n v="0"/>
    <n v="0"/>
  </r>
  <r>
    <x v="9"/>
    <x v="3"/>
    <s v="Community or public service units"/>
    <m/>
    <n v="199494"/>
    <x v="6"/>
    <m/>
    <m/>
    <n v="167326"/>
    <n v="169273"/>
    <m/>
    <m/>
    <m/>
    <m/>
    <n v="0"/>
    <m/>
    <m/>
    <n v="0"/>
    <n v="167326"/>
    <n v="169273"/>
    <m/>
    <m/>
    <m/>
    <m/>
    <n v="0"/>
    <m/>
    <m/>
    <n v="0"/>
    <m/>
    <m/>
    <m/>
    <m/>
    <m/>
    <m/>
    <n v="167326"/>
    <n v="169273"/>
  </r>
  <r>
    <x v="9"/>
    <x v="44"/>
    <s v="Non-credit continuing education"/>
    <m/>
    <n v="199494"/>
    <x v="6"/>
    <m/>
    <m/>
    <n v="3501781"/>
    <n v="3158726"/>
    <m/>
    <m/>
    <n v="356962"/>
    <m/>
    <n v="356962"/>
    <n v="448961"/>
    <m/>
    <n v="448961"/>
    <n v="3858743"/>
    <n v="3607687"/>
    <m/>
    <m/>
    <m/>
    <m/>
    <n v="0"/>
    <m/>
    <m/>
    <n v="0"/>
    <m/>
    <m/>
    <m/>
    <m/>
    <m/>
    <m/>
    <n v="3858743"/>
    <n v="3607687"/>
  </r>
  <r>
    <x v="9"/>
    <x v="0"/>
    <s v="Wake Technical Community College"/>
    <m/>
    <n v="199856"/>
    <x v="6"/>
    <n v="47844093"/>
    <n v="51306986"/>
    <m/>
    <m/>
    <n v="16190938"/>
    <n v="16190938"/>
    <n v="25650000"/>
    <m/>
    <n v="25650000"/>
    <n v="26645646"/>
    <m/>
    <n v="26645646"/>
    <n v="89685031"/>
    <n v="94143570"/>
    <m/>
    <m/>
    <m/>
    <m/>
    <n v="0"/>
    <m/>
    <m/>
    <n v="0"/>
    <m/>
    <m/>
    <m/>
    <m/>
    <m/>
    <m/>
    <n v="89685031"/>
    <n v="94143570"/>
  </r>
  <r>
    <x v="9"/>
    <x v="0"/>
    <s v="Nursing / allied health supplement"/>
    <m/>
    <n v="199856"/>
    <x v="6"/>
    <m/>
    <m/>
    <m/>
    <m/>
    <m/>
    <m/>
    <m/>
    <m/>
    <n v="0"/>
    <m/>
    <m/>
    <n v="0"/>
    <n v="0"/>
    <n v="0"/>
    <m/>
    <m/>
    <m/>
    <m/>
    <n v="0"/>
    <m/>
    <m/>
    <n v="0"/>
    <m/>
    <m/>
    <m/>
    <m/>
    <m/>
    <m/>
    <n v="0"/>
    <n v="0"/>
  </r>
  <r>
    <x v="9"/>
    <x v="3"/>
    <s v="Community or public service units"/>
    <m/>
    <n v="199856"/>
    <x v="6"/>
    <m/>
    <m/>
    <n v="174723"/>
    <n v="175056"/>
    <m/>
    <m/>
    <m/>
    <m/>
    <n v="0"/>
    <m/>
    <m/>
    <n v="0"/>
    <n v="174723"/>
    <n v="175056"/>
    <m/>
    <m/>
    <m/>
    <m/>
    <n v="0"/>
    <m/>
    <m/>
    <n v="0"/>
    <m/>
    <m/>
    <m/>
    <m/>
    <m/>
    <m/>
    <n v="174723"/>
    <n v="175056"/>
  </r>
  <r>
    <x v="9"/>
    <x v="44"/>
    <s v="Non-credit continuing education"/>
    <m/>
    <n v="199856"/>
    <x v="6"/>
    <m/>
    <m/>
    <n v="7694269"/>
    <n v="8263528"/>
    <m/>
    <m/>
    <n v="1766644"/>
    <m/>
    <n v="1766644"/>
    <n v="1036600"/>
    <m/>
    <n v="1036600"/>
    <n v="9460913"/>
    <n v="9300128"/>
    <m/>
    <m/>
    <m/>
    <m/>
    <n v="0"/>
    <m/>
    <m/>
    <n v="0"/>
    <m/>
    <m/>
    <m/>
    <m/>
    <m/>
    <m/>
    <n v="9460913"/>
    <n v="9300128"/>
  </r>
  <r>
    <x v="9"/>
    <x v="0"/>
    <s v="Alamance Community College"/>
    <m/>
    <n v="199786"/>
    <x v="7"/>
    <n v="14324150"/>
    <n v="13605058"/>
    <m/>
    <m/>
    <n v="2623347"/>
    <n v="2754515"/>
    <n v="7577798"/>
    <m/>
    <n v="7577798"/>
    <n v="6739376"/>
    <m/>
    <n v="6739376"/>
    <n v="24525295"/>
    <n v="23098949"/>
    <m/>
    <m/>
    <m/>
    <m/>
    <n v="0"/>
    <m/>
    <m/>
    <n v="0"/>
    <m/>
    <m/>
    <m/>
    <m/>
    <m/>
    <m/>
    <n v="24525295"/>
    <n v="23098949"/>
  </r>
  <r>
    <x v="9"/>
    <x v="0"/>
    <s v="Nursing / allied health supplement"/>
    <m/>
    <n v="199786"/>
    <x v="7"/>
    <m/>
    <m/>
    <m/>
    <m/>
    <m/>
    <m/>
    <m/>
    <m/>
    <n v="0"/>
    <m/>
    <m/>
    <n v="0"/>
    <n v="0"/>
    <n v="0"/>
    <m/>
    <m/>
    <m/>
    <m/>
    <n v="0"/>
    <m/>
    <m/>
    <n v="0"/>
    <m/>
    <m/>
    <m/>
    <m/>
    <m/>
    <m/>
    <n v="0"/>
    <n v="0"/>
  </r>
  <r>
    <x v="9"/>
    <x v="3"/>
    <s v="Community or public service units"/>
    <m/>
    <n v="199786"/>
    <x v="7"/>
    <m/>
    <m/>
    <n v="163024"/>
    <n v="163976"/>
    <m/>
    <m/>
    <m/>
    <m/>
    <n v="0"/>
    <m/>
    <m/>
    <n v="0"/>
    <n v="163024"/>
    <n v="163976"/>
    <m/>
    <m/>
    <m/>
    <m/>
    <n v="0"/>
    <m/>
    <m/>
    <n v="0"/>
    <m/>
    <m/>
    <m/>
    <m/>
    <m/>
    <m/>
    <n v="163024"/>
    <n v="163976"/>
  </r>
  <r>
    <x v="9"/>
    <x v="44"/>
    <s v="Non-credit continuing education"/>
    <m/>
    <n v="199786"/>
    <x v="7"/>
    <m/>
    <m/>
    <n v="2123762"/>
    <n v="2025978"/>
    <m/>
    <m/>
    <n v="328233"/>
    <m/>
    <n v="328233"/>
    <n v="229863"/>
    <m/>
    <n v="229863"/>
    <n v="2451995"/>
    <n v="2255841"/>
    <m/>
    <m/>
    <m/>
    <m/>
    <n v="0"/>
    <m/>
    <m/>
    <n v="0"/>
    <m/>
    <m/>
    <m/>
    <m/>
    <m/>
    <m/>
    <n v="2451995"/>
    <n v="2255841"/>
  </r>
  <r>
    <x v="9"/>
    <x v="0"/>
    <s v="Caldwell Community College &amp; Technical Institute"/>
    <m/>
    <n v="198118"/>
    <x v="7"/>
    <n v="14593942"/>
    <n v="13744649"/>
    <m/>
    <m/>
    <n v="3988805"/>
    <n v="3986130"/>
    <n v="6644363"/>
    <m/>
    <n v="6644363"/>
    <n v="6561690"/>
    <m/>
    <n v="6561690"/>
    <n v="25227110"/>
    <n v="24292469"/>
    <m/>
    <m/>
    <m/>
    <m/>
    <n v="0"/>
    <m/>
    <m/>
    <n v="0"/>
    <m/>
    <m/>
    <m/>
    <m/>
    <m/>
    <m/>
    <n v="25227110"/>
    <n v="24292469"/>
  </r>
  <r>
    <x v="9"/>
    <x v="0"/>
    <s v="Nursing / allied health supplement"/>
    <m/>
    <n v="198118"/>
    <x v="7"/>
    <m/>
    <m/>
    <m/>
    <m/>
    <m/>
    <m/>
    <m/>
    <m/>
    <n v="0"/>
    <m/>
    <m/>
    <n v="0"/>
    <n v="0"/>
    <n v="0"/>
    <m/>
    <m/>
    <m/>
    <m/>
    <n v="0"/>
    <m/>
    <m/>
    <n v="0"/>
    <m/>
    <m/>
    <m/>
    <m/>
    <m/>
    <m/>
    <n v="0"/>
    <n v="0"/>
  </r>
  <r>
    <x v="9"/>
    <x v="3"/>
    <s v="Community or public service units"/>
    <m/>
    <n v="198118"/>
    <x v="7"/>
    <m/>
    <m/>
    <n v="151364"/>
    <n v="149814"/>
    <m/>
    <m/>
    <m/>
    <m/>
    <n v="0"/>
    <m/>
    <m/>
    <n v="0"/>
    <n v="151364"/>
    <n v="149814"/>
    <m/>
    <m/>
    <m/>
    <m/>
    <n v="0"/>
    <m/>
    <m/>
    <n v="0"/>
    <m/>
    <m/>
    <m/>
    <m/>
    <m/>
    <m/>
    <n v="151364"/>
    <n v="149814"/>
  </r>
  <r>
    <x v="9"/>
    <x v="44"/>
    <s v="Non-credit continuing education"/>
    <m/>
    <n v="198118"/>
    <x v="7"/>
    <m/>
    <m/>
    <n v="2566685"/>
    <n v="2300404"/>
    <m/>
    <m/>
    <n v="381863"/>
    <m/>
    <n v="381863"/>
    <n v="309650"/>
    <m/>
    <n v="309650"/>
    <n v="2948548"/>
    <n v="2610054"/>
    <m/>
    <m/>
    <m/>
    <m/>
    <n v="0"/>
    <m/>
    <m/>
    <n v="0"/>
    <m/>
    <m/>
    <m/>
    <m/>
    <m/>
    <m/>
    <n v="2948548"/>
    <n v="2610054"/>
  </r>
  <r>
    <x v="9"/>
    <x v="0"/>
    <s v="Catawba Valley Community College"/>
    <m/>
    <n v="198233"/>
    <x v="7"/>
    <n v="16507047"/>
    <n v="15155755"/>
    <m/>
    <m/>
    <n v="3762188"/>
    <n v="3850000"/>
    <n v="6898749"/>
    <m/>
    <n v="6898749"/>
    <n v="7109253"/>
    <m/>
    <n v="7109253"/>
    <n v="27167984"/>
    <n v="26115008"/>
    <m/>
    <m/>
    <m/>
    <m/>
    <n v="0"/>
    <m/>
    <m/>
    <n v="0"/>
    <m/>
    <m/>
    <m/>
    <m/>
    <m/>
    <m/>
    <n v="27167984"/>
    <n v="26115008"/>
  </r>
  <r>
    <x v="9"/>
    <x v="0"/>
    <s v="Nursing / allied health supplement"/>
    <m/>
    <n v="198233"/>
    <x v="7"/>
    <m/>
    <m/>
    <m/>
    <m/>
    <m/>
    <m/>
    <m/>
    <m/>
    <n v="0"/>
    <m/>
    <m/>
    <n v="0"/>
    <n v="0"/>
    <n v="0"/>
    <m/>
    <m/>
    <m/>
    <m/>
    <n v="0"/>
    <m/>
    <m/>
    <n v="0"/>
    <m/>
    <m/>
    <m/>
    <m/>
    <m/>
    <m/>
    <n v="0"/>
    <n v="0"/>
  </r>
  <r>
    <x v="9"/>
    <x v="3"/>
    <s v="Community or public service units"/>
    <m/>
    <n v="198233"/>
    <x v="7"/>
    <m/>
    <m/>
    <n v="165741"/>
    <n v="167327"/>
    <m/>
    <m/>
    <m/>
    <m/>
    <n v="0"/>
    <m/>
    <m/>
    <n v="0"/>
    <n v="165741"/>
    <n v="167327"/>
    <m/>
    <m/>
    <m/>
    <m/>
    <n v="0"/>
    <m/>
    <m/>
    <n v="0"/>
    <m/>
    <m/>
    <m/>
    <m/>
    <m/>
    <m/>
    <n v="165741"/>
    <n v="167327"/>
  </r>
  <r>
    <x v="9"/>
    <x v="44"/>
    <s v="Non-credit continuing education"/>
    <m/>
    <n v="198233"/>
    <x v="7"/>
    <m/>
    <m/>
    <n v="2487812"/>
    <n v="2363693"/>
    <m/>
    <m/>
    <n v="285808"/>
    <m/>
    <n v="285808"/>
    <n v="374873"/>
    <m/>
    <n v="374873"/>
    <n v="2773620"/>
    <n v="2738566"/>
    <m/>
    <m/>
    <m/>
    <m/>
    <n v="0"/>
    <m/>
    <m/>
    <n v="0"/>
    <m/>
    <m/>
    <m/>
    <m/>
    <m/>
    <m/>
    <n v="2773620"/>
    <n v="2738566"/>
  </r>
  <r>
    <x v="9"/>
    <x v="0"/>
    <s v="Central Carolina Commuity College"/>
    <m/>
    <n v="198251"/>
    <x v="7"/>
    <n v="17255068"/>
    <n v="15975446"/>
    <m/>
    <m/>
    <n v="3785690"/>
    <n v="4103793"/>
    <n v="6515501"/>
    <m/>
    <n v="6515501"/>
    <n v="6860855"/>
    <m/>
    <n v="6860855"/>
    <n v="27556259"/>
    <n v="26940094"/>
    <m/>
    <m/>
    <m/>
    <m/>
    <n v="0"/>
    <m/>
    <m/>
    <n v="0"/>
    <m/>
    <m/>
    <m/>
    <m/>
    <m/>
    <m/>
    <n v="27556259"/>
    <n v="26940094"/>
  </r>
  <r>
    <x v="9"/>
    <x v="0"/>
    <s v="Nursing / allied health supplement"/>
    <m/>
    <n v="198251"/>
    <x v="7"/>
    <m/>
    <m/>
    <m/>
    <m/>
    <m/>
    <m/>
    <m/>
    <m/>
    <n v="0"/>
    <m/>
    <m/>
    <n v="0"/>
    <n v="0"/>
    <n v="0"/>
    <m/>
    <m/>
    <m/>
    <m/>
    <n v="0"/>
    <m/>
    <m/>
    <n v="0"/>
    <m/>
    <m/>
    <m/>
    <m/>
    <m/>
    <m/>
    <n v="0"/>
    <n v="0"/>
  </r>
  <r>
    <x v="9"/>
    <x v="3"/>
    <s v="Community or public service units"/>
    <m/>
    <n v="198251"/>
    <x v="7"/>
    <m/>
    <m/>
    <n v="172987"/>
    <n v="174029"/>
    <m/>
    <m/>
    <m/>
    <m/>
    <n v="0"/>
    <m/>
    <m/>
    <n v="0"/>
    <n v="172987"/>
    <n v="174029"/>
    <m/>
    <m/>
    <m/>
    <m/>
    <n v="0"/>
    <m/>
    <m/>
    <n v="0"/>
    <m/>
    <m/>
    <m/>
    <m/>
    <m/>
    <m/>
    <n v="172987"/>
    <n v="174029"/>
  </r>
  <r>
    <x v="9"/>
    <x v="44"/>
    <s v="Non-credit continuing education"/>
    <m/>
    <n v="198251"/>
    <x v="7"/>
    <m/>
    <m/>
    <n v="4809120"/>
    <n v="4740719"/>
    <m/>
    <m/>
    <n v="539999"/>
    <m/>
    <n v="539999"/>
    <n v="547745"/>
    <m/>
    <n v="547745"/>
    <n v="5349119"/>
    <n v="5288464"/>
    <m/>
    <m/>
    <m/>
    <m/>
    <n v="0"/>
    <m/>
    <m/>
    <n v="0"/>
    <m/>
    <m/>
    <m/>
    <m/>
    <m/>
    <m/>
    <n v="5349119"/>
    <n v="5288464"/>
  </r>
  <r>
    <x v="9"/>
    <x v="0"/>
    <s v="Cleveland Community College"/>
    <m/>
    <n v="198321"/>
    <x v="7"/>
    <n v="12577313"/>
    <n v="10722327"/>
    <m/>
    <m/>
    <n v="1415129"/>
    <n v="1509973"/>
    <n v="4297663"/>
    <m/>
    <n v="4297663"/>
    <n v="5103939"/>
    <m/>
    <n v="5103939"/>
    <n v="18290105"/>
    <n v="17336239"/>
    <m/>
    <m/>
    <m/>
    <m/>
    <n v="0"/>
    <m/>
    <m/>
    <n v="0"/>
    <m/>
    <m/>
    <m/>
    <m/>
    <m/>
    <m/>
    <n v="18290105"/>
    <n v="17336239"/>
  </r>
  <r>
    <x v="9"/>
    <x v="0"/>
    <s v="Nursing / allied health supplement"/>
    <m/>
    <n v="198321"/>
    <x v="7"/>
    <m/>
    <m/>
    <m/>
    <m/>
    <m/>
    <m/>
    <m/>
    <m/>
    <n v="0"/>
    <m/>
    <m/>
    <n v="0"/>
    <n v="0"/>
    <n v="0"/>
    <m/>
    <m/>
    <m/>
    <m/>
    <n v="0"/>
    <m/>
    <m/>
    <n v="0"/>
    <m/>
    <m/>
    <m/>
    <m/>
    <m/>
    <m/>
    <n v="0"/>
    <n v="0"/>
  </r>
  <r>
    <x v="9"/>
    <x v="3"/>
    <s v="Community or public service units"/>
    <m/>
    <n v="198321"/>
    <x v="7"/>
    <m/>
    <m/>
    <n v="146760"/>
    <n v="153274"/>
    <m/>
    <m/>
    <m/>
    <m/>
    <n v="0"/>
    <m/>
    <m/>
    <n v="0"/>
    <n v="146760"/>
    <n v="153274"/>
    <m/>
    <m/>
    <m/>
    <m/>
    <n v="0"/>
    <m/>
    <m/>
    <n v="0"/>
    <m/>
    <m/>
    <m/>
    <m/>
    <m/>
    <m/>
    <n v="146760"/>
    <n v="153274"/>
  </r>
  <r>
    <x v="9"/>
    <x v="44"/>
    <s v="Non-credit continuing education"/>
    <m/>
    <n v="198321"/>
    <x v="7"/>
    <m/>
    <m/>
    <n v="1532327"/>
    <n v="1509790"/>
    <m/>
    <m/>
    <n v="157799"/>
    <m/>
    <n v="157799"/>
    <n v="262791"/>
    <m/>
    <n v="262791"/>
    <n v="1690126"/>
    <n v="1772581"/>
    <m/>
    <m/>
    <m/>
    <m/>
    <n v="0"/>
    <m/>
    <m/>
    <n v="0"/>
    <m/>
    <m/>
    <m/>
    <m/>
    <m/>
    <m/>
    <n v="1690126"/>
    <n v="1772581"/>
  </r>
  <r>
    <x v="9"/>
    <x v="0"/>
    <s v="Coastal Carolina Community College "/>
    <m/>
    <n v="198330"/>
    <x v="7"/>
    <n v="12968949"/>
    <n v="14089659"/>
    <m/>
    <m/>
    <n v="3617540"/>
    <n v="2266027"/>
    <n v="8595271"/>
    <m/>
    <n v="8595271"/>
    <n v="6859042"/>
    <m/>
    <n v="6859042"/>
    <n v="25181760"/>
    <n v="23214728"/>
    <m/>
    <m/>
    <m/>
    <m/>
    <n v="0"/>
    <m/>
    <m/>
    <n v="0"/>
    <m/>
    <m/>
    <m/>
    <m/>
    <m/>
    <m/>
    <n v="25181760"/>
    <n v="23214728"/>
  </r>
  <r>
    <x v="9"/>
    <x v="0"/>
    <s v="Nursing / allied health supplement"/>
    <m/>
    <n v="198330"/>
    <x v="7"/>
    <m/>
    <m/>
    <m/>
    <m/>
    <m/>
    <m/>
    <m/>
    <m/>
    <n v="0"/>
    <m/>
    <m/>
    <n v="0"/>
    <n v="0"/>
    <n v="0"/>
    <m/>
    <m/>
    <m/>
    <m/>
    <n v="0"/>
    <m/>
    <m/>
    <n v="0"/>
    <m/>
    <m/>
    <m/>
    <m/>
    <m/>
    <m/>
    <n v="0"/>
    <n v="0"/>
  </r>
  <r>
    <x v="9"/>
    <x v="3"/>
    <s v="Community or public service units"/>
    <m/>
    <n v="198330"/>
    <x v="7"/>
    <m/>
    <m/>
    <n v="158449"/>
    <n v="158773"/>
    <m/>
    <m/>
    <m/>
    <m/>
    <n v="0"/>
    <m/>
    <m/>
    <n v="0"/>
    <n v="158449"/>
    <n v="158773"/>
    <m/>
    <m/>
    <m/>
    <m/>
    <n v="0"/>
    <m/>
    <m/>
    <n v="0"/>
    <m/>
    <m/>
    <m/>
    <m/>
    <m/>
    <m/>
    <n v="158449"/>
    <n v="158773"/>
  </r>
  <r>
    <x v="9"/>
    <x v="44"/>
    <s v="Non-credit continuing education"/>
    <m/>
    <n v="198330"/>
    <x v="7"/>
    <m/>
    <m/>
    <n v="2268027"/>
    <n v="2582041"/>
    <m/>
    <m/>
    <n v="1070271"/>
    <m/>
    <n v="1070271"/>
    <n v="502153"/>
    <m/>
    <n v="502153"/>
    <n v="3338298"/>
    <n v="3084194"/>
    <m/>
    <m/>
    <m/>
    <m/>
    <n v="0"/>
    <m/>
    <m/>
    <n v="0"/>
    <m/>
    <m/>
    <m/>
    <m/>
    <m/>
    <m/>
    <n v="3338298"/>
    <n v="3084194"/>
  </r>
  <r>
    <x v="9"/>
    <x v="0"/>
    <s v="Craven Community College "/>
    <m/>
    <n v="198367"/>
    <x v="7"/>
    <n v="9880592"/>
    <n v="10197689"/>
    <m/>
    <m/>
    <n v="3455130"/>
    <n v="3461090"/>
    <n v="5625699"/>
    <m/>
    <n v="5625699"/>
    <n v="4616209"/>
    <m/>
    <n v="4616209"/>
    <n v="18961421"/>
    <n v="18274988"/>
    <m/>
    <m/>
    <m/>
    <m/>
    <n v="0"/>
    <m/>
    <m/>
    <n v="0"/>
    <m/>
    <m/>
    <m/>
    <m/>
    <m/>
    <m/>
    <n v="18961421"/>
    <n v="18274988"/>
  </r>
  <r>
    <x v="9"/>
    <x v="0"/>
    <s v="Nursing / allied health supplement"/>
    <m/>
    <n v="198367"/>
    <x v="7"/>
    <m/>
    <m/>
    <m/>
    <m/>
    <m/>
    <m/>
    <m/>
    <m/>
    <n v="0"/>
    <m/>
    <m/>
    <n v="0"/>
    <n v="0"/>
    <n v="0"/>
    <m/>
    <m/>
    <m/>
    <m/>
    <n v="0"/>
    <m/>
    <m/>
    <n v="0"/>
    <m/>
    <m/>
    <m/>
    <m/>
    <m/>
    <m/>
    <n v="0"/>
    <n v="0"/>
  </r>
  <r>
    <x v="9"/>
    <x v="3"/>
    <s v="Community or public service units"/>
    <m/>
    <n v="198367"/>
    <x v="7"/>
    <m/>
    <m/>
    <n v="154307"/>
    <n v="155111"/>
    <m/>
    <m/>
    <m/>
    <m/>
    <n v="0"/>
    <m/>
    <m/>
    <n v="0"/>
    <n v="154307"/>
    <n v="155111"/>
    <m/>
    <m/>
    <m/>
    <m/>
    <n v="0"/>
    <m/>
    <m/>
    <n v="0"/>
    <m/>
    <m/>
    <m/>
    <m/>
    <m/>
    <m/>
    <n v="154307"/>
    <n v="155111"/>
  </r>
  <r>
    <x v="9"/>
    <x v="44"/>
    <s v="Non-credit continuing education"/>
    <m/>
    <n v="198367"/>
    <x v="7"/>
    <m/>
    <m/>
    <n v="1386801"/>
    <n v="1295438"/>
    <m/>
    <m/>
    <n v="354509"/>
    <m/>
    <n v="354509"/>
    <n v="210866"/>
    <m/>
    <n v="210866"/>
    <n v="1741310"/>
    <n v="1506304"/>
    <m/>
    <m/>
    <m/>
    <m/>
    <n v="0"/>
    <m/>
    <m/>
    <n v="0"/>
    <m/>
    <m/>
    <m/>
    <m/>
    <m/>
    <m/>
    <n v="1741310"/>
    <n v="1506304"/>
  </r>
  <r>
    <x v="9"/>
    <x v="0"/>
    <s v="Davidson County Community College "/>
    <m/>
    <n v="198376"/>
    <x v="7"/>
    <n v="13771377"/>
    <n v="13061476"/>
    <m/>
    <m/>
    <n v="3573362"/>
    <n v="3613577"/>
    <n v="5692701"/>
    <m/>
    <n v="5692701"/>
    <n v="6010501"/>
    <m/>
    <n v="6010501"/>
    <n v="23037440"/>
    <n v="22685554"/>
    <m/>
    <m/>
    <m/>
    <m/>
    <n v="0"/>
    <m/>
    <m/>
    <n v="0"/>
    <m/>
    <m/>
    <m/>
    <m/>
    <m/>
    <m/>
    <n v="23037440"/>
    <n v="22685554"/>
  </r>
  <r>
    <x v="9"/>
    <x v="0"/>
    <s v="Nursing / allied health supplement"/>
    <m/>
    <n v="198376"/>
    <x v="7"/>
    <m/>
    <m/>
    <m/>
    <m/>
    <m/>
    <m/>
    <m/>
    <m/>
    <n v="0"/>
    <m/>
    <m/>
    <n v="0"/>
    <n v="0"/>
    <n v="0"/>
    <m/>
    <m/>
    <m/>
    <m/>
    <n v="0"/>
    <m/>
    <m/>
    <n v="0"/>
    <m/>
    <m/>
    <m/>
    <m/>
    <m/>
    <m/>
    <n v="0"/>
    <n v="0"/>
  </r>
  <r>
    <x v="9"/>
    <x v="3"/>
    <s v="Community or public service units"/>
    <m/>
    <n v="198376"/>
    <x v="7"/>
    <m/>
    <m/>
    <n v="158647"/>
    <n v="156518"/>
    <m/>
    <m/>
    <m/>
    <m/>
    <n v="0"/>
    <m/>
    <m/>
    <n v="0"/>
    <n v="158647"/>
    <n v="156518"/>
    <m/>
    <m/>
    <m/>
    <m/>
    <n v="0"/>
    <m/>
    <m/>
    <n v="0"/>
    <m/>
    <m/>
    <m/>
    <m/>
    <m/>
    <m/>
    <n v="158647"/>
    <n v="156518"/>
  </r>
  <r>
    <x v="9"/>
    <x v="44"/>
    <s v="Non-credit continuing education"/>
    <m/>
    <n v="198376"/>
    <x v="7"/>
    <m/>
    <m/>
    <n v="3020553"/>
    <n v="2590072"/>
    <m/>
    <m/>
    <n v="319528"/>
    <m/>
    <n v="319528"/>
    <n v="277355"/>
    <m/>
    <n v="277355"/>
    <n v="3340081"/>
    <n v="2867427"/>
    <m/>
    <m/>
    <m/>
    <m/>
    <n v="0"/>
    <m/>
    <m/>
    <n v="0"/>
    <m/>
    <m/>
    <m/>
    <m/>
    <m/>
    <m/>
    <n v="3340081"/>
    <n v="2867427"/>
  </r>
  <r>
    <x v="9"/>
    <x v="0"/>
    <s v="Durham Technical Community College"/>
    <m/>
    <n v="198455"/>
    <x v="7"/>
    <n v="13703551"/>
    <n v="14016429"/>
    <m/>
    <m/>
    <n v="5855139"/>
    <n v="6265689"/>
    <n v="7303237"/>
    <m/>
    <n v="7303237"/>
    <n v="6801022"/>
    <m/>
    <n v="6801022"/>
    <n v="26861927"/>
    <n v="27083140"/>
    <m/>
    <m/>
    <m/>
    <m/>
    <n v="0"/>
    <m/>
    <m/>
    <n v="0"/>
    <m/>
    <m/>
    <m/>
    <m/>
    <m/>
    <m/>
    <n v="26861927"/>
    <n v="27083140"/>
  </r>
  <r>
    <x v="9"/>
    <x v="0"/>
    <s v="Nursing / allied health supplement"/>
    <m/>
    <n v="198455"/>
    <x v="7"/>
    <m/>
    <m/>
    <m/>
    <m/>
    <m/>
    <m/>
    <m/>
    <m/>
    <n v="0"/>
    <m/>
    <m/>
    <n v="0"/>
    <n v="0"/>
    <n v="0"/>
    <m/>
    <m/>
    <m/>
    <m/>
    <n v="0"/>
    <m/>
    <m/>
    <n v="0"/>
    <m/>
    <m/>
    <m/>
    <m/>
    <m/>
    <m/>
    <n v="0"/>
    <n v="0"/>
  </r>
  <r>
    <x v="9"/>
    <x v="3"/>
    <s v="Community or public service units"/>
    <m/>
    <n v="198455"/>
    <x v="7"/>
    <m/>
    <m/>
    <n v="166194"/>
    <n v="165760"/>
    <m/>
    <m/>
    <m/>
    <m/>
    <n v="0"/>
    <m/>
    <m/>
    <n v="0"/>
    <n v="166194"/>
    <n v="165760"/>
    <m/>
    <m/>
    <m/>
    <m/>
    <n v="0"/>
    <m/>
    <m/>
    <n v="0"/>
    <m/>
    <m/>
    <m/>
    <m/>
    <m/>
    <m/>
    <n v="166194"/>
    <n v="165760"/>
  </r>
  <r>
    <x v="9"/>
    <x v="44"/>
    <s v="Non-credit continuing education"/>
    <m/>
    <n v="198455"/>
    <x v="7"/>
    <m/>
    <m/>
    <n v="2920768"/>
    <n v="2726325"/>
    <m/>
    <m/>
    <n v="625433"/>
    <m/>
    <n v="625433"/>
    <n v="385005"/>
    <m/>
    <n v="385005"/>
    <n v="3546201"/>
    <n v="3111330"/>
    <m/>
    <m/>
    <m/>
    <m/>
    <n v="0"/>
    <m/>
    <m/>
    <n v="0"/>
    <m/>
    <m/>
    <m/>
    <m/>
    <m/>
    <m/>
    <n v="3546201"/>
    <n v="3111330"/>
  </r>
  <r>
    <x v="9"/>
    <x v="0"/>
    <s v="Edgecombe Community College"/>
    <m/>
    <n v="198491"/>
    <x v="7"/>
    <n v="10565958"/>
    <n v="9963238"/>
    <m/>
    <m/>
    <n v="1406000"/>
    <n v="1406000"/>
    <n v="4568334"/>
    <m/>
    <n v="4568334"/>
    <n v="4485665"/>
    <m/>
    <n v="4485665"/>
    <n v="16540292"/>
    <n v="15854903"/>
    <m/>
    <m/>
    <m/>
    <m/>
    <n v="0"/>
    <m/>
    <m/>
    <n v="0"/>
    <m/>
    <m/>
    <m/>
    <m/>
    <m/>
    <m/>
    <n v="16540292"/>
    <n v="15854903"/>
  </r>
  <r>
    <x v="9"/>
    <x v="0"/>
    <s v="Nursing / allied health supplement"/>
    <m/>
    <n v="198491"/>
    <x v="7"/>
    <m/>
    <m/>
    <m/>
    <m/>
    <m/>
    <m/>
    <m/>
    <m/>
    <n v="0"/>
    <m/>
    <m/>
    <n v="0"/>
    <n v="0"/>
    <n v="0"/>
    <m/>
    <m/>
    <m/>
    <m/>
    <n v="0"/>
    <m/>
    <m/>
    <n v="0"/>
    <m/>
    <m/>
    <m/>
    <m/>
    <m/>
    <m/>
    <n v="0"/>
    <n v="0"/>
  </r>
  <r>
    <x v="9"/>
    <x v="3"/>
    <s v="Community or public service units"/>
    <m/>
    <n v="198491"/>
    <x v="7"/>
    <m/>
    <m/>
    <n v="150298"/>
    <n v="149476"/>
    <m/>
    <m/>
    <m/>
    <m/>
    <n v="0"/>
    <m/>
    <m/>
    <n v="0"/>
    <n v="150298"/>
    <n v="149476"/>
    <m/>
    <m/>
    <m/>
    <m/>
    <n v="0"/>
    <m/>
    <m/>
    <n v="0"/>
    <m/>
    <m/>
    <m/>
    <m/>
    <m/>
    <m/>
    <n v="150298"/>
    <n v="149476"/>
  </r>
  <r>
    <x v="9"/>
    <x v="44"/>
    <s v="Non-credit continuing education"/>
    <m/>
    <n v="198491"/>
    <x v="7"/>
    <m/>
    <m/>
    <n v="1654555"/>
    <n v="1507854"/>
    <m/>
    <m/>
    <n v="137377"/>
    <m/>
    <n v="137377"/>
    <n v="184904"/>
    <m/>
    <n v="184904"/>
    <n v="1791932"/>
    <n v="1692758"/>
    <m/>
    <m/>
    <m/>
    <m/>
    <n v="0"/>
    <m/>
    <m/>
    <n v="0"/>
    <m/>
    <m/>
    <m/>
    <m/>
    <m/>
    <m/>
    <n v="1791932"/>
    <n v="1692758"/>
  </r>
  <r>
    <x v="9"/>
    <x v="0"/>
    <s v="Haywood Community College"/>
    <s v="Reclassified: met the criteria for Two-Year 3 in 2011-12, 2012-13, and 2013-14."/>
    <n v="198668"/>
    <x v="8"/>
    <n v="7907392"/>
    <n v="7243292"/>
    <m/>
    <m/>
    <n v="2817613"/>
    <n v="2100456"/>
    <n v="2921790"/>
    <m/>
    <n v="2921790"/>
    <n v="3341584"/>
    <m/>
    <n v="3341584"/>
    <n v="13646795"/>
    <n v="12685332"/>
    <m/>
    <m/>
    <m/>
    <m/>
    <n v="0"/>
    <m/>
    <m/>
    <n v="0"/>
    <m/>
    <m/>
    <m/>
    <m/>
    <m/>
    <m/>
    <n v="13646795"/>
    <n v="12685332"/>
  </r>
  <r>
    <x v="9"/>
    <x v="0"/>
    <s v="Nursing / allied health supplement"/>
    <m/>
    <n v="198668"/>
    <x v="8"/>
    <m/>
    <m/>
    <m/>
    <m/>
    <m/>
    <m/>
    <m/>
    <m/>
    <n v="0"/>
    <m/>
    <m/>
    <n v="0"/>
    <n v="0"/>
    <n v="0"/>
    <m/>
    <m/>
    <m/>
    <m/>
    <n v="0"/>
    <m/>
    <m/>
    <n v="0"/>
    <m/>
    <m/>
    <m/>
    <m/>
    <m/>
    <m/>
    <n v="0"/>
    <n v="0"/>
  </r>
  <r>
    <x v="9"/>
    <x v="3"/>
    <s v="Community or public service units"/>
    <m/>
    <n v="198668"/>
    <x v="8"/>
    <m/>
    <m/>
    <n v="151581"/>
    <n v="153044"/>
    <m/>
    <m/>
    <m/>
    <m/>
    <n v="0"/>
    <m/>
    <m/>
    <n v="0"/>
    <n v="151581"/>
    <n v="153044"/>
    <m/>
    <m/>
    <m/>
    <m/>
    <n v="0"/>
    <m/>
    <m/>
    <n v="0"/>
    <m/>
    <m/>
    <m/>
    <m/>
    <m/>
    <m/>
    <n v="151581"/>
    <n v="153044"/>
  </r>
  <r>
    <x v="9"/>
    <x v="44"/>
    <s v="Non-credit continuing education"/>
    <m/>
    <n v="198668"/>
    <x v="8"/>
    <m/>
    <m/>
    <n v="945750"/>
    <n v="874276"/>
    <m/>
    <m/>
    <n v="98721"/>
    <m/>
    <n v="98721"/>
    <n v="164640"/>
    <m/>
    <n v="164640"/>
    <n v="1044471"/>
    <n v="1038916"/>
    <m/>
    <m/>
    <m/>
    <m/>
    <n v="0"/>
    <m/>
    <m/>
    <n v="0"/>
    <m/>
    <m/>
    <m/>
    <m/>
    <m/>
    <m/>
    <n v="1044471"/>
    <n v="1038916"/>
  </r>
  <r>
    <x v="9"/>
    <x v="0"/>
    <s v="Isothermal Community College "/>
    <s v="Met the criteria for Two-Year 3 in 2012-13 and 2013-14."/>
    <n v="198710"/>
    <x v="7"/>
    <n v="9077801"/>
    <n v="8067333"/>
    <m/>
    <m/>
    <n v="2026370"/>
    <n v="2098872"/>
    <n v="3292347"/>
    <m/>
    <n v="3292347"/>
    <n v="3715088"/>
    <m/>
    <n v="3715088"/>
    <n v="14396518"/>
    <n v="13881293"/>
    <m/>
    <m/>
    <m/>
    <m/>
    <n v="0"/>
    <m/>
    <m/>
    <n v="0"/>
    <m/>
    <m/>
    <m/>
    <m/>
    <m/>
    <m/>
    <n v="14396518"/>
    <n v="13881293"/>
  </r>
  <r>
    <x v="9"/>
    <x v="0"/>
    <s v="Nursing / allied health supplement"/>
    <m/>
    <n v="198710"/>
    <x v="7"/>
    <m/>
    <m/>
    <m/>
    <m/>
    <m/>
    <m/>
    <m/>
    <m/>
    <n v="0"/>
    <m/>
    <m/>
    <n v="0"/>
    <n v="0"/>
    <n v="0"/>
    <m/>
    <m/>
    <m/>
    <m/>
    <n v="0"/>
    <m/>
    <m/>
    <n v="0"/>
    <m/>
    <m/>
    <m/>
    <m/>
    <m/>
    <m/>
    <n v="0"/>
    <n v="0"/>
  </r>
  <r>
    <x v="9"/>
    <x v="3"/>
    <s v="Community or public service units"/>
    <m/>
    <n v="198710"/>
    <x v="7"/>
    <m/>
    <m/>
    <n v="149166"/>
    <n v="154395"/>
    <m/>
    <m/>
    <m/>
    <m/>
    <n v="0"/>
    <m/>
    <m/>
    <n v="0"/>
    <n v="149166"/>
    <n v="154395"/>
    <m/>
    <m/>
    <m/>
    <m/>
    <n v="0"/>
    <m/>
    <m/>
    <n v="0"/>
    <m/>
    <m/>
    <m/>
    <m/>
    <m/>
    <m/>
    <n v="149166"/>
    <n v="154395"/>
  </r>
  <r>
    <x v="9"/>
    <x v="44"/>
    <s v="Non-credit continuing education"/>
    <m/>
    <n v="198710"/>
    <x v="7"/>
    <m/>
    <m/>
    <n v="1267655"/>
    <n v="1236247"/>
    <m/>
    <m/>
    <n v="247573"/>
    <m/>
    <n v="247573"/>
    <n v="169706"/>
    <m/>
    <n v="169706"/>
    <n v="1515228"/>
    <n v="1405953"/>
    <m/>
    <m/>
    <m/>
    <m/>
    <n v="0"/>
    <m/>
    <m/>
    <n v="0"/>
    <m/>
    <m/>
    <m/>
    <m/>
    <m/>
    <m/>
    <n v="1515228"/>
    <n v="1405953"/>
  </r>
  <r>
    <x v="9"/>
    <x v="0"/>
    <s v="Johnston Community College"/>
    <m/>
    <n v="198774"/>
    <x v="7"/>
    <n v="14566685"/>
    <n v="13303682"/>
    <m/>
    <m/>
    <n v="3723631"/>
    <n v="3843000"/>
    <n v="5625263"/>
    <m/>
    <n v="5625263"/>
    <n v="6621523"/>
    <m/>
    <n v="6621523"/>
    <n v="23915579"/>
    <n v="23768205"/>
    <m/>
    <m/>
    <m/>
    <m/>
    <n v="0"/>
    <m/>
    <m/>
    <n v="0"/>
    <m/>
    <m/>
    <m/>
    <m/>
    <m/>
    <m/>
    <n v="23915579"/>
    <n v="23768205"/>
  </r>
  <r>
    <x v="9"/>
    <x v="0"/>
    <s v="Nursing / allied health supplement"/>
    <m/>
    <n v="198774"/>
    <x v="7"/>
    <m/>
    <m/>
    <m/>
    <m/>
    <m/>
    <m/>
    <m/>
    <m/>
    <n v="0"/>
    <m/>
    <m/>
    <n v="0"/>
    <n v="0"/>
    <n v="0"/>
    <m/>
    <m/>
    <m/>
    <m/>
    <n v="0"/>
    <m/>
    <m/>
    <n v="0"/>
    <m/>
    <m/>
    <m/>
    <m/>
    <m/>
    <m/>
    <n v="0"/>
    <n v="0"/>
  </r>
  <r>
    <x v="9"/>
    <x v="3"/>
    <s v="Community or public service units"/>
    <m/>
    <n v="198774"/>
    <x v="7"/>
    <m/>
    <m/>
    <n v="156572"/>
    <n v="156192"/>
    <m/>
    <m/>
    <m/>
    <m/>
    <n v="0"/>
    <m/>
    <m/>
    <n v="0"/>
    <n v="156572"/>
    <n v="156192"/>
    <m/>
    <m/>
    <m/>
    <m/>
    <n v="0"/>
    <m/>
    <m/>
    <n v="0"/>
    <m/>
    <m/>
    <m/>
    <m/>
    <m/>
    <m/>
    <n v="156572"/>
    <n v="156192"/>
  </r>
  <r>
    <x v="9"/>
    <x v="44"/>
    <s v="Non-credit continuing education"/>
    <m/>
    <n v="198774"/>
    <x v="7"/>
    <m/>
    <m/>
    <n v="2222478"/>
    <n v="2241938"/>
    <m/>
    <m/>
    <n v="459336"/>
    <m/>
    <n v="459336"/>
    <n v="339412"/>
    <m/>
    <n v="339412"/>
    <n v="2681814"/>
    <n v="2581350"/>
    <m/>
    <m/>
    <m/>
    <m/>
    <n v="0"/>
    <m/>
    <m/>
    <n v="0"/>
    <m/>
    <m/>
    <m/>
    <m/>
    <m/>
    <m/>
    <n v="2681814"/>
    <n v="2581350"/>
  </r>
  <r>
    <x v="9"/>
    <x v="0"/>
    <s v="Lenoir Community College "/>
    <m/>
    <n v="198817"/>
    <x v="7"/>
    <n v="12587710"/>
    <n v="11440378"/>
    <m/>
    <m/>
    <n v="2649782"/>
    <n v="2727264"/>
    <n v="4190643"/>
    <m/>
    <n v="4190643"/>
    <n v="4404074"/>
    <m/>
    <n v="4404074"/>
    <n v="19428135"/>
    <n v="18571716"/>
    <m/>
    <m/>
    <m/>
    <m/>
    <n v="0"/>
    <m/>
    <m/>
    <n v="0"/>
    <m/>
    <m/>
    <m/>
    <m/>
    <m/>
    <m/>
    <n v="19428135"/>
    <n v="18571716"/>
  </r>
  <r>
    <x v="9"/>
    <x v="0"/>
    <s v="Nursing / allied health supplement"/>
    <m/>
    <n v="198817"/>
    <x v="7"/>
    <m/>
    <m/>
    <m/>
    <m/>
    <m/>
    <m/>
    <m/>
    <m/>
    <n v="0"/>
    <m/>
    <m/>
    <n v="0"/>
    <n v="0"/>
    <n v="0"/>
    <m/>
    <m/>
    <m/>
    <m/>
    <n v="0"/>
    <m/>
    <m/>
    <n v="0"/>
    <m/>
    <m/>
    <m/>
    <m/>
    <m/>
    <m/>
    <n v="0"/>
    <n v="0"/>
  </r>
  <r>
    <x v="9"/>
    <x v="3"/>
    <s v="Community or public service units"/>
    <m/>
    <n v="198817"/>
    <x v="7"/>
    <m/>
    <m/>
    <n v="155817"/>
    <n v="154084"/>
    <m/>
    <m/>
    <m/>
    <m/>
    <n v="0"/>
    <m/>
    <m/>
    <n v="0"/>
    <n v="155817"/>
    <n v="154084"/>
    <m/>
    <m/>
    <m/>
    <m/>
    <n v="0"/>
    <m/>
    <m/>
    <n v="0"/>
    <m/>
    <m/>
    <m/>
    <m/>
    <m/>
    <m/>
    <n v="155817"/>
    <n v="154084"/>
  </r>
  <r>
    <x v="9"/>
    <x v="44"/>
    <s v="Non-credit continuing education"/>
    <m/>
    <n v="198817"/>
    <x v="7"/>
    <m/>
    <m/>
    <n v="5244452"/>
    <n v="5115259"/>
    <m/>
    <m/>
    <n v="397104"/>
    <m/>
    <n v="397104"/>
    <n v="1007471"/>
    <m/>
    <n v="1007471"/>
    <n v="5641556"/>
    <n v="6122730"/>
    <m/>
    <m/>
    <m/>
    <m/>
    <n v="0"/>
    <m/>
    <m/>
    <n v="0"/>
    <m/>
    <m/>
    <m/>
    <m/>
    <m/>
    <m/>
    <n v="5641556"/>
    <n v="6122730"/>
  </r>
  <r>
    <x v="9"/>
    <x v="0"/>
    <s v="Mitchell Community College "/>
    <m/>
    <n v="198987"/>
    <x v="7"/>
    <n v="10472223"/>
    <n v="9714569"/>
    <m/>
    <m/>
    <n v="2835071"/>
    <n v="2935071"/>
    <n v="4289990"/>
    <m/>
    <n v="4289990"/>
    <n v="4705052"/>
    <m/>
    <n v="4705052"/>
    <n v="17597284"/>
    <n v="17354692"/>
    <m/>
    <m/>
    <m/>
    <m/>
    <n v="0"/>
    <m/>
    <m/>
    <n v="0"/>
    <m/>
    <m/>
    <m/>
    <m/>
    <m/>
    <m/>
    <n v="17597284"/>
    <n v="17354692"/>
  </r>
  <r>
    <x v="9"/>
    <x v="0"/>
    <s v="Nursing / allied health supplement"/>
    <m/>
    <n v="198987"/>
    <x v="7"/>
    <m/>
    <m/>
    <m/>
    <m/>
    <m/>
    <m/>
    <m/>
    <m/>
    <n v="0"/>
    <m/>
    <m/>
    <n v="0"/>
    <n v="0"/>
    <n v="0"/>
    <m/>
    <m/>
    <m/>
    <m/>
    <n v="0"/>
    <m/>
    <m/>
    <n v="0"/>
    <m/>
    <m/>
    <m/>
    <m/>
    <m/>
    <m/>
    <n v="0"/>
    <n v="0"/>
  </r>
  <r>
    <x v="9"/>
    <x v="3"/>
    <s v="Community or public service units"/>
    <m/>
    <n v="198987"/>
    <x v="7"/>
    <m/>
    <m/>
    <n v="162949"/>
    <n v="166354"/>
    <m/>
    <m/>
    <m/>
    <m/>
    <n v="0"/>
    <m/>
    <m/>
    <n v="0"/>
    <n v="162949"/>
    <n v="166354"/>
    <m/>
    <m/>
    <m/>
    <m/>
    <n v="0"/>
    <m/>
    <m/>
    <n v="0"/>
    <m/>
    <m/>
    <m/>
    <m/>
    <m/>
    <m/>
    <n v="162949"/>
    <n v="166354"/>
  </r>
  <r>
    <x v="9"/>
    <x v="44"/>
    <s v="Non-credit continuing education"/>
    <m/>
    <n v="198987"/>
    <x v="7"/>
    <m/>
    <m/>
    <n v="1657290"/>
    <n v="1601450"/>
    <m/>
    <m/>
    <n v="209607"/>
    <m/>
    <n v="209607"/>
    <n v="198201"/>
    <m/>
    <n v="198201"/>
    <n v="1866897"/>
    <n v="1799651"/>
    <m/>
    <m/>
    <m/>
    <m/>
    <n v="0"/>
    <m/>
    <m/>
    <n v="0"/>
    <m/>
    <m/>
    <m/>
    <m/>
    <m/>
    <m/>
    <n v="1866897"/>
    <n v="1799651"/>
  </r>
  <r>
    <x v="9"/>
    <x v="0"/>
    <s v="Nash Community College"/>
    <m/>
    <n v="199087"/>
    <x v="7"/>
    <n v="10449366"/>
    <n v="9681560"/>
    <m/>
    <m/>
    <n v="1641676"/>
    <n v="1641676"/>
    <n v="3661038"/>
    <m/>
    <n v="3661038"/>
    <n v="4614396"/>
    <m/>
    <n v="4614396"/>
    <n v="15752080"/>
    <n v="15937632"/>
    <m/>
    <m/>
    <m/>
    <m/>
    <n v="0"/>
    <m/>
    <m/>
    <n v="0"/>
    <m/>
    <m/>
    <m/>
    <m/>
    <m/>
    <m/>
    <n v="15752080"/>
    <n v="15937632"/>
  </r>
  <r>
    <x v="9"/>
    <x v="0"/>
    <s v="Nursing / allied health supplement"/>
    <m/>
    <n v="199087"/>
    <x v="7"/>
    <m/>
    <m/>
    <m/>
    <m/>
    <m/>
    <m/>
    <m/>
    <m/>
    <n v="0"/>
    <m/>
    <m/>
    <n v="0"/>
    <n v="0"/>
    <n v="0"/>
    <m/>
    <m/>
    <m/>
    <m/>
    <n v="0"/>
    <m/>
    <m/>
    <n v="0"/>
    <m/>
    <m/>
    <m/>
    <m/>
    <m/>
    <m/>
    <n v="0"/>
    <n v="0"/>
  </r>
  <r>
    <x v="9"/>
    <x v="3"/>
    <s v="Community or public service units"/>
    <m/>
    <n v="199087"/>
    <x v="7"/>
    <m/>
    <m/>
    <n v="154534"/>
    <n v="161490"/>
    <m/>
    <m/>
    <m/>
    <m/>
    <n v="0"/>
    <m/>
    <m/>
    <n v="0"/>
    <n v="154534"/>
    <n v="161490"/>
    <m/>
    <m/>
    <m/>
    <m/>
    <n v="0"/>
    <m/>
    <m/>
    <n v="0"/>
    <m/>
    <m/>
    <m/>
    <m/>
    <m/>
    <m/>
    <n v="154534"/>
    <n v="161490"/>
  </r>
  <r>
    <x v="9"/>
    <x v="44"/>
    <s v="Non-credit continuing education"/>
    <m/>
    <n v="199087"/>
    <x v="7"/>
    <m/>
    <m/>
    <n v="1503740"/>
    <n v="1564714"/>
    <m/>
    <m/>
    <n v="239702"/>
    <m/>
    <n v="239702"/>
    <n v="271023"/>
    <m/>
    <n v="271023"/>
    <n v="1743442"/>
    <n v="1835737"/>
    <m/>
    <m/>
    <m/>
    <m/>
    <n v="0"/>
    <m/>
    <m/>
    <n v="0"/>
    <m/>
    <m/>
    <m/>
    <m/>
    <m/>
    <m/>
    <n v="1743442"/>
    <n v="1835737"/>
  </r>
  <r>
    <x v="9"/>
    <x v="0"/>
    <s v="Randolph Community College"/>
    <m/>
    <n v="199421"/>
    <x v="7"/>
    <n v="9199360"/>
    <n v="9064461"/>
    <m/>
    <m/>
    <n v="2295500"/>
    <n v="2328000"/>
    <n v="4034518"/>
    <m/>
    <n v="4034518"/>
    <n v="4193752"/>
    <m/>
    <n v="4193752"/>
    <n v="15529378"/>
    <n v="15586213"/>
    <m/>
    <m/>
    <m/>
    <m/>
    <n v="0"/>
    <m/>
    <m/>
    <n v="0"/>
    <m/>
    <m/>
    <m/>
    <m/>
    <m/>
    <m/>
    <n v="15529378"/>
    <n v="15586213"/>
  </r>
  <r>
    <x v="9"/>
    <x v="0"/>
    <s v="Nursing / allied health supplement"/>
    <m/>
    <n v="199421"/>
    <x v="7"/>
    <m/>
    <m/>
    <m/>
    <m/>
    <m/>
    <m/>
    <m/>
    <m/>
    <n v="0"/>
    <m/>
    <m/>
    <n v="0"/>
    <n v="0"/>
    <n v="0"/>
    <m/>
    <m/>
    <m/>
    <m/>
    <n v="0"/>
    <m/>
    <m/>
    <n v="0"/>
    <m/>
    <m/>
    <m/>
    <m/>
    <m/>
    <m/>
    <n v="0"/>
    <n v="0"/>
  </r>
  <r>
    <x v="9"/>
    <x v="3"/>
    <s v="Community or public service units"/>
    <m/>
    <n v="199421"/>
    <x v="7"/>
    <m/>
    <m/>
    <n v="166194"/>
    <n v="162787"/>
    <m/>
    <m/>
    <m/>
    <m/>
    <n v="0"/>
    <m/>
    <m/>
    <n v="0"/>
    <n v="166194"/>
    <n v="162787"/>
    <m/>
    <m/>
    <m/>
    <m/>
    <n v="0"/>
    <m/>
    <m/>
    <n v="0"/>
    <m/>
    <m/>
    <m/>
    <m/>
    <m/>
    <m/>
    <n v="166194"/>
    <n v="162787"/>
  </r>
  <r>
    <x v="9"/>
    <x v="44"/>
    <s v="Non-credit continuing education"/>
    <m/>
    <n v="199421"/>
    <x v="7"/>
    <m/>
    <m/>
    <n v="2004223"/>
    <n v="1804875"/>
    <m/>
    <m/>
    <n v="260597"/>
    <m/>
    <n v="260597"/>
    <n v="207700"/>
    <m/>
    <n v="207700"/>
    <n v="2264820"/>
    <n v="2012575"/>
    <m/>
    <m/>
    <m/>
    <m/>
    <n v="0"/>
    <m/>
    <m/>
    <n v="0"/>
    <m/>
    <m/>
    <m/>
    <m/>
    <m/>
    <m/>
    <n v="2264820"/>
    <n v="2012575"/>
  </r>
  <r>
    <x v="9"/>
    <x v="0"/>
    <s v="Robeson Community College"/>
    <m/>
    <n v="199476"/>
    <x v="7"/>
    <n v="10485877"/>
    <n v="10082993"/>
    <m/>
    <m/>
    <n v="2039451"/>
    <n v="2116520"/>
    <n v="3643735"/>
    <m/>
    <n v="3643735"/>
    <n v="4224575"/>
    <m/>
    <n v="4224575"/>
    <n v="16169063"/>
    <n v="16424088"/>
    <m/>
    <m/>
    <m/>
    <m/>
    <n v="0"/>
    <m/>
    <m/>
    <n v="0"/>
    <m/>
    <m/>
    <m/>
    <m/>
    <m/>
    <m/>
    <n v="16169063"/>
    <n v="16424088"/>
  </r>
  <r>
    <x v="9"/>
    <x v="0"/>
    <s v="Nursing / allied health supplement"/>
    <m/>
    <n v="199476"/>
    <x v="7"/>
    <m/>
    <m/>
    <m/>
    <m/>
    <m/>
    <m/>
    <m/>
    <m/>
    <n v="0"/>
    <m/>
    <m/>
    <n v="0"/>
    <n v="0"/>
    <n v="0"/>
    <m/>
    <m/>
    <m/>
    <m/>
    <n v="0"/>
    <m/>
    <m/>
    <n v="0"/>
    <m/>
    <m/>
    <m/>
    <m/>
    <m/>
    <m/>
    <n v="0"/>
    <n v="0"/>
  </r>
  <r>
    <x v="9"/>
    <x v="3"/>
    <s v="Community or public service units"/>
    <m/>
    <n v="199476"/>
    <x v="7"/>
    <m/>
    <m/>
    <n v="157100"/>
    <n v="160354"/>
    <m/>
    <m/>
    <m/>
    <m/>
    <n v="0"/>
    <m/>
    <m/>
    <n v="0"/>
    <n v="157100"/>
    <n v="160354"/>
    <m/>
    <m/>
    <m/>
    <m/>
    <n v="0"/>
    <m/>
    <m/>
    <n v="0"/>
    <m/>
    <m/>
    <m/>
    <m/>
    <m/>
    <m/>
    <n v="157100"/>
    <n v="160354"/>
  </r>
  <r>
    <x v="9"/>
    <x v="44"/>
    <s v="Non-credit continuing education"/>
    <m/>
    <n v="199476"/>
    <x v="7"/>
    <m/>
    <m/>
    <n v="4534338"/>
    <n v="3709409"/>
    <m/>
    <m/>
    <n v="194569"/>
    <m/>
    <n v="194569"/>
    <n v="377406"/>
    <m/>
    <n v="377406"/>
    <n v="4728907"/>
    <n v="4086815"/>
    <m/>
    <m/>
    <m/>
    <m/>
    <n v="0"/>
    <m/>
    <m/>
    <n v="0"/>
    <m/>
    <m/>
    <m/>
    <m/>
    <m/>
    <m/>
    <n v="4728907"/>
    <n v="4086815"/>
  </r>
  <r>
    <x v="9"/>
    <x v="0"/>
    <s v="Sandhills Community College "/>
    <m/>
    <n v="199634"/>
    <x v="7"/>
    <n v="12865444"/>
    <n v="12094243"/>
    <m/>
    <m/>
    <n v="4554581"/>
    <n v="4554581"/>
    <n v="5655282"/>
    <m/>
    <n v="5655282"/>
    <n v="5948854"/>
    <m/>
    <n v="5948854"/>
    <n v="23075307"/>
    <n v="22597678"/>
    <m/>
    <m/>
    <m/>
    <m/>
    <n v="0"/>
    <m/>
    <m/>
    <n v="0"/>
    <m/>
    <m/>
    <m/>
    <m/>
    <m/>
    <m/>
    <n v="23075307"/>
    <n v="22597678"/>
  </r>
  <r>
    <x v="9"/>
    <x v="0"/>
    <s v="Nursing / allied health supplement"/>
    <m/>
    <n v="199634"/>
    <x v="7"/>
    <m/>
    <m/>
    <m/>
    <m/>
    <m/>
    <m/>
    <m/>
    <m/>
    <n v="0"/>
    <m/>
    <m/>
    <n v="0"/>
    <n v="0"/>
    <n v="0"/>
    <m/>
    <m/>
    <m/>
    <m/>
    <n v="0"/>
    <m/>
    <m/>
    <n v="0"/>
    <m/>
    <m/>
    <m/>
    <m/>
    <m/>
    <m/>
    <n v="0"/>
    <n v="0"/>
  </r>
  <r>
    <x v="9"/>
    <x v="3"/>
    <s v="Community or public service units"/>
    <m/>
    <n v="199634"/>
    <x v="7"/>
    <m/>
    <m/>
    <n v="154609"/>
    <n v="153814"/>
    <m/>
    <m/>
    <m/>
    <m/>
    <n v="0"/>
    <m/>
    <m/>
    <n v="0"/>
    <n v="154609"/>
    <n v="153814"/>
    <m/>
    <m/>
    <m/>
    <m/>
    <n v="0"/>
    <m/>
    <m/>
    <n v="0"/>
    <m/>
    <m/>
    <m/>
    <m/>
    <m/>
    <m/>
    <n v="154609"/>
    <n v="153814"/>
  </r>
  <r>
    <x v="9"/>
    <x v="44"/>
    <s v="Non-credit continuing education"/>
    <m/>
    <n v="199634"/>
    <x v="7"/>
    <m/>
    <m/>
    <n v="1930978"/>
    <n v="1821652"/>
    <m/>
    <m/>
    <n v="160744"/>
    <m/>
    <n v="160744"/>
    <n v="185537"/>
    <m/>
    <n v="185537"/>
    <n v="2091722"/>
    <n v="2007189"/>
    <m/>
    <m/>
    <m/>
    <m/>
    <n v="0"/>
    <m/>
    <m/>
    <n v="0"/>
    <m/>
    <m/>
    <m/>
    <m/>
    <m/>
    <m/>
    <n v="2091722"/>
    <n v="2007189"/>
  </r>
  <r>
    <x v="9"/>
    <x v="0"/>
    <s v="Stanly Community College"/>
    <m/>
    <n v="199740"/>
    <x v="7"/>
    <n v="10199641"/>
    <n v="9635241"/>
    <m/>
    <m/>
    <n v="1242960"/>
    <n v="1267820"/>
    <n v="4052981"/>
    <m/>
    <n v="4052981"/>
    <n v="4186499"/>
    <m/>
    <n v="4186499"/>
    <n v="15495582"/>
    <n v="15089560"/>
    <m/>
    <m/>
    <m/>
    <m/>
    <n v="0"/>
    <m/>
    <m/>
    <n v="0"/>
    <m/>
    <m/>
    <m/>
    <m/>
    <m/>
    <m/>
    <n v="15495582"/>
    <n v="15089560"/>
  </r>
  <r>
    <x v="9"/>
    <x v="0"/>
    <s v="Nursing / allied health supplement"/>
    <m/>
    <n v="199740"/>
    <x v="7"/>
    <m/>
    <m/>
    <m/>
    <m/>
    <m/>
    <m/>
    <m/>
    <m/>
    <n v="0"/>
    <m/>
    <m/>
    <n v="0"/>
    <n v="0"/>
    <n v="0"/>
    <m/>
    <m/>
    <m/>
    <m/>
    <n v="0"/>
    <m/>
    <m/>
    <n v="0"/>
    <m/>
    <m/>
    <m/>
    <m/>
    <m/>
    <m/>
    <n v="0"/>
    <n v="0"/>
  </r>
  <r>
    <x v="9"/>
    <x v="3"/>
    <s v="Community or public service units"/>
    <m/>
    <n v="199740"/>
    <x v="7"/>
    <m/>
    <m/>
    <n v="149468"/>
    <n v="149314"/>
    <m/>
    <m/>
    <m/>
    <m/>
    <n v="0"/>
    <m/>
    <m/>
    <n v="0"/>
    <n v="149468"/>
    <n v="149314"/>
    <m/>
    <m/>
    <m/>
    <m/>
    <n v="0"/>
    <m/>
    <m/>
    <n v="0"/>
    <m/>
    <m/>
    <m/>
    <m/>
    <m/>
    <m/>
    <n v="149468"/>
    <n v="149314"/>
  </r>
  <r>
    <x v="9"/>
    <x v="44"/>
    <s v="Non-credit continuing education"/>
    <m/>
    <n v="199740"/>
    <x v="7"/>
    <m/>
    <m/>
    <n v="1712641"/>
    <n v="1831012"/>
    <m/>
    <m/>
    <n v="499292"/>
    <m/>
    <n v="499292"/>
    <n v="281155"/>
    <m/>
    <n v="281155"/>
    <n v="2211933"/>
    <n v="2112167"/>
    <m/>
    <m/>
    <m/>
    <m/>
    <n v="0"/>
    <m/>
    <m/>
    <n v="0"/>
    <m/>
    <m/>
    <m/>
    <m/>
    <m/>
    <m/>
    <n v="2211933"/>
    <n v="2112167"/>
  </r>
  <r>
    <x v="9"/>
    <x v="0"/>
    <s v="Surry Community College "/>
    <m/>
    <n v="199768"/>
    <x v="7"/>
    <n v="11145868"/>
    <n v="10491372"/>
    <m/>
    <m/>
    <n v="2362538"/>
    <n v="2462538"/>
    <n v="4193490"/>
    <m/>
    <n v="4193490"/>
    <n v="4935319"/>
    <m/>
    <n v="4935319"/>
    <n v="17701896"/>
    <n v="17889229"/>
    <m/>
    <m/>
    <m/>
    <m/>
    <n v="0"/>
    <m/>
    <m/>
    <n v="0"/>
    <m/>
    <m/>
    <m/>
    <m/>
    <m/>
    <m/>
    <n v="17701896"/>
    <n v="17889229"/>
  </r>
  <r>
    <x v="9"/>
    <x v="0"/>
    <s v="Nursing / allied health supplement"/>
    <m/>
    <n v="199768"/>
    <x v="7"/>
    <m/>
    <m/>
    <m/>
    <m/>
    <m/>
    <m/>
    <m/>
    <m/>
    <n v="0"/>
    <m/>
    <m/>
    <n v="0"/>
    <n v="0"/>
    <n v="0"/>
    <m/>
    <m/>
    <m/>
    <m/>
    <n v="0"/>
    <m/>
    <m/>
    <n v="0"/>
    <m/>
    <m/>
    <m/>
    <m/>
    <m/>
    <m/>
    <n v="0"/>
    <n v="0"/>
  </r>
  <r>
    <x v="9"/>
    <x v="3"/>
    <s v="Community or public service units"/>
    <m/>
    <n v="199768"/>
    <x v="7"/>
    <m/>
    <m/>
    <n v="147666"/>
    <n v="149977"/>
    <m/>
    <m/>
    <m/>
    <m/>
    <n v="0"/>
    <m/>
    <m/>
    <n v="0"/>
    <n v="147666"/>
    <n v="149977"/>
    <m/>
    <m/>
    <m/>
    <m/>
    <n v="0"/>
    <m/>
    <m/>
    <n v="0"/>
    <m/>
    <m/>
    <m/>
    <m/>
    <m/>
    <m/>
    <n v="147666"/>
    <n v="149977"/>
  </r>
  <r>
    <x v="9"/>
    <x v="44"/>
    <s v="Non-credit continuing education"/>
    <m/>
    <n v="199768"/>
    <x v="7"/>
    <m/>
    <m/>
    <n v="2046989"/>
    <n v="2027519"/>
    <m/>
    <m/>
    <n v="273035"/>
    <m/>
    <n v="273035"/>
    <n v="324214"/>
    <m/>
    <n v="324214"/>
    <n v="2320024"/>
    <n v="2351733"/>
    <m/>
    <m/>
    <m/>
    <m/>
    <n v="0"/>
    <m/>
    <m/>
    <n v="0"/>
    <m/>
    <m/>
    <m/>
    <m/>
    <m/>
    <m/>
    <n v="2320024"/>
    <n v="2351733"/>
  </r>
  <r>
    <x v="9"/>
    <x v="0"/>
    <s v="Vance-Granville Community College "/>
    <m/>
    <n v="199838"/>
    <x v="7"/>
    <n v="13675538"/>
    <n v="12564212"/>
    <m/>
    <m/>
    <n v="2117665"/>
    <n v="2168622"/>
    <n v="4907086"/>
    <m/>
    <n v="4907086"/>
    <n v="5470190"/>
    <m/>
    <n v="5470190"/>
    <n v="20700289"/>
    <n v="20203024"/>
    <m/>
    <m/>
    <m/>
    <m/>
    <n v="0"/>
    <m/>
    <m/>
    <n v="0"/>
    <m/>
    <m/>
    <m/>
    <m/>
    <m/>
    <m/>
    <n v="20700289"/>
    <n v="20203024"/>
  </r>
  <r>
    <x v="9"/>
    <x v="0"/>
    <s v="Nursing / allied health supplement"/>
    <m/>
    <n v="199838"/>
    <x v="7"/>
    <m/>
    <m/>
    <m/>
    <m/>
    <m/>
    <m/>
    <m/>
    <m/>
    <n v="0"/>
    <m/>
    <m/>
    <n v="0"/>
    <n v="0"/>
    <n v="0"/>
    <m/>
    <m/>
    <m/>
    <m/>
    <n v="0"/>
    <m/>
    <m/>
    <n v="0"/>
    <m/>
    <m/>
    <m/>
    <m/>
    <m/>
    <m/>
    <n v="0"/>
    <n v="0"/>
  </r>
  <r>
    <x v="9"/>
    <x v="3"/>
    <s v="Community or public service units"/>
    <m/>
    <n v="199838"/>
    <x v="7"/>
    <m/>
    <m/>
    <n v="162345"/>
    <n v="161760"/>
    <m/>
    <m/>
    <m/>
    <m/>
    <n v="0"/>
    <m/>
    <m/>
    <n v="0"/>
    <n v="162345"/>
    <n v="161760"/>
    <m/>
    <m/>
    <m/>
    <m/>
    <n v="0"/>
    <m/>
    <m/>
    <n v="0"/>
    <m/>
    <m/>
    <m/>
    <m/>
    <m/>
    <m/>
    <n v="162345"/>
    <n v="161760"/>
  </r>
  <r>
    <x v="9"/>
    <x v="44"/>
    <s v="Non-credit continuing education"/>
    <m/>
    <n v="199838"/>
    <x v="7"/>
    <m/>
    <m/>
    <n v="3081203"/>
    <n v="3069389"/>
    <m/>
    <m/>
    <n v="363103"/>
    <m/>
    <n v="363103"/>
    <n v="389437"/>
    <m/>
    <n v="389437"/>
    <n v="3444306"/>
    <n v="3458826"/>
    <m/>
    <m/>
    <m/>
    <m/>
    <n v="0"/>
    <m/>
    <m/>
    <n v="0"/>
    <m/>
    <m/>
    <m/>
    <m/>
    <m/>
    <m/>
    <n v="3444306"/>
    <n v="3458826"/>
  </r>
  <r>
    <x v="9"/>
    <x v="0"/>
    <s v="Wayne Community College"/>
    <m/>
    <n v="199892"/>
    <x v="7"/>
    <n v="11605363"/>
    <n v="11858514"/>
    <m/>
    <m/>
    <n v="3506067"/>
    <n v="3318403"/>
    <n v="5513613"/>
    <m/>
    <n v="5513613"/>
    <n v="5709522"/>
    <m/>
    <n v="5709522"/>
    <n v="20625043"/>
    <n v="20886439"/>
    <m/>
    <m/>
    <m/>
    <m/>
    <n v="0"/>
    <m/>
    <m/>
    <n v="0"/>
    <m/>
    <m/>
    <m/>
    <m/>
    <m/>
    <m/>
    <n v="20625043"/>
    <n v="20886439"/>
  </r>
  <r>
    <x v="9"/>
    <x v="0"/>
    <s v="Nursing / allied health supplement"/>
    <m/>
    <n v="199892"/>
    <x v="7"/>
    <m/>
    <m/>
    <m/>
    <m/>
    <m/>
    <m/>
    <m/>
    <m/>
    <n v="0"/>
    <m/>
    <m/>
    <n v="0"/>
    <n v="0"/>
    <n v="0"/>
    <m/>
    <m/>
    <m/>
    <m/>
    <n v="0"/>
    <m/>
    <m/>
    <n v="0"/>
    <m/>
    <m/>
    <m/>
    <m/>
    <m/>
    <m/>
    <n v="0"/>
    <n v="0"/>
  </r>
  <r>
    <x v="9"/>
    <x v="3"/>
    <s v="Community or public service units"/>
    <m/>
    <n v="199892"/>
    <x v="7"/>
    <m/>
    <m/>
    <n v="154006"/>
    <n v="152463"/>
    <m/>
    <m/>
    <m/>
    <m/>
    <n v="0"/>
    <m/>
    <m/>
    <n v="0"/>
    <n v="154006"/>
    <n v="152463"/>
    <m/>
    <m/>
    <m/>
    <m/>
    <n v="0"/>
    <m/>
    <m/>
    <n v="0"/>
    <m/>
    <m/>
    <m/>
    <m/>
    <m/>
    <m/>
    <n v="154006"/>
    <n v="152463"/>
  </r>
  <r>
    <x v="9"/>
    <x v="44"/>
    <s v="Non-credit continuing education"/>
    <m/>
    <n v="199892"/>
    <x v="7"/>
    <m/>
    <m/>
    <n v="2539406"/>
    <n v="2254643"/>
    <m/>
    <m/>
    <n v="280996"/>
    <m/>
    <n v="280996"/>
    <n v="314716"/>
    <m/>
    <n v="314716"/>
    <n v="2820402"/>
    <n v="2569359"/>
    <m/>
    <m/>
    <m/>
    <m/>
    <n v="0"/>
    <m/>
    <m/>
    <n v="0"/>
    <m/>
    <m/>
    <m/>
    <m/>
    <m/>
    <m/>
    <n v="2820402"/>
    <n v="2569359"/>
  </r>
  <r>
    <x v="9"/>
    <x v="0"/>
    <s v="Western Piedmont Community College "/>
    <m/>
    <n v="199908"/>
    <x v="7"/>
    <n v="10826462"/>
    <n v="9557563"/>
    <m/>
    <m/>
    <n v="2207051"/>
    <n v="2182000"/>
    <n v="4355598"/>
    <m/>
    <n v="4355598"/>
    <n v="4171994"/>
    <m/>
    <n v="4171994"/>
    <n v="17389111"/>
    <n v="15911557"/>
    <m/>
    <m/>
    <m/>
    <m/>
    <n v="0"/>
    <m/>
    <m/>
    <n v="0"/>
    <m/>
    <m/>
    <m/>
    <m/>
    <m/>
    <m/>
    <n v="17389111"/>
    <n v="15911557"/>
  </r>
  <r>
    <x v="9"/>
    <x v="0"/>
    <s v="Nursing / allied health supplement"/>
    <m/>
    <n v="199908"/>
    <x v="7"/>
    <m/>
    <m/>
    <m/>
    <m/>
    <m/>
    <m/>
    <m/>
    <m/>
    <n v="0"/>
    <m/>
    <m/>
    <n v="0"/>
    <n v="0"/>
    <n v="0"/>
    <m/>
    <m/>
    <m/>
    <m/>
    <n v="0"/>
    <m/>
    <m/>
    <n v="0"/>
    <m/>
    <m/>
    <m/>
    <m/>
    <m/>
    <m/>
    <n v="0"/>
    <n v="0"/>
  </r>
  <r>
    <x v="9"/>
    <x v="3"/>
    <s v="Community or public service units"/>
    <m/>
    <n v="199908"/>
    <x v="7"/>
    <m/>
    <m/>
    <n v="155590"/>
    <n v="158408"/>
    <m/>
    <m/>
    <m/>
    <m/>
    <n v="0"/>
    <m/>
    <m/>
    <n v="0"/>
    <n v="155590"/>
    <n v="158408"/>
    <m/>
    <m/>
    <m/>
    <m/>
    <n v="0"/>
    <m/>
    <m/>
    <n v="0"/>
    <m/>
    <m/>
    <m/>
    <m/>
    <m/>
    <m/>
    <n v="155590"/>
    <n v="158408"/>
  </r>
  <r>
    <x v="9"/>
    <x v="44"/>
    <s v="Non-credit continuing education"/>
    <m/>
    <n v="199908"/>
    <x v="7"/>
    <m/>
    <m/>
    <n v="2588342"/>
    <n v="2323033"/>
    <m/>
    <m/>
    <n v="125333"/>
    <m/>
    <n v="125333"/>
    <n v="233662"/>
    <m/>
    <n v="233662"/>
    <n v="2713675"/>
    <n v="2556695"/>
    <m/>
    <m/>
    <m/>
    <m/>
    <n v="0"/>
    <m/>
    <m/>
    <n v="0"/>
    <m/>
    <m/>
    <m/>
    <m/>
    <m/>
    <m/>
    <n v="2713675"/>
    <n v="2556695"/>
  </r>
  <r>
    <x v="9"/>
    <x v="0"/>
    <s v="Wilkes Community College "/>
    <m/>
    <n v="199926"/>
    <x v="7"/>
    <n v="10241906"/>
    <n v="9880749"/>
    <m/>
    <m/>
    <n v="3574435"/>
    <n v="3806179"/>
    <n v="4158769"/>
    <m/>
    <n v="4158769"/>
    <n v="4242706"/>
    <m/>
    <n v="4242706"/>
    <n v="17975110"/>
    <n v="17929634"/>
    <m/>
    <m/>
    <m/>
    <m/>
    <n v="0"/>
    <m/>
    <m/>
    <n v="0"/>
    <m/>
    <m/>
    <m/>
    <m/>
    <m/>
    <m/>
    <n v="17975110"/>
    <n v="17929634"/>
  </r>
  <r>
    <x v="9"/>
    <x v="0"/>
    <s v="Nursing / allied health supplement"/>
    <m/>
    <n v="199926"/>
    <x v="7"/>
    <m/>
    <m/>
    <m/>
    <m/>
    <m/>
    <m/>
    <m/>
    <m/>
    <n v="0"/>
    <m/>
    <m/>
    <n v="0"/>
    <n v="0"/>
    <n v="0"/>
    <m/>
    <m/>
    <m/>
    <m/>
    <n v="0"/>
    <m/>
    <m/>
    <n v="0"/>
    <m/>
    <m/>
    <m/>
    <m/>
    <m/>
    <m/>
    <n v="0"/>
    <n v="0"/>
  </r>
  <r>
    <x v="9"/>
    <x v="3"/>
    <s v="Community or public service units"/>
    <m/>
    <n v="199926"/>
    <x v="7"/>
    <m/>
    <m/>
    <n v="151364"/>
    <n v="149328"/>
    <m/>
    <m/>
    <m/>
    <m/>
    <n v="0"/>
    <m/>
    <m/>
    <n v="0"/>
    <n v="151364"/>
    <n v="149328"/>
    <m/>
    <m/>
    <m/>
    <m/>
    <n v="0"/>
    <m/>
    <m/>
    <n v="0"/>
    <m/>
    <m/>
    <m/>
    <m/>
    <m/>
    <m/>
    <n v="151364"/>
    <n v="149328"/>
  </r>
  <r>
    <x v="9"/>
    <x v="44"/>
    <s v="Non-credit continuing education"/>
    <m/>
    <n v="199926"/>
    <x v="7"/>
    <m/>
    <m/>
    <n v="2094035"/>
    <n v="2116589"/>
    <m/>
    <m/>
    <n v="410551"/>
    <m/>
    <n v="410551"/>
    <n v="324214"/>
    <m/>
    <n v="324214"/>
    <n v="2504586"/>
    <n v="2440803"/>
    <m/>
    <m/>
    <m/>
    <m/>
    <n v="0"/>
    <m/>
    <m/>
    <n v="0"/>
    <m/>
    <m/>
    <m/>
    <m/>
    <m/>
    <m/>
    <n v="2504586"/>
    <n v="2440803"/>
  </r>
  <r>
    <x v="9"/>
    <x v="0"/>
    <s v="Beaufort County Community College "/>
    <m/>
    <n v="197966"/>
    <x v="8"/>
    <n v="6955042"/>
    <n v="6551773"/>
    <m/>
    <m/>
    <n v="2148745"/>
    <n v="2232403"/>
    <n v="2409738"/>
    <m/>
    <n v="2409738"/>
    <n v="2868360"/>
    <m/>
    <n v="2868360"/>
    <n v="11513525"/>
    <n v="11652536"/>
    <m/>
    <m/>
    <m/>
    <m/>
    <n v="0"/>
    <m/>
    <m/>
    <n v="0"/>
    <m/>
    <m/>
    <m/>
    <m/>
    <m/>
    <m/>
    <n v="11513525"/>
    <n v="11652536"/>
  </r>
  <r>
    <x v="9"/>
    <x v="0"/>
    <s v="Nursing / allied health supplement"/>
    <m/>
    <n v="197966"/>
    <x v="8"/>
    <m/>
    <m/>
    <m/>
    <m/>
    <m/>
    <m/>
    <m/>
    <m/>
    <n v="0"/>
    <m/>
    <m/>
    <n v="0"/>
    <n v="0"/>
    <n v="0"/>
    <m/>
    <m/>
    <m/>
    <m/>
    <n v="0"/>
    <m/>
    <m/>
    <n v="0"/>
    <m/>
    <m/>
    <m/>
    <m/>
    <m/>
    <m/>
    <n v="0"/>
    <n v="0"/>
  </r>
  <r>
    <x v="9"/>
    <x v="3"/>
    <s v="Community or public service units"/>
    <m/>
    <n v="197966"/>
    <x v="8"/>
    <m/>
    <m/>
    <n v="149845"/>
    <n v="148287"/>
    <m/>
    <m/>
    <m/>
    <m/>
    <n v="0"/>
    <m/>
    <m/>
    <n v="0"/>
    <n v="149845"/>
    <n v="148287"/>
    <m/>
    <m/>
    <m/>
    <m/>
    <n v="0"/>
    <m/>
    <m/>
    <n v="0"/>
    <m/>
    <m/>
    <m/>
    <m/>
    <m/>
    <m/>
    <n v="149845"/>
    <n v="148287"/>
  </r>
  <r>
    <x v="9"/>
    <x v="44"/>
    <s v="Non-credit continuing education"/>
    <m/>
    <n v="197966"/>
    <x v="8"/>
    <m/>
    <m/>
    <n v="1149310"/>
    <n v="1107472"/>
    <m/>
    <m/>
    <n v="126381"/>
    <m/>
    <n v="126381"/>
    <n v="136145"/>
    <m/>
    <n v="136145"/>
    <n v="1275691"/>
    <n v="1243617"/>
    <m/>
    <m/>
    <m/>
    <m/>
    <n v="0"/>
    <m/>
    <m/>
    <n v="0"/>
    <m/>
    <m/>
    <m/>
    <m/>
    <m/>
    <m/>
    <n v="1275691"/>
    <n v="1243617"/>
  </r>
  <r>
    <x v="9"/>
    <x v="0"/>
    <s v="Bladen Community College"/>
    <m/>
    <n v="198011"/>
    <x v="8"/>
    <n v="6257529"/>
    <n v="5725840"/>
    <m/>
    <m/>
    <n v="731541"/>
    <n v="765803"/>
    <n v="2476092"/>
    <m/>
    <n v="2476092"/>
    <n v="2322610"/>
    <m/>
    <n v="2322610"/>
    <n v="9465162"/>
    <n v="8814253"/>
    <m/>
    <m/>
    <m/>
    <m/>
    <n v="0"/>
    <m/>
    <m/>
    <n v="0"/>
    <m/>
    <m/>
    <m/>
    <m/>
    <m/>
    <m/>
    <n v="9465162"/>
    <n v="8814253"/>
  </r>
  <r>
    <x v="9"/>
    <x v="0"/>
    <s v="Nursing / allied health supplement"/>
    <m/>
    <n v="198011"/>
    <x v="8"/>
    <m/>
    <m/>
    <m/>
    <m/>
    <m/>
    <m/>
    <m/>
    <m/>
    <n v="0"/>
    <m/>
    <m/>
    <n v="0"/>
    <n v="0"/>
    <n v="0"/>
    <m/>
    <m/>
    <m/>
    <m/>
    <n v="0"/>
    <m/>
    <m/>
    <n v="0"/>
    <m/>
    <m/>
    <m/>
    <m/>
    <m/>
    <m/>
    <n v="0"/>
    <n v="0"/>
  </r>
  <r>
    <x v="9"/>
    <x v="3"/>
    <s v="Community or public service units"/>
    <m/>
    <n v="198011"/>
    <x v="8"/>
    <m/>
    <m/>
    <n v="145402"/>
    <n v="145977"/>
    <m/>
    <m/>
    <m/>
    <m/>
    <n v="0"/>
    <m/>
    <m/>
    <n v="0"/>
    <n v="145402"/>
    <n v="145977"/>
    <m/>
    <m/>
    <m/>
    <m/>
    <n v="0"/>
    <m/>
    <m/>
    <n v="0"/>
    <m/>
    <m/>
    <m/>
    <m/>
    <m/>
    <m/>
    <n v="145402"/>
    <n v="145977"/>
  </r>
  <r>
    <x v="9"/>
    <x v="44"/>
    <s v="Non-credit continuing education"/>
    <m/>
    <n v="198011"/>
    <x v="8"/>
    <m/>
    <m/>
    <n v="880385"/>
    <n v="924977"/>
    <m/>
    <m/>
    <n v="110806"/>
    <m/>
    <n v="110806"/>
    <n v="153875"/>
    <m/>
    <n v="153875"/>
    <n v="991191"/>
    <n v="1078852"/>
    <m/>
    <m/>
    <m/>
    <m/>
    <n v="0"/>
    <m/>
    <m/>
    <n v="0"/>
    <m/>
    <m/>
    <m/>
    <m/>
    <m/>
    <m/>
    <n v="991191"/>
    <n v="1078852"/>
  </r>
  <r>
    <x v="9"/>
    <x v="0"/>
    <s v="Blue Ridge Community College"/>
    <m/>
    <n v="198039"/>
    <x v="8"/>
    <n v="8397801"/>
    <n v="7999994"/>
    <m/>
    <m/>
    <n v="2440308"/>
    <n v="2440308"/>
    <n v="3202148"/>
    <m/>
    <n v="3202148"/>
    <n v="3232797"/>
    <m/>
    <n v="3232797"/>
    <n v="14040257"/>
    <n v="13673099"/>
    <m/>
    <m/>
    <m/>
    <m/>
    <n v="0"/>
    <m/>
    <m/>
    <n v="0"/>
    <m/>
    <m/>
    <m/>
    <m/>
    <m/>
    <m/>
    <n v="14040257"/>
    <n v="13673099"/>
  </r>
  <r>
    <x v="9"/>
    <x v="0"/>
    <s v="Nursing / allied health supplement"/>
    <m/>
    <n v="198039"/>
    <x v="8"/>
    <m/>
    <m/>
    <m/>
    <m/>
    <m/>
    <m/>
    <m/>
    <m/>
    <n v="0"/>
    <m/>
    <m/>
    <n v="0"/>
    <n v="0"/>
    <n v="0"/>
    <m/>
    <m/>
    <m/>
    <m/>
    <n v="0"/>
    <m/>
    <m/>
    <n v="0"/>
    <m/>
    <m/>
    <m/>
    <m/>
    <m/>
    <m/>
    <n v="0"/>
    <n v="0"/>
  </r>
  <r>
    <x v="9"/>
    <x v="3"/>
    <s v="Community or public service units"/>
    <m/>
    <n v="198039"/>
    <x v="8"/>
    <m/>
    <m/>
    <n v="162534"/>
    <n v="162840"/>
    <m/>
    <m/>
    <m/>
    <m/>
    <n v="0"/>
    <m/>
    <m/>
    <n v="0"/>
    <n v="162534"/>
    <n v="162840"/>
    <m/>
    <m/>
    <m/>
    <m/>
    <n v="0"/>
    <m/>
    <m/>
    <n v="0"/>
    <m/>
    <m/>
    <m/>
    <m/>
    <m/>
    <m/>
    <n v="162534"/>
    <n v="162840"/>
  </r>
  <r>
    <x v="9"/>
    <x v="44"/>
    <s v="Non-credit continuing education"/>
    <m/>
    <n v="198039"/>
    <x v="8"/>
    <m/>
    <m/>
    <n v="1803496"/>
    <n v="1685472"/>
    <m/>
    <m/>
    <n v="272148"/>
    <m/>
    <n v="272148"/>
    <n v="307117"/>
    <m/>
    <n v="307117"/>
    <n v="2075644"/>
    <n v="1992589"/>
    <m/>
    <m/>
    <m/>
    <m/>
    <n v="0"/>
    <m/>
    <m/>
    <n v="0"/>
    <m/>
    <m/>
    <m/>
    <m/>
    <m/>
    <m/>
    <n v="2075644"/>
    <n v="1992589"/>
  </r>
  <r>
    <x v="9"/>
    <x v="0"/>
    <s v="Brunswick Community College"/>
    <m/>
    <n v="198084"/>
    <x v="8"/>
    <n v="6362096"/>
    <n v="5864510"/>
    <m/>
    <m/>
    <n v="3647505"/>
    <n v="3781447"/>
    <n v="1768336"/>
    <m/>
    <n v="1768336"/>
    <n v="2299039"/>
    <m/>
    <n v="2299039"/>
    <n v="11777937"/>
    <n v="11944996"/>
    <m/>
    <m/>
    <m/>
    <m/>
    <n v="0"/>
    <m/>
    <m/>
    <n v="0"/>
    <m/>
    <m/>
    <m/>
    <m/>
    <m/>
    <m/>
    <n v="11777937"/>
    <n v="11944996"/>
  </r>
  <r>
    <x v="9"/>
    <x v="0"/>
    <s v="Nursing / allied health supplement"/>
    <m/>
    <n v="198084"/>
    <x v="8"/>
    <m/>
    <m/>
    <m/>
    <m/>
    <m/>
    <m/>
    <m/>
    <m/>
    <n v="0"/>
    <m/>
    <m/>
    <n v="0"/>
    <n v="0"/>
    <n v="0"/>
    <m/>
    <m/>
    <m/>
    <m/>
    <n v="0"/>
    <m/>
    <m/>
    <n v="0"/>
    <m/>
    <m/>
    <m/>
    <m/>
    <m/>
    <m/>
    <n v="0"/>
    <n v="0"/>
  </r>
  <r>
    <x v="9"/>
    <x v="3"/>
    <s v="Community or public service units"/>
    <m/>
    <n v="198084"/>
    <x v="8"/>
    <m/>
    <m/>
    <n v="148487"/>
    <n v="148287"/>
    <m/>
    <m/>
    <m/>
    <m/>
    <n v="0"/>
    <m/>
    <m/>
    <n v="0"/>
    <n v="148487"/>
    <n v="148287"/>
    <m/>
    <m/>
    <m/>
    <m/>
    <n v="0"/>
    <m/>
    <m/>
    <n v="0"/>
    <m/>
    <m/>
    <m/>
    <m/>
    <m/>
    <m/>
    <n v="148487"/>
    <n v="148287"/>
  </r>
  <r>
    <x v="9"/>
    <x v="44"/>
    <s v="Non-credit continuing education"/>
    <m/>
    <n v="198084"/>
    <x v="8"/>
    <m/>
    <m/>
    <n v="1581896"/>
    <n v="1479578"/>
    <m/>
    <m/>
    <n v="160072"/>
    <m/>
    <n v="160072"/>
    <n v="178571"/>
    <m/>
    <n v="178571"/>
    <n v="1741968"/>
    <n v="1658149"/>
    <m/>
    <m/>
    <m/>
    <m/>
    <n v="0"/>
    <m/>
    <m/>
    <n v="0"/>
    <m/>
    <m/>
    <m/>
    <m/>
    <m/>
    <m/>
    <n v="1741968"/>
    <n v="1658149"/>
  </r>
  <r>
    <x v="9"/>
    <x v="0"/>
    <s v="Carteret Community College"/>
    <m/>
    <n v="198206"/>
    <x v="8"/>
    <n v="6503599"/>
    <n v="6251001"/>
    <m/>
    <m/>
    <n v="2053000"/>
    <n v="2130955"/>
    <n v="2515615"/>
    <m/>
    <n v="2515615"/>
    <n v="2605457"/>
    <m/>
    <n v="2605457"/>
    <n v="11072214"/>
    <n v="10987413"/>
    <m/>
    <m/>
    <m/>
    <m/>
    <n v="0"/>
    <m/>
    <m/>
    <n v="0"/>
    <m/>
    <m/>
    <m/>
    <m/>
    <m/>
    <m/>
    <n v="11072214"/>
    <n v="10987413"/>
  </r>
  <r>
    <x v="9"/>
    <x v="0"/>
    <s v="Nursing / allied health supplement"/>
    <m/>
    <n v="198206"/>
    <x v="8"/>
    <m/>
    <m/>
    <m/>
    <m/>
    <m/>
    <m/>
    <m/>
    <m/>
    <n v="0"/>
    <m/>
    <m/>
    <n v="0"/>
    <n v="0"/>
    <n v="0"/>
    <m/>
    <m/>
    <m/>
    <m/>
    <n v="0"/>
    <m/>
    <m/>
    <n v="0"/>
    <m/>
    <m/>
    <m/>
    <m/>
    <m/>
    <m/>
    <n v="0"/>
    <n v="0"/>
  </r>
  <r>
    <x v="9"/>
    <x v="3"/>
    <s v="Community or public service units"/>
    <m/>
    <n v="198206"/>
    <x v="8"/>
    <m/>
    <m/>
    <n v="151279"/>
    <n v="151044"/>
    <m/>
    <m/>
    <m/>
    <m/>
    <n v="0"/>
    <m/>
    <m/>
    <n v="0"/>
    <n v="151279"/>
    <n v="151044"/>
    <m/>
    <m/>
    <m/>
    <m/>
    <n v="0"/>
    <m/>
    <m/>
    <n v="0"/>
    <m/>
    <m/>
    <m/>
    <m/>
    <m/>
    <m/>
    <n v="151279"/>
    <n v="151044"/>
  </r>
  <r>
    <x v="9"/>
    <x v="44"/>
    <s v="Non-credit continuing education"/>
    <m/>
    <n v="198206"/>
    <x v="8"/>
    <m/>
    <m/>
    <n v="1238476"/>
    <n v="1267877"/>
    <m/>
    <m/>
    <n v="252656"/>
    <m/>
    <n v="252656"/>
    <n v="221631"/>
    <m/>
    <n v="221631"/>
    <n v="1491132"/>
    <n v="1489508"/>
    <m/>
    <m/>
    <m/>
    <m/>
    <n v="0"/>
    <m/>
    <m/>
    <n v="0"/>
    <m/>
    <m/>
    <m/>
    <m/>
    <m/>
    <m/>
    <n v="1491132"/>
    <n v="1489508"/>
  </r>
  <r>
    <x v="9"/>
    <x v="0"/>
    <s v="College of the Albemarle"/>
    <m/>
    <n v="197814"/>
    <x v="8"/>
    <n v="9130754"/>
    <n v="8597582"/>
    <m/>
    <m/>
    <n v="2172196"/>
    <n v="3913869"/>
    <n v="3561790"/>
    <m/>
    <n v="3561790"/>
    <n v="3753163"/>
    <m/>
    <n v="3753163"/>
    <n v="14864740"/>
    <n v="16264614"/>
    <m/>
    <m/>
    <m/>
    <m/>
    <n v="0"/>
    <m/>
    <m/>
    <n v="0"/>
    <m/>
    <m/>
    <m/>
    <m/>
    <m/>
    <m/>
    <n v="14864740"/>
    <n v="16264614"/>
  </r>
  <r>
    <x v="9"/>
    <x v="0"/>
    <s v="Nursing / allied health supplement"/>
    <m/>
    <n v="197814"/>
    <x v="8"/>
    <m/>
    <m/>
    <m/>
    <m/>
    <m/>
    <m/>
    <m/>
    <m/>
    <n v="0"/>
    <m/>
    <m/>
    <n v="0"/>
    <n v="0"/>
    <n v="0"/>
    <m/>
    <m/>
    <m/>
    <m/>
    <n v="0"/>
    <m/>
    <m/>
    <n v="0"/>
    <m/>
    <m/>
    <m/>
    <m/>
    <m/>
    <m/>
    <n v="0"/>
    <n v="0"/>
  </r>
  <r>
    <x v="9"/>
    <x v="3"/>
    <s v="Community or public service units"/>
    <m/>
    <n v="197814"/>
    <x v="8"/>
    <m/>
    <m/>
    <n v="156939"/>
    <n v="153638"/>
    <m/>
    <m/>
    <m/>
    <m/>
    <n v="0"/>
    <m/>
    <m/>
    <n v="0"/>
    <n v="156939"/>
    <n v="153638"/>
    <m/>
    <m/>
    <m/>
    <m/>
    <n v="0"/>
    <m/>
    <m/>
    <n v="0"/>
    <m/>
    <m/>
    <m/>
    <m/>
    <m/>
    <m/>
    <n v="156939"/>
    <n v="153638"/>
  </r>
  <r>
    <x v="9"/>
    <x v="44"/>
    <s v="Non-credit continuing education"/>
    <m/>
    <n v="197814"/>
    <x v="8"/>
    <m/>
    <m/>
    <n v="1453319"/>
    <n v="1468880"/>
    <m/>
    <m/>
    <n v="214562"/>
    <m/>
    <n v="214562"/>
    <n v="172239"/>
    <m/>
    <n v="172239"/>
    <n v="1667881"/>
    <n v="1641119"/>
    <m/>
    <m/>
    <m/>
    <m/>
    <n v="0"/>
    <m/>
    <m/>
    <n v="0"/>
    <m/>
    <m/>
    <m/>
    <m/>
    <m/>
    <m/>
    <n v="1667881"/>
    <n v="1641119"/>
  </r>
  <r>
    <x v="9"/>
    <x v="0"/>
    <s v="Halifax Community College "/>
    <m/>
    <n v="198640"/>
    <x v="8"/>
    <n v="6474988"/>
    <n v="6102368"/>
    <m/>
    <m/>
    <n v="1010599"/>
    <n v="1035404"/>
    <n v="2327371"/>
    <m/>
    <n v="2327371"/>
    <n v="2491230"/>
    <m/>
    <n v="2491230"/>
    <n v="9812958"/>
    <n v="9629002"/>
    <m/>
    <m/>
    <m/>
    <m/>
    <n v="0"/>
    <m/>
    <m/>
    <n v="0"/>
    <m/>
    <m/>
    <m/>
    <m/>
    <m/>
    <m/>
    <n v="9812958"/>
    <n v="9629002"/>
  </r>
  <r>
    <x v="9"/>
    <x v="0"/>
    <s v="Nursing / allied health supplement"/>
    <m/>
    <n v="198640"/>
    <x v="8"/>
    <m/>
    <m/>
    <m/>
    <m/>
    <m/>
    <m/>
    <m/>
    <m/>
    <n v="0"/>
    <m/>
    <m/>
    <n v="0"/>
    <n v="0"/>
    <n v="0"/>
    <m/>
    <m/>
    <m/>
    <m/>
    <n v="0"/>
    <m/>
    <m/>
    <n v="0"/>
    <m/>
    <m/>
    <m/>
    <m/>
    <m/>
    <m/>
    <n v="0"/>
    <n v="0"/>
  </r>
  <r>
    <x v="9"/>
    <x v="3"/>
    <s v="Community or public service units"/>
    <m/>
    <n v="198640"/>
    <x v="8"/>
    <m/>
    <m/>
    <n v="151958"/>
    <n v="149422"/>
    <m/>
    <m/>
    <m/>
    <m/>
    <n v="0"/>
    <m/>
    <m/>
    <n v="0"/>
    <n v="151958"/>
    <n v="149422"/>
    <m/>
    <m/>
    <m/>
    <m/>
    <n v="0"/>
    <m/>
    <m/>
    <n v="0"/>
    <m/>
    <m/>
    <m/>
    <m/>
    <m/>
    <m/>
    <n v="151958"/>
    <n v="149422"/>
  </r>
  <r>
    <x v="9"/>
    <x v="44"/>
    <s v="Non-credit continuing education"/>
    <m/>
    <n v="198640"/>
    <x v="8"/>
    <m/>
    <m/>
    <n v="1140546"/>
    <n v="1238695"/>
    <m/>
    <m/>
    <n v="103004"/>
    <m/>
    <n v="103004"/>
    <n v="220998"/>
    <m/>
    <n v="220998"/>
    <n v="1243550"/>
    <n v="1459693"/>
    <m/>
    <m/>
    <m/>
    <m/>
    <n v="0"/>
    <m/>
    <m/>
    <n v="0"/>
    <m/>
    <m/>
    <m/>
    <m/>
    <m/>
    <m/>
    <n v="1243550"/>
    <n v="1459693"/>
  </r>
  <r>
    <x v="9"/>
    <x v="0"/>
    <s v="James Sprunt Community College"/>
    <m/>
    <n v="198729"/>
    <x v="8"/>
    <n v="5492674"/>
    <n v="5656510"/>
    <m/>
    <m/>
    <n v="1362585"/>
    <n v="1543970"/>
    <n v="1925265"/>
    <m/>
    <n v="1925265"/>
    <n v="2387882"/>
    <m/>
    <n v="2387882"/>
    <n v="8780524"/>
    <n v="9588362"/>
    <m/>
    <m/>
    <m/>
    <m/>
    <n v="0"/>
    <m/>
    <m/>
    <n v="0"/>
    <m/>
    <m/>
    <m/>
    <m/>
    <m/>
    <m/>
    <n v="8780524"/>
    <n v="9588362"/>
  </r>
  <r>
    <x v="9"/>
    <x v="0"/>
    <s v="Nursing / allied health supplement"/>
    <m/>
    <n v="198729"/>
    <x v="8"/>
    <m/>
    <m/>
    <m/>
    <m/>
    <m/>
    <m/>
    <m/>
    <m/>
    <n v="0"/>
    <m/>
    <m/>
    <n v="0"/>
    <n v="0"/>
    <n v="0"/>
    <m/>
    <m/>
    <m/>
    <m/>
    <n v="0"/>
    <m/>
    <m/>
    <n v="0"/>
    <m/>
    <m/>
    <m/>
    <m/>
    <m/>
    <m/>
    <n v="0"/>
    <n v="0"/>
  </r>
  <r>
    <x v="9"/>
    <x v="3"/>
    <s v="Community or public service units"/>
    <m/>
    <n v="198729"/>
    <x v="8"/>
    <m/>
    <m/>
    <n v="155666"/>
    <n v="156354"/>
    <m/>
    <m/>
    <m/>
    <m/>
    <n v="0"/>
    <m/>
    <m/>
    <n v="0"/>
    <n v="155666"/>
    <n v="156354"/>
    <m/>
    <m/>
    <m/>
    <m/>
    <n v="0"/>
    <m/>
    <m/>
    <n v="0"/>
    <m/>
    <m/>
    <m/>
    <m/>
    <m/>
    <m/>
    <n v="155666"/>
    <n v="156354"/>
  </r>
  <r>
    <x v="9"/>
    <x v="44"/>
    <s v="Non-credit continuing education"/>
    <m/>
    <n v="198729"/>
    <x v="8"/>
    <m/>
    <m/>
    <n v="957223"/>
    <n v="946097"/>
    <m/>
    <m/>
    <n v="112966"/>
    <m/>
    <n v="112966"/>
    <n v="164640"/>
    <m/>
    <n v="164640"/>
    <n v="1070189"/>
    <n v="1110737"/>
    <m/>
    <m/>
    <m/>
    <m/>
    <n v="0"/>
    <m/>
    <m/>
    <n v="0"/>
    <m/>
    <m/>
    <m/>
    <m/>
    <m/>
    <m/>
    <n v="1070189"/>
    <n v="1110737"/>
  </r>
  <r>
    <x v="9"/>
    <x v="0"/>
    <s v="Martin Community College "/>
    <m/>
    <n v="198905"/>
    <x v="8"/>
    <n v="3970446"/>
    <n v="3807260"/>
    <m/>
    <m/>
    <n v="936098"/>
    <n v="916649"/>
    <n v="1115941"/>
    <m/>
    <n v="1115941"/>
    <n v="1223858"/>
    <m/>
    <n v="1223858"/>
    <n v="6022485"/>
    <n v="5947767"/>
    <m/>
    <m/>
    <m/>
    <m/>
    <n v="0"/>
    <m/>
    <m/>
    <n v="0"/>
    <m/>
    <m/>
    <m/>
    <m/>
    <m/>
    <m/>
    <n v="6022485"/>
    <n v="5947767"/>
  </r>
  <r>
    <x v="9"/>
    <x v="0"/>
    <s v="Nursing / allied health supplement"/>
    <m/>
    <n v="198905"/>
    <x v="8"/>
    <m/>
    <m/>
    <m/>
    <m/>
    <m/>
    <m/>
    <m/>
    <m/>
    <n v="0"/>
    <m/>
    <m/>
    <n v="0"/>
    <n v="0"/>
    <n v="0"/>
    <m/>
    <m/>
    <m/>
    <m/>
    <n v="0"/>
    <m/>
    <m/>
    <n v="0"/>
    <m/>
    <m/>
    <m/>
    <m/>
    <m/>
    <m/>
    <n v="0"/>
    <n v="0"/>
  </r>
  <r>
    <x v="9"/>
    <x v="3"/>
    <s v="Community or public service units"/>
    <m/>
    <n v="198905"/>
    <x v="8"/>
    <m/>
    <m/>
    <n v="146373"/>
    <n v="145963"/>
    <m/>
    <m/>
    <m/>
    <m/>
    <n v="0"/>
    <m/>
    <m/>
    <n v="0"/>
    <n v="146373"/>
    <n v="145963"/>
    <m/>
    <m/>
    <m/>
    <m/>
    <n v="0"/>
    <m/>
    <m/>
    <n v="0"/>
    <m/>
    <m/>
    <m/>
    <m/>
    <m/>
    <m/>
    <n v="146373"/>
    <n v="145963"/>
  </r>
  <r>
    <x v="9"/>
    <x v="44"/>
    <s v="Non-credit continuing education"/>
    <m/>
    <n v="198905"/>
    <x v="8"/>
    <m/>
    <m/>
    <n v="993840"/>
    <n v="985809"/>
    <m/>
    <m/>
    <n v="107717"/>
    <m/>
    <n v="107717"/>
    <n v="117148"/>
    <m/>
    <n v="117148"/>
    <n v="1101557"/>
    <n v="1102957"/>
    <m/>
    <m/>
    <m/>
    <m/>
    <n v="0"/>
    <m/>
    <m/>
    <n v="0"/>
    <m/>
    <m/>
    <m/>
    <m/>
    <m/>
    <m/>
    <n v="1101557"/>
    <n v="1102957"/>
  </r>
  <r>
    <x v="9"/>
    <x v="0"/>
    <s v="Mayland Community College"/>
    <m/>
    <n v="198914"/>
    <x v="8"/>
    <n v="5977188"/>
    <n v="5420931"/>
    <m/>
    <m/>
    <n v="898957"/>
    <n v="910047"/>
    <n v="1156189"/>
    <m/>
    <n v="1156189"/>
    <n v="1834880"/>
    <m/>
    <n v="1834880"/>
    <n v="8032334"/>
    <n v="8165858"/>
    <m/>
    <m/>
    <m/>
    <m/>
    <n v="0"/>
    <m/>
    <m/>
    <n v="0"/>
    <m/>
    <m/>
    <m/>
    <m/>
    <m/>
    <m/>
    <n v="8032334"/>
    <n v="8165858"/>
  </r>
  <r>
    <x v="9"/>
    <x v="0"/>
    <s v="Nursing / allied health supplement"/>
    <m/>
    <n v="198914"/>
    <x v="8"/>
    <m/>
    <m/>
    <m/>
    <m/>
    <m/>
    <m/>
    <m/>
    <m/>
    <n v="0"/>
    <m/>
    <m/>
    <n v="0"/>
    <n v="0"/>
    <n v="0"/>
    <m/>
    <m/>
    <m/>
    <m/>
    <n v="0"/>
    <m/>
    <m/>
    <n v="0"/>
    <m/>
    <m/>
    <m/>
    <m/>
    <m/>
    <m/>
    <n v="0"/>
    <n v="0"/>
  </r>
  <r>
    <x v="9"/>
    <x v="3"/>
    <s v="Community or public service units"/>
    <m/>
    <n v="198914"/>
    <x v="8"/>
    <m/>
    <m/>
    <n v="150223"/>
    <n v="151800"/>
    <m/>
    <m/>
    <m/>
    <m/>
    <n v="0"/>
    <m/>
    <m/>
    <n v="0"/>
    <n v="150223"/>
    <n v="151800"/>
    <m/>
    <m/>
    <m/>
    <m/>
    <n v="0"/>
    <m/>
    <m/>
    <n v="0"/>
    <m/>
    <m/>
    <m/>
    <m/>
    <m/>
    <m/>
    <n v="150223"/>
    <n v="151800"/>
  </r>
  <r>
    <x v="9"/>
    <x v="44"/>
    <s v="Non-credit continuing education"/>
    <m/>
    <n v="198914"/>
    <x v="8"/>
    <m/>
    <m/>
    <n v="2047907"/>
    <n v="2108177"/>
    <m/>
    <m/>
    <n v="141316"/>
    <m/>
    <n v="141316"/>
    <n v="278622"/>
    <m/>
    <n v="278622"/>
    <n v="2189223"/>
    <n v="2386799"/>
    <m/>
    <m/>
    <m/>
    <m/>
    <n v="0"/>
    <m/>
    <m/>
    <n v="0"/>
    <m/>
    <m/>
    <m/>
    <m/>
    <m/>
    <m/>
    <n v="2189223"/>
    <n v="2386799"/>
  </r>
  <r>
    <x v="9"/>
    <x v="0"/>
    <s v="McDowell Technical Community College"/>
    <m/>
    <n v="198923"/>
    <x v="8"/>
    <n v="5636835"/>
    <n v="5208609"/>
    <m/>
    <m/>
    <n v="853688"/>
    <n v="881290"/>
    <n v="1983033"/>
    <m/>
    <n v="1983033"/>
    <n v="1987182"/>
    <m/>
    <n v="1987182"/>
    <n v="8473556"/>
    <n v="8077081"/>
    <m/>
    <m/>
    <m/>
    <m/>
    <n v="0"/>
    <m/>
    <m/>
    <n v="0"/>
    <m/>
    <m/>
    <m/>
    <m/>
    <m/>
    <m/>
    <n v="8473556"/>
    <n v="8077081"/>
  </r>
  <r>
    <x v="9"/>
    <x v="0"/>
    <s v="Nursing / allied health supplement"/>
    <m/>
    <n v="198923"/>
    <x v="8"/>
    <m/>
    <m/>
    <m/>
    <m/>
    <m/>
    <m/>
    <m/>
    <m/>
    <n v="0"/>
    <m/>
    <m/>
    <n v="0"/>
    <n v="0"/>
    <n v="0"/>
    <m/>
    <m/>
    <m/>
    <m/>
    <n v="0"/>
    <m/>
    <m/>
    <n v="0"/>
    <m/>
    <m/>
    <m/>
    <m/>
    <m/>
    <m/>
    <n v="0"/>
    <n v="0"/>
  </r>
  <r>
    <x v="9"/>
    <x v="3"/>
    <s v="Community or public service units"/>
    <m/>
    <n v="198923"/>
    <x v="8"/>
    <m/>
    <m/>
    <n v="143506"/>
    <n v="148734"/>
    <m/>
    <m/>
    <m/>
    <m/>
    <n v="0"/>
    <m/>
    <m/>
    <n v="0"/>
    <n v="143506"/>
    <n v="148734"/>
    <m/>
    <m/>
    <m/>
    <m/>
    <n v="0"/>
    <m/>
    <m/>
    <n v="0"/>
    <m/>
    <m/>
    <m/>
    <m/>
    <m/>
    <m/>
    <n v="143506"/>
    <n v="148734"/>
  </r>
  <r>
    <x v="9"/>
    <x v="44"/>
    <s v="Non-credit continuing education"/>
    <m/>
    <n v="198923"/>
    <x v="8"/>
    <m/>
    <m/>
    <n v="1188896"/>
    <n v="1017433"/>
    <m/>
    <m/>
    <n v="41522"/>
    <m/>
    <n v="41522"/>
    <n v="148176"/>
    <m/>
    <n v="148176"/>
    <n v="1230418"/>
    <n v="1165609"/>
    <m/>
    <m/>
    <m/>
    <m/>
    <n v="0"/>
    <m/>
    <m/>
    <n v="0"/>
    <m/>
    <m/>
    <m/>
    <m/>
    <m/>
    <m/>
    <n v="1230418"/>
    <n v="1165609"/>
  </r>
  <r>
    <x v="9"/>
    <x v="0"/>
    <s v="Montgomery Community College"/>
    <m/>
    <n v="199023"/>
    <x v="8"/>
    <n v="3823136"/>
    <n v="3784302"/>
    <m/>
    <m/>
    <n v="756375"/>
    <n v="784000"/>
    <n v="1243638"/>
    <m/>
    <n v="1243638"/>
    <n v="1227484"/>
    <m/>
    <n v="1227484"/>
    <n v="5823149"/>
    <n v="5795786"/>
    <m/>
    <m/>
    <m/>
    <m/>
    <n v="0"/>
    <m/>
    <m/>
    <n v="0"/>
    <m/>
    <m/>
    <m/>
    <m/>
    <m/>
    <m/>
    <n v="5823149"/>
    <n v="5795786"/>
  </r>
  <r>
    <x v="9"/>
    <x v="0"/>
    <s v="Nursing / allied health supplement"/>
    <m/>
    <n v="199023"/>
    <x v="8"/>
    <m/>
    <m/>
    <m/>
    <m/>
    <m/>
    <m/>
    <m/>
    <m/>
    <n v="0"/>
    <m/>
    <m/>
    <n v="0"/>
    <n v="0"/>
    <n v="0"/>
    <m/>
    <m/>
    <m/>
    <m/>
    <n v="0"/>
    <m/>
    <m/>
    <n v="0"/>
    <m/>
    <m/>
    <m/>
    <m/>
    <m/>
    <m/>
    <n v="0"/>
    <n v="0"/>
  </r>
  <r>
    <x v="9"/>
    <x v="3"/>
    <s v="Community or public service units"/>
    <m/>
    <n v="199023"/>
    <x v="8"/>
    <m/>
    <m/>
    <n v="149015"/>
    <n v="151530"/>
    <m/>
    <m/>
    <m/>
    <m/>
    <n v="0"/>
    <m/>
    <m/>
    <n v="0"/>
    <n v="149015"/>
    <n v="151530"/>
    <m/>
    <m/>
    <m/>
    <m/>
    <n v="0"/>
    <m/>
    <m/>
    <n v="0"/>
    <m/>
    <m/>
    <m/>
    <m/>
    <m/>
    <m/>
    <n v="149015"/>
    <n v="151530"/>
  </r>
  <r>
    <x v="9"/>
    <x v="44"/>
    <s v="Non-credit continuing education"/>
    <m/>
    <n v="199023"/>
    <x v="8"/>
    <m/>
    <m/>
    <n v="936250"/>
    <n v="887137"/>
    <m/>
    <m/>
    <n v="95443"/>
    <m/>
    <n v="95443"/>
    <n v="157675"/>
    <m/>
    <n v="157675"/>
    <n v="1031693"/>
    <n v="1044812"/>
    <m/>
    <m/>
    <m/>
    <m/>
    <n v="0"/>
    <m/>
    <m/>
    <n v="0"/>
    <m/>
    <m/>
    <m/>
    <m/>
    <m/>
    <m/>
    <n v="1031693"/>
    <n v="1044812"/>
  </r>
  <r>
    <x v="9"/>
    <x v="0"/>
    <s v="Pamlico Community College"/>
    <m/>
    <n v="199263"/>
    <x v="8"/>
    <n v="3238464"/>
    <n v="3134781"/>
    <m/>
    <m/>
    <n v="532033"/>
    <n v="547993"/>
    <n v="506043"/>
    <m/>
    <n v="506043"/>
    <n v="859420"/>
    <m/>
    <n v="859420"/>
    <n v="4276540"/>
    <n v="4542194"/>
    <m/>
    <m/>
    <m/>
    <m/>
    <n v="0"/>
    <m/>
    <m/>
    <n v="0"/>
    <m/>
    <m/>
    <m/>
    <m/>
    <m/>
    <m/>
    <n v="4276540"/>
    <n v="4542194"/>
  </r>
  <r>
    <x v="9"/>
    <x v="0"/>
    <s v="Nursing / allied health supplement"/>
    <m/>
    <n v="199263"/>
    <x v="8"/>
    <m/>
    <m/>
    <m/>
    <m/>
    <m/>
    <m/>
    <m/>
    <m/>
    <n v="0"/>
    <m/>
    <m/>
    <n v="0"/>
    <n v="0"/>
    <n v="0"/>
    <m/>
    <m/>
    <m/>
    <m/>
    <n v="0"/>
    <m/>
    <m/>
    <n v="0"/>
    <m/>
    <m/>
    <m/>
    <m/>
    <m/>
    <m/>
    <n v="0"/>
    <n v="0"/>
  </r>
  <r>
    <x v="9"/>
    <x v="3"/>
    <s v="Community or public service units"/>
    <m/>
    <n v="199263"/>
    <x v="8"/>
    <m/>
    <m/>
    <n v="97515"/>
    <n v="98788"/>
    <m/>
    <m/>
    <m/>
    <m/>
    <n v="0"/>
    <m/>
    <m/>
    <n v="0"/>
    <n v="97515"/>
    <n v="98788"/>
    <m/>
    <m/>
    <m/>
    <m/>
    <n v="0"/>
    <m/>
    <m/>
    <n v="0"/>
    <m/>
    <m/>
    <m/>
    <m/>
    <m/>
    <m/>
    <n v="97515"/>
    <n v="98788"/>
  </r>
  <r>
    <x v="9"/>
    <x v="44"/>
    <s v="Non-credit continuing education"/>
    <m/>
    <n v="199263"/>
    <x v="8"/>
    <m/>
    <m/>
    <n v="715622"/>
    <n v="723598"/>
    <m/>
    <m/>
    <n v="28903"/>
    <m/>
    <n v="28903"/>
    <n v="114615"/>
    <m/>
    <n v="114615"/>
    <n v="744525"/>
    <n v="838213"/>
    <m/>
    <m/>
    <m/>
    <m/>
    <n v="0"/>
    <m/>
    <m/>
    <n v="0"/>
    <m/>
    <m/>
    <m/>
    <m/>
    <m/>
    <m/>
    <n v="744525"/>
    <n v="838213"/>
  </r>
  <r>
    <x v="9"/>
    <x v="0"/>
    <s v="Piedmont Community College"/>
    <m/>
    <n v="199324"/>
    <x v="8"/>
    <n v="9557969"/>
    <n v="7910007"/>
    <m/>
    <m/>
    <n v="1246263"/>
    <n v="1246263"/>
    <n v="2750860"/>
    <m/>
    <n v="2750860"/>
    <n v="2833910"/>
    <m/>
    <n v="2833910"/>
    <n v="13555092"/>
    <n v="11990180"/>
    <m/>
    <m/>
    <m/>
    <m/>
    <n v="0"/>
    <m/>
    <m/>
    <n v="0"/>
    <m/>
    <m/>
    <m/>
    <m/>
    <m/>
    <m/>
    <n v="13555092"/>
    <n v="11990180"/>
  </r>
  <r>
    <x v="9"/>
    <x v="0"/>
    <s v="Nursing / allied health supplement"/>
    <m/>
    <n v="199324"/>
    <x v="8"/>
    <m/>
    <m/>
    <m/>
    <m/>
    <m/>
    <m/>
    <m/>
    <m/>
    <n v="0"/>
    <m/>
    <m/>
    <n v="0"/>
    <n v="0"/>
    <n v="0"/>
    <m/>
    <m/>
    <m/>
    <m/>
    <n v="0"/>
    <m/>
    <m/>
    <n v="0"/>
    <m/>
    <m/>
    <m/>
    <m/>
    <m/>
    <m/>
    <n v="0"/>
    <n v="0"/>
  </r>
  <r>
    <x v="9"/>
    <x v="3"/>
    <s v="Community or public service units"/>
    <m/>
    <n v="199324"/>
    <x v="8"/>
    <m/>
    <m/>
    <n v="147581"/>
    <n v="146612"/>
    <m/>
    <m/>
    <m/>
    <m/>
    <n v="0"/>
    <m/>
    <m/>
    <n v="0"/>
    <n v="147581"/>
    <n v="146612"/>
    <m/>
    <m/>
    <m/>
    <m/>
    <n v="0"/>
    <m/>
    <m/>
    <n v="0"/>
    <m/>
    <m/>
    <m/>
    <m/>
    <m/>
    <m/>
    <n v="147581"/>
    <n v="146612"/>
  </r>
  <r>
    <x v="9"/>
    <x v="44"/>
    <s v="Non-credit continuing education"/>
    <m/>
    <n v="199324"/>
    <x v="8"/>
    <m/>
    <m/>
    <n v="1760353"/>
    <n v="1998952"/>
    <m/>
    <m/>
    <n v="217384"/>
    <m/>
    <n v="217384"/>
    <n v="378039"/>
    <m/>
    <n v="378039"/>
    <n v="1977737"/>
    <n v="2376991"/>
    <m/>
    <m/>
    <m/>
    <m/>
    <n v="0"/>
    <m/>
    <m/>
    <n v="0"/>
    <m/>
    <m/>
    <m/>
    <m/>
    <m/>
    <m/>
    <n v="1977737"/>
    <n v="2376991"/>
  </r>
  <r>
    <x v="9"/>
    <x v="0"/>
    <s v="Richmond Community College"/>
    <s v="Met the criteria for Two-Year 2 in 2012-13 and 2013-14."/>
    <n v="199449"/>
    <x v="8"/>
    <n v="8474026"/>
    <n v="8255809"/>
    <m/>
    <m/>
    <n v="2004573"/>
    <n v="1999285"/>
    <n v="3046413"/>
    <m/>
    <n v="3046413"/>
    <n v="3542841"/>
    <m/>
    <n v="3542841"/>
    <n v="13525012"/>
    <n v="13797935"/>
    <m/>
    <m/>
    <m/>
    <m/>
    <n v="0"/>
    <m/>
    <m/>
    <n v="0"/>
    <m/>
    <m/>
    <m/>
    <m/>
    <m/>
    <m/>
    <n v="13525012"/>
    <n v="13797935"/>
  </r>
  <r>
    <x v="9"/>
    <x v="0"/>
    <s v="Nursing / allied health supplement"/>
    <m/>
    <n v="199449"/>
    <x v="8"/>
    <m/>
    <m/>
    <m/>
    <m/>
    <m/>
    <m/>
    <m/>
    <m/>
    <n v="0"/>
    <m/>
    <m/>
    <n v="0"/>
    <n v="0"/>
    <n v="0"/>
    <m/>
    <m/>
    <m/>
    <m/>
    <n v="0"/>
    <m/>
    <m/>
    <n v="0"/>
    <m/>
    <m/>
    <m/>
    <m/>
    <m/>
    <m/>
    <n v="0"/>
    <n v="0"/>
  </r>
  <r>
    <x v="9"/>
    <x v="3"/>
    <s v="Community or public service units"/>
    <m/>
    <n v="199449"/>
    <x v="8"/>
    <m/>
    <m/>
    <n v="155138"/>
    <n v="156733"/>
    <m/>
    <m/>
    <m/>
    <m/>
    <n v="0"/>
    <m/>
    <m/>
    <n v="0"/>
    <n v="155138"/>
    <n v="156733"/>
    <m/>
    <m/>
    <m/>
    <m/>
    <n v="0"/>
    <m/>
    <m/>
    <n v="0"/>
    <m/>
    <m/>
    <m/>
    <m/>
    <m/>
    <m/>
    <n v="155138"/>
    <n v="156733"/>
  </r>
  <r>
    <x v="9"/>
    <x v="44"/>
    <s v="Non-credit continuing education"/>
    <m/>
    <n v="199449"/>
    <x v="8"/>
    <m/>
    <m/>
    <n v="2384084"/>
    <n v="2279520"/>
    <m/>
    <m/>
    <n v="84584"/>
    <m/>
    <n v="84584"/>
    <n v="217832"/>
    <m/>
    <n v="217832"/>
    <n v="2468668"/>
    <n v="2497352"/>
    <m/>
    <m/>
    <m/>
    <m/>
    <n v="0"/>
    <m/>
    <m/>
    <n v="0"/>
    <m/>
    <m/>
    <m/>
    <m/>
    <m/>
    <m/>
    <n v="2468668"/>
    <n v="2497352"/>
  </r>
  <r>
    <x v="9"/>
    <x v="0"/>
    <s v="Roanoke-Chowan Community College"/>
    <m/>
    <n v="199467"/>
    <x v="8"/>
    <n v="4078171"/>
    <n v="3826328"/>
    <m/>
    <m/>
    <n v="861839"/>
    <n v="932389"/>
    <n v="1031811"/>
    <m/>
    <n v="1031811"/>
    <n v="1283691"/>
    <m/>
    <n v="1283691"/>
    <n v="5971821"/>
    <n v="6042408"/>
    <m/>
    <m/>
    <m/>
    <m/>
    <n v="0"/>
    <m/>
    <m/>
    <n v="0"/>
    <m/>
    <m/>
    <m/>
    <m/>
    <m/>
    <m/>
    <n v="5971821"/>
    <n v="6042408"/>
  </r>
  <r>
    <x v="9"/>
    <x v="0"/>
    <s v="Nursing / allied health supplement"/>
    <m/>
    <n v="199467"/>
    <x v="8"/>
    <m/>
    <m/>
    <m/>
    <m/>
    <m/>
    <m/>
    <m/>
    <m/>
    <n v="0"/>
    <m/>
    <m/>
    <n v="0"/>
    <n v="0"/>
    <n v="0"/>
    <m/>
    <m/>
    <m/>
    <m/>
    <n v="0"/>
    <m/>
    <m/>
    <n v="0"/>
    <m/>
    <m/>
    <m/>
    <m/>
    <m/>
    <m/>
    <n v="0"/>
    <n v="0"/>
  </r>
  <r>
    <x v="9"/>
    <x v="3"/>
    <s v="Community or public service units"/>
    <m/>
    <n v="199467"/>
    <x v="8"/>
    <m/>
    <m/>
    <n v="146751"/>
    <n v="147855"/>
    <m/>
    <m/>
    <m/>
    <m/>
    <n v="0"/>
    <m/>
    <m/>
    <n v="0"/>
    <n v="146751"/>
    <n v="147855"/>
    <m/>
    <m/>
    <m/>
    <m/>
    <n v="0"/>
    <m/>
    <m/>
    <n v="0"/>
    <m/>
    <m/>
    <m/>
    <m/>
    <m/>
    <m/>
    <n v="146751"/>
    <n v="147855"/>
  </r>
  <r>
    <x v="9"/>
    <x v="44"/>
    <s v="Non-credit continuing education"/>
    <m/>
    <n v="199467"/>
    <x v="8"/>
    <m/>
    <m/>
    <n v="875643"/>
    <n v="839018"/>
    <m/>
    <m/>
    <n v="55651"/>
    <m/>
    <n v="55651"/>
    <n v="115881"/>
    <m/>
    <n v="115881"/>
    <n v="931294"/>
    <n v="954899"/>
    <m/>
    <m/>
    <m/>
    <m/>
    <n v="0"/>
    <m/>
    <m/>
    <n v="0"/>
    <m/>
    <m/>
    <m/>
    <m/>
    <m/>
    <m/>
    <n v="931294"/>
    <n v="954899"/>
  </r>
  <r>
    <x v="9"/>
    <x v="0"/>
    <s v="Rockingham Community College "/>
    <m/>
    <n v="199485"/>
    <x v="8"/>
    <n v="7648654"/>
    <n v="7068317"/>
    <m/>
    <m/>
    <n v="2561809"/>
    <n v="2364473"/>
    <n v="3293705"/>
    <m/>
    <n v="3293705"/>
    <n v="3069616"/>
    <m/>
    <n v="3069616"/>
    <n v="13504168"/>
    <n v="12502406"/>
    <m/>
    <m/>
    <m/>
    <m/>
    <n v="0"/>
    <m/>
    <m/>
    <n v="0"/>
    <m/>
    <m/>
    <m/>
    <m/>
    <m/>
    <m/>
    <n v="13504168"/>
    <n v="12502406"/>
  </r>
  <r>
    <x v="9"/>
    <x v="0"/>
    <s v="Nursing / allied health supplement"/>
    <m/>
    <n v="199485"/>
    <x v="8"/>
    <m/>
    <m/>
    <m/>
    <m/>
    <m/>
    <m/>
    <m/>
    <m/>
    <n v="0"/>
    <m/>
    <m/>
    <n v="0"/>
    <n v="0"/>
    <n v="0"/>
    <m/>
    <m/>
    <m/>
    <m/>
    <n v="0"/>
    <m/>
    <m/>
    <n v="0"/>
    <m/>
    <m/>
    <m/>
    <m/>
    <m/>
    <m/>
    <n v="0"/>
    <n v="0"/>
  </r>
  <r>
    <x v="9"/>
    <x v="3"/>
    <s v="Community or public service units"/>
    <m/>
    <n v="199485"/>
    <x v="8"/>
    <m/>
    <m/>
    <n v="153251"/>
    <n v="154030"/>
    <m/>
    <m/>
    <m/>
    <m/>
    <n v="0"/>
    <m/>
    <m/>
    <n v="0"/>
    <n v="153251"/>
    <n v="154030"/>
    <m/>
    <m/>
    <m/>
    <m/>
    <n v="0"/>
    <m/>
    <m/>
    <n v="0"/>
    <m/>
    <m/>
    <m/>
    <m/>
    <m/>
    <m/>
    <n v="153251"/>
    <n v="154030"/>
  </r>
  <r>
    <x v="9"/>
    <x v="44"/>
    <s v="Non-credit continuing education"/>
    <m/>
    <n v="199485"/>
    <x v="8"/>
    <m/>
    <m/>
    <n v="1225518"/>
    <n v="1065473"/>
    <m/>
    <m/>
    <n v="195584"/>
    <m/>
    <n v="195584"/>
    <n v="172239"/>
    <m/>
    <n v="172239"/>
    <n v="1421102"/>
    <n v="1237712"/>
    <m/>
    <m/>
    <m/>
    <m/>
    <n v="0"/>
    <m/>
    <m/>
    <n v="0"/>
    <m/>
    <m/>
    <m/>
    <m/>
    <m/>
    <m/>
    <n v="1421102"/>
    <n v="1237712"/>
  </r>
  <r>
    <x v="9"/>
    <x v="0"/>
    <s v="Sampson Community College"/>
    <m/>
    <n v="199625"/>
    <x v="8"/>
    <n v="6262952"/>
    <n v="5764508"/>
    <m/>
    <m/>
    <n v="1252169"/>
    <n v="1300754"/>
    <n v="1857022"/>
    <m/>
    <n v="1857022"/>
    <n v="2175747"/>
    <m/>
    <n v="2175747"/>
    <n v="9372143"/>
    <n v="9241009"/>
    <m/>
    <m/>
    <m/>
    <m/>
    <n v="0"/>
    <m/>
    <m/>
    <n v="0"/>
    <m/>
    <m/>
    <m/>
    <m/>
    <m/>
    <m/>
    <n v="9372143"/>
    <n v="9241009"/>
  </r>
  <r>
    <x v="9"/>
    <x v="0"/>
    <s v="Nursing / allied health supplement"/>
    <m/>
    <n v="199625"/>
    <x v="8"/>
    <m/>
    <m/>
    <m/>
    <m/>
    <m/>
    <m/>
    <m/>
    <m/>
    <n v="0"/>
    <m/>
    <m/>
    <n v="0"/>
    <n v="0"/>
    <n v="0"/>
    <m/>
    <m/>
    <m/>
    <m/>
    <n v="0"/>
    <m/>
    <m/>
    <n v="0"/>
    <m/>
    <m/>
    <m/>
    <m/>
    <m/>
    <m/>
    <n v="0"/>
    <n v="0"/>
  </r>
  <r>
    <x v="9"/>
    <x v="3"/>
    <s v="Community or public service units"/>
    <m/>
    <n v="199625"/>
    <x v="8"/>
    <m/>
    <m/>
    <n v="152260"/>
    <n v="150503"/>
    <m/>
    <m/>
    <m/>
    <m/>
    <n v="0"/>
    <m/>
    <m/>
    <n v="0"/>
    <n v="152260"/>
    <n v="150503"/>
    <m/>
    <m/>
    <m/>
    <m/>
    <n v="0"/>
    <m/>
    <m/>
    <n v="0"/>
    <m/>
    <m/>
    <m/>
    <m/>
    <m/>
    <m/>
    <n v="152260"/>
    <n v="150503"/>
  </r>
  <r>
    <x v="9"/>
    <x v="44"/>
    <s v="Non-credit continuing education"/>
    <m/>
    <n v="199625"/>
    <x v="8"/>
    <m/>
    <m/>
    <n v="2011762"/>
    <n v="1873764"/>
    <m/>
    <m/>
    <n v="141064"/>
    <m/>
    <n v="141064"/>
    <n v="200734"/>
    <m/>
    <n v="200734"/>
    <n v="2152826"/>
    <n v="2074498"/>
    <m/>
    <m/>
    <m/>
    <m/>
    <n v="0"/>
    <m/>
    <m/>
    <n v="0"/>
    <m/>
    <m/>
    <m/>
    <m/>
    <m/>
    <m/>
    <n v="2152826"/>
    <n v="2074498"/>
  </r>
  <r>
    <x v="9"/>
    <x v="0"/>
    <s v="South Piedmont Community College"/>
    <s v="Met the criteria for Two-Year 2 in 2012-13 and 2013-14."/>
    <n v="197850"/>
    <x v="8"/>
    <n v="8752154"/>
    <n v="8300390"/>
    <m/>
    <m/>
    <n v="1667963"/>
    <n v="1792129"/>
    <n v="2862887"/>
    <m/>
    <n v="2862887"/>
    <n v="3122197"/>
    <m/>
    <n v="3122197"/>
    <n v="13283004"/>
    <n v="13214716"/>
    <m/>
    <m/>
    <m/>
    <m/>
    <n v="0"/>
    <m/>
    <m/>
    <n v="0"/>
    <m/>
    <m/>
    <m/>
    <m/>
    <m/>
    <m/>
    <n v="13283004"/>
    <n v="13214716"/>
  </r>
  <r>
    <x v="9"/>
    <x v="0"/>
    <s v="Nursing / allied health supplement"/>
    <m/>
    <n v="197850"/>
    <x v="8"/>
    <m/>
    <m/>
    <m/>
    <m/>
    <m/>
    <m/>
    <m/>
    <m/>
    <n v="0"/>
    <m/>
    <m/>
    <n v="0"/>
    <n v="0"/>
    <n v="0"/>
    <m/>
    <m/>
    <m/>
    <m/>
    <n v="0"/>
    <m/>
    <m/>
    <n v="0"/>
    <m/>
    <m/>
    <m/>
    <m/>
    <m/>
    <m/>
    <n v="0"/>
    <n v="0"/>
  </r>
  <r>
    <x v="9"/>
    <x v="3"/>
    <s v="Community or public service units"/>
    <m/>
    <n v="197850"/>
    <x v="8"/>
    <m/>
    <m/>
    <n v="157968"/>
    <n v="157058"/>
    <m/>
    <m/>
    <m/>
    <m/>
    <n v="0"/>
    <m/>
    <m/>
    <n v="0"/>
    <n v="157968"/>
    <n v="157058"/>
    <m/>
    <m/>
    <m/>
    <m/>
    <n v="0"/>
    <m/>
    <m/>
    <n v="0"/>
    <m/>
    <m/>
    <m/>
    <m/>
    <m/>
    <m/>
    <n v="157968"/>
    <n v="157058"/>
  </r>
  <r>
    <x v="9"/>
    <x v="44"/>
    <s v="Non-credit continuing education"/>
    <m/>
    <n v="197850"/>
    <x v="8"/>
    <m/>
    <m/>
    <n v="2777523"/>
    <n v="2744396"/>
    <m/>
    <m/>
    <n v="233148"/>
    <m/>
    <n v="233148"/>
    <n v="426165"/>
    <m/>
    <n v="426165"/>
    <n v="3010671"/>
    <n v="3170561"/>
    <m/>
    <m/>
    <m/>
    <m/>
    <n v="0"/>
    <m/>
    <m/>
    <n v="0"/>
    <m/>
    <m/>
    <m/>
    <m/>
    <m/>
    <m/>
    <n v="3010671"/>
    <n v="3170561"/>
  </r>
  <r>
    <x v="9"/>
    <x v="0"/>
    <s v="Southeastern Community College "/>
    <m/>
    <n v="199722"/>
    <x v="8"/>
    <n v="8618494"/>
    <n v="7379271"/>
    <m/>
    <m/>
    <n v="1242525"/>
    <n v="1242525"/>
    <n v="2687124"/>
    <m/>
    <n v="2687124"/>
    <n v="2743254"/>
    <m/>
    <n v="2743254"/>
    <n v="12548143"/>
    <n v="11365050"/>
    <m/>
    <m/>
    <m/>
    <m/>
    <n v="0"/>
    <m/>
    <m/>
    <n v="0"/>
    <m/>
    <m/>
    <m/>
    <m/>
    <m/>
    <m/>
    <n v="12548143"/>
    <n v="11365050"/>
  </r>
  <r>
    <x v="9"/>
    <x v="0"/>
    <s v="Nursing / allied health supplement"/>
    <m/>
    <n v="199722"/>
    <x v="8"/>
    <m/>
    <m/>
    <m/>
    <m/>
    <m/>
    <m/>
    <m/>
    <m/>
    <n v="0"/>
    <m/>
    <m/>
    <n v="0"/>
    <n v="0"/>
    <n v="0"/>
    <m/>
    <m/>
    <m/>
    <m/>
    <n v="0"/>
    <m/>
    <m/>
    <n v="0"/>
    <m/>
    <m/>
    <m/>
    <m/>
    <m/>
    <m/>
    <n v="0"/>
    <n v="0"/>
  </r>
  <r>
    <x v="9"/>
    <x v="3"/>
    <s v="Community or public service units"/>
    <m/>
    <n v="199722"/>
    <x v="8"/>
    <m/>
    <m/>
    <n v="153845"/>
    <n v="155260"/>
    <m/>
    <m/>
    <m/>
    <m/>
    <n v="0"/>
    <m/>
    <m/>
    <n v="0"/>
    <n v="153845"/>
    <n v="155260"/>
    <m/>
    <m/>
    <m/>
    <m/>
    <n v="0"/>
    <m/>
    <m/>
    <n v="0"/>
    <m/>
    <m/>
    <m/>
    <m/>
    <m/>
    <m/>
    <n v="153845"/>
    <n v="155260"/>
  </r>
  <r>
    <x v="9"/>
    <x v="44"/>
    <s v="Non-credit continuing education"/>
    <m/>
    <n v="199722"/>
    <x v="8"/>
    <m/>
    <m/>
    <n v="2973626"/>
    <n v="2637054"/>
    <m/>
    <m/>
    <n v="230480"/>
    <m/>
    <n v="230480"/>
    <n v="405901"/>
    <m/>
    <n v="405901"/>
    <n v="3204106"/>
    <n v="3042955"/>
    <m/>
    <m/>
    <m/>
    <m/>
    <n v="0"/>
    <m/>
    <m/>
    <n v="0"/>
    <m/>
    <m/>
    <m/>
    <m/>
    <m/>
    <m/>
    <n v="3204106"/>
    <n v="3042955"/>
  </r>
  <r>
    <x v="9"/>
    <x v="0"/>
    <s v="Southwestern Community College "/>
    <s v="Met the criteria for Two-Year 2 in 2012-13 and 2013-14."/>
    <n v="199731"/>
    <x v="8"/>
    <n v="9046111"/>
    <n v="8761926"/>
    <m/>
    <m/>
    <n v="2268701"/>
    <n v="2154623"/>
    <n v="3357857"/>
    <m/>
    <n v="3357857"/>
    <n v="3707835"/>
    <m/>
    <n v="3707835"/>
    <n v="14672669"/>
    <n v="14624384"/>
    <m/>
    <m/>
    <m/>
    <m/>
    <n v="0"/>
    <m/>
    <m/>
    <n v="0"/>
    <m/>
    <m/>
    <m/>
    <m/>
    <m/>
    <m/>
    <n v="14672669"/>
    <n v="14624384"/>
  </r>
  <r>
    <x v="9"/>
    <x v="0"/>
    <s v="Nursing / allied health supplement"/>
    <m/>
    <n v="199731"/>
    <x v="8"/>
    <m/>
    <m/>
    <m/>
    <m/>
    <m/>
    <m/>
    <m/>
    <m/>
    <n v="0"/>
    <m/>
    <m/>
    <n v="0"/>
    <n v="0"/>
    <n v="0"/>
    <m/>
    <m/>
    <m/>
    <m/>
    <n v="0"/>
    <m/>
    <m/>
    <n v="0"/>
    <m/>
    <m/>
    <m/>
    <m/>
    <m/>
    <m/>
    <n v="0"/>
    <n v="0"/>
  </r>
  <r>
    <x v="9"/>
    <x v="3"/>
    <s v="Community or public service units"/>
    <m/>
    <n v="199731"/>
    <x v="8"/>
    <m/>
    <m/>
    <n v="144713"/>
    <n v="144396"/>
    <m/>
    <m/>
    <m/>
    <m/>
    <n v="0"/>
    <m/>
    <m/>
    <n v="0"/>
    <n v="144713"/>
    <n v="144396"/>
    <m/>
    <m/>
    <m/>
    <m/>
    <n v="0"/>
    <m/>
    <m/>
    <n v="0"/>
    <m/>
    <m/>
    <m/>
    <m/>
    <m/>
    <m/>
    <n v="144713"/>
    <n v="144396"/>
  </r>
  <r>
    <x v="9"/>
    <x v="44"/>
    <s v="Non-credit continuing education"/>
    <m/>
    <n v="199731"/>
    <x v="8"/>
    <m/>
    <m/>
    <n v="1906556"/>
    <n v="1660944"/>
    <m/>
    <m/>
    <n v="311903"/>
    <m/>
    <n v="311903"/>
    <n v="285587"/>
    <m/>
    <n v="285587"/>
    <n v="2218459"/>
    <n v="1946531"/>
    <m/>
    <m/>
    <m/>
    <m/>
    <n v="0"/>
    <m/>
    <m/>
    <n v="0"/>
    <m/>
    <m/>
    <m/>
    <m/>
    <m/>
    <m/>
    <n v="2218459"/>
    <n v="1946531"/>
  </r>
  <r>
    <x v="9"/>
    <x v="0"/>
    <s v="Tri-County Community College "/>
    <m/>
    <n v="199795"/>
    <x v="8"/>
    <n v="5185670"/>
    <n v="5001305"/>
    <m/>
    <m/>
    <n v="949421"/>
    <n v="894205"/>
    <n v="1731536"/>
    <m/>
    <n v="1731536"/>
    <n v="2057894"/>
    <m/>
    <n v="2057894"/>
    <n v="7866627"/>
    <n v="7953404"/>
    <m/>
    <m/>
    <m/>
    <m/>
    <n v="0"/>
    <m/>
    <m/>
    <n v="0"/>
    <m/>
    <m/>
    <m/>
    <m/>
    <m/>
    <m/>
    <n v="7866627"/>
    <n v="7953404"/>
  </r>
  <r>
    <x v="9"/>
    <x v="0"/>
    <s v="Nursing / allied health supplement"/>
    <m/>
    <n v="199795"/>
    <x v="8"/>
    <m/>
    <m/>
    <m/>
    <m/>
    <m/>
    <m/>
    <m/>
    <m/>
    <n v="0"/>
    <m/>
    <m/>
    <n v="0"/>
    <n v="0"/>
    <n v="0"/>
    <m/>
    <m/>
    <m/>
    <m/>
    <n v="0"/>
    <m/>
    <m/>
    <n v="0"/>
    <m/>
    <m/>
    <m/>
    <m/>
    <m/>
    <m/>
    <n v="0"/>
    <n v="0"/>
  </r>
  <r>
    <x v="9"/>
    <x v="3"/>
    <s v="Community or public service units"/>
    <m/>
    <n v="199795"/>
    <x v="8"/>
    <m/>
    <m/>
    <n v="148713"/>
    <n v="147206"/>
    <m/>
    <m/>
    <m/>
    <m/>
    <n v="0"/>
    <m/>
    <m/>
    <n v="0"/>
    <n v="148713"/>
    <n v="147206"/>
    <m/>
    <m/>
    <m/>
    <m/>
    <n v="0"/>
    <m/>
    <m/>
    <n v="0"/>
    <m/>
    <m/>
    <m/>
    <m/>
    <m/>
    <m/>
    <n v="148713"/>
    <n v="147206"/>
  </r>
  <r>
    <x v="9"/>
    <x v="44"/>
    <s v="Non-credit continuing education"/>
    <m/>
    <n v="199795"/>
    <x v="8"/>
    <m/>
    <m/>
    <n v="667312"/>
    <n v="643495"/>
    <m/>
    <m/>
    <n v="159454"/>
    <m/>
    <n v="159454"/>
    <n v="105750"/>
    <m/>
    <n v="105750"/>
    <n v="826766"/>
    <n v="749245"/>
    <m/>
    <m/>
    <m/>
    <m/>
    <n v="0"/>
    <m/>
    <m/>
    <n v="0"/>
    <m/>
    <m/>
    <m/>
    <m/>
    <m/>
    <m/>
    <n v="826766"/>
    <n v="749245"/>
  </r>
  <r>
    <x v="9"/>
    <x v="0"/>
    <s v="Wilson Technical Community College"/>
    <m/>
    <n v="199953"/>
    <x v="8"/>
    <n v="6432392"/>
    <n v="6427771"/>
    <m/>
    <m/>
    <n v="1715996"/>
    <n v="1949294"/>
    <n v="3181428"/>
    <m/>
    <n v="3181428"/>
    <n v="2625400"/>
    <m/>
    <n v="2625400"/>
    <n v="11329816"/>
    <n v="11002465"/>
    <m/>
    <m/>
    <m/>
    <m/>
    <n v="0"/>
    <m/>
    <m/>
    <n v="0"/>
    <m/>
    <m/>
    <m/>
    <m/>
    <m/>
    <m/>
    <n v="11329816"/>
    <n v="11002465"/>
  </r>
  <r>
    <x v="9"/>
    <x v="0"/>
    <s v="Nursing / allied health supplement"/>
    <m/>
    <n v="199953"/>
    <x v="8"/>
    <m/>
    <m/>
    <m/>
    <m/>
    <m/>
    <m/>
    <m/>
    <m/>
    <n v="0"/>
    <m/>
    <m/>
    <n v="0"/>
    <n v="0"/>
    <n v="0"/>
    <m/>
    <m/>
    <m/>
    <m/>
    <n v="0"/>
    <m/>
    <m/>
    <n v="0"/>
    <m/>
    <m/>
    <m/>
    <m/>
    <m/>
    <m/>
    <n v="0"/>
    <n v="0"/>
  </r>
  <r>
    <x v="9"/>
    <x v="3"/>
    <s v="Community or public service units"/>
    <m/>
    <n v="199953"/>
    <x v="8"/>
    <m/>
    <m/>
    <n v="157703"/>
    <n v="170464"/>
    <m/>
    <m/>
    <m/>
    <m/>
    <n v="0"/>
    <m/>
    <m/>
    <n v="0"/>
    <n v="157703"/>
    <n v="170464"/>
    <m/>
    <m/>
    <m/>
    <m/>
    <n v="0"/>
    <m/>
    <m/>
    <n v="0"/>
    <m/>
    <m/>
    <m/>
    <m/>
    <m/>
    <m/>
    <n v="157703"/>
    <n v="170464"/>
  </r>
  <r>
    <x v="9"/>
    <x v="44"/>
    <s v="Non-credit continuing education"/>
    <m/>
    <n v="199953"/>
    <x v="8"/>
    <m/>
    <m/>
    <n v="1417076"/>
    <n v="1487618"/>
    <m/>
    <m/>
    <n v="316883"/>
    <m/>
    <n v="316883"/>
    <n v="197570"/>
    <m/>
    <n v="197570"/>
    <n v="1733959"/>
    <n v="1685188"/>
    <m/>
    <m/>
    <m/>
    <m/>
    <n v="0"/>
    <m/>
    <m/>
    <n v="0"/>
    <m/>
    <m/>
    <m/>
    <m/>
    <m/>
    <m/>
    <n v="1733959"/>
    <n v="1685188"/>
  </r>
  <r>
    <x v="9"/>
    <x v="12"/>
    <s v="Educational special-purpose funds to statewide units"/>
    <m/>
    <m/>
    <x v="12"/>
    <m/>
    <m/>
    <m/>
    <m/>
    <m/>
    <m/>
    <m/>
    <m/>
    <n v="0"/>
    <m/>
    <m/>
    <n v="0"/>
    <n v="0"/>
    <n v="0"/>
    <m/>
    <m/>
    <m/>
    <m/>
    <n v="0"/>
    <m/>
    <m/>
    <n v="0"/>
    <m/>
    <m/>
    <m/>
    <m/>
    <m/>
    <m/>
    <n v="0"/>
    <n v="0"/>
  </r>
  <r>
    <x v="9"/>
    <x v="12"/>
    <s v="Prison Education"/>
    <m/>
    <m/>
    <x v="12"/>
    <m/>
    <m/>
    <n v="1144991"/>
    <n v="1405957"/>
    <m/>
    <m/>
    <m/>
    <m/>
    <n v="0"/>
    <m/>
    <m/>
    <n v="0"/>
    <n v="1144991"/>
    <n v="1405957"/>
    <m/>
    <m/>
    <m/>
    <m/>
    <n v="0"/>
    <m/>
    <m/>
    <n v="0"/>
    <m/>
    <m/>
    <m/>
    <m/>
    <m/>
    <m/>
    <n v="1144991"/>
    <n v="1405957"/>
  </r>
  <r>
    <x v="9"/>
    <x v="12"/>
    <s v="New &amp; Expanding Industry"/>
    <m/>
    <m/>
    <x v="12"/>
    <m/>
    <m/>
    <n v="19814613"/>
    <n v="19635508"/>
    <m/>
    <m/>
    <m/>
    <m/>
    <n v="0"/>
    <m/>
    <m/>
    <n v="0"/>
    <n v="19814613"/>
    <n v="19635508"/>
    <m/>
    <m/>
    <m/>
    <m/>
    <n v="0"/>
    <m/>
    <m/>
    <n v="0"/>
    <m/>
    <m/>
    <m/>
    <m/>
    <m/>
    <m/>
    <n v="19814613"/>
    <n v="19635508"/>
  </r>
  <r>
    <x v="9"/>
    <x v="14"/>
    <s v="Statewide System Operations"/>
    <m/>
    <m/>
    <x v="12"/>
    <m/>
    <m/>
    <m/>
    <m/>
    <m/>
    <m/>
    <m/>
    <m/>
    <n v="0"/>
    <m/>
    <m/>
    <n v="0"/>
    <n v="0"/>
    <n v="0"/>
    <m/>
    <m/>
    <m/>
    <m/>
    <n v="0"/>
    <m/>
    <m/>
    <n v="0"/>
    <m/>
    <m/>
    <m/>
    <m/>
    <m/>
    <m/>
    <n v="0"/>
    <n v="0"/>
  </r>
  <r>
    <x v="9"/>
    <x v="16"/>
    <s v="Two-year system(s), if any"/>
    <m/>
    <m/>
    <x v="12"/>
    <m/>
    <m/>
    <m/>
    <m/>
    <m/>
    <m/>
    <m/>
    <m/>
    <n v="0"/>
    <m/>
    <m/>
    <n v="0"/>
    <n v="0"/>
    <n v="0"/>
    <m/>
    <m/>
    <m/>
    <m/>
    <n v="0"/>
    <m/>
    <m/>
    <n v="0"/>
    <m/>
    <m/>
    <m/>
    <m/>
    <m/>
    <m/>
    <n v="0"/>
    <n v="0"/>
  </r>
  <r>
    <x v="9"/>
    <x v="16"/>
    <s v="NC State Board for Community Colleges"/>
    <m/>
    <m/>
    <x v="12"/>
    <m/>
    <m/>
    <m/>
    <m/>
    <m/>
    <m/>
    <m/>
    <m/>
    <n v="0"/>
    <m/>
    <m/>
    <n v="0"/>
    <n v="0"/>
    <n v="0"/>
    <n v="24260507"/>
    <n v="24555569"/>
    <m/>
    <m/>
    <n v="0"/>
    <m/>
    <m/>
    <n v="0"/>
    <m/>
    <m/>
    <m/>
    <m/>
    <m/>
    <m/>
    <n v="24260507"/>
    <n v="24555569"/>
  </r>
  <r>
    <x v="10"/>
    <x v="0"/>
    <s v="Oklahoma State University Main Campus"/>
    <m/>
    <n v="207388"/>
    <x v="0"/>
    <n v="119822306"/>
    <n v="120972506"/>
    <m/>
    <m/>
    <m/>
    <m/>
    <n v="191203606"/>
    <m/>
    <n v="191203606"/>
    <n v="216489111"/>
    <m/>
    <n v="216489111"/>
    <n v="311025912"/>
    <n v="337461617"/>
    <m/>
    <m/>
    <m/>
    <m/>
    <n v="0"/>
    <m/>
    <m/>
    <n v="0"/>
    <m/>
    <m/>
    <m/>
    <m/>
    <m/>
    <m/>
    <n v="311025912"/>
    <n v="337461617"/>
  </r>
  <r>
    <x v="10"/>
    <x v="1"/>
    <s v="Veterinary School"/>
    <m/>
    <n v="207388"/>
    <x v="0"/>
    <m/>
    <m/>
    <m/>
    <m/>
    <m/>
    <m/>
    <m/>
    <m/>
    <n v="0"/>
    <m/>
    <m/>
    <n v="0"/>
    <n v="0"/>
    <n v="0"/>
    <m/>
    <m/>
    <m/>
    <m/>
    <n v="0"/>
    <m/>
    <m/>
    <n v="0"/>
    <n v="10806637"/>
    <n v="10902937"/>
    <m/>
    <m/>
    <m/>
    <m/>
    <n v="10806637"/>
    <n v="10902937"/>
  </r>
  <r>
    <x v="10"/>
    <x v="1"/>
    <s v="College of Osteopathic Medicine"/>
    <m/>
    <n v="207389"/>
    <x v="0"/>
    <m/>
    <m/>
    <m/>
    <m/>
    <m/>
    <m/>
    <m/>
    <m/>
    <n v="0"/>
    <m/>
    <m/>
    <n v="0"/>
    <n v="0"/>
    <n v="0"/>
    <m/>
    <m/>
    <m/>
    <m/>
    <n v="0"/>
    <m/>
    <m/>
    <n v="0"/>
    <n v="14037266"/>
    <n v="14194766"/>
    <m/>
    <m/>
    <m/>
    <m/>
    <n v="14037266"/>
    <n v="14194766"/>
  </r>
  <r>
    <x v="10"/>
    <x v="5"/>
    <s v="Agricultural cooperative extension"/>
    <m/>
    <n v="207388"/>
    <x v="0"/>
    <m/>
    <m/>
    <n v="28916944"/>
    <m/>
    <m/>
    <m/>
    <m/>
    <m/>
    <n v="0"/>
    <m/>
    <m/>
    <n v="0"/>
    <n v="28916944"/>
    <n v="0"/>
    <m/>
    <m/>
    <m/>
    <m/>
    <n v="0"/>
    <m/>
    <m/>
    <n v="0"/>
    <m/>
    <m/>
    <m/>
    <m/>
    <m/>
    <m/>
    <n v="28916944"/>
    <n v="0"/>
  </r>
  <r>
    <x v="10"/>
    <x v="6"/>
    <s v="Agricultural experiment stations"/>
    <m/>
    <n v="207388"/>
    <x v="0"/>
    <m/>
    <m/>
    <n v="26436909"/>
    <m/>
    <m/>
    <m/>
    <m/>
    <m/>
    <n v="0"/>
    <m/>
    <m/>
    <n v="0"/>
    <n v="26436909"/>
    <n v="0"/>
    <m/>
    <m/>
    <m/>
    <m/>
    <n v="0"/>
    <m/>
    <m/>
    <n v="0"/>
    <m/>
    <m/>
    <m/>
    <m/>
    <m/>
    <m/>
    <n v="26436909"/>
    <n v="0"/>
  </r>
  <r>
    <x v="10"/>
    <x v="0"/>
    <s v="Tulsa Branch"/>
    <m/>
    <n v="207388"/>
    <x v="0"/>
    <n v="11266651"/>
    <n v="11295149"/>
    <m/>
    <m/>
    <m/>
    <m/>
    <n v="10272795"/>
    <m/>
    <n v="10272795"/>
    <n v="9829677"/>
    <m/>
    <n v="9829677"/>
    <n v="21539446"/>
    <n v="21124826"/>
    <m/>
    <m/>
    <m/>
    <m/>
    <n v="0"/>
    <m/>
    <m/>
    <n v="0"/>
    <m/>
    <m/>
    <m/>
    <m/>
    <m/>
    <m/>
    <n v="21539446"/>
    <n v="21124826"/>
  </r>
  <r>
    <x v="10"/>
    <x v="0"/>
    <s v="University of Oklahoma Norman Campus"/>
    <m/>
    <n v="207500"/>
    <x v="0"/>
    <n v="135457458"/>
    <n v="136742638"/>
    <m/>
    <m/>
    <m/>
    <m/>
    <n v="230451070"/>
    <m/>
    <n v="230451070"/>
    <n v="248258976"/>
    <m/>
    <n v="248258976"/>
    <n v="365908528"/>
    <n v="385001614"/>
    <m/>
    <m/>
    <m/>
    <m/>
    <n v="0"/>
    <m/>
    <m/>
    <n v="0"/>
    <m/>
    <m/>
    <m/>
    <m/>
    <m/>
    <m/>
    <n v="365908528"/>
    <n v="385001614"/>
  </r>
  <r>
    <x v="10"/>
    <x v="1"/>
    <s v="Health Sciences Center"/>
    <m/>
    <n v="207500"/>
    <x v="0"/>
    <m/>
    <m/>
    <m/>
    <m/>
    <m/>
    <m/>
    <m/>
    <m/>
    <n v="0"/>
    <m/>
    <m/>
    <n v="0"/>
    <n v="0"/>
    <n v="0"/>
    <m/>
    <m/>
    <m/>
    <m/>
    <n v="0"/>
    <m/>
    <m/>
    <n v="0"/>
    <n v="92323530"/>
    <n v="93389130"/>
    <m/>
    <m/>
    <m/>
    <m/>
    <n v="92323530"/>
    <n v="93389130"/>
  </r>
  <r>
    <x v="10"/>
    <x v="0"/>
    <s v="Law Center"/>
    <m/>
    <n v="207500"/>
    <x v="0"/>
    <n v="5930530"/>
    <n v="5991730"/>
    <m/>
    <m/>
    <m/>
    <m/>
    <n v="9665302"/>
    <m/>
    <n v="9665302"/>
    <n v="9830839"/>
    <m/>
    <n v="9830839"/>
    <n v="15595832"/>
    <n v="15822569"/>
    <m/>
    <m/>
    <m/>
    <m/>
    <n v="0"/>
    <m/>
    <m/>
    <n v="0"/>
    <m/>
    <m/>
    <m/>
    <m/>
    <m/>
    <m/>
    <n v="15595832"/>
    <n v="15822569"/>
  </r>
  <r>
    <x v="10"/>
    <x v="0"/>
    <s v="Northeastern State University"/>
    <m/>
    <n v="207263"/>
    <x v="2"/>
    <n v="36782485"/>
    <n v="37109185"/>
    <m/>
    <m/>
    <m/>
    <m/>
    <n v="39482895"/>
    <m/>
    <n v="39482895"/>
    <n v="39455396"/>
    <m/>
    <n v="39455396"/>
    <n v="76265380"/>
    <n v="76564581"/>
    <m/>
    <m/>
    <m/>
    <m/>
    <n v="0"/>
    <m/>
    <m/>
    <n v="0"/>
    <m/>
    <m/>
    <m/>
    <m/>
    <m/>
    <m/>
    <n v="76265380"/>
    <n v="76564581"/>
  </r>
  <r>
    <x v="10"/>
    <x v="0"/>
    <s v="University of Central Oklahoma"/>
    <m/>
    <n v="206941"/>
    <x v="2"/>
    <n v="52794661"/>
    <n v="53342761"/>
    <m/>
    <m/>
    <m/>
    <m/>
    <n v="87156744"/>
    <m/>
    <n v="87156744"/>
    <n v="94953747"/>
    <m/>
    <n v="94953747"/>
    <n v="139951405"/>
    <n v="148296508"/>
    <m/>
    <m/>
    <m/>
    <m/>
    <n v="0"/>
    <m/>
    <m/>
    <n v="0"/>
    <m/>
    <m/>
    <m/>
    <m/>
    <m/>
    <m/>
    <n v="139951405"/>
    <n v="148296508"/>
  </r>
  <r>
    <x v="10"/>
    <x v="0"/>
    <s v="Southeastern Oklahoma State University "/>
    <m/>
    <n v="207847"/>
    <x v="3"/>
    <n v="18702428"/>
    <n v="18844628"/>
    <m/>
    <m/>
    <m/>
    <m/>
    <n v="24382410"/>
    <m/>
    <n v="24382410"/>
    <n v="26379334"/>
    <m/>
    <n v="26379334"/>
    <n v="43084838"/>
    <n v="45223962"/>
    <m/>
    <m/>
    <m/>
    <m/>
    <n v="0"/>
    <m/>
    <m/>
    <n v="0"/>
    <m/>
    <m/>
    <m/>
    <m/>
    <m/>
    <m/>
    <n v="43084838"/>
    <n v="45223962"/>
  </r>
  <r>
    <x v="10"/>
    <x v="0"/>
    <s v="Cameron University "/>
    <m/>
    <n v="206914"/>
    <x v="4"/>
    <n v="21608265"/>
    <n v="21783765"/>
    <m/>
    <m/>
    <m/>
    <m/>
    <n v="24558350"/>
    <m/>
    <n v="24558350"/>
    <n v="25514344"/>
    <m/>
    <n v="25514344"/>
    <n v="46166615"/>
    <n v="47298109"/>
    <m/>
    <m/>
    <m/>
    <m/>
    <n v="0"/>
    <m/>
    <m/>
    <n v="0"/>
    <m/>
    <m/>
    <m/>
    <m/>
    <m/>
    <m/>
    <n v="46166615"/>
    <n v="47298109"/>
  </r>
  <r>
    <x v="10"/>
    <x v="0"/>
    <s v="East Central University "/>
    <m/>
    <n v="207041"/>
    <x v="4"/>
    <n v="17480403"/>
    <n v="17647803"/>
    <m/>
    <m/>
    <m/>
    <m/>
    <n v="18829324"/>
    <m/>
    <n v="18829324"/>
    <n v="18994692"/>
    <m/>
    <n v="18994692"/>
    <n v="36309727"/>
    <n v="36642495"/>
    <m/>
    <m/>
    <m/>
    <m/>
    <n v="0"/>
    <m/>
    <m/>
    <n v="0"/>
    <m/>
    <m/>
    <m/>
    <m/>
    <m/>
    <m/>
    <n v="36309727"/>
    <n v="36642495"/>
  </r>
  <r>
    <x v="10"/>
    <x v="0"/>
    <s v="Langston University"/>
    <m/>
    <n v="207209"/>
    <x v="4"/>
    <n v="18592255"/>
    <n v="18764155"/>
    <m/>
    <m/>
    <m/>
    <m/>
    <n v="12990170"/>
    <m/>
    <n v="12990170"/>
    <n v="13206005"/>
    <m/>
    <n v="13206005"/>
    <n v="31582425"/>
    <n v="31970160"/>
    <m/>
    <m/>
    <m/>
    <m/>
    <n v="0"/>
    <m/>
    <m/>
    <n v="0"/>
    <m/>
    <m/>
    <m/>
    <m/>
    <m/>
    <m/>
    <n v="31582425"/>
    <n v="31970160"/>
  </r>
  <r>
    <x v="10"/>
    <x v="0"/>
    <s v="Northwestern Oklahoma State University "/>
    <m/>
    <n v="207306"/>
    <x v="4"/>
    <n v="10122045"/>
    <n v="10241745"/>
    <m/>
    <m/>
    <m/>
    <m/>
    <n v="12642244"/>
    <m/>
    <n v="12642244"/>
    <n v="13583205"/>
    <m/>
    <n v="13583205"/>
    <n v="22764289"/>
    <n v="23824950"/>
    <m/>
    <m/>
    <m/>
    <m/>
    <n v="0"/>
    <m/>
    <m/>
    <n v="0"/>
    <m/>
    <m/>
    <m/>
    <m/>
    <m/>
    <m/>
    <n v="22764289"/>
    <n v="23824950"/>
  </r>
  <r>
    <x v="10"/>
    <x v="0"/>
    <s v="Southwestern Oklahoma State University"/>
    <m/>
    <n v="207865"/>
    <x v="4"/>
    <n v="22633303"/>
    <n v="22841203"/>
    <m/>
    <m/>
    <m/>
    <m/>
    <n v="27584660"/>
    <m/>
    <n v="27584660"/>
    <n v="29064356"/>
    <m/>
    <n v="29064356"/>
    <n v="50217963"/>
    <n v="51905559"/>
    <m/>
    <m/>
    <m/>
    <m/>
    <n v="0"/>
    <m/>
    <m/>
    <n v="0"/>
    <m/>
    <m/>
    <m/>
    <m/>
    <m/>
    <m/>
    <n v="50217963"/>
    <n v="51905559"/>
  </r>
  <r>
    <x v="10"/>
    <x v="0"/>
    <s v="Oklahoma Panhandle State University "/>
    <m/>
    <n v="207351"/>
    <x v="5"/>
    <n v="7200230"/>
    <n v="7274030"/>
    <m/>
    <m/>
    <m/>
    <m/>
    <n v="10292005"/>
    <m/>
    <n v="10292005"/>
    <n v="10428175"/>
    <m/>
    <n v="10428175"/>
    <n v="17492235"/>
    <n v="17702205"/>
    <m/>
    <m/>
    <m/>
    <m/>
    <n v="0"/>
    <m/>
    <m/>
    <n v="0"/>
    <m/>
    <m/>
    <m/>
    <m/>
    <m/>
    <m/>
    <n v="17492235"/>
    <n v="17702205"/>
  </r>
  <r>
    <x v="10"/>
    <x v="0"/>
    <s v="Rogers State University"/>
    <m/>
    <n v="207661"/>
    <x v="5"/>
    <n v="13884642"/>
    <n v="14129080"/>
    <m/>
    <m/>
    <m/>
    <m/>
    <n v="17165288"/>
    <m/>
    <n v="17165288"/>
    <n v="16737076"/>
    <m/>
    <n v="16737076"/>
    <n v="31049930"/>
    <n v="30866156"/>
    <m/>
    <m/>
    <m/>
    <m/>
    <n v="0"/>
    <m/>
    <m/>
    <n v="0"/>
    <m/>
    <m/>
    <m/>
    <m/>
    <m/>
    <m/>
    <n v="31049930"/>
    <n v="30866156"/>
  </r>
  <r>
    <x v="10"/>
    <x v="0"/>
    <s v="University of Science and Arts of Oklahoma"/>
    <m/>
    <n v="207722"/>
    <x v="5"/>
    <n v="7388510"/>
    <n v="7463210"/>
    <m/>
    <m/>
    <m/>
    <m/>
    <n v="4657076"/>
    <m/>
    <n v="4657076"/>
    <n v="4871123"/>
    <m/>
    <n v="4871123"/>
    <n v="12045586"/>
    <n v="12334333"/>
    <m/>
    <m/>
    <m/>
    <m/>
    <n v="0"/>
    <m/>
    <m/>
    <n v="0"/>
    <m/>
    <m/>
    <m/>
    <m/>
    <m/>
    <m/>
    <n v="12045586"/>
    <n v="12334333"/>
  </r>
  <r>
    <x v="10"/>
    <x v="0"/>
    <s v="Oklahoma State University-Oklahoma City "/>
    <s v="Met the criteria for Two-Year 2 institution in 2013-14."/>
    <n v="207397"/>
    <x v="14"/>
    <n v="11124865"/>
    <n v="11663314"/>
    <m/>
    <m/>
    <m/>
    <m/>
    <n v="14721818"/>
    <m/>
    <n v="14721818"/>
    <n v="14353583"/>
    <m/>
    <n v="14353583"/>
    <n v="25846683"/>
    <n v="26016897"/>
    <m/>
    <m/>
    <m/>
    <m/>
    <n v="0"/>
    <m/>
    <m/>
    <n v="0"/>
    <m/>
    <m/>
    <m/>
    <m/>
    <m/>
    <m/>
    <n v="25846683"/>
    <n v="26016897"/>
  </r>
  <r>
    <x v="10"/>
    <x v="0"/>
    <s v="Oklahoma State University Technical Branch-Okmulgee "/>
    <s v="Met the criteria for Two-Year 2 institution in 2012-13 and 2013-14."/>
    <n v="207564"/>
    <x v="14"/>
    <n v="14370429"/>
    <n v="14553129"/>
    <m/>
    <m/>
    <m/>
    <m/>
    <n v="13695819"/>
    <m/>
    <n v="13695819"/>
    <n v="14151789"/>
    <m/>
    <n v="14151789"/>
    <n v="28066248"/>
    <n v="28704918"/>
    <m/>
    <m/>
    <m/>
    <m/>
    <n v="0"/>
    <m/>
    <m/>
    <n v="0"/>
    <m/>
    <m/>
    <m/>
    <m/>
    <m/>
    <m/>
    <n v="28066248"/>
    <n v="28704918"/>
  </r>
  <r>
    <x v="10"/>
    <x v="0"/>
    <s v="Oklahoma City Community College "/>
    <m/>
    <n v="207449"/>
    <x v="6"/>
    <n v="24799336"/>
    <n v="25464664"/>
    <m/>
    <m/>
    <n v="5200000"/>
    <n v="5000000"/>
    <n v="25000125"/>
    <m/>
    <n v="25000125"/>
    <n v="24744180"/>
    <m/>
    <n v="24744180"/>
    <n v="54999461"/>
    <n v="55208844"/>
    <m/>
    <m/>
    <m/>
    <m/>
    <n v="0"/>
    <m/>
    <m/>
    <n v="0"/>
    <m/>
    <m/>
    <m/>
    <m/>
    <m/>
    <m/>
    <n v="54999461"/>
    <n v="55208844"/>
  </r>
  <r>
    <x v="10"/>
    <x v="0"/>
    <s v="Rose State College "/>
    <s v="Met the criteria for Two-Year 2 institution in 2013-14."/>
    <n v="207670"/>
    <x v="6"/>
    <n v="20727932"/>
    <n v="20970932"/>
    <m/>
    <m/>
    <n v="1350000"/>
    <n v="1300000"/>
    <n v="14505437"/>
    <m/>
    <n v="14505437"/>
    <n v="14440134"/>
    <m/>
    <n v="14440134"/>
    <n v="36583369"/>
    <n v="36711066"/>
    <m/>
    <m/>
    <m/>
    <m/>
    <n v="0"/>
    <m/>
    <m/>
    <n v="0"/>
    <m/>
    <m/>
    <m/>
    <m/>
    <m/>
    <m/>
    <n v="36583369"/>
    <n v="36711066"/>
  </r>
  <r>
    <x v="10"/>
    <x v="0"/>
    <s v="Tulsa Community College "/>
    <m/>
    <n v="207935"/>
    <x v="6"/>
    <n v="36136945"/>
    <n v="36946614"/>
    <m/>
    <m/>
    <n v="35325529"/>
    <n v="40325073"/>
    <n v="36768613"/>
    <m/>
    <n v="36768613"/>
    <n v="37061333"/>
    <m/>
    <n v="37061333"/>
    <n v="108231087"/>
    <n v="114333020"/>
    <m/>
    <m/>
    <m/>
    <m/>
    <n v="0"/>
    <m/>
    <m/>
    <n v="0"/>
    <m/>
    <m/>
    <m/>
    <m/>
    <m/>
    <m/>
    <n v="108231087"/>
    <n v="114333020"/>
  </r>
  <r>
    <x v="10"/>
    <x v="0"/>
    <s v="Carl Albert State College"/>
    <s v="Met the criteria for Two-Year 3 institution in 2013-14."/>
    <n v="206923"/>
    <x v="7"/>
    <n v="6288279"/>
    <n v="6488628"/>
    <m/>
    <m/>
    <m/>
    <m/>
    <n v="5400280"/>
    <m/>
    <n v="5400280"/>
    <n v="5911877"/>
    <m/>
    <n v="5911877"/>
    <n v="11688559"/>
    <n v="12400505"/>
    <m/>
    <m/>
    <m/>
    <m/>
    <n v="0"/>
    <m/>
    <m/>
    <n v="0"/>
    <m/>
    <m/>
    <m/>
    <m/>
    <m/>
    <m/>
    <n v="11688559"/>
    <n v="12400505"/>
  </r>
  <r>
    <x v="10"/>
    <x v="0"/>
    <s v="Northern Oklahoma College "/>
    <m/>
    <n v="207281"/>
    <x v="7"/>
    <n v="9984778"/>
    <n v="10292753"/>
    <m/>
    <m/>
    <m/>
    <m/>
    <n v="14139671"/>
    <m/>
    <n v="14139671"/>
    <n v="14033769"/>
    <m/>
    <n v="14033769"/>
    <n v="24124449"/>
    <n v="24326522"/>
    <m/>
    <m/>
    <m/>
    <m/>
    <n v="0"/>
    <m/>
    <m/>
    <n v="0"/>
    <m/>
    <m/>
    <m/>
    <m/>
    <m/>
    <m/>
    <n v="24124449"/>
    <n v="24326522"/>
  </r>
  <r>
    <x v="10"/>
    <x v="0"/>
    <s v="Connors State College "/>
    <m/>
    <n v="206996"/>
    <x v="8"/>
    <n v="6769919"/>
    <n v="6859019"/>
    <m/>
    <m/>
    <m/>
    <m/>
    <n v="5121078"/>
    <m/>
    <n v="5121078"/>
    <n v="5406922"/>
    <m/>
    <n v="5406922"/>
    <n v="11890997"/>
    <n v="12265941"/>
    <m/>
    <m/>
    <m/>
    <m/>
    <n v="0"/>
    <m/>
    <m/>
    <n v="0"/>
    <m/>
    <m/>
    <m/>
    <m/>
    <m/>
    <m/>
    <n v="11890997"/>
    <n v="12265941"/>
  </r>
  <r>
    <x v="10"/>
    <x v="0"/>
    <s v="Eastern Oklahoma State College "/>
    <m/>
    <n v="207050"/>
    <x v="8"/>
    <n v="6474505"/>
    <n v="6545605"/>
    <m/>
    <m/>
    <m/>
    <m/>
    <n v="4356701"/>
    <m/>
    <n v="4356701"/>
    <n v="4026416"/>
    <m/>
    <n v="4026416"/>
    <n v="10831206"/>
    <n v="10572021"/>
    <m/>
    <m/>
    <m/>
    <m/>
    <n v="0"/>
    <m/>
    <m/>
    <n v="0"/>
    <m/>
    <m/>
    <m/>
    <m/>
    <m/>
    <m/>
    <n v="10831206"/>
    <n v="10572021"/>
  </r>
  <r>
    <x v="10"/>
    <x v="0"/>
    <s v="Murray State College "/>
    <m/>
    <n v="207236"/>
    <x v="8"/>
    <n v="5727612"/>
    <n v="5827964"/>
    <m/>
    <m/>
    <m/>
    <m/>
    <n v="6358522"/>
    <m/>
    <n v="6358522"/>
    <n v="7072634"/>
    <m/>
    <n v="7072634"/>
    <n v="12086134"/>
    <n v="12900598"/>
    <m/>
    <m/>
    <m/>
    <m/>
    <n v="0"/>
    <m/>
    <m/>
    <n v="0"/>
    <m/>
    <m/>
    <m/>
    <m/>
    <m/>
    <m/>
    <n v="12086134"/>
    <n v="12900598"/>
  </r>
  <r>
    <x v="10"/>
    <x v="0"/>
    <s v="Northeastern Oklahoma A &amp; M College "/>
    <m/>
    <n v="207290"/>
    <x v="8"/>
    <n v="8883776"/>
    <n v="8971076"/>
    <m/>
    <m/>
    <m/>
    <m/>
    <n v="7745250"/>
    <m/>
    <n v="7745250"/>
    <n v="7416107"/>
    <m/>
    <n v="7416107"/>
    <n v="16629026"/>
    <n v="16387183"/>
    <m/>
    <m/>
    <m/>
    <m/>
    <n v="0"/>
    <m/>
    <m/>
    <n v="0"/>
    <m/>
    <m/>
    <m/>
    <m/>
    <m/>
    <m/>
    <n v="16629026"/>
    <n v="16387183"/>
  </r>
  <r>
    <x v="10"/>
    <x v="0"/>
    <s v="Redlands Community College"/>
    <m/>
    <n v="207069"/>
    <x v="8"/>
    <n v="6358917"/>
    <n v="6435417"/>
    <m/>
    <m/>
    <m/>
    <m/>
    <n v="5519369"/>
    <m/>
    <n v="5519369"/>
    <n v="5151638"/>
    <m/>
    <n v="5151638"/>
    <n v="11878286"/>
    <n v="11587055"/>
    <m/>
    <m/>
    <m/>
    <m/>
    <n v="0"/>
    <m/>
    <m/>
    <n v="0"/>
    <m/>
    <m/>
    <m/>
    <m/>
    <m/>
    <m/>
    <n v="11878286"/>
    <n v="11587055"/>
  </r>
  <r>
    <x v="10"/>
    <x v="0"/>
    <s v="Seminole State College "/>
    <m/>
    <n v="207740"/>
    <x v="8"/>
    <n v="5948795"/>
    <n v="6026195"/>
    <m/>
    <m/>
    <m/>
    <m/>
    <n v="5054479"/>
    <m/>
    <n v="5054479"/>
    <n v="5044681"/>
    <m/>
    <n v="5044681"/>
    <n v="11003274"/>
    <n v="11070876"/>
    <m/>
    <m/>
    <m/>
    <m/>
    <n v="0"/>
    <m/>
    <m/>
    <n v="0"/>
    <m/>
    <m/>
    <m/>
    <m/>
    <m/>
    <m/>
    <n v="11003274"/>
    <n v="11070876"/>
  </r>
  <r>
    <x v="10"/>
    <x v="0"/>
    <s v="Western Oklahoma State College "/>
    <m/>
    <n v="208035"/>
    <x v="8"/>
    <n v="5701773"/>
    <n v="5810048"/>
    <m/>
    <m/>
    <m/>
    <m/>
    <n v="9242000"/>
    <m/>
    <n v="9242000"/>
    <n v="3982800"/>
    <m/>
    <n v="3982800"/>
    <n v="14943773"/>
    <n v="9792848"/>
    <m/>
    <m/>
    <m/>
    <m/>
    <n v="0"/>
    <m/>
    <m/>
    <n v="0"/>
    <m/>
    <m/>
    <m/>
    <m/>
    <m/>
    <m/>
    <n v="14943773"/>
    <n v="9792848"/>
  </r>
  <r>
    <x v="10"/>
    <x v="10"/>
    <s v="Statewide Special-Purpose Units"/>
    <m/>
    <m/>
    <x v="12"/>
    <m/>
    <m/>
    <m/>
    <m/>
    <m/>
    <m/>
    <m/>
    <m/>
    <n v="0"/>
    <m/>
    <m/>
    <n v="0"/>
    <n v="0"/>
    <n v="0"/>
    <m/>
    <m/>
    <m/>
    <m/>
    <n v="0"/>
    <m/>
    <m/>
    <n v="0"/>
    <m/>
    <m/>
    <m/>
    <m/>
    <m/>
    <m/>
    <n v="0"/>
    <n v="0"/>
  </r>
  <r>
    <x v="10"/>
    <x v="42"/>
    <s v="Community or public service units"/>
    <m/>
    <m/>
    <x v="12"/>
    <m/>
    <m/>
    <m/>
    <m/>
    <m/>
    <m/>
    <m/>
    <m/>
    <n v="0"/>
    <m/>
    <m/>
    <n v="0"/>
    <n v="0"/>
    <n v="0"/>
    <m/>
    <m/>
    <m/>
    <m/>
    <n v="0"/>
    <m/>
    <m/>
    <n v="0"/>
    <m/>
    <m/>
    <m/>
    <m/>
    <m/>
    <m/>
    <n v="0"/>
    <n v="0"/>
  </r>
  <r>
    <x v="10"/>
    <x v="42"/>
    <s v="Kerr Conference Center"/>
    <m/>
    <m/>
    <x v="12"/>
    <m/>
    <m/>
    <n v="93835"/>
    <n v="0"/>
    <m/>
    <m/>
    <m/>
    <m/>
    <n v="0"/>
    <m/>
    <m/>
    <n v="0"/>
    <n v="93835"/>
    <n v="0"/>
    <m/>
    <m/>
    <m/>
    <m/>
    <n v="0"/>
    <m/>
    <m/>
    <n v="0"/>
    <m/>
    <m/>
    <m/>
    <m/>
    <m/>
    <m/>
    <n v="93835"/>
    <n v="0"/>
  </r>
  <r>
    <x v="10"/>
    <x v="13"/>
    <s v="Educational special-purpose funds — all other"/>
    <m/>
    <m/>
    <x v="12"/>
    <m/>
    <m/>
    <m/>
    <m/>
    <m/>
    <m/>
    <m/>
    <m/>
    <n v="0"/>
    <m/>
    <m/>
    <n v="0"/>
    <n v="0"/>
    <n v="0"/>
    <m/>
    <m/>
    <m/>
    <m/>
    <n v="0"/>
    <m/>
    <m/>
    <n v="0"/>
    <m/>
    <m/>
    <m/>
    <m/>
    <m/>
    <m/>
    <n v="0"/>
    <n v="0"/>
  </r>
  <r>
    <x v="10"/>
    <x v="13"/>
    <s v="Ardmore H.Ed. Program"/>
    <m/>
    <m/>
    <x v="12"/>
    <m/>
    <m/>
    <n v="647396"/>
    <n v="647396"/>
    <m/>
    <m/>
    <m/>
    <m/>
    <n v="0"/>
    <m/>
    <m/>
    <n v="0"/>
    <n v="647396"/>
    <n v="647396"/>
    <m/>
    <m/>
    <m/>
    <m/>
    <n v="0"/>
    <m/>
    <m/>
    <n v="0"/>
    <m/>
    <m/>
    <m/>
    <m/>
    <m/>
    <m/>
    <n v="647396"/>
    <n v="647396"/>
  </r>
  <r>
    <x v="10"/>
    <x v="13"/>
    <s v="Jane Brooks School-USAO"/>
    <m/>
    <m/>
    <x v="12"/>
    <m/>
    <m/>
    <n v="25283"/>
    <n v="25283"/>
    <m/>
    <m/>
    <m/>
    <m/>
    <n v="0"/>
    <m/>
    <m/>
    <n v="0"/>
    <n v="25283"/>
    <n v="25283"/>
    <m/>
    <m/>
    <m/>
    <m/>
    <n v="0"/>
    <m/>
    <m/>
    <n v="0"/>
    <m/>
    <m/>
    <m/>
    <m/>
    <m/>
    <m/>
    <n v="25283"/>
    <n v="25283"/>
  </r>
  <r>
    <x v="10"/>
    <x v="13"/>
    <s v="Fire Science Training"/>
    <m/>
    <m/>
    <x v="12"/>
    <m/>
    <m/>
    <n v="1686184"/>
    <n v="1686184"/>
    <m/>
    <m/>
    <m/>
    <m/>
    <n v="0"/>
    <m/>
    <m/>
    <n v="0"/>
    <n v="1686184"/>
    <n v="1686184"/>
    <m/>
    <m/>
    <m/>
    <m/>
    <n v="0"/>
    <m/>
    <m/>
    <n v="0"/>
    <m/>
    <m/>
    <m/>
    <m/>
    <m/>
    <m/>
    <n v="1686184"/>
    <n v="1686184"/>
  </r>
  <r>
    <x v="10"/>
    <x v="13"/>
    <s v="Scholar Leadership Program"/>
    <m/>
    <m/>
    <x v="12"/>
    <m/>
    <m/>
    <n v="286030"/>
    <n v="286030"/>
    <m/>
    <m/>
    <m/>
    <m/>
    <n v="0"/>
    <m/>
    <m/>
    <n v="0"/>
    <n v="286030"/>
    <n v="286030"/>
    <m/>
    <m/>
    <m/>
    <m/>
    <n v="0"/>
    <m/>
    <m/>
    <n v="0"/>
    <m/>
    <m/>
    <m/>
    <m/>
    <m/>
    <m/>
    <n v="286030"/>
    <n v="286030"/>
  </r>
  <r>
    <x v="10"/>
    <x v="13"/>
    <s v="Academic Scholar Program"/>
    <m/>
    <m/>
    <x v="12"/>
    <m/>
    <m/>
    <n v="8329363"/>
    <n v="8329363"/>
    <m/>
    <m/>
    <m/>
    <m/>
    <n v="0"/>
    <m/>
    <m/>
    <n v="0"/>
    <n v="8329363"/>
    <n v="8329363"/>
    <m/>
    <m/>
    <m/>
    <m/>
    <n v="0"/>
    <m/>
    <m/>
    <n v="0"/>
    <m/>
    <m/>
    <m/>
    <m/>
    <m/>
    <m/>
    <n v="8329363"/>
    <n v="8329363"/>
  </r>
  <r>
    <x v="10"/>
    <x v="13"/>
    <s v="Oklahoma Teacher Connection Center"/>
    <m/>
    <m/>
    <x v="12"/>
    <m/>
    <m/>
    <n v="391220"/>
    <n v="391220"/>
    <m/>
    <m/>
    <m/>
    <m/>
    <n v="0"/>
    <m/>
    <m/>
    <n v="0"/>
    <n v="391220"/>
    <n v="391220"/>
    <m/>
    <m/>
    <m/>
    <m/>
    <n v="0"/>
    <m/>
    <m/>
    <n v="0"/>
    <m/>
    <m/>
    <m/>
    <m/>
    <m/>
    <m/>
    <n v="391220"/>
    <n v="391220"/>
  </r>
  <r>
    <x v="10"/>
    <x v="13"/>
    <s v="OneNet User Fee Charges"/>
    <m/>
    <m/>
    <x v="12"/>
    <m/>
    <m/>
    <n v="3120185"/>
    <n v="3120185"/>
    <m/>
    <m/>
    <m/>
    <m/>
    <n v="0"/>
    <m/>
    <m/>
    <n v="0"/>
    <n v="3120185"/>
    <n v="3120185"/>
    <m/>
    <m/>
    <m/>
    <m/>
    <n v="0"/>
    <m/>
    <m/>
    <n v="0"/>
    <m/>
    <m/>
    <m/>
    <m/>
    <m/>
    <m/>
    <n v="3120185"/>
    <n v="3120185"/>
  </r>
  <r>
    <x v="10"/>
    <x v="13"/>
    <s v="Student Preparation  Program"/>
    <m/>
    <m/>
    <x v="12"/>
    <m/>
    <m/>
    <n v="1098472"/>
    <n v="1098472"/>
    <m/>
    <m/>
    <m/>
    <m/>
    <n v="0"/>
    <m/>
    <m/>
    <n v="0"/>
    <n v="1098472"/>
    <n v="1098472"/>
    <m/>
    <m/>
    <m/>
    <m/>
    <n v="0"/>
    <m/>
    <m/>
    <n v="0"/>
    <m/>
    <m/>
    <m/>
    <m/>
    <m/>
    <m/>
    <n v="1098472"/>
    <n v="1098472"/>
  </r>
  <r>
    <x v="10"/>
    <x v="13"/>
    <s v="Statewide Literacy Program"/>
    <m/>
    <m/>
    <x v="12"/>
    <m/>
    <m/>
    <n v="68476"/>
    <n v="68476"/>
    <m/>
    <m/>
    <m/>
    <m/>
    <n v="0"/>
    <m/>
    <m/>
    <n v="0"/>
    <n v="68476"/>
    <n v="68476"/>
    <m/>
    <m/>
    <m/>
    <m/>
    <n v="0"/>
    <m/>
    <m/>
    <n v="0"/>
    <m/>
    <m/>
    <m/>
    <m/>
    <m/>
    <m/>
    <n v="68476"/>
    <n v="68476"/>
  </r>
  <r>
    <x v="10"/>
    <x v="14"/>
    <s v="Statewide System Operations"/>
    <m/>
    <m/>
    <x v="12"/>
    <m/>
    <m/>
    <m/>
    <m/>
    <m/>
    <m/>
    <m/>
    <m/>
    <n v="0"/>
    <m/>
    <m/>
    <n v="0"/>
    <n v="0"/>
    <n v="0"/>
    <m/>
    <m/>
    <m/>
    <m/>
    <n v="0"/>
    <m/>
    <m/>
    <n v="0"/>
    <m/>
    <m/>
    <m/>
    <m/>
    <m/>
    <m/>
    <n v="0"/>
    <n v="0"/>
  </r>
  <r>
    <x v="10"/>
    <x v="15"/>
    <s v="Colleges and universities"/>
    <m/>
    <m/>
    <x v="12"/>
    <m/>
    <m/>
    <m/>
    <m/>
    <m/>
    <m/>
    <m/>
    <m/>
    <n v="0"/>
    <m/>
    <m/>
    <n v="0"/>
    <n v="0"/>
    <n v="0"/>
    <m/>
    <m/>
    <m/>
    <m/>
    <n v="0"/>
    <m/>
    <m/>
    <n v="0"/>
    <m/>
    <m/>
    <m/>
    <m/>
    <m/>
    <m/>
    <n v="0"/>
    <n v="0"/>
  </r>
  <r>
    <x v="10"/>
    <x v="15"/>
    <s v="Ok State Regents for H. Ed."/>
    <m/>
    <m/>
    <x v="12"/>
    <m/>
    <m/>
    <m/>
    <m/>
    <m/>
    <m/>
    <m/>
    <m/>
    <n v="0"/>
    <m/>
    <m/>
    <n v="0"/>
    <n v="0"/>
    <n v="0"/>
    <n v="10139942"/>
    <n v="10139942"/>
    <m/>
    <m/>
    <n v="0"/>
    <m/>
    <m/>
    <n v="0"/>
    <m/>
    <m/>
    <m/>
    <m/>
    <m/>
    <m/>
    <n v="10139942"/>
    <n v="10139942"/>
  </r>
  <r>
    <x v="10"/>
    <x v="15"/>
    <s v="Oklahoma College System"/>
    <m/>
    <m/>
    <x v="12"/>
    <m/>
    <m/>
    <m/>
    <m/>
    <m/>
    <m/>
    <m/>
    <m/>
    <n v="0"/>
    <m/>
    <m/>
    <n v="0"/>
    <n v="0"/>
    <n v="0"/>
    <m/>
    <m/>
    <m/>
    <m/>
    <n v="0"/>
    <m/>
    <m/>
    <n v="0"/>
    <m/>
    <m/>
    <m/>
    <m/>
    <m/>
    <m/>
    <n v="0"/>
    <n v="0"/>
  </r>
  <r>
    <x v="10"/>
    <x v="16"/>
    <s v="Two-year system(s), if any"/>
    <m/>
    <m/>
    <x v="12"/>
    <m/>
    <m/>
    <m/>
    <m/>
    <m/>
    <m/>
    <m/>
    <m/>
    <n v="0"/>
    <m/>
    <m/>
    <n v="0"/>
    <n v="0"/>
    <n v="0"/>
    <m/>
    <m/>
    <m/>
    <m/>
    <n v="0"/>
    <m/>
    <m/>
    <n v="0"/>
    <m/>
    <m/>
    <m/>
    <m/>
    <m/>
    <m/>
    <n v="0"/>
    <n v="0"/>
  </r>
  <r>
    <x v="10"/>
    <x v="17"/>
    <s v="National or regional associations, compacts or consortia"/>
    <m/>
    <m/>
    <x v="12"/>
    <m/>
    <m/>
    <m/>
    <m/>
    <m/>
    <m/>
    <m/>
    <m/>
    <n v="0"/>
    <m/>
    <m/>
    <n v="0"/>
    <n v="0"/>
    <n v="0"/>
    <m/>
    <m/>
    <m/>
    <m/>
    <n v="0"/>
    <m/>
    <m/>
    <n v="0"/>
    <m/>
    <m/>
    <m/>
    <m/>
    <m/>
    <m/>
    <n v="0"/>
    <n v="0"/>
  </r>
  <r>
    <x v="10"/>
    <x v="17"/>
    <s v="SREB Dues"/>
    <m/>
    <m/>
    <x v="12"/>
    <m/>
    <m/>
    <m/>
    <m/>
    <m/>
    <m/>
    <m/>
    <m/>
    <n v="0"/>
    <m/>
    <m/>
    <n v="0"/>
    <n v="0"/>
    <n v="0"/>
    <m/>
    <m/>
    <m/>
    <m/>
    <n v="0"/>
    <m/>
    <m/>
    <n v="0"/>
    <m/>
    <m/>
    <m/>
    <m/>
    <m/>
    <m/>
    <n v="0"/>
    <n v="0"/>
  </r>
  <r>
    <x v="10"/>
    <x v="18"/>
    <s v="Adm. of Statewide Student Aid Progs. (incldng centralized guaranteed student loans)"/>
    <m/>
    <m/>
    <x v="12"/>
    <m/>
    <m/>
    <m/>
    <m/>
    <m/>
    <m/>
    <m/>
    <m/>
    <n v="0"/>
    <m/>
    <m/>
    <n v="0"/>
    <n v="0"/>
    <n v="0"/>
    <m/>
    <m/>
    <m/>
    <m/>
    <n v="0"/>
    <m/>
    <m/>
    <n v="0"/>
    <m/>
    <m/>
    <m/>
    <m/>
    <m/>
    <m/>
    <n v="0"/>
    <n v="0"/>
  </r>
  <r>
    <x v="10"/>
    <x v="19"/>
    <s v="State Support to Private Colleges Other Than Student Aid"/>
    <m/>
    <m/>
    <x v="12"/>
    <m/>
    <m/>
    <m/>
    <m/>
    <m/>
    <m/>
    <m/>
    <m/>
    <n v="0"/>
    <m/>
    <m/>
    <n v="0"/>
    <n v="0"/>
    <n v="0"/>
    <m/>
    <m/>
    <m/>
    <m/>
    <n v="0"/>
    <m/>
    <m/>
    <n v="0"/>
    <m/>
    <m/>
    <m/>
    <m/>
    <m/>
    <m/>
    <n v="0"/>
    <n v="0"/>
  </r>
  <r>
    <x v="10"/>
    <x v="20"/>
    <s v="Contract Education Programs"/>
    <m/>
    <m/>
    <x v="12"/>
    <m/>
    <m/>
    <m/>
    <m/>
    <m/>
    <m/>
    <m/>
    <m/>
    <n v="0"/>
    <m/>
    <m/>
    <n v="0"/>
    <n v="0"/>
    <n v="0"/>
    <m/>
    <m/>
    <m/>
    <m/>
    <n v="0"/>
    <m/>
    <m/>
    <n v="0"/>
    <m/>
    <m/>
    <m/>
    <m/>
    <m/>
    <m/>
    <n v="0"/>
    <n v="0"/>
  </r>
  <r>
    <x v="10"/>
    <x v="21"/>
    <s v="SREB contract program with private colleges"/>
    <m/>
    <m/>
    <x v="12"/>
    <m/>
    <m/>
    <m/>
    <m/>
    <m/>
    <m/>
    <m/>
    <m/>
    <n v="0"/>
    <m/>
    <m/>
    <n v="0"/>
    <n v="0"/>
    <n v="0"/>
    <m/>
    <m/>
    <m/>
    <m/>
    <n v="0"/>
    <m/>
    <m/>
    <n v="0"/>
    <m/>
    <m/>
    <m/>
    <m/>
    <m/>
    <m/>
    <n v="0"/>
    <n v="0"/>
  </r>
  <r>
    <x v="10"/>
    <x v="22"/>
    <s v="SREB contract program with public colleges"/>
    <m/>
    <m/>
    <x v="12"/>
    <m/>
    <m/>
    <m/>
    <m/>
    <m/>
    <m/>
    <m/>
    <m/>
    <n v="0"/>
    <m/>
    <m/>
    <n v="0"/>
    <n v="0"/>
    <n v="0"/>
    <m/>
    <m/>
    <m/>
    <m/>
    <n v="0"/>
    <m/>
    <m/>
    <n v="0"/>
    <m/>
    <m/>
    <m/>
    <m/>
    <m/>
    <m/>
    <n v="0"/>
    <n v="0"/>
  </r>
  <r>
    <x v="10"/>
    <x v="23"/>
    <s v="Other contract education programs"/>
    <m/>
    <m/>
    <x v="12"/>
    <m/>
    <m/>
    <m/>
    <m/>
    <m/>
    <m/>
    <m/>
    <m/>
    <n v="0"/>
    <m/>
    <m/>
    <n v="0"/>
    <n v="0"/>
    <n v="0"/>
    <m/>
    <m/>
    <m/>
    <m/>
    <n v="0"/>
    <m/>
    <m/>
    <n v="0"/>
    <m/>
    <m/>
    <m/>
    <m/>
    <m/>
    <m/>
    <n v="0"/>
    <n v="0"/>
  </r>
  <r>
    <x v="10"/>
    <x v="24"/>
    <s v="Statewide Student Financial Aid Programs Administered Off Campus"/>
    <m/>
    <m/>
    <x v="12"/>
    <m/>
    <m/>
    <m/>
    <m/>
    <m/>
    <m/>
    <m/>
    <m/>
    <n v="0"/>
    <m/>
    <m/>
    <n v="0"/>
    <n v="0"/>
    <n v="0"/>
    <m/>
    <m/>
    <m/>
    <m/>
    <n v="0"/>
    <m/>
    <m/>
    <n v="0"/>
    <m/>
    <m/>
    <m/>
    <m/>
    <m/>
    <m/>
    <n v="0"/>
    <n v="0"/>
  </r>
  <r>
    <x v="10"/>
    <x v="25"/>
    <s v="Available to public &amp; private sector students"/>
    <m/>
    <m/>
    <x v="12"/>
    <m/>
    <m/>
    <m/>
    <m/>
    <m/>
    <m/>
    <m/>
    <m/>
    <n v="0"/>
    <m/>
    <m/>
    <n v="0"/>
    <n v="0"/>
    <n v="0"/>
    <m/>
    <m/>
    <m/>
    <m/>
    <n v="0"/>
    <m/>
    <m/>
    <n v="0"/>
    <m/>
    <m/>
    <m/>
    <m/>
    <m/>
    <m/>
    <n v="0"/>
    <n v="0"/>
  </r>
  <r>
    <x v="10"/>
    <x v="25"/>
    <s v="Oklahoma Promise"/>
    <m/>
    <m/>
    <x v="12"/>
    <m/>
    <m/>
    <m/>
    <m/>
    <m/>
    <m/>
    <m/>
    <m/>
    <n v="0"/>
    <m/>
    <m/>
    <n v="0"/>
    <n v="0"/>
    <n v="0"/>
    <n v="57000000"/>
    <n v="57000000"/>
    <m/>
    <m/>
    <n v="0"/>
    <m/>
    <m/>
    <n v="0"/>
    <m/>
    <m/>
    <m/>
    <m/>
    <m/>
    <m/>
    <n v="57000000"/>
    <n v="57000000"/>
  </r>
  <r>
    <x v="10"/>
    <x v="26"/>
    <s v="Need-based"/>
    <m/>
    <m/>
    <x v="12"/>
    <m/>
    <m/>
    <m/>
    <m/>
    <m/>
    <m/>
    <m/>
    <m/>
    <n v="0"/>
    <m/>
    <m/>
    <n v="0"/>
    <n v="0"/>
    <n v="0"/>
    <m/>
    <m/>
    <m/>
    <m/>
    <n v="0"/>
    <m/>
    <m/>
    <n v="0"/>
    <m/>
    <m/>
    <m/>
    <m/>
    <m/>
    <m/>
    <n v="0"/>
    <n v="0"/>
  </r>
  <r>
    <x v="10"/>
    <x v="27"/>
    <s v="Non need-based"/>
    <m/>
    <m/>
    <x v="12"/>
    <m/>
    <m/>
    <m/>
    <m/>
    <m/>
    <m/>
    <m/>
    <m/>
    <n v="0"/>
    <m/>
    <m/>
    <n v="0"/>
    <n v="0"/>
    <n v="0"/>
    <m/>
    <m/>
    <m/>
    <m/>
    <n v="0"/>
    <m/>
    <m/>
    <n v="0"/>
    <m/>
    <m/>
    <m/>
    <m/>
    <m/>
    <m/>
    <n v="0"/>
    <n v="0"/>
  </r>
  <r>
    <x v="10"/>
    <x v="28"/>
    <s v="Amount to public sector students"/>
    <m/>
    <m/>
    <x v="12"/>
    <m/>
    <m/>
    <m/>
    <m/>
    <m/>
    <m/>
    <m/>
    <m/>
    <n v="0"/>
    <m/>
    <m/>
    <n v="0"/>
    <n v="0"/>
    <n v="0"/>
    <m/>
    <m/>
    <m/>
    <m/>
    <n v="0"/>
    <m/>
    <m/>
    <n v="0"/>
    <m/>
    <m/>
    <m/>
    <m/>
    <m/>
    <m/>
    <n v="0"/>
    <n v="0"/>
  </r>
  <r>
    <x v="10"/>
    <x v="29"/>
    <s v="Need-based"/>
    <m/>
    <m/>
    <x v="12"/>
    <m/>
    <m/>
    <m/>
    <m/>
    <m/>
    <m/>
    <m/>
    <m/>
    <n v="0"/>
    <m/>
    <m/>
    <n v="0"/>
    <n v="0"/>
    <n v="0"/>
    <m/>
    <m/>
    <m/>
    <m/>
    <n v="0"/>
    <m/>
    <m/>
    <n v="0"/>
    <m/>
    <m/>
    <m/>
    <m/>
    <m/>
    <m/>
    <n v="0"/>
    <n v="0"/>
  </r>
  <r>
    <x v="10"/>
    <x v="27"/>
    <s v="Non need-based"/>
    <m/>
    <m/>
    <x v="12"/>
    <m/>
    <m/>
    <m/>
    <m/>
    <m/>
    <m/>
    <m/>
    <m/>
    <n v="0"/>
    <m/>
    <m/>
    <n v="0"/>
    <n v="0"/>
    <n v="0"/>
    <m/>
    <m/>
    <m/>
    <m/>
    <n v="0"/>
    <m/>
    <m/>
    <n v="0"/>
    <m/>
    <m/>
    <m/>
    <m/>
    <m/>
    <m/>
    <n v="0"/>
    <n v="0"/>
  </r>
  <r>
    <x v="10"/>
    <x v="31"/>
    <s v="Amount to private sector students"/>
    <m/>
    <m/>
    <x v="12"/>
    <m/>
    <m/>
    <m/>
    <m/>
    <m/>
    <m/>
    <m/>
    <m/>
    <n v="0"/>
    <m/>
    <m/>
    <n v="0"/>
    <n v="0"/>
    <n v="0"/>
    <m/>
    <m/>
    <m/>
    <m/>
    <n v="0"/>
    <m/>
    <m/>
    <n v="0"/>
    <m/>
    <m/>
    <m/>
    <m/>
    <m/>
    <m/>
    <n v="0"/>
    <n v="0"/>
  </r>
  <r>
    <x v="10"/>
    <x v="32"/>
    <s v="Need-based"/>
    <m/>
    <m/>
    <x v="12"/>
    <m/>
    <m/>
    <m/>
    <m/>
    <m/>
    <m/>
    <m/>
    <m/>
    <n v="0"/>
    <m/>
    <m/>
    <n v="0"/>
    <n v="0"/>
    <n v="0"/>
    <m/>
    <m/>
    <m/>
    <m/>
    <n v="0"/>
    <m/>
    <m/>
    <n v="0"/>
    <m/>
    <m/>
    <m/>
    <m/>
    <m/>
    <m/>
    <n v="0"/>
    <n v="0"/>
  </r>
  <r>
    <x v="10"/>
    <x v="27"/>
    <s v="Non need-based"/>
    <m/>
    <m/>
    <x v="12"/>
    <m/>
    <m/>
    <m/>
    <m/>
    <m/>
    <m/>
    <m/>
    <m/>
    <n v="0"/>
    <m/>
    <m/>
    <n v="0"/>
    <n v="0"/>
    <n v="0"/>
    <m/>
    <m/>
    <m/>
    <m/>
    <n v="0"/>
    <m/>
    <m/>
    <n v="0"/>
    <m/>
    <m/>
    <m/>
    <m/>
    <m/>
    <m/>
    <n v="0"/>
    <n v="0"/>
  </r>
  <r>
    <x v="10"/>
    <x v="25"/>
    <s v="Chiropractic Education Assistance"/>
    <m/>
    <m/>
    <x v="12"/>
    <m/>
    <m/>
    <m/>
    <m/>
    <m/>
    <m/>
    <m/>
    <m/>
    <n v="0"/>
    <m/>
    <m/>
    <n v="0"/>
    <n v="0"/>
    <n v="0"/>
    <n v="37404"/>
    <n v="37404"/>
    <m/>
    <m/>
    <n v="0"/>
    <m/>
    <m/>
    <n v="0"/>
    <m/>
    <m/>
    <m/>
    <m/>
    <m/>
    <m/>
    <n v="37404"/>
    <n v="37404"/>
  </r>
  <r>
    <x v="10"/>
    <x v="26"/>
    <s v="Need-based"/>
    <m/>
    <m/>
    <x v="12"/>
    <m/>
    <m/>
    <m/>
    <m/>
    <m/>
    <m/>
    <m/>
    <m/>
    <n v="0"/>
    <m/>
    <m/>
    <n v="0"/>
    <n v="0"/>
    <n v="0"/>
    <m/>
    <m/>
    <m/>
    <m/>
    <n v="0"/>
    <m/>
    <m/>
    <n v="0"/>
    <m/>
    <m/>
    <m/>
    <m/>
    <m/>
    <m/>
    <n v="0"/>
    <n v="0"/>
  </r>
  <r>
    <x v="10"/>
    <x v="27"/>
    <s v="Non need-based"/>
    <m/>
    <m/>
    <x v="12"/>
    <m/>
    <m/>
    <m/>
    <m/>
    <m/>
    <m/>
    <m/>
    <m/>
    <n v="0"/>
    <m/>
    <m/>
    <n v="0"/>
    <n v="0"/>
    <n v="0"/>
    <m/>
    <m/>
    <m/>
    <m/>
    <n v="0"/>
    <m/>
    <m/>
    <n v="0"/>
    <m/>
    <m/>
    <m/>
    <m/>
    <m/>
    <m/>
    <n v="0"/>
    <n v="0"/>
  </r>
  <r>
    <x v="10"/>
    <x v="28"/>
    <s v="Amount to public sector students"/>
    <m/>
    <m/>
    <x v="12"/>
    <m/>
    <m/>
    <m/>
    <m/>
    <m/>
    <m/>
    <m/>
    <m/>
    <n v="0"/>
    <m/>
    <m/>
    <n v="0"/>
    <n v="0"/>
    <n v="0"/>
    <m/>
    <m/>
    <m/>
    <m/>
    <n v="0"/>
    <m/>
    <m/>
    <n v="0"/>
    <m/>
    <m/>
    <m/>
    <m/>
    <m/>
    <m/>
    <n v="0"/>
    <n v="0"/>
  </r>
  <r>
    <x v="10"/>
    <x v="29"/>
    <s v="Need-based"/>
    <m/>
    <m/>
    <x v="12"/>
    <m/>
    <m/>
    <m/>
    <m/>
    <m/>
    <m/>
    <m/>
    <m/>
    <n v="0"/>
    <m/>
    <m/>
    <n v="0"/>
    <n v="0"/>
    <n v="0"/>
    <m/>
    <m/>
    <m/>
    <m/>
    <n v="0"/>
    <m/>
    <m/>
    <n v="0"/>
    <m/>
    <m/>
    <m/>
    <m/>
    <m/>
    <m/>
    <n v="0"/>
    <n v="0"/>
  </r>
  <r>
    <x v="10"/>
    <x v="27"/>
    <s v="Non need-based"/>
    <m/>
    <m/>
    <x v="12"/>
    <m/>
    <m/>
    <m/>
    <m/>
    <m/>
    <m/>
    <m/>
    <m/>
    <n v="0"/>
    <m/>
    <m/>
    <n v="0"/>
    <n v="0"/>
    <n v="0"/>
    <m/>
    <m/>
    <m/>
    <m/>
    <n v="0"/>
    <m/>
    <m/>
    <n v="0"/>
    <m/>
    <m/>
    <m/>
    <m/>
    <m/>
    <m/>
    <n v="0"/>
    <n v="0"/>
  </r>
  <r>
    <x v="10"/>
    <x v="31"/>
    <s v="Amount to private sector students"/>
    <m/>
    <m/>
    <x v="12"/>
    <m/>
    <m/>
    <m/>
    <m/>
    <m/>
    <m/>
    <m/>
    <m/>
    <n v="0"/>
    <m/>
    <m/>
    <n v="0"/>
    <n v="0"/>
    <n v="0"/>
    <m/>
    <m/>
    <m/>
    <m/>
    <n v="0"/>
    <m/>
    <m/>
    <n v="0"/>
    <m/>
    <m/>
    <m/>
    <m/>
    <m/>
    <m/>
    <n v="0"/>
    <n v="0"/>
  </r>
  <r>
    <x v="10"/>
    <x v="32"/>
    <s v="Need-based"/>
    <m/>
    <m/>
    <x v="12"/>
    <m/>
    <m/>
    <m/>
    <m/>
    <m/>
    <m/>
    <m/>
    <m/>
    <n v="0"/>
    <m/>
    <m/>
    <n v="0"/>
    <n v="0"/>
    <n v="0"/>
    <m/>
    <m/>
    <m/>
    <m/>
    <n v="0"/>
    <m/>
    <m/>
    <n v="0"/>
    <m/>
    <m/>
    <m/>
    <m/>
    <m/>
    <m/>
    <n v="0"/>
    <n v="0"/>
  </r>
  <r>
    <x v="10"/>
    <x v="27"/>
    <s v="Non need-based"/>
    <m/>
    <m/>
    <x v="12"/>
    <m/>
    <m/>
    <m/>
    <m/>
    <m/>
    <m/>
    <m/>
    <m/>
    <n v="0"/>
    <m/>
    <m/>
    <n v="0"/>
    <n v="0"/>
    <n v="0"/>
    <m/>
    <m/>
    <m/>
    <m/>
    <n v="0"/>
    <m/>
    <m/>
    <n v="0"/>
    <m/>
    <m/>
    <m/>
    <m/>
    <m/>
    <m/>
    <n v="0"/>
    <n v="0"/>
  </r>
  <r>
    <x v="10"/>
    <x v="25"/>
    <s v="Prospective Teachers Scholars"/>
    <m/>
    <m/>
    <x v="12"/>
    <m/>
    <m/>
    <m/>
    <m/>
    <m/>
    <m/>
    <m/>
    <m/>
    <n v="0"/>
    <m/>
    <m/>
    <n v="0"/>
    <n v="0"/>
    <n v="0"/>
    <n v="93510"/>
    <n v="93510"/>
    <m/>
    <m/>
    <n v="0"/>
    <m/>
    <m/>
    <n v="0"/>
    <m/>
    <m/>
    <m/>
    <m/>
    <m/>
    <m/>
    <n v="93510"/>
    <n v="93510"/>
  </r>
  <r>
    <x v="10"/>
    <x v="26"/>
    <s v="Need-based"/>
    <m/>
    <m/>
    <x v="12"/>
    <m/>
    <m/>
    <m/>
    <m/>
    <m/>
    <m/>
    <m/>
    <m/>
    <n v="0"/>
    <m/>
    <m/>
    <n v="0"/>
    <n v="0"/>
    <n v="0"/>
    <m/>
    <m/>
    <m/>
    <m/>
    <n v="0"/>
    <m/>
    <m/>
    <n v="0"/>
    <m/>
    <m/>
    <m/>
    <m/>
    <m/>
    <m/>
    <n v="0"/>
    <n v="0"/>
  </r>
  <r>
    <x v="10"/>
    <x v="27"/>
    <s v="Non need-based"/>
    <m/>
    <m/>
    <x v="12"/>
    <m/>
    <m/>
    <m/>
    <m/>
    <m/>
    <m/>
    <m/>
    <m/>
    <n v="0"/>
    <m/>
    <m/>
    <n v="0"/>
    <n v="0"/>
    <n v="0"/>
    <m/>
    <m/>
    <m/>
    <m/>
    <n v="0"/>
    <m/>
    <m/>
    <n v="0"/>
    <m/>
    <m/>
    <m/>
    <m/>
    <m/>
    <m/>
    <n v="0"/>
    <n v="0"/>
  </r>
  <r>
    <x v="10"/>
    <x v="28"/>
    <s v="Amount to public sector students"/>
    <m/>
    <m/>
    <x v="12"/>
    <m/>
    <m/>
    <m/>
    <m/>
    <m/>
    <m/>
    <m/>
    <m/>
    <n v="0"/>
    <m/>
    <m/>
    <n v="0"/>
    <n v="0"/>
    <n v="0"/>
    <m/>
    <m/>
    <m/>
    <m/>
    <n v="0"/>
    <m/>
    <m/>
    <n v="0"/>
    <m/>
    <m/>
    <m/>
    <m/>
    <m/>
    <m/>
    <n v="0"/>
    <n v="0"/>
  </r>
  <r>
    <x v="10"/>
    <x v="29"/>
    <s v="Need-based"/>
    <m/>
    <m/>
    <x v="12"/>
    <m/>
    <m/>
    <m/>
    <m/>
    <m/>
    <m/>
    <m/>
    <m/>
    <n v="0"/>
    <m/>
    <m/>
    <n v="0"/>
    <n v="0"/>
    <n v="0"/>
    <m/>
    <m/>
    <m/>
    <m/>
    <n v="0"/>
    <m/>
    <m/>
    <n v="0"/>
    <m/>
    <m/>
    <m/>
    <m/>
    <m/>
    <m/>
    <n v="0"/>
    <n v="0"/>
  </r>
  <r>
    <x v="10"/>
    <x v="27"/>
    <s v="Non need-based"/>
    <m/>
    <m/>
    <x v="12"/>
    <m/>
    <m/>
    <m/>
    <m/>
    <m/>
    <m/>
    <m/>
    <m/>
    <n v="0"/>
    <m/>
    <m/>
    <n v="0"/>
    <n v="0"/>
    <n v="0"/>
    <m/>
    <m/>
    <m/>
    <m/>
    <n v="0"/>
    <m/>
    <m/>
    <n v="0"/>
    <m/>
    <m/>
    <m/>
    <m/>
    <m/>
    <m/>
    <n v="0"/>
    <n v="0"/>
  </r>
  <r>
    <x v="10"/>
    <x v="31"/>
    <s v="Amount to private sector students"/>
    <m/>
    <m/>
    <x v="12"/>
    <m/>
    <m/>
    <m/>
    <m/>
    <m/>
    <m/>
    <m/>
    <m/>
    <n v="0"/>
    <m/>
    <m/>
    <n v="0"/>
    <n v="0"/>
    <n v="0"/>
    <m/>
    <m/>
    <m/>
    <m/>
    <n v="0"/>
    <m/>
    <m/>
    <n v="0"/>
    <m/>
    <m/>
    <m/>
    <m/>
    <m/>
    <m/>
    <n v="0"/>
    <n v="0"/>
  </r>
  <r>
    <x v="10"/>
    <x v="32"/>
    <s v="Need-based"/>
    <m/>
    <m/>
    <x v="12"/>
    <m/>
    <m/>
    <m/>
    <m/>
    <m/>
    <m/>
    <m/>
    <m/>
    <n v="0"/>
    <m/>
    <m/>
    <n v="0"/>
    <n v="0"/>
    <n v="0"/>
    <m/>
    <m/>
    <m/>
    <m/>
    <n v="0"/>
    <m/>
    <m/>
    <n v="0"/>
    <m/>
    <m/>
    <m/>
    <m/>
    <m/>
    <m/>
    <n v="0"/>
    <n v="0"/>
  </r>
  <r>
    <x v="10"/>
    <x v="27"/>
    <s v="Non need-based"/>
    <m/>
    <m/>
    <x v="12"/>
    <m/>
    <m/>
    <m/>
    <m/>
    <m/>
    <m/>
    <m/>
    <m/>
    <n v="0"/>
    <m/>
    <m/>
    <n v="0"/>
    <n v="0"/>
    <n v="0"/>
    <m/>
    <m/>
    <m/>
    <m/>
    <n v="0"/>
    <m/>
    <m/>
    <n v="0"/>
    <m/>
    <m/>
    <m/>
    <m/>
    <m/>
    <m/>
    <n v="0"/>
    <n v="0"/>
  </r>
  <r>
    <x v="10"/>
    <x v="25"/>
    <s v="Regional University Scholarships"/>
    <m/>
    <m/>
    <x v="12"/>
    <m/>
    <m/>
    <m/>
    <m/>
    <m/>
    <m/>
    <m/>
    <m/>
    <n v="0"/>
    <m/>
    <m/>
    <n v="0"/>
    <n v="0"/>
    <n v="0"/>
    <n v="986068"/>
    <n v="986068"/>
    <m/>
    <m/>
    <n v="0"/>
    <m/>
    <m/>
    <n v="0"/>
    <m/>
    <m/>
    <m/>
    <m/>
    <m/>
    <m/>
    <n v="986068"/>
    <n v="986068"/>
  </r>
  <r>
    <x v="10"/>
    <x v="26"/>
    <s v="Need-based"/>
    <m/>
    <m/>
    <x v="12"/>
    <m/>
    <m/>
    <m/>
    <m/>
    <m/>
    <m/>
    <m/>
    <m/>
    <n v="0"/>
    <m/>
    <m/>
    <n v="0"/>
    <n v="0"/>
    <n v="0"/>
    <m/>
    <m/>
    <m/>
    <m/>
    <n v="0"/>
    <m/>
    <m/>
    <n v="0"/>
    <m/>
    <m/>
    <m/>
    <m/>
    <m/>
    <m/>
    <n v="0"/>
    <n v="0"/>
  </r>
  <r>
    <x v="10"/>
    <x v="27"/>
    <s v="Non need-based"/>
    <m/>
    <m/>
    <x v="12"/>
    <m/>
    <m/>
    <m/>
    <m/>
    <m/>
    <m/>
    <m/>
    <m/>
    <n v="0"/>
    <m/>
    <m/>
    <n v="0"/>
    <n v="0"/>
    <n v="0"/>
    <m/>
    <m/>
    <m/>
    <m/>
    <n v="0"/>
    <m/>
    <m/>
    <n v="0"/>
    <m/>
    <m/>
    <m/>
    <m/>
    <m/>
    <m/>
    <n v="0"/>
    <n v="0"/>
  </r>
  <r>
    <x v="10"/>
    <x v="28"/>
    <s v="Amount to public sector students"/>
    <m/>
    <m/>
    <x v="12"/>
    <m/>
    <m/>
    <m/>
    <m/>
    <m/>
    <m/>
    <m/>
    <m/>
    <n v="0"/>
    <m/>
    <m/>
    <n v="0"/>
    <n v="0"/>
    <n v="0"/>
    <m/>
    <m/>
    <m/>
    <m/>
    <n v="0"/>
    <m/>
    <m/>
    <n v="0"/>
    <m/>
    <m/>
    <m/>
    <m/>
    <m/>
    <m/>
    <n v="0"/>
    <n v="0"/>
  </r>
  <r>
    <x v="10"/>
    <x v="29"/>
    <s v="Need-based"/>
    <m/>
    <m/>
    <x v="12"/>
    <m/>
    <m/>
    <m/>
    <m/>
    <m/>
    <m/>
    <m/>
    <m/>
    <n v="0"/>
    <m/>
    <m/>
    <n v="0"/>
    <n v="0"/>
    <n v="0"/>
    <m/>
    <m/>
    <m/>
    <m/>
    <n v="0"/>
    <m/>
    <m/>
    <n v="0"/>
    <m/>
    <m/>
    <m/>
    <m/>
    <m/>
    <m/>
    <n v="0"/>
    <n v="0"/>
  </r>
  <r>
    <x v="10"/>
    <x v="27"/>
    <s v="Non need-based"/>
    <m/>
    <m/>
    <x v="12"/>
    <m/>
    <m/>
    <m/>
    <m/>
    <m/>
    <m/>
    <m/>
    <m/>
    <n v="0"/>
    <m/>
    <m/>
    <n v="0"/>
    <n v="0"/>
    <n v="0"/>
    <m/>
    <m/>
    <m/>
    <m/>
    <n v="0"/>
    <m/>
    <m/>
    <n v="0"/>
    <m/>
    <m/>
    <m/>
    <m/>
    <m/>
    <m/>
    <n v="0"/>
    <n v="0"/>
  </r>
  <r>
    <x v="10"/>
    <x v="31"/>
    <s v="Amount to private sector students"/>
    <m/>
    <m/>
    <x v="12"/>
    <m/>
    <m/>
    <m/>
    <m/>
    <m/>
    <m/>
    <m/>
    <m/>
    <n v="0"/>
    <m/>
    <m/>
    <n v="0"/>
    <n v="0"/>
    <n v="0"/>
    <m/>
    <m/>
    <m/>
    <m/>
    <n v="0"/>
    <m/>
    <m/>
    <n v="0"/>
    <m/>
    <m/>
    <m/>
    <m/>
    <m/>
    <m/>
    <n v="0"/>
    <n v="0"/>
  </r>
  <r>
    <x v="10"/>
    <x v="32"/>
    <s v="Need-based"/>
    <m/>
    <m/>
    <x v="12"/>
    <m/>
    <m/>
    <m/>
    <m/>
    <m/>
    <m/>
    <m/>
    <m/>
    <n v="0"/>
    <m/>
    <m/>
    <n v="0"/>
    <n v="0"/>
    <n v="0"/>
    <m/>
    <m/>
    <m/>
    <m/>
    <n v="0"/>
    <m/>
    <m/>
    <n v="0"/>
    <m/>
    <m/>
    <m/>
    <m/>
    <m/>
    <m/>
    <n v="0"/>
    <n v="0"/>
  </r>
  <r>
    <x v="10"/>
    <x v="27"/>
    <s v="Non need-based"/>
    <m/>
    <m/>
    <x v="12"/>
    <m/>
    <m/>
    <m/>
    <m/>
    <m/>
    <m/>
    <m/>
    <m/>
    <n v="0"/>
    <m/>
    <m/>
    <n v="0"/>
    <n v="0"/>
    <n v="0"/>
    <m/>
    <m/>
    <m/>
    <m/>
    <n v="0"/>
    <m/>
    <m/>
    <n v="0"/>
    <m/>
    <m/>
    <m/>
    <m/>
    <m/>
    <m/>
    <n v="0"/>
    <n v="0"/>
  </r>
  <r>
    <x v="10"/>
    <x v="25"/>
    <s v="OTAG"/>
    <m/>
    <m/>
    <x v="12"/>
    <m/>
    <m/>
    <m/>
    <m/>
    <m/>
    <m/>
    <m/>
    <m/>
    <n v="0"/>
    <m/>
    <m/>
    <n v="0"/>
    <n v="0"/>
    <n v="0"/>
    <n v="19115722"/>
    <n v="19115722"/>
    <m/>
    <m/>
    <n v="0"/>
    <m/>
    <m/>
    <n v="0"/>
    <m/>
    <m/>
    <m/>
    <m/>
    <m/>
    <m/>
    <n v="19115722"/>
    <n v="19115722"/>
  </r>
  <r>
    <x v="10"/>
    <x v="26"/>
    <s v="Need-based"/>
    <m/>
    <m/>
    <x v="12"/>
    <m/>
    <m/>
    <m/>
    <m/>
    <m/>
    <m/>
    <m/>
    <m/>
    <n v="0"/>
    <m/>
    <m/>
    <n v="0"/>
    <n v="0"/>
    <n v="0"/>
    <m/>
    <m/>
    <m/>
    <m/>
    <n v="0"/>
    <m/>
    <m/>
    <n v="0"/>
    <m/>
    <m/>
    <m/>
    <m/>
    <m/>
    <m/>
    <n v="0"/>
    <n v="0"/>
  </r>
  <r>
    <x v="10"/>
    <x v="27"/>
    <s v="Non need-based"/>
    <m/>
    <m/>
    <x v="12"/>
    <m/>
    <m/>
    <m/>
    <m/>
    <m/>
    <m/>
    <m/>
    <m/>
    <n v="0"/>
    <m/>
    <m/>
    <n v="0"/>
    <n v="0"/>
    <n v="0"/>
    <m/>
    <m/>
    <m/>
    <m/>
    <n v="0"/>
    <m/>
    <m/>
    <n v="0"/>
    <m/>
    <m/>
    <m/>
    <m/>
    <m/>
    <m/>
    <n v="0"/>
    <n v="0"/>
  </r>
  <r>
    <x v="10"/>
    <x v="28"/>
    <s v="Amount to public sector students"/>
    <m/>
    <m/>
    <x v="12"/>
    <m/>
    <m/>
    <m/>
    <m/>
    <m/>
    <m/>
    <m/>
    <m/>
    <n v="0"/>
    <m/>
    <m/>
    <n v="0"/>
    <n v="0"/>
    <n v="0"/>
    <m/>
    <m/>
    <m/>
    <m/>
    <n v="0"/>
    <m/>
    <m/>
    <n v="0"/>
    <m/>
    <m/>
    <m/>
    <m/>
    <m/>
    <m/>
    <n v="0"/>
    <n v="0"/>
  </r>
  <r>
    <x v="10"/>
    <x v="29"/>
    <s v="Need-based"/>
    <m/>
    <m/>
    <x v="12"/>
    <m/>
    <m/>
    <m/>
    <m/>
    <m/>
    <m/>
    <m/>
    <m/>
    <n v="0"/>
    <m/>
    <m/>
    <n v="0"/>
    <n v="0"/>
    <n v="0"/>
    <m/>
    <m/>
    <m/>
    <m/>
    <n v="0"/>
    <m/>
    <m/>
    <n v="0"/>
    <m/>
    <m/>
    <m/>
    <m/>
    <m/>
    <m/>
    <n v="0"/>
    <n v="0"/>
  </r>
  <r>
    <x v="10"/>
    <x v="27"/>
    <s v="Non need-based"/>
    <m/>
    <m/>
    <x v="12"/>
    <m/>
    <m/>
    <m/>
    <m/>
    <m/>
    <m/>
    <m/>
    <m/>
    <n v="0"/>
    <m/>
    <m/>
    <n v="0"/>
    <n v="0"/>
    <n v="0"/>
    <m/>
    <m/>
    <m/>
    <m/>
    <n v="0"/>
    <m/>
    <m/>
    <n v="0"/>
    <m/>
    <m/>
    <m/>
    <m/>
    <m/>
    <m/>
    <n v="0"/>
    <n v="0"/>
  </r>
  <r>
    <x v="10"/>
    <x v="31"/>
    <s v="Amount to private sector students"/>
    <m/>
    <m/>
    <x v="12"/>
    <m/>
    <m/>
    <m/>
    <m/>
    <m/>
    <m/>
    <m/>
    <m/>
    <n v="0"/>
    <m/>
    <m/>
    <n v="0"/>
    <n v="0"/>
    <n v="0"/>
    <m/>
    <m/>
    <m/>
    <m/>
    <n v="0"/>
    <m/>
    <m/>
    <n v="0"/>
    <m/>
    <m/>
    <m/>
    <m/>
    <m/>
    <m/>
    <n v="0"/>
    <n v="0"/>
  </r>
  <r>
    <x v="10"/>
    <x v="32"/>
    <s v="Need-based"/>
    <m/>
    <m/>
    <x v="12"/>
    <m/>
    <m/>
    <m/>
    <m/>
    <m/>
    <m/>
    <m/>
    <m/>
    <n v="0"/>
    <m/>
    <m/>
    <n v="0"/>
    <n v="0"/>
    <n v="0"/>
    <m/>
    <m/>
    <m/>
    <m/>
    <n v="0"/>
    <m/>
    <m/>
    <n v="0"/>
    <m/>
    <m/>
    <m/>
    <m/>
    <m/>
    <m/>
    <n v="0"/>
    <n v="0"/>
  </r>
  <r>
    <x v="10"/>
    <x v="27"/>
    <s v="Non need-based"/>
    <m/>
    <m/>
    <x v="12"/>
    <m/>
    <m/>
    <m/>
    <m/>
    <m/>
    <m/>
    <m/>
    <m/>
    <n v="0"/>
    <m/>
    <m/>
    <n v="0"/>
    <n v="0"/>
    <n v="0"/>
    <m/>
    <m/>
    <m/>
    <m/>
    <n v="0"/>
    <m/>
    <m/>
    <n v="0"/>
    <m/>
    <m/>
    <m/>
    <m/>
    <m/>
    <m/>
    <n v="0"/>
    <n v="0"/>
  </r>
  <r>
    <x v="10"/>
    <x v="34"/>
    <s v="Limited to public college students only"/>
    <m/>
    <m/>
    <x v="12"/>
    <m/>
    <m/>
    <m/>
    <m/>
    <m/>
    <m/>
    <m/>
    <m/>
    <n v="0"/>
    <m/>
    <m/>
    <n v="0"/>
    <n v="0"/>
    <n v="0"/>
    <m/>
    <m/>
    <m/>
    <m/>
    <n v="0"/>
    <m/>
    <m/>
    <n v="0"/>
    <m/>
    <m/>
    <m/>
    <m/>
    <m/>
    <m/>
    <n v="0"/>
    <n v="0"/>
  </r>
  <r>
    <x v="10"/>
    <x v="35"/>
    <s v="Need-based"/>
    <m/>
    <m/>
    <x v="12"/>
    <m/>
    <m/>
    <m/>
    <m/>
    <m/>
    <m/>
    <m/>
    <m/>
    <n v="0"/>
    <m/>
    <m/>
    <n v="0"/>
    <n v="0"/>
    <n v="0"/>
    <m/>
    <m/>
    <m/>
    <m/>
    <n v="0"/>
    <m/>
    <m/>
    <n v="0"/>
    <m/>
    <m/>
    <m/>
    <m/>
    <m/>
    <m/>
    <n v="0"/>
    <n v="0"/>
  </r>
  <r>
    <x v="10"/>
    <x v="36"/>
    <s v="Non need-based"/>
    <m/>
    <m/>
    <x v="12"/>
    <m/>
    <m/>
    <m/>
    <m/>
    <m/>
    <m/>
    <m/>
    <m/>
    <n v="0"/>
    <m/>
    <m/>
    <n v="0"/>
    <n v="0"/>
    <n v="0"/>
    <m/>
    <m/>
    <m/>
    <m/>
    <n v="0"/>
    <m/>
    <m/>
    <n v="0"/>
    <m/>
    <m/>
    <m/>
    <m/>
    <m/>
    <m/>
    <n v="0"/>
    <n v="0"/>
  </r>
  <r>
    <x v="10"/>
    <x v="37"/>
    <s v="Limited to private college students only"/>
    <m/>
    <m/>
    <x v="12"/>
    <m/>
    <m/>
    <m/>
    <m/>
    <m/>
    <m/>
    <m/>
    <m/>
    <n v="0"/>
    <m/>
    <m/>
    <n v="0"/>
    <n v="0"/>
    <n v="0"/>
    <m/>
    <m/>
    <m/>
    <m/>
    <n v="0"/>
    <m/>
    <m/>
    <n v="0"/>
    <m/>
    <m/>
    <m/>
    <m/>
    <m/>
    <m/>
    <n v="0"/>
    <n v="0"/>
  </r>
  <r>
    <x v="10"/>
    <x v="37"/>
    <s v="OTEG"/>
    <m/>
    <m/>
    <x v="12"/>
    <m/>
    <m/>
    <m/>
    <m/>
    <m/>
    <m/>
    <m/>
    <m/>
    <n v="0"/>
    <m/>
    <m/>
    <n v="0"/>
    <n v="0"/>
    <n v="0"/>
    <n v="3406848"/>
    <n v="3406848"/>
    <m/>
    <m/>
    <n v="0"/>
    <m/>
    <m/>
    <n v="0"/>
    <m/>
    <m/>
    <m/>
    <m/>
    <m/>
    <m/>
    <n v="3406848"/>
    <n v="3406848"/>
  </r>
  <r>
    <x v="10"/>
    <x v="38"/>
    <s v="Need-based"/>
    <m/>
    <m/>
    <x v="12"/>
    <m/>
    <m/>
    <m/>
    <m/>
    <m/>
    <m/>
    <m/>
    <m/>
    <n v="0"/>
    <m/>
    <m/>
    <n v="0"/>
    <n v="0"/>
    <n v="0"/>
    <m/>
    <m/>
    <m/>
    <m/>
    <n v="0"/>
    <m/>
    <m/>
    <n v="0"/>
    <m/>
    <m/>
    <m/>
    <m/>
    <m/>
    <m/>
    <n v="0"/>
    <n v="0"/>
  </r>
  <r>
    <x v="10"/>
    <x v="39"/>
    <s v="Non need-based"/>
    <m/>
    <m/>
    <x v="12"/>
    <m/>
    <m/>
    <m/>
    <m/>
    <m/>
    <m/>
    <m/>
    <m/>
    <n v="0"/>
    <m/>
    <m/>
    <n v="0"/>
    <n v="0"/>
    <n v="0"/>
    <m/>
    <m/>
    <m/>
    <m/>
    <n v="0"/>
    <m/>
    <m/>
    <n v="0"/>
    <m/>
    <m/>
    <m/>
    <m/>
    <m/>
    <m/>
    <n v="0"/>
    <n v="0"/>
  </r>
  <r>
    <x v="10"/>
    <x v="0"/>
    <s v="Canadian Valley Technology Center                 "/>
    <m/>
    <n v="365374"/>
    <x v="9"/>
    <n v="4156502"/>
    <n v="4347856"/>
    <m/>
    <m/>
    <m/>
    <m/>
    <n v="1283331"/>
    <m/>
    <n v="1283331"/>
    <n v="991436"/>
    <m/>
    <n v="991436"/>
    <n v="5439833"/>
    <n v="5339292"/>
    <m/>
    <m/>
    <m/>
    <m/>
    <n v="0"/>
    <m/>
    <m/>
    <n v="0"/>
    <m/>
    <m/>
    <m/>
    <m/>
    <m/>
    <m/>
    <n v="5439833"/>
    <n v="5339292"/>
  </r>
  <r>
    <x v="10"/>
    <x v="0"/>
    <s v="Francis Tuttle Technology Center                  "/>
    <m/>
    <n v="245999"/>
    <x v="9"/>
    <n v="4735883"/>
    <n v="4428261"/>
    <m/>
    <m/>
    <m/>
    <m/>
    <n v="2507071"/>
    <m/>
    <n v="2507071"/>
    <n v="2455235"/>
    <m/>
    <n v="2455235"/>
    <n v="7242954"/>
    <n v="6883496"/>
    <m/>
    <m/>
    <m/>
    <m/>
    <n v="0"/>
    <m/>
    <m/>
    <n v="0"/>
    <m/>
    <m/>
    <m/>
    <m/>
    <m/>
    <m/>
    <n v="7242954"/>
    <n v="6883496"/>
  </r>
  <r>
    <x v="10"/>
    <x v="0"/>
    <s v="Metro Technology Centers                          "/>
    <m/>
    <n v="363165"/>
    <x v="9"/>
    <n v="5388476"/>
    <n v="5154631"/>
    <m/>
    <m/>
    <m/>
    <m/>
    <n v="2796736"/>
    <m/>
    <n v="2796736"/>
    <n v="1741551"/>
    <m/>
    <n v="1741551"/>
    <n v="8185212"/>
    <n v="6896182"/>
    <m/>
    <m/>
    <m/>
    <m/>
    <n v="0"/>
    <m/>
    <m/>
    <n v="0"/>
    <m/>
    <m/>
    <m/>
    <m/>
    <m/>
    <m/>
    <n v="8185212"/>
    <n v="6896182"/>
  </r>
  <r>
    <x v="10"/>
    <x v="0"/>
    <s v="Autry Technology Center                           "/>
    <m/>
    <n v="365213"/>
    <x v="10"/>
    <n v="3848333"/>
    <n v="3832632"/>
    <m/>
    <m/>
    <m/>
    <m/>
    <n v="995271"/>
    <m/>
    <n v="995271"/>
    <n v="953042"/>
    <m/>
    <n v="953042"/>
    <n v="4843604"/>
    <n v="4785674"/>
    <m/>
    <m/>
    <m/>
    <m/>
    <n v="0"/>
    <m/>
    <m/>
    <n v="0"/>
    <m/>
    <m/>
    <m/>
    <m/>
    <m/>
    <m/>
    <n v="4843604"/>
    <n v="4785674"/>
  </r>
  <r>
    <x v="10"/>
    <x v="0"/>
    <s v="Caddo Kiowa Technology Center                     "/>
    <m/>
    <n v="364946"/>
    <x v="10"/>
    <n v="4820629"/>
    <n v="4674634"/>
    <m/>
    <m/>
    <m/>
    <m/>
    <n v="764783"/>
    <m/>
    <n v="764783"/>
    <n v="850892"/>
    <m/>
    <n v="850892"/>
    <n v="5585412"/>
    <n v="5525526"/>
    <m/>
    <m/>
    <m/>
    <m/>
    <n v="0"/>
    <m/>
    <m/>
    <n v="0"/>
    <m/>
    <m/>
    <m/>
    <m/>
    <m/>
    <m/>
    <n v="5585412"/>
    <n v="5525526"/>
  </r>
  <r>
    <x v="10"/>
    <x v="0"/>
    <s v="Central Technology Center                         "/>
    <m/>
    <n v="246017"/>
    <x v="10"/>
    <n v="5804300"/>
    <n v="5797180"/>
    <m/>
    <m/>
    <m/>
    <m/>
    <n v="1683253"/>
    <m/>
    <n v="1683253"/>
    <n v="1659202"/>
    <m/>
    <n v="1659202"/>
    <n v="7487553"/>
    <n v="7456382"/>
    <m/>
    <m/>
    <m/>
    <m/>
    <n v="0"/>
    <m/>
    <m/>
    <n v="0"/>
    <m/>
    <m/>
    <m/>
    <m/>
    <m/>
    <m/>
    <n v="7487553"/>
    <n v="7456382"/>
  </r>
  <r>
    <x v="10"/>
    <x v="0"/>
    <s v="Chisholm Trail Technology Center                  "/>
    <m/>
    <n v="375656"/>
    <x v="10"/>
    <n v="1285144"/>
    <n v="1357976"/>
    <m/>
    <m/>
    <m/>
    <m/>
    <n v="65500"/>
    <m/>
    <n v="65500"/>
    <n v="298073"/>
    <m/>
    <n v="298073"/>
    <n v="1350644"/>
    <n v="1656049"/>
    <m/>
    <m/>
    <m/>
    <m/>
    <n v="0"/>
    <m/>
    <m/>
    <n v="0"/>
    <m/>
    <m/>
    <m/>
    <m/>
    <m/>
    <m/>
    <n v="1350644"/>
    <n v="1656049"/>
  </r>
  <r>
    <x v="10"/>
    <x v="0"/>
    <s v="Eastern Oklahoma County Technology Center         "/>
    <m/>
    <n v="418348"/>
    <x v="10"/>
    <n v="2172107"/>
    <n v="1972465"/>
    <m/>
    <m/>
    <m/>
    <m/>
    <n v="336043"/>
    <m/>
    <n v="336043"/>
    <n v="314467"/>
    <m/>
    <n v="314467"/>
    <n v="2508150"/>
    <n v="2286932"/>
    <m/>
    <m/>
    <m/>
    <m/>
    <n v="0"/>
    <m/>
    <m/>
    <n v="0"/>
    <m/>
    <m/>
    <m/>
    <m/>
    <m/>
    <m/>
    <n v="2508150"/>
    <n v="2286932"/>
  </r>
  <r>
    <x v="10"/>
    <x v="0"/>
    <s v="Gordon Cooper Technology Center                   "/>
    <m/>
    <n v="375683"/>
    <x v="10"/>
    <n v="3606109"/>
    <n v="3792370"/>
    <m/>
    <m/>
    <m/>
    <m/>
    <n v="689083"/>
    <m/>
    <n v="689083"/>
    <n v="620230"/>
    <m/>
    <n v="620230"/>
    <n v="4295192"/>
    <n v="4412600"/>
    <m/>
    <m/>
    <m/>
    <m/>
    <n v="0"/>
    <m/>
    <m/>
    <n v="0"/>
    <m/>
    <m/>
    <m/>
    <m/>
    <m/>
    <m/>
    <n v="4295192"/>
    <n v="4412600"/>
  </r>
  <r>
    <x v="10"/>
    <x v="0"/>
    <s v="Great Plains Technology Center                    "/>
    <m/>
    <n v="364548"/>
    <x v="10"/>
    <n v="6569877"/>
    <n v="6475133"/>
    <m/>
    <m/>
    <m/>
    <m/>
    <n v="1806891"/>
    <m/>
    <n v="1806891"/>
    <n v="1753061"/>
    <m/>
    <n v="1753061"/>
    <n v="8376768"/>
    <n v="8228194"/>
    <m/>
    <m/>
    <m/>
    <m/>
    <n v="0"/>
    <m/>
    <m/>
    <n v="0"/>
    <m/>
    <m/>
    <m/>
    <m/>
    <m/>
    <m/>
    <n v="8376768"/>
    <n v="8228194"/>
  </r>
  <r>
    <x v="10"/>
    <x v="0"/>
    <s v="Green Country Technology Center                   "/>
    <m/>
    <n v="428019"/>
    <x v="10"/>
    <n v="1345953"/>
    <n v="1560110"/>
    <m/>
    <m/>
    <m/>
    <m/>
    <n v="260882"/>
    <m/>
    <n v="260882"/>
    <n v="310640"/>
    <m/>
    <n v="310640"/>
    <n v="1606835"/>
    <n v="1870750"/>
    <m/>
    <m/>
    <m/>
    <m/>
    <n v="0"/>
    <m/>
    <m/>
    <n v="0"/>
    <m/>
    <m/>
    <m/>
    <m/>
    <m/>
    <m/>
    <n v="1606835"/>
    <n v="1870750"/>
  </r>
  <r>
    <x v="10"/>
    <x v="0"/>
    <s v="High Plains Technology Center                     "/>
    <m/>
    <n v="208053"/>
    <x v="10"/>
    <n v="1940409"/>
    <n v="1900769"/>
    <m/>
    <m/>
    <m/>
    <m/>
    <n v="222096"/>
    <m/>
    <n v="222096"/>
    <n v="298208"/>
    <m/>
    <n v="298208"/>
    <n v="2162505"/>
    <n v="2198977"/>
    <m/>
    <m/>
    <m/>
    <m/>
    <n v="0"/>
    <m/>
    <m/>
    <n v="0"/>
    <m/>
    <m/>
    <m/>
    <m/>
    <m/>
    <m/>
    <n v="2162505"/>
    <n v="2198977"/>
  </r>
  <r>
    <x v="10"/>
    <x v="0"/>
    <s v="Indian Capital Technology Center-Muskogee         "/>
    <m/>
    <n v="418296"/>
    <x v="10"/>
    <m/>
    <m/>
    <m/>
    <m/>
    <m/>
    <m/>
    <m/>
    <m/>
    <n v="0"/>
    <m/>
    <m/>
    <n v="0"/>
    <n v="0"/>
    <n v="0"/>
    <m/>
    <m/>
    <m/>
    <m/>
    <n v="0"/>
    <m/>
    <m/>
    <n v="0"/>
    <m/>
    <m/>
    <m/>
    <m/>
    <m/>
    <m/>
    <n v="0"/>
    <n v="0"/>
  </r>
  <r>
    <x v="10"/>
    <x v="0"/>
    <s v="Indian Capital Technology Center-Sallisaw         "/>
    <m/>
    <n v="421540"/>
    <x v="10"/>
    <m/>
    <m/>
    <m/>
    <m/>
    <m/>
    <m/>
    <m/>
    <m/>
    <n v="0"/>
    <m/>
    <m/>
    <n v="0"/>
    <n v="0"/>
    <n v="0"/>
    <m/>
    <m/>
    <m/>
    <m/>
    <n v="0"/>
    <m/>
    <m/>
    <n v="0"/>
    <m/>
    <m/>
    <m/>
    <m/>
    <m/>
    <m/>
    <n v="0"/>
    <n v="0"/>
  </r>
  <r>
    <x v="10"/>
    <x v="0"/>
    <s v="Indian Capital Technology Center-Stilwell         "/>
    <m/>
    <n v="421559"/>
    <x v="10"/>
    <m/>
    <m/>
    <m/>
    <m/>
    <m/>
    <m/>
    <m/>
    <m/>
    <n v="0"/>
    <m/>
    <m/>
    <n v="0"/>
    <n v="0"/>
    <n v="0"/>
    <m/>
    <m/>
    <m/>
    <m/>
    <n v="0"/>
    <m/>
    <m/>
    <n v="0"/>
    <m/>
    <m/>
    <m/>
    <m/>
    <m/>
    <m/>
    <n v="0"/>
    <n v="0"/>
  </r>
  <r>
    <x v="10"/>
    <x v="0"/>
    <s v="Indian Capital Technology Center-Tahlequah        "/>
    <m/>
    <n v="208026"/>
    <x v="10"/>
    <m/>
    <m/>
    <m/>
    <m/>
    <m/>
    <m/>
    <m/>
    <m/>
    <n v="0"/>
    <m/>
    <m/>
    <n v="0"/>
    <n v="0"/>
    <n v="0"/>
    <m/>
    <m/>
    <m/>
    <m/>
    <n v="0"/>
    <m/>
    <m/>
    <n v="0"/>
    <m/>
    <m/>
    <m/>
    <m/>
    <m/>
    <m/>
    <n v="0"/>
    <n v="0"/>
  </r>
  <r>
    <x v="10"/>
    <x v="0"/>
    <s v="Kiamichi Technology Center-Atoka                  "/>
    <m/>
    <n v="375692"/>
    <x v="10"/>
    <m/>
    <m/>
    <m/>
    <m/>
    <m/>
    <m/>
    <m/>
    <m/>
    <n v="0"/>
    <m/>
    <m/>
    <n v="0"/>
    <n v="0"/>
    <n v="0"/>
    <m/>
    <m/>
    <m/>
    <m/>
    <n v="0"/>
    <m/>
    <m/>
    <n v="0"/>
    <m/>
    <m/>
    <m/>
    <m/>
    <m/>
    <m/>
    <n v="0"/>
    <n v="0"/>
  </r>
  <r>
    <x v="10"/>
    <x v="0"/>
    <s v="Kiamichi Technology Center-Durant                 "/>
    <m/>
    <n v="375708"/>
    <x v="10"/>
    <m/>
    <m/>
    <m/>
    <m/>
    <m/>
    <m/>
    <m/>
    <m/>
    <n v="0"/>
    <m/>
    <m/>
    <n v="0"/>
    <n v="0"/>
    <n v="0"/>
    <m/>
    <m/>
    <m/>
    <m/>
    <n v="0"/>
    <m/>
    <m/>
    <n v="0"/>
    <m/>
    <m/>
    <m/>
    <m/>
    <m/>
    <m/>
    <n v="0"/>
    <n v="0"/>
  </r>
  <r>
    <x v="10"/>
    <x v="0"/>
    <s v="Kiamichi Technology Center-Hugo                   "/>
    <m/>
    <n v="375717"/>
    <x v="10"/>
    <m/>
    <m/>
    <m/>
    <m/>
    <m/>
    <m/>
    <m/>
    <m/>
    <n v="0"/>
    <m/>
    <m/>
    <n v="0"/>
    <n v="0"/>
    <n v="0"/>
    <m/>
    <m/>
    <m/>
    <m/>
    <n v="0"/>
    <m/>
    <m/>
    <n v="0"/>
    <m/>
    <m/>
    <m/>
    <m/>
    <m/>
    <m/>
    <n v="0"/>
    <n v="0"/>
  </r>
  <r>
    <x v="10"/>
    <x v="0"/>
    <s v="Kiamichi Technology Center-Idabel                 "/>
    <m/>
    <n v="375735"/>
    <x v="10"/>
    <m/>
    <m/>
    <m/>
    <m/>
    <m/>
    <m/>
    <m/>
    <m/>
    <n v="0"/>
    <m/>
    <m/>
    <n v="0"/>
    <n v="0"/>
    <n v="0"/>
    <m/>
    <m/>
    <m/>
    <m/>
    <n v="0"/>
    <m/>
    <m/>
    <n v="0"/>
    <m/>
    <m/>
    <m/>
    <m/>
    <m/>
    <m/>
    <n v="0"/>
    <n v="0"/>
  </r>
  <r>
    <x v="10"/>
    <x v="0"/>
    <s v="Kiamichi Technology Center-McAlester              "/>
    <m/>
    <n v="375726"/>
    <x v="10"/>
    <m/>
    <m/>
    <m/>
    <m/>
    <m/>
    <m/>
    <m/>
    <m/>
    <n v="0"/>
    <m/>
    <m/>
    <n v="0"/>
    <n v="0"/>
    <n v="0"/>
    <m/>
    <m/>
    <m/>
    <m/>
    <n v="0"/>
    <m/>
    <m/>
    <n v="0"/>
    <m/>
    <m/>
    <m/>
    <m/>
    <m/>
    <m/>
    <n v="0"/>
    <n v="0"/>
  </r>
  <r>
    <x v="10"/>
    <x v="0"/>
    <s v="Kiamichi Technology Center-Poteau                 "/>
    <m/>
    <n v="375744"/>
    <x v="10"/>
    <m/>
    <m/>
    <m/>
    <m/>
    <m/>
    <m/>
    <m/>
    <m/>
    <n v="0"/>
    <m/>
    <m/>
    <n v="0"/>
    <n v="0"/>
    <n v="0"/>
    <m/>
    <m/>
    <m/>
    <m/>
    <n v="0"/>
    <m/>
    <m/>
    <n v="0"/>
    <m/>
    <m/>
    <m/>
    <m/>
    <m/>
    <m/>
    <n v="0"/>
    <n v="0"/>
  </r>
  <r>
    <x v="10"/>
    <x v="0"/>
    <s v="Kiamichi Technology Center-Spiro                  "/>
    <m/>
    <n v="375753"/>
    <x v="10"/>
    <m/>
    <m/>
    <m/>
    <m/>
    <m/>
    <m/>
    <m/>
    <m/>
    <n v="0"/>
    <m/>
    <m/>
    <n v="0"/>
    <n v="0"/>
    <n v="0"/>
    <m/>
    <m/>
    <m/>
    <m/>
    <n v="0"/>
    <m/>
    <m/>
    <n v="0"/>
    <m/>
    <m/>
    <m/>
    <m/>
    <m/>
    <m/>
    <n v="0"/>
    <n v="0"/>
  </r>
  <r>
    <x v="10"/>
    <x v="0"/>
    <s v="Kiamichi Technology Center-Stigler                "/>
    <m/>
    <n v="405748"/>
    <x v="10"/>
    <m/>
    <m/>
    <m/>
    <m/>
    <m/>
    <m/>
    <m/>
    <m/>
    <n v="0"/>
    <m/>
    <m/>
    <n v="0"/>
    <n v="0"/>
    <n v="0"/>
    <m/>
    <m/>
    <m/>
    <m/>
    <n v="0"/>
    <m/>
    <m/>
    <n v="0"/>
    <m/>
    <m/>
    <m/>
    <m/>
    <m/>
    <m/>
    <n v="0"/>
    <n v="0"/>
  </r>
  <r>
    <x v="10"/>
    <x v="0"/>
    <s v="Kiamichi Technology Center-Talihina               "/>
    <m/>
    <n v="375762"/>
    <x v="10"/>
    <m/>
    <m/>
    <m/>
    <m/>
    <m/>
    <m/>
    <m/>
    <m/>
    <n v="0"/>
    <m/>
    <m/>
    <n v="0"/>
    <n v="0"/>
    <n v="0"/>
    <m/>
    <m/>
    <m/>
    <m/>
    <n v="0"/>
    <m/>
    <m/>
    <n v="0"/>
    <m/>
    <m/>
    <m/>
    <m/>
    <m/>
    <m/>
    <n v="0"/>
    <n v="0"/>
  </r>
  <r>
    <x v="10"/>
    <x v="0"/>
    <s v="Meridian Technology Center                        "/>
    <m/>
    <n v="365480"/>
    <x v="10"/>
    <n v="3364961"/>
    <n v="3411804"/>
    <m/>
    <m/>
    <m/>
    <m/>
    <n v="950425"/>
    <m/>
    <n v="950425"/>
    <n v="834215"/>
    <m/>
    <n v="834215"/>
    <n v="4315386"/>
    <n v="4246019"/>
    <m/>
    <m/>
    <m/>
    <m/>
    <n v="0"/>
    <m/>
    <m/>
    <n v="0"/>
    <m/>
    <m/>
    <m/>
    <m/>
    <m/>
    <m/>
    <n v="4315386"/>
    <n v="4246019"/>
  </r>
  <r>
    <x v="10"/>
    <x v="0"/>
    <s v="Mid-America Technology Center                     "/>
    <m/>
    <n v="418320"/>
    <x v="10"/>
    <n v="2748703"/>
    <n v="2743533"/>
    <m/>
    <m/>
    <m/>
    <m/>
    <n v="639935"/>
    <m/>
    <n v="639935"/>
    <n v="555120"/>
    <m/>
    <n v="555120"/>
    <n v="3388638"/>
    <n v="3298653"/>
    <m/>
    <m/>
    <m/>
    <m/>
    <n v="0"/>
    <m/>
    <m/>
    <n v="0"/>
    <m/>
    <m/>
    <m/>
    <m/>
    <m/>
    <m/>
    <n v="3388638"/>
    <n v="3298653"/>
  </r>
  <r>
    <x v="10"/>
    <x v="0"/>
    <s v="Mid-Del Technology Center                         "/>
    <m/>
    <n v="431017"/>
    <x v="10"/>
    <n v="2029860"/>
    <n v="1995116"/>
    <m/>
    <m/>
    <m/>
    <m/>
    <n v="24893"/>
    <m/>
    <n v="24893"/>
    <n v="68211"/>
    <m/>
    <n v="68211"/>
    <n v="2054753"/>
    <n v="2063327"/>
    <m/>
    <m/>
    <m/>
    <m/>
    <n v="0"/>
    <m/>
    <m/>
    <n v="0"/>
    <m/>
    <m/>
    <m/>
    <m/>
    <m/>
    <m/>
    <n v="2054753"/>
    <n v="2063327"/>
  </r>
  <r>
    <x v="10"/>
    <x v="0"/>
    <s v="Moore Norman Technology Center                    "/>
    <m/>
    <n v="248606"/>
    <x v="10"/>
    <n v="3299846"/>
    <n v="3458751"/>
    <m/>
    <m/>
    <m/>
    <m/>
    <n v="1832723"/>
    <m/>
    <n v="1832723"/>
    <n v="1729409"/>
    <m/>
    <n v="1729409"/>
    <n v="5132569"/>
    <n v="5188160"/>
    <m/>
    <m/>
    <m/>
    <m/>
    <n v="0"/>
    <m/>
    <m/>
    <n v="0"/>
    <m/>
    <m/>
    <m/>
    <m/>
    <m/>
    <m/>
    <n v="5132569"/>
    <n v="5188160"/>
  </r>
  <r>
    <x v="10"/>
    <x v="0"/>
    <s v="Northeast Technology Center-Afton                 "/>
    <m/>
    <n v="420459"/>
    <x v="10"/>
    <m/>
    <m/>
    <m/>
    <m/>
    <m/>
    <m/>
    <m/>
    <m/>
    <n v="0"/>
    <m/>
    <m/>
    <n v="0"/>
    <n v="0"/>
    <n v="0"/>
    <m/>
    <m/>
    <m/>
    <m/>
    <n v="0"/>
    <m/>
    <m/>
    <n v="0"/>
    <m/>
    <m/>
    <m/>
    <m/>
    <m/>
    <m/>
    <n v="0"/>
    <n v="0"/>
  </r>
  <r>
    <x v="10"/>
    <x v="0"/>
    <s v="Northeast Technology Center-Claremore"/>
    <m/>
    <n v="456560"/>
    <x v="10"/>
    <m/>
    <m/>
    <m/>
    <m/>
    <m/>
    <m/>
    <m/>
    <m/>
    <n v="0"/>
    <m/>
    <m/>
    <n v="0"/>
    <n v="0"/>
    <n v="0"/>
    <m/>
    <m/>
    <m/>
    <m/>
    <n v="0"/>
    <m/>
    <m/>
    <n v="0"/>
    <m/>
    <m/>
    <m/>
    <m/>
    <m/>
    <m/>
    <n v="0"/>
    <n v="0"/>
  </r>
  <r>
    <x v="10"/>
    <x v="0"/>
    <s v="Northeast Technology Center-Kansas                "/>
    <m/>
    <n v="432074"/>
    <x v="10"/>
    <m/>
    <m/>
    <m/>
    <m/>
    <m/>
    <m/>
    <m/>
    <m/>
    <n v="0"/>
    <m/>
    <m/>
    <n v="0"/>
    <n v="0"/>
    <n v="0"/>
    <m/>
    <m/>
    <m/>
    <m/>
    <n v="0"/>
    <m/>
    <m/>
    <n v="0"/>
    <m/>
    <m/>
    <m/>
    <m/>
    <m/>
    <m/>
    <n v="0"/>
    <n v="0"/>
  </r>
  <r>
    <x v="10"/>
    <x v="0"/>
    <s v="Northeast Technology Center-Pryor                 "/>
    <m/>
    <n v="418339"/>
    <x v="10"/>
    <m/>
    <m/>
    <m/>
    <m/>
    <m/>
    <m/>
    <m/>
    <m/>
    <n v="0"/>
    <m/>
    <m/>
    <n v="0"/>
    <n v="0"/>
    <n v="0"/>
    <m/>
    <m/>
    <m/>
    <m/>
    <n v="0"/>
    <m/>
    <m/>
    <n v="0"/>
    <m/>
    <m/>
    <m/>
    <m/>
    <m/>
    <m/>
    <n v="0"/>
    <n v="0"/>
  </r>
  <r>
    <x v="10"/>
    <x v="0"/>
    <s v="Northwest Technology Center-Alva                  "/>
    <m/>
    <n v="366623"/>
    <x v="10"/>
    <m/>
    <m/>
    <m/>
    <m/>
    <m/>
    <m/>
    <m/>
    <m/>
    <n v="0"/>
    <m/>
    <m/>
    <n v="0"/>
    <n v="0"/>
    <n v="0"/>
    <m/>
    <m/>
    <m/>
    <m/>
    <n v="0"/>
    <m/>
    <m/>
    <n v="0"/>
    <m/>
    <m/>
    <m/>
    <m/>
    <m/>
    <m/>
    <n v="0"/>
    <n v="0"/>
  </r>
  <r>
    <x v="10"/>
    <x v="0"/>
    <s v="Northwest Technology Center-Fairview              "/>
    <m/>
    <n v="407601"/>
    <x v="10"/>
    <m/>
    <m/>
    <m/>
    <m/>
    <m/>
    <m/>
    <m/>
    <m/>
    <n v="0"/>
    <m/>
    <m/>
    <n v="0"/>
    <n v="0"/>
    <n v="0"/>
    <m/>
    <m/>
    <m/>
    <m/>
    <n v="0"/>
    <m/>
    <m/>
    <n v="0"/>
    <m/>
    <m/>
    <m/>
    <m/>
    <m/>
    <m/>
    <n v="0"/>
    <n v="0"/>
  </r>
  <r>
    <x v="10"/>
    <x v="0"/>
    <s v="Pioneer Technology Center                         "/>
    <m/>
    <n v="364627"/>
    <x v="10"/>
    <n v="2309599"/>
    <n v="2459148"/>
    <m/>
    <m/>
    <m/>
    <m/>
    <n v="479821"/>
    <m/>
    <n v="479821"/>
    <n v="481702"/>
    <m/>
    <n v="481702"/>
    <n v="2789420"/>
    <n v="2940850"/>
    <m/>
    <m/>
    <m/>
    <m/>
    <n v="0"/>
    <m/>
    <m/>
    <n v="0"/>
    <m/>
    <m/>
    <m/>
    <m/>
    <m/>
    <m/>
    <n v="2789420"/>
    <n v="2940850"/>
  </r>
  <r>
    <x v="10"/>
    <x v="0"/>
    <s v="Pontotoc Technology Center                        "/>
    <m/>
    <n v="206905"/>
    <x v="10"/>
    <n v="1545317"/>
    <n v="1543151"/>
    <m/>
    <m/>
    <m/>
    <m/>
    <n v="507221"/>
    <m/>
    <n v="507221"/>
    <n v="446263"/>
    <m/>
    <n v="446263"/>
    <n v="2052538"/>
    <n v="1989414"/>
    <m/>
    <m/>
    <m/>
    <m/>
    <n v="0"/>
    <m/>
    <m/>
    <n v="0"/>
    <m/>
    <m/>
    <m/>
    <m/>
    <m/>
    <m/>
    <n v="2052538"/>
    <n v="1989414"/>
  </r>
  <r>
    <x v="10"/>
    <x v="0"/>
    <s v="Red River Technology Center                       "/>
    <m/>
    <n v="250993"/>
    <x v="10"/>
    <n v="2149555"/>
    <n v="2217083"/>
    <m/>
    <m/>
    <m/>
    <m/>
    <n v="274191"/>
    <m/>
    <n v="274191"/>
    <n v="288296"/>
    <m/>
    <n v="288296"/>
    <n v="2423746"/>
    <n v="2505379"/>
    <m/>
    <m/>
    <m/>
    <m/>
    <n v="0"/>
    <m/>
    <m/>
    <n v="0"/>
    <m/>
    <m/>
    <m/>
    <m/>
    <m/>
    <m/>
    <n v="2423746"/>
    <n v="2505379"/>
  </r>
  <r>
    <x v="10"/>
    <x v="0"/>
    <s v="Southern Oklahoma Technology Center               "/>
    <m/>
    <n v="365198"/>
    <x v="10"/>
    <n v="2255104"/>
    <n v="2074397"/>
    <m/>
    <m/>
    <m/>
    <m/>
    <n v="408904"/>
    <m/>
    <n v="408904"/>
    <n v="438319"/>
    <m/>
    <n v="438319"/>
    <n v="2664008"/>
    <n v="2512716"/>
    <m/>
    <m/>
    <m/>
    <m/>
    <n v="0"/>
    <m/>
    <m/>
    <n v="0"/>
    <m/>
    <m/>
    <m/>
    <m/>
    <m/>
    <m/>
    <n v="2664008"/>
    <n v="2512716"/>
  </r>
  <r>
    <x v="10"/>
    <x v="0"/>
    <s v="Southwest Technology Center                       "/>
    <m/>
    <n v="368364"/>
    <x v="10"/>
    <n v="2224925"/>
    <n v="2239703"/>
    <m/>
    <m/>
    <m/>
    <m/>
    <n v="286347"/>
    <m/>
    <n v="286347"/>
    <n v="219024"/>
    <m/>
    <n v="219024"/>
    <n v="2511272"/>
    <n v="2458727"/>
    <m/>
    <m/>
    <m/>
    <m/>
    <n v="0"/>
    <m/>
    <m/>
    <n v="0"/>
    <m/>
    <m/>
    <m/>
    <m/>
    <m/>
    <m/>
    <n v="2511272"/>
    <n v="2458727"/>
  </r>
  <r>
    <x v="10"/>
    <x v="0"/>
    <s v="Tri County Technology Center                      "/>
    <m/>
    <n v="418287"/>
    <x v="10"/>
    <n v="2673982"/>
    <n v="2945357"/>
    <m/>
    <m/>
    <m/>
    <m/>
    <n v="749973"/>
    <m/>
    <n v="749973"/>
    <n v="745257"/>
    <m/>
    <n v="745257"/>
    <n v="3423955"/>
    <n v="3690614"/>
    <m/>
    <m/>
    <m/>
    <m/>
    <n v="0"/>
    <m/>
    <m/>
    <n v="0"/>
    <m/>
    <m/>
    <m/>
    <m/>
    <m/>
    <m/>
    <n v="3423955"/>
    <n v="3690614"/>
  </r>
  <r>
    <x v="10"/>
    <x v="0"/>
    <s v="Tulsa County Area Voc Tech School Dist 18-Peoria  "/>
    <m/>
    <n v="207607"/>
    <x v="10"/>
    <m/>
    <m/>
    <m/>
    <m/>
    <m/>
    <m/>
    <m/>
    <m/>
    <n v="0"/>
    <m/>
    <m/>
    <n v="0"/>
    <n v="0"/>
    <n v="0"/>
    <m/>
    <m/>
    <m/>
    <m/>
    <n v="0"/>
    <m/>
    <m/>
    <n v="0"/>
    <m/>
    <m/>
    <m/>
    <m/>
    <m/>
    <m/>
    <n v="0"/>
    <n v="0"/>
  </r>
  <r>
    <x v="10"/>
    <x v="0"/>
    <s v="Tulsa Technology Center-Broken Arrow Campus       "/>
    <s v="Met the criteria for Technical Institute or College 1 in 2013-14."/>
    <n v="261393"/>
    <x v="10"/>
    <m/>
    <m/>
    <m/>
    <m/>
    <m/>
    <m/>
    <m/>
    <m/>
    <n v="0"/>
    <m/>
    <m/>
    <n v="0"/>
    <n v="0"/>
    <n v="0"/>
    <m/>
    <m/>
    <m/>
    <m/>
    <n v="0"/>
    <m/>
    <m/>
    <n v="0"/>
    <m/>
    <m/>
    <m/>
    <m/>
    <m/>
    <m/>
    <n v="0"/>
    <n v="0"/>
  </r>
  <r>
    <x v="10"/>
    <x v="0"/>
    <s v="Tulsa Technology Center-Lemley Campus             "/>
    <s v="Met the criteria for Technical Institute or College 1 in 2013-14."/>
    <n v="261375"/>
    <x v="10"/>
    <m/>
    <m/>
    <m/>
    <m/>
    <m/>
    <m/>
    <m/>
    <m/>
    <n v="0"/>
    <m/>
    <m/>
    <n v="0"/>
    <n v="0"/>
    <n v="0"/>
    <m/>
    <m/>
    <m/>
    <m/>
    <n v="0"/>
    <m/>
    <m/>
    <n v="0"/>
    <m/>
    <m/>
    <m/>
    <m/>
    <m/>
    <m/>
    <n v="0"/>
    <n v="0"/>
  </r>
  <r>
    <x v="10"/>
    <x v="0"/>
    <s v="Tulsa Technology Center-Riverside Campus          "/>
    <m/>
    <n v="261384"/>
    <x v="10"/>
    <m/>
    <m/>
    <m/>
    <m/>
    <m/>
    <m/>
    <m/>
    <m/>
    <n v="0"/>
    <m/>
    <m/>
    <n v="0"/>
    <n v="0"/>
    <n v="0"/>
    <m/>
    <m/>
    <m/>
    <m/>
    <n v="0"/>
    <m/>
    <m/>
    <n v="0"/>
    <m/>
    <m/>
    <m/>
    <m/>
    <m/>
    <m/>
    <n v="0"/>
    <n v="0"/>
  </r>
  <r>
    <x v="10"/>
    <x v="0"/>
    <s v="Wes Watkins Technology Center                     "/>
    <m/>
    <n v="418357"/>
    <x v="10"/>
    <n v="2442523"/>
    <n v="2528012"/>
    <m/>
    <m/>
    <m/>
    <m/>
    <n v="160179"/>
    <m/>
    <n v="160179"/>
    <n v="94956"/>
    <m/>
    <n v="94956"/>
    <n v="2602702"/>
    <n v="2622968"/>
    <m/>
    <m/>
    <m/>
    <m/>
    <n v="0"/>
    <m/>
    <m/>
    <n v="0"/>
    <m/>
    <m/>
    <m/>
    <m/>
    <m/>
    <m/>
    <n v="2602702"/>
    <n v="2622968"/>
  </r>
  <r>
    <x v="10"/>
    <x v="0"/>
    <s v="Western Technology Center                         "/>
    <m/>
    <n v="418302"/>
    <x v="10"/>
    <n v="2453560"/>
    <n v="2421941"/>
    <m/>
    <m/>
    <m/>
    <m/>
    <n v="541743"/>
    <m/>
    <n v="541743"/>
    <n v="491475"/>
    <m/>
    <n v="491475"/>
    <n v="2995303"/>
    <n v="2913416"/>
    <m/>
    <m/>
    <m/>
    <m/>
    <n v="0"/>
    <m/>
    <m/>
    <n v="0"/>
    <m/>
    <m/>
    <m/>
    <m/>
    <m/>
    <m/>
    <n v="2995303"/>
    <n v="2913416"/>
  </r>
  <r>
    <x v="10"/>
    <x v="0"/>
    <s v="Indian Capital……..All Campuses"/>
    <m/>
    <m/>
    <x v="10"/>
    <n v="4534920"/>
    <n v="4264619"/>
    <m/>
    <m/>
    <m/>
    <m/>
    <n v="836901"/>
    <m/>
    <n v="836901"/>
    <n v="903803"/>
    <m/>
    <n v="903803"/>
    <n v="5371821"/>
    <n v="5168422"/>
    <m/>
    <m/>
    <m/>
    <m/>
    <n v="0"/>
    <m/>
    <m/>
    <n v="0"/>
    <m/>
    <m/>
    <m/>
    <m/>
    <m/>
    <m/>
    <n v="5371821"/>
    <n v="5168422"/>
  </r>
  <r>
    <x v="10"/>
    <x v="0"/>
    <s v="Kiamichi………All Campuses"/>
    <m/>
    <m/>
    <x v="10"/>
    <n v="7923241"/>
    <n v="8008580"/>
    <m/>
    <m/>
    <m/>
    <m/>
    <n v="1244898"/>
    <m/>
    <n v="1244898"/>
    <n v="1963465"/>
    <m/>
    <n v="1963465"/>
    <n v="9168139"/>
    <n v="9972045"/>
    <m/>
    <m/>
    <m/>
    <m/>
    <n v="0"/>
    <m/>
    <m/>
    <n v="0"/>
    <m/>
    <m/>
    <m/>
    <m/>
    <m/>
    <m/>
    <n v="9168139"/>
    <n v="9972045"/>
  </r>
  <r>
    <x v="10"/>
    <x v="0"/>
    <s v="Northeast………..All Campuses"/>
    <m/>
    <m/>
    <x v="10"/>
    <n v="2922446"/>
    <n v="2774005"/>
    <m/>
    <m/>
    <m/>
    <m/>
    <n v="773377"/>
    <m/>
    <n v="773377"/>
    <n v="734607"/>
    <m/>
    <n v="734607"/>
    <n v="3695823"/>
    <n v="3508612"/>
    <m/>
    <m/>
    <m/>
    <m/>
    <n v="0"/>
    <m/>
    <m/>
    <n v="0"/>
    <m/>
    <m/>
    <m/>
    <m/>
    <m/>
    <m/>
    <n v="3695823"/>
    <n v="3508612"/>
  </r>
  <r>
    <x v="10"/>
    <x v="0"/>
    <s v="Northwest………..All Campuses"/>
    <m/>
    <m/>
    <x v="10"/>
    <n v="1808112"/>
    <n v="1847089"/>
    <m/>
    <m/>
    <m/>
    <m/>
    <n v="241953"/>
    <m/>
    <n v="241953"/>
    <n v="287115"/>
    <m/>
    <n v="287115"/>
    <n v="2050065"/>
    <n v="2134204"/>
    <m/>
    <m/>
    <m/>
    <m/>
    <n v="0"/>
    <m/>
    <m/>
    <n v="0"/>
    <m/>
    <m/>
    <m/>
    <m/>
    <m/>
    <m/>
    <n v="2050065"/>
    <n v="2134204"/>
  </r>
  <r>
    <x v="10"/>
    <x v="0"/>
    <s v="Tulsa County Dist 18………..All Campuses"/>
    <m/>
    <m/>
    <x v="10"/>
    <n v="7267189"/>
    <n v="7216512"/>
    <m/>
    <m/>
    <m/>
    <m/>
    <n v="5161240"/>
    <m/>
    <n v="5161240"/>
    <n v="5412719"/>
    <m/>
    <n v="5412719"/>
    <n v="12428429"/>
    <n v="12629231"/>
    <m/>
    <m/>
    <m/>
    <m/>
    <n v="0"/>
    <m/>
    <m/>
    <n v="0"/>
    <m/>
    <m/>
    <m/>
    <m/>
    <m/>
    <m/>
    <n v="12428429"/>
    <n v="12629231"/>
  </r>
  <r>
    <x v="10"/>
    <x v="14"/>
    <s v="Statewide System Operations"/>
    <m/>
    <m/>
    <x v="12"/>
    <m/>
    <m/>
    <m/>
    <m/>
    <m/>
    <m/>
    <m/>
    <m/>
    <n v="0"/>
    <m/>
    <m/>
    <n v="0"/>
    <n v="0"/>
    <n v="0"/>
    <m/>
    <m/>
    <m/>
    <m/>
    <n v="0"/>
    <m/>
    <m/>
    <n v="0"/>
    <m/>
    <m/>
    <m/>
    <m/>
    <m/>
    <m/>
    <n v="0"/>
    <n v="0"/>
  </r>
  <r>
    <x v="10"/>
    <x v="16"/>
    <s v="Two-year system(s), if any"/>
    <m/>
    <m/>
    <x v="12"/>
    <m/>
    <m/>
    <m/>
    <m/>
    <m/>
    <m/>
    <m/>
    <m/>
    <n v="0"/>
    <m/>
    <m/>
    <n v="0"/>
    <n v="0"/>
    <n v="0"/>
    <m/>
    <m/>
    <m/>
    <m/>
    <n v="0"/>
    <m/>
    <m/>
    <n v="0"/>
    <m/>
    <m/>
    <m/>
    <m/>
    <m/>
    <m/>
    <n v="0"/>
    <n v="0"/>
  </r>
  <r>
    <x v="10"/>
    <x v="16"/>
    <s v="State Board "/>
    <m/>
    <m/>
    <x v="12"/>
    <m/>
    <m/>
    <m/>
    <m/>
    <m/>
    <m/>
    <m/>
    <m/>
    <n v="0"/>
    <m/>
    <m/>
    <n v="0"/>
    <n v="0"/>
    <n v="0"/>
    <m/>
    <m/>
    <m/>
    <m/>
    <n v="0"/>
    <m/>
    <m/>
    <n v="0"/>
    <m/>
    <m/>
    <m/>
    <m/>
    <m/>
    <m/>
    <n v="0"/>
    <n v="0"/>
  </r>
  <r>
    <x v="11"/>
    <x v="0"/>
    <s v="Clemson University"/>
    <m/>
    <n v="217882"/>
    <x v="0"/>
    <n v="52555948"/>
    <n v="52601494"/>
    <m/>
    <m/>
    <m/>
    <m/>
    <n v="334793035"/>
    <n v="24702793"/>
    <n v="359495828"/>
    <n v="334793035"/>
    <n v="24702793"/>
    <n v="359495828"/>
    <n v="387348983"/>
    <n v="387394529"/>
    <m/>
    <m/>
    <m/>
    <m/>
    <n v="0"/>
    <m/>
    <m/>
    <n v="0"/>
    <m/>
    <m/>
    <m/>
    <m/>
    <m/>
    <m/>
    <n v="387348983"/>
    <n v="387394529"/>
  </r>
  <r>
    <x v="11"/>
    <x v="0"/>
    <s v="Fringe Benefits"/>
    <m/>
    <n v="217882"/>
    <x v="0"/>
    <n v="10003751"/>
    <n v="10789110"/>
    <m/>
    <m/>
    <m/>
    <m/>
    <m/>
    <m/>
    <n v="0"/>
    <m/>
    <m/>
    <n v="0"/>
    <n v="10003751"/>
    <n v="10789110"/>
    <m/>
    <m/>
    <m/>
    <m/>
    <n v="0"/>
    <m/>
    <m/>
    <n v="0"/>
    <m/>
    <m/>
    <m/>
    <m/>
    <m/>
    <m/>
    <n v="10003751"/>
    <n v="10789110"/>
  </r>
  <r>
    <x v="11"/>
    <x v="3"/>
    <s v="Community or public service units"/>
    <m/>
    <n v="217882"/>
    <x v="0"/>
    <m/>
    <m/>
    <m/>
    <m/>
    <m/>
    <m/>
    <m/>
    <m/>
    <n v="0"/>
    <m/>
    <m/>
    <n v="0"/>
    <n v="0"/>
    <n v="0"/>
    <m/>
    <m/>
    <m/>
    <m/>
    <n v="0"/>
    <m/>
    <m/>
    <n v="0"/>
    <m/>
    <m/>
    <m/>
    <m/>
    <m/>
    <m/>
    <n v="0"/>
    <n v="0"/>
  </r>
  <r>
    <x v="11"/>
    <x v="5"/>
    <s v="Ag Cooperative Extension Service"/>
    <m/>
    <n v="217882"/>
    <x v="0"/>
    <m/>
    <m/>
    <m/>
    <m/>
    <m/>
    <m/>
    <m/>
    <m/>
    <n v="0"/>
    <m/>
    <m/>
    <n v="0"/>
    <n v="0"/>
    <n v="0"/>
    <m/>
    <m/>
    <m/>
    <m/>
    <n v="0"/>
    <m/>
    <m/>
    <n v="0"/>
    <m/>
    <m/>
    <m/>
    <m/>
    <m/>
    <m/>
    <n v="0"/>
    <n v="0"/>
  </r>
  <r>
    <x v="11"/>
    <x v="5"/>
    <s v="Ag Research, Extension Service, and Inspection"/>
    <m/>
    <n v="217882"/>
    <x v="0"/>
    <m/>
    <m/>
    <n v="29284647"/>
    <n v="31282186"/>
    <m/>
    <m/>
    <m/>
    <m/>
    <n v="0"/>
    <m/>
    <m/>
    <n v="0"/>
    <n v="29284647"/>
    <n v="31282186"/>
    <m/>
    <m/>
    <m/>
    <m/>
    <n v="0"/>
    <m/>
    <m/>
    <n v="0"/>
    <m/>
    <m/>
    <m/>
    <m/>
    <m/>
    <m/>
    <n v="29284647"/>
    <n v="31282186"/>
  </r>
  <r>
    <x v="11"/>
    <x v="5"/>
    <s v="Ag Research, Ext. Svc, &amp; Insp. Supplemental for Other Op.Exp. (NR)"/>
    <m/>
    <n v="217882"/>
    <x v="0"/>
    <m/>
    <m/>
    <m/>
    <m/>
    <m/>
    <m/>
    <m/>
    <m/>
    <n v="0"/>
    <m/>
    <m/>
    <n v="0"/>
    <n v="0"/>
    <n v="0"/>
    <m/>
    <m/>
    <m/>
    <m/>
    <n v="0"/>
    <m/>
    <m/>
    <n v="0"/>
    <m/>
    <m/>
    <m/>
    <m/>
    <m/>
    <m/>
    <n v="0"/>
    <n v="0"/>
  </r>
  <r>
    <x v="11"/>
    <x v="7"/>
    <s v="Research Centers/institutes"/>
    <m/>
    <n v="217882"/>
    <x v="0"/>
    <m/>
    <m/>
    <m/>
    <m/>
    <m/>
    <m/>
    <m/>
    <m/>
    <n v="0"/>
    <m/>
    <m/>
    <n v="0"/>
    <n v="0"/>
    <n v="0"/>
    <m/>
    <m/>
    <m/>
    <m/>
    <n v="0"/>
    <m/>
    <m/>
    <n v="0"/>
    <m/>
    <m/>
    <m/>
    <m/>
    <m/>
    <m/>
    <n v="0"/>
    <n v="0"/>
  </r>
  <r>
    <x v="11"/>
    <x v="7"/>
    <s v="Centers for Energy Systems"/>
    <m/>
    <n v="217882"/>
    <x v="0"/>
    <m/>
    <s v=" "/>
    <m/>
    <n v="3000000"/>
    <m/>
    <m/>
    <m/>
    <m/>
    <n v="0"/>
    <m/>
    <m/>
    <n v="0"/>
    <n v="0"/>
    <n v="3000000"/>
    <m/>
    <m/>
    <m/>
    <m/>
    <n v="0"/>
    <m/>
    <m/>
    <n v="0"/>
    <m/>
    <m/>
    <m/>
    <m/>
    <m/>
    <m/>
    <n v="0"/>
    <n v="3000000"/>
  </r>
  <r>
    <x v="11"/>
    <x v="8"/>
    <s v="Special Line items for education operations"/>
    <m/>
    <n v="217882"/>
    <x v="0"/>
    <m/>
    <m/>
    <m/>
    <m/>
    <m/>
    <m/>
    <m/>
    <m/>
    <n v="0"/>
    <m/>
    <m/>
    <n v="0"/>
    <n v="0"/>
    <n v="0"/>
    <m/>
    <m/>
    <m/>
    <m/>
    <n v="0"/>
    <m/>
    <m/>
    <n v="0"/>
    <m/>
    <m/>
    <m/>
    <m/>
    <m/>
    <m/>
    <n v="0"/>
    <n v="0"/>
  </r>
  <r>
    <x v="11"/>
    <x v="8"/>
    <s v="Student Career Opportunity Program(NR)"/>
    <m/>
    <n v="217882"/>
    <x v="0"/>
    <m/>
    <m/>
    <m/>
    <n v="1000000"/>
    <m/>
    <m/>
    <m/>
    <m/>
    <n v="0"/>
    <m/>
    <m/>
    <n v="0"/>
    <n v="0"/>
    <n v="1000000"/>
    <m/>
    <m/>
    <m/>
    <m/>
    <n v="0"/>
    <m/>
    <m/>
    <n v="0"/>
    <m/>
    <m/>
    <m/>
    <m/>
    <m/>
    <m/>
    <n v="0"/>
    <n v="1000000"/>
  </r>
  <r>
    <x v="11"/>
    <x v="8"/>
    <s v="Deferred Maintenance (NR &amp; Lottery)"/>
    <m/>
    <n v="217882"/>
    <x v="0"/>
    <m/>
    <m/>
    <n v="4499221"/>
    <m/>
    <m/>
    <m/>
    <m/>
    <m/>
    <n v="0"/>
    <m/>
    <m/>
    <n v="0"/>
    <n v="4499221"/>
    <n v="0"/>
    <m/>
    <m/>
    <m/>
    <m/>
    <n v="0"/>
    <m/>
    <m/>
    <n v="0"/>
    <m/>
    <m/>
    <m/>
    <m/>
    <m/>
    <m/>
    <n v="4499221"/>
    <n v="0"/>
  </r>
  <r>
    <x v="11"/>
    <x v="8"/>
    <s v="Building Repair &amp; Maintenance (Lottery)"/>
    <m/>
    <n v="217882"/>
    <x v="0"/>
    <m/>
    <m/>
    <m/>
    <n v="2717813"/>
    <m/>
    <m/>
    <m/>
    <m/>
    <n v="0"/>
    <m/>
    <m/>
    <n v="0"/>
    <n v="0"/>
    <n v="2717813"/>
    <m/>
    <m/>
    <m/>
    <m/>
    <n v="0"/>
    <m/>
    <m/>
    <n v="0"/>
    <m/>
    <m/>
    <m/>
    <m/>
    <m/>
    <m/>
    <n v="0"/>
    <n v="2717813"/>
  </r>
  <r>
    <x v="11"/>
    <x v="8"/>
    <s v="Academic Endowment"/>
    <m/>
    <n v="217882"/>
    <x v="0"/>
    <m/>
    <m/>
    <n v="30282"/>
    <n v="28539"/>
    <m/>
    <m/>
    <m/>
    <m/>
    <n v="0"/>
    <m/>
    <m/>
    <n v="0"/>
    <n v="30282"/>
    <n v="28539"/>
    <m/>
    <m/>
    <m/>
    <m/>
    <n v="0"/>
    <m/>
    <m/>
    <n v="0"/>
    <m/>
    <m/>
    <m/>
    <m/>
    <m/>
    <m/>
    <n v="30282"/>
    <n v="28539"/>
  </r>
  <r>
    <x v="11"/>
    <x v="0"/>
    <s v="University of South Carolina-Columbia"/>
    <m/>
    <n v="218663"/>
    <x v="0"/>
    <n v="68852227"/>
    <n v="68905595"/>
    <m/>
    <m/>
    <m/>
    <m/>
    <n v="455579675"/>
    <n v="24175612"/>
    <n v="479755287"/>
    <n v="455579675"/>
    <n v="24175612"/>
    <n v="479755287"/>
    <n v="524431902"/>
    <n v="524485270"/>
    <m/>
    <m/>
    <m/>
    <m/>
    <n v="0"/>
    <m/>
    <m/>
    <n v="0"/>
    <m/>
    <m/>
    <m/>
    <m/>
    <m/>
    <m/>
    <n v="524431902"/>
    <n v="524485270"/>
  </r>
  <r>
    <x v="11"/>
    <x v="0"/>
    <s v="Fringe Benefits"/>
    <m/>
    <n v="218663"/>
    <x v="0"/>
    <n v="18079504"/>
    <n v="19563395"/>
    <m/>
    <m/>
    <m/>
    <m/>
    <m/>
    <m/>
    <n v="0"/>
    <m/>
    <m/>
    <n v="0"/>
    <n v="18079504"/>
    <n v="19563395"/>
    <m/>
    <m/>
    <m/>
    <m/>
    <n v="0"/>
    <m/>
    <m/>
    <n v="0"/>
    <m/>
    <m/>
    <m/>
    <m/>
    <m/>
    <m/>
    <n v="18079504"/>
    <n v="19563395"/>
  </r>
  <r>
    <x v="11"/>
    <x v="3"/>
    <s v="Community or public service units"/>
    <m/>
    <n v="218663"/>
    <x v="0"/>
    <m/>
    <m/>
    <m/>
    <m/>
    <m/>
    <m/>
    <m/>
    <m/>
    <n v="0"/>
    <m/>
    <m/>
    <n v="0"/>
    <n v="0"/>
    <n v="0"/>
    <m/>
    <m/>
    <m/>
    <m/>
    <n v="0"/>
    <m/>
    <m/>
    <n v="0"/>
    <m/>
    <m/>
    <m/>
    <m/>
    <m/>
    <m/>
    <n v="0"/>
    <n v="0"/>
  </r>
  <r>
    <x v="11"/>
    <x v="3"/>
    <s v="Palmetto Poison Center"/>
    <m/>
    <n v="218663"/>
    <x v="0"/>
    <m/>
    <m/>
    <n v="248625"/>
    <n v="251763"/>
    <m/>
    <m/>
    <m/>
    <m/>
    <n v="0"/>
    <m/>
    <m/>
    <n v="0"/>
    <n v="248625"/>
    <n v="251763"/>
    <m/>
    <m/>
    <m/>
    <m/>
    <n v="0"/>
    <m/>
    <m/>
    <n v="0"/>
    <m/>
    <m/>
    <m/>
    <m/>
    <m/>
    <m/>
    <n v="248625"/>
    <n v="251763"/>
  </r>
  <r>
    <x v="11"/>
    <x v="3"/>
    <s v="Palmetto College (Recurring &amp; NR)"/>
    <m/>
    <n v="218663"/>
    <x v="0"/>
    <m/>
    <m/>
    <n v="5000000"/>
    <n v="2748500"/>
    <m/>
    <m/>
    <m/>
    <m/>
    <n v="0"/>
    <m/>
    <m/>
    <n v="0"/>
    <n v="5000000"/>
    <n v="2748500"/>
    <m/>
    <m/>
    <m/>
    <m/>
    <n v="0"/>
    <m/>
    <m/>
    <n v="0"/>
    <m/>
    <m/>
    <m/>
    <m/>
    <m/>
    <m/>
    <n v="5000000"/>
    <n v="2748500"/>
  </r>
  <r>
    <x v="11"/>
    <x v="3"/>
    <s v="School Improvement Council"/>
    <m/>
    <n v="218663"/>
    <x v="0"/>
    <m/>
    <m/>
    <n v="100000"/>
    <n v="100000"/>
    <m/>
    <m/>
    <m/>
    <m/>
    <n v="0"/>
    <m/>
    <m/>
    <n v="0"/>
    <n v="100000"/>
    <n v="100000"/>
    <m/>
    <m/>
    <m/>
    <m/>
    <n v="0"/>
    <m/>
    <m/>
    <n v="0"/>
    <m/>
    <m/>
    <m/>
    <m/>
    <m/>
    <m/>
    <n v="100000"/>
    <n v="100000"/>
  </r>
  <r>
    <x v="11"/>
    <x v="3"/>
    <s v="Small Business Development Center"/>
    <m/>
    <n v="218663"/>
    <x v="0"/>
    <m/>
    <m/>
    <n v="491734"/>
    <n v="791734"/>
    <m/>
    <m/>
    <m/>
    <m/>
    <n v="0"/>
    <m/>
    <m/>
    <n v="0"/>
    <n v="491734"/>
    <n v="791734"/>
    <m/>
    <m/>
    <m/>
    <m/>
    <n v="0"/>
    <m/>
    <m/>
    <n v="0"/>
    <m/>
    <m/>
    <m/>
    <m/>
    <m/>
    <m/>
    <n v="491734"/>
    <n v="791734"/>
  </r>
  <r>
    <x v="11"/>
    <x v="7"/>
    <s v="Research centers/institutes"/>
    <m/>
    <n v="218663"/>
    <x v="0"/>
    <m/>
    <m/>
    <m/>
    <m/>
    <m/>
    <m/>
    <m/>
    <m/>
    <n v="0"/>
    <m/>
    <m/>
    <n v="0"/>
    <n v="0"/>
    <n v="0"/>
    <m/>
    <m/>
    <m/>
    <m/>
    <n v="0"/>
    <m/>
    <m/>
    <n v="0"/>
    <m/>
    <m/>
    <m/>
    <m/>
    <m/>
    <m/>
    <n v="0"/>
    <n v="0"/>
  </r>
  <r>
    <x v="11"/>
    <x v="8"/>
    <s v="Special Line items for education operations"/>
    <m/>
    <n v="218663"/>
    <x v="0"/>
    <m/>
    <m/>
    <m/>
    <m/>
    <m/>
    <m/>
    <m/>
    <m/>
    <n v="0"/>
    <m/>
    <m/>
    <n v="0"/>
    <n v="0"/>
    <n v="0"/>
    <m/>
    <m/>
    <m/>
    <m/>
    <n v="0"/>
    <m/>
    <m/>
    <n v="0"/>
    <m/>
    <m/>
    <m/>
    <m/>
    <m/>
    <m/>
    <n v="0"/>
    <n v="0"/>
  </r>
  <r>
    <x v="11"/>
    <x v="8"/>
    <s v="On Your Time (NR)"/>
    <m/>
    <n v="218663"/>
    <x v="0"/>
    <m/>
    <m/>
    <m/>
    <n v="2500000"/>
    <m/>
    <m/>
    <m/>
    <m/>
    <n v="0"/>
    <m/>
    <m/>
    <n v="0"/>
    <n v="0"/>
    <n v="2500000"/>
    <m/>
    <m/>
    <m/>
    <m/>
    <n v="0"/>
    <m/>
    <m/>
    <n v="0"/>
    <m/>
    <m/>
    <m/>
    <m/>
    <m/>
    <m/>
    <n v="0"/>
    <n v="2500000"/>
  </r>
  <r>
    <x v="11"/>
    <x v="8"/>
    <s v="Deferred Maintenance (Lottery)"/>
    <m/>
    <n v="218663"/>
    <x v="0"/>
    <m/>
    <m/>
    <n v="4687733"/>
    <m/>
    <m/>
    <m/>
    <m/>
    <m/>
    <n v="0"/>
    <m/>
    <m/>
    <n v="0"/>
    <n v="4687733"/>
    <n v="0"/>
    <m/>
    <m/>
    <m/>
    <m/>
    <n v="0"/>
    <m/>
    <m/>
    <n v="0"/>
    <m/>
    <m/>
    <m/>
    <m/>
    <m/>
    <m/>
    <n v="4687733"/>
    <n v="0"/>
  </r>
  <r>
    <x v="11"/>
    <x v="8"/>
    <s v="Building Repair &amp; Maintenance (Lottery)"/>
    <m/>
    <n v="218663"/>
    <x v="0"/>
    <m/>
    <m/>
    <m/>
    <n v="4527916"/>
    <m/>
    <m/>
    <m/>
    <m/>
    <n v="0"/>
    <m/>
    <m/>
    <n v="0"/>
    <n v="0"/>
    <n v="4527916"/>
    <m/>
    <m/>
    <m/>
    <m/>
    <n v="0"/>
    <m/>
    <m/>
    <n v="0"/>
    <m/>
    <m/>
    <m/>
    <m/>
    <m/>
    <m/>
    <n v="0"/>
    <n v="4527916"/>
  </r>
  <r>
    <x v="11"/>
    <x v="8"/>
    <s v="Academic Endowment"/>
    <m/>
    <n v="218663"/>
    <x v="0"/>
    <m/>
    <m/>
    <n v="27271"/>
    <n v="26275"/>
    <m/>
    <m/>
    <m/>
    <m/>
    <n v="0"/>
    <m/>
    <m/>
    <n v="0"/>
    <n v="27271"/>
    <n v="26275"/>
    <m/>
    <m/>
    <m/>
    <m/>
    <n v="0"/>
    <m/>
    <m/>
    <n v="0"/>
    <m/>
    <m/>
    <m/>
    <m/>
    <m/>
    <m/>
    <n v="27271"/>
    <n v="26275"/>
  </r>
  <r>
    <x v="11"/>
    <x v="8"/>
    <s v="Law Library"/>
    <m/>
    <n v="218663"/>
    <x v="0"/>
    <m/>
    <m/>
    <n v="344074"/>
    <n v="344074"/>
    <m/>
    <m/>
    <m/>
    <m/>
    <n v="0"/>
    <m/>
    <m/>
    <n v="0"/>
    <n v="344074"/>
    <n v="344074"/>
    <m/>
    <m/>
    <m/>
    <m/>
    <n v="0"/>
    <m/>
    <m/>
    <n v="0"/>
    <m/>
    <m/>
    <m/>
    <m/>
    <m/>
    <m/>
    <n v="344074"/>
    <n v="344074"/>
  </r>
  <r>
    <x v="11"/>
    <x v="1"/>
    <s v="Health professions education"/>
    <m/>
    <n v="218663"/>
    <x v="0"/>
    <m/>
    <m/>
    <m/>
    <m/>
    <m/>
    <m/>
    <m/>
    <m/>
    <n v="0"/>
    <m/>
    <m/>
    <n v="0"/>
    <n v="0"/>
    <n v="0"/>
    <m/>
    <m/>
    <m/>
    <m/>
    <n v="0"/>
    <m/>
    <m/>
    <n v="0"/>
    <m/>
    <m/>
    <m/>
    <m/>
    <m/>
    <m/>
    <n v="0"/>
    <n v="0"/>
  </r>
  <r>
    <x v="11"/>
    <x v="1"/>
    <s v="Medical School-E&amp;G"/>
    <m/>
    <n v="218663"/>
    <x v="0"/>
    <m/>
    <m/>
    <m/>
    <m/>
    <m/>
    <m/>
    <m/>
    <m/>
    <n v="0"/>
    <m/>
    <m/>
    <n v="0"/>
    <n v="0"/>
    <n v="0"/>
    <m/>
    <m/>
    <m/>
    <m/>
    <n v="0"/>
    <m/>
    <m/>
    <n v="0"/>
    <n v="9999646"/>
    <n v="9999646"/>
    <n v="14582488"/>
    <n v="891124"/>
    <m/>
    <m/>
    <n v="24582134"/>
    <n v="9999646"/>
  </r>
  <r>
    <x v="11"/>
    <x v="1"/>
    <s v="Medical School-Fringe Benefits"/>
    <m/>
    <n v="218663"/>
    <x v="0"/>
    <m/>
    <m/>
    <m/>
    <m/>
    <m/>
    <m/>
    <m/>
    <m/>
    <n v="0"/>
    <m/>
    <m/>
    <n v="0"/>
    <n v="0"/>
    <n v="0"/>
    <m/>
    <m/>
    <m/>
    <m/>
    <n v="0"/>
    <m/>
    <m/>
    <n v="0"/>
    <n v="2719428"/>
    <n v="2719428"/>
    <m/>
    <m/>
    <m/>
    <m/>
    <n v="2719428"/>
    <n v="2719428"/>
  </r>
  <r>
    <x v="11"/>
    <x v="1"/>
    <s v="Medical School-Child Abuse"/>
    <m/>
    <n v="218663"/>
    <x v="0"/>
    <m/>
    <m/>
    <m/>
    <m/>
    <m/>
    <m/>
    <m/>
    <m/>
    <n v="0"/>
    <m/>
    <m/>
    <n v="0"/>
    <n v="0"/>
    <n v="0"/>
    <m/>
    <m/>
    <m/>
    <m/>
    <n v="0"/>
    <m/>
    <m/>
    <n v="0"/>
    <n v="826160"/>
    <n v="801160"/>
    <m/>
    <m/>
    <m/>
    <m/>
    <n v="826160"/>
    <n v="801160"/>
  </r>
  <r>
    <x v="11"/>
    <x v="0"/>
    <s v="College of Charleston"/>
    <m/>
    <n v="217819"/>
    <x v="2"/>
    <n v="15170116"/>
    <n v="15204116"/>
    <m/>
    <m/>
    <m/>
    <m/>
    <n v="154908709"/>
    <n v="6705503"/>
    <n v="161614212"/>
    <n v="154908709"/>
    <n v="6705503"/>
    <n v="161614212"/>
    <n v="170078825"/>
    <n v="170112825"/>
    <m/>
    <m/>
    <m/>
    <m/>
    <n v="0"/>
    <m/>
    <m/>
    <n v="0"/>
    <m/>
    <m/>
    <m/>
    <m/>
    <m/>
    <m/>
    <n v="170078825"/>
    <n v="170112825"/>
  </r>
  <r>
    <x v="11"/>
    <x v="0"/>
    <s v="Fringe Benefits"/>
    <m/>
    <n v="217819"/>
    <x v="2"/>
    <n v="3818543"/>
    <n v="4083102"/>
    <m/>
    <m/>
    <m/>
    <m/>
    <m/>
    <m/>
    <n v="0"/>
    <m/>
    <m/>
    <n v="0"/>
    <n v="3818543"/>
    <n v="4083102"/>
    <m/>
    <m/>
    <m/>
    <m/>
    <n v="0"/>
    <m/>
    <m/>
    <n v="0"/>
    <m/>
    <m/>
    <m/>
    <m/>
    <m/>
    <m/>
    <n v="3818543"/>
    <n v="4083102"/>
  </r>
  <r>
    <x v="11"/>
    <x v="3"/>
    <s v="Community or public service units"/>
    <m/>
    <n v="217819"/>
    <x v="2"/>
    <m/>
    <m/>
    <m/>
    <m/>
    <m/>
    <m/>
    <m/>
    <m/>
    <n v="0"/>
    <m/>
    <m/>
    <n v="0"/>
    <n v="0"/>
    <n v="0"/>
    <m/>
    <m/>
    <m/>
    <m/>
    <n v="0"/>
    <m/>
    <m/>
    <n v="0"/>
    <m/>
    <m/>
    <m/>
    <m/>
    <m/>
    <m/>
    <n v="0"/>
    <n v="0"/>
  </r>
  <r>
    <x v="11"/>
    <x v="7"/>
    <s v="Research centers/institutes"/>
    <m/>
    <n v="217819"/>
    <x v="2"/>
    <m/>
    <m/>
    <m/>
    <m/>
    <m/>
    <m/>
    <m/>
    <m/>
    <n v="0"/>
    <m/>
    <m/>
    <n v="0"/>
    <n v="0"/>
    <n v="0"/>
    <m/>
    <m/>
    <m/>
    <m/>
    <n v="0"/>
    <m/>
    <m/>
    <n v="0"/>
    <m/>
    <m/>
    <m/>
    <m/>
    <m/>
    <m/>
    <n v="0"/>
    <n v="0"/>
  </r>
  <r>
    <x v="11"/>
    <x v="8"/>
    <s v="Special Line items for education operations"/>
    <m/>
    <n v="217819"/>
    <x v="2"/>
    <m/>
    <m/>
    <m/>
    <m/>
    <m/>
    <m/>
    <m/>
    <m/>
    <n v="0"/>
    <m/>
    <m/>
    <n v="0"/>
    <n v="0"/>
    <n v="0"/>
    <m/>
    <m/>
    <m/>
    <m/>
    <n v="0"/>
    <m/>
    <m/>
    <n v="0"/>
    <m/>
    <m/>
    <m/>
    <m/>
    <m/>
    <m/>
    <n v="0"/>
    <n v="0"/>
  </r>
  <r>
    <x v="11"/>
    <x v="8"/>
    <s v="Avery Center"/>
    <m/>
    <n v="217819"/>
    <x v="2"/>
    <m/>
    <m/>
    <m/>
    <n v="300000"/>
    <m/>
    <m/>
    <m/>
    <m/>
    <n v="0"/>
    <m/>
    <m/>
    <n v="0"/>
    <n v="0"/>
    <n v="300000"/>
    <m/>
    <m/>
    <m/>
    <m/>
    <n v="0"/>
    <m/>
    <m/>
    <n v="0"/>
    <m/>
    <m/>
    <m/>
    <m/>
    <m/>
    <m/>
    <n v="0"/>
    <n v="300000"/>
  </r>
  <r>
    <x v="11"/>
    <x v="8"/>
    <s v="Computer Science Program"/>
    <m/>
    <n v="217819"/>
    <x v="2"/>
    <m/>
    <m/>
    <m/>
    <n v="500000"/>
    <m/>
    <m/>
    <m/>
    <m/>
    <n v="0"/>
    <m/>
    <m/>
    <n v="0"/>
    <n v="0"/>
    <n v="500000"/>
    <m/>
    <m/>
    <m/>
    <m/>
    <n v="0"/>
    <m/>
    <m/>
    <n v="0"/>
    <m/>
    <m/>
    <m/>
    <m/>
    <m/>
    <m/>
    <n v="0"/>
    <n v="500000"/>
  </r>
  <r>
    <x v="11"/>
    <x v="8"/>
    <s v="Deferred Maintenance (Lottery)"/>
    <m/>
    <n v="217819"/>
    <x v="2"/>
    <m/>
    <m/>
    <n v="880383"/>
    <m/>
    <m/>
    <m/>
    <m/>
    <m/>
    <n v="0"/>
    <m/>
    <m/>
    <n v="0"/>
    <n v="880383"/>
    <n v="0"/>
    <m/>
    <m/>
    <m/>
    <m/>
    <n v="0"/>
    <m/>
    <m/>
    <n v="0"/>
    <m/>
    <m/>
    <m/>
    <m/>
    <m/>
    <m/>
    <n v="880383"/>
    <n v="0"/>
  </r>
  <r>
    <x v="11"/>
    <x v="8"/>
    <s v="Building Repair &amp; Maintenance (Lottery)"/>
    <m/>
    <n v="217819"/>
    <x v="2"/>
    <m/>
    <m/>
    <m/>
    <n v="825970"/>
    <m/>
    <m/>
    <m/>
    <m/>
    <n v="0"/>
    <m/>
    <m/>
    <n v="0"/>
    <n v="0"/>
    <n v="825970"/>
    <m/>
    <m/>
    <m/>
    <m/>
    <n v="0"/>
    <m/>
    <m/>
    <n v="0"/>
    <m/>
    <m/>
    <m/>
    <m/>
    <m/>
    <m/>
    <n v="0"/>
    <n v="825970"/>
  </r>
  <r>
    <x v="11"/>
    <x v="8"/>
    <s v="Interactive Digital Technology Pilot Project"/>
    <m/>
    <n v="217819"/>
    <x v="2"/>
    <m/>
    <m/>
    <n v="2000000"/>
    <s v=" "/>
    <m/>
    <m/>
    <m/>
    <m/>
    <n v="0"/>
    <m/>
    <m/>
    <n v="0"/>
    <n v="2000000"/>
    <n v="0"/>
    <m/>
    <m/>
    <m/>
    <m/>
    <n v="0"/>
    <m/>
    <m/>
    <n v="0"/>
    <m/>
    <m/>
    <m/>
    <m/>
    <m/>
    <m/>
    <n v="2000000"/>
    <n v="0"/>
  </r>
  <r>
    <x v="11"/>
    <x v="8"/>
    <s v="Academic Endowment"/>
    <m/>
    <n v="217819"/>
    <x v="2"/>
    <m/>
    <m/>
    <n v="8817"/>
    <n v="8683"/>
    <m/>
    <m/>
    <m/>
    <m/>
    <n v="0"/>
    <m/>
    <m/>
    <n v="0"/>
    <n v="8817"/>
    <n v="8683"/>
    <m/>
    <m/>
    <m/>
    <m/>
    <n v="0"/>
    <m/>
    <m/>
    <n v="0"/>
    <m/>
    <m/>
    <m/>
    <m/>
    <m/>
    <m/>
    <n v="8817"/>
    <n v="8683"/>
  </r>
  <r>
    <x v="11"/>
    <x v="8"/>
    <s v="Lottery Technology (NR)"/>
    <m/>
    <n v="217819"/>
    <x v="2"/>
    <m/>
    <m/>
    <n v="898392"/>
    <n v="892573"/>
    <m/>
    <m/>
    <m/>
    <m/>
    <n v="0"/>
    <m/>
    <m/>
    <n v="0"/>
    <n v="898392"/>
    <n v="892573"/>
    <m/>
    <m/>
    <m/>
    <m/>
    <n v="0"/>
    <m/>
    <m/>
    <n v="0"/>
    <m/>
    <m/>
    <m/>
    <m/>
    <m/>
    <m/>
    <n v="898392"/>
    <n v="892573"/>
  </r>
  <r>
    <x v="11"/>
    <x v="0"/>
    <s v="Winthrop University "/>
    <m/>
    <n v="218964"/>
    <x v="2"/>
    <n v="10406563"/>
    <n v="10415863"/>
    <m/>
    <m/>
    <m/>
    <m/>
    <n v="68716769"/>
    <n v="6738722"/>
    <n v="75455491"/>
    <n v="68716769"/>
    <n v="6738722"/>
    <n v="75455491"/>
    <n v="79123332"/>
    <n v="79132632"/>
    <m/>
    <m/>
    <m/>
    <m/>
    <n v="0"/>
    <m/>
    <m/>
    <n v="0"/>
    <m/>
    <m/>
    <m/>
    <m/>
    <m/>
    <m/>
    <n v="79123332"/>
    <n v="79132632"/>
  </r>
  <r>
    <x v="11"/>
    <x v="0"/>
    <s v="Fringe Benefits"/>
    <m/>
    <n v="218964"/>
    <x v="2"/>
    <n v="2690166"/>
    <n v="2920230"/>
    <m/>
    <m/>
    <m/>
    <m/>
    <m/>
    <m/>
    <n v="0"/>
    <m/>
    <m/>
    <n v="0"/>
    <n v="2690166"/>
    <n v="2920230"/>
    <m/>
    <m/>
    <m/>
    <m/>
    <n v="0"/>
    <m/>
    <m/>
    <n v="0"/>
    <m/>
    <m/>
    <m/>
    <m/>
    <m/>
    <m/>
    <n v="2690166"/>
    <n v="2920230"/>
  </r>
  <r>
    <x v="11"/>
    <x v="8"/>
    <s v="Special Line items for education operations"/>
    <m/>
    <n v="218964"/>
    <x v="2"/>
    <m/>
    <m/>
    <m/>
    <m/>
    <m/>
    <m/>
    <m/>
    <m/>
    <n v="0"/>
    <m/>
    <m/>
    <n v="0"/>
    <n v="0"/>
    <n v="0"/>
    <m/>
    <m/>
    <m/>
    <m/>
    <n v="0"/>
    <m/>
    <m/>
    <n v="0"/>
    <m/>
    <m/>
    <m/>
    <m/>
    <m/>
    <m/>
    <n v="0"/>
    <n v="0"/>
  </r>
  <r>
    <x v="11"/>
    <x v="8"/>
    <s v="Deferred Maintenance (NR &amp; Lottery)"/>
    <m/>
    <n v="218964"/>
    <x v="2"/>
    <m/>
    <m/>
    <n v="1980415"/>
    <m/>
    <m/>
    <m/>
    <m/>
    <m/>
    <n v="0"/>
    <m/>
    <m/>
    <n v="0"/>
    <n v="1980415"/>
    <n v="0"/>
    <m/>
    <m/>
    <m/>
    <m/>
    <n v="0"/>
    <m/>
    <m/>
    <n v="0"/>
    <m/>
    <m/>
    <m/>
    <m/>
    <m/>
    <m/>
    <n v="1980415"/>
    <n v="0"/>
  </r>
  <r>
    <x v="11"/>
    <x v="8"/>
    <s v="Personal Services &amp; Operating"/>
    <m/>
    <n v="218964"/>
    <x v="2"/>
    <m/>
    <m/>
    <m/>
    <n v="350000"/>
    <m/>
    <m/>
    <m/>
    <m/>
    <n v="0"/>
    <m/>
    <m/>
    <n v="0"/>
    <n v="0"/>
    <n v="350000"/>
    <m/>
    <m/>
    <m/>
    <m/>
    <n v="0"/>
    <m/>
    <m/>
    <n v="0"/>
    <m/>
    <m/>
    <m/>
    <m/>
    <m/>
    <m/>
    <n v="0"/>
    <n v="350000"/>
  </r>
  <r>
    <x v="11"/>
    <x v="8"/>
    <s v="Withers Roof Replacement Maint. &amp; Repairs"/>
    <m/>
    <n v="218964"/>
    <x v="2"/>
    <m/>
    <m/>
    <m/>
    <n v="750000"/>
    <m/>
    <m/>
    <m/>
    <m/>
    <n v="0"/>
    <m/>
    <m/>
    <n v="0"/>
    <n v="0"/>
    <n v="750000"/>
    <m/>
    <m/>
    <m/>
    <m/>
    <n v="0"/>
    <m/>
    <m/>
    <n v="0"/>
    <m/>
    <m/>
    <m/>
    <m/>
    <m/>
    <m/>
    <n v="0"/>
    <n v="750000"/>
  </r>
  <r>
    <x v="11"/>
    <x v="8"/>
    <s v="Building Repair &amp; Maintenance (Lottery)"/>
    <m/>
    <n v="218964"/>
    <x v="2"/>
    <m/>
    <m/>
    <m/>
    <n v="569307"/>
    <m/>
    <m/>
    <m/>
    <m/>
    <n v="0"/>
    <m/>
    <m/>
    <n v="0"/>
    <n v="0"/>
    <n v="569307"/>
    <m/>
    <m/>
    <m/>
    <m/>
    <n v="0"/>
    <m/>
    <m/>
    <n v="0"/>
    <m/>
    <m/>
    <m/>
    <m/>
    <m/>
    <m/>
    <n v="0"/>
    <n v="569307"/>
  </r>
  <r>
    <x v="11"/>
    <x v="8"/>
    <s v="Student Info. Technology Infrastructure Update (NR)"/>
    <m/>
    <n v="218964"/>
    <x v="2"/>
    <m/>
    <m/>
    <n v="500000"/>
    <m/>
    <m/>
    <m/>
    <m/>
    <m/>
    <n v="0"/>
    <m/>
    <m/>
    <n v="0"/>
    <n v="500000"/>
    <n v="0"/>
    <m/>
    <m/>
    <m/>
    <m/>
    <n v="0"/>
    <m/>
    <m/>
    <n v="0"/>
    <m/>
    <m/>
    <m/>
    <m/>
    <m/>
    <m/>
    <n v="500000"/>
    <n v="0"/>
  </r>
  <r>
    <x v="11"/>
    <x v="8"/>
    <s v="Academic Endowment"/>
    <m/>
    <n v="218964"/>
    <x v="2"/>
    <m/>
    <m/>
    <n v="9146"/>
    <n v="9071"/>
    <m/>
    <m/>
    <m/>
    <m/>
    <n v="0"/>
    <m/>
    <m/>
    <n v="0"/>
    <n v="9146"/>
    <n v="9071"/>
    <m/>
    <m/>
    <m/>
    <m/>
    <n v="0"/>
    <m/>
    <m/>
    <n v="0"/>
    <m/>
    <m/>
    <m/>
    <m/>
    <m/>
    <m/>
    <n v="9146"/>
    <n v="9071"/>
  </r>
  <r>
    <x v="11"/>
    <x v="8"/>
    <s v="Lottery Technology (NR)"/>
    <m/>
    <n v="218964"/>
    <x v="2"/>
    <m/>
    <m/>
    <n v="544302"/>
    <n v="535585"/>
    <m/>
    <m/>
    <m/>
    <m/>
    <n v="0"/>
    <m/>
    <m/>
    <n v="0"/>
    <n v="544302"/>
    <n v="535585"/>
    <m/>
    <m/>
    <m/>
    <m/>
    <n v="0"/>
    <m/>
    <m/>
    <n v="0"/>
    <m/>
    <m/>
    <m/>
    <m/>
    <m/>
    <m/>
    <n v="544302"/>
    <n v="535585"/>
  </r>
  <r>
    <x v="11"/>
    <x v="0"/>
    <s v="The Citadel, the Military College of South Carolina "/>
    <s v="Reclassified: met the criteria for Four-Year 3 in 2011-12, 2012-13, and 2013-14."/>
    <n v="217864"/>
    <x v="2"/>
    <n v="7192163"/>
    <n v="7209044"/>
    <m/>
    <m/>
    <m/>
    <m/>
    <n v="48466547"/>
    <n v="693027"/>
    <n v="49159574"/>
    <n v="48466547"/>
    <n v="693027"/>
    <n v="49159574"/>
    <n v="55658710"/>
    <n v="55675591"/>
    <m/>
    <m/>
    <m/>
    <m/>
    <n v="0"/>
    <m/>
    <m/>
    <n v="0"/>
    <m/>
    <m/>
    <m/>
    <m/>
    <m/>
    <m/>
    <n v="55658710"/>
    <n v="55675591"/>
  </r>
  <r>
    <x v="11"/>
    <x v="0"/>
    <s v="Fringe Benefits"/>
    <m/>
    <n v="217864"/>
    <x v="2"/>
    <n v="1718729"/>
    <n v="1845205"/>
    <m/>
    <m/>
    <m/>
    <m/>
    <m/>
    <m/>
    <n v="0"/>
    <m/>
    <m/>
    <n v="0"/>
    <n v="1718729"/>
    <n v="1845205"/>
    <m/>
    <m/>
    <m/>
    <m/>
    <n v="0"/>
    <m/>
    <m/>
    <n v="0"/>
    <m/>
    <m/>
    <m/>
    <m/>
    <m/>
    <m/>
    <n v="1718729"/>
    <n v="1845205"/>
  </r>
  <r>
    <x v="11"/>
    <x v="8"/>
    <s v="Special Line items for education operations"/>
    <m/>
    <n v="217864"/>
    <x v="2"/>
    <m/>
    <m/>
    <m/>
    <m/>
    <m/>
    <m/>
    <m/>
    <m/>
    <n v="0"/>
    <m/>
    <m/>
    <n v="0"/>
    <n v="0"/>
    <n v="0"/>
    <m/>
    <m/>
    <m/>
    <m/>
    <n v="0"/>
    <m/>
    <m/>
    <n v="0"/>
    <m/>
    <m/>
    <m/>
    <m/>
    <m/>
    <m/>
    <n v="0"/>
    <n v="0"/>
  </r>
  <r>
    <x v="11"/>
    <x v="8"/>
    <s v="Deferred Maintenance (NR &amp; Lottery)"/>
    <m/>
    <n v="217864"/>
    <x v="2"/>
    <m/>
    <m/>
    <n v="1150610"/>
    <m/>
    <m/>
    <m/>
    <m/>
    <m/>
    <n v="0"/>
    <m/>
    <m/>
    <n v="0"/>
    <n v="1150610"/>
    <n v="0"/>
    <m/>
    <m/>
    <m/>
    <m/>
    <n v="0"/>
    <m/>
    <m/>
    <n v="0"/>
    <m/>
    <m/>
    <m/>
    <m/>
    <m/>
    <m/>
    <n v="1150610"/>
    <n v="0"/>
  </r>
  <r>
    <x v="11"/>
    <x v="8"/>
    <s v="Building Repair &amp; Maintenance (Lottery)"/>
    <m/>
    <n v="217864"/>
    <x v="2"/>
    <m/>
    <m/>
    <m/>
    <n v="387663"/>
    <m/>
    <m/>
    <m/>
    <m/>
    <n v="0"/>
    <m/>
    <m/>
    <n v="0"/>
    <n v="0"/>
    <n v="387663"/>
    <m/>
    <m/>
    <m/>
    <m/>
    <n v="0"/>
    <m/>
    <m/>
    <n v="0"/>
    <m/>
    <m/>
    <m/>
    <m/>
    <m/>
    <m/>
    <n v="0"/>
    <n v="387663"/>
  </r>
  <r>
    <x v="11"/>
    <x v="8"/>
    <s v="Cadet Accountability System"/>
    <m/>
    <n v="217864"/>
    <x v="2"/>
    <m/>
    <m/>
    <m/>
    <n v="1500000"/>
    <m/>
    <m/>
    <m/>
    <m/>
    <n v="0"/>
    <m/>
    <m/>
    <n v="0"/>
    <n v="0"/>
    <n v="1500000"/>
    <m/>
    <m/>
    <m/>
    <m/>
    <n v="0"/>
    <m/>
    <m/>
    <n v="0"/>
    <m/>
    <m/>
    <m/>
    <m/>
    <m/>
    <m/>
    <n v="0"/>
    <n v="1500000"/>
  </r>
  <r>
    <x v="11"/>
    <x v="8"/>
    <s v="Jenkins Hall Arms Room Upgrade (NR)"/>
    <m/>
    <n v="217864"/>
    <x v="2"/>
    <m/>
    <m/>
    <n v="200000"/>
    <m/>
    <m/>
    <m/>
    <m/>
    <m/>
    <n v="0"/>
    <m/>
    <m/>
    <n v="0"/>
    <n v="200000"/>
    <n v="0"/>
    <m/>
    <m/>
    <m/>
    <m/>
    <n v="0"/>
    <m/>
    <m/>
    <n v="0"/>
    <m/>
    <m/>
    <m/>
    <m/>
    <m/>
    <m/>
    <n v="200000"/>
    <n v="0"/>
  </r>
  <r>
    <x v="11"/>
    <x v="8"/>
    <s v="Academic Endowment"/>
    <m/>
    <n v="217864"/>
    <x v="2"/>
    <m/>
    <m/>
    <n v="10418"/>
    <n v="10621"/>
    <m/>
    <m/>
    <m/>
    <m/>
    <n v="0"/>
    <m/>
    <m/>
    <n v="0"/>
    <n v="10418"/>
    <n v="10621"/>
    <m/>
    <m/>
    <m/>
    <m/>
    <n v="0"/>
    <m/>
    <m/>
    <n v="0"/>
    <m/>
    <m/>
    <m/>
    <m/>
    <m/>
    <m/>
    <n v="10418"/>
    <n v="10621"/>
  </r>
  <r>
    <x v="11"/>
    <x v="8"/>
    <s v="Lottery Technology (NR)"/>
    <m/>
    <n v="217864"/>
    <x v="2"/>
    <m/>
    <m/>
    <n v="414764"/>
    <n v="407818"/>
    <m/>
    <m/>
    <m/>
    <m/>
    <n v="0"/>
    <m/>
    <m/>
    <n v="0"/>
    <n v="414764"/>
    <n v="407818"/>
    <m/>
    <m/>
    <m/>
    <m/>
    <n v="0"/>
    <m/>
    <m/>
    <n v="0"/>
    <m/>
    <m/>
    <m/>
    <m/>
    <m/>
    <m/>
    <n v="414764"/>
    <n v="407818"/>
  </r>
  <r>
    <x v="11"/>
    <x v="0"/>
    <s v="Coastal Carolina University"/>
    <s v="Met the criteria for Four-Year 4 in 2013-14."/>
    <n v="218724"/>
    <x v="4"/>
    <n v="7094200"/>
    <n v="7114430"/>
    <m/>
    <m/>
    <n v="294580"/>
    <n v="294580"/>
    <n v="117894794"/>
    <n v="7744605"/>
    <n v="125639399"/>
    <n v="117894794"/>
    <n v="7744605"/>
    <n v="125639399"/>
    <n v="125283574"/>
    <n v="125303804"/>
    <m/>
    <m/>
    <m/>
    <m/>
    <n v="0"/>
    <m/>
    <m/>
    <n v="0"/>
    <m/>
    <m/>
    <m/>
    <m/>
    <m/>
    <m/>
    <n v="125283574"/>
    <n v="125303804"/>
  </r>
  <r>
    <x v="11"/>
    <x v="0"/>
    <s v="Fringe Benefits"/>
    <m/>
    <n v="218724"/>
    <x v="4"/>
    <n v="1891725"/>
    <n v="2001312"/>
    <m/>
    <m/>
    <m/>
    <m/>
    <m/>
    <m/>
    <n v="0"/>
    <m/>
    <m/>
    <n v="0"/>
    <n v="1891725"/>
    <n v="2001312"/>
    <m/>
    <m/>
    <m/>
    <m/>
    <n v="0"/>
    <m/>
    <m/>
    <n v="0"/>
    <m/>
    <m/>
    <m/>
    <m/>
    <m/>
    <m/>
    <n v="1891725"/>
    <n v="2001312"/>
  </r>
  <r>
    <x v="11"/>
    <x v="8"/>
    <s v="Special Line items for education operations"/>
    <m/>
    <n v="218724"/>
    <x v="4"/>
    <m/>
    <m/>
    <m/>
    <m/>
    <m/>
    <m/>
    <m/>
    <m/>
    <n v="0"/>
    <m/>
    <m/>
    <n v="0"/>
    <n v="0"/>
    <n v="0"/>
    <m/>
    <m/>
    <m/>
    <m/>
    <n v="0"/>
    <m/>
    <m/>
    <n v="0"/>
    <m/>
    <m/>
    <m/>
    <m/>
    <m/>
    <m/>
    <n v="0"/>
    <n v="0"/>
  </r>
  <r>
    <x v="11"/>
    <x v="8"/>
    <s v="Deferred Maintenance (Lottery)"/>
    <m/>
    <n v="218724"/>
    <x v="4"/>
    <m/>
    <m/>
    <n v="417620"/>
    <m/>
    <m/>
    <m/>
    <m/>
    <m/>
    <n v="0"/>
    <m/>
    <m/>
    <n v="0"/>
    <n v="417620"/>
    <n v="0"/>
    <m/>
    <m/>
    <m/>
    <m/>
    <n v="0"/>
    <m/>
    <m/>
    <n v="0"/>
    <m/>
    <m/>
    <m/>
    <m/>
    <m/>
    <m/>
    <n v="417620"/>
    <n v="0"/>
  </r>
  <r>
    <x v="11"/>
    <x v="8"/>
    <s v="Building Repair &amp; Maintenance (Lottery)"/>
    <m/>
    <n v="218724"/>
    <x v="4"/>
    <m/>
    <m/>
    <m/>
    <n v="390953"/>
    <m/>
    <m/>
    <m/>
    <m/>
    <n v="0"/>
    <m/>
    <m/>
    <n v="0"/>
    <n v="0"/>
    <n v="390953"/>
    <m/>
    <m/>
    <m/>
    <m/>
    <n v="0"/>
    <m/>
    <m/>
    <n v="0"/>
    <m/>
    <m/>
    <m/>
    <m/>
    <m/>
    <m/>
    <n v="0"/>
    <n v="390953"/>
  </r>
  <r>
    <x v="11"/>
    <x v="8"/>
    <s v="Research Vessel (NR)"/>
    <m/>
    <n v="218724"/>
    <x v="4"/>
    <m/>
    <m/>
    <n v="948366"/>
    <m/>
    <m/>
    <m/>
    <m/>
    <m/>
    <n v="0"/>
    <m/>
    <m/>
    <n v="0"/>
    <n v="948366"/>
    <n v="0"/>
    <m/>
    <m/>
    <m/>
    <m/>
    <n v="0"/>
    <m/>
    <m/>
    <n v="0"/>
    <m/>
    <m/>
    <m/>
    <m/>
    <m/>
    <m/>
    <n v="948366"/>
    <n v="0"/>
  </r>
  <r>
    <x v="11"/>
    <x v="8"/>
    <s v="Scientific Equipment for Research Vessel (NR)"/>
    <m/>
    <n v="218724"/>
    <x v="4"/>
    <m/>
    <m/>
    <n v="198000"/>
    <m/>
    <m/>
    <m/>
    <m/>
    <m/>
    <n v="0"/>
    <m/>
    <m/>
    <n v="0"/>
    <n v="198000"/>
    <n v="0"/>
    <m/>
    <m/>
    <m/>
    <m/>
    <n v="0"/>
    <m/>
    <m/>
    <n v="0"/>
    <m/>
    <m/>
    <m/>
    <m/>
    <m/>
    <m/>
    <n v="198000"/>
    <n v="0"/>
  </r>
  <r>
    <x v="11"/>
    <x v="8"/>
    <s v="Academic Endowment"/>
    <m/>
    <n v="218724"/>
    <x v="4"/>
    <m/>
    <m/>
    <n v="5658"/>
    <n v="6309"/>
    <m/>
    <m/>
    <m/>
    <m/>
    <n v="0"/>
    <m/>
    <m/>
    <n v="0"/>
    <n v="5658"/>
    <n v="6309"/>
    <m/>
    <m/>
    <m/>
    <m/>
    <n v="0"/>
    <m/>
    <m/>
    <n v="0"/>
    <m/>
    <m/>
    <m/>
    <m/>
    <m/>
    <m/>
    <n v="5658"/>
    <n v="6309"/>
  </r>
  <r>
    <x v="11"/>
    <x v="8"/>
    <s v="Lottery Technology (NR)"/>
    <m/>
    <n v="218724"/>
    <x v="4"/>
    <m/>
    <m/>
    <n v="752122"/>
    <n v="751735"/>
    <m/>
    <m/>
    <m/>
    <m/>
    <n v="0"/>
    <m/>
    <m/>
    <n v="0"/>
    <n v="752122"/>
    <n v="751735"/>
    <m/>
    <m/>
    <m/>
    <m/>
    <n v="0"/>
    <m/>
    <m/>
    <n v="0"/>
    <m/>
    <m/>
    <m/>
    <m/>
    <m/>
    <m/>
    <n v="752122"/>
    <n v="751735"/>
  </r>
  <r>
    <x v="11"/>
    <x v="0"/>
    <s v="Francis Marion University "/>
    <m/>
    <n v="218061"/>
    <x v="4"/>
    <n v="8665555"/>
    <n v="8689055"/>
    <m/>
    <m/>
    <m/>
    <m/>
    <n v="33451923"/>
    <n v="793832"/>
    <n v="34245755"/>
    <n v="33451923"/>
    <n v="793832"/>
    <n v="34245755"/>
    <n v="42117478"/>
    <n v="42140978"/>
    <m/>
    <m/>
    <m/>
    <m/>
    <n v="0"/>
    <m/>
    <m/>
    <n v="0"/>
    <m/>
    <m/>
    <m/>
    <m/>
    <m/>
    <m/>
    <n v="42117478"/>
    <n v="42140978"/>
  </r>
  <r>
    <x v="11"/>
    <x v="0"/>
    <s v="Fringe Benefits"/>
    <m/>
    <n v="218061"/>
    <x v="4"/>
    <n v="2201636"/>
    <n v="2370144"/>
    <m/>
    <m/>
    <m/>
    <m/>
    <m/>
    <m/>
    <n v="0"/>
    <m/>
    <m/>
    <n v="0"/>
    <n v="2201636"/>
    <n v="2370144"/>
    <m/>
    <m/>
    <m/>
    <m/>
    <n v="0"/>
    <m/>
    <m/>
    <n v="0"/>
    <m/>
    <m/>
    <m/>
    <m/>
    <m/>
    <m/>
    <n v="2201636"/>
    <n v="2370144"/>
  </r>
  <r>
    <x v="11"/>
    <x v="3"/>
    <s v="Community or public service units"/>
    <m/>
    <n v="218061"/>
    <x v="4"/>
    <m/>
    <m/>
    <m/>
    <m/>
    <m/>
    <m/>
    <m/>
    <m/>
    <n v="0"/>
    <m/>
    <m/>
    <n v="0"/>
    <n v="0"/>
    <n v="0"/>
    <m/>
    <m/>
    <m/>
    <m/>
    <n v="0"/>
    <m/>
    <m/>
    <n v="0"/>
    <m/>
    <m/>
    <m/>
    <m/>
    <m/>
    <m/>
    <n v="0"/>
    <n v="0"/>
  </r>
  <r>
    <x v="11"/>
    <x v="7"/>
    <s v="Research centers/institutes"/>
    <m/>
    <n v="218061"/>
    <x v="4"/>
    <m/>
    <m/>
    <m/>
    <m/>
    <m/>
    <m/>
    <m/>
    <m/>
    <n v="0"/>
    <m/>
    <m/>
    <n v="0"/>
    <n v="0"/>
    <n v="0"/>
    <m/>
    <m/>
    <m/>
    <m/>
    <n v="0"/>
    <m/>
    <m/>
    <n v="0"/>
    <m/>
    <m/>
    <m/>
    <m/>
    <m/>
    <m/>
    <n v="0"/>
    <n v="0"/>
  </r>
  <r>
    <x v="11"/>
    <x v="8"/>
    <s v="Special Line items for education operations"/>
    <m/>
    <n v="218061"/>
    <x v="4"/>
    <m/>
    <m/>
    <m/>
    <m/>
    <m/>
    <m/>
    <m/>
    <m/>
    <n v="0"/>
    <m/>
    <m/>
    <n v="0"/>
    <n v="0"/>
    <n v="0"/>
    <m/>
    <m/>
    <m/>
    <m/>
    <n v="0"/>
    <m/>
    <m/>
    <n v="0"/>
    <m/>
    <m/>
    <m/>
    <m/>
    <m/>
    <m/>
    <n v="0"/>
    <n v="0"/>
  </r>
  <r>
    <x v="11"/>
    <x v="8"/>
    <s v="Deferred Maintenance (NR &amp; Lottery)"/>
    <m/>
    <n v="218061"/>
    <x v="4"/>
    <m/>
    <m/>
    <n v="1643547"/>
    <m/>
    <m/>
    <m/>
    <m/>
    <m/>
    <n v="0"/>
    <m/>
    <m/>
    <n v="0"/>
    <n v="1643547"/>
    <n v="0"/>
    <m/>
    <m/>
    <m/>
    <m/>
    <n v="0"/>
    <m/>
    <m/>
    <n v="0"/>
    <m/>
    <m/>
    <m/>
    <m/>
    <m/>
    <m/>
    <n v="1643547"/>
    <n v="0"/>
  </r>
  <r>
    <x v="11"/>
    <x v="8"/>
    <s v="Building Repair &amp; Maintenance (Lottery)"/>
    <m/>
    <n v="218061"/>
    <x v="4"/>
    <m/>
    <m/>
    <m/>
    <n v="494624"/>
    <m/>
    <m/>
    <m/>
    <m/>
    <n v="0"/>
    <m/>
    <m/>
    <n v="0"/>
    <n v="0"/>
    <n v="494624"/>
    <m/>
    <m/>
    <m/>
    <m/>
    <n v="0"/>
    <m/>
    <m/>
    <n v="0"/>
    <m/>
    <m/>
    <m/>
    <m/>
    <m/>
    <m/>
    <n v="0"/>
    <n v="494624"/>
  </r>
  <r>
    <x v="11"/>
    <x v="8"/>
    <s v="Nurse Practitioner Program"/>
    <m/>
    <n v="218061"/>
    <x v="4"/>
    <m/>
    <m/>
    <n v="600000"/>
    <n v="500000"/>
    <m/>
    <m/>
    <m/>
    <m/>
    <n v="0"/>
    <m/>
    <m/>
    <n v="0"/>
    <n v="600000"/>
    <n v="500000"/>
    <m/>
    <m/>
    <m/>
    <m/>
    <n v="0"/>
    <m/>
    <m/>
    <n v="0"/>
    <m/>
    <m/>
    <m/>
    <m/>
    <m/>
    <m/>
    <n v="600000"/>
    <n v="500000"/>
  </r>
  <r>
    <x v="11"/>
    <x v="8"/>
    <s v="Industrial Engineering"/>
    <m/>
    <n v="218061"/>
    <x v="4"/>
    <m/>
    <m/>
    <m/>
    <n v="400000"/>
    <m/>
    <m/>
    <m/>
    <m/>
    <n v="0"/>
    <m/>
    <m/>
    <n v="0"/>
    <n v="0"/>
    <n v="400000"/>
    <m/>
    <m/>
    <m/>
    <m/>
    <n v="0"/>
    <m/>
    <m/>
    <n v="0"/>
    <m/>
    <m/>
    <m/>
    <m/>
    <m/>
    <m/>
    <n v="0"/>
    <n v="400000"/>
  </r>
  <r>
    <x v="11"/>
    <x v="8"/>
    <s v="Academic Endowment"/>
    <m/>
    <n v="218061"/>
    <x v="4"/>
    <m/>
    <m/>
    <n v="4676"/>
    <n v="4509"/>
    <m/>
    <m/>
    <m/>
    <m/>
    <n v="0"/>
    <m/>
    <m/>
    <n v="0"/>
    <n v="4676"/>
    <n v="4509"/>
    <m/>
    <m/>
    <m/>
    <m/>
    <n v="0"/>
    <m/>
    <m/>
    <n v="0"/>
    <m/>
    <m/>
    <m/>
    <m/>
    <m/>
    <m/>
    <n v="4676"/>
    <n v="4509"/>
  </r>
  <r>
    <x v="11"/>
    <x v="8"/>
    <s v="Lottery Technology (NR)"/>
    <m/>
    <n v="218061"/>
    <x v="4"/>
    <m/>
    <m/>
    <n v="423006"/>
    <n v="407279"/>
    <m/>
    <m/>
    <m/>
    <m/>
    <n v="0"/>
    <m/>
    <m/>
    <n v="0"/>
    <n v="423006"/>
    <n v="407279"/>
    <m/>
    <m/>
    <m/>
    <m/>
    <n v="0"/>
    <m/>
    <m/>
    <n v="0"/>
    <m/>
    <m/>
    <m/>
    <m/>
    <m/>
    <m/>
    <n v="423006"/>
    <n v="407279"/>
  </r>
  <r>
    <x v="11"/>
    <x v="0"/>
    <s v="South Carolina State University "/>
    <m/>
    <n v="218733"/>
    <x v="4"/>
    <n v="9012510"/>
    <n v="9032510"/>
    <m/>
    <m/>
    <m/>
    <m/>
    <n v="38551019"/>
    <n v="3043501"/>
    <n v="41594520"/>
    <n v="38551019"/>
    <n v="3043501"/>
    <n v="41594520"/>
    <n v="47563529"/>
    <n v="47583529"/>
    <m/>
    <m/>
    <m/>
    <m/>
    <n v="0"/>
    <m/>
    <m/>
    <n v="0"/>
    <m/>
    <m/>
    <m/>
    <m/>
    <m/>
    <m/>
    <n v="47563529"/>
    <n v="47583529"/>
  </r>
  <r>
    <x v="11"/>
    <x v="0"/>
    <s v="Fringe Benefits"/>
    <m/>
    <n v="218733"/>
    <x v="4"/>
    <n v="2901394"/>
    <n v="3079047"/>
    <m/>
    <m/>
    <m/>
    <m/>
    <m/>
    <m/>
    <n v="0"/>
    <m/>
    <m/>
    <n v="0"/>
    <n v="2901394"/>
    <n v="3079047"/>
    <m/>
    <m/>
    <m/>
    <m/>
    <n v="0"/>
    <m/>
    <m/>
    <n v="0"/>
    <m/>
    <m/>
    <m/>
    <m/>
    <m/>
    <m/>
    <n v="2901394"/>
    <n v="3079047"/>
  </r>
  <r>
    <x v="11"/>
    <x v="3"/>
    <s v="Community or public service units"/>
    <m/>
    <n v="218733"/>
    <x v="4"/>
    <m/>
    <m/>
    <m/>
    <m/>
    <m/>
    <m/>
    <m/>
    <m/>
    <n v="0"/>
    <m/>
    <m/>
    <n v="0"/>
    <n v="0"/>
    <n v="0"/>
    <m/>
    <m/>
    <m/>
    <m/>
    <n v="0"/>
    <m/>
    <m/>
    <n v="0"/>
    <m/>
    <m/>
    <m/>
    <m/>
    <m/>
    <m/>
    <n v="0"/>
    <n v="0"/>
  </r>
  <r>
    <x v="11"/>
    <x v="5"/>
    <s v="Public Service Activities"/>
    <m/>
    <n v="218733"/>
    <x v="4"/>
    <m/>
    <m/>
    <m/>
    <m/>
    <m/>
    <m/>
    <m/>
    <m/>
    <n v="0"/>
    <m/>
    <m/>
    <n v="0"/>
    <n v="0"/>
    <n v="0"/>
    <m/>
    <m/>
    <m/>
    <m/>
    <n v="0"/>
    <m/>
    <m/>
    <n v="0"/>
    <m/>
    <m/>
    <m/>
    <m/>
    <m/>
    <m/>
    <n v="0"/>
    <n v="0"/>
  </r>
  <r>
    <x v="11"/>
    <x v="7"/>
    <s v="Research centers/institutes"/>
    <m/>
    <n v="218733"/>
    <x v="4"/>
    <m/>
    <m/>
    <m/>
    <m/>
    <m/>
    <m/>
    <m/>
    <m/>
    <n v="0"/>
    <m/>
    <m/>
    <n v="0"/>
    <n v="0"/>
    <n v="0"/>
    <m/>
    <m/>
    <m/>
    <m/>
    <n v="0"/>
    <m/>
    <m/>
    <n v="0"/>
    <m/>
    <m/>
    <m/>
    <m/>
    <m/>
    <m/>
    <n v="0"/>
    <n v="0"/>
  </r>
  <r>
    <x v="11"/>
    <x v="8"/>
    <s v="Special Line items for education operations"/>
    <m/>
    <n v="218733"/>
    <x v="4"/>
    <m/>
    <m/>
    <m/>
    <m/>
    <m/>
    <m/>
    <m/>
    <m/>
    <n v="0"/>
    <m/>
    <m/>
    <n v="0"/>
    <n v="0"/>
    <n v="0"/>
    <m/>
    <m/>
    <m/>
    <m/>
    <n v="0"/>
    <m/>
    <m/>
    <n v="0"/>
    <m/>
    <m/>
    <m/>
    <m/>
    <m/>
    <m/>
    <n v="0"/>
    <n v="0"/>
  </r>
  <r>
    <x v="11"/>
    <x v="8"/>
    <s v="Deferred Maintenance (NR &amp; Lottery)"/>
    <m/>
    <n v="218733"/>
    <x v="4"/>
    <m/>
    <m/>
    <n v="1809059"/>
    <m/>
    <m/>
    <m/>
    <m/>
    <m/>
    <n v="0"/>
    <m/>
    <m/>
    <n v="0"/>
    <n v="1809059"/>
    <n v="0"/>
    <m/>
    <m/>
    <m/>
    <m/>
    <n v="0"/>
    <m/>
    <m/>
    <n v="0"/>
    <m/>
    <m/>
    <m/>
    <m/>
    <m/>
    <m/>
    <n v="1809059"/>
    <n v="0"/>
  </r>
  <r>
    <x v="11"/>
    <x v="8"/>
    <s v="Building Repair &amp; Maintenance (Lottery)"/>
    <m/>
    <n v="218733"/>
    <x v="4"/>
    <m/>
    <m/>
    <m/>
    <n v="518277"/>
    <m/>
    <m/>
    <m/>
    <m/>
    <n v="0"/>
    <m/>
    <m/>
    <n v="0"/>
    <n v="0"/>
    <n v="518277"/>
    <m/>
    <m/>
    <m/>
    <m/>
    <n v="0"/>
    <m/>
    <m/>
    <n v="0"/>
    <m/>
    <m/>
    <m/>
    <m/>
    <m/>
    <m/>
    <n v="0"/>
    <n v="518277"/>
  </r>
  <r>
    <x v="11"/>
    <x v="8"/>
    <s v="Academic Endowment"/>
    <m/>
    <n v="218733"/>
    <x v="4"/>
    <m/>
    <m/>
    <n v="1898"/>
    <n v="1793"/>
    <m/>
    <m/>
    <m/>
    <m/>
    <n v="0"/>
    <m/>
    <m/>
    <n v="0"/>
    <n v="1898"/>
    <n v="1793"/>
    <m/>
    <m/>
    <m/>
    <m/>
    <n v="0"/>
    <m/>
    <m/>
    <n v="0"/>
    <m/>
    <m/>
    <m/>
    <m/>
    <m/>
    <m/>
    <n v="1898"/>
    <n v="1793"/>
  </r>
  <r>
    <x v="11"/>
    <x v="8"/>
    <s v="S.C. State Univ. Business School "/>
    <m/>
    <n v="218733"/>
    <x v="4"/>
    <m/>
    <m/>
    <n v="279504"/>
    <n v="279504"/>
    <m/>
    <m/>
    <m/>
    <m/>
    <n v="0"/>
    <m/>
    <m/>
    <n v="0"/>
    <n v="279504"/>
    <n v="279504"/>
    <m/>
    <m/>
    <m/>
    <m/>
    <n v="0"/>
    <m/>
    <m/>
    <n v="0"/>
    <m/>
    <m/>
    <m/>
    <m/>
    <m/>
    <m/>
    <n v="279504"/>
    <n v="279504"/>
  </r>
  <r>
    <x v="11"/>
    <x v="8"/>
    <s v="Enrollment Management"/>
    <m/>
    <n v="218733"/>
    <x v="4"/>
    <m/>
    <m/>
    <m/>
    <n v="346000"/>
    <m/>
    <m/>
    <m/>
    <m/>
    <n v="0"/>
    <m/>
    <m/>
    <n v="0"/>
    <n v="0"/>
    <n v="346000"/>
    <m/>
    <m/>
    <m/>
    <m/>
    <n v="0"/>
    <m/>
    <m/>
    <n v="0"/>
    <m/>
    <m/>
    <m/>
    <m/>
    <m/>
    <m/>
    <n v="0"/>
    <n v="346000"/>
  </r>
  <r>
    <x v="11"/>
    <x v="8"/>
    <s v="Transportation Center Match"/>
    <m/>
    <n v="218733"/>
    <x v="4"/>
    <m/>
    <m/>
    <m/>
    <m/>
    <m/>
    <m/>
    <m/>
    <m/>
    <n v="0"/>
    <m/>
    <m/>
    <n v="0"/>
    <n v="0"/>
    <n v="0"/>
    <m/>
    <m/>
    <m/>
    <m/>
    <n v="0"/>
    <m/>
    <m/>
    <n v="0"/>
    <m/>
    <m/>
    <m/>
    <m/>
    <m/>
    <m/>
    <n v="0"/>
    <n v="0"/>
  </r>
  <r>
    <x v="11"/>
    <x v="8"/>
    <s v="South Carolina Alliance for Minority Participation (SCAMP)"/>
    <m/>
    <n v="218733"/>
    <x v="4"/>
    <m/>
    <m/>
    <m/>
    <m/>
    <m/>
    <m/>
    <m/>
    <m/>
    <n v="0"/>
    <m/>
    <m/>
    <n v="0"/>
    <n v="0"/>
    <n v="0"/>
    <m/>
    <m/>
    <m/>
    <m/>
    <n v="0"/>
    <m/>
    <m/>
    <n v="0"/>
    <m/>
    <m/>
    <m/>
    <m/>
    <m/>
    <m/>
    <n v="0"/>
    <n v="0"/>
  </r>
  <r>
    <x v="11"/>
    <x v="8"/>
    <s v="African American Loan Program"/>
    <m/>
    <n v="218733"/>
    <x v="4"/>
    <m/>
    <m/>
    <n v="87905"/>
    <n v="87924"/>
    <m/>
    <m/>
    <m/>
    <m/>
    <n v="0"/>
    <m/>
    <m/>
    <n v="0"/>
    <n v="87905"/>
    <n v="87924"/>
    <m/>
    <m/>
    <m/>
    <m/>
    <n v="0"/>
    <m/>
    <m/>
    <n v="0"/>
    <m/>
    <m/>
    <m/>
    <m/>
    <m/>
    <m/>
    <n v="87905"/>
    <n v="87924"/>
  </r>
  <r>
    <x v="11"/>
    <x v="8"/>
    <s v="Operating Funds (Lottery) (NR)"/>
    <m/>
    <n v="218733"/>
    <x v="4"/>
    <m/>
    <m/>
    <n v="2500000"/>
    <n v="2500000"/>
    <m/>
    <m/>
    <m/>
    <m/>
    <n v="0"/>
    <m/>
    <m/>
    <n v="0"/>
    <n v="2500000"/>
    <n v="2500000"/>
    <m/>
    <m/>
    <m/>
    <m/>
    <n v="0"/>
    <m/>
    <m/>
    <n v="0"/>
    <m/>
    <m/>
    <m/>
    <m/>
    <m/>
    <m/>
    <n v="2500000"/>
    <n v="2500000"/>
  </r>
  <r>
    <x v="11"/>
    <x v="8"/>
    <s v="Higher Education Excellence Enhancement Program (Lottery)(NR)"/>
    <m/>
    <n v="218733"/>
    <x v="4"/>
    <m/>
    <m/>
    <n v="500000"/>
    <n v="497256"/>
    <m/>
    <m/>
    <m/>
    <m/>
    <n v="0"/>
    <m/>
    <m/>
    <n v="0"/>
    <n v="500000"/>
    <n v="497256"/>
    <m/>
    <m/>
    <m/>
    <m/>
    <n v="0"/>
    <m/>
    <m/>
    <n v="0"/>
    <m/>
    <m/>
    <m/>
    <m/>
    <m/>
    <m/>
    <n v="500000"/>
    <n v="497256"/>
  </r>
  <r>
    <x v="11"/>
    <x v="8"/>
    <s v="Lottery Technology (NR)"/>
    <m/>
    <n v="218733"/>
    <x v="4"/>
    <m/>
    <m/>
    <n v="457429"/>
    <n v="422737"/>
    <m/>
    <m/>
    <m/>
    <m/>
    <n v="0"/>
    <m/>
    <m/>
    <n v="0"/>
    <n v="457429"/>
    <n v="422737"/>
    <m/>
    <m/>
    <m/>
    <m/>
    <n v="0"/>
    <m/>
    <m/>
    <n v="0"/>
    <m/>
    <m/>
    <m/>
    <m/>
    <m/>
    <m/>
    <n v="457429"/>
    <n v="422737"/>
  </r>
  <r>
    <x v="11"/>
    <x v="0"/>
    <s v="Lander University"/>
    <m/>
    <n v="218229"/>
    <x v="5"/>
    <n v="4703621"/>
    <n v="4728621"/>
    <m/>
    <m/>
    <m/>
    <m/>
    <n v="29478319"/>
    <n v="1355328"/>
    <n v="30833647"/>
    <n v="29478319"/>
    <n v="1355328"/>
    <n v="30833647"/>
    <n v="34181940"/>
    <n v="34206940"/>
    <m/>
    <m/>
    <m/>
    <m/>
    <n v="0"/>
    <m/>
    <m/>
    <n v="0"/>
    <m/>
    <m/>
    <m/>
    <m/>
    <m/>
    <m/>
    <n v="34181940"/>
    <n v="34206940"/>
  </r>
  <r>
    <x v="11"/>
    <x v="0"/>
    <s v="Fringe Benefits"/>
    <m/>
    <n v="218229"/>
    <x v="5"/>
    <n v="1415506"/>
    <n v="1504011"/>
    <m/>
    <m/>
    <m/>
    <m/>
    <m/>
    <m/>
    <n v="0"/>
    <m/>
    <m/>
    <n v="0"/>
    <n v="1415506"/>
    <n v="1504011"/>
    <m/>
    <m/>
    <m/>
    <m/>
    <n v="0"/>
    <m/>
    <m/>
    <n v="0"/>
    <m/>
    <m/>
    <m/>
    <m/>
    <m/>
    <m/>
    <n v="1415506"/>
    <n v="1504011"/>
  </r>
  <r>
    <x v="11"/>
    <x v="8"/>
    <s v="Special Line items for education operations"/>
    <m/>
    <n v="218229"/>
    <x v="5"/>
    <m/>
    <m/>
    <m/>
    <m/>
    <m/>
    <m/>
    <m/>
    <m/>
    <n v="0"/>
    <m/>
    <m/>
    <n v="0"/>
    <n v="0"/>
    <n v="0"/>
    <m/>
    <m/>
    <m/>
    <m/>
    <n v="0"/>
    <m/>
    <m/>
    <n v="0"/>
    <m/>
    <m/>
    <m/>
    <m/>
    <m/>
    <m/>
    <n v="0"/>
    <n v="0"/>
  </r>
  <r>
    <x v="11"/>
    <x v="8"/>
    <s v="Deferred Maintenance (NR &amp; Lottery)"/>
    <m/>
    <n v="218229"/>
    <x v="5"/>
    <m/>
    <m/>
    <n v="931072"/>
    <m/>
    <m/>
    <m/>
    <m/>
    <m/>
    <n v="0"/>
    <m/>
    <m/>
    <n v="0"/>
    <n v="931072"/>
    <n v="0"/>
    <m/>
    <m/>
    <m/>
    <m/>
    <n v="0"/>
    <m/>
    <m/>
    <n v="0"/>
    <m/>
    <m/>
    <m/>
    <m/>
    <m/>
    <m/>
    <n v="931072"/>
    <n v="0"/>
  </r>
  <r>
    <x v="11"/>
    <x v="8"/>
    <s v="Building Repair &amp; Maintenance (Lottery)"/>
    <m/>
    <n v="218229"/>
    <x v="5"/>
    <m/>
    <m/>
    <m/>
    <n v="266807"/>
    <m/>
    <m/>
    <m/>
    <m/>
    <n v="0"/>
    <m/>
    <m/>
    <n v="0"/>
    <n v="0"/>
    <n v="266807"/>
    <m/>
    <m/>
    <m/>
    <m/>
    <n v="0"/>
    <m/>
    <m/>
    <n v="0"/>
    <m/>
    <m/>
    <m/>
    <m/>
    <m/>
    <m/>
    <n v="0"/>
    <n v="266807"/>
  </r>
  <r>
    <x v="11"/>
    <x v="8"/>
    <s v="National Center for Montessori Education"/>
    <m/>
    <n v="218229"/>
    <x v="5"/>
    <m/>
    <m/>
    <m/>
    <n v="750000"/>
    <m/>
    <m/>
    <m/>
    <m/>
    <n v="0"/>
    <m/>
    <m/>
    <n v="0"/>
    <n v="0"/>
    <n v="750000"/>
    <m/>
    <m/>
    <m/>
    <m/>
    <n v="0"/>
    <m/>
    <m/>
    <n v="0"/>
    <m/>
    <m/>
    <m/>
    <m/>
    <m/>
    <m/>
    <n v="0"/>
    <n v="750000"/>
  </r>
  <r>
    <x v="11"/>
    <x v="8"/>
    <s v="Academic Endowment"/>
    <m/>
    <n v="218229"/>
    <x v="5"/>
    <m/>
    <m/>
    <n v="3549"/>
    <m/>
    <m/>
    <m/>
    <m/>
    <m/>
    <n v="0"/>
    <m/>
    <m/>
    <n v="0"/>
    <n v="3549"/>
    <n v="0"/>
    <m/>
    <m/>
    <m/>
    <m/>
    <n v="0"/>
    <m/>
    <m/>
    <n v="0"/>
    <m/>
    <m/>
    <m/>
    <m/>
    <m/>
    <m/>
    <n v="3549"/>
    <n v="0"/>
  </r>
  <r>
    <x v="11"/>
    <x v="8"/>
    <s v="Lottery Technology (NR)"/>
    <m/>
    <n v="218229"/>
    <x v="5"/>
    <m/>
    <m/>
    <n v="371124"/>
    <n v="364199"/>
    <m/>
    <m/>
    <m/>
    <m/>
    <n v="0"/>
    <m/>
    <m/>
    <n v="0"/>
    <n v="371124"/>
    <n v="364199"/>
    <m/>
    <m/>
    <m/>
    <m/>
    <n v="0"/>
    <m/>
    <m/>
    <n v="0"/>
    <m/>
    <m/>
    <m/>
    <m/>
    <m/>
    <m/>
    <n v="371124"/>
    <n v="364199"/>
  </r>
  <r>
    <x v="11"/>
    <x v="0"/>
    <s v="University of South Carolina-Aiken"/>
    <m/>
    <n v="218645"/>
    <x v="5"/>
    <n v="4997592"/>
    <n v="4997592"/>
    <m/>
    <m/>
    <m/>
    <m/>
    <n v="27062961"/>
    <n v="1291751"/>
    <n v="28354712"/>
    <n v="27062961"/>
    <n v="1291751"/>
    <n v="28354712"/>
    <n v="32060553"/>
    <n v="32060553"/>
    <m/>
    <m/>
    <m/>
    <m/>
    <n v="0"/>
    <m/>
    <m/>
    <n v="0"/>
    <m/>
    <m/>
    <m/>
    <m/>
    <m/>
    <m/>
    <n v="32060553"/>
    <n v="32060553"/>
  </r>
  <r>
    <x v="11"/>
    <x v="0"/>
    <s v="Fringe Benefits"/>
    <m/>
    <n v="218645"/>
    <x v="5"/>
    <n v="1225703"/>
    <n v="1315210"/>
    <m/>
    <m/>
    <m/>
    <m/>
    <m/>
    <m/>
    <n v="0"/>
    <m/>
    <m/>
    <n v="0"/>
    <n v="1225703"/>
    <n v="1315210"/>
    <m/>
    <m/>
    <m/>
    <m/>
    <n v="0"/>
    <m/>
    <m/>
    <n v="0"/>
    <m/>
    <m/>
    <m/>
    <m/>
    <m/>
    <m/>
    <n v="1225703"/>
    <n v="1315210"/>
  </r>
  <r>
    <x v="11"/>
    <x v="8"/>
    <s v="Special Line items for education operations"/>
    <m/>
    <n v="218645"/>
    <x v="5"/>
    <m/>
    <m/>
    <m/>
    <m/>
    <m/>
    <m/>
    <m/>
    <m/>
    <n v="0"/>
    <m/>
    <m/>
    <n v="0"/>
    <n v="0"/>
    <n v="0"/>
    <m/>
    <m/>
    <m/>
    <m/>
    <n v="0"/>
    <m/>
    <m/>
    <n v="0"/>
    <m/>
    <m/>
    <m/>
    <m/>
    <m/>
    <m/>
    <n v="0"/>
    <n v="0"/>
  </r>
  <r>
    <x v="11"/>
    <x v="8"/>
    <s v="Deferred Maintenance (NR &amp; Lottery)"/>
    <m/>
    <n v="218645"/>
    <x v="5"/>
    <m/>
    <m/>
    <n v="841761"/>
    <m/>
    <m/>
    <m/>
    <m/>
    <m/>
    <n v="0"/>
    <m/>
    <m/>
    <n v="0"/>
    <n v="841761"/>
    <n v="0"/>
    <m/>
    <m/>
    <m/>
    <m/>
    <n v="0"/>
    <m/>
    <m/>
    <n v="0"/>
    <m/>
    <m/>
    <m/>
    <m/>
    <m/>
    <m/>
    <n v="841761"/>
    <n v="0"/>
  </r>
  <r>
    <x v="11"/>
    <x v="8"/>
    <s v="Personal Services and Operating"/>
    <m/>
    <n v="218645"/>
    <x v="5"/>
    <m/>
    <m/>
    <m/>
    <n v="250000"/>
    <m/>
    <m/>
    <m/>
    <m/>
    <n v="0"/>
    <m/>
    <m/>
    <n v="0"/>
    <n v="0"/>
    <n v="250000"/>
    <m/>
    <m/>
    <m/>
    <m/>
    <n v="0"/>
    <m/>
    <m/>
    <n v="0"/>
    <m/>
    <m/>
    <m/>
    <m/>
    <m/>
    <m/>
    <n v="0"/>
    <n v="250000"/>
  </r>
  <r>
    <x v="11"/>
    <x v="8"/>
    <s v="Palmetto College (Recurring)"/>
    <m/>
    <n v="218645"/>
    <x v="5"/>
    <m/>
    <m/>
    <m/>
    <n v="474500"/>
    <m/>
    <m/>
    <m/>
    <m/>
    <n v="0"/>
    <m/>
    <m/>
    <n v="0"/>
    <n v="0"/>
    <n v="474500"/>
    <m/>
    <m/>
    <m/>
    <m/>
    <n v="0"/>
    <m/>
    <m/>
    <n v="0"/>
    <m/>
    <m/>
    <m/>
    <m/>
    <m/>
    <m/>
    <n v="0"/>
    <n v="474500"/>
  </r>
  <r>
    <x v="11"/>
    <x v="8"/>
    <s v="Building-Roof &amp; HVAC Repair/Replacement"/>
    <m/>
    <n v="218645"/>
    <x v="5"/>
    <m/>
    <m/>
    <m/>
    <n v="575000"/>
    <m/>
    <m/>
    <m/>
    <m/>
    <n v="0"/>
    <m/>
    <m/>
    <n v="0"/>
    <n v="0"/>
    <n v="575000"/>
    <m/>
    <m/>
    <m/>
    <m/>
    <n v="0"/>
    <m/>
    <m/>
    <n v="0"/>
    <m/>
    <m/>
    <m/>
    <m/>
    <m/>
    <m/>
    <n v="0"/>
    <n v="575000"/>
  </r>
  <r>
    <x v="11"/>
    <x v="8"/>
    <s v="Building Repair &amp; Maintenance (Lottery)"/>
    <m/>
    <n v="218645"/>
    <x v="5"/>
    <m/>
    <m/>
    <m/>
    <n v="270221"/>
    <m/>
    <m/>
    <m/>
    <m/>
    <n v="0"/>
    <m/>
    <m/>
    <n v="0"/>
    <n v="0"/>
    <n v="270221"/>
    <m/>
    <m/>
    <m/>
    <m/>
    <n v="0"/>
    <m/>
    <m/>
    <n v="0"/>
    <m/>
    <m/>
    <m/>
    <m/>
    <m/>
    <m/>
    <n v="0"/>
    <n v="270221"/>
  </r>
  <r>
    <x v="11"/>
    <x v="8"/>
    <s v="Academic Endowment"/>
    <m/>
    <n v="218645"/>
    <x v="5"/>
    <m/>
    <m/>
    <n v="4223"/>
    <n v="4148"/>
    <m/>
    <m/>
    <m/>
    <m/>
    <n v="0"/>
    <m/>
    <m/>
    <n v="0"/>
    <n v="4223"/>
    <n v="4148"/>
    <m/>
    <m/>
    <m/>
    <m/>
    <n v="0"/>
    <m/>
    <m/>
    <n v="0"/>
    <m/>
    <m/>
    <m/>
    <m/>
    <m/>
    <m/>
    <n v="4223"/>
    <n v="4148"/>
  </r>
  <r>
    <x v="11"/>
    <x v="8"/>
    <s v="Lottery Technology (NR)"/>
    <m/>
    <n v="218645"/>
    <x v="5"/>
    <m/>
    <m/>
    <n v="367680"/>
    <n v="357395"/>
    <m/>
    <m/>
    <m/>
    <m/>
    <n v="0"/>
    <m/>
    <m/>
    <n v="0"/>
    <n v="367680"/>
    <n v="357395"/>
    <m/>
    <m/>
    <m/>
    <m/>
    <n v="0"/>
    <m/>
    <m/>
    <n v="0"/>
    <m/>
    <m/>
    <m/>
    <m/>
    <m/>
    <m/>
    <n v="367680"/>
    <n v="357395"/>
  </r>
  <r>
    <x v="11"/>
    <x v="0"/>
    <s v="University of South Carolina-Beaufort"/>
    <m/>
    <n v="218654"/>
    <x v="5"/>
    <n v="1145720"/>
    <n v="1145720"/>
    <m/>
    <m/>
    <m/>
    <m/>
    <n v="15790298"/>
    <n v="232278"/>
    <n v="16022576"/>
    <n v="15790298"/>
    <n v="232278"/>
    <n v="16022576"/>
    <n v="16936018"/>
    <n v="16936018"/>
    <m/>
    <m/>
    <m/>
    <m/>
    <n v="0"/>
    <m/>
    <m/>
    <n v="0"/>
    <m/>
    <m/>
    <m/>
    <m/>
    <m/>
    <m/>
    <n v="16936018"/>
    <n v="16936018"/>
  </r>
  <r>
    <x v="11"/>
    <x v="0"/>
    <s v="Fringe Benefits"/>
    <m/>
    <n v="218654"/>
    <x v="5"/>
    <n v="280447"/>
    <n v="302775"/>
    <m/>
    <m/>
    <m/>
    <m/>
    <m/>
    <m/>
    <n v="0"/>
    <m/>
    <m/>
    <n v="0"/>
    <n v="280447"/>
    <n v="302775"/>
    <m/>
    <m/>
    <m/>
    <m/>
    <n v="0"/>
    <m/>
    <m/>
    <n v="0"/>
    <m/>
    <m/>
    <m/>
    <m/>
    <m/>
    <m/>
    <n v="280447"/>
    <n v="302775"/>
  </r>
  <r>
    <x v="11"/>
    <x v="3"/>
    <s v="Community or public service units"/>
    <m/>
    <n v="218654"/>
    <x v="5"/>
    <m/>
    <m/>
    <m/>
    <m/>
    <m/>
    <m/>
    <m/>
    <m/>
    <n v="0"/>
    <m/>
    <m/>
    <n v="0"/>
    <n v="0"/>
    <n v="0"/>
    <m/>
    <m/>
    <m/>
    <m/>
    <n v="0"/>
    <m/>
    <m/>
    <n v="0"/>
    <m/>
    <m/>
    <m/>
    <m/>
    <m/>
    <m/>
    <n v="0"/>
    <n v="0"/>
  </r>
  <r>
    <x v="11"/>
    <x v="8"/>
    <s v="Special Line items for education operations"/>
    <m/>
    <n v="218654"/>
    <x v="5"/>
    <m/>
    <m/>
    <m/>
    <m/>
    <m/>
    <m/>
    <m/>
    <m/>
    <n v="0"/>
    <m/>
    <m/>
    <n v="0"/>
    <n v="0"/>
    <n v="0"/>
    <m/>
    <m/>
    <m/>
    <m/>
    <n v="0"/>
    <m/>
    <m/>
    <n v="0"/>
    <m/>
    <m/>
    <m/>
    <m/>
    <m/>
    <m/>
    <n v="0"/>
    <n v="0"/>
  </r>
  <r>
    <x v="11"/>
    <x v="8"/>
    <s v="Deferred Maintenance (NR &amp; Lottery)"/>
    <m/>
    <n v="218654"/>
    <x v="5"/>
    <m/>
    <m/>
    <n v="393353"/>
    <m/>
    <m/>
    <m/>
    <m/>
    <m/>
    <n v="0"/>
    <m/>
    <m/>
    <n v="0"/>
    <n v="393353"/>
    <n v="0"/>
    <m/>
    <m/>
    <m/>
    <m/>
    <n v="0"/>
    <m/>
    <m/>
    <n v="0"/>
    <m/>
    <m/>
    <m/>
    <m/>
    <m/>
    <m/>
    <n v="393353"/>
    <n v="0"/>
  </r>
  <r>
    <x v="11"/>
    <x v="8"/>
    <s v="Personal Services &amp; Operating"/>
    <m/>
    <n v="218654"/>
    <x v="5"/>
    <m/>
    <m/>
    <m/>
    <n v="1200000"/>
    <m/>
    <m/>
    <m/>
    <m/>
    <n v="0"/>
    <m/>
    <m/>
    <n v="0"/>
    <n v="0"/>
    <n v="1200000"/>
    <m/>
    <m/>
    <m/>
    <m/>
    <n v="0"/>
    <m/>
    <m/>
    <n v="0"/>
    <m/>
    <m/>
    <m/>
    <m/>
    <m/>
    <m/>
    <n v="0"/>
    <n v="1200000"/>
  </r>
  <r>
    <x v="11"/>
    <x v="8"/>
    <s v="Palmetto College"/>
    <m/>
    <n v="218654"/>
    <x v="5"/>
    <m/>
    <m/>
    <m/>
    <n v="459500"/>
    <m/>
    <m/>
    <m/>
    <m/>
    <n v="0"/>
    <m/>
    <m/>
    <n v="0"/>
    <n v="0"/>
    <n v="459500"/>
    <m/>
    <m/>
    <m/>
    <m/>
    <n v="0"/>
    <m/>
    <m/>
    <n v="0"/>
    <m/>
    <m/>
    <m/>
    <m/>
    <m/>
    <m/>
    <n v="0"/>
    <n v="459500"/>
  </r>
  <r>
    <x v="11"/>
    <x v="8"/>
    <s v="Building Repair &amp; Maintenance (Lottery)"/>
    <m/>
    <n v="218654"/>
    <x v="5"/>
    <m/>
    <m/>
    <m/>
    <n v="61899"/>
    <m/>
    <m/>
    <m/>
    <m/>
    <n v="0"/>
    <m/>
    <m/>
    <n v="0"/>
    <n v="0"/>
    <n v="61899"/>
    <m/>
    <m/>
    <m/>
    <m/>
    <n v="0"/>
    <m/>
    <m/>
    <n v="0"/>
    <m/>
    <m/>
    <m/>
    <m/>
    <m/>
    <m/>
    <n v="0"/>
    <n v="61899"/>
  </r>
  <r>
    <x v="11"/>
    <x v="8"/>
    <s v="Academic Endowment"/>
    <m/>
    <n v="218654"/>
    <x v="5"/>
    <m/>
    <m/>
    <n v="1157"/>
    <n v="1054"/>
    <m/>
    <m/>
    <m/>
    <m/>
    <n v="0"/>
    <m/>
    <m/>
    <n v="0"/>
    <n v="1157"/>
    <n v="1054"/>
    <m/>
    <m/>
    <m/>
    <m/>
    <n v="0"/>
    <m/>
    <m/>
    <n v="0"/>
    <m/>
    <m/>
    <m/>
    <m/>
    <m/>
    <m/>
    <n v="1157"/>
    <n v="1054"/>
  </r>
  <r>
    <x v="11"/>
    <x v="8"/>
    <s v="Lottery Technology (NR)"/>
    <m/>
    <n v="218654"/>
    <x v="5"/>
    <m/>
    <m/>
    <n v="283218"/>
    <n v="275291"/>
    <m/>
    <m/>
    <m/>
    <m/>
    <n v="0"/>
    <m/>
    <m/>
    <n v="0"/>
    <n v="283218"/>
    <n v="275291"/>
    <m/>
    <m/>
    <m/>
    <m/>
    <n v="0"/>
    <m/>
    <m/>
    <n v="0"/>
    <m/>
    <m/>
    <m/>
    <m/>
    <m/>
    <m/>
    <n v="283218"/>
    <n v="275291"/>
  </r>
  <r>
    <x v="11"/>
    <x v="0"/>
    <s v="University of South Carolina-Upstate"/>
    <m/>
    <n v="218742"/>
    <x v="5"/>
    <n v="6572977"/>
    <n v="6583977"/>
    <m/>
    <m/>
    <m/>
    <m/>
    <n v="49757749"/>
    <n v="2629987"/>
    <n v="52387736"/>
    <n v="49757749"/>
    <n v="2629987"/>
    <n v="52387736"/>
    <n v="56330726"/>
    <n v="56341726"/>
    <m/>
    <m/>
    <m/>
    <m/>
    <n v="0"/>
    <m/>
    <m/>
    <n v="0"/>
    <m/>
    <m/>
    <m/>
    <m/>
    <m/>
    <m/>
    <n v="56330726"/>
    <n v="56341726"/>
  </r>
  <r>
    <x v="11"/>
    <x v="0"/>
    <s v="Fringe Benefits"/>
    <m/>
    <n v="218742"/>
    <x v="5"/>
    <n v="1605188"/>
    <n v="1718636"/>
    <m/>
    <m/>
    <m/>
    <m/>
    <m/>
    <m/>
    <n v="0"/>
    <m/>
    <m/>
    <n v="0"/>
    <n v="1605188"/>
    <n v="1718636"/>
    <m/>
    <m/>
    <m/>
    <m/>
    <n v="0"/>
    <m/>
    <m/>
    <n v="0"/>
    <m/>
    <m/>
    <m/>
    <m/>
    <m/>
    <m/>
    <n v="1605188"/>
    <n v="1718636"/>
  </r>
  <r>
    <x v="11"/>
    <x v="8"/>
    <s v="Special Line items for education operations"/>
    <m/>
    <n v="218742"/>
    <x v="5"/>
    <m/>
    <m/>
    <m/>
    <m/>
    <m/>
    <m/>
    <m/>
    <m/>
    <n v="0"/>
    <m/>
    <m/>
    <n v="0"/>
    <n v="0"/>
    <n v="0"/>
    <m/>
    <m/>
    <m/>
    <m/>
    <n v="0"/>
    <m/>
    <m/>
    <n v="0"/>
    <m/>
    <m/>
    <m/>
    <m/>
    <m/>
    <m/>
    <n v="0"/>
    <n v="0"/>
  </r>
  <r>
    <x v="11"/>
    <x v="8"/>
    <s v="Deferred Maintenance (NR &amp; Lottery)"/>
    <m/>
    <n v="218742"/>
    <x v="5"/>
    <m/>
    <m/>
    <n v="1108261"/>
    <m/>
    <m/>
    <m/>
    <m/>
    <m/>
    <n v="0"/>
    <m/>
    <m/>
    <n v="0"/>
    <n v="1108261"/>
    <n v="0"/>
    <m/>
    <m/>
    <m/>
    <m/>
    <n v="0"/>
    <m/>
    <m/>
    <n v="0"/>
    <m/>
    <m/>
    <m/>
    <m/>
    <m/>
    <m/>
    <n v="1108261"/>
    <n v="0"/>
  </r>
  <r>
    <x v="11"/>
    <x v="8"/>
    <s v="Personal Services and Operating"/>
    <m/>
    <n v="218742"/>
    <x v="5"/>
    <m/>
    <m/>
    <m/>
    <n v="848200"/>
    <m/>
    <m/>
    <m/>
    <m/>
    <n v="0"/>
    <m/>
    <m/>
    <n v="0"/>
    <n v="0"/>
    <n v="848200"/>
    <m/>
    <m/>
    <m/>
    <m/>
    <n v="0"/>
    <m/>
    <m/>
    <n v="0"/>
    <m/>
    <m/>
    <m/>
    <m/>
    <m/>
    <m/>
    <n v="0"/>
    <n v="848200"/>
  </r>
  <r>
    <x v="11"/>
    <x v="8"/>
    <s v="Palmetto College"/>
    <m/>
    <n v="218742"/>
    <x v="5"/>
    <m/>
    <m/>
    <m/>
    <n v="723500"/>
    <m/>
    <m/>
    <m/>
    <m/>
    <n v="0"/>
    <m/>
    <m/>
    <n v="0"/>
    <n v="0"/>
    <n v="723500"/>
    <m/>
    <m/>
    <m/>
    <m/>
    <n v="0"/>
    <m/>
    <m/>
    <n v="0"/>
    <m/>
    <m/>
    <m/>
    <m/>
    <m/>
    <m/>
    <n v="0"/>
    <n v="723500"/>
  </r>
  <r>
    <x v="11"/>
    <x v="8"/>
    <s v="Building Repair &amp; Maintenance (Lottery)"/>
    <m/>
    <n v="218742"/>
    <x v="5"/>
    <m/>
    <m/>
    <m/>
    <n v="355543"/>
    <m/>
    <m/>
    <m/>
    <m/>
    <n v="0"/>
    <m/>
    <m/>
    <n v="0"/>
    <n v="0"/>
    <n v="355543"/>
    <m/>
    <m/>
    <m/>
    <m/>
    <n v="0"/>
    <m/>
    <m/>
    <n v="0"/>
    <m/>
    <m/>
    <m/>
    <m/>
    <m/>
    <m/>
    <n v="0"/>
    <n v="355543"/>
  </r>
  <r>
    <x v="11"/>
    <x v="8"/>
    <s v="Academic Endowment"/>
    <m/>
    <n v="218742"/>
    <x v="5"/>
    <m/>
    <m/>
    <n v="1095"/>
    <n v="2719"/>
    <m/>
    <m/>
    <m/>
    <m/>
    <n v="0"/>
    <m/>
    <m/>
    <n v="0"/>
    <n v="1095"/>
    <n v="2719"/>
    <m/>
    <m/>
    <m/>
    <m/>
    <n v="0"/>
    <m/>
    <m/>
    <n v="0"/>
    <m/>
    <m/>
    <m/>
    <m/>
    <m/>
    <m/>
    <n v="1095"/>
    <n v="2719"/>
  </r>
  <r>
    <x v="11"/>
    <x v="8"/>
    <s v="Lottery Technology (NR)"/>
    <m/>
    <n v="218742"/>
    <x v="5"/>
    <m/>
    <m/>
    <n v="513871"/>
    <n v="498796"/>
    <m/>
    <m/>
    <m/>
    <m/>
    <n v="0"/>
    <m/>
    <m/>
    <n v="0"/>
    <n v="513871"/>
    <n v="498796"/>
    <m/>
    <m/>
    <m/>
    <m/>
    <n v="0"/>
    <m/>
    <m/>
    <n v="0"/>
    <m/>
    <m/>
    <m/>
    <m/>
    <m/>
    <m/>
    <n v="513871"/>
    <n v="498796"/>
  </r>
  <r>
    <x v="11"/>
    <x v="0"/>
    <s v="Florence-Darlington Technical College "/>
    <s v="Met the criteria for Two-Year 2 in 2013-14."/>
    <n v="218025"/>
    <x v="6"/>
    <n v="5840329"/>
    <n v="5933996"/>
    <m/>
    <m/>
    <n v="4885289"/>
    <n v="4885289"/>
    <n v="18637289"/>
    <n v="2954915"/>
    <n v="21592204"/>
    <n v="18637289"/>
    <n v="2954915"/>
    <n v="21592204"/>
    <n v="29362907"/>
    <n v="29456574"/>
    <m/>
    <m/>
    <m/>
    <m/>
    <n v="0"/>
    <m/>
    <m/>
    <n v="0"/>
    <m/>
    <m/>
    <m/>
    <m/>
    <m/>
    <m/>
    <n v="29362907"/>
    <n v="29456574"/>
  </r>
  <r>
    <x v="11"/>
    <x v="8"/>
    <s v="Special Line items for education operations"/>
    <m/>
    <n v="218025"/>
    <x v="6"/>
    <m/>
    <m/>
    <m/>
    <m/>
    <m/>
    <m/>
    <m/>
    <m/>
    <n v="0"/>
    <m/>
    <m/>
    <n v="0"/>
    <n v="0"/>
    <n v="0"/>
    <m/>
    <m/>
    <m/>
    <m/>
    <n v="0"/>
    <m/>
    <m/>
    <n v="0"/>
    <m/>
    <m/>
    <m/>
    <m/>
    <m/>
    <m/>
    <n v="0"/>
    <n v="0"/>
  </r>
  <r>
    <x v="11"/>
    <x v="8"/>
    <s v="Academic Endowment"/>
    <m/>
    <n v="218025"/>
    <x v="6"/>
    <m/>
    <m/>
    <n v="203"/>
    <n v="168"/>
    <m/>
    <m/>
    <m/>
    <m/>
    <n v="0"/>
    <m/>
    <m/>
    <n v="0"/>
    <n v="203"/>
    <n v="168"/>
    <m/>
    <m/>
    <m/>
    <m/>
    <n v="0"/>
    <m/>
    <m/>
    <n v="0"/>
    <m/>
    <m/>
    <m/>
    <m/>
    <m/>
    <m/>
    <n v="203"/>
    <n v="168"/>
  </r>
  <r>
    <x v="11"/>
    <x v="8"/>
    <s v="Personal Services &amp; Operating"/>
    <m/>
    <n v="218025"/>
    <x v="6"/>
    <m/>
    <m/>
    <m/>
    <n v="75771"/>
    <m/>
    <m/>
    <m/>
    <m/>
    <n v="0"/>
    <m/>
    <m/>
    <n v="0"/>
    <n v="0"/>
    <n v="75771"/>
    <m/>
    <m/>
    <m/>
    <m/>
    <n v="0"/>
    <m/>
    <m/>
    <n v="0"/>
    <m/>
    <m/>
    <m/>
    <m/>
    <m/>
    <m/>
    <n v="0"/>
    <n v="75771"/>
  </r>
  <r>
    <x v="11"/>
    <x v="8"/>
    <s v="Critical Needs Nursing Initiative"/>
    <m/>
    <n v="218025"/>
    <x v="6"/>
    <m/>
    <m/>
    <m/>
    <n v="22374"/>
    <m/>
    <m/>
    <m/>
    <m/>
    <n v="0"/>
    <m/>
    <m/>
    <n v="0"/>
    <n v="0"/>
    <n v="22374"/>
    <m/>
    <m/>
    <m/>
    <m/>
    <n v="0"/>
    <m/>
    <m/>
    <n v="0"/>
    <m/>
    <m/>
    <m/>
    <m/>
    <m/>
    <m/>
    <n v="0"/>
    <n v="22374"/>
  </r>
  <r>
    <x v="11"/>
    <x v="8"/>
    <s v="Deferred Maintenance"/>
    <m/>
    <n v="218025"/>
    <x v="6"/>
    <m/>
    <m/>
    <n v="410847"/>
    <m/>
    <m/>
    <m/>
    <m/>
    <m/>
    <n v="0"/>
    <m/>
    <m/>
    <n v="0"/>
    <n v="410847"/>
    <n v="0"/>
    <m/>
    <m/>
    <m/>
    <m/>
    <n v="0"/>
    <m/>
    <m/>
    <n v="0"/>
    <m/>
    <m/>
    <m/>
    <m/>
    <m/>
    <m/>
    <n v="410847"/>
    <n v="0"/>
  </r>
  <r>
    <x v="11"/>
    <x v="8"/>
    <s v="SIMT"/>
    <m/>
    <n v="218025"/>
    <x v="6"/>
    <m/>
    <m/>
    <n v="1209088"/>
    <n v="1209088"/>
    <m/>
    <m/>
    <m/>
    <m/>
    <n v="0"/>
    <m/>
    <m/>
    <n v="0"/>
    <n v="1209088"/>
    <n v="1209088"/>
    <m/>
    <m/>
    <m/>
    <m/>
    <n v="0"/>
    <m/>
    <m/>
    <n v="0"/>
    <m/>
    <m/>
    <m/>
    <m/>
    <m/>
    <m/>
    <n v="1209088"/>
    <n v="1209088"/>
  </r>
  <r>
    <x v="11"/>
    <x v="8"/>
    <s v="Pathways to Prosperity"/>
    <m/>
    <n v="218025"/>
    <x v="6"/>
    <m/>
    <m/>
    <n v="37784"/>
    <n v="37784"/>
    <m/>
    <m/>
    <m/>
    <m/>
    <n v="0"/>
    <m/>
    <m/>
    <n v="0"/>
    <n v="37784"/>
    <n v="37784"/>
    <m/>
    <m/>
    <m/>
    <m/>
    <n v="0"/>
    <m/>
    <m/>
    <n v="0"/>
    <m/>
    <m/>
    <m/>
    <m/>
    <m/>
    <m/>
    <n v="37784"/>
    <n v="37784"/>
  </r>
  <r>
    <x v="11"/>
    <x v="8"/>
    <s v="Lottery Technology (NR)"/>
    <m/>
    <n v="218025"/>
    <x v="6"/>
    <m/>
    <m/>
    <n v="218489"/>
    <n v="228366"/>
    <m/>
    <m/>
    <m/>
    <m/>
    <n v="0"/>
    <m/>
    <m/>
    <n v="0"/>
    <n v="218489"/>
    <n v="228366"/>
    <m/>
    <m/>
    <m/>
    <m/>
    <n v="0"/>
    <m/>
    <m/>
    <n v="0"/>
    <m/>
    <m/>
    <m/>
    <m/>
    <m/>
    <m/>
    <n v="218489"/>
    <n v="228366"/>
  </r>
  <r>
    <x v="11"/>
    <x v="0"/>
    <s v="Greenville Technical College "/>
    <m/>
    <n v="218113"/>
    <x v="6"/>
    <n v="15441535"/>
    <n v="15688160"/>
    <m/>
    <m/>
    <n v="10515010"/>
    <n v="10515010"/>
    <n v="71435431"/>
    <n v="2455927"/>
    <n v="73891358"/>
    <n v="71435431"/>
    <n v="2455927"/>
    <n v="73891358"/>
    <n v="97391976"/>
    <n v="97638601"/>
    <m/>
    <m/>
    <m/>
    <m/>
    <n v="0"/>
    <m/>
    <m/>
    <n v="0"/>
    <m/>
    <m/>
    <m/>
    <m/>
    <m/>
    <m/>
    <n v="97391976"/>
    <n v="97638601"/>
  </r>
  <r>
    <x v="11"/>
    <x v="8"/>
    <s v="Special Line items for education operations"/>
    <m/>
    <n v="218113"/>
    <x v="6"/>
    <m/>
    <m/>
    <m/>
    <m/>
    <m/>
    <m/>
    <m/>
    <m/>
    <n v="0"/>
    <m/>
    <m/>
    <n v="0"/>
    <n v="0"/>
    <n v="0"/>
    <m/>
    <m/>
    <m/>
    <m/>
    <n v="0"/>
    <m/>
    <m/>
    <n v="0"/>
    <m/>
    <m/>
    <m/>
    <m/>
    <m/>
    <m/>
    <n v="0"/>
    <n v="0"/>
  </r>
  <r>
    <x v="11"/>
    <x v="8"/>
    <s v="Academic Endowment"/>
    <m/>
    <n v="218113"/>
    <x v="6"/>
    <m/>
    <m/>
    <n v="1765"/>
    <n v="1927"/>
    <m/>
    <m/>
    <m/>
    <m/>
    <n v="0"/>
    <m/>
    <m/>
    <n v="0"/>
    <n v="1765"/>
    <n v="1927"/>
    <m/>
    <m/>
    <m/>
    <m/>
    <n v="0"/>
    <m/>
    <m/>
    <n v="0"/>
    <m/>
    <m/>
    <m/>
    <m/>
    <m/>
    <m/>
    <n v="1765"/>
    <n v="1927"/>
  </r>
  <r>
    <x v="11"/>
    <x v="8"/>
    <s v="Personal Services &amp; Operating"/>
    <m/>
    <n v="218113"/>
    <x v="6"/>
    <m/>
    <m/>
    <m/>
    <n v="193782"/>
    <m/>
    <m/>
    <m/>
    <m/>
    <n v="0"/>
    <m/>
    <m/>
    <n v="0"/>
    <n v="0"/>
    <n v="193782"/>
    <m/>
    <m/>
    <m/>
    <m/>
    <n v="0"/>
    <m/>
    <m/>
    <n v="0"/>
    <m/>
    <m/>
    <m/>
    <m/>
    <m/>
    <m/>
    <n v="0"/>
    <n v="193782"/>
  </r>
  <r>
    <x v="11"/>
    <x v="8"/>
    <s v="Critical Needs Nursing Initiative"/>
    <m/>
    <n v="218113"/>
    <x v="6"/>
    <m/>
    <m/>
    <m/>
    <n v="54586"/>
    <m/>
    <m/>
    <m/>
    <m/>
    <n v="0"/>
    <m/>
    <m/>
    <n v="0"/>
    <n v="0"/>
    <n v="54586"/>
    <m/>
    <m/>
    <m/>
    <m/>
    <n v="0"/>
    <m/>
    <m/>
    <n v="0"/>
    <m/>
    <m/>
    <m/>
    <m/>
    <m/>
    <m/>
    <n v="0"/>
    <n v="54586"/>
  </r>
  <r>
    <x v="11"/>
    <x v="8"/>
    <s v="Deferred Maintenance"/>
    <m/>
    <n v="218113"/>
    <x v="6"/>
    <m/>
    <m/>
    <n v="882812"/>
    <m/>
    <m/>
    <m/>
    <m/>
    <m/>
    <n v="0"/>
    <m/>
    <m/>
    <n v="0"/>
    <n v="882812"/>
    <n v="0"/>
    <m/>
    <m/>
    <m/>
    <m/>
    <n v="0"/>
    <m/>
    <m/>
    <n v="0"/>
    <m/>
    <m/>
    <m/>
    <m/>
    <m/>
    <m/>
    <n v="882812"/>
    <n v="0"/>
  </r>
  <r>
    <x v="11"/>
    <x v="8"/>
    <s v="Pathways to Prosperity"/>
    <m/>
    <n v="218113"/>
    <x v="6"/>
    <m/>
    <m/>
    <n v="37784"/>
    <n v="37784"/>
    <m/>
    <m/>
    <m/>
    <m/>
    <n v="0"/>
    <m/>
    <m/>
    <n v="0"/>
    <n v="37784"/>
    <n v="37784"/>
    <m/>
    <m/>
    <m/>
    <m/>
    <n v="0"/>
    <m/>
    <m/>
    <n v="0"/>
    <m/>
    <m/>
    <m/>
    <m/>
    <m/>
    <m/>
    <n v="37784"/>
    <n v="37784"/>
  </r>
  <r>
    <x v="11"/>
    <x v="8"/>
    <s v="Lottery Technology (NR)"/>
    <m/>
    <n v="218113"/>
    <x v="6"/>
    <m/>
    <m/>
    <n v="578045"/>
    <n v="603749"/>
    <m/>
    <m/>
    <m/>
    <m/>
    <n v="0"/>
    <m/>
    <m/>
    <n v="0"/>
    <n v="578045"/>
    <n v="603749"/>
    <m/>
    <m/>
    <m/>
    <m/>
    <n v="0"/>
    <m/>
    <m/>
    <n v="0"/>
    <m/>
    <m/>
    <m/>
    <m/>
    <m/>
    <m/>
    <n v="578045"/>
    <n v="603749"/>
  </r>
  <r>
    <x v="11"/>
    <x v="0"/>
    <s v="Horry-Georgetown Technical College "/>
    <m/>
    <n v="218140"/>
    <x v="6"/>
    <n v="6923404"/>
    <n v="7030895"/>
    <m/>
    <m/>
    <n v="3811000"/>
    <n v="3811000"/>
    <n v="27623364"/>
    <n v="0"/>
    <n v="27623364"/>
    <n v="27623364"/>
    <n v="0"/>
    <n v="27623364"/>
    <n v="38357768"/>
    <n v="38465259"/>
    <m/>
    <m/>
    <m/>
    <m/>
    <n v="0"/>
    <m/>
    <m/>
    <n v="0"/>
    <m/>
    <m/>
    <m/>
    <m/>
    <m/>
    <m/>
    <n v="38357768"/>
    <n v="38465259"/>
  </r>
  <r>
    <x v="11"/>
    <x v="8"/>
    <s v="Special Line items for education operations"/>
    <m/>
    <n v="218140"/>
    <x v="6"/>
    <m/>
    <m/>
    <m/>
    <m/>
    <m/>
    <m/>
    <m/>
    <m/>
    <n v="0"/>
    <m/>
    <m/>
    <n v="0"/>
    <n v="0"/>
    <n v="0"/>
    <m/>
    <m/>
    <m/>
    <m/>
    <n v="0"/>
    <m/>
    <m/>
    <n v="0"/>
    <m/>
    <m/>
    <m/>
    <m/>
    <m/>
    <m/>
    <n v="0"/>
    <n v="0"/>
  </r>
  <r>
    <x v="11"/>
    <x v="8"/>
    <s v="Academic Endowment"/>
    <m/>
    <n v="218140"/>
    <x v="6"/>
    <m/>
    <m/>
    <n v="46"/>
    <n v="26"/>
    <m/>
    <m/>
    <m/>
    <m/>
    <n v="0"/>
    <m/>
    <m/>
    <n v="0"/>
    <n v="46"/>
    <n v="26"/>
    <m/>
    <m/>
    <m/>
    <m/>
    <n v="0"/>
    <m/>
    <m/>
    <n v="0"/>
    <m/>
    <m/>
    <m/>
    <m/>
    <m/>
    <m/>
    <n v="46"/>
    <n v="26"/>
  </r>
  <r>
    <x v="11"/>
    <x v="8"/>
    <s v="Personal Services &amp; Operating"/>
    <m/>
    <n v="218140"/>
    <x v="6"/>
    <m/>
    <m/>
    <m/>
    <n v="135154"/>
    <m/>
    <m/>
    <m/>
    <m/>
    <n v="0"/>
    <m/>
    <m/>
    <n v="0"/>
    <n v="0"/>
    <n v="135154"/>
    <m/>
    <m/>
    <m/>
    <m/>
    <n v="0"/>
    <m/>
    <m/>
    <n v="0"/>
    <m/>
    <m/>
    <m/>
    <m/>
    <m/>
    <m/>
    <n v="0"/>
    <n v="135154"/>
  </r>
  <r>
    <x v="11"/>
    <x v="8"/>
    <s v="Critical Needs Nursing Initiative"/>
    <m/>
    <n v="218140"/>
    <x v="6"/>
    <m/>
    <m/>
    <m/>
    <n v="17790"/>
    <m/>
    <m/>
    <m/>
    <m/>
    <n v="0"/>
    <m/>
    <m/>
    <n v="0"/>
    <n v="0"/>
    <n v="17790"/>
    <m/>
    <m/>
    <m/>
    <m/>
    <n v="0"/>
    <m/>
    <m/>
    <n v="0"/>
    <m/>
    <m/>
    <m/>
    <m/>
    <m/>
    <m/>
    <n v="0"/>
    <n v="17790"/>
  </r>
  <r>
    <x v="11"/>
    <x v="8"/>
    <s v="Deferred Maintenance"/>
    <m/>
    <n v="218140"/>
    <x v="6"/>
    <m/>
    <m/>
    <n v="360320"/>
    <m/>
    <m/>
    <m/>
    <m/>
    <m/>
    <n v="0"/>
    <m/>
    <m/>
    <n v="0"/>
    <n v="360320"/>
    <n v="0"/>
    <m/>
    <m/>
    <m/>
    <m/>
    <n v="0"/>
    <m/>
    <m/>
    <n v="0"/>
    <m/>
    <m/>
    <m/>
    <m/>
    <m/>
    <m/>
    <n v="360320"/>
    <n v="0"/>
  </r>
  <r>
    <x v="11"/>
    <x v="8"/>
    <s v="Capital Reserve and Surplus 90.20"/>
    <m/>
    <n v="218140"/>
    <x v="6"/>
    <m/>
    <m/>
    <n v="200000"/>
    <m/>
    <m/>
    <m/>
    <m/>
    <m/>
    <n v="0"/>
    <m/>
    <m/>
    <n v="0"/>
    <n v="200000"/>
    <n v="0"/>
    <m/>
    <m/>
    <m/>
    <m/>
    <n v="0"/>
    <m/>
    <m/>
    <n v="0"/>
    <m/>
    <m/>
    <m/>
    <m/>
    <m/>
    <m/>
    <n v="200000"/>
    <n v="0"/>
  </r>
  <r>
    <x v="11"/>
    <x v="8"/>
    <s v="Pathways to Prosperity"/>
    <m/>
    <n v="218140"/>
    <x v="6"/>
    <m/>
    <m/>
    <n v="37784"/>
    <n v="37784"/>
    <m/>
    <m/>
    <m/>
    <m/>
    <n v="0"/>
    <m/>
    <m/>
    <n v="0"/>
    <n v="37784"/>
    <n v="37784"/>
    <m/>
    <m/>
    <m/>
    <m/>
    <n v="0"/>
    <m/>
    <m/>
    <n v="0"/>
    <m/>
    <m/>
    <m/>
    <m/>
    <m/>
    <m/>
    <n v="37784"/>
    <n v="37784"/>
  </r>
  <r>
    <x v="11"/>
    <x v="8"/>
    <s v="Lottery Technology (NR)"/>
    <m/>
    <n v="218140"/>
    <x v="6"/>
    <m/>
    <m/>
    <n v="258934"/>
    <n v="270579"/>
    <m/>
    <m/>
    <m/>
    <m/>
    <n v="0"/>
    <m/>
    <m/>
    <n v="0"/>
    <n v="258934"/>
    <n v="270579"/>
    <m/>
    <m/>
    <m/>
    <m/>
    <n v="0"/>
    <m/>
    <m/>
    <n v="0"/>
    <m/>
    <m/>
    <m/>
    <m/>
    <m/>
    <m/>
    <n v="258934"/>
    <n v="270579"/>
  </r>
  <r>
    <x v="11"/>
    <x v="0"/>
    <s v="Midlands Technical College "/>
    <m/>
    <n v="218353"/>
    <x v="6"/>
    <n v="12939485"/>
    <n v="13162580"/>
    <m/>
    <m/>
    <n v="8691390"/>
    <n v="8691390"/>
    <n v="52752098"/>
    <n v="1888035"/>
    <n v="54640133"/>
    <n v="52752098"/>
    <n v="1888035"/>
    <n v="54640133"/>
    <n v="74382973"/>
    <n v="74606068"/>
    <m/>
    <m/>
    <m/>
    <m/>
    <n v="0"/>
    <m/>
    <m/>
    <n v="0"/>
    <m/>
    <m/>
    <m/>
    <m/>
    <m/>
    <m/>
    <n v="74382973"/>
    <n v="74606068"/>
  </r>
  <r>
    <x v="11"/>
    <x v="8"/>
    <s v="Special Line items for education operations"/>
    <m/>
    <n v="218353"/>
    <x v="6"/>
    <m/>
    <m/>
    <m/>
    <m/>
    <m/>
    <m/>
    <m/>
    <m/>
    <n v="0"/>
    <m/>
    <m/>
    <n v="0"/>
    <n v="0"/>
    <n v="0"/>
    <m/>
    <m/>
    <m/>
    <m/>
    <n v="0"/>
    <m/>
    <m/>
    <n v="0"/>
    <m/>
    <m/>
    <m/>
    <m/>
    <m/>
    <m/>
    <n v="0"/>
    <n v="0"/>
  </r>
  <r>
    <x v="11"/>
    <x v="8"/>
    <s v="Academic Endowment"/>
    <m/>
    <n v="218353"/>
    <x v="6"/>
    <m/>
    <m/>
    <n v="650"/>
    <n v="602"/>
    <m/>
    <m/>
    <m/>
    <m/>
    <n v="0"/>
    <m/>
    <m/>
    <n v="0"/>
    <n v="650"/>
    <n v="602"/>
    <m/>
    <m/>
    <m/>
    <m/>
    <n v="0"/>
    <m/>
    <m/>
    <n v="0"/>
    <m/>
    <m/>
    <m/>
    <m/>
    <m/>
    <m/>
    <n v="650"/>
    <n v="602"/>
  </r>
  <r>
    <x v="11"/>
    <x v="8"/>
    <s v="Personal Services &amp; Operating"/>
    <m/>
    <n v="218353"/>
    <x v="6"/>
    <m/>
    <m/>
    <m/>
    <n v="176540"/>
    <m/>
    <m/>
    <m/>
    <m/>
    <n v="0"/>
    <m/>
    <m/>
    <n v="0"/>
    <n v="0"/>
    <n v="176540"/>
    <m/>
    <m/>
    <m/>
    <m/>
    <n v="0"/>
    <m/>
    <m/>
    <n v="0"/>
    <m/>
    <m/>
    <m/>
    <m/>
    <m/>
    <m/>
    <n v="0"/>
    <n v="176540"/>
  </r>
  <r>
    <x v="11"/>
    <x v="8"/>
    <s v="Critical Needs Nursing Initiative"/>
    <m/>
    <n v="218353"/>
    <x v="6"/>
    <m/>
    <m/>
    <m/>
    <n v="51948"/>
    <m/>
    <m/>
    <m/>
    <m/>
    <n v="0"/>
    <m/>
    <m/>
    <n v="0"/>
    <n v="0"/>
    <n v="51948"/>
    <m/>
    <m/>
    <m/>
    <m/>
    <n v="0"/>
    <m/>
    <m/>
    <n v="0"/>
    <m/>
    <m/>
    <m/>
    <m/>
    <m/>
    <m/>
    <n v="0"/>
    <n v="51948"/>
  </r>
  <r>
    <x v="11"/>
    <x v="8"/>
    <s v="Deferred Maintenance"/>
    <m/>
    <n v="218353"/>
    <x v="6"/>
    <m/>
    <m/>
    <n v="537494"/>
    <m/>
    <m/>
    <m/>
    <m/>
    <m/>
    <n v="0"/>
    <m/>
    <m/>
    <n v="0"/>
    <n v="537494"/>
    <n v="0"/>
    <m/>
    <m/>
    <m/>
    <m/>
    <n v="0"/>
    <m/>
    <m/>
    <n v="0"/>
    <m/>
    <m/>
    <m/>
    <m/>
    <m/>
    <m/>
    <n v="537494"/>
    <n v="0"/>
  </r>
  <r>
    <x v="11"/>
    <x v="8"/>
    <s v="Nursing Program"/>
    <m/>
    <n v="218353"/>
    <x v="6"/>
    <m/>
    <m/>
    <n v="370943"/>
    <n v="370943"/>
    <m/>
    <m/>
    <m/>
    <m/>
    <n v="0"/>
    <m/>
    <m/>
    <n v="0"/>
    <n v="370943"/>
    <n v="370943"/>
    <m/>
    <m/>
    <m/>
    <m/>
    <n v="0"/>
    <m/>
    <m/>
    <n v="0"/>
    <m/>
    <m/>
    <m/>
    <m/>
    <m/>
    <m/>
    <n v="370943"/>
    <n v="370943"/>
  </r>
  <r>
    <x v="11"/>
    <x v="8"/>
    <s v="Pathways to Prosperity"/>
    <m/>
    <n v="218353"/>
    <x v="6"/>
    <m/>
    <m/>
    <n v="37784"/>
    <n v="37784"/>
    <m/>
    <m/>
    <m/>
    <m/>
    <n v="0"/>
    <m/>
    <m/>
    <n v="0"/>
    <n v="37784"/>
    <n v="37784"/>
    <m/>
    <m/>
    <m/>
    <m/>
    <n v="0"/>
    <m/>
    <m/>
    <n v="0"/>
    <m/>
    <m/>
    <m/>
    <m/>
    <m/>
    <m/>
    <n v="37784"/>
    <n v="37784"/>
  </r>
  <r>
    <x v="11"/>
    <x v="8"/>
    <s v="Lottery Technology (NR)"/>
    <m/>
    <n v="218353"/>
    <x v="6"/>
    <m/>
    <m/>
    <n v="483151"/>
    <n v="506553"/>
    <m/>
    <m/>
    <m/>
    <m/>
    <n v="0"/>
    <m/>
    <m/>
    <n v="0"/>
    <n v="483151"/>
    <n v="506553"/>
    <m/>
    <m/>
    <m/>
    <m/>
    <n v="0"/>
    <m/>
    <m/>
    <n v="0"/>
    <m/>
    <m/>
    <m/>
    <m/>
    <m/>
    <m/>
    <n v="483151"/>
    <n v="506553"/>
  </r>
  <r>
    <x v="11"/>
    <x v="8"/>
    <s v="Midlands Quick Jobs Program-Equipment"/>
    <m/>
    <n v="218353"/>
    <x v="6"/>
    <m/>
    <m/>
    <m/>
    <n v="1500000"/>
    <m/>
    <m/>
    <m/>
    <m/>
    <n v="0"/>
    <m/>
    <m/>
    <n v="0"/>
    <n v="0"/>
    <n v="1500000"/>
    <m/>
    <m/>
    <m/>
    <m/>
    <n v="0"/>
    <m/>
    <m/>
    <n v="0"/>
    <m/>
    <m/>
    <m/>
    <m/>
    <m/>
    <m/>
    <n v="0"/>
    <n v="1500000"/>
  </r>
  <r>
    <x v="11"/>
    <x v="0"/>
    <s v="Piedmont Technical College "/>
    <m/>
    <n v="218520"/>
    <x v="6"/>
    <n v="6370397"/>
    <n v="6441348"/>
    <m/>
    <m/>
    <n v="1968467"/>
    <n v="1968467"/>
    <n v="23200921"/>
    <n v="0"/>
    <n v="23200921"/>
    <n v="23200921"/>
    <n v="0"/>
    <n v="23200921"/>
    <n v="31539785"/>
    <n v="31610736"/>
    <m/>
    <m/>
    <m/>
    <m/>
    <n v="0"/>
    <m/>
    <m/>
    <n v="0"/>
    <m/>
    <m/>
    <m/>
    <m/>
    <m/>
    <m/>
    <n v="31539785"/>
    <n v="31610736"/>
  </r>
  <r>
    <x v="11"/>
    <x v="8"/>
    <s v="Special Line items for education operations"/>
    <m/>
    <n v="218520"/>
    <x v="6"/>
    <m/>
    <m/>
    <m/>
    <m/>
    <m/>
    <m/>
    <m/>
    <m/>
    <n v="0"/>
    <m/>
    <m/>
    <n v="0"/>
    <n v="0"/>
    <n v="0"/>
    <m/>
    <m/>
    <m/>
    <m/>
    <n v="0"/>
    <m/>
    <m/>
    <n v="0"/>
    <m/>
    <m/>
    <m/>
    <m/>
    <m/>
    <m/>
    <n v="0"/>
    <n v="0"/>
  </r>
  <r>
    <x v="11"/>
    <x v="8"/>
    <s v="Academic Endowment"/>
    <m/>
    <n v="218520"/>
    <x v="6"/>
    <m/>
    <m/>
    <n v="159"/>
    <n v="164"/>
    <m/>
    <m/>
    <m/>
    <m/>
    <n v="0"/>
    <m/>
    <m/>
    <n v="0"/>
    <n v="159"/>
    <n v="164"/>
    <m/>
    <m/>
    <m/>
    <m/>
    <n v="0"/>
    <m/>
    <m/>
    <n v="0"/>
    <m/>
    <m/>
    <m/>
    <m/>
    <m/>
    <m/>
    <n v="159"/>
    <n v="164"/>
  </r>
  <r>
    <x v="11"/>
    <x v="8"/>
    <s v="Personal Services &amp; Operating"/>
    <m/>
    <n v="218520"/>
    <x v="6"/>
    <m/>
    <m/>
    <m/>
    <n v="122709"/>
    <m/>
    <m/>
    <m/>
    <m/>
    <n v="0"/>
    <m/>
    <m/>
    <n v="0"/>
    <n v="0"/>
    <n v="122709"/>
    <m/>
    <m/>
    <m/>
    <m/>
    <n v="0"/>
    <m/>
    <m/>
    <n v="0"/>
    <m/>
    <m/>
    <m/>
    <m/>
    <m/>
    <m/>
    <n v="0"/>
    <n v="122709"/>
  </r>
  <r>
    <x v="11"/>
    <x v="8"/>
    <s v="Critical Needs Nursing Initiative"/>
    <m/>
    <n v="218520"/>
    <x v="6"/>
    <m/>
    <m/>
    <m/>
    <n v="39557"/>
    <m/>
    <m/>
    <m/>
    <m/>
    <n v="0"/>
    <m/>
    <m/>
    <n v="0"/>
    <n v="0"/>
    <n v="39557"/>
    <m/>
    <m/>
    <m/>
    <m/>
    <n v="0"/>
    <m/>
    <m/>
    <n v="0"/>
    <m/>
    <m/>
    <m/>
    <m/>
    <m/>
    <m/>
    <n v="0"/>
    <n v="39557"/>
  </r>
  <r>
    <x v="11"/>
    <x v="8"/>
    <s v="Deferred Maintenance"/>
    <m/>
    <n v="218520"/>
    <x v="6"/>
    <m/>
    <m/>
    <n v="325835"/>
    <m/>
    <m/>
    <m/>
    <m/>
    <m/>
    <n v="0"/>
    <m/>
    <m/>
    <n v="0"/>
    <n v="325835"/>
    <n v="0"/>
    <m/>
    <m/>
    <m/>
    <m/>
    <n v="0"/>
    <m/>
    <m/>
    <n v="0"/>
    <m/>
    <m/>
    <m/>
    <m/>
    <m/>
    <m/>
    <n v="325835"/>
    <n v="0"/>
  </r>
  <r>
    <x v="11"/>
    <x v="8"/>
    <s v="Pathways to Prosperity"/>
    <m/>
    <n v="218520"/>
    <x v="6"/>
    <m/>
    <m/>
    <n v="37784"/>
    <n v="37784"/>
    <m/>
    <m/>
    <m/>
    <m/>
    <n v="0"/>
    <m/>
    <m/>
    <n v="0"/>
    <n v="37784"/>
    <n v="37784"/>
    <m/>
    <m/>
    <m/>
    <m/>
    <n v="0"/>
    <m/>
    <m/>
    <n v="0"/>
    <m/>
    <m/>
    <m/>
    <m/>
    <m/>
    <m/>
    <n v="37784"/>
    <n v="37784"/>
  </r>
  <r>
    <x v="11"/>
    <x v="8"/>
    <s v="Lottery Technology (NR)"/>
    <m/>
    <n v="218520"/>
    <x v="6"/>
    <m/>
    <m/>
    <n v="237342"/>
    <n v="247891"/>
    <m/>
    <m/>
    <m/>
    <m/>
    <n v="0"/>
    <m/>
    <m/>
    <n v="0"/>
    <n v="237342"/>
    <n v="247891"/>
    <m/>
    <m/>
    <m/>
    <m/>
    <n v="0"/>
    <m/>
    <m/>
    <n v="0"/>
    <m/>
    <m/>
    <m/>
    <m/>
    <m/>
    <m/>
    <n v="237342"/>
    <n v="247891"/>
  </r>
  <r>
    <x v="11"/>
    <x v="0"/>
    <s v="Tri-County Technical College "/>
    <m/>
    <n v="218885"/>
    <x v="6"/>
    <n v="6513225"/>
    <n v="6653649"/>
    <m/>
    <m/>
    <n v="2889507"/>
    <n v="2889507"/>
    <n v="26715261"/>
    <n v="1322896"/>
    <n v="28038157"/>
    <n v="26715261"/>
    <n v="1322896"/>
    <n v="28038157"/>
    <n v="36117993"/>
    <n v="36258417"/>
    <m/>
    <m/>
    <m/>
    <m/>
    <n v="0"/>
    <m/>
    <m/>
    <n v="0"/>
    <m/>
    <m/>
    <m/>
    <m/>
    <m/>
    <m/>
    <n v="36117993"/>
    <n v="36258417"/>
  </r>
  <r>
    <x v="11"/>
    <x v="8"/>
    <s v="Special Line items for education operations"/>
    <m/>
    <n v="218885"/>
    <x v="6"/>
    <m/>
    <m/>
    <m/>
    <m/>
    <m/>
    <m/>
    <m/>
    <m/>
    <n v="0"/>
    <m/>
    <m/>
    <n v="0"/>
    <n v="0"/>
    <n v="0"/>
    <m/>
    <m/>
    <m/>
    <m/>
    <n v="0"/>
    <m/>
    <m/>
    <n v="0"/>
    <m/>
    <m/>
    <m/>
    <m/>
    <m/>
    <m/>
    <n v="0"/>
    <n v="0"/>
  </r>
  <r>
    <x v="11"/>
    <x v="8"/>
    <s v="Academic Endowment"/>
    <m/>
    <n v="218885"/>
    <x v="6"/>
    <m/>
    <m/>
    <n v="2611"/>
    <n v="2685"/>
    <m/>
    <m/>
    <m/>
    <m/>
    <n v="0"/>
    <m/>
    <m/>
    <n v="0"/>
    <n v="2611"/>
    <n v="2685"/>
    <m/>
    <m/>
    <m/>
    <m/>
    <n v="0"/>
    <m/>
    <m/>
    <n v="0"/>
    <m/>
    <m/>
    <m/>
    <m/>
    <m/>
    <m/>
    <n v="2611"/>
    <n v="2685"/>
  </r>
  <r>
    <x v="11"/>
    <x v="8"/>
    <s v="Personal Services &amp; Operating"/>
    <m/>
    <n v="218885"/>
    <x v="6"/>
    <m/>
    <m/>
    <m/>
    <n v="100665"/>
    <m/>
    <m/>
    <m/>
    <m/>
    <n v="0"/>
    <m/>
    <m/>
    <n v="0"/>
    <n v="0"/>
    <n v="100665"/>
    <m/>
    <m/>
    <m/>
    <m/>
    <n v="0"/>
    <m/>
    <m/>
    <n v="0"/>
    <m/>
    <m/>
    <m/>
    <m/>
    <m/>
    <m/>
    <n v="0"/>
    <n v="100665"/>
  </r>
  <r>
    <x v="11"/>
    <x v="8"/>
    <s v="Critical Needs Nursing Initiative"/>
    <m/>
    <n v="218885"/>
    <x v="6"/>
    <m/>
    <m/>
    <m/>
    <n v="29903"/>
    <m/>
    <m/>
    <m/>
    <m/>
    <n v="0"/>
    <m/>
    <m/>
    <n v="0"/>
    <n v="0"/>
    <n v="29903"/>
    <m/>
    <m/>
    <m/>
    <m/>
    <n v="0"/>
    <m/>
    <m/>
    <n v="0"/>
    <m/>
    <m/>
    <m/>
    <m/>
    <m/>
    <m/>
    <n v="0"/>
    <n v="29903"/>
  </r>
  <r>
    <x v="11"/>
    <x v="8"/>
    <s v="Deferred Maintenance"/>
    <m/>
    <n v="218885"/>
    <x v="6"/>
    <m/>
    <m/>
    <n v="290809"/>
    <m/>
    <m/>
    <m/>
    <m/>
    <m/>
    <n v="0"/>
    <m/>
    <m/>
    <n v="0"/>
    <n v="290809"/>
    <n v="0"/>
    <m/>
    <m/>
    <m/>
    <m/>
    <n v="0"/>
    <m/>
    <m/>
    <n v="0"/>
    <m/>
    <m/>
    <m/>
    <m/>
    <m/>
    <m/>
    <n v="290809"/>
    <n v="0"/>
  </r>
  <r>
    <x v="11"/>
    <x v="8"/>
    <s v="Capital Reserve and Surplus 90.20"/>
    <m/>
    <n v="218885"/>
    <x v="6"/>
    <m/>
    <m/>
    <n v="500000"/>
    <m/>
    <m/>
    <m/>
    <m/>
    <m/>
    <n v="0"/>
    <m/>
    <m/>
    <n v="0"/>
    <n v="500000"/>
    <n v="0"/>
    <m/>
    <m/>
    <m/>
    <m/>
    <n v="0"/>
    <m/>
    <m/>
    <n v="0"/>
    <m/>
    <m/>
    <m/>
    <m/>
    <m/>
    <m/>
    <n v="500000"/>
    <n v="0"/>
  </r>
  <r>
    <x v="11"/>
    <x v="8"/>
    <s v="Pathways to Prosperity"/>
    <m/>
    <n v="218885"/>
    <x v="6"/>
    <m/>
    <m/>
    <n v="37784"/>
    <n v="37784"/>
    <m/>
    <m/>
    <m/>
    <m/>
    <n v="0"/>
    <m/>
    <m/>
    <n v="0"/>
    <n v="37784"/>
    <n v="37784"/>
    <m/>
    <m/>
    <m/>
    <m/>
    <n v="0"/>
    <m/>
    <m/>
    <n v="0"/>
    <m/>
    <m/>
    <m/>
    <m/>
    <m/>
    <m/>
    <n v="37784"/>
    <n v="37784"/>
  </r>
  <r>
    <x v="11"/>
    <x v="8"/>
    <s v="Lottery Technology (NR)"/>
    <m/>
    <n v="218885"/>
    <x v="6"/>
    <m/>
    <m/>
    <n v="245141"/>
    <n v="256061"/>
    <m/>
    <m/>
    <m/>
    <m/>
    <n v="0"/>
    <m/>
    <m/>
    <n v="0"/>
    <n v="245141"/>
    <n v="256061"/>
    <m/>
    <m/>
    <m/>
    <m/>
    <n v="0"/>
    <m/>
    <m/>
    <n v="0"/>
    <m/>
    <m/>
    <m/>
    <m/>
    <m/>
    <m/>
    <n v="245141"/>
    <n v="256061"/>
  </r>
  <r>
    <x v="11"/>
    <x v="0"/>
    <s v="Trident Technical College "/>
    <m/>
    <n v="218894"/>
    <x v="6"/>
    <n v="13922375"/>
    <n v="14169950"/>
    <m/>
    <m/>
    <n v="10268017"/>
    <n v="10268017"/>
    <n v="59574410"/>
    <n v="5050922"/>
    <n v="64625332"/>
    <n v="59574410"/>
    <n v="5050922"/>
    <n v="64625332"/>
    <n v="83764802"/>
    <n v="84012377"/>
    <m/>
    <m/>
    <m/>
    <m/>
    <n v="0"/>
    <m/>
    <m/>
    <n v="0"/>
    <m/>
    <m/>
    <m/>
    <m/>
    <m/>
    <m/>
    <n v="83764802"/>
    <n v="84012377"/>
  </r>
  <r>
    <x v="11"/>
    <x v="8"/>
    <s v="Special Line items for education operations"/>
    <m/>
    <n v="218894"/>
    <x v="6"/>
    <m/>
    <m/>
    <m/>
    <m/>
    <m/>
    <m/>
    <m/>
    <m/>
    <n v="0"/>
    <m/>
    <m/>
    <n v="0"/>
    <n v="0"/>
    <n v="0"/>
    <m/>
    <m/>
    <m/>
    <m/>
    <n v="0"/>
    <m/>
    <m/>
    <n v="0"/>
    <m/>
    <m/>
    <m/>
    <m/>
    <m/>
    <m/>
    <n v="0"/>
    <n v="0"/>
  </r>
  <r>
    <x v="11"/>
    <x v="8"/>
    <s v="Academic Endowment"/>
    <m/>
    <n v="218894"/>
    <x v="6"/>
    <m/>
    <m/>
    <n v="559"/>
    <n v="599"/>
    <m/>
    <m/>
    <m/>
    <m/>
    <n v="0"/>
    <m/>
    <m/>
    <n v="0"/>
    <n v="559"/>
    <n v="599"/>
    <m/>
    <m/>
    <m/>
    <m/>
    <n v="0"/>
    <m/>
    <m/>
    <n v="0"/>
    <m/>
    <m/>
    <m/>
    <m/>
    <m/>
    <m/>
    <n v="559"/>
    <n v="599"/>
  </r>
  <r>
    <x v="11"/>
    <x v="8"/>
    <s v="Personal Services &amp; Operating"/>
    <m/>
    <n v="218894"/>
    <x v="6"/>
    <m/>
    <m/>
    <m/>
    <n v="258899"/>
    <m/>
    <m/>
    <m/>
    <m/>
    <n v="0"/>
    <m/>
    <m/>
    <n v="0"/>
    <n v="0"/>
    <n v="258899"/>
    <m/>
    <m/>
    <m/>
    <m/>
    <n v="0"/>
    <m/>
    <m/>
    <n v="0"/>
    <m/>
    <m/>
    <m/>
    <m/>
    <m/>
    <m/>
    <n v="0"/>
    <n v="258899"/>
  </r>
  <r>
    <x v="11"/>
    <x v="8"/>
    <s v="Critical Needs Nursing Initiative"/>
    <m/>
    <n v="218894"/>
    <x v="6"/>
    <m/>
    <m/>
    <m/>
    <n v="37643"/>
    <m/>
    <m/>
    <m/>
    <m/>
    <n v="0"/>
    <m/>
    <m/>
    <n v="0"/>
    <n v="0"/>
    <n v="37643"/>
    <m/>
    <m/>
    <m/>
    <m/>
    <n v="0"/>
    <m/>
    <m/>
    <n v="0"/>
    <m/>
    <m/>
    <m/>
    <m/>
    <m/>
    <m/>
    <n v="0"/>
    <n v="37643"/>
  </r>
  <r>
    <x v="11"/>
    <x v="8"/>
    <s v="Deferred Maintenance"/>
    <m/>
    <n v="218894"/>
    <x v="6"/>
    <m/>
    <m/>
    <n v="636739"/>
    <m/>
    <m/>
    <m/>
    <m/>
    <m/>
    <n v="0"/>
    <m/>
    <m/>
    <n v="0"/>
    <n v="636739"/>
    <n v="0"/>
    <m/>
    <m/>
    <m/>
    <m/>
    <n v="0"/>
    <m/>
    <m/>
    <n v="0"/>
    <m/>
    <m/>
    <m/>
    <m/>
    <m/>
    <m/>
    <n v="636739"/>
    <n v="0"/>
  </r>
  <r>
    <x v="11"/>
    <x v="8"/>
    <s v="Capital Reserve and Surplus 90.20"/>
    <m/>
    <n v="218894"/>
    <x v="6"/>
    <m/>
    <m/>
    <n v="500000"/>
    <m/>
    <m/>
    <m/>
    <m/>
    <m/>
    <n v="0"/>
    <m/>
    <m/>
    <n v="0"/>
    <n v="500000"/>
    <n v="0"/>
    <m/>
    <m/>
    <m/>
    <m/>
    <n v="0"/>
    <m/>
    <m/>
    <n v="0"/>
    <m/>
    <m/>
    <m/>
    <m/>
    <m/>
    <m/>
    <n v="500000"/>
    <n v="0"/>
  </r>
  <r>
    <x v="11"/>
    <x v="8"/>
    <s v="Culinary Arts"/>
    <m/>
    <n v="218894"/>
    <x v="6"/>
    <m/>
    <m/>
    <n v="468522"/>
    <n v="468522"/>
    <m/>
    <m/>
    <m/>
    <m/>
    <n v="0"/>
    <m/>
    <m/>
    <n v="0"/>
    <n v="468522"/>
    <n v="468522"/>
    <m/>
    <m/>
    <m/>
    <m/>
    <n v="0"/>
    <m/>
    <m/>
    <n v="0"/>
    <m/>
    <m/>
    <m/>
    <m/>
    <m/>
    <m/>
    <n v="468522"/>
    <n v="468522"/>
  </r>
  <r>
    <x v="11"/>
    <x v="8"/>
    <s v="Pathways to Prosperity"/>
    <m/>
    <n v="218894"/>
    <x v="6"/>
    <m/>
    <m/>
    <n v="37784"/>
    <n v="37784"/>
    <m/>
    <m/>
    <m/>
    <m/>
    <n v="0"/>
    <m/>
    <m/>
    <n v="0"/>
    <n v="37784"/>
    <n v="37784"/>
    <m/>
    <m/>
    <m/>
    <m/>
    <n v="0"/>
    <m/>
    <m/>
    <n v="0"/>
    <m/>
    <m/>
    <m/>
    <m/>
    <m/>
    <m/>
    <n v="37784"/>
    <n v="37784"/>
  </r>
  <r>
    <x v="11"/>
    <x v="8"/>
    <s v="Lottery Technology (NR)"/>
    <m/>
    <n v="218894"/>
    <x v="6"/>
    <m/>
    <m/>
    <n v="520536"/>
    <n v="545321"/>
    <m/>
    <m/>
    <m/>
    <m/>
    <n v="0"/>
    <m/>
    <m/>
    <n v="0"/>
    <n v="520536"/>
    <n v="545321"/>
    <m/>
    <m/>
    <m/>
    <m/>
    <n v="0"/>
    <m/>
    <m/>
    <n v="0"/>
    <m/>
    <m/>
    <m/>
    <m/>
    <m/>
    <m/>
    <n v="520536"/>
    <n v="545321"/>
  </r>
  <r>
    <x v="11"/>
    <x v="0"/>
    <s v="Aiken Technical College "/>
    <m/>
    <n v="217615"/>
    <x v="7"/>
    <n v="3632599"/>
    <n v="3686643"/>
    <m/>
    <m/>
    <n v="1878420"/>
    <n v="1878420"/>
    <n v="10765812"/>
    <n v="561626"/>
    <n v="11327438"/>
    <n v="10765812"/>
    <n v="561626"/>
    <n v="11327438"/>
    <n v="16276831"/>
    <n v="16330875"/>
    <m/>
    <m/>
    <m/>
    <m/>
    <n v="0"/>
    <m/>
    <m/>
    <n v="0"/>
    <m/>
    <m/>
    <m/>
    <m/>
    <m/>
    <m/>
    <n v="16276831"/>
    <n v="16330875"/>
  </r>
  <r>
    <x v="11"/>
    <x v="8"/>
    <s v="Special Line items for education operations"/>
    <m/>
    <n v="217615"/>
    <x v="7"/>
    <m/>
    <m/>
    <m/>
    <m/>
    <m/>
    <m/>
    <m/>
    <m/>
    <n v="0"/>
    <m/>
    <m/>
    <n v="0"/>
    <n v="0"/>
    <n v="0"/>
    <m/>
    <m/>
    <m/>
    <m/>
    <n v="0"/>
    <m/>
    <m/>
    <n v="0"/>
    <m/>
    <m/>
    <m/>
    <m/>
    <m/>
    <m/>
    <n v="0"/>
    <n v="0"/>
  </r>
  <r>
    <x v="11"/>
    <x v="8"/>
    <s v="Academic Endowment"/>
    <m/>
    <n v="217615"/>
    <x v="7"/>
    <m/>
    <m/>
    <n v="748"/>
    <n v="735"/>
    <m/>
    <m/>
    <m/>
    <m/>
    <n v="0"/>
    <m/>
    <m/>
    <n v="0"/>
    <n v="748"/>
    <n v="735"/>
    <m/>
    <m/>
    <m/>
    <m/>
    <n v="0"/>
    <m/>
    <m/>
    <n v="0"/>
    <m/>
    <m/>
    <m/>
    <m/>
    <m/>
    <m/>
    <n v="748"/>
    <n v="735"/>
  </r>
  <r>
    <x v="11"/>
    <x v="8"/>
    <s v="Personal Services &amp; Operating"/>
    <m/>
    <n v="217615"/>
    <x v="7"/>
    <m/>
    <m/>
    <m/>
    <n v="96324"/>
    <m/>
    <m/>
    <m/>
    <m/>
    <n v="0"/>
    <m/>
    <m/>
    <n v="0"/>
    <n v="0"/>
    <n v="96324"/>
    <m/>
    <m/>
    <m/>
    <m/>
    <n v="0"/>
    <m/>
    <m/>
    <n v="0"/>
    <m/>
    <m/>
    <m/>
    <m/>
    <m/>
    <m/>
    <n v="0"/>
    <n v="96324"/>
  </r>
  <r>
    <x v="11"/>
    <x v="8"/>
    <s v="Critical Needs Nursing Initiative"/>
    <m/>
    <n v="217615"/>
    <x v="7"/>
    <m/>
    <m/>
    <m/>
    <n v="9618"/>
    <m/>
    <m/>
    <m/>
    <m/>
    <n v="0"/>
    <m/>
    <m/>
    <n v="0"/>
    <n v="0"/>
    <n v="9618"/>
    <m/>
    <m/>
    <m/>
    <m/>
    <n v="0"/>
    <m/>
    <m/>
    <n v="0"/>
    <m/>
    <m/>
    <m/>
    <m/>
    <m/>
    <m/>
    <n v="0"/>
    <n v="9618"/>
  </r>
  <r>
    <x v="11"/>
    <x v="8"/>
    <s v="Deferred Maintenance"/>
    <m/>
    <n v="217615"/>
    <x v="7"/>
    <m/>
    <m/>
    <n v="201943"/>
    <m/>
    <m/>
    <m/>
    <m/>
    <m/>
    <n v="0"/>
    <m/>
    <m/>
    <n v="0"/>
    <n v="201943"/>
    <n v="0"/>
    <m/>
    <m/>
    <m/>
    <m/>
    <n v="0"/>
    <m/>
    <m/>
    <n v="0"/>
    <m/>
    <m/>
    <m/>
    <m/>
    <m/>
    <m/>
    <n v="201943"/>
    <n v="0"/>
  </r>
  <r>
    <x v="11"/>
    <x v="8"/>
    <s v="Capital Reserve and Surplus 90.20"/>
    <m/>
    <n v="217615"/>
    <x v="7"/>
    <m/>
    <m/>
    <n v="2445000"/>
    <m/>
    <m/>
    <m/>
    <m/>
    <m/>
    <n v="0"/>
    <m/>
    <m/>
    <n v="0"/>
    <n v="2445000"/>
    <n v="0"/>
    <m/>
    <m/>
    <m/>
    <m/>
    <n v="0"/>
    <m/>
    <m/>
    <n v="0"/>
    <m/>
    <m/>
    <m/>
    <m/>
    <m/>
    <m/>
    <n v="2445000"/>
    <n v="0"/>
  </r>
  <r>
    <x v="11"/>
    <x v="8"/>
    <s v="Pathways to Prosperity"/>
    <m/>
    <n v="217615"/>
    <x v="7"/>
    <m/>
    <m/>
    <n v="37784"/>
    <n v="37784"/>
    <m/>
    <m/>
    <m/>
    <m/>
    <n v="0"/>
    <m/>
    <m/>
    <n v="0"/>
    <n v="37784"/>
    <n v="37784"/>
    <m/>
    <m/>
    <m/>
    <m/>
    <n v="0"/>
    <m/>
    <m/>
    <n v="0"/>
    <m/>
    <m/>
    <m/>
    <m/>
    <m/>
    <m/>
    <n v="37784"/>
    <n v="37784"/>
  </r>
  <r>
    <x v="11"/>
    <x v="8"/>
    <s v="Lottery Technology (NR)"/>
    <m/>
    <n v="217615"/>
    <x v="7"/>
    <m/>
    <m/>
    <n v="135825"/>
    <n v="141878"/>
    <m/>
    <m/>
    <m/>
    <m/>
    <n v="0"/>
    <m/>
    <m/>
    <n v="0"/>
    <n v="135825"/>
    <n v="141878"/>
    <m/>
    <m/>
    <m/>
    <m/>
    <n v="0"/>
    <m/>
    <m/>
    <n v="0"/>
    <m/>
    <m/>
    <m/>
    <m/>
    <m/>
    <m/>
    <n v="135825"/>
    <n v="141878"/>
  </r>
  <r>
    <x v="11"/>
    <x v="0"/>
    <s v="Central Carolina Technical College "/>
    <m/>
    <n v="218858"/>
    <x v="7"/>
    <n v="3863388"/>
    <n v="3911593"/>
    <m/>
    <m/>
    <n v="2218907"/>
    <n v="2218907"/>
    <n v="12755061"/>
    <n v="3311474"/>
    <n v="16066535"/>
    <n v="12755061"/>
    <n v="3311474"/>
    <n v="16066535"/>
    <n v="18837356"/>
    <n v="18885561"/>
    <m/>
    <m/>
    <m/>
    <m/>
    <n v="0"/>
    <m/>
    <m/>
    <n v="0"/>
    <m/>
    <m/>
    <m/>
    <m/>
    <m/>
    <m/>
    <n v="18837356"/>
    <n v="18885561"/>
  </r>
  <r>
    <x v="11"/>
    <x v="8"/>
    <s v="Special Line items for education operations"/>
    <m/>
    <n v="218858"/>
    <x v="7"/>
    <m/>
    <m/>
    <m/>
    <m/>
    <m/>
    <m/>
    <m/>
    <m/>
    <n v="0"/>
    <m/>
    <m/>
    <n v="0"/>
    <n v="0"/>
    <n v="0"/>
    <m/>
    <m/>
    <m/>
    <m/>
    <n v="0"/>
    <m/>
    <m/>
    <n v="0"/>
    <m/>
    <m/>
    <m/>
    <m/>
    <m/>
    <m/>
    <n v="0"/>
    <n v="0"/>
  </r>
  <r>
    <x v="11"/>
    <x v="8"/>
    <s v="Academic Endowment"/>
    <m/>
    <n v="218858"/>
    <x v="7"/>
    <m/>
    <m/>
    <n v="52"/>
    <n v="53"/>
    <m/>
    <m/>
    <m/>
    <m/>
    <n v="0"/>
    <m/>
    <m/>
    <n v="0"/>
    <n v="52"/>
    <n v="53"/>
    <m/>
    <m/>
    <m/>
    <m/>
    <n v="0"/>
    <m/>
    <m/>
    <n v="0"/>
    <m/>
    <m/>
    <m/>
    <m/>
    <m/>
    <m/>
    <n v="52"/>
    <n v="53"/>
  </r>
  <r>
    <x v="11"/>
    <x v="8"/>
    <s v="Personal Services &amp; Operating"/>
    <m/>
    <n v="218858"/>
    <x v="7"/>
    <m/>
    <m/>
    <m/>
    <n v="88256"/>
    <m/>
    <m/>
    <m/>
    <m/>
    <n v="0"/>
    <m/>
    <m/>
    <n v="0"/>
    <n v="0"/>
    <n v="88256"/>
    <m/>
    <m/>
    <m/>
    <m/>
    <n v="0"/>
    <m/>
    <m/>
    <n v="0"/>
    <m/>
    <m/>
    <m/>
    <m/>
    <m/>
    <m/>
    <n v="0"/>
    <n v="88256"/>
  </r>
  <r>
    <x v="11"/>
    <x v="8"/>
    <s v="Critical Needs Nursing Initiative"/>
    <m/>
    <n v="218858"/>
    <x v="7"/>
    <m/>
    <m/>
    <m/>
    <n v="18794"/>
    <m/>
    <m/>
    <m/>
    <m/>
    <n v="0"/>
    <m/>
    <m/>
    <n v="0"/>
    <n v="0"/>
    <n v="18794"/>
    <m/>
    <m/>
    <m/>
    <m/>
    <n v="0"/>
    <m/>
    <m/>
    <n v="0"/>
    <m/>
    <m/>
    <m/>
    <m/>
    <m/>
    <m/>
    <n v="0"/>
    <n v="18794"/>
  </r>
  <r>
    <x v="11"/>
    <x v="8"/>
    <s v="Deferred Maintenance"/>
    <m/>
    <n v="218858"/>
    <x v="7"/>
    <m/>
    <m/>
    <n v="241455"/>
    <m/>
    <m/>
    <m/>
    <m/>
    <m/>
    <n v="0"/>
    <m/>
    <m/>
    <n v="0"/>
    <n v="241455"/>
    <n v="0"/>
    <m/>
    <m/>
    <m/>
    <m/>
    <n v="0"/>
    <m/>
    <m/>
    <n v="0"/>
    <m/>
    <m/>
    <m/>
    <m/>
    <m/>
    <m/>
    <n v="241455"/>
    <n v="0"/>
  </r>
  <r>
    <x v="11"/>
    <x v="8"/>
    <s v="Capital Reserve and Surplus 90.20"/>
    <m/>
    <n v="218858"/>
    <x v="7"/>
    <m/>
    <m/>
    <n v="3900000"/>
    <m/>
    <m/>
    <m/>
    <m/>
    <m/>
    <n v="0"/>
    <m/>
    <m/>
    <n v="0"/>
    <n v="3900000"/>
    <n v="0"/>
    <m/>
    <m/>
    <m/>
    <m/>
    <n v="0"/>
    <m/>
    <m/>
    <n v="0"/>
    <m/>
    <m/>
    <m/>
    <m/>
    <m/>
    <m/>
    <n v="3900000"/>
    <n v="0"/>
  </r>
  <r>
    <x v="11"/>
    <x v="8"/>
    <s v="Pathways to Prosperity"/>
    <m/>
    <n v="218858"/>
    <x v="7"/>
    <m/>
    <m/>
    <n v="37784"/>
    <n v="37784"/>
    <m/>
    <m/>
    <m/>
    <m/>
    <n v="0"/>
    <m/>
    <m/>
    <n v="0"/>
    <n v="37784"/>
    <n v="37784"/>
    <m/>
    <m/>
    <m/>
    <m/>
    <n v="0"/>
    <m/>
    <m/>
    <n v="0"/>
    <m/>
    <m/>
    <m/>
    <m/>
    <m/>
    <m/>
    <n v="37784"/>
    <n v="37784"/>
  </r>
  <r>
    <x v="11"/>
    <x v="8"/>
    <s v="Lottery Technology (NR)"/>
    <m/>
    <n v="218858"/>
    <x v="7"/>
    <m/>
    <m/>
    <n v="144133"/>
    <n v="150535"/>
    <m/>
    <m/>
    <m/>
    <m/>
    <n v="0"/>
    <m/>
    <m/>
    <n v="0"/>
    <n v="144133"/>
    <n v="150535"/>
    <m/>
    <m/>
    <m/>
    <m/>
    <n v="0"/>
    <m/>
    <m/>
    <n v="0"/>
    <m/>
    <m/>
    <m/>
    <m/>
    <m/>
    <m/>
    <n v="144133"/>
    <n v="150535"/>
  </r>
  <r>
    <x v="11"/>
    <x v="0"/>
    <s v="Orangeburg-Calhoun Technical College "/>
    <m/>
    <n v="218487"/>
    <x v="7"/>
    <n v="3807018"/>
    <n v="3867437"/>
    <m/>
    <m/>
    <n v="1374948"/>
    <n v="1374948"/>
    <n v="10792664"/>
    <n v="0"/>
    <n v="10792664"/>
    <n v="10792664"/>
    <n v="0"/>
    <n v="10792664"/>
    <n v="15974630"/>
    <n v="16035049"/>
    <m/>
    <m/>
    <m/>
    <m/>
    <n v="0"/>
    <m/>
    <m/>
    <n v="0"/>
    <m/>
    <m/>
    <m/>
    <m/>
    <m/>
    <m/>
    <n v="15974630"/>
    <n v="16035049"/>
  </r>
  <r>
    <x v="11"/>
    <x v="8"/>
    <s v="Special Line items for education operations"/>
    <m/>
    <n v="218487"/>
    <x v="7"/>
    <m/>
    <m/>
    <m/>
    <m/>
    <m/>
    <m/>
    <m/>
    <m/>
    <n v="0"/>
    <m/>
    <m/>
    <n v="0"/>
    <n v="0"/>
    <n v="0"/>
    <m/>
    <m/>
    <m/>
    <m/>
    <n v="0"/>
    <m/>
    <m/>
    <n v="0"/>
    <m/>
    <m/>
    <m/>
    <m/>
    <m/>
    <m/>
    <n v="0"/>
    <n v="0"/>
  </r>
  <r>
    <x v="11"/>
    <x v="8"/>
    <s v="Academic Endowment"/>
    <m/>
    <n v="218487"/>
    <x v="7"/>
    <m/>
    <m/>
    <n v="67"/>
    <n v="63"/>
    <m/>
    <m/>
    <m/>
    <m/>
    <n v="0"/>
    <m/>
    <m/>
    <n v="0"/>
    <n v="67"/>
    <n v="63"/>
    <m/>
    <m/>
    <m/>
    <m/>
    <n v="0"/>
    <m/>
    <m/>
    <n v="0"/>
    <m/>
    <m/>
    <m/>
    <m/>
    <m/>
    <m/>
    <n v="67"/>
    <n v="63"/>
  </r>
  <r>
    <x v="11"/>
    <x v="8"/>
    <s v="Personal Services &amp; Operating"/>
    <m/>
    <n v="218487"/>
    <x v="7"/>
    <m/>
    <m/>
    <m/>
    <n v="63643"/>
    <m/>
    <m/>
    <m/>
    <m/>
    <n v="0"/>
    <m/>
    <m/>
    <n v="0"/>
    <n v="0"/>
    <n v="63643"/>
    <m/>
    <m/>
    <m/>
    <m/>
    <n v="0"/>
    <m/>
    <m/>
    <n v="0"/>
    <m/>
    <m/>
    <m/>
    <m/>
    <m/>
    <m/>
    <n v="0"/>
    <n v="63643"/>
  </r>
  <r>
    <x v="11"/>
    <x v="8"/>
    <s v="Critical Needs Nursing Initiative"/>
    <m/>
    <n v="218487"/>
    <x v="7"/>
    <m/>
    <m/>
    <m/>
    <n v="17672"/>
    <m/>
    <m/>
    <m/>
    <m/>
    <n v="0"/>
    <m/>
    <m/>
    <n v="0"/>
    <n v="0"/>
    <n v="17672"/>
    <m/>
    <m/>
    <m/>
    <m/>
    <n v="0"/>
    <m/>
    <m/>
    <n v="0"/>
    <m/>
    <m/>
    <m/>
    <m/>
    <m/>
    <m/>
    <n v="0"/>
    <n v="17672"/>
  </r>
  <r>
    <x v="11"/>
    <x v="8"/>
    <s v="Deferred Maintenance"/>
    <m/>
    <n v="218487"/>
    <x v="7"/>
    <m/>
    <m/>
    <n v="164322"/>
    <m/>
    <m/>
    <m/>
    <m/>
    <m/>
    <n v="0"/>
    <m/>
    <m/>
    <n v="0"/>
    <n v="164322"/>
    <n v="0"/>
    <m/>
    <m/>
    <m/>
    <m/>
    <n v="0"/>
    <m/>
    <m/>
    <n v="0"/>
    <m/>
    <m/>
    <m/>
    <m/>
    <m/>
    <m/>
    <n v="164322"/>
    <n v="0"/>
  </r>
  <r>
    <x v="11"/>
    <x v="8"/>
    <s v="Capital Reserve and Surplus 90.20"/>
    <m/>
    <n v="218487"/>
    <x v="7"/>
    <m/>
    <m/>
    <n v="500000"/>
    <m/>
    <m/>
    <m/>
    <m/>
    <m/>
    <n v="0"/>
    <m/>
    <m/>
    <n v="0"/>
    <n v="500000"/>
    <n v="0"/>
    <m/>
    <m/>
    <m/>
    <m/>
    <n v="0"/>
    <m/>
    <m/>
    <n v="0"/>
    <m/>
    <m/>
    <m/>
    <m/>
    <m/>
    <m/>
    <n v="500000"/>
    <n v="0"/>
  </r>
  <r>
    <x v="11"/>
    <x v="8"/>
    <s v="Pathways to Prosperity"/>
    <m/>
    <n v="218487"/>
    <x v="7"/>
    <m/>
    <m/>
    <n v="37784"/>
    <n v="37784"/>
    <m/>
    <m/>
    <m/>
    <m/>
    <n v="0"/>
    <m/>
    <m/>
    <n v="0"/>
    <n v="37784"/>
    <n v="37784"/>
    <m/>
    <m/>
    <m/>
    <m/>
    <n v="0"/>
    <m/>
    <m/>
    <n v="0"/>
    <m/>
    <m/>
    <m/>
    <m/>
    <m/>
    <m/>
    <n v="37784"/>
    <n v="37784"/>
  </r>
  <r>
    <x v="11"/>
    <x v="8"/>
    <s v="Lottery Technology (NR)"/>
    <m/>
    <n v="218487"/>
    <x v="7"/>
    <m/>
    <m/>
    <n v="142062"/>
    <n v="148836"/>
    <m/>
    <m/>
    <m/>
    <m/>
    <n v="0"/>
    <m/>
    <m/>
    <n v="0"/>
    <n v="142062"/>
    <n v="148836"/>
    <m/>
    <m/>
    <m/>
    <m/>
    <n v="0"/>
    <m/>
    <m/>
    <n v="0"/>
    <m/>
    <m/>
    <m/>
    <m/>
    <m/>
    <m/>
    <n v="142062"/>
    <n v="148836"/>
  </r>
  <r>
    <x v="11"/>
    <x v="0"/>
    <s v="Spartanburg Community College "/>
    <m/>
    <n v="218830"/>
    <x v="7"/>
    <n v="5974976"/>
    <n v="6079404"/>
    <m/>
    <m/>
    <n v="5182712"/>
    <n v="5182712"/>
    <n v="21990221"/>
    <n v="1653653"/>
    <n v="23643874"/>
    <n v="21990221"/>
    <n v="1653653"/>
    <n v="23643874"/>
    <n v="33147909"/>
    <n v="33252337"/>
    <m/>
    <m/>
    <m/>
    <m/>
    <n v="0"/>
    <m/>
    <m/>
    <n v="0"/>
    <m/>
    <m/>
    <m/>
    <m/>
    <m/>
    <m/>
    <n v="33147909"/>
    <n v="33252337"/>
  </r>
  <r>
    <x v="11"/>
    <x v="8"/>
    <s v="Special Line items for education operations"/>
    <m/>
    <n v="218830"/>
    <x v="7"/>
    <m/>
    <m/>
    <m/>
    <m/>
    <m/>
    <m/>
    <m/>
    <m/>
    <n v="0"/>
    <m/>
    <m/>
    <n v="0"/>
    <n v="0"/>
    <n v="0"/>
    <m/>
    <m/>
    <m/>
    <m/>
    <n v="0"/>
    <m/>
    <m/>
    <n v="0"/>
    <m/>
    <m/>
    <m/>
    <m/>
    <m/>
    <m/>
    <n v="0"/>
    <n v="0"/>
  </r>
  <r>
    <x v="11"/>
    <x v="8"/>
    <s v="Academic Endowment"/>
    <m/>
    <n v="218830"/>
    <x v="7"/>
    <m/>
    <m/>
    <n v="281"/>
    <n v="2521"/>
    <m/>
    <m/>
    <m/>
    <m/>
    <n v="0"/>
    <m/>
    <m/>
    <n v="0"/>
    <n v="281"/>
    <n v="2521"/>
    <m/>
    <m/>
    <m/>
    <m/>
    <n v="0"/>
    <m/>
    <m/>
    <n v="0"/>
    <m/>
    <m/>
    <m/>
    <m/>
    <m/>
    <m/>
    <n v="281"/>
    <n v="2521"/>
  </r>
  <r>
    <x v="11"/>
    <x v="8"/>
    <s v="Personal Services &amp; Operating"/>
    <m/>
    <n v="218830"/>
    <x v="7"/>
    <m/>
    <m/>
    <m/>
    <n v="82714"/>
    <m/>
    <m/>
    <m/>
    <m/>
    <n v="0"/>
    <m/>
    <m/>
    <n v="0"/>
    <n v="0"/>
    <n v="82714"/>
    <m/>
    <m/>
    <m/>
    <m/>
    <n v="0"/>
    <m/>
    <m/>
    <n v="0"/>
    <m/>
    <m/>
    <m/>
    <m/>
    <m/>
    <m/>
    <n v="0"/>
    <n v="82714"/>
  </r>
  <r>
    <x v="11"/>
    <x v="8"/>
    <s v="Deferred Maintenance"/>
    <m/>
    <n v="218830"/>
    <x v="7"/>
    <m/>
    <m/>
    <n v="416957"/>
    <m/>
    <m/>
    <m/>
    <m/>
    <m/>
    <n v="0"/>
    <m/>
    <m/>
    <n v="0"/>
    <n v="416957"/>
    <n v="0"/>
    <m/>
    <m/>
    <m/>
    <m/>
    <n v="0"/>
    <m/>
    <m/>
    <n v="0"/>
    <m/>
    <m/>
    <m/>
    <m/>
    <m/>
    <m/>
    <n v="416957"/>
    <n v="0"/>
  </r>
  <r>
    <x v="11"/>
    <x v="8"/>
    <s v="Capital Reserve and Surplus 90.20"/>
    <m/>
    <n v="218830"/>
    <x v="7"/>
    <m/>
    <m/>
    <n v="3500000"/>
    <m/>
    <m/>
    <m/>
    <m/>
    <m/>
    <n v="0"/>
    <m/>
    <m/>
    <n v="0"/>
    <n v="3500000"/>
    <n v="0"/>
    <m/>
    <m/>
    <m/>
    <m/>
    <n v="0"/>
    <m/>
    <m/>
    <n v="0"/>
    <m/>
    <m/>
    <m/>
    <m/>
    <m/>
    <m/>
    <n v="3500000"/>
    <n v="0"/>
  </r>
  <r>
    <x v="11"/>
    <x v="8"/>
    <s v="Academic Student Center-Industry  Training"/>
    <m/>
    <n v="218830"/>
    <x v="7"/>
    <m/>
    <m/>
    <m/>
    <n v="840000"/>
    <m/>
    <m/>
    <m/>
    <m/>
    <n v="0"/>
    <m/>
    <m/>
    <n v="0"/>
    <n v="0"/>
    <n v="840000"/>
    <m/>
    <m/>
    <m/>
    <m/>
    <n v="0"/>
    <m/>
    <m/>
    <n v="0"/>
    <m/>
    <m/>
    <m/>
    <m/>
    <m/>
    <m/>
    <n v="0"/>
    <n v="840000"/>
  </r>
  <r>
    <x v="11"/>
    <x v="8"/>
    <s v="Spartanburg-Cherokee Expansion"/>
    <m/>
    <n v="218830"/>
    <x v="7"/>
    <m/>
    <m/>
    <n v="906816"/>
    <n v="906816"/>
    <m/>
    <m/>
    <m/>
    <m/>
    <n v="0"/>
    <m/>
    <m/>
    <n v="0"/>
    <n v="906816"/>
    <n v="906816"/>
    <m/>
    <m/>
    <m/>
    <m/>
    <n v="0"/>
    <m/>
    <m/>
    <n v="0"/>
    <m/>
    <m/>
    <m/>
    <m/>
    <m/>
    <m/>
    <n v="906816"/>
    <n v="906816"/>
  </r>
  <r>
    <x v="11"/>
    <x v="8"/>
    <s v="Pathways to Prosperity"/>
    <m/>
    <n v="218830"/>
    <x v="7"/>
    <m/>
    <m/>
    <n v="37784"/>
    <n v="37784"/>
    <m/>
    <m/>
    <m/>
    <m/>
    <n v="0"/>
    <m/>
    <m/>
    <n v="0"/>
    <n v="37784"/>
    <n v="37784"/>
    <m/>
    <m/>
    <m/>
    <m/>
    <n v="0"/>
    <m/>
    <m/>
    <n v="0"/>
    <m/>
    <m/>
    <m/>
    <m/>
    <m/>
    <m/>
    <n v="37784"/>
    <n v="37784"/>
  </r>
  <r>
    <x v="11"/>
    <x v="8"/>
    <s v="Lottery Technology (NR)"/>
    <m/>
    <n v="218830"/>
    <x v="7"/>
    <m/>
    <m/>
    <n v="224001"/>
    <n v="233962"/>
    <m/>
    <m/>
    <m/>
    <m/>
    <n v="0"/>
    <m/>
    <m/>
    <n v="0"/>
    <n v="224001"/>
    <n v="233962"/>
    <m/>
    <m/>
    <m/>
    <m/>
    <n v="0"/>
    <m/>
    <m/>
    <n v="0"/>
    <m/>
    <m/>
    <m/>
    <m/>
    <m/>
    <m/>
    <n v="224001"/>
    <n v="233962"/>
  </r>
  <r>
    <x v="11"/>
    <x v="0"/>
    <s v="York Technical College "/>
    <m/>
    <n v="218991"/>
    <x v="7"/>
    <n v="5608367"/>
    <n v="5698246"/>
    <m/>
    <m/>
    <n v="4357480"/>
    <n v="4357480"/>
    <n v="20148398"/>
    <n v="0"/>
    <n v="20148398"/>
    <n v="20148398"/>
    <n v="0"/>
    <n v="20148398"/>
    <n v="30114245"/>
    <n v="30204124"/>
    <m/>
    <m/>
    <m/>
    <m/>
    <n v="0"/>
    <m/>
    <m/>
    <n v="0"/>
    <m/>
    <m/>
    <m/>
    <m/>
    <m/>
    <m/>
    <n v="30114245"/>
    <n v="30204124"/>
  </r>
  <r>
    <x v="11"/>
    <x v="8"/>
    <s v="Special Line items for education operations"/>
    <m/>
    <n v="218991"/>
    <x v="7"/>
    <m/>
    <m/>
    <m/>
    <m/>
    <m/>
    <m/>
    <m/>
    <m/>
    <n v="0"/>
    <m/>
    <m/>
    <n v="0"/>
    <n v="0"/>
    <n v="0"/>
    <m/>
    <m/>
    <m/>
    <m/>
    <n v="0"/>
    <m/>
    <m/>
    <n v="0"/>
    <m/>
    <m/>
    <m/>
    <m/>
    <m/>
    <m/>
    <n v="0"/>
    <n v="0"/>
  </r>
  <r>
    <x v="11"/>
    <x v="8"/>
    <s v="Academic Endowment"/>
    <m/>
    <n v="218991"/>
    <x v="7"/>
    <m/>
    <m/>
    <n v="558"/>
    <n v="500"/>
    <m/>
    <m/>
    <m/>
    <m/>
    <n v="0"/>
    <m/>
    <m/>
    <n v="0"/>
    <n v="558"/>
    <n v="500"/>
    <m/>
    <m/>
    <m/>
    <m/>
    <n v="0"/>
    <m/>
    <m/>
    <n v="0"/>
    <m/>
    <m/>
    <m/>
    <m/>
    <m/>
    <m/>
    <n v="558"/>
    <n v="500"/>
  </r>
  <r>
    <x v="11"/>
    <x v="8"/>
    <s v="Personal Services &amp; Operating"/>
    <m/>
    <n v="218991"/>
    <x v="7"/>
    <m/>
    <m/>
    <m/>
    <n v="119539"/>
    <m/>
    <m/>
    <m/>
    <m/>
    <n v="0"/>
    <m/>
    <m/>
    <n v="0"/>
    <n v="0"/>
    <n v="119539"/>
    <m/>
    <m/>
    <m/>
    <m/>
    <n v="0"/>
    <m/>
    <m/>
    <n v="0"/>
    <m/>
    <m/>
    <m/>
    <m/>
    <m/>
    <m/>
    <n v="0"/>
    <n v="119539"/>
  </r>
  <r>
    <x v="11"/>
    <x v="8"/>
    <s v="Critical Needs Nursing Initiative"/>
    <m/>
    <n v="218991"/>
    <x v="7"/>
    <m/>
    <m/>
    <m/>
    <n v="7538"/>
    <m/>
    <m/>
    <m/>
    <m/>
    <n v="0"/>
    <m/>
    <m/>
    <n v="0"/>
    <n v="0"/>
    <n v="7538"/>
    <m/>
    <m/>
    <m/>
    <m/>
    <n v="0"/>
    <m/>
    <m/>
    <n v="0"/>
    <m/>
    <m/>
    <m/>
    <m/>
    <m/>
    <m/>
    <n v="0"/>
    <n v="7538"/>
  </r>
  <r>
    <x v="11"/>
    <x v="8"/>
    <s v="Deferred Maintenance"/>
    <m/>
    <n v="218991"/>
    <x v="7"/>
    <m/>
    <m/>
    <n v="288882"/>
    <m/>
    <m/>
    <m/>
    <m/>
    <m/>
    <n v="0"/>
    <m/>
    <m/>
    <n v="0"/>
    <n v="288882"/>
    <n v="0"/>
    <m/>
    <m/>
    <m/>
    <m/>
    <n v="0"/>
    <m/>
    <m/>
    <n v="0"/>
    <m/>
    <m/>
    <m/>
    <m/>
    <m/>
    <m/>
    <n v="288882"/>
    <n v="0"/>
  </r>
  <r>
    <x v="11"/>
    <x v="8"/>
    <s v="Pathways to Prosperity"/>
    <m/>
    <n v="218991"/>
    <x v="7"/>
    <m/>
    <m/>
    <n v="37784"/>
    <n v="37784"/>
    <m/>
    <m/>
    <m/>
    <m/>
    <n v="0"/>
    <m/>
    <m/>
    <n v="0"/>
    <n v="37784"/>
    <n v="37784"/>
    <m/>
    <m/>
    <m/>
    <m/>
    <n v="0"/>
    <m/>
    <m/>
    <n v="0"/>
    <m/>
    <m/>
    <m/>
    <m/>
    <m/>
    <m/>
    <n v="37784"/>
    <n v="37784"/>
  </r>
  <r>
    <x v="11"/>
    <x v="8"/>
    <s v="Lottery Technology (NR)"/>
    <m/>
    <n v="218991"/>
    <x v="7"/>
    <m/>
    <m/>
    <n v="209974"/>
    <n v="219293"/>
    <m/>
    <m/>
    <m/>
    <m/>
    <n v="0"/>
    <m/>
    <m/>
    <n v="0"/>
    <n v="209974"/>
    <n v="219293"/>
    <m/>
    <m/>
    <m/>
    <m/>
    <n v="0"/>
    <m/>
    <m/>
    <n v="0"/>
    <m/>
    <m/>
    <m/>
    <m/>
    <m/>
    <m/>
    <n v="209974"/>
    <n v="219293"/>
  </r>
  <r>
    <x v="11"/>
    <x v="0"/>
    <s v="Denmark Technical College "/>
    <m/>
    <n v="217989"/>
    <x v="8"/>
    <n v="2241916"/>
    <n v="2116371"/>
    <m/>
    <m/>
    <n v="5500"/>
    <n v="5500"/>
    <n v="5329131"/>
    <n v="0"/>
    <n v="5329131"/>
    <n v="5329131"/>
    <n v="0"/>
    <n v="5329131"/>
    <n v="7576547"/>
    <n v="7451002"/>
    <m/>
    <m/>
    <m/>
    <m/>
    <n v="0"/>
    <m/>
    <m/>
    <n v="0"/>
    <m/>
    <m/>
    <m/>
    <m/>
    <m/>
    <m/>
    <n v="7576547"/>
    <n v="7451002"/>
  </r>
  <r>
    <x v="11"/>
    <x v="8"/>
    <s v="Special Line items for education operations"/>
    <m/>
    <n v="217989"/>
    <x v="8"/>
    <m/>
    <m/>
    <m/>
    <m/>
    <m/>
    <m/>
    <m/>
    <m/>
    <n v="0"/>
    <m/>
    <m/>
    <n v="0"/>
    <n v="0"/>
    <n v="0"/>
    <m/>
    <m/>
    <m/>
    <m/>
    <n v="0"/>
    <m/>
    <m/>
    <n v="0"/>
    <m/>
    <m/>
    <m/>
    <m/>
    <m/>
    <m/>
    <n v="0"/>
    <n v="0"/>
  </r>
  <r>
    <x v="11"/>
    <x v="8"/>
    <s v="Deferred Maintenance"/>
    <m/>
    <n v="217989"/>
    <x v="8"/>
    <m/>
    <m/>
    <n v="154403"/>
    <m/>
    <m/>
    <m/>
    <m/>
    <m/>
    <n v="0"/>
    <m/>
    <m/>
    <n v="0"/>
    <n v="154403"/>
    <n v="0"/>
    <m/>
    <m/>
    <m/>
    <m/>
    <n v="0"/>
    <m/>
    <m/>
    <n v="0"/>
    <m/>
    <m/>
    <m/>
    <m/>
    <m/>
    <m/>
    <n v="154403"/>
    <n v="0"/>
  </r>
  <r>
    <x v="11"/>
    <x v="8"/>
    <s v="Personal Services &amp; Operating"/>
    <m/>
    <n v="217989"/>
    <x v="8"/>
    <m/>
    <m/>
    <m/>
    <n v="39477"/>
    <m/>
    <m/>
    <m/>
    <m/>
    <n v="0"/>
    <m/>
    <m/>
    <n v="0"/>
    <n v="0"/>
    <n v="39477"/>
    <m/>
    <m/>
    <m/>
    <m/>
    <n v="0"/>
    <m/>
    <m/>
    <n v="0"/>
    <m/>
    <m/>
    <m/>
    <m/>
    <m/>
    <m/>
    <n v="0"/>
    <n v="39477"/>
  </r>
  <r>
    <x v="11"/>
    <x v="8"/>
    <s v="Plant Funding for Science Building"/>
    <m/>
    <n v="217989"/>
    <x v="8"/>
    <m/>
    <m/>
    <m/>
    <n v="435750"/>
    <m/>
    <m/>
    <m/>
    <m/>
    <n v="0"/>
    <m/>
    <m/>
    <n v="0"/>
    <n v="0"/>
    <n v="435750"/>
    <m/>
    <m/>
    <m/>
    <m/>
    <n v="0"/>
    <m/>
    <m/>
    <n v="0"/>
    <m/>
    <m/>
    <m/>
    <m/>
    <m/>
    <m/>
    <n v="0"/>
    <n v="435750"/>
  </r>
  <r>
    <x v="11"/>
    <x v="8"/>
    <s v="Capital Reserve and Surplus 90.20"/>
    <m/>
    <n v="217989"/>
    <x v="8"/>
    <m/>
    <m/>
    <n v="250000"/>
    <m/>
    <m/>
    <m/>
    <m/>
    <m/>
    <n v="0"/>
    <m/>
    <m/>
    <n v="0"/>
    <n v="250000"/>
    <n v="0"/>
    <m/>
    <m/>
    <m/>
    <m/>
    <n v="0"/>
    <m/>
    <m/>
    <n v="0"/>
    <m/>
    <m/>
    <m/>
    <m/>
    <m/>
    <m/>
    <n v="250000"/>
    <n v="0"/>
  </r>
  <r>
    <x v="11"/>
    <x v="8"/>
    <s v="Pathways to Prosperity"/>
    <m/>
    <n v="217989"/>
    <x v="8"/>
    <m/>
    <m/>
    <n v="37784"/>
    <n v="37784"/>
    <m/>
    <m/>
    <m/>
    <m/>
    <n v="0"/>
    <m/>
    <m/>
    <n v="0"/>
    <n v="37784"/>
    <n v="37784"/>
    <m/>
    <m/>
    <m/>
    <m/>
    <n v="0"/>
    <m/>
    <m/>
    <n v="0"/>
    <m/>
    <m/>
    <m/>
    <m/>
    <m/>
    <m/>
    <n v="37784"/>
    <n v="37784"/>
  </r>
  <r>
    <x v="11"/>
    <x v="8"/>
    <s v="Lottery Technology (NR)"/>
    <m/>
    <n v="217989"/>
    <x v="8"/>
    <m/>
    <m/>
    <n v="95295"/>
    <n v="93108"/>
    <m/>
    <m/>
    <m/>
    <m/>
    <n v="0"/>
    <m/>
    <m/>
    <n v="0"/>
    <n v="95295"/>
    <n v="93108"/>
    <m/>
    <m/>
    <m/>
    <m/>
    <n v="0"/>
    <m/>
    <m/>
    <n v="0"/>
    <m/>
    <m/>
    <m/>
    <m/>
    <m/>
    <m/>
    <n v="95295"/>
    <n v="93108"/>
  </r>
  <r>
    <x v="11"/>
    <x v="0"/>
    <s v="Northeastern Technical College"/>
    <m/>
    <n v="217837"/>
    <x v="8"/>
    <n v="1675221"/>
    <n v="1699467"/>
    <m/>
    <m/>
    <n v="720680"/>
    <n v="720680"/>
    <n v="4259434"/>
    <n v="0"/>
    <n v="4259434"/>
    <n v="4259434"/>
    <n v="0"/>
    <n v="4259434"/>
    <n v="6655335"/>
    <n v="6679581"/>
    <m/>
    <m/>
    <m/>
    <m/>
    <n v="0"/>
    <m/>
    <m/>
    <n v="0"/>
    <m/>
    <m/>
    <m/>
    <m/>
    <m/>
    <m/>
    <n v="6655335"/>
    <n v="6679581"/>
  </r>
  <r>
    <x v="11"/>
    <x v="8"/>
    <s v="Special Line items for education operations"/>
    <m/>
    <n v="217837"/>
    <x v="8"/>
    <m/>
    <m/>
    <m/>
    <m/>
    <m/>
    <m/>
    <m/>
    <m/>
    <n v="0"/>
    <m/>
    <m/>
    <n v="0"/>
    <n v="0"/>
    <n v="0"/>
    <m/>
    <m/>
    <m/>
    <m/>
    <n v="0"/>
    <m/>
    <m/>
    <n v="0"/>
    <m/>
    <m/>
    <m/>
    <m/>
    <m/>
    <m/>
    <n v="0"/>
    <n v="0"/>
  </r>
  <r>
    <x v="11"/>
    <x v="8"/>
    <s v="Academic Endowment"/>
    <m/>
    <n v="217837"/>
    <x v="8"/>
    <m/>
    <m/>
    <n v="13"/>
    <n v="12"/>
    <m/>
    <m/>
    <m/>
    <m/>
    <n v="0"/>
    <m/>
    <m/>
    <n v="0"/>
    <n v="13"/>
    <n v="12"/>
    <m/>
    <m/>
    <m/>
    <m/>
    <n v="0"/>
    <m/>
    <m/>
    <n v="0"/>
    <m/>
    <m/>
    <m/>
    <m/>
    <m/>
    <m/>
    <n v="13"/>
    <n v="12"/>
  </r>
  <r>
    <x v="11"/>
    <x v="8"/>
    <s v="Personal Services &amp; Operating"/>
    <m/>
    <n v="217837"/>
    <x v="8"/>
    <m/>
    <m/>
    <m/>
    <n v="78412"/>
    <m/>
    <m/>
    <m/>
    <m/>
    <n v="0"/>
    <m/>
    <m/>
    <n v="0"/>
    <n v="0"/>
    <n v="78412"/>
    <m/>
    <m/>
    <m/>
    <m/>
    <n v="0"/>
    <m/>
    <m/>
    <n v="0"/>
    <m/>
    <m/>
    <m/>
    <m/>
    <m/>
    <m/>
    <n v="0"/>
    <n v="78412"/>
  </r>
  <r>
    <x v="11"/>
    <x v="8"/>
    <s v="Deferred Maintenance"/>
    <m/>
    <n v="217837"/>
    <x v="8"/>
    <m/>
    <m/>
    <n v="98699"/>
    <m/>
    <m/>
    <m/>
    <m/>
    <m/>
    <n v="0"/>
    <m/>
    <m/>
    <n v="0"/>
    <n v="98699"/>
    <n v="0"/>
    <m/>
    <m/>
    <m/>
    <m/>
    <n v="0"/>
    <m/>
    <m/>
    <n v="0"/>
    <m/>
    <m/>
    <m/>
    <m/>
    <m/>
    <m/>
    <n v="98699"/>
    <n v="0"/>
  </r>
  <r>
    <x v="11"/>
    <x v="8"/>
    <s v="Pathways to Prosperity"/>
    <m/>
    <n v="217837"/>
    <x v="8"/>
    <m/>
    <m/>
    <n v="37784"/>
    <n v="37784"/>
    <m/>
    <m/>
    <m/>
    <m/>
    <n v="0"/>
    <m/>
    <m/>
    <n v="0"/>
    <n v="37784"/>
    <n v="37784"/>
    <m/>
    <m/>
    <m/>
    <m/>
    <n v="0"/>
    <m/>
    <m/>
    <n v="0"/>
    <m/>
    <m/>
    <m/>
    <m/>
    <m/>
    <m/>
    <n v="37784"/>
    <n v="37784"/>
  </r>
  <r>
    <x v="11"/>
    <x v="8"/>
    <s v="Lottery Technology (NR)"/>
    <m/>
    <n v="217837"/>
    <x v="8"/>
    <m/>
    <m/>
    <n v="95295"/>
    <n v="93108"/>
    <m/>
    <m/>
    <m/>
    <m/>
    <n v="0"/>
    <m/>
    <m/>
    <n v="0"/>
    <n v="95295"/>
    <n v="93108"/>
    <m/>
    <m/>
    <m/>
    <m/>
    <n v="0"/>
    <m/>
    <m/>
    <n v="0"/>
    <m/>
    <m/>
    <m/>
    <m/>
    <m/>
    <m/>
    <n v="95295"/>
    <n v="93108"/>
  </r>
  <r>
    <x v="11"/>
    <x v="0"/>
    <s v="Technical College of the Lowcountry"/>
    <m/>
    <n v="217712"/>
    <x v="8"/>
    <n v="2769043"/>
    <n v="2651049"/>
    <m/>
    <m/>
    <n v="2069000"/>
    <n v="2069000"/>
    <n v="8350846"/>
    <n v="95238"/>
    <n v="8446084"/>
    <n v="8350846"/>
    <n v="95238"/>
    <n v="8446084"/>
    <n v="13188889"/>
    <n v="13070895"/>
    <m/>
    <m/>
    <m/>
    <m/>
    <n v="0"/>
    <m/>
    <m/>
    <n v="0"/>
    <m/>
    <m/>
    <m/>
    <m/>
    <m/>
    <m/>
    <n v="13188889"/>
    <n v="13070895"/>
  </r>
  <r>
    <x v="11"/>
    <x v="8"/>
    <s v="Special Line items for education operations"/>
    <m/>
    <n v="217712"/>
    <x v="8"/>
    <m/>
    <m/>
    <m/>
    <m/>
    <m/>
    <m/>
    <m/>
    <m/>
    <n v="0"/>
    <m/>
    <m/>
    <n v="0"/>
    <n v="0"/>
    <n v="0"/>
    <m/>
    <m/>
    <m/>
    <m/>
    <n v="0"/>
    <m/>
    <m/>
    <n v="0"/>
    <m/>
    <m/>
    <m/>
    <m/>
    <m/>
    <m/>
    <n v="0"/>
    <n v="0"/>
  </r>
  <r>
    <x v="11"/>
    <x v="8"/>
    <s v="Academic Endowment"/>
    <m/>
    <n v="217712"/>
    <x v="8"/>
    <m/>
    <m/>
    <n v="278"/>
    <n v="169"/>
    <m/>
    <m/>
    <m/>
    <m/>
    <n v="0"/>
    <m/>
    <m/>
    <n v="0"/>
    <n v="278"/>
    <n v="169"/>
    <m/>
    <m/>
    <m/>
    <m/>
    <n v="0"/>
    <m/>
    <m/>
    <n v="0"/>
    <m/>
    <m/>
    <m/>
    <m/>
    <m/>
    <m/>
    <n v="278"/>
    <n v="169"/>
  </r>
  <r>
    <x v="11"/>
    <x v="8"/>
    <s v="Personal Services &amp; Operating"/>
    <m/>
    <n v="217712"/>
    <x v="8"/>
    <m/>
    <m/>
    <m/>
    <n v="71446"/>
    <m/>
    <m/>
    <m/>
    <m/>
    <n v="0"/>
    <m/>
    <m/>
    <n v="0"/>
    <n v="0"/>
    <n v="71446"/>
    <m/>
    <m/>
    <m/>
    <m/>
    <n v="0"/>
    <m/>
    <m/>
    <n v="0"/>
    <m/>
    <m/>
    <m/>
    <m/>
    <m/>
    <m/>
    <n v="0"/>
    <n v="71446"/>
  </r>
  <r>
    <x v="11"/>
    <x v="8"/>
    <s v="Critical Needs Nursing Initiative"/>
    <m/>
    <n v="217712"/>
    <x v="8"/>
    <m/>
    <m/>
    <m/>
    <n v="15089"/>
    <m/>
    <m/>
    <m/>
    <m/>
    <n v="0"/>
    <m/>
    <m/>
    <n v="0"/>
    <n v="0"/>
    <n v="15089"/>
    <m/>
    <m/>
    <m/>
    <m/>
    <n v="0"/>
    <m/>
    <m/>
    <n v="0"/>
    <m/>
    <m/>
    <m/>
    <m/>
    <m/>
    <m/>
    <n v="0"/>
    <n v="15089"/>
  </r>
  <r>
    <x v="11"/>
    <x v="8"/>
    <s v="Transitioning Milt. Supply and Training"/>
    <m/>
    <n v="217712"/>
    <x v="8"/>
    <m/>
    <m/>
    <m/>
    <n v="318000"/>
    <m/>
    <m/>
    <m/>
    <m/>
    <n v="0"/>
    <m/>
    <m/>
    <n v="0"/>
    <n v="0"/>
    <n v="318000"/>
    <m/>
    <m/>
    <m/>
    <m/>
    <n v="0"/>
    <m/>
    <m/>
    <n v="0"/>
    <m/>
    <m/>
    <m/>
    <m/>
    <m/>
    <m/>
    <n v="0"/>
    <n v="318000"/>
  </r>
  <r>
    <x v="11"/>
    <x v="8"/>
    <s v="Deferred Maintenance"/>
    <m/>
    <n v="217712"/>
    <x v="8"/>
    <m/>
    <m/>
    <n v="156613"/>
    <m/>
    <m/>
    <m/>
    <m/>
    <m/>
    <n v="0"/>
    <m/>
    <m/>
    <n v="0"/>
    <n v="156613"/>
    <n v="0"/>
    <m/>
    <m/>
    <m/>
    <m/>
    <n v="0"/>
    <m/>
    <m/>
    <n v="0"/>
    <m/>
    <m/>
    <m/>
    <m/>
    <m/>
    <m/>
    <n v="156613"/>
    <n v="0"/>
  </r>
  <r>
    <x v="11"/>
    <x v="8"/>
    <s v="Capital Reserve and Surplus 90.20"/>
    <m/>
    <n v="217712"/>
    <x v="8"/>
    <m/>
    <m/>
    <n v="200000"/>
    <m/>
    <m/>
    <m/>
    <m/>
    <m/>
    <n v="0"/>
    <m/>
    <m/>
    <n v="0"/>
    <n v="200000"/>
    <n v="0"/>
    <m/>
    <m/>
    <m/>
    <m/>
    <n v="0"/>
    <m/>
    <m/>
    <n v="0"/>
    <m/>
    <m/>
    <m/>
    <m/>
    <m/>
    <m/>
    <n v="200000"/>
    <n v="0"/>
  </r>
  <r>
    <x v="11"/>
    <x v="8"/>
    <s v="Pathways to Prosperity"/>
    <m/>
    <n v="217712"/>
    <x v="8"/>
    <m/>
    <m/>
    <n v="37784"/>
    <n v="37784"/>
    <m/>
    <m/>
    <m/>
    <m/>
    <n v="0"/>
    <m/>
    <m/>
    <n v="0"/>
    <n v="37784"/>
    <n v="37784"/>
    <m/>
    <m/>
    <m/>
    <m/>
    <n v="0"/>
    <m/>
    <m/>
    <n v="0"/>
    <m/>
    <m/>
    <m/>
    <m/>
    <m/>
    <m/>
    <n v="37784"/>
    <n v="37784"/>
  </r>
  <r>
    <x v="11"/>
    <x v="8"/>
    <s v="Lottery Technology (NR)"/>
    <m/>
    <n v="217712"/>
    <x v="8"/>
    <m/>
    <m/>
    <n v="103245"/>
    <n v="102024"/>
    <m/>
    <m/>
    <m/>
    <m/>
    <n v="0"/>
    <m/>
    <m/>
    <n v="0"/>
    <n v="103245"/>
    <n v="102024"/>
    <m/>
    <m/>
    <m/>
    <m/>
    <n v="0"/>
    <m/>
    <m/>
    <n v="0"/>
    <m/>
    <m/>
    <m/>
    <m/>
    <m/>
    <m/>
    <n v="103245"/>
    <n v="102024"/>
  </r>
  <r>
    <x v="11"/>
    <x v="0"/>
    <s v="University of South Carolina-Lancaster"/>
    <m/>
    <n v="218672"/>
    <x v="8"/>
    <n v="1244208"/>
    <n v="1244208"/>
    <m/>
    <m/>
    <m/>
    <m/>
    <n v="8102126"/>
    <n v="20644"/>
    <n v="8122770"/>
    <n v="8102126"/>
    <n v="20644"/>
    <n v="8122770"/>
    <n v="9346334"/>
    <n v="9346334"/>
    <m/>
    <m/>
    <m/>
    <m/>
    <n v="0"/>
    <m/>
    <m/>
    <n v="0"/>
    <m/>
    <m/>
    <m/>
    <m/>
    <m/>
    <m/>
    <n v="9346334"/>
    <n v="9346334"/>
  </r>
  <r>
    <x v="11"/>
    <x v="0"/>
    <s v="Fringe Benefits"/>
    <m/>
    <n v="218672"/>
    <x v="8"/>
    <n v="296526"/>
    <n v="314446"/>
    <m/>
    <m/>
    <m/>
    <m/>
    <m/>
    <m/>
    <n v="0"/>
    <m/>
    <m/>
    <n v="0"/>
    <n v="296526"/>
    <n v="314446"/>
    <m/>
    <m/>
    <m/>
    <m/>
    <n v="0"/>
    <m/>
    <m/>
    <n v="0"/>
    <m/>
    <m/>
    <m/>
    <m/>
    <m/>
    <m/>
    <n v="296526"/>
    <n v="314446"/>
  </r>
  <r>
    <x v="11"/>
    <x v="8"/>
    <s v="Special Line items for education operations"/>
    <m/>
    <n v="218672"/>
    <x v="8"/>
    <m/>
    <m/>
    <m/>
    <m/>
    <m/>
    <m/>
    <m/>
    <m/>
    <n v="0"/>
    <m/>
    <m/>
    <n v="0"/>
    <n v="0"/>
    <n v="0"/>
    <m/>
    <m/>
    <m/>
    <m/>
    <n v="0"/>
    <m/>
    <m/>
    <n v="0"/>
    <m/>
    <m/>
    <m/>
    <m/>
    <m/>
    <m/>
    <n v="0"/>
    <n v="0"/>
  </r>
  <r>
    <x v="11"/>
    <x v="8"/>
    <s v="Deferred Maintenance (NR)"/>
    <m/>
    <n v="218672"/>
    <x v="8"/>
    <m/>
    <m/>
    <n v="208697"/>
    <n v="400000"/>
    <m/>
    <m/>
    <m/>
    <m/>
    <n v="0"/>
    <m/>
    <m/>
    <n v="0"/>
    <n v="208697"/>
    <n v="400000"/>
    <m/>
    <m/>
    <m/>
    <m/>
    <n v="0"/>
    <m/>
    <m/>
    <n v="0"/>
    <m/>
    <m/>
    <m/>
    <m/>
    <m/>
    <m/>
    <n v="208697"/>
    <n v="400000"/>
  </r>
  <r>
    <x v="11"/>
    <x v="8"/>
    <s v="Parity Funding"/>
    <m/>
    <n v="218672"/>
    <x v="8"/>
    <m/>
    <m/>
    <m/>
    <n v="148400"/>
    <m/>
    <m/>
    <m/>
    <m/>
    <n v="0"/>
    <m/>
    <m/>
    <n v="0"/>
    <n v="0"/>
    <n v="148400"/>
    <m/>
    <m/>
    <m/>
    <m/>
    <n v="0"/>
    <m/>
    <m/>
    <n v="0"/>
    <m/>
    <m/>
    <m/>
    <m/>
    <m/>
    <m/>
    <n v="0"/>
    <n v="148400"/>
  </r>
  <r>
    <x v="11"/>
    <x v="8"/>
    <s v="Palmetto College"/>
    <m/>
    <n v="218672"/>
    <x v="8"/>
    <m/>
    <m/>
    <m/>
    <n v="148500"/>
    <m/>
    <m/>
    <m/>
    <m/>
    <n v="0"/>
    <m/>
    <m/>
    <n v="0"/>
    <n v="0"/>
    <n v="148500"/>
    <m/>
    <m/>
    <m/>
    <m/>
    <n v="0"/>
    <m/>
    <m/>
    <n v="0"/>
    <m/>
    <m/>
    <m/>
    <m/>
    <m/>
    <m/>
    <n v="0"/>
    <n v="148500"/>
  </r>
  <r>
    <x v="11"/>
    <x v="8"/>
    <s v="Building Repair &amp; Maintenance (Lottery)"/>
    <m/>
    <n v="218672"/>
    <x v="8"/>
    <m/>
    <m/>
    <m/>
    <n v="66878"/>
    <m/>
    <m/>
    <m/>
    <m/>
    <n v="0"/>
    <m/>
    <m/>
    <n v="0"/>
    <n v="0"/>
    <n v="66878"/>
    <m/>
    <m/>
    <m/>
    <m/>
    <n v="0"/>
    <m/>
    <m/>
    <n v="0"/>
    <m/>
    <m/>
    <m/>
    <m/>
    <m/>
    <m/>
    <n v="0"/>
    <n v="66878"/>
  </r>
  <r>
    <x v="11"/>
    <x v="8"/>
    <s v="Academic Endowment"/>
    <m/>
    <n v="218672"/>
    <x v="8"/>
    <m/>
    <m/>
    <n v="4223"/>
    <n v="3817"/>
    <m/>
    <m/>
    <m/>
    <m/>
    <n v="0"/>
    <m/>
    <m/>
    <n v="0"/>
    <n v="4223"/>
    <n v="3817"/>
    <m/>
    <m/>
    <m/>
    <m/>
    <n v="0"/>
    <m/>
    <m/>
    <n v="0"/>
    <m/>
    <m/>
    <m/>
    <m/>
    <m/>
    <m/>
    <n v="4223"/>
    <n v="3817"/>
  </r>
  <r>
    <x v="11"/>
    <x v="8"/>
    <s v="Lottery Technology (NR)"/>
    <m/>
    <n v="218672"/>
    <x v="8"/>
    <m/>
    <m/>
    <n v="102102"/>
    <n v="99759"/>
    <m/>
    <m/>
    <m/>
    <m/>
    <n v="0"/>
    <m/>
    <m/>
    <n v="0"/>
    <n v="102102"/>
    <n v="99759"/>
    <m/>
    <m/>
    <m/>
    <m/>
    <n v="0"/>
    <m/>
    <m/>
    <n v="0"/>
    <m/>
    <m/>
    <m/>
    <m/>
    <m/>
    <m/>
    <n v="102102"/>
    <n v="99759"/>
  </r>
  <r>
    <x v="11"/>
    <x v="0"/>
    <s v="University of South Carolina-Salkehatchie"/>
    <m/>
    <n v="218681"/>
    <x v="8"/>
    <n v="974631"/>
    <n v="974631"/>
    <m/>
    <m/>
    <m/>
    <m/>
    <n v="5686068"/>
    <n v="40156"/>
    <n v="5726224"/>
    <n v="5686068"/>
    <n v="40156"/>
    <n v="5726224"/>
    <n v="6660699"/>
    <n v="6660699"/>
    <m/>
    <m/>
    <m/>
    <m/>
    <n v="0"/>
    <m/>
    <m/>
    <n v="0"/>
    <m/>
    <m/>
    <m/>
    <m/>
    <m/>
    <m/>
    <n v="6660699"/>
    <n v="6660699"/>
  </r>
  <r>
    <x v="11"/>
    <x v="0"/>
    <s v="Fringe Benefits"/>
    <m/>
    <n v="218681"/>
    <x v="8"/>
    <n v="233366"/>
    <n v="248511"/>
    <m/>
    <m/>
    <m/>
    <m/>
    <m/>
    <m/>
    <n v="0"/>
    <m/>
    <m/>
    <n v="0"/>
    <n v="233366"/>
    <n v="248511"/>
    <m/>
    <m/>
    <m/>
    <m/>
    <n v="0"/>
    <m/>
    <m/>
    <n v="0"/>
    <m/>
    <m/>
    <m/>
    <m/>
    <m/>
    <m/>
    <n v="233366"/>
    <n v="248511"/>
  </r>
  <r>
    <x v="11"/>
    <x v="3"/>
    <s v="Community or public service units"/>
    <m/>
    <n v="218681"/>
    <x v="8"/>
    <m/>
    <m/>
    <m/>
    <m/>
    <m/>
    <m/>
    <m/>
    <m/>
    <n v="0"/>
    <m/>
    <m/>
    <n v="0"/>
    <n v="0"/>
    <n v="0"/>
    <m/>
    <m/>
    <m/>
    <m/>
    <n v="0"/>
    <m/>
    <m/>
    <n v="0"/>
    <m/>
    <m/>
    <m/>
    <m/>
    <m/>
    <m/>
    <n v="0"/>
    <n v="0"/>
  </r>
  <r>
    <x v="11"/>
    <x v="3"/>
    <s v="  Salkehatchie Leadership Center"/>
    <m/>
    <n v="218681"/>
    <x v="8"/>
    <m/>
    <m/>
    <n v="100460"/>
    <n v="100460"/>
    <m/>
    <m/>
    <m/>
    <m/>
    <n v="0"/>
    <m/>
    <m/>
    <n v="0"/>
    <n v="100460"/>
    <n v="100460"/>
    <m/>
    <m/>
    <m/>
    <m/>
    <n v="0"/>
    <m/>
    <m/>
    <n v="0"/>
    <m/>
    <m/>
    <m/>
    <m/>
    <m/>
    <m/>
    <n v="100460"/>
    <n v="100460"/>
  </r>
  <r>
    <x v="11"/>
    <x v="8"/>
    <s v="Special Line items for education operations"/>
    <m/>
    <n v="218681"/>
    <x v="8"/>
    <m/>
    <m/>
    <m/>
    <m/>
    <m/>
    <m/>
    <m/>
    <m/>
    <n v="0"/>
    <m/>
    <m/>
    <n v="0"/>
    <n v="0"/>
    <n v="0"/>
    <m/>
    <m/>
    <m/>
    <m/>
    <n v="0"/>
    <m/>
    <m/>
    <n v="0"/>
    <m/>
    <m/>
    <m/>
    <m/>
    <m/>
    <m/>
    <n v="0"/>
    <n v="0"/>
  </r>
  <r>
    <x v="11"/>
    <x v="8"/>
    <s v="Deferred Maintenance (NR &amp; Lottery)"/>
    <m/>
    <n v="218681"/>
    <x v="8"/>
    <m/>
    <m/>
    <n v="377806"/>
    <m/>
    <m/>
    <m/>
    <m/>
    <m/>
    <n v="0"/>
    <m/>
    <m/>
    <n v="0"/>
    <n v="377806"/>
    <n v="0"/>
    <m/>
    <m/>
    <m/>
    <m/>
    <n v="0"/>
    <m/>
    <m/>
    <n v="0"/>
    <m/>
    <m/>
    <m/>
    <m/>
    <m/>
    <m/>
    <n v="377806"/>
    <n v="0"/>
  </r>
  <r>
    <x v="11"/>
    <x v="8"/>
    <s v="Parity Funding"/>
    <m/>
    <n v="218681"/>
    <x v="8"/>
    <m/>
    <m/>
    <m/>
    <n v="118720"/>
    <m/>
    <m/>
    <m/>
    <m/>
    <n v="0"/>
    <m/>
    <m/>
    <n v="0"/>
    <n v="0"/>
    <n v="118720"/>
    <m/>
    <m/>
    <m/>
    <m/>
    <n v="0"/>
    <m/>
    <m/>
    <n v="0"/>
    <m/>
    <m/>
    <m/>
    <m/>
    <m/>
    <m/>
    <n v="0"/>
    <n v="118720"/>
  </r>
  <r>
    <x v="11"/>
    <x v="8"/>
    <s v="Palmetto College"/>
    <m/>
    <n v="218681"/>
    <x v="8"/>
    <m/>
    <m/>
    <m/>
    <n v="148500"/>
    <m/>
    <m/>
    <m/>
    <m/>
    <n v="0"/>
    <m/>
    <m/>
    <n v="0"/>
    <n v="0"/>
    <n v="148500"/>
    <m/>
    <m/>
    <m/>
    <m/>
    <n v="0"/>
    <m/>
    <m/>
    <n v="0"/>
    <m/>
    <m/>
    <m/>
    <m/>
    <m/>
    <m/>
    <n v="0"/>
    <n v="148500"/>
  </r>
  <r>
    <x v="11"/>
    <x v="8"/>
    <s v="Building Repair &amp; Maintenance (Lottery)"/>
    <m/>
    <n v="218681"/>
    <x v="8"/>
    <m/>
    <m/>
    <m/>
    <n v="56797"/>
    <m/>
    <m/>
    <m/>
    <m/>
    <n v="0"/>
    <m/>
    <m/>
    <n v="0"/>
    <n v="0"/>
    <n v="56797"/>
    <m/>
    <m/>
    <m/>
    <m/>
    <n v="0"/>
    <m/>
    <m/>
    <n v="0"/>
    <m/>
    <m/>
    <m/>
    <m/>
    <m/>
    <m/>
    <n v="0"/>
    <n v="56797"/>
  </r>
  <r>
    <x v="11"/>
    <x v="8"/>
    <s v="Academic Endowment"/>
    <m/>
    <n v="218681"/>
    <x v="8"/>
    <m/>
    <m/>
    <n v="227"/>
    <n v="247"/>
    <m/>
    <m/>
    <m/>
    <m/>
    <n v="0"/>
    <m/>
    <m/>
    <n v="0"/>
    <n v="227"/>
    <n v="247"/>
    <m/>
    <m/>
    <m/>
    <m/>
    <n v="0"/>
    <m/>
    <m/>
    <n v="0"/>
    <m/>
    <m/>
    <m/>
    <m/>
    <m/>
    <m/>
    <n v="227"/>
    <n v="247"/>
  </r>
  <r>
    <x v="11"/>
    <x v="8"/>
    <s v="Lottery Technology (NR)"/>
    <m/>
    <n v="218681"/>
    <x v="8"/>
    <m/>
    <m/>
    <n v="102102"/>
    <n v="99759"/>
    <m/>
    <m/>
    <m/>
    <m/>
    <n v="0"/>
    <m/>
    <m/>
    <n v="0"/>
    <n v="102102"/>
    <n v="99759"/>
    <m/>
    <m/>
    <m/>
    <m/>
    <n v="0"/>
    <m/>
    <m/>
    <n v="0"/>
    <m/>
    <m/>
    <m/>
    <m/>
    <m/>
    <m/>
    <n v="102102"/>
    <n v="99759"/>
  </r>
  <r>
    <x v="11"/>
    <x v="0"/>
    <s v="University of South Carolina-Sumter"/>
    <m/>
    <n v="218690"/>
    <x v="8"/>
    <n v="1954444"/>
    <n v="1954444"/>
    <m/>
    <m/>
    <m/>
    <m/>
    <n v="4618168"/>
    <n v="57686"/>
    <n v="4675854"/>
    <n v="4618168"/>
    <n v="57686"/>
    <n v="4675854"/>
    <n v="6572612"/>
    <n v="6572612"/>
    <m/>
    <m/>
    <m/>
    <m/>
    <n v="0"/>
    <m/>
    <m/>
    <n v="0"/>
    <m/>
    <m/>
    <m/>
    <m/>
    <m/>
    <m/>
    <n v="6572612"/>
    <n v="6572612"/>
  </r>
  <r>
    <x v="11"/>
    <x v="0"/>
    <s v="Fringe Benefits"/>
    <m/>
    <n v="218690"/>
    <x v="8"/>
    <n v="492333"/>
    <n v="525276"/>
    <m/>
    <m/>
    <m/>
    <m/>
    <m/>
    <m/>
    <n v="0"/>
    <m/>
    <m/>
    <n v="0"/>
    <n v="492333"/>
    <n v="525276"/>
    <m/>
    <m/>
    <m/>
    <m/>
    <n v="0"/>
    <m/>
    <m/>
    <n v="0"/>
    <m/>
    <m/>
    <m/>
    <m/>
    <m/>
    <m/>
    <n v="492333"/>
    <n v="525276"/>
  </r>
  <r>
    <x v="11"/>
    <x v="8"/>
    <s v="Special Line items for education operations"/>
    <m/>
    <n v="218690"/>
    <x v="8"/>
    <m/>
    <m/>
    <m/>
    <m/>
    <m/>
    <m/>
    <m/>
    <m/>
    <n v="0"/>
    <m/>
    <m/>
    <n v="0"/>
    <n v="0"/>
    <n v="0"/>
    <m/>
    <m/>
    <m/>
    <m/>
    <n v="0"/>
    <m/>
    <m/>
    <n v="0"/>
    <m/>
    <m/>
    <m/>
    <m/>
    <m/>
    <m/>
    <n v="0"/>
    <n v="0"/>
  </r>
  <r>
    <x v="11"/>
    <x v="8"/>
    <s v="Deferred Maintenance (NR &amp; Lottery)"/>
    <m/>
    <n v="218690"/>
    <x v="8"/>
    <m/>
    <m/>
    <n v="481157"/>
    <m/>
    <m/>
    <m/>
    <m/>
    <m/>
    <n v="0"/>
    <m/>
    <m/>
    <n v="0"/>
    <n v="481157"/>
    <n v="0"/>
    <m/>
    <m/>
    <m/>
    <m/>
    <n v="0"/>
    <m/>
    <m/>
    <n v="0"/>
    <m/>
    <m/>
    <m/>
    <m/>
    <m/>
    <m/>
    <n v="481157"/>
    <n v="0"/>
  </r>
  <r>
    <x v="11"/>
    <x v="8"/>
    <s v="Parity Funding"/>
    <m/>
    <n v="218690"/>
    <x v="8"/>
    <m/>
    <m/>
    <m/>
    <n v="176270"/>
    <m/>
    <m/>
    <m/>
    <m/>
    <n v="0"/>
    <m/>
    <m/>
    <n v="0"/>
    <n v="0"/>
    <n v="176270"/>
    <m/>
    <m/>
    <m/>
    <m/>
    <n v="0"/>
    <m/>
    <m/>
    <n v="0"/>
    <m/>
    <m/>
    <m/>
    <m/>
    <m/>
    <m/>
    <n v="0"/>
    <n v="176270"/>
  </r>
  <r>
    <x v="11"/>
    <x v="8"/>
    <s v="Palmetto College"/>
    <m/>
    <n v="218690"/>
    <x v="8"/>
    <m/>
    <m/>
    <m/>
    <n v="148500"/>
    <m/>
    <m/>
    <m/>
    <m/>
    <n v="0"/>
    <m/>
    <m/>
    <n v="0"/>
    <n v="0"/>
    <n v="148500"/>
    <m/>
    <m/>
    <m/>
    <m/>
    <n v="0"/>
    <m/>
    <m/>
    <n v="0"/>
    <m/>
    <m/>
    <m/>
    <m/>
    <m/>
    <m/>
    <n v="0"/>
    <n v="148500"/>
  </r>
  <r>
    <x v="11"/>
    <x v="8"/>
    <s v="Building Repair &amp; Maintenance (Lottery)"/>
    <m/>
    <n v="218690"/>
    <x v="8"/>
    <m/>
    <m/>
    <m/>
    <n v="106232"/>
    <m/>
    <m/>
    <m/>
    <m/>
    <n v="0"/>
    <m/>
    <m/>
    <n v="0"/>
    <n v="0"/>
    <n v="106232"/>
    <m/>
    <m/>
    <m/>
    <m/>
    <n v="0"/>
    <m/>
    <m/>
    <n v="0"/>
    <m/>
    <m/>
    <m/>
    <m/>
    <m/>
    <m/>
    <n v="0"/>
    <n v="106232"/>
  </r>
  <r>
    <x v="11"/>
    <x v="8"/>
    <s v="Academic Endowment"/>
    <m/>
    <n v="218690"/>
    <x v="8"/>
    <m/>
    <m/>
    <n v="881"/>
    <n v="792"/>
    <m/>
    <m/>
    <m/>
    <m/>
    <n v="0"/>
    <m/>
    <m/>
    <n v="0"/>
    <n v="881"/>
    <n v="792"/>
    <m/>
    <m/>
    <m/>
    <m/>
    <n v="0"/>
    <m/>
    <m/>
    <n v="0"/>
    <m/>
    <m/>
    <m/>
    <m/>
    <m/>
    <m/>
    <n v="881"/>
    <n v="792"/>
  </r>
  <r>
    <x v="11"/>
    <x v="8"/>
    <s v="Lottery Technology (NR)"/>
    <m/>
    <n v="218690"/>
    <x v="8"/>
    <m/>
    <m/>
    <n v="102102"/>
    <n v="99759"/>
    <m/>
    <m/>
    <m/>
    <m/>
    <n v="0"/>
    <m/>
    <m/>
    <n v="0"/>
    <n v="102102"/>
    <n v="99759"/>
    <m/>
    <m/>
    <m/>
    <m/>
    <n v="0"/>
    <m/>
    <m/>
    <n v="0"/>
    <m/>
    <m/>
    <m/>
    <m/>
    <m/>
    <m/>
    <n v="102102"/>
    <n v="99759"/>
  </r>
  <r>
    <x v="11"/>
    <x v="0"/>
    <s v="University of South Carolina-Union"/>
    <m/>
    <n v="218706"/>
    <x v="8"/>
    <n v="487317"/>
    <n v="487317"/>
    <m/>
    <m/>
    <m/>
    <m/>
    <n v="2365634"/>
    <n v="23361"/>
    <n v="2388995"/>
    <n v="2365634"/>
    <n v="23361"/>
    <n v="2388995"/>
    <n v="2852951"/>
    <n v="2852951"/>
    <m/>
    <m/>
    <m/>
    <m/>
    <n v="0"/>
    <m/>
    <m/>
    <n v="0"/>
    <m/>
    <m/>
    <m/>
    <m/>
    <m/>
    <m/>
    <n v="2852951"/>
    <n v="2852951"/>
  </r>
  <r>
    <x v="11"/>
    <x v="0"/>
    <s v="Fringe Benefits"/>
    <m/>
    <n v="218706"/>
    <x v="8"/>
    <n v="112435"/>
    <n v="121815"/>
    <m/>
    <m/>
    <m/>
    <m/>
    <m/>
    <m/>
    <n v="0"/>
    <m/>
    <m/>
    <n v="0"/>
    <n v="112435"/>
    <n v="121815"/>
    <m/>
    <m/>
    <m/>
    <m/>
    <n v="0"/>
    <m/>
    <m/>
    <n v="0"/>
    <m/>
    <m/>
    <m/>
    <m/>
    <m/>
    <m/>
    <n v="112435"/>
    <n v="121815"/>
  </r>
  <r>
    <x v="11"/>
    <x v="8"/>
    <s v="Special Line items for education operations"/>
    <m/>
    <n v="218706"/>
    <x v="8"/>
    <m/>
    <m/>
    <m/>
    <m/>
    <m/>
    <m/>
    <m/>
    <m/>
    <n v="0"/>
    <m/>
    <m/>
    <n v="0"/>
    <n v="0"/>
    <n v="0"/>
    <m/>
    <m/>
    <m/>
    <m/>
    <n v="0"/>
    <m/>
    <m/>
    <n v="0"/>
    <m/>
    <m/>
    <m/>
    <m/>
    <m/>
    <m/>
    <n v="0"/>
    <n v="0"/>
  </r>
  <r>
    <x v="11"/>
    <x v="8"/>
    <s v="Deferred Maintenance (NR &amp; Lottery)"/>
    <m/>
    <n v="218706"/>
    <x v="8"/>
    <m/>
    <m/>
    <n v="81001"/>
    <m/>
    <m/>
    <m/>
    <m/>
    <m/>
    <n v="0"/>
    <m/>
    <m/>
    <n v="0"/>
    <n v="81001"/>
    <n v="0"/>
    <m/>
    <m/>
    <m/>
    <m/>
    <n v="0"/>
    <m/>
    <m/>
    <n v="0"/>
    <m/>
    <m/>
    <m/>
    <m/>
    <m/>
    <m/>
    <n v="81001"/>
    <n v="0"/>
  </r>
  <r>
    <x v="11"/>
    <x v="8"/>
    <s v="Parity Funding"/>
    <m/>
    <n v="218706"/>
    <x v="8"/>
    <m/>
    <m/>
    <m/>
    <n v="59360"/>
    <m/>
    <m/>
    <m/>
    <m/>
    <n v="0"/>
    <m/>
    <m/>
    <n v="0"/>
    <n v="0"/>
    <n v="59360"/>
    <m/>
    <m/>
    <m/>
    <m/>
    <n v="0"/>
    <m/>
    <m/>
    <n v="0"/>
    <m/>
    <m/>
    <m/>
    <m/>
    <m/>
    <m/>
    <n v="0"/>
    <n v="59360"/>
  </r>
  <r>
    <x v="11"/>
    <x v="8"/>
    <s v="Palmetto College"/>
    <m/>
    <n v="218706"/>
    <x v="8"/>
    <m/>
    <m/>
    <m/>
    <n v="148500"/>
    <m/>
    <m/>
    <m/>
    <m/>
    <n v="0"/>
    <m/>
    <m/>
    <n v="0"/>
    <n v="0"/>
    <n v="148500"/>
    <m/>
    <m/>
    <m/>
    <m/>
    <n v="0"/>
    <m/>
    <m/>
    <n v="0"/>
    <m/>
    <m/>
    <m/>
    <m/>
    <m/>
    <m/>
    <n v="0"/>
    <n v="148500"/>
  </r>
  <r>
    <x v="11"/>
    <x v="8"/>
    <s v="Building Repair &amp; Maintenance (Lottery)"/>
    <m/>
    <n v="218706"/>
    <x v="8"/>
    <m/>
    <m/>
    <m/>
    <n v="26047"/>
    <m/>
    <m/>
    <m/>
    <m/>
    <n v="0"/>
    <m/>
    <m/>
    <n v="0"/>
    <n v="0"/>
    <n v="26047"/>
    <m/>
    <m/>
    <m/>
    <m/>
    <n v="0"/>
    <m/>
    <m/>
    <n v="0"/>
    <m/>
    <m/>
    <m/>
    <m/>
    <m/>
    <m/>
    <n v="0"/>
    <n v="26047"/>
  </r>
  <r>
    <x v="11"/>
    <x v="8"/>
    <s v="Academic Endowment"/>
    <m/>
    <n v="218706"/>
    <x v="8"/>
    <m/>
    <m/>
    <n v="277"/>
    <n v="248"/>
    <m/>
    <m/>
    <m/>
    <m/>
    <n v="0"/>
    <m/>
    <m/>
    <n v="0"/>
    <n v="277"/>
    <n v="248"/>
    <m/>
    <m/>
    <m/>
    <m/>
    <n v="0"/>
    <m/>
    <m/>
    <n v="0"/>
    <m/>
    <m/>
    <m/>
    <m/>
    <m/>
    <m/>
    <n v="277"/>
    <n v="248"/>
  </r>
  <r>
    <x v="11"/>
    <x v="8"/>
    <s v="Lottery Technology (NR)"/>
    <m/>
    <n v="218706"/>
    <x v="8"/>
    <m/>
    <m/>
    <n v="102102"/>
    <n v="99759"/>
    <m/>
    <m/>
    <m/>
    <m/>
    <n v="0"/>
    <m/>
    <m/>
    <n v="0"/>
    <n v="102102"/>
    <n v="99759"/>
    <m/>
    <m/>
    <m/>
    <m/>
    <n v="0"/>
    <m/>
    <m/>
    <n v="0"/>
    <m/>
    <m/>
    <m/>
    <m/>
    <m/>
    <m/>
    <n v="102102"/>
    <n v="99759"/>
  </r>
  <r>
    <x v="11"/>
    <x v="0"/>
    <s v="Willamsburg Technical College "/>
    <m/>
    <n v="218955"/>
    <x v="8"/>
    <n v="1371689"/>
    <n v="1308221"/>
    <m/>
    <m/>
    <n v="976932"/>
    <n v="976932"/>
    <n v="2120862"/>
    <n v="0"/>
    <n v="2120862"/>
    <n v="2120862"/>
    <n v="0"/>
    <n v="2120862"/>
    <n v="4469483"/>
    <n v="4406015"/>
    <m/>
    <m/>
    <m/>
    <m/>
    <n v="0"/>
    <m/>
    <m/>
    <n v="0"/>
    <m/>
    <m/>
    <m/>
    <m/>
    <m/>
    <m/>
    <n v="4469483"/>
    <n v="4406015"/>
  </r>
  <r>
    <x v="11"/>
    <x v="8"/>
    <s v="Special Line items for education operations"/>
    <m/>
    <n v="218955"/>
    <x v="8"/>
    <m/>
    <m/>
    <m/>
    <m/>
    <m/>
    <m/>
    <m/>
    <m/>
    <n v="0"/>
    <m/>
    <m/>
    <n v="0"/>
    <n v="0"/>
    <n v="0"/>
    <m/>
    <m/>
    <m/>
    <m/>
    <n v="0"/>
    <m/>
    <m/>
    <n v="0"/>
    <m/>
    <m/>
    <m/>
    <m/>
    <m/>
    <m/>
    <n v="0"/>
    <n v="0"/>
  </r>
  <r>
    <x v="11"/>
    <x v="8"/>
    <s v="Academic Endowment"/>
    <m/>
    <n v="218955"/>
    <x v="8"/>
    <m/>
    <m/>
    <n v="2"/>
    <n v="2"/>
    <m/>
    <m/>
    <m/>
    <m/>
    <n v="0"/>
    <m/>
    <m/>
    <n v="0"/>
    <n v="2"/>
    <n v="2"/>
    <m/>
    <m/>
    <m/>
    <m/>
    <n v="0"/>
    <m/>
    <m/>
    <n v="0"/>
    <m/>
    <m/>
    <m/>
    <m/>
    <m/>
    <m/>
    <n v="2"/>
    <n v="2"/>
  </r>
  <r>
    <x v="11"/>
    <x v="8"/>
    <s v="Personal Services &amp; Operating"/>
    <m/>
    <n v="218955"/>
    <x v="8"/>
    <m/>
    <m/>
    <m/>
    <n v="46669"/>
    <m/>
    <m/>
    <m/>
    <m/>
    <n v="0"/>
    <m/>
    <m/>
    <n v="0"/>
    <n v="0"/>
    <n v="46669"/>
    <m/>
    <m/>
    <m/>
    <m/>
    <n v="0"/>
    <m/>
    <m/>
    <n v="0"/>
    <m/>
    <m/>
    <m/>
    <m/>
    <m/>
    <m/>
    <n v="0"/>
    <n v="46669"/>
  </r>
  <r>
    <x v="11"/>
    <x v="8"/>
    <s v="Deferred Maintenance"/>
    <m/>
    <n v="218955"/>
    <x v="8"/>
    <m/>
    <m/>
    <n v="66555"/>
    <m/>
    <m/>
    <m/>
    <m/>
    <m/>
    <n v="0"/>
    <m/>
    <m/>
    <n v="0"/>
    <n v="66555"/>
    <n v="0"/>
    <m/>
    <m/>
    <m/>
    <m/>
    <n v="0"/>
    <m/>
    <m/>
    <n v="0"/>
    <m/>
    <m/>
    <m/>
    <m/>
    <m/>
    <m/>
    <n v="66555"/>
    <n v="0"/>
  </r>
  <r>
    <x v="11"/>
    <x v="8"/>
    <s v="Pathways to Prosperity"/>
    <m/>
    <n v="218955"/>
    <x v="8"/>
    <m/>
    <m/>
    <n v="37784"/>
    <n v="37785"/>
    <m/>
    <m/>
    <m/>
    <m/>
    <n v="0"/>
    <m/>
    <m/>
    <n v="0"/>
    <n v="37784"/>
    <n v="37785"/>
    <m/>
    <m/>
    <m/>
    <m/>
    <n v="0"/>
    <m/>
    <m/>
    <n v="0"/>
    <m/>
    <m/>
    <m/>
    <m/>
    <m/>
    <m/>
    <n v="37784"/>
    <n v="37785"/>
  </r>
  <r>
    <x v="11"/>
    <x v="8"/>
    <s v="Lottery Technology (NR)"/>
    <m/>
    <n v="218955"/>
    <x v="8"/>
    <m/>
    <m/>
    <n v="95295"/>
    <n v="93108"/>
    <m/>
    <m/>
    <m/>
    <m/>
    <n v="0"/>
    <m/>
    <m/>
    <n v="0"/>
    <n v="95295"/>
    <n v="93108"/>
    <m/>
    <m/>
    <m/>
    <m/>
    <n v="0"/>
    <m/>
    <m/>
    <n v="0"/>
    <m/>
    <m/>
    <m/>
    <m/>
    <m/>
    <m/>
    <n v="95295"/>
    <n v="93108"/>
  </r>
  <r>
    <x v="11"/>
    <x v="41"/>
    <s v="Medical University of South Carolina"/>
    <m/>
    <n v="218335"/>
    <x v="11"/>
    <m/>
    <m/>
    <m/>
    <m/>
    <m/>
    <m/>
    <m/>
    <m/>
    <n v="0"/>
    <m/>
    <m/>
    <n v="0"/>
    <n v="0"/>
    <n v="0"/>
    <m/>
    <m/>
    <m/>
    <m/>
    <n v="0"/>
    <m/>
    <m/>
    <n v="0"/>
    <n v="41266046"/>
    <n v="41346426"/>
    <n v="79747119"/>
    <n v="6923568"/>
    <m/>
    <m/>
    <n v="121013165"/>
    <n v="41346426"/>
  </r>
  <r>
    <x v="11"/>
    <x v="41"/>
    <s v="Fringe Benefits"/>
    <m/>
    <n v="218335"/>
    <x v="11"/>
    <m/>
    <m/>
    <m/>
    <m/>
    <m/>
    <m/>
    <m/>
    <m/>
    <n v="0"/>
    <m/>
    <m/>
    <n v="0"/>
    <n v="0"/>
    <n v="0"/>
    <m/>
    <m/>
    <m/>
    <m/>
    <n v="0"/>
    <m/>
    <m/>
    <n v="0"/>
    <n v="12274811"/>
    <n v="13060732"/>
    <m/>
    <m/>
    <m/>
    <m/>
    <n v="12274811"/>
    <n v="13060732"/>
  </r>
  <r>
    <x v="11"/>
    <x v="8"/>
    <s v="Deferred Maintenance (NR &amp; Lottery)"/>
    <m/>
    <n v="218335"/>
    <x v="11"/>
    <m/>
    <m/>
    <m/>
    <m/>
    <m/>
    <m/>
    <m/>
    <m/>
    <n v="0"/>
    <m/>
    <m/>
    <n v="0"/>
    <n v="0"/>
    <n v="0"/>
    <m/>
    <m/>
    <m/>
    <m/>
    <n v="0"/>
    <m/>
    <m/>
    <n v="0"/>
    <n v="5710334"/>
    <m/>
    <m/>
    <m/>
    <m/>
    <m/>
    <n v="5710334"/>
    <n v="0"/>
  </r>
  <r>
    <x v="11"/>
    <x v="8"/>
    <s v="Building Repair &amp; Maintenance (Lottery)"/>
    <m/>
    <n v="218335"/>
    <x v="11"/>
    <m/>
    <m/>
    <m/>
    <m/>
    <m/>
    <m/>
    <m/>
    <m/>
    <n v="0"/>
    <m/>
    <m/>
    <n v="0"/>
    <n v="0"/>
    <n v="0"/>
    <m/>
    <m/>
    <m/>
    <m/>
    <n v="0"/>
    <m/>
    <m/>
    <n v="0"/>
    <m/>
    <n v="2351936"/>
    <m/>
    <m/>
    <m/>
    <m/>
    <n v="0"/>
    <n v="2351936"/>
  </r>
  <r>
    <x v="11"/>
    <x v="41"/>
    <s v="Academic Endowment"/>
    <m/>
    <n v="218335"/>
    <x v="11"/>
    <m/>
    <m/>
    <m/>
    <m/>
    <m/>
    <m/>
    <m/>
    <m/>
    <n v="0"/>
    <m/>
    <m/>
    <n v="0"/>
    <n v="0"/>
    <n v="0"/>
    <m/>
    <m/>
    <m/>
    <m/>
    <n v="0"/>
    <m/>
    <m/>
    <n v="0"/>
    <n v="38802"/>
    <n v="41541"/>
    <m/>
    <m/>
    <m/>
    <m/>
    <n v="38802"/>
    <n v="41541"/>
  </r>
  <r>
    <x v="11"/>
    <x v="41"/>
    <s v="Hypertension Initiative"/>
    <m/>
    <n v="218335"/>
    <x v="11"/>
    <m/>
    <m/>
    <m/>
    <m/>
    <m/>
    <m/>
    <m/>
    <m/>
    <n v="0"/>
    <m/>
    <m/>
    <n v="0"/>
    <n v="0"/>
    <n v="0"/>
    <m/>
    <m/>
    <m/>
    <m/>
    <n v="0"/>
    <m/>
    <m/>
    <n v="0"/>
    <n v="240433"/>
    <n v="240433"/>
    <m/>
    <m/>
    <m/>
    <m/>
    <n v="240433"/>
    <n v="240433"/>
  </r>
  <r>
    <x v="11"/>
    <x v="41"/>
    <s v="Diabetic Center (MUSC)"/>
    <m/>
    <n v="218335"/>
    <x v="11"/>
    <m/>
    <m/>
    <m/>
    <m/>
    <m/>
    <m/>
    <m/>
    <m/>
    <n v="0"/>
    <m/>
    <m/>
    <n v="0"/>
    <n v="0"/>
    <n v="0"/>
    <m/>
    <m/>
    <m/>
    <m/>
    <n v="0"/>
    <m/>
    <m/>
    <n v="0"/>
    <n v="123470"/>
    <n v="123470"/>
    <m/>
    <m/>
    <m/>
    <m/>
    <n v="123470"/>
    <n v="123470"/>
  </r>
  <r>
    <x v="11"/>
    <x v="41"/>
    <s v="Rural Dentist Incentive(MUSC)"/>
    <m/>
    <n v="218335"/>
    <x v="11"/>
    <m/>
    <m/>
    <m/>
    <m/>
    <m/>
    <m/>
    <m/>
    <m/>
    <n v="0"/>
    <m/>
    <m/>
    <n v="0"/>
    <n v="0"/>
    <n v="0"/>
    <m/>
    <m/>
    <m/>
    <m/>
    <n v="0"/>
    <m/>
    <m/>
    <n v="0"/>
    <n v="176101"/>
    <n v="176101"/>
    <m/>
    <m/>
    <m/>
    <m/>
    <n v="176101"/>
    <n v="176101"/>
  </r>
  <r>
    <x v="11"/>
    <x v="41"/>
    <s v="AHEC-Administration"/>
    <m/>
    <n v="218335"/>
    <x v="11"/>
    <m/>
    <m/>
    <m/>
    <m/>
    <m/>
    <m/>
    <m/>
    <m/>
    <n v="0"/>
    <m/>
    <m/>
    <n v="0"/>
    <n v="0"/>
    <n v="0"/>
    <m/>
    <m/>
    <m/>
    <m/>
    <n v="0"/>
    <m/>
    <m/>
    <n v="0"/>
    <n v="3922744"/>
    <n v="3922744"/>
    <m/>
    <m/>
    <m/>
    <m/>
    <n v="3922744"/>
    <n v="3922744"/>
  </r>
  <r>
    <x v="11"/>
    <x v="41"/>
    <s v="AHEC-Fringe Benefits"/>
    <m/>
    <n v="218335"/>
    <x v="11"/>
    <m/>
    <m/>
    <m/>
    <m/>
    <m/>
    <m/>
    <m/>
    <m/>
    <n v="0"/>
    <m/>
    <m/>
    <n v="0"/>
    <n v="0"/>
    <n v="0"/>
    <m/>
    <m/>
    <m/>
    <m/>
    <n v="0"/>
    <m/>
    <m/>
    <n v="0"/>
    <n v="1050045"/>
    <n v="1087885"/>
    <m/>
    <m/>
    <m/>
    <m/>
    <n v="1050045"/>
    <n v="1087885"/>
  </r>
  <r>
    <x v="11"/>
    <x v="41"/>
    <s v="AHEC-Operating Expenses"/>
    <m/>
    <n v="218335"/>
    <x v="11"/>
    <m/>
    <m/>
    <m/>
    <m/>
    <m/>
    <m/>
    <m/>
    <m/>
    <n v="0"/>
    <m/>
    <m/>
    <n v="0"/>
    <n v="0"/>
    <n v="0"/>
    <m/>
    <m/>
    <m/>
    <m/>
    <n v="0"/>
    <m/>
    <m/>
    <n v="0"/>
    <n v="3692360"/>
    <n v="3692360"/>
    <m/>
    <m/>
    <m/>
    <m/>
    <n v="3692360"/>
    <n v="3692360"/>
  </r>
  <r>
    <x v="11"/>
    <x v="41"/>
    <s v="AHEC-Health Professions Students' Rural Infrastructure Prog."/>
    <m/>
    <n v="218335"/>
    <x v="11"/>
    <m/>
    <m/>
    <m/>
    <m/>
    <m/>
    <m/>
    <m/>
    <m/>
    <n v="0"/>
    <m/>
    <m/>
    <n v="0"/>
    <n v="0"/>
    <n v="0"/>
    <m/>
    <m/>
    <m/>
    <m/>
    <n v="0"/>
    <m/>
    <m/>
    <n v="0"/>
    <m/>
    <n v="400000"/>
    <m/>
    <m/>
    <m/>
    <m/>
    <n v="0"/>
    <n v="400000"/>
  </r>
  <r>
    <x v="11"/>
    <x v="41"/>
    <s v="AHEC-Rural Physicans Program"/>
    <m/>
    <n v="218335"/>
    <x v="11"/>
    <m/>
    <m/>
    <m/>
    <m/>
    <m/>
    <m/>
    <m/>
    <m/>
    <n v="0"/>
    <m/>
    <m/>
    <n v="0"/>
    <n v="0"/>
    <n v="0"/>
    <m/>
    <m/>
    <m/>
    <m/>
    <n v="0"/>
    <m/>
    <m/>
    <n v="0"/>
    <n v="500000"/>
    <n v="500000"/>
    <m/>
    <m/>
    <m/>
    <m/>
    <n v="500000"/>
    <n v="500000"/>
  </r>
  <r>
    <x v="11"/>
    <x v="41"/>
    <s v="AHEC-Nursing Recruitment"/>
    <m/>
    <n v="218335"/>
    <x v="11"/>
    <m/>
    <m/>
    <m/>
    <m/>
    <m/>
    <m/>
    <m/>
    <m/>
    <n v="0"/>
    <m/>
    <m/>
    <n v="0"/>
    <n v="0"/>
    <n v="0"/>
    <m/>
    <m/>
    <m/>
    <m/>
    <n v="0"/>
    <m/>
    <m/>
    <n v="0"/>
    <n v="20000"/>
    <n v="20000"/>
    <m/>
    <m/>
    <m/>
    <m/>
    <n v="20000"/>
    <n v="20000"/>
  </r>
  <r>
    <x v="11"/>
    <x v="13"/>
    <s v="Educational special purpose funds — all other"/>
    <m/>
    <m/>
    <x v="12"/>
    <m/>
    <m/>
    <m/>
    <m/>
    <m/>
    <m/>
    <m/>
    <m/>
    <n v="0"/>
    <m/>
    <m/>
    <n v="0"/>
    <n v="0"/>
    <n v="0"/>
    <m/>
    <m/>
    <m/>
    <m/>
    <n v="0"/>
    <m/>
    <m/>
    <n v="0"/>
    <m/>
    <m/>
    <m/>
    <m/>
    <m/>
    <m/>
    <n v="0"/>
    <n v="0"/>
  </r>
  <r>
    <x v="11"/>
    <x v="13"/>
    <s v="Greenville Tech-Univ Center"/>
    <m/>
    <m/>
    <x v="12"/>
    <m/>
    <m/>
    <n v="594390"/>
    <n v="594390"/>
    <m/>
    <m/>
    <m/>
    <m/>
    <n v="0"/>
    <m/>
    <m/>
    <n v="0"/>
    <n v="594390"/>
    <n v="594390"/>
    <m/>
    <m/>
    <m/>
    <m/>
    <n v="0"/>
    <m/>
    <m/>
    <n v="0"/>
    <m/>
    <m/>
    <m/>
    <m/>
    <m/>
    <m/>
    <n v="594390"/>
    <n v="594390"/>
  </r>
  <r>
    <x v="11"/>
    <x v="13"/>
    <s v="Greenville Center Operating Cost"/>
    <m/>
    <m/>
    <x v="12"/>
    <m/>
    <m/>
    <n v="1084899"/>
    <n v="1084899"/>
    <m/>
    <m/>
    <m/>
    <m/>
    <n v="0"/>
    <m/>
    <m/>
    <n v="0"/>
    <n v="1084899"/>
    <n v="1084899"/>
    <m/>
    <m/>
    <m/>
    <m/>
    <n v="0"/>
    <m/>
    <m/>
    <n v="0"/>
    <m/>
    <m/>
    <m/>
    <m/>
    <m/>
    <m/>
    <n v="1084899"/>
    <n v="1084899"/>
  </r>
  <r>
    <x v="11"/>
    <x v="13"/>
    <s v="University Center of Greenville-Infrastructure Development(NR)"/>
    <m/>
    <m/>
    <x v="12"/>
    <m/>
    <m/>
    <m/>
    <n v="200000"/>
    <m/>
    <m/>
    <m/>
    <m/>
    <n v="0"/>
    <m/>
    <m/>
    <n v="0"/>
    <n v="0"/>
    <n v="200000"/>
    <m/>
    <m/>
    <m/>
    <m/>
    <n v="0"/>
    <m/>
    <m/>
    <n v="0"/>
    <m/>
    <m/>
    <m/>
    <m/>
    <m/>
    <m/>
    <n v="0"/>
    <n v="200000"/>
  </r>
  <r>
    <x v="11"/>
    <x v="13"/>
    <s v="Lowcountry Graduate Center"/>
    <m/>
    <m/>
    <x v="12"/>
    <m/>
    <m/>
    <n v="785099"/>
    <n v="785099"/>
    <m/>
    <m/>
    <m/>
    <m/>
    <n v="0"/>
    <m/>
    <m/>
    <n v="0"/>
    <n v="785099"/>
    <n v="785099"/>
    <m/>
    <m/>
    <m/>
    <m/>
    <n v="0"/>
    <m/>
    <m/>
    <n v="0"/>
    <m/>
    <m/>
    <m/>
    <m/>
    <m/>
    <m/>
    <n v="785099"/>
    <n v="785099"/>
  </r>
  <r>
    <x v="11"/>
    <x v="13"/>
    <s v=" National Foundation of Teaching Entrepreneurship (NFTE)"/>
    <m/>
    <m/>
    <x v="12"/>
    <m/>
    <m/>
    <m/>
    <n v="0"/>
    <m/>
    <m/>
    <m/>
    <m/>
    <n v="0"/>
    <m/>
    <m/>
    <n v="0"/>
    <n v="0"/>
    <n v="0"/>
    <m/>
    <m/>
    <m/>
    <m/>
    <n v="0"/>
    <m/>
    <m/>
    <n v="0"/>
    <m/>
    <m/>
    <m/>
    <m/>
    <m/>
    <m/>
    <n v="0"/>
    <n v="0"/>
  </r>
  <r>
    <x v="11"/>
    <x v="13"/>
    <s v="South Carolina Manufacturing Extension Program (SCMEP)"/>
    <m/>
    <m/>
    <x v="12"/>
    <m/>
    <m/>
    <m/>
    <n v="0"/>
    <m/>
    <m/>
    <m/>
    <m/>
    <n v="0"/>
    <m/>
    <m/>
    <n v="0"/>
    <n v="0"/>
    <n v="0"/>
    <m/>
    <m/>
    <m/>
    <m/>
    <n v="0"/>
    <m/>
    <m/>
    <n v="0"/>
    <m/>
    <m/>
    <m/>
    <m/>
    <m/>
    <m/>
    <n v="0"/>
    <n v="0"/>
  </r>
  <r>
    <x v="11"/>
    <x v="13"/>
    <s v="GEARUP"/>
    <m/>
    <m/>
    <x v="12"/>
    <m/>
    <m/>
    <n v="177201"/>
    <n v="177201"/>
    <m/>
    <m/>
    <m/>
    <m/>
    <n v="0"/>
    <m/>
    <m/>
    <n v="0"/>
    <n v="177201"/>
    <n v="177201"/>
    <m/>
    <m/>
    <m/>
    <m/>
    <n v="0"/>
    <m/>
    <m/>
    <n v="0"/>
    <m/>
    <m/>
    <m/>
    <m/>
    <m/>
    <m/>
    <n v="177201"/>
    <n v="177201"/>
  </r>
  <r>
    <x v="11"/>
    <x v="13"/>
    <s v="Statewide Electronic Library Supplemental"/>
    <m/>
    <m/>
    <x v="12"/>
    <m/>
    <m/>
    <n v="164289"/>
    <n v="164289"/>
    <m/>
    <m/>
    <m/>
    <m/>
    <n v="0"/>
    <m/>
    <m/>
    <n v="0"/>
    <n v="164289"/>
    <n v="164289"/>
    <m/>
    <m/>
    <m/>
    <m/>
    <n v="0"/>
    <m/>
    <m/>
    <n v="0"/>
    <m/>
    <m/>
    <m/>
    <m/>
    <m/>
    <m/>
    <n v="164289"/>
    <n v="164289"/>
  </r>
  <r>
    <x v="11"/>
    <x v="13"/>
    <s v="Experimental Program for the Stimulation of Competitive Research (EPSCOR) Constorium"/>
    <m/>
    <m/>
    <x v="12"/>
    <m/>
    <m/>
    <n v="161314"/>
    <n v="1279330"/>
    <m/>
    <m/>
    <m/>
    <m/>
    <n v="0"/>
    <m/>
    <m/>
    <n v="0"/>
    <n v="161314"/>
    <n v="1279330"/>
    <m/>
    <m/>
    <m/>
    <m/>
    <n v="0"/>
    <m/>
    <m/>
    <n v="0"/>
    <m/>
    <m/>
    <m/>
    <m/>
    <m/>
    <m/>
    <n v="161314"/>
    <n v="1279330"/>
  </r>
  <r>
    <x v="11"/>
    <x v="13"/>
    <s v="Charleston Transition Connection"/>
    <m/>
    <m/>
    <x v="12"/>
    <m/>
    <m/>
    <n v="179178"/>
    <n v="179178"/>
    <m/>
    <m/>
    <m/>
    <m/>
    <n v="0"/>
    <m/>
    <m/>
    <n v="0"/>
    <n v="179178"/>
    <n v="179178"/>
    <m/>
    <m/>
    <m/>
    <m/>
    <n v="0"/>
    <m/>
    <m/>
    <n v="0"/>
    <m/>
    <m/>
    <m/>
    <m/>
    <m/>
    <m/>
    <n v="179178"/>
    <n v="179178"/>
  </r>
  <r>
    <x v="11"/>
    <x v="13"/>
    <s v="African American Loan Program"/>
    <m/>
    <m/>
    <x v="12"/>
    <m/>
    <m/>
    <n v="31395"/>
    <n v="31376"/>
    <m/>
    <m/>
    <m/>
    <m/>
    <n v="0"/>
    <m/>
    <m/>
    <n v="0"/>
    <n v="31395"/>
    <n v="31376"/>
    <m/>
    <m/>
    <m/>
    <m/>
    <n v="0"/>
    <m/>
    <m/>
    <n v="0"/>
    <m/>
    <m/>
    <m/>
    <m/>
    <m/>
    <m/>
    <n v="31395"/>
    <n v="31376"/>
  </r>
  <r>
    <x v="11"/>
    <x v="14"/>
    <s v="Statewide System Operations"/>
    <m/>
    <m/>
    <x v="12"/>
    <m/>
    <m/>
    <m/>
    <m/>
    <m/>
    <m/>
    <m/>
    <m/>
    <n v="0"/>
    <m/>
    <m/>
    <n v="0"/>
    <n v="0"/>
    <n v="0"/>
    <m/>
    <m/>
    <m/>
    <m/>
    <n v="0"/>
    <m/>
    <m/>
    <n v="0"/>
    <m/>
    <m/>
    <m/>
    <m/>
    <m/>
    <m/>
    <n v="0"/>
    <n v="0"/>
  </r>
  <r>
    <x v="11"/>
    <x v="15"/>
    <s v="Colleges and universities"/>
    <m/>
    <m/>
    <x v="12"/>
    <m/>
    <m/>
    <m/>
    <m/>
    <m/>
    <m/>
    <m/>
    <m/>
    <n v="0"/>
    <m/>
    <m/>
    <n v="0"/>
    <n v="0"/>
    <n v="0"/>
    <m/>
    <m/>
    <m/>
    <m/>
    <n v="0"/>
    <m/>
    <m/>
    <n v="0"/>
    <m/>
    <m/>
    <m/>
    <m/>
    <m/>
    <m/>
    <n v="0"/>
    <n v="0"/>
  </r>
  <r>
    <x v="11"/>
    <x v="15"/>
    <s v="SC Commission on H.Ed."/>
    <m/>
    <m/>
    <x v="12"/>
    <m/>
    <m/>
    <m/>
    <m/>
    <m/>
    <m/>
    <m/>
    <m/>
    <n v="0"/>
    <m/>
    <m/>
    <n v="0"/>
    <n v="0"/>
    <n v="0"/>
    <n v="1939178"/>
    <n v="2131281"/>
    <m/>
    <m/>
    <n v="0"/>
    <m/>
    <m/>
    <n v="0"/>
    <m/>
    <m/>
    <m/>
    <m/>
    <m/>
    <m/>
    <n v="1939178"/>
    <n v="2131281"/>
  </r>
  <r>
    <x v="11"/>
    <x v="15"/>
    <s v="Education &amp; Economic Development Act"/>
    <m/>
    <m/>
    <x v="12"/>
    <m/>
    <m/>
    <m/>
    <m/>
    <m/>
    <m/>
    <m/>
    <m/>
    <n v="0"/>
    <m/>
    <m/>
    <n v="0"/>
    <n v="0"/>
    <n v="0"/>
    <n v="1180576"/>
    <n v="1180576"/>
    <m/>
    <m/>
    <n v="0"/>
    <m/>
    <m/>
    <n v="0"/>
    <m/>
    <m/>
    <m/>
    <m/>
    <m/>
    <m/>
    <n v="1180576"/>
    <n v="1180576"/>
  </r>
  <r>
    <x v="11"/>
    <x v="15"/>
    <s v="African American Loan Program"/>
    <m/>
    <m/>
    <x v="12"/>
    <m/>
    <m/>
    <m/>
    <m/>
    <m/>
    <m/>
    <m/>
    <m/>
    <n v="0"/>
    <m/>
    <m/>
    <n v="0"/>
    <n v="0"/>
    <n v="0"/>
    <m/>
    <m/>
    <m/>
    <m/>
    <n v="0"/>
    <m/>
    <m/>
    <n v="0"/>
    <m/>
    <m/>
    <m/>
    <m/>
    <m/>
    <m/>
    <n v="0"/>
    <n v="0"/>
  </r>
  <r>
    <x v="11"/>
    <x v="15"/>
    <s v="Statewide Electronic Library-Admin"/>
    <m/>
    <m/>
    <x v="12"/>
    <m/>
    <m/>
    <m/>
    <m/>
    <m/>
    <m/>
    <m/>
    <m/>
    <n v="0"/>
    <m/>
    <m/>
    <n v="0"/>
    <n v="0"/>
    <n v="0"/>
    <m/>
    <m/>
    <m/>
    <m/>
    <n v="0"/>
    <m/>
    <m/>
    <n v="0"/>
    <m/>
    <m/>
    <m/>
    <m/>
    <m/>
    <m/>
    <n v="0"/>
    <n v="0"/>
  </r>
  <r>
    <x v="11"/>
    <x v="15"/>
    <s v="National Guard Tuition"/>
    <m/>
    <m/>
    <x v="12"/>
    <m/>
    <m/>
    <m/>
    <m/>
    <m/>
    <m/>
    <m/>
    <m/>
    <n v="0"/>
    <m/>
    <m/>
    <n v="0"/>
    <n v="0"/>
    <n v="0"/>
    <n v="89968"/>
    <n v="89968"/>
    <m/>
    <m/>
    <n v="0"/>
    <m/>
    <m/>
    <n v="0"/>
    <m/>
    <m/>
    <m/>
    <m/>
    <m/>
    <m/>
    <n v="89968"/>
    <n v="89968"/>
  </r>
  <r>
    <x v="11"/>
    <x v="15"/>
    <s v="LIFE Scholarships Admin"/>
    <m/>
    <m/>
    <x v="12"/>
    <m/>
    <m/>
    <m/>
    <m/>
    <m/>
    <m/>
    <m/>
    <m/>
    <n v="0"/>
    <m/>
    <m/>
    <n v="0"/>
    <n v="0"/>
    <n v="0"/>
    <n v="260000"/>
    <m/>
    <m/>
    <m/>
    <n v="0"/>
    <m/>
    <m/>
    <n v="0"/>
    <m/>
    <m/>
    <m/>
    <m/>
    <m/>
    <m/>
    <n v="260000"/>
    <n v="0"/>
  </r>
  <r>
    <x v="11"/>
    <x v="16"/>
    <s v="Two-year system(s), if any"/>
    <m/>
    <m/>
    <x v="12"/>
    <m/>
    <m/>
    <m/>
    <m/>
    <m/>
    <m/>
    <m/>
    <m/>
    <n v="0"/>
    <m/>
    <m/>
    <n v="0"/>
    <n v="0"/>
    <n v="0"/>
    <m/>
    <m/>
    <m/>
    <m/>
    <n v="0"/>
    <m/>
    <m/>
    <n v="0"/>
    <m/>
    <m/>
    <m/>
    <m/>
    <m/>
    <m/>
    <n v="0"/>
    <n v="0"/>
  </r>
  <r>
    <x v="11"/>
    <x v="16"/>
    <s v="SC Tech College System"/>
    <m/>
    <m/>
    <x v="12"/>
    <m/>
    <m/>
    <m/>
    <m/>
    <m/>
    <m/>
    <m/>
    <m/>
    <n v="0"/>
    <m/>
    <m/>
    <n v="0"/>
    <n v="0"/>
    <n v="0"/>
    <n v="3151578"/>
    <n v="3405058"/>
    <m/>
    <m/>
    <n v="0"/>
    <m/>
    <m/>
    <n v="0"/>
    <m/>
    <m/>
    <m/>
    <m/>
    <m/>
    <m/>
    <n v="3151578"/>
    <n v="3405058"/>
  </r>
  <r>
    <x v="11"/>
    <x v="16"/>
    <s v="SC Tech College System-Fringe Benefits"/>
    <m/>
    <m/>
    <x v="12"/>
    <m/>
    <m/>
    <m/>
    <m/>
    <m/>
    <m/>
    <m/>
    <m/>
    <n v="0"/>
    <m/>
    <m/>
    <n v="0"/>
    <n v="0"/>
    <n v="0"/>
    <n v="1711596"/>
    <n v="1935408"/>
    <m/>
    <m/>
    <n v="0"/>
    <m/>
    <m/>
    <n v="0"/>
    <m/>
    <m/>
    <m/>
    <m/>
    <m/>
    <m/>
    <n v="1711596"/>
    <n v="1935408"/>
  </r>
  <r>
    <x v="11"/>
    <x v="16"/>
    <s v="SC Tech College System Data Processing Support"/>
    <m/>
    <m/>
    <x v="12"/>
    <m/>
    <m/>
    <m/>
    <m/>
    <m/>
    <m/>
    <m/>
    <m/>
    <n v="0"/>
    <m/>
    <m/>
    <n v="0"/>
    <n v="0"/>
    <n v="0"/>
    <n v="813646"/>
    <m/>
    <m/>
    <m/>
    <n v="0"/>
    <m/>
    <m/>
    <n v="0"/>
    <m/>
    <m/>
    <m/>
    <m/>
    <m/>
    <m/>
    <n v="813646"/>
    <n v="0"/>
  </r>
  <r>
    <x v="11"/>
    <x v="16"/>
    <s v="Manufacturing Skills Standards Council Initiative"/>
    <m/>
    <m/>
    <x v="12"/>
    <m/>
    <m/>
    <m/>
    <m/>
    <m/>
    <m/>
    <m/>
    <m/>
    <n v="0"/>
    <m/>
    <m/>
    <n v="0"/>
    <n v="0"/>
    <n v="0"/>
    <m/>
    <n v="3775000"/>
    <m/>
    <m/>
    <n v="0"/>
    <m/>
    <m/>
    <n v="0"/>
    <m/>
    <m/>
    <m/>
    <m/>
    <m/>
    <m/>
    <n v="0"/>
    <n v="3775000"/>
  </r>
  <r>
    <x v="11"/>
    <x v="16"/>
    <s v="Innovative Technical Training"/>
    <m/>
    <m/>
    <x v="12"/>
    <m/>
    <m/>
    <m/>
    <m/>
    <m/>
    <m/>
    <m/>
    <m/>
    <n v="0"/>
    <m/>
    <m/>
    <n v="0"/>
    <n v="0"/>
    <n v="0"/>
    <n v="20571"/>
    <m/>
    <m/>
    <m/>
    <n v="0"/>
    <m/>
    <m/>
    <n v="0"/>
    <m/>
    <m/>
    <m/>
    <m/>
    <m/>
    <m/>
    <n v="20571"/>
    <n v="0"/>
  </r>
  <r>
    <x v="11"/>
    <x v="16"/>
    <s v="SBTCE Special Schools (Economic Development)"/>
    <m/>
    <m/>
    <x v="12"/>
    <m/>
    <m/>
    <m/>
    <m/>
    <m/>
    <m/>
    <m/>
    <m/>
    <n v="0"/>
    <m/>
    <m/>
    <n v="0"/>
    <n v="0"/>
    <n v="0"/>
    <n v="1134307"/>
    <n v="1134307"/>
    <m/>
    <m/>
    <n v="0"/>
    <m/>
    <m/>
    <n v="0"/>
    <m/>
    <m/>
    <m/>
    <m/>
    <m/>
    <m/>
    <n v="1134307"/>
    <n v="1134307"/>
  </r>
  <r>
    <x v="11"/>
    <x v="16"/>
    <s v="System Wide Programs"/>
    <m/>
    <m/>
    <x v="12"/>
    <m/>
    <m/>
    <m/>
    <m/>
    <m/>
    <m/>
    <m/>
    <m/>
    <n v="0"/>
    <m/>
    <m/>
    <n v="0"/>
    <n v="0"/>
    <n v="0"/>
    <m/>
    <n v="330000"/>
    <m/>
    <m/>
    <n v="0"/>
    <m/>
    <m/>
    <n v="0"/>
    <m/>
    <m/>
    <m/>
    <m/>
    <m/>
    <m/>
    <n v="0"/>
    <n v="330000"/>
  </r>
  <r>
    <x v="11"/>
    <x v="17"/>
    <s v="Other Direct Training Costs"/>
    <m/>
    <m/>
    <x v="12"/>
    <m/>
    <m/>
    <m/>
    <m/>
    <m/>
    <m/>
    <m/>
    <m/>
    <n v="0"/>
    <m/>
    <m/>
    <n v="0"/>
    <n v="0"/>
    <n v="0"/>
    <n v="1033566"/>
    <n v="1033566"/>
    <m/>
    <m/>
    <n v="0"/>
    <m/>
    <m/>
    <n v="0"/>
    <m/>
    <m/>
    <m/>
    <m/>
    <m/>
    <m/>
    <n v="1033566"/>
    <n v="1033566"/>
  </r>
  <r>
    <x v="11"/>
    <x v="16"/>
    <s v="SBTCE CATT (NR)"/>
    <m/>
    <m/>
    <x v="12"/>
    <m/>
    <m/>
    <m/>
    <m/>
    <m/>
    <m/>
    <m/>
    <m/>
    <n v="0"/>
    <m/>
    <m/>
    <n v="0"/>
    <n v="0"/>
    <n v="0"/>
    <n v="13250000"/>
    <n v="7538694"/>
    <m/>
    <m/>
    <n v="0"/>
    <m/>
    <m/>
    <n v="0"/>
    <m/>
    <m/>
    <m/>
    <m/>
    <m/>
    <m/>
    <n v="13250000"/>
    <n v="7538694"/>
  </r>
  <r>
    <x v="11"/>
    <x v="17"/>
    <s v="SBTCE CATT"/>
    <m/>
    <m/>
    <x v="12"/>
    <m/>
    <m/>
    <m/>
    <m/>
    <m/>
    <m/>
    <m/>
    <m/>
    <n v="0"/>
    <m/>
    <m/>
    <n v="0"/>
    <n v="0"/>
    <n v="0"/>
    <n v="7970379"/>
    <n v="7970379"/>
    <m/>
    <m/>
    <n v="0"/>
    <m/>
    <m/>
    <n v="0"/>
    <m/>
    <m/>
    <m/>
    <m/>
    <m/>
    <m/>
    <n v="7970379"/>
    <n v="7970379"/>
  </r>
  <r>
    <x v="11"/>
    <x v="17"/>
    <s v="National or regional associations, compacts or consortia"/>
    <m/>
    <m/>
    <x v="12"/>
    <m/>
    <m/>
    <m/>
    <m/>
    <m/>
    <m/>
    <m/>
    <m/>
    <n v="0"/>
    <m/>
    <m/>
    <n v="0"/>
    <n v="0"/>
    <n v="0"/>
    <m/>
    <m/>
    <m/>
    <m/>
    <n v="0"/>
    <m/>
    <m/>
    <n v="0"/>
    <m/>
    <m/>
    <m/>
    <m/>
    <m/>
    <m/>
    <n v="0"/>
    <n v="0"/>
  </r>
  <r>
    <x v="11"/>
    <x v="17"/>
    <s v="SREB"/>
    <m/>
    <m/>
    <x v="12"/>
    <m/>
    <m/>
    <m/>
    <m/>
    <m/>
    <m/>
    <m/>
    <m/>
    <n v="0"/>
    <m/>
    <m/>
    <n v="0"/>
    <n v="0"/>
    <n v="0"/>
    <n v="193550"/>
    <n v="193500"/>
    <m/>
    <m/>
    <n v="0"/>
    <m/>
    <m/>
    <n v="0"/>
    <m/>
    <m/>
    <m/>
    <m/>
    <m/>
    <m/>
    <n v="193550"/>
    <n v="193500"/>
  </r>
  <r>
    <x v="11"/>
    <x v="18"/>
    <s v="SREB - Technology Cooperative"/>
    <m/>
    <m/>
    <x v="12"/>
    <m/>
    <m/>
    <m/>
    <m/>
    <m/>
    <m/>
    <m/>
    <m/>
    <n v="0"/>
    <m/>
    <m/>
    <n v="0"/>
    <n v="0"/>
    <n v="0"/>
    <n v="8000"/>
    <n v="8000"/>
    <m/>
    <m/>
    <n v="0"/>
    <m/>
    <m/>
    <n v="0"/>
    <m/>
    <m/>
    <m/>
    <m/>
    <m/>
    <m/>
    <n v="8000"/>
    <n v="8000"/>
  </r>
  <r>
    <x v="11"/>
    <x v="18"/>
    <s v="Adm. of Statewide Student Aid Progs. (incldng centralized guaranteed student loans)"/>
    <m/>
    <m/>
    <x v="12"/>
    <m/>
    <m/>
    <m/>
    <m/>
    <m/>
    <m/>
    <m/>
    <m/>
    <n v="0"/>
    <m/>
    <m/>
    <n v="0"/>
    <n v="0"/>
    <n v="0"/>
    <m/>
    <m/>
    <m/>
    <m/>
    <n v="0"/>
    <m/>
    <m/>
    <n v="0"/>
    <m/>
    <m/>
    <m/>
    <m/>
    <m/>
    <m/>
    <n v="0"/>
    <n v="0"/>
  </r>
  <r>
    <x v="11"/>
    <x v="19"/>
    <s v="State Support to Private Colleges Other Than Student Aid"/>
    <m/>
    <m/>
    <x v="12"/>
    <m/>
    <m/>
    <m/>
    <m/>
    <m/>
    <m/>
    <m/>
    <m/>
    <n v="0"/>
    <m/>
    <m/>
    <n v="0"/>
    <n v="0"/>
    <n v="0"/>
    <m/>
    <m/>
    <m/>
    <m/>
    <n v="0"/>
    <m/>
    <m/>
    <n v="0"/>
    <m/>
    <m/>
    <m/>
    <m/>
    <m/>
    <m/>
    <n v="0"/>
    <n v="0"/>
  </r>
  <r>
    <x v="11"/>
    <x v="19"/>
    <s v="Higher Education Excellence Enhancement Program (Lottery)"/>
    <m/>
    <m/>
    <x v="12"/>
    <m/>
    <m/>
    <m/>
    <m/>
    <m/>
    <m/>
    <m/>
    <m/>
    <n v="0"/>
    <m/>
    <m/>
    <n v="0"/>
    <n v="0"/>
    <n v="0"/>
    <n v="3000000"/>
    <n v="3480797"/>
    <m/>
    <m/>
    <n v="0"/>
    <m/>
    <m/>
    <n v="0"/>
    <m/>
    <m/>
    <m/>
    <m/>
    <m/>
    <m/>
    <n v="3000000"/>
    <n v="3480797"/>
  </r>
  <r>
    <x v="11"/>
    <x v="20"/>
    <s v="Contract Education Programs"/>
    <m/>
    <m/>
    <x v="12"/>
    <m/>
    <m/>
    <m/>
    <m/>
    <m/>
    <m/>
    <m/>
    <m/>
    <n v="0"/>
    <m/>
    <m/>
    <n v="0"/>
    <n v="0"/>
    <n v="0"/>
    <m/>
    <m/>
    <m/>
    <m/>
    <n v="0"/>
    <m/>
    <m/>
    <n v="0"/>
    <m/>
    <m/>
    <m/>
    <m/>
    <m/>
    <m/>
    <n v="0"/>
    <n v="0"/>
  </r>
  <r>
    <x v="11"/>
    <x v="21"/>
    <s v="SREB contract program with private colleges"/>
    <m/>
    <m/>
    <x v="12"/>
    <m/>
    <m/>
    <m/>
    <m/>
    <m/>
    <m/>
    <m/>
    <m/>
    <n v="0"/>
    <m/>
    <m/>
    <n v="0"/>
    <n v="0"/>
    <n v="0"/>
    <m/>
    <m/>
    <m/>
    <m/>
    <n v="0"/>
    <m/>
    <m/>
    <n v="0"/>
    <m/>
    <m/>
    <m/>
    <m/>
    <m/>
    <m/>
    <n v="0"/>
    <n v="0"/>
  </r>
  <r>
    <x v="11"/>
    <x v="21"/>
    <s v="Tuskegee University (Veterinary Medicine)"/>
    <m/>
    <m/>
    <x v="12"/>
    <m/>
    <m/>
    <m/>
    <m/>
    <m/>
    <m/>
    <m/>
    <m/>
    <n v="0"/>
    <m/>
    <m/>
    <n v="0"/>
    <n v="0"/>
    <n v="0"/>
    <n v="387000"/>
    <n v="399000"/>
    <m/>
    <m/>
    <n v="0"/>
    <m/>
    <m/>
    <n v="0"/>
    <m/>
    <m/>
    <m/>
    <m/>
    <m/>
    <m/>
    <n v="387000"/>
    <n v="399000"/>
  </r>
  <r>
    <x v="11"/>
    <x v="21"/>
    <s v="Southern College of Optometry"/>
    <m/>
    <m/>
    <x v="12"/>
    <m/>
    <m/>
    <m/>
    <m/>
    <m/>
    <m/>
    <m/>
    <m/>
    <n v="0"/>
    <m/>
    <m/>
    <n v="0"/>
    <n v="0"/>
    <n v="0"/>
    <n v="207200"/>
    <n v="214200"/>
    <m/>
    <m/>
    <n v="0"/>
    <m/>
    <m/>
    <n v="0"/>
    <m/>
    <m/>
    <m/>
    <m/>
    <m/>
    <m/>
    <n v="207200"/>
    <n v="214200"/>
  </r>
  <r>
    <x v="11"/>
    <x v="22"/>
    <s v="SREB contract program with public colleges"/>
    <m/>
    <m/>
    <x v="12"/>
    <m/>
    <m/>
    <m/>
    <m/>
    <m/>
    <m/>
    <m/>
    <m/>
    <n v="0"/>
    <m/>
    <m/>
    <n v="0"/>
    <n v="0"/>
    <n v="0"/>
    <m/>
    <m/>
    <m/>
    <m/>
    <n v="0"/>
    <m/>
    <m/>
    <n v="0"/>
    <m/>
    <m/>
    <m/>
    <m/>
    <m/>
    <m/>
    <n v="0"/>
    <n v="0"/>
  </r>
  <r>
    <x v="11"/>
    <x v="22"/>
    <s v="University of Alabama at Birmingham (Optometry)"/>
    <m/>
    <m/>
    <x v="12"/>
    <m/>
    <m/>
    <m/>
    <m/>
    <m/>
    <m/>
    <m/>
    <m/>
    <n v="0"/>
    <m/>
    <m/>
    <n v="0"/>
    <n v="0"/>
    <n v="0"/>
    <n v="59200"/>
    <n v="99450"/>
    <m/>
    <m/>
    <n v="0"/>
    <m/>
    <m/>
    <n v="0"/>
    <m/>
    <m/>
    <m/>
    <m/>
    <m/>
    <m/>
    <n v="59200"/>
    <n v="99450"/>
  </r>
  <r>
    <x v="11"/>
    <x v="22"/>
    <s v="University of Georgia (Veterinary Medicine)"/>
    <m/>
    <m/>
    <x v="12"/>
    <m/>
    <m/>
    <m/>
    <m/>
    <m/>
    <m/>
    <m/>
    <m/>
    <n v="0"/>
    <m/>
    <m/>
    <n v="0"/>
    <n v="0"/>
    <n v="0"/>
    <n v="1728600"/>
    <n v="1808800"/>
    <m/>
    <m/>
    <n v="0"/>
    <m/>
    <m/>
    <n v="0"/>
    <m/>
    <m/>
    <m/>
    <m/>
    <m/>
    <m/>
    <n v="1728600"/>
    <n v="1808800"/>
  </r>
  <r>
    <x v="11"/>
    <x v="22"/>
    <s v="Mississippi State University (Veterinary Medicine)"/>
    <m/>
    <m/>
    <x v="12"/>
    <m/>
    <m/>
    <m/>
    <m/>
    <m/>
    <m/>
    <m/>
    <m/>
    <n v="0"/>
    <m/>
    <m/>
    <n v="0"/>
    <n v="0"/>
    <n v="0"/>
    <n v="516000"/>
    <n v="532000"/>
    <m/>
    <m/>
    <n v="0"/>
    <m/>
    <m/>
    <n v="0"/>
    <m/>
    <m/>
    <m/>
    <m/>
    <m/>
    <m/>
    <n v="516000"/>
    <n v="532000"/>
  </r>
  <r>
    <x v="11"/>
    <x v="23"/>
    <s v="Other contract education programs"/>
    <m/>
    <m/>
    <x v="12"/>
    <m/>
    <m/>
    <m/>
    <m/>
    <m/>
    <m/>
    <m/>
    <m/>
    <n v="0"/>
    <m/>
    <m/>
    <n v="0"/>
    <n v="0"/>
    <n v="0"/>
    <m/>
    <m/>
    <m/>
    <m/>
    <n v="0"/>
    <m/>
    <m/>
    <n v="0"/>
    <m/>
    <m/>
    <m/>
    <m/>
    <m/>
    <m/>
    <n v="0"/>
    <n v="0"/>
  </r>
  <r>
    <x v="11"/>
    <x v="23"/>
    <s v="Doctoral Scholars Program"/>
    <m/>
    <m/>
    <x v="12"/>
    <m/>
    <m/>
    <m/>
    <m/>
    <m/>
    <m/>
    <m/>
    <m/>
    <n v="0"/>
    <m/>
    <m/>
    <n v="0"/>
    <n v="0"/>
    <n v="0"/>
    <n v="300000"/>
    <n v="300000"/>
    <m/>
    <m/>
    <n v="0"/>
    <m/>
    <m/>
    <n v="0"/>
    <m/>
    <m/>
    <m/>
    <m/>
    <m/>
    <m/>
    <n v="300000"/>
    <n v="300000"/>
  </r>
  <r>
    <x v="11"/>
    <x v="23"/>
    <s v="North Carolina School of the Arts"/>
    <m/>
    <m/>
    <x v="12"/>
    <m/>
    <m/>
    <m/>
    <m/>
    <m/>
    <m/>
    <m/>
    <m/>
    <n v="0"/>
    <m/>
    <m/>
    <n v="0"/>
    <n v="0"/>
    <n v="0"/>
    <n v="7177"/>
    <n v="7177"/>
    <m/>
    <m/>
    <n v="0"/>
    <m/>
    <m/>
    <n v="0"/>
    <m/>
    <m/>
    <m/>
    <m/>
    <m/>
    <m/>
    <n v="7177"/>
    <n v="7177"/>
  </r>
  <r>
    <x v="11"/>
    <x v="24"/>
    <s v="Statewide Student Financial Aid Programs Administered Off Campus"/>
    <m/>
    <m/>
    <x v="12"/>
    <m/>
    <m/>
    <m/>
    <m/>
    <m/>
    <m/>
    <m/>
    <m/>
    <n v="0"/>
    <m/>
    <m/>
    <n v="0"/>
    <n v="0"/>
    <n v="0"/>
    <m/>
    <m/>
    <m/>
    <m/>
    <n v="0"/>
    <m/>
    <m/>
    <n v="0"/>
    <m/>
    <m/>
    <m/>
    <m/>
    <m/>
    <m/>
    <n v="0"/>
    <n v="0"/>
  </r>
  <r>
    <x v="11"/>
    <x v="25"/>
    <s v="Available to public &amp; private sector students"/>
    <m/>
    <m/>
    <x v="12"/>
    <m/>
    <m/>
    <m/>
    <m/>
    <m/>
    <m/>
    <m/>
    <m/>
    <n v="0"/>
    <m/>
    <m/>
    <n v="0"/>
    <n v="0"/>
    <n v="0"/>
    <m/>
    <m/>
    <m/>
    <m/>
    <n v="0"/>
    <m/>
    <m/>
    <n v="0"/>
    <m/>
    <m/>
    <m/>
    <m/>
    <m/>
    <m/>
    <n v="0"/>
    <n v="0"/>
  </r>
  <r>
    <x v="11"/>
    <x v="25"/>
    <s v="Life Scholarships"/>
    <m/>
    <m/>
    <x v="12"/>
    <m/>
    <m/>
    <m/>
    <m/>
    <m/>
    <m/>
    <m/>
    <m/>
    <n v="0"/>
    <m/>
    <m/>
    <n v="0"/>
    <n v="0"/>
    <n v="0"/>
    <m/>
    <m/>
    <m/>
    <m/>
    <n v="0"/>
    <m/>
    <m/>
    <n v="0"/>
    <m/>
    <m/>
    <m/>
    <m/>
    <m/>
    <m/>
    <n v="0"/>
    <n v="0"/>
  </r>
  <r>
    <x v="11"/>
    <x v="28"/>
    <s v="Amount to public sector students"/>
    <m/>
    <m/>
    <x v="12"/>
    <m/>
    <m/>
    <m/>
    <m/>
    <m/>
    <m/>
    <m/>
    <m/>
    <n v="0"/>
    <m/>
    <m/>
    <n v="0"/>
    <n v="0"/>
    <n v="0"/>
    <m/>
    <m/>
    <m/>
    <m/>
    <n v="0"/>
    <m/>
    <m/>
    <n v="0"/>
    <m/>
    <m/>
    <m/>
    <m/>
    <m/>
    <m/>
    <n v="0"/>
    <n v="0"/>
  </r>
  <r>
    <x v="11"/>
    <x v="29"/>
    <s v="Need-based"/>
    <m/>
    <m/>
    <x v="12"/>
    <m/>
    <m/>
    <m/>
    <m/>
    <m/>
    <m/>
    <m/>
    <m/>
    <n v="0"/>
    <m/>
    <m/>
    <n v="0"/>
    <n v="0"/>
    <n v="0"/>
    <m/>
    <m/>
    <m/>
    <m/>
    <n v="0"/>
    <m/>
    <m/>
    <n v="0"/>
    <m/>
    <m/>
    <m/>
    <m/>
    <m/>
    <m/>
    <n v="0"/>
    <n v="0"/>
  </r>
  <r>
    <x v="11"/>
    <x v="30"/>
    <s v="Non need-based"/>
    <m/>
    <m/>
    <x v="12"/>
    <m/>
    <m/>
    <m/>
    <m/>
    <m/>
    <m/>
    <m/>
    <m/>
    <n v="0"/>
    <m/>
    <m/>
    <n v="0"/>
    <n v="0"/>
    <n v="0"/>
    <n v="142600786"/>
    <n v="141005228.13133919"/>
    <m/>
    <m/>
    <n v="0"/>
    <m/>
    <m/>
    <n v="0"/>
    <m/>
    <m/>
    <m/>
    <m/>
    <m/>
    <m/>
    <n v="142600786"/>
    <n v="141005228.13133919"/>
  </r>
  <r>
    <x v="11"/>
    <x v="31"/>
    <s v="Amount to private sector students"/>
    <m/>
    <m/>
    <x v="12"/>
    <m/>
    <m/>
    <m/>
    <m/>
    <m/>
    <m/>
    <m/>
    <m/>
    <n v="0"/>
    <m/>
    <m/>
    <n v="0"/>
    <n v="0"/>
    <n v="0"/>
    <m/>
    <m/>
    <m/>
    <m/>
    <n v="0"/>
    <m/>
    <m/>
    <n v="0"/>
    <m/>
    <m/>
    <m/>
    <m/>
    <m/>
    <m/>
    <n v="0"/>
    <n v="0"/>
  </r>
  <r>
    <x v="11"/>
    <x v="32"/>
    <s v="Need-based"/>
    <m/>
    <m/>
    <x v="12"/>
    <m/>
    <m/>
    <m/>
    <m/>
    <m/>
    <m/>
    <m/>
    <m/>
    <n v="0"/>
    <m/>
    <m/>
    <n v="0"/>
    <n v="0"/>
    <n v="0"/>
    <m/>
    <m/>
    <m/>
    <m/>
    <n v="0"/>
    <m/>
    <m/>
    <n v="0"/>
    <m/>
    <m/>
    <m/>
    <m/>
    <m/>
    <m/>
    <n v="0"/>
    <n v="0"/>
  </r>
  <r>
    <x v="11"/>
    <x v="33"/>
    <s v="Non need-based"/>
    <m/>
    <m/>
    <x v="12"/>
    <m/>
    <m/>
    <m/>
    <m/>
    <m/>
    <m/>
    <m/>
    <m/>
    <n v="0"/>
    <m/>
    <m/>
    <n v="0"/>
    <n v="0"/>
    <n v="0"/>
    <n v="29529499"/>
    <n v="29385056.868660793"/>
    <m/>
    <m/>
    <n v="0"/>
    <m/>
    <m/>
    <n v="0"/>
    <m/>
    <m/>
    <m/>
    <m/>
    <m/>
    <m/>
    <n v="29529499"/>
    <n v="29385056.868660793"/>
  </r>
  <r>
    <x v="11"/>
    <x v="25"/>
    <s v="Lottery Tuition Assistance Program"/>
    <m/>
    <m/>
    <x v="12"/>
    <m/>
    <m/>
    <m/>
    <m/>
    <m/>
    <m/>
    <m/>
    <m/>
    <n v="0"/>
    <m/>
    <m/>
    <n v="0"/>
    <n v="0"/>
    <n v="0"/>
    <m/>
    <m/>
    <m/>
    <m/>
    <n v="0"/>
    <m/>
    <m/>
    <n v="0"/>
    <m/>
    <m/>
    <m/>
    <m/>
    <m/>
    <m/>
    <n v="0"/>
    <n v="0"/>
  </r>
  <r>
    <x v="11"/>
    <x v="28"/>
    <s v="Amount to public sector students"/>
    <m/>
    <m/>
    <x v="12"/>
    <m/>
    <m/>
    <m/>
    <m/>
    <m/>
    <m/>
    <m/>
    <m/>
    <n v="0"/>
    <m/>
    <m/>
    <n v="0"/>
    <n v="0"/>
    <n v="0"/>
    <m/>
    <m/>
    <m/>
    <m/>
    <n v="0"/>
    <m/>
    <m/>
    <n v="0"/>
    <m/>
    <m/>
    <m/>
    <m/>
    <m/>
    <m/>
    <n v="0"/>
    <n v="0"/>
  </r>
  <r>
    <x v="11"/>
    <x v="29"/>
    <s v="Need-based"/>
    <m/>
    <m/>
    <x v="12"/>
    <m/>
    <m/>
    <m/>
    <m/>
    <m/>
    <m/>
    <m/>
    <m/>
    <n v="0"/>
    <m/>
    <m/>
    <n v="0"/>
    <n v="0"/>
    <n v="0"/>
    <m/>
    <m/>
    <m/>
    <m/>
    <n v="0"/>
    <m/>
    <m/>
    <n v="0"/>
    <m/>
    <m/>
    <m/>
    <m/>
    <m/>
    <m/>
    <n v="0"/>
    <n v="0"/>
  </r>
  <r>
    <x v="11"/>
    <x v="30"/>
    <s v="Non need-based"/>
    <m/>
    <m/>
    <x v="12"/>
    <m/>
    <m/>
    <m/>
    <m/>
    <m/>
    <m/>
    <m/>
    <m/>
    <n v="0"/>
    <m/>
    <m/>
    <n v="0"/>
    <n v="0"/>
    <n v="0"/>
    <n v="48499526"/>
    <n v="48418078.441039331"/>
    <m/>
    <m/>
    <n v="0"/>
    <m/>
    <m/>
    <n v="0"/>
    <m/>
    <m/>
    <m/>
    <m/>
    <m/>
    <m/>
    <n v="48499526"/>
    <n v="48418078.441039331"/>
  </r>
  <r>
    <x v="11"/>
    <x v="31"/>
    <s v="Amount to private sector students"/>
    <m/>
    <m/>
    <x v="12"/>
    <m/>
    <m/>
    <m/>
    <m/>
    <m/>
    <m/>
    <m/>
    <m/>
    <n v="0"/>
    <m/>
    <m/>
    <n v="0"/>
    <n v="0"/>
    <n v="0"/>
    <m/>
    <m/>
    <m/>
    <m/>
    <n v="0"/>
    <m/>
    <m/>
    <n v="0"/>
    <m/>
    <m/>
    <m/>
    <m/>
    <m/>
    <m/>
    <n v="0"/>
    <n v="0"/>
  </r>
  <r>
    <x v="11"/>
    <x v="32"/>
    <s v="Need-based"/>
    <m/>
    <m/>
    <x v="12"/>
    <m/>
    <m/>
    <m/>
    <m/>
    <m/>
    <m/>
    <m/>
    <m/>
    <n v="0"/>
    <m/>
    <m/>
    <n v="0"/>
    <n v="0"/>
    <n v="0"/>
    <m/>
    <m/>
    <m/>
    <m/>
    <n v="0"/>
    <m/>
    <m/>
    <n v="0"/>
    <m/>
    <m/>
    <m/>
    <m/>
    <m/>
    <m/>
    <n v="0"/>
    <n v="0"/>
  </r>
  <r>
    <x v="11"/>
    <x v="33"/>
    <s v="Non need-based"/>
    <m/>
    <m/>
    <x v="12"/>
    <m/>
    <m/>
    <m/>
    <m/>
    <m/>
    <m/>
    <m/>
    <m/>
    <n v="0"/>
    <m/>
    <m/>
    <n v="0"/>
    <n v="0"/>
    <n v="0"/>
    <n v="600474"/>
    <n v="681921.55896067037"/>
    <m/>
    <m/>
    <n v="0"/>
    <m/>
    <m/>
    <n v="0"/>
    <m/>
    <m/>
    <m/>
    <m/>
    <m/>
    <m/>
    <n v="600474"/>
    <n v="681921.55896067037"/>
  </r>
  <r>
    <x v="11"/>
    <x v="25"/>
    <s v="  Palmetto Fellows Scholarships"/>
    <m/>
    <m/>
    <x v="12"/>
    <m/>
    <m/>
    <m/>
    <m/>
    <m/>
    <m/>
    <m/>
    <m/>
    <n v="0"/>
    <m/>
    <m/>
    <n v="0"/>
    <n v="0"/>
    <n v="0"/>
    <m/>
    <m/>
    <m/>
    <m/>
    <n v="0"/>
    <m/>
    <m/>
    <n v="0"/>
    <m/>
    <m/>
    <m/>
    <m/>
    <m/>
    <m/>
    <n v="0"/>
    <n v="0"/>
  </r>
  <r>
    <x v="11"/>
    <x v="28"/>
    <s v="Amount to public sector students"/>
    <m/>
    <m/>
    <x v="12"/>
    <m/>
    <m/>
    <m/>
    <m/>
    <m/>
    <m/>
    <m/>
    <m/>
    <n v="0"/>
    <m/>
    <m/>
    <n v="0"/>
    <n v="0"/>
    <n v="0"/>
    <m/>
    <m/>
    <m/>
    <m/>
    <n v="0"/>
    <m/>
    <m/>
    <n v="0"/>
    <m/>
    <m/>
    <m/>
    <m/>
    <m/>
    <m/>
    <n v="0"/>
    <n v="0"/>
  </r>
  <r>
    <x v="11"/>
    <x v="29"/>
    <s v="Need-based"/>
    <m/>
    <m/>
    <x v="12"/>
    <m/>
    <m/>
    <m/>
    <m/>
    <m/>
    <m/>
    <m/>
    <m/>
    <n v="0"/>
    <m/>
    <m/>
    <n v="0"/>
    <n v="0"/>
    <n v="0"/>
    <m/>
    <m/>
    <m/>
    <m/>
    <n v="0"/>
    <m/>
    <m/>
    <n v="0"/>
    <m/>
    <m/>
    <m/>
    <m/>
    <m/>
    <m/>
    <n v="0"/>
    <n v="0"/>
  </r>
  <r>
    <x v="11"/>
    <x v="30"/>
    <s v="Non need-based"/>
    <m/>
    <m/>
    <x v="12"/>
    <m/>
    <m/>
    <m/>
    <m/>
    <m/>
    <m/>
    <m/>
    <m/>
    <n v="0"/>
    <m/>
    <m/>
    <n v="0"/>
    <n v="0"/>
    <n v="0"/>
    <n v="39182845"/>
    <n v="40096810.073983558"/>
    <m/>
    <m/>
    <n v="0"/>
    <m/>
    <m/>
    <n v="0"/>
    <m/>
    <m/>
    <m/>
    <m/>
    <m/>
    <m/>
    <n v="39182845"/>
    <n v="40096810.073983558"/>
  </r>
  <r>
    <x v="11"/>
    <x v="31"/>
    <s v="Amount to private sector students"/>
    <m/>
    <m/>
    <x v="12"/>
    <m/>
    <m/>
    <m/>
    <m/>
    <m/>
    <m/>
    <m/>
    <m/>
    <n v="0"/>
    <m/>
    <m/>
    <n v="0"/>
    <n v="0"/>
    <n v="0"/>
    <m/>
    <m/>
    <m/>
    <m/>
    <n v="0"/>
    <m/>
    <m/>
    <n v="0"/>
    <m/>
    <m/>
    <m/>
    <m/>
    <m/>
    <m/>
    <n v="0"/>
    <n v="0"/>
  </r>
  <r>
    <x v="11"/>
    <x v="32"/>
    <s v="Need-based"/>
    <m/>
    <m/>
    <x v="12"/>
    <m/>
    <m/>
    <m/>
    <m/>
    <m/>
    <m/>
    <m/>
    <m/>
    <n v="0"/>
    <m/>
    <m/>
    <n v="0"/>
    <n v="0"/>
    <n v="0"/>
    <m/>
    <m/>
    <m/>
    <m/>
    <n v="0"/>
    <m/>
    <m/>
    <n v="0"/>
    <m/>
    <m/>
    <m/>
    <m/>
    <m/>
    <m/>
    <n v="0"/>
    <n v="0"/>
  </r>
  <r>
    <x v="11"/>
    <x v="33"/>
    <s v="Non need-based"/>
    <m/>
    <m/>
    <x v="12"/>
    <m/>
    <m/>
    <m/>
    <m/>
    <m/>
    <m/>
    <m/>
    <m/>
    <n v="0"/>
    <m/>
    <m/>
    <n v="0"/>
    <n v="0"/>
    <n v="0"/>
    <n v="10703822"/>
    <n v="9789856.9260164462"/>
    <m/>
    <m/>
    <n v="0"/>
    <m/>
    <m/>
    <n v="0"/>
    <m/>
    <m/>
    <m/>
    <m/>
    <m/>
    <m/>
    <n v="10703822"/>
    <n v="9789856.9260164462"/>
  </r>
  <r>
    <x v="11"/>
    <x v="25"/>
    <s v="SC HOPE"/>
    <m/>
    <m/>
    <x v="12"/>
    <m/>
    <m/>
    <m/>
    <m/>
    <m/>
    <m/>
    <m/>
    <m/>
    <n v="0"/>
    <m/>
    <m/>
    <n v="0"/>
    <n v="0"/>
    <n v="0"/>
    <m/>
    <m/>
    <m/>
    <m/>
    <n v="0"/>
    <m/>
    <m/>
    <n v="0"/>
    <m/>
    <m/>
    <m/>
    <m/>
    <m/>
    <m/>
    <n v="0"/>
    <n v="0"/>
  </r>
  <r>
    <x v="11"/>
    <x v="28"/>
    <s v="Amount to public sector students"/>
    <m/>
    <m/>
    <x v="12"/>
    <m/>
    <m/>
    <m/>
    <m/>
    <m/>
    <m/>
    <m/>
    <m/>
    <n v="0"/>
    <m/>
    <m/>
    <n v="0"/>
    <n v="0"/>
    <n v="0"/>
    <m/>
    <m/>
    <m/>
    <m/>
    <n v="0"/>
    <m/>
    <m/>
    <n v="0"/>
    <m/>
    <m/>
    <m/>
    <m/>
    <m/>
    <m/>
    <n v="0"/>
    <n v="0"/>
  </r>
  <r>
    <x v="11"/>
    <x v="29"/>
    <s v="Need-based"/>
    <m/>
    <m/>
    <x v="12"/>
    <m/>
    <m/>
    <m/>
    <m/>
    <m/>
    <m/>
    <m/>
    <m/>
    <n v="0"/>
    <m/>
    <m/>
    <n v="0"/>
    <n v="0"/>
    <n v="0"/>
    <m/>
    <m/>
    <m/>
    <m/>
    <n v="0"/>
    <m/>
    <m/>
    <n v="0"/>
    <m/>
    <m/>
    <m/>
    <m/>
    <m/>
    <m/>
    <n v="0"/>
    <n v="0"/>
  </r>
  <r>
    <x v="11"/>
    <x v="30"/>
    <s v="Non need-based"/>
    <m/>
    <m/>
    <x v="12"/>
    <m/>
    <m/>
    <m/>
    <m/>
    <m/>
    <m/>
    <m/>
    <m/>
    <n v="0"/>
    <m/>
    <m/>
    <n v="0"/>
    <n v="0"/>
    <n v="0"/>
    <n v="5885114"/>
    <n v="5631637.8007988781"/>
    <m/>
    <m/>
    <n v="0"/>
    <m/>
    <m/>
    <n v="0"/>
    <m/>
    <m/>
    <m/>
    <m/>
    <m/>
    <m/>
    <n v="5885114"/>
    <n v="5631637.8007988781"/>
  </r>
  <r>
    <x v="11"/>
    <x v="31"/>
    <s v="Amount to private sector students"/>
    <m/>
    <m/>
    <x v="12"/>
    <m/>
    <m/>
    <m/>
    <m/>
    <m/>
    <m/>
    <m/>
    <m/>
    <n v="0"/>
    <m/>
    <m/>
    <n v="0"/>
    <n v="0"/>
    <n v="0"/>
    <m/>
    <m/>
    <m/>
    <m/>
    <n v="0"/>
    <m/>
    <m/>
    <n v="0"/>
    <m/>
    <m/>
    <m/>
    <m/>
    <m/>
    <m/>
    <n v="0"/>
    <n v="0"/>
  </r>
  <r>
    <x v="11"/>
    <x v="32"/>
    <s v="Need-based"/>
    <m/>
    <m/>
    <x v="12"/>
    <m/>
    <m/>
    <m/>
    <m/>
    <m/>
    <m/>
    <m/>
    <m/>
    <n v="0"/>
    <m/>
    <m/>
    <n v="0"/>
    <n v="0"/>
    <n v="0"/>
    <m/>
    <m/>
    <m/>
    <m/>
    <n v="0"/>
    <m/>
    <m/>
    <n v="0"/>
    <m/>
    <m/>
    <m/>
    <m/>
    <m/>
    <m/>
    <n v="0"/>
    <n v="0"/>
  </r>
  <r>
    <x v="11"/>
    <x v="33"/>
    <s v="Non need-based"/>
    <m/>
    <m/>
    <x v="12"/>
    <m/>
    <m/>
    <m/>
    <m/>
    <m/>
    <m/>
    <m/>
    <m/>
    <n v="0"/>
    <m/>
    <m/>
    <n v="0"/>
    <n v="0"/>
    <n v="0"/>
    <n v="2126469"/>
    <n v="2379945.1992011215"/>
    <m/>
    <m/>
    <n v="0"/>
    <m/>
    <m/>
    <n v="0"/>
    <m/>
    <m/>
    <m/>
    <m/>
    <m/>
    <m/>
    <n v="2126469"/>
    <n v="2379945.1992011215"/>
  </r>
  <r>
    <x v="11"/>
    <x v="25"/>
    <s v="SC Need-Based Grants"/>
    <m/>
    <m/>
    <x v="12"/>
    <m/>
    <m/>
    <m/>
    <m/>
    <m/>
    <m/>
    <m/>
    <m/>
    <n v="0"/>
    <m/>
    <m/>
    <n v="0"/>
    <n v="0"/>
    <n v="0"/>
    <m/>
    <m/>
    <m/>
    <m/>
    <n v="0"/>
    <m/>
    <m/>
    <n v="0"/>
    <m/>
    <m/>
    <m/>
    <m/>
    <m/>
    <m/>
    <n v="0"/>
    <n v="0"/>
  </r>
  <r>
    <x v="11"/>
    <x v="28"/>
    <s v="Amount to public sector students"/>
    <m/>
    <m/>
    <x v="12"/>
    <m/>
    <m/>
    <m/>
    <m/>
    <m/>
    <m/>
    <m/>
    <m/>
    <n v="0"/>
    <m/>
    <m/>
    <n v="0"/>
    <n v="0"/>
    <n v="0"/>
    <m/>
    <m/>
    <m/>
    <m/>
    <n v="0"/>
    <m/>
    <m/>
    <n v="0"/>
    <m/>
    <m/>
    <m/>
    <m/>
    <m/>
    <m/>
    <n v="0"/>
    <n v="0"/>
  </r>
  <r>
    <x v="11"/>
    <x v="29"/>
    <s v="Need-based"/>
    <m/>
    <m/>
    <x v="12"/>
    <m/>
    <m/>
    <m/>
    <m/>
    <m/>
    <m/>
    <m/>
    <m/>
    <n v="0"/>
    <m/>
    <m/>
    <n v="0"/>
    <n v="0"/>
    <n v="0"/>
    <n v="22965949"/>
    <n v="20449021.582770318"/>
    <m/>
    <m/>
    <n v="0"/>
    <m/>
    <m/>
    <n v="0"/>
    <m/>
    <m/>
    <m/>
    <m/>
    <m/>
    <m/>
    <n v="22965949"/>
    <n v="20449021.582770318"/>
  </r>
  <r>
    <x v="11"/>
    <x v="30"/>
    <s v="Non need-based"/>
    <m/>
    <m/>
    <x v="12"/>
    <m/>
    <m/>
    <m/>
    <m/>
    <m/>
    <m/>
    <m/>
    <m/>
    <n v="0"/>
    <m/>
    <m/>
    <n v="0"/>
    <n v="0"/>
    <n v="0"/>
    <m/>
    <m/>
    <m/>
    <m/>
    <n v="0"/>
    <m/>
    <m/>
    <n v="0"/>
    <m/>
    <m/>
    <m/>
    <m/>
    <m/>
    <m/>
    <n v="0"/>
    <n v="0"/>
  </r>
  <r>
    <x v="11"/>
    <x v="31"/>
    <s v="Amount to private sector students"/>
    <m/>
    <m/>
    <x v="12"/>
    <m/>
    <m/>
    <m/>
    <m/>
    <m/>
    <m/>
    <m/>
    <m/>
    <n v="0"/>
    <m/>
    <m/>
    <n v="0"/>
    <n v="0"/>
    <n v="0"/>
    <m/>
    <m/>
    <m/>
    <m/>
    <n v="0"/>
    <m/>
    <m/>
    <n v="0"/>
    <m/>
    <m/>
    <m/>
    <m/>
    <m/>
    <m/>
    <n v="0"/>
    <n v="0"/>
  </r>
  <r>
    <x v="11"/>
    <x v="32"/>
    <s v="Need-based"/>
    <m/>
    <m/>
    <x v="12"/>
    <m/>
    <m/>
    <m/>
    <m/>
    <m/>
    <m/>
    <m/>
    <m/>
    <n v="0"/>
    <m/>
    <m/>
    <n v="0"/>
    <n v="0"/>
    <n v="0"/>
    <n v="4665617"/>
    <n v="4550978.4172296831"/>
    <m/>
    <m/>
    <n v="0"/>
    <m/>
    <m/>
    <n v="0"/>
    <m/>
    <m/>
    <m/>
    <m/>
    <m/>
    <m/>
    <n v="4665617"/>
    <n v="4550978.4172296831"/>
  </r>
  <r>
    <x v="11"/>
    <x v="33"/>
    <s v="Non need-based"/>
    <m/>
    <m/>
    <x v="12"/>
    <m/>
    <m/>
    <m/>
    <m/>
    <m/>
    <m/>
    <m/>
    <m/>
    <n v="0"/>
    <m/>
    <m/>
    <n v="0"/>
    <n v="0"/>
    <n v="0"/>
    <s v=" "/>
    <m/>
    <m/>
    <m/>
    <n v="0"/>
    <m/>
    <m/>
    <n v="0"/>
    <m/>
    <m/>
    <m/>
    <m/>
    <m/>
    <m/>
    <n v="0"/>
    <n v="0"/>
  </r>
  <r>
    <x v="11"/>
    <x v="25"/>
    <s v="National Guard College Assistance Program"/>
    <m/>
    <m/>
    <x v="12"/>
    <m/>
    <m/>
    <m/>
    <m/>
    <m/>
    <m/>
    <m/>
    <m/>
    <n v="0"/>
    <m/>
    <m/>
    <n v="0"/>
    <n v="0"/>
    <n v="0"/>
    <m/>
    <m/>
    <m/>
    <m/>
    <n v="0"/>
    <m/>
    <m/>
    <n v="0"/>
    <m/>
    <m/>
    <m/>
    <m/>
    <m/>
    <m/>
    <n v="0"/>
    <n v="0"/>
  </r>
  <r>
    <x v="11"/>
    <x v="26"/>
    <s v="Need-based"/>
    <m/>
    <m/>
    <x v="12"/>
    <m/>
    <m/>
    <m/>
    <m/>
    <m/>
    <m/>
    <m/>
    <m/>
    <n v="0"/>
    <m/>
    <m/>
    <n v="0"/>
    <n v="0"/>
    <n v="0"/>
    <m/>
    <m/>
    <m/>
    <m/>
    <n v="0"/>
    <m/>
    <m/>
    <n v="0"/>
    <m/>
    <m/>
    <m/>
    <m/>
    <m/>
    <m/>
    <n v="0"/>
    <n v="0"/>
  </r>
  <r>
    <x v="11"/>
    <x v="27"/>
    <s v="Non need-based"/>
    <m/>
    <m/>
    <x v="12"/>
    <m/>
    <m/>
    <m/>
    <m/>
    <m/>
    <m/>
    <m/>
    <m/>
    <n v="0"/>
    <m/>
    <m/>
    <n v="0"/>
    <n v="0"/>
    <n v="0"/>
    <n v="1700000"/>
    <n v="4545000"/>
    <m/>
    <m/>
    <n v="0"/>
    <m/>
    <m/>
    <n v="0"/>
    <m/>
    <m/>
    <m/>
    <m/>
    <m/>
    <m/>
    <n v="1700000"/>
    <n v="4545000"/>
  </r>
  <r>
    <x v="11"/>
    <x v="34"/>
    <s v="Limited to public college students"/>
    <m/>
    <m/>
    <x v="12"/>
    <m/>
    <m/>
    <m/>
    <m/>
    <m/>
    <m/>
    <m/>
    <m/>
    <n v="0"/>
    <m/>
    <m/>
    <n v="0"/>
    <n v="0"/>
    <n v="0"/>
    <m/>
    <m/>
    <m/>
    <m/>
    <n v="0"/>
    <m/>
    <m/>
    <n v="0"/>
    <m/>
    <m/>
    <m/>
    <m/>
    <m/>
    <m/>
    <n v="0"/>
    <n v="0"/>
  </r>
  <r>
    <x v="11"/>
    <x v="37"/>
    <s v="Limited to private college students"/>
    <m/>
    <m/>
    <x v="12"/>
    <m/>
    <m/>
    <m/>
    <m/>
    <m/>
    <m/>
    <m/>
    <m/>
    <n v="0"/>
    <m/>
    <m/>
    <n v="0"/>
    <n v="0"/>
    <n v="0"/>
    <m/>
    <m/>
    <m/>
    <m/>
    <n v="0"/>
    <m/>
    <m/>
    <n v="0"/>
    <m/>
    <m/>
    <m/>
    <m/>
    <m/>
    <m/>
    <n v="0"/>
    <n v="0"/>
  </r>
  <r>
    <x v="11"/>
    <x v="37"/>
    <s v="S.C. Tuition Grants"/>
    <m/>
    <m/>
    <x v="12"/>
    <m/>
    <m/>
    <m/>
    <m/>
    <m/>
    <m/>
    <m/>
    <m/>
    <n v="0"/>
    <m/>
    <m/>
    <n v="0"/>
    <n v="0"/>
    <n v="0"/>
    <m/>
    <m/>
    <m/>
    <m/>
    <n v="0"/>
    <m/>
    <m/>
    <n v="0"/>
    <m/>
    <m/>
    <m/>
    <m/>
    <m/>
    <m/>
    <n v="0"/>
    <n v="0"/>
  </r>
  <r>
    <x v="11"/>
    <x v="38"/>
    <s v="Need-based"/>
    <m/>
    <m/>
    <x v="12"/>
    <m/>
    <m/>
    <m/>
    <m/>
    <m/>
    <m/>
    <m/>
    <m/>
    <n v="0"/>
    <m/>
    <m/>
    <n v="0"/>
    <n v="0"/>
    <n v="0"/>
    <n v="29363042"/>
    <n v="31288622"/>
    <m/>
    <m/>
    <n v="0"/>
    <m/>
    <m/>
    <n v="0"/>
    <m/>
    <m/>
    <m/>
    <m/>
    <m/>
    <m/>
    <n v="29363042"/>
    <n v="31288622"/>
  </r>
  <r>
    <x v="11"/>
    <x v="39"/>
    <s v="Non need-based"/>
    <m/>
    <m/>
    <x v="12"/>
    <m/>
    <m/>
    <m/>
    <m/>
    <m/>
    <m/>
    <m/>
    <m/>
    <n v="0"/>
    <m/>
    <m/>
    <n v="0"/>
    <n v="0"/>
    <n v="0"/>
    <m/>
    <m/>
    <m/>
    <m/>
    <n v="0"/>
    <m/>
    <m/>
    <n v="0"/>
    <m/>
    <m/>
    <m/>
    <m/>
    <m/>
    <m/>
    <n v="0"/>
    <n v="0"/>
  </r>
  <r>
    <x v="12"/>
    <x v="0"/>
    <s v="University of Memphis"/>
    <m/>
    <n v="220862"/>
    <x v="0"/>
    <n v="99642860"/>
    <n v="100044947"/>
    <m/>
    <m/>
    <m/>
    <m/>
    <n v="159874741"/>
    <n v="4045100"/>
    <n v="163919841"/>
    <n v="161375900"/>
    <n v="3658000"/>
    <n v="165033900"/>
    <n v="259517601"/>
    <n v="261420847"/>
    <m/>
    <m/>
    <m/>
    <m/>
    <n v="0"/>
    <m/>
    <m/>
    <n v="0"/>
    <m/>
    <m/>
    <m/>
    <m/>
    <m/>
    <m/>
    <n v="259517601"/>
    <n v="261420847"/>
  </r>
  <r>
    <x v="12"/>
    <x v="0"/>
    <s v="University of Tennessee, Knoxville"/>
    <m/>
    <n v="221759"/>
    <x v="0"/>
    <n v="162203609.7920163"/>
    <n v="183530942.87731534"/>
    <m/>
    <m/>
    <m/>
    <m/>
    <n v="256774464"/>
    <n v="1100000"/>
    <n v="257874464"/>
    <n v="271563300"/>
    <n v="1100000"/>
    <n v="272663300"/>
    <n v="418978073.79201627"/>
    <n v="455094242.87731534"/>
    <m/>
    <m/>
    <m/>
    <m/>
    <n v="0"/>
    <m/>
    <m/>
    <n v="0"/>
    <m/>
    <m/>
    <m/>
    <m/>
    <m/>
    <m/>
    <n v="418978073.79201627"/>
    <n v="455094242.87731534"/>
  </r>
  <r>
    <x v="12"/>
    <x v="3"/>
    <s v="Community/Public Service Units"/>
    <m/>
    <n v="221759"/>
    <x v="0"/>
    <m/>
    <m/>
    <m/>
    <m/>
    <m/>
    <m/>
    <m/>
    <m/>
    <n v="0"/>
    <m/>
    <m/>
    <n v="0"/>
    <n v="0"/>
    <n v="0"/>
    <m/>
    <m/>
    <m/>
    <m/>
    <n v="0"/>
    <m/>
    <m/>
    <n v="0"/>
    <m/>
    <m/>
    <m/>
    <m/>
    <m/>
    <m/>
    <n v="0"/>
    <n v="0"/>
  </r>
  <r>
    <x v="12"/>
    <x v="3"/>
    <s v="Municipal Technology Advisory Service"/>
    <m/>
    <n v="221759"/>
    <x v="0"/>
    <m/>
    <m/>
    <n v="2737969"/>
    <n v="2892013"/>
    <m/>
    <m/>
    <m/>
    <m/>
    <n v="0"/>
    <n v="0"/>
    <n v="0"/>
    <n v="0"/>
    <n v="2737969"/>
    <n v="2892013"/>
    <m/>
    <m/>
    <m/>
    <m/>
    <n v="0"/>
    <m/>
    <m/>
    <n v="0"/>
    <m/>
    <m/>
    <m/>
    <m/>
    <m/>
    <m/>
    <n v="2737969"/>
    <n v="2892013"/>
  </r>
  <r>
    <x v="12"/>
    <x v="3"/>
    <s v="County Technology Advisory Service"/>
    <m/>
    <n v="221759"/>
    <x v="0"/>
    <m/>
    <m/>
    <n v="1650969"/>
    <n v="1758013"/>
    <m/>
    <m/>
    <m/>
    <m/>
    <n v="0"/>
    <n v="0"/>
    <n v="0"/>
    <n v="0"/>
    <n v="1650969"/>
    <n v="1758013"/>
    <m/>
    <m/>
    <m/>
    <m/>
    <n v="0"/>
    <m/>
    <m/>
    <n v="0"/>
    <m/>
    <m/>
    <m/>
    <m/>
    <m/>
    <m/>
    <n v="1650969"/>
    <n v="1758013"/>
  </r>
  <r>
    <x v="12"/>
    <x v="3"/>
    <s v="Institute for Public Service"/>
    <m/>
    <n v="221759"/>
    <x v="0"/>
    <m/>
    <m/>
    <n v="5058459"/>
    <n v="5249898"/>
    <m/>
    <m/>
    <m/>
    <m/>
    <n v="0"/>
    <n v="0"/>
    <n v="0"/>
    <n v="0"/>
    <n v="5058459"/>
    <n v="5249898"/>
    <m/>
    <m/>
    <m/>
    <m/>
    <n v="0"/>
    <m/>
    <m/>
    <n v="0"/>
    <m/>
    <m/>
    <m/>
    <m/>
    <m/>
    <m/>
    <n v="5058459"/>
    <n v="5249898"/>
  </r>
  <r>
    <x v="12"/>
    <x v="5"/>
    <s v="Agricultural cooperative extension"/>
    <m/>
    <n v="221759"/>
    <x v="0"/>
    <m/>
    <m/>
    <n v="29580016"/>
    <n v="30987767"/>
    <m/>
    <m/>
    <m/>
    <m/>
    <n v="0"/>
    <n v="0"/>
    <n v="0"/>
    <n v="0"/>
    <n v="29580016"/>
    <n v="30987767"/>
    <m/>
    <m/>
    <m/>
    <m/>
    <n v="0"/>
    <m/>
    <m/>
    <n v="0"/>
    <m/>
    <m/>
    <m/>
    <m/>
    <m/>
    <m/>
    <n v="29580016"/>
    <n v="30987767"/>
  </r>
  <r>
    <x v="12"/>
    <x v="6"/>
    <s v="Agricultural experiment stations"/>
    <m/>
    <n v="221759"/>
    <x v="0"/>
    <m/>
    <m/>
    <n v="24480573"/>
    <n v="25579486"/>
    <m/>
    <m/>
    <m/>
    <m/>
    <n v="0"/>
    <n v="0"/>
    <n v="0"/>
    <n v="0"/>
    <n v="24480573"/>
    <n v="25579486"/>
    <m/>
    <m/>
    <m/>
    <m/>
    <n v="0"/>
    <m/>
    <m/>
    <n v="0"/>
    <m/>
    <m/>
    <m/>
    <m/>
    <m/>
    <m/>
    <n v="24480573"/>
    <n v="25579486"/>
  </r>
  <r>
    <x v="12"/>
    <x v="0"/>
    <s v="Tennessee State University "/>
    <m/>
    <n v="221838"/>
    <x v="1"/>
    <n v="34167155"/>
    <n v="36208835"/>
    <m/>
    <m/>
    <m/>
    <m/>
    <n v="65496600"/>
    <n v="1500000"/>
    <n v="66996600"/>
    <n v="69406700"/>
    <n v="1537500"/>
    <n v="70944200"/>
    <n v="99663755"/>
    <n v="105615535"/>
    <m/>
    <m/>
    <m/>
    <m/>
    <n v="0"/>
    <m/>
    <m/>
    <n v="0"/>
    <m/>
    <m/>
    <m/>
    <m/>
    <m/>
    <m/>
    <n v="99663755"/>
    <n v="105615535"/>
  </r>
  <r>
    <x v="12"/>
    <x v="5"/>
    <s v="Agricultural experiment stations"/>
    <m/>
    <n v="221838"/>
    <x v="1"/>
    <m/>
    <m/>
    <m/>
    <m/>
    <m/>
    <m/>
    <m/>
    <m/>
    <n v="0"/>
    <m/>
    <m/>
    <n v="0"/>
    <n v="0"/>
    <n v="0"/>
    <m/>
    <m/>
    <m/>
    <m/>
    <n v="0"/>
    <m/>
    <m/>
    <n v="0"/>
    <m/>
    <m/>
    <m/>
    <m/>
    <m/>
    <m/>
    <n v="0"/>
    <n v="0"/>
  </r>
  <r>
    <x v="12"/>
    <x v="5"/>
    <s v="McMinnville Center Station"/>
    <m/>
    <n v="221838"/>
    <x v="1"/>
    <m/>
    <m/>
    <n v="543600"/>
    <n v="560700"/>
    <m/>
    <m/>
    <m/>
    <m/>
    <n v="0"/>
    <n v="0"/>
    <n v="0"/>
    <n v="0"/>
    <n v="543600"/>
    <n v="560700"/>
    <m/>
    <m/>
    <m/>
    <m/>
    <n v="0"/>
    <m/>
    <m/>
    <n v="0"/>
    <m/>
    <m/>
    <m/>
    <m/>
    <m/>
    <m/>
    <n v="543600"/>
    <n v="560700"/>
  </r>
  <r>
    <x v="12"/>
    <x v="5"/>
    <s v="TSU Institute of Agr and Environmental Research"/>
    <m/>
    <n v="221838"/>
    <x v="1"/>
    <m/>
    <m/>
    <n v="2208900"/>
    <n v="2280500"/>
    <m/>
    <m/>
    <m/>
    <m/>
    <n v="0"/>
    <n v="0"/>
    <n v="0"/>
    <n v="0"/>
    <n v="2208900"/>
    <n v="2280500"/>
    <m/>
    <m/>
    <m/>
    <m/>
    <n v="0"/>
    <m/>
    <m/>
    <n v="0"/>
    <m/>
    <m/>
    <m/>
    <m/>
    <m/>
    <m/>
    <n v="2208900"/>
    <n v="2280500"/>
  </r>
  <r>
    <x v="12"/>
    <x v="5"/>
    <s v="TSU Cooperative Education"/>
    <m/>
    <n v="221838"/>
    <x v="1"/>
    <m/>
    <m/>
    <n v="3010500"/>
    <n v="3110400"/>
    <m/>
    <m/>
    <m/>
    <m/>
    <n v="0"/>
    <n v="0"/>
    <n v="0"/>
    <n v="0"/>
    <n v="3010500"/>
    <n v="3110400"/>
    <m/>
    <m/>
    <m/>
    <m/>
    <n v="0"/>
    <m/>
    <m/>
    <n v="0"/>
    <m/>
    <m/>
    <m/>
    <m/>
    <m/>
    <m/>
    <n v="3010500"/>
    <n v="3110400"/>
  </r>
  <r>
    <x v="12"/>
    <x v="5"/>
    <s v="TSU McIntire-Stennis Forestry Research"/>
    <m/>
    <n v="221838"/>
    <x v="1"/>
    <m/>
    <m/>
    <n v="174100"/>
    <n v="179400"/>
    <m/>
    <m/>
    <m/>
    <m/>
    <n v="0"/>
    <n v="0"/>
    <n v="0"/>
    <n v="0"/>
    <n v="174100"/>
    <n v="179400"/>
    <m/>
    <m/>
    <m/>
    <m/>
    <n v="0"/>
    <m/>
    <m/>
    <n v="0"/>
    <m/>
    <m/>
    <m/>
    <m/>
    <m/>
    <m/>
    <n v="174100"/>
    <n v="179400"/>
  </r>
  <r>
    <x v="12"/>
    <x v="0"/>
    <s v="Austin Peay State University "/>
    <m/>
    <n v="219602"/>
    <x v="2"/>
    <n v="29936158.329999998"/>
    <n v="34495044.329999998"/>
    <m/>
    <m/>
    <m/>
    <m/>
    <n v="62016400"/>
    <n v="2370800"/>
    <n v="64387200"/>
    <n v="63726600"/>
    <n v="2370800"/>
    <n v="66097400"/>
    <n v="91952558.329999998"/>
    <n v="98221644.329999998"/>
    <m/>
    <m/>
    <m/>
    <m/>
    <n v="0"/>
    <m/>
    <m/>
    <n v="0"/>
    <m/>
    <m/>
    <m/>
    <m/>
    <m/>
    <m/>
    <n v="91952558.329999998"/>
    <n v="98221644.329999998"/>
  </r>
  <r>
    <x v="12"/>
    <x v="0"/>
    <s v="East Tennessee State University "/>
    <s v="Met the criteria for Four-Year 2 in 2013-14."/>
    <n v="220075"/>
    <x v="2"/>
    <n v="48191905.329999998"/>
    <n v="50382270.659999996"/>
    <m/>
    <m/>
    <m/>
    <m/>
    <n v="101066380"/>
    <n v="2641000"/>
    <n v="103707380"/>
    <n v="100945380"/>
    <n v="2641000"/>
    <n v="103586380"/>
    <n v="149258285.32999998"/>
    <n v="151327650.66"/>
    <m/>
    <m/>
    <m/>
    <m/>
    <n v="0"/>
    <m/>
    <m/>
    <n v="0"/>
    <m/>
    <m/>
    <m/>
    <m/>
    <m/>
    <m/>
    <n v="149258285.32999998"/>
    <n v="151327650.66"/>
  </r>
  <r>
    <x v="12"/>
    <x v="1"/>
    <s v="Medical School"/>
    <m/>
    <n v="220075"/>
    <x v="2"/>
    <m/>
    <m/>
    <m/>
    <m/>
    <m/>
    <m/>
    <m/>
    <m/>
    <n v="0"/>
    <m/>
    <m/>
    <n v="0"/>
    <n v="0"/>
    <n v="0"/>
    <m/>
    <m/>
    <m/>
    <m/>
    <n v="0"/>
    <m/>
    <m/>
    <n v="0"/>
    <n v="33277200"/>
    <n v="35236200"/>
    <n v="8874700"/>
    <n v="166600"/>
    <n v="8947000"/>
    <n v="164600"/>
    <n v="42151900"/>
    <n v="44183200"/>
  </r>
  <r>
    <x v="12"/>
    <x v="0"/>
    <s v="Middle Tennessee State University "/>
    <m/>
    <n v="220978"/>
    <x v="2"/>
    <n v="79109080"/>
    <n v="82950980"/>
    <m/>
    <m/>
    <m/>
    <m/>
    <n v="161137600"/>
    <n v="9587500"/>
    <n v="170725100"/>
    <n v="160637379"/>
    <n v="8700000"/>
    <n v="169337379"/>
    <n v="240246680"/>
    <n v="243588359"/>
    <m/>
    <m/>
    <m/>
    <m/>
    <n v="0"/>
    <m/>
    <m/>
    <n v="0"/>
    <m/>
    <m/>
    <m/>
    <m/>
    <m/>
    <m/>
    <n v="240246680"/>
    <n v="243588359"/>
  </r>
  <r>
    <x v="12"/>
    <x v="0"/>
    <s v="Tennessee Technological University "/>
    <m/>
    <n v="221847"/>
    <x v="2"/>
    <n v="41449740"/>
    <n v="43871465"/>
    <m/>
    <m/>
    <m/>
    <m/>
    <n v="73123680"/>
    <n v="578300"/>
    <n v="73701980"/>
    <n v="80670620"/>
    <n v="587000"/>
    <n v="81257620"/>
    <n v="114573420"/>
    <n v="124542085"/>
    <m/>
    <m/>
    <m/>
    <m/>
    <n v="0"/>
    <m/>
    <m/>
    <n v="0"/>
    <m/>
    <m/>
    <m/>
    <m/>
    <m/>
    <m/>
    <n v="114573420"/>
    <n v="124542085"/>
  </r>
  <r>
    <x v="12"/>
    <x v="0"/>
    <s v="University of Tennessee at Chattanooga"/>
    <m/>
    <n v="221740"/>
    <x v="2"/>
    <n v="36692961.896684311"/>
    <n v="38681641.691104561"/>
    <m/>
    <m/>
    <m/>
    <m/>
    <n v="69129303"/>
    <n v="3000000"/>
    <n v="72129303"/>
    <n v="74434353"/>
    <n v="3000000"/>
    <n v="77434353"/>
    <n v="105822264.89668432"/>
    <n v="113115994.69110456"/>
    <m/>
    <m/>
    <m/>
    <m/>
    <n v="0"/>
    <m/>
    <m/>
    <n v="0"/>
    <m/>
    <m/>
    <m/>
    <m/>
    <m/>
    <m/>
    <n v="105822264.89668432"/>
    <n v="113115994.69110456"/>
  </r>
  <r>
    <x v="12"/>
    <x v="0"/>
    <s v="University of Tennessee at Martin"/>
    <m/>
    <n v="221768"/>
    <x v="4"/>
    <n v="26633618.531082422"/>
    <n v="26780564.698208787"/>
    <m/>
    <m/>
    <m/>
    <m/>
    <n v="50002855"/>
    <n v="2500000"/>
    <n v="52502855"/>
    <n v="52866500"/>
    <n v="2500000"/>
    <n v="55366500"/>
    <n v="76636473.531082422"/>
    <n v="79647064.698208779"/>
    <m/>
    <m/>
    <m/>
    <m/>
    <n v="0"/>
    <m/>
    <m/>
    <n v="0"/>
    <m/>
    <m/>
    <m/>
    <m/>
    <m/>
    <m/>
    <n v="76636473.531082422"/>
    <n v="79647064.698208779"/>
  </r>
  <r>
    <x v="12"/>
    <x v="0"/>
    <s v="Chattanooga State Technical Community College "/>
    <m/>
    <n v="219824"/>
    <x v="6"/>
    <n v="22396107.111578938"/>
    <n v="27016809.209693097"/>
    <m/>
    <m/>
    <m/>
    <m/>
    <n v="31250000"/>
    <m/>
    <n v="31250000"/>
    <n v="30475000"/>
    <n v="0"/>
    <n v="30475000"/>
    <n v="53646107.111578941"/>
    <n v="57491809.209693097"/>
    <m/>
    <m/>
    <m/>
    <m/>
    <n v="0"/>
    <m/>
    <m/>
    <n v="0"/>
    <m/>
    <m/>
    <m/>
    <m/>
    <m/>
    <m/>
    <n v="53646107.111578941"/>
    <n v="57491809.209693097"/>
  </r>
  <r>
    <x v="12"/>
    <x v="0"/>
    <s v="Nashville State Technical Community College"/>
    <m/>
    <n v="221184"/>
    <x v="6"/>
    <n v="14678041.782376755"/>
    <n v="16231044.744341064"/>
    <m/>
    <m/>
    <m/>
    <m/>
    <n v="25124800"/>
    <m/>
    <n v="25124800"/>
    <n v="27606600"/>
    <n v="0"/>
    <n v="27606600"/>
    <n v="39802841.782376751"/>
    <n v="43837644.744341061"/>
    <m/>
    <m/>
    <m/>
    <m/>
    <n v="0"/>
    <m/>
    <m/>
    <n v="0"/>
    <m/>
    <m/>
    <m/>
    <m/>
    <m/>
    <m/>
    <n v="39802841.782376751"/>
    <n v="43837644.744341061"/>
  </r>
  <r>
    <x v="12"/>
    <x v="0"/>
    <s v="Pellissippi State Technical Community College"/>
    <m/>
    <n v="221643"/>
    <x v="6"/>
    <n v="20866585.360912781"/>
    <n v="23198377.195389528"/>
    <m/>
    <m/>
    <m/>
    <m/>
    <n v="32420000"/>
    <n v="330000"/>
    <n v="32750000"/>
    <n v="33250000"/>
    <n v="330000"/>
    <n v="33580000"/>
    <n v="53286585.360912785"/>
    <n v="56448377.195389524"/>
    <m/>
    <m/>
    <m/>
    <m/>
    <n v="0"/>
    <m/>
    <m/>
    <n v="0"/>
    <m/>
    <m/>
    <m/>
    <m/>
    <m/>
    <m/>
    <n v="53286585.360912785"/>
    <n v="56448377.195389524"/>
  </r>
  <r>
    <x v="12"/>
    <x v="0"/>
    <s v="Southwest Tennessee Community College"/>
    <m/>
    <n v="221485"/>
    <x v="6"/>
    <n v="32240883.349216558"/>
    <n v="28442513.386474099"/>
    <m/>
    <m/>
    <m/>
    <m/>
    <n v="38724700"/>
    <m/>
    <n v="38724700"/>
    <n v="35031400"/>
    <n v="0"/>
    <n v="35031400"/>
    <n v="70965583.349216551"/>
    <n v="63473913.386474103"/>
    <m/>
    <m/>
    <m/>
    <m/>
    <n v="0"/>
    <m/>
    <m/>
    <n v="0"/>
    <m/>
    <m/>
    <m/>
    <m/>
    <m/>
    <m/>
    <n v="70965583.349216551"/>
    <n v="63473913.386474103"/>
  </r>
  <r>
    <x v="12"/>
    <x v="0"/>
    <s v="Volunteer State Community College "/>
    <m/>
    <n v="222053"/>
    <x v="6"/>
    <n v="16105116.826886179"/>
    <n v="16423090.356894875"/>
    <m/>
    <m/>
    <m/>
    <m/>
    <n v="23279300"/>
    <m/>
    <n v="23279300"/>
    <n v="23862800"/>
    <n v="0"/>
    <n v="23862800"/>
    <n v="39384416.826886177"/>
    <n v="40285890.356894873"/>
    <m/>
    <m/>
    <m/>
    <m/>
    <n v="0"/>
    <m/>
    <m/>
    <n v="0"/>
    <m/>
    <m/>
    <m/>
    <m/>
    <m/>
    <m/>
    <n v="39384416.826886177"/>
    <n v="40285890.356894873"/>
  </r>
  <r>
    <x v="12"/>
    <x v="0"/>
    <s v="Cleveland State Community College "/>
    <m/>
    <n v="219879"/>
    <x v="7"/>
    <n v="9108168.1996789481"/>
    <n v="9259459.8889043182"/>
    <m/>
    <m/>
    <m/>
    <m/>
    <n v="10611800"/>
    <m/>
    <n v="10611800"/>
    <n v="11253000"/>
    <n v="0"/>
    <n v="11253000"/>
    <n v="19719968.19967895"/>
    <n v="20512459.888904318"/>
    <m/>
    <m/>
    <m/>
    <m/>
    <n v="0"/>
    <m/>
    <m/>
    <n v="0"/>
    <m/>
    <m/>
    <m/>
    <m/>
    <m/>
    <m/>
    <n v="19719968.19967895"/>
    <n v="20512459.888904318"/>
  </r>
  <r>
    <x v="12"/>
    <x v="0"/>
    <s v="Columbia State Community College "/>
    <m/>
    <n v="219888"/>
    <x v="7"/>
    <n v="11768762.370349752"/>
    <n v="12717070.659630606"/>
    <m/>
    <m/>
    <m/>
    <m/>
    <n v="13650700"/>
    <m/>
    <n v="13650700"/>
    <n v="13997000"/>
    <n v="0"/>
    <n v="13997000"/>
    <n v="25419462.37034975"/>
    <n v="26714070.659630604"/>
    <m/>
    <m/>
    <m/>
    <m/>
    <n v="0"/>
    <m/>
    <m/>
    <n v="0"/>
    <m/>
    <m/>
    <m/>
    <m/>
    <m/>
    <m/>
    <n v="25419462.37034975"/>
    <n v="26714070.659630604"/>
  </r>
  <r>
    <x v="12"/>
    <x v="0"/>
    <s v="Dyersburg State Community College "/>
    <m/>
    <n v="220057"/>
    <x v="7"/>
    <n v="7143990.088208111"/>
    <n v="7480695.2398278015"/>
    <m/>
    <m/>
    <m/>
    <m/>
    <n v="9358600"/>
    <m/>
    <n v="9358600"/>
    <n v="8113300"/>
    <n v="0"/>
    <n v="8113300"/>
    <n v="16502590.088208111"/>
    <n v="15593995.239827801"/>
    <m/>
    <m/>
    <m/>
    <m/>
    <n v="0"/>
    <m/>
    <m/>
    <n v="0"/>
    <m/>
    <m/>
    <m/>
    <m/>
    <m/>
    <m/>
    <n v="16502590.088208111"/>
    <n v="15593995.239827801"/>
  </r>
  <r>
    <x v="12"/>
    <x v="0"/>
    <s v="Jackson State Community College "/>
    <m/>
    <n v="220400"/>
    <x v="7"/>
    <n v="11304820.50162958"/>
    <n v="11748943.921677545"/>
    <m/>
    <m/>
    <m/>
    <m/>
    <n v="13568800"/>
    <m/>
    <n v="13568800"/>
    <n v="13620600"/>
    <n v="0"/>
    <n v="13620600"/>
    <n v="24873620.50162958"/>
    <n v="25369543.921677545"/>
    <m/>
    <m/>
    <m/>
    <m/>
    <n v="0"/>
    <m/>
    <m/>
    <n v="0"/>
    <m/>
    <m/>
    <m/>
    <m/>
    <m/>
    <m/>
    <n v="24873620.50162958"/>
    <n v="25369543.921677545"/>
  </r>
  <r>
    <x v="12"/>
    <x v="0"/>
    <s v="Motlow State Community College "/>
    <m/>
    <n v="221096"/>
    <x v="7"/>
    <n v="10485536.956333742"/>
    <n v="11258285.41452576"/>
    <m/>
    <m/>
    <m/>
    <m/>
    <n v="12463700"/>
    <m/>
    <n v="12463700"/>
    <n v="13236700"/>
    <n v="0"/>
    <n v="13236700"/>
    <n v="22949236.956333742"/>
    <n v="24494985.414525762"/>
    <m/>
    <m/>
    <m/>
    <m/>
    <n v="0"/>
    <m/>
    <m/>
    <n v="0"/>
    <m/>
    <m/>
    <m/>
    <m/>
    <m/>
    <m/>
    <n v="22949236.956333742"/>
    <n v="24494985.414525762"/>
  </r>
  <r>
    <x v="12"/>
    <x v="0"/>
    <s v="Northeast State Technical Community College"/>
    <m/>
    <n v="221908"/>
    <x v="7"/>
    <n v="13012122.194598334"/>
    <n v="13919104.006388001"/>
    <m/>
    <m/>
    <m/>
    <m/>
    <n v="18362900"/>
    <m/>
    <n v="18362900"/>
    <n v="17941580"/>
    <n v="0"/>
    <n v="17941580"/>
    <n v="31375022.194598332"/>
    <n v="31860684.006388001"/>
    <m/>
    <m/>
    <m/>
    <m/>
    <n v="0"/>
    <m/>
    <m/>
    <n v="0"/>
    <m/>
    <m/>
    <m/>
    <m/>
    <m/>
    <m/>
    <n v="31375022.194598332"/>
    <n v="31860684.006388001"/>
  </r>
  <r>
    <x v="12"/>
    <x v="0"/>
    <s v="Roane State Community College "/>
    <m/>
    <n v="221397"/>
    <x v="7"/>
    <n v="16173651.364684867"/>
    <n v="16901186.059852798"/>
    <m/>
    <m/>
    <m/>
    <m/>
    <n v="18423500"/>
    <m/>
    <n v="18423500"/>
    <n v="18165100"/>
    <n v="0"/>
    <n v="18165100"/>
    <n v="34597151.364684865"/>
    <n v="35066286.059852794"/>
    <m/>
    <m/>
    <m/>
    <m/>
    <n v="0"/>
    <m/>
    <m/>
    <n v="0"/>
    <m/>
    <m/>
    <m/>
    <m/>
    <m/>
    <m/>
    <n v="34597151.364684865"/>
    <n v="35066286.059852794"/>
  </r>
  <r>
    <x v="12"/>
    <x v="0"/>
    <s v="Walters State Community College "/>
    <m/>
    <n v="222062"/>
    <x v="7"/>
    <n v="17297582.593545459"/>
    <n v="20234755.9164005"/>
    <m/>
    <m/>
    <m/>
    <m/>
    <n v="20451700"/>
    <m/>
    <n v="20451700"/>
    <n v="19544400"/>
    <n v="0"/>
    <n v="19544400"/>
    <n v="37749282.593545459"/>
    <n v="39779155.9164005"/>
    <m/>
    <m/>
    <m/>
    <m/>
    <n v="0"/>
    <m/>
    <m/>
    <n v="0"/>
    <m/>
    <m/>
    <m/>
    <m/>
    <m/>
    <m/>
    <n v="37749282.593545459"/>
    <n v="39779155.9164005"/>
  </r>
  <r>
    <x v="12"/>
    <x v="0"/>
    <s v="Tennessee College of Applied Technology at Chattanooga"/>
    <m/>
    <s v="219824B"/>
    <x v="9"/>
    <n v="3225100"/>
    <n v="3387500"/>
    <m/>
    <m/>
    <m/>
    <m/>
    <n v="2368000"/>
    <m/>
    <n v="2368000"/>
    <n v="2676000"/>
    <n v="0"/>
    <n v="2676000"/>
    <n v="5593100"/>
    <n v="6063500"/>
    <m/>
    <m/>
    <m/>
    <m/>
    <n v="0"/>
    <m/>
    <m/>
    <n v="0"/>
    <m/>
    <m/>
    <m/>
    <m/>
    <m/>
    <m/>
    <n v="5593100"/>
    <n v="6063500"/>
  </r>
  <r>
    <x v="12"/>
    <x v="0"/>
    <s v="Tennessee College of Applied Technology at Athens"/>
    <m/>
    <n v="219596"/>
    <x v="10"/>
    <n v="1403100"/>
    <n v="1473700"/>
    <m/>
    <m/>
    <m/>
    <m/>
    <n v="553500"/>
    <m/>
    <n v="553500"/>
    <n v="581500"/>
    <n v="0"/>
    <n v="581500"/>
    <n v="1956600"/>
    <n v="2055200"/>
    <m/>
    <m/>
    <m/>
    <m/>
    <n v="0"/>
    <m/>
    <m/>
    <n v="0"/>
    <m/>
    <m/>
    <m/>
    <m/>
    <m/>
    <m/>
    <n v="1956600"/>
    <n v="2055200"/>
  </r>
  <r>
    <x v="12"/>
    <x v="0"/>
    <s v="Tennessee College of Applied Technology at Covington"/>
    <m/>
    <n v="219921"/>
    <x v="10"/>
    <n v="1176500"/>
    <n v="1235700"/>
    <m/>
    <m/>
    <m/>
    <m/>
    <n v="496900"/>
    <m/>
    <n v="496900"/>
    <n v="459800"/>
    <n v="0"/>
    <n v="459800"/>
    <n v="1673400"/>
    <n v="1695500"/>
    <m/>
    <m/>
    <m/>
    <m/>
    <n v="0"/>
    <m/>
    <m/>
    <n v="0"/>
    <m/>
    <m/>
    <m/>
    <m/>
    <m/>
    <m/>
    <n v="1673400"/>
    <n v="1695500"/>
  </r>
  <r>
    <x v="12"/>
    <x v="0"/>
    <s v="Tennessee College of Applied Technology at Crossville"/>
    <m/>
    <n v="221591"/>
    <x v="10"/>
    <n v="2353500"/>
    <n v="2472100"/>
    <m/>
    <m/>
    <m/>
    <m/>
    <n v="779000"/>
    <m/>
    <n v="779000"/>
    <n v="825000"/>
    <n v="0"/>
    <n v="825000"/>
    <n v="3132500"/>
    <n v="3297100"/>
    <m/>
    <m/>
    <m/>
    <m/>
    <n v="0"/>
    <m/>
    <m/>
    <n v="0"/>
    <m/>
    <m/>
    <m/>
    <m/>
    <m/>
    <m/>
    <n v="3132500"/>
    <n v="3297100"/>
  </r>
  <r>
    <x v="12"/>
    <x v="0"/>
    <s v="Tennessee College of Applied Technology at Crump"/>
    <m/>
    <n v="221430"/>
    <x v="10"/>
    <n v="1620000"/>
    <n v="1701600"/>
    <m/>
    <m/>
    <m/>
    <m/>
    <n v="671600"/>
    <m/>
    <n v="671600"/>
    <n v="745300"/>
    <n v="0"/>
    <n v="745300"/>
    <n v="2291600"/>
    <n v="2446900"/>
    <m/>
    <m/>
    <m/>
    <m/>
    <n v="0"/>
    <m/>
    <m/>
    <n v="0"/>
    <m/>
    <m/>
    <m/>
    <m/>
    <m/>
    <m/>
    <n v="2291600"/>
    <n v="2446900"/>
  </r>
  <r>
    <x v="12"/>
    <x v="0"/>
    <s v="Tennessee College of Applied Technology at Dickson"/>
    <m/>
    <n v="219994"/>
    <x v="10"/>
    <n v="2398000"/>
    <n v="2518800"/>
    <m/>
    <m/>
    <m/>
    <m/>
    <n v="1345000"/>
    <m/>
    <n v="1345000"/>
    <n v="1371500"/>
    <n v="0"/>
    <n v="1371500"/>
    <n v="3743000"/>
    <n v="3890300"/>
    <m/>
    <m/>
    <m/>
    <m/>
    <n v="0"/>
    <m/>
    <m/>
    <n v="0"/>
    <m/>
    <m/>
    <m/>
    <m/>
    <m/>
    <m/>
    <n v="3743000"/>
    <n v="3890300"/>
  </r>
  <r>
    <x v="12"/>
    <x v="0"/>
    <s v="Tennessee College of Applied Technology at Elizabethton"/>
    <m/>
    <n v="220127"/>
    <x v="10"/>
    <n v="1551400"/>
    <n v="1629500"/>
    <m/>
    <m/>
    <m/>
    <m/>
    <n v="1401350"/>
    <m/>
    <n v="1401350"/>
    <n v="1444800"/>
    <n v="0"/>
    <n v="1444800"/>
    <n v="2952750"/>
    <n v="3074300"/>
    <m/>
    <m/>
    <m/>
    <m/>
    <n v="0"/>
    <m/>
    <m/>
    <n v="0"/>
    <m/>
    <m/>
    <m/>
    <m/>
    <m/>
    <m/>
    <n v="2952750"/>
    <n v="3074300"/>
  </r>
  <r>
    <x v="12"/>
    <x v="0"/>
    <s v="Tennessee College of Applied Technology at Harriman"/>
    <m/>
    <n v="220251"/>
    <x v="10"/>
    <n v="1447900"/>
    <n v="1520900"/>
    <m/>
    <m/>
    <m/>
    <m/>
    <n v="647400"/>
    <m/>
    <n v="647400"/>
    <n v="744900"/>
    <n v="0"/>
    <n v="744900"/>
    <n v="2095300"/>
    <n v="2265800"/>
    <m/>
    <m/>
    <m/>
    <m/>
    <n v="0"/>
    <m/>
    <m/>
    <n v="0"/>
    <m/>
    <m/>
    <m/>
    <m/>
    <m/>
    <m/>
    <n v="2095300"/>
    <n v="2265800"/>
  </r>
  <r>
    <x v="12"/>
    <x v="0"/>
    <s v="Tennessee College of Applied Technology at Hartsville"/>
    <m/>
    <n v="220279"/>
    <x v="10"/>
    <n v="1151800"/>
    <n v="1209800"/>
    <m/>
    <m/>
    <m/>
    <m/>
    <n v="935700"/>
    <m/>
    <n v="935700"/>
    <n v="901200"/>
    <n v="0"/>
    <n v="901200"/>
    <n v="2087500"/>
    <n v="2111000"/>
    <m/>
    <m/>
    <m/>
    <m/>
    <n v="0"/>
    <m/>
    <m/>
    <n v="0"/>
    <m/>
    <m/>
    <m/>
    <m/>
    <m/>
    <m/>
    <n v="2087500"/>
    <n v="2111000"/>
  </r>
  <r>
    <x v="12"/>
    <x v="0"/>
    <s v="Tennessee College of Applied Technology at Hohenwald"/>
    <m/>
    <n v="220321"/>
    <x v="10"/>
    <n v="1575600"/>
    <n v="1654900"/>
    <m/>
    <m/>
    <m/>
    <m/>
    <n v="1052300"/>
    <m/>
    <n v="1052300"/>
    <n v="930700"/>
    <n v="0"/>
    <n v="930700"/>
    <n v="2627900"/>
    <n v="2585600"/>
    <m/>
    <m/>
    <m/>
    <m/>
    <n v="0"/>
    <m/>
    <m/>
    <n v="0"/>
    <m/>
    <m/>
    <m/>
    <m/>
    <m/>
    <m/>
    <n v="2627900"/>
    <n v="2585600"/>
  </r>
  <r>
    <x v="12"/>
    <x v="0"/>
    <s v="Tennessee College of Applied Technology at Jacksboro"/>
    <m/>
    <n v="220394"/>
    <x v="10"/>
    <n v="1351200"/>
    <n v="1419200"/>
    <m/>
    <m/>
    <m/>
    <m/>
    <n v="403400"/>
    <m/>
    <n v="403400"/>
    <n v="405800"/>
    <n v="0"/>
    <n v="405800"/>
    <n v="1754600"/>
    <n v="1825000"/>
    <m/>
    <m/>
    <m/>
    <m/>
    <n v="0"/>
    <m/>
    <m/>
    <n v="0"/>
    <m/>
    <m/>
    <m/>
    <m/>
    <m/>
    <m/>
    <n v="1754600"/>
    <n v="1825000"/>
  </r>
  <r>
    <x v="12"/>
    <x v="0"/>
    <s v="Tennessee College of Applied Technology at Jackson"/>
    <m/>
    <n v="221616"/>
    <x v="10"/>
    <n v="3113200"/>
    <n v="3269900"/>
    <m/>
    <m/>
    <m/>
    <m/>
    <n v="1348100"/>
    <m/>
    <n v="1348100"/>
    <n v="1339500"/>
    <n v="0"/>
    <n v="1339500"/>
    <n v="4461300"/>
    <n v="4609400"/>
    <m/>
    <m/>
    <m/>
    <m/>
    <n v="0"/>
    <m/>
    <m/>
    <n v="0"/>
    <m/>
    <m/>
    <m/>
    <m/>
    <m/>
    <m/>
    <n v="4461300"/>
    <n v="4609400"/>
  </r>
  <r>
    <x v="12"/>
    <x v="0"/>
    <s v="Tennessee College of Applied Technology at Knoxville"/>
    <m/>
    <n v="221625"/>
    <x v="10"/>
    <n v="3259800"/>
    <n v="3424000"/>
    <m/>
    <m/>
    <m/>
    <m/>
    <n v="1747500"/>
    <m/>
    <n v="1747500"/>
    <n v="1761500"/>
    <n v="0"/>
    <n v="1761500"/>
    <n v="5007300"/>
    <n v="5185500"/>
    <m/>
    <m/>
    <m/>
    <m/>
    <n v="0"/>
    <m/>
    <m/>
    <n v="0"/>
    <m/>
    <m/>
    <m/>
    <m/>
    <m/>
    <m/>
    <n v="5007300"/>
    <n v="5185500"/>
  </r>
  <r>
    <x v="12"/>
    <x v="0"/>
    <s v="Tennessee College of Applied Technology at Livingston"/>
    <m/>
    <n v="220640"/>
    <x v="10"/>
    <n v="2168800"/>
    <n v="2278100"/>
    <m/>
    <m/>
    <m/>
    <m/>
    <n v="948100"/>
    <m/>
    <n v="948100"/>
    <n v="955600"/>
    <n v="0"/>
    <n v="955600"/>
    <n v="3116900"/>
    <n v="3233700"/>
    <m/>
    <m/>
    <m/>
    <m/>
    <n v="0"/>
    <m/>
    <m/>
    <n v="0"/>
    <m/>
    <m/>
    <m/>
    <m/>
    <m/>
    <m/>
    <n v="3116900"/>
    <n v="3233700"/>
  </r>
  <r>
    <x v="12"/>
    <x v="0"/>
    <s v="Tennessee College of Applied Technology at McKenzie"/>
    <m/>
    <n v="220756"/>
    <x v="10"/>
    <n v="1299200"/>
    <n v="1364700"/>
    <m/>
    <m/>
    <m/>
    <m/>
    <n v="658000"/>
    <m/>
    <n v="658000"/>
    <n v="667800"/>
    <n v="0"/>
    <n v="667800"/>
    <n v="1957200"/>
    <n v="2032500"/>
    <m/>
    <m/>
    <m/>
    <m/>
    <n v="0"/>
    <m/>
    <m/>
    <n v="0"/>
    <m/>
    <m/>
    <m/>
    <m/>
    <m/>
    <m/>
    <n v="1957200"/>
    <n v="2032500"/>
  </r>
  <r>
    <x v="12"/>
    <x v="0"/>
    <s v="Tennessee College of Applied Technology at McMinnville"/>
    <m/>
    <n v="221607"/>
    <x v="10"/>
    <n v="1424000"/>
    <n v="1495800"/>
    <m/>
    <m/>
    <m/>
    <m/>
    <n v="612000"/>
    <m/>
    <n v="612000"/>
    <n v="638900"/>
    <n v="0"/>
    <n v="638900"/>
    <n v="2036000"/>
    <n v="2134700"/>
    <m/>
    <m/>
    <m/>
    <m/>
    <n v="0"/>
    <m/>
    <m/>
    <n v="0"/>
    <m/>
    <m/>
    <m/>
    <m/>
    <m/>
    <m/>
    <n v="2036000"/>
    <n v="2134700"/>
  </r>
  <r>
    <x v="12"/>
    <x v="0"/>
    <s v="Tennessee College of Applied Technology at Memphis"/>
    <m/>
    <n v="220853"/>
    <x v="10"/>
    <n v="4310600"/>
    <n v="4527800"/>
    <m/>
    <m/>
    <m/>
    <m/>
    <n v="2358700"/>
    <m/>
    <n v="2358700"/>
    <n v="2425050"/>
    <n v="0"/>
    <n v="2425050"/>
    <n v="6669300"/>
    <n v="6952850"/>
    <m/>
    <m/>
    <m/>
    <m/>
    <n v="0"/>
    <m/>
    <m/>
    <n v="0"/>
    <m/>
    <m/>
    <m/>
    <m/>
    <m/>
    <m/>
    <n v="6669300"/>
    <n v="6952850"/>
  </r>
  <r>
    <x v="12"/>
    <x v="0"/>
    <s v="Tennessee College of Applied Technology at Morristown"/>
    <m/>
    <n v="221050"/>
    <x v="10"/>
    <n v="3980900"/>
    <n v="4181400"/>
    <m/>
    <m/>
    <m/>
    <m/>
    <n v="1554000"/>
    <m/>
    <n v="1554000"/>
    <n v="1561000"/>
    <n v="0"/>
    <n v="1561000"/>
    <n v="5534900"/>
    <n v="5742400"/>
    <m/>
    <m/>
    <m/>
    <m/>
    <n v="0"/>
    <m/>
    <m/>
    <n v="0"/>
    <m/>
    <m/>
    <m/>
    <m/>
    <m/>
    <m/>
    <n v="5534900"/>
    <n v="5742400"/>
  </r>
  <r>
    <x v="12"/>
    <x v="0"/>
    <s v="Tennessee College of Applied Technology at Murfreesboro"/>
    <m/>
    <n v="221102"/>
    <x v="10"/>
    <n v="1763100"/>
    <n v="1851800"/>
    <m/>
    <m/>
    <m/>
    <m/>
    <n v="1107900"/>
    <m/>
    <n v="1107900"/>
    <n v="1136600"/>
    <n v="0"/>
    <n v="1136600"/>
    <n v="2871000"/>
    <n v="2988400"/>
    <m/>
    <m/>
    <m/>
    <m/>
    <n v="0"/>
    <m/>
    <m/>
    <n v="0"/>
    <m/>
    <m/>
    <m/>
    <m/>
    <m/>
    <m/>
    <n v="2871000"/>
    <n v="2988400"/>
  </r>
  <r>
    <x v="12"/>
    <x v="0"/>
    <s v="Tennessee College of Applied Technology at Nashville"/>
    <m/>
    <n v="248925"/>
    <x v="10"/>
    <n v="3732000"/>
    <n v="3920000"/>
    <m/>
    <m/>
    <m/>
    <m/>
    <n v="2323800"/>
    <m/>
    <n v="2323800"/>
    <n v="2166300"/>
    <n v="0"/>
    <n v="2166300"/>
    <n v="6055800"/>
    <n v="6086300"/>
    <m/>
    <m/>
    <m/>
    <m/>
    <n v="0"/>
    <m/>
    <m/>
    <n v="0"/>
    <m/>
    <m/>
    <m/>
    <m/>
    <m/>
    <m/>
    <n v="6055800"/>
    <n v="6086300"/>
  </r>
  <r>
    <x v="12"/>
    <x v="0"/>
    <s v="Tennessee College of Applied Technology at Newbern"/>
    <m/>
    <n v="221236"/>
    <x v="10"/>
    <n v="1413700"/>
    <n v="1484900"/>
    <m/>
    <m/>
    <m/>
    <m/>
    <n v="722000"/>
    <m/>
    <n v="722000"/>
    <n v="725600"/>
    <n v="0"/>
    <n v="725600"/>
    <n v="2135700"/>
    <n v="2210500"/>
    <m/>
    <m/>
    <m/>
    <m/>
    <n v="0"/>
    <m/>
    <m/>
    <n v="0"/>
    <m/>
    <m/>
    <m/>
    <m/>
    <m/>
    <m/>
    <n v="2135700"/>
    <n v="2210500"/>
  </r>
  <r>
    <x v="12"/>
    <x v="0"/>
    <s v="Tennessee College of Applied Technology at Oneida"/>
    <m/>
    <n v="221582"/>
    <x v="10"/>
    <n v="1351300"/>
    <n v="1419300"/>
    <m/>
    <m/>
    <m/>
    <m/>
    <n v="649000"/>
    <m/>
    <n v="649000"/>
    <n v="605000"/>
    <n v="0"/>
    <n v="605000"/>
    <n v="2000300"/>
    <n v="2024300"/>
    <m/>
    <m/>
    <m/>
    <m/>
    <n v="0"/>
    <m/>
    <m/>
    <n v="0"/>
    <m/>
    <m/>
    <m/>
    <m/>
    <m/>
    <m/>
    <n v="2000300"/>
    <n v="2024300"/>
  </r>
  <r>
    <x v="12"/>
    <x v="0"/>
    <s v="Tennessee College of Applied Technology at Paris"/>
    <m/>
    <n v="221281"/>
    <x v="10"/>
    <n v="1808900"/>
    <n v="1900100"/>
    <m/>
    <m/>
    <m/>
    <m/>
    <n v="1008900"/>
    <m/>
    <n v="1008900"/>
    <n v="907500"/>
    <n v="0"/>
    <n v="907500"/>
    <n v="2817800"/>
    <n v="2807600"/>
    <m/>
    <m/>
    <m/>
    <m/>
    <n v="0"/>
    <m/>
    <m/>
    <n v="0"/>
    <m/>
    <m/>
    <m/>
    <m/>
    <m/>
    <m/>
    <n v="2817800"/>
    <n v="2807600"/>
  </r>
  <r>
    <x v="12"/>
    <x v="0"/>
    <s v="Tennessee College of Applied Technology at Pulaski"/>
    <m/>
    <n v="221333"/>
    <x v="10"/>
    <n v="1435100"/>
    <n v="1507400"/>
    <m/>
    <m/>
    <m/>
    <m/>
    <n v="695700"/>
    <m/>
    <n v="695700"/>
    <n v="688800"/>
    <n v="0"/>
    <n v="688800"/>
    <n v="2130800"/>
    <n v="2196200"/>
    <m/>
    <m/>
    <m/>
    <m/>
    <n v="0"/>
    <m/>
    <m/>
    <n v="0"/>
    <m/>
    <m/>
    <m/>
    <m/>
    <m/>
    <m/>
    <n v="2130800"/>
    <n v="2196200"/>
  </r>
  <r>
    <x v="12"/>
    <x v="0"/>
    <s v="Tennessee College of Applied Technology at Ripley"/>
    <m/>
    <n v="221388"/>
    <x v="10"/>
    <n v="1151000"/>
    <n v="1209100"/>
    <m/>
    <m/>
    <m/>
    <m/>
    <n v="399700"/>
    <m/>
    <n v="399700"/>
    <n v="355400"/>
    <n v="0"/>
    <n v="355400"/>
    <n v="1550700"/>
    <n v="1564500"/>
    <m/>
    <m/>
    <m/>
    <m/>
    <n v="0"/>
    <m/>
    <m/>
    <n v="0"/>
    <m/>
    <m/>
    <m/>
    <m/>
    <m/>
    <m/>
    <n v="1550700"/>
    <n v="1564500"/>
  </r>
  <r>
    <x v="12"/>
    <x v="0"/>
    <s v="Tennessee College of Applied Technology at Shelbyville"/>
    <m/>
    <n v="221494"/>
    <x v="10"/>
    <n v="2026200"/>
    <n v="2128200"/>
    <m/>
    <m/>
    <m/>
    <m/>
    <n v="1303600"/>
    <m/>
    <n v="1303600"/>
    <n v="1272500"/>
    <n v="0"/>
    <n v="1272500"/>
    <n v="3329800"/>
    <n v="3400700"/>
    <m/>
    <m/>
    <m/>
    <m/>
    <n v="0"/>
    <m/>
    <m/>
    <n v="0"/>
    <m/>
    <m/>
    <m/>
    <m/>
    <m/>
    <m/>
    <n v="3329800"/>
    <n v="3400700"/>
  </r>
  <r>
    <x v="12"/>
    <x v="0"/>
    <s v="Tennessee College of Applied Technology at Whiteville"/>
    <m/>
    <n v="221634"/>
    <x v="10"/>
    <n v="1323000"/>
    <n v="1389700"/>
    <m/>
    <m/>
    <m/>
    <m/>
    <n v="443000"/>
    <m/>
    <n v="443000"/>
    <n v="497200"/>
    <n v="0"/>
    <n v="497200"/>
    <n v="1766000"/>
    <n v="1886900"/>
    <m/>
    <m/>
    <m/>
    <m/>
    <n v="0"/>
    <m/>
    <m/>
    <n v="0"/>
    <m/>
    <m/>
    <m/>
    <m/>
    <m/>
    <m/>
    <n v="1766000"/>
    <n v="1886900"/>
  </r>
  <r>
    <x v="12"/>
    <x v="41"/>
    <s v="University of Tennessee Health Science Center"/>
    <m/>
    <n v="221704"/>
    <x v="11"/>
    <m/>
    <m/>
    <m/>
    <m/>
    <m/>
    <m/>
    <m/>
    <m/>
    <n v="0"/>
    <m/>
    <m/>
    <n v="0"/>
    <n v="0"/>
    <n v="0"/>
    <m/>
    <m/>
    <m/>
    <m/>
    <n v="0"/>
    <m/>
    <m/>
    <n v="0"/>
    <m/>
    <m/>
    <m/>
    <m/>
    <m/>
    <m/>
    <n v="0"/>
    <n v="0"/>
  </r>
  <r>
    <x v="12"/>
    <x v="41"/>
    <s v="Health professions education"/>
    <m/>
    <n v="221704"/>
    <x v="11"/>
    <m/>
    <m/>
    <m/>
    <m/>
    <m/>
    <m/>
    <m/>
    <m/>
    <n v="0"/>
    <m/>
    <m/>
    <n v="0"/>
    <n v="0"/>
    <n v="0"/>
    <m/>
    <m/>
    <m/>
    <m/>
    <n v="0"/>
    <m/>
    <m/>
    <n v="0"/>
    <n v="70689554.913460776"/>
    <n v="78284887.135669321"/>
    <n v="42921860"/>
    <n v="157779"/>
    <n v="45327760"/>
    <n v="157975"/>
    <n v="113611414.91346078"/>
    <n v="123612647.13566932"/>
  </r>
  <r>
    <x v="12"/>
    <x v="41"/>
    <s v="Medical School"/>
    <m/>
    <n v="221704"/>
    <x v="11"/>
    <m/>
    <m/>
    <m/>
    <m/>
    <m/>
    <m/>
    <m/>
    <m/>
    <n v="0"/>
    <m/>
    <m/>
    <n v="0"/>
    <n v="0"/>
    <n v="0"/>
    <m/>
    <m/>
    <m/>
    <m/>
    <n v="0"/>
    <m/>
    <m/>
    <n v="0"/>
    <n v="54816500"/>
    <n v="57587300"/>
    <n v="23242700"/>
    <m/>
    <n v="25243300"/>
    <n v="0"/>
    <n v="78059200"/>
    <n v="82830600"/>
  </r>
  <r>
    <x v="12"/>
    <x v="41"/>
    <s v="Veterinary School"/>
    <m/>
    <n v="221704"/>
    <x v="11"/>
    <m/>
    <m/>
    <m/>
    <m/>
    <m/>
    <m/>
    <m/>
    <m/>
    <n v="0"/>
    <m/>
    <m/>
    <n v="0"/>
    <n v="0"/>
    <n v="0"/>
    <m/>
    <m/>
    <m/>
    <m/>
    <n v="0"/>
    <m/>
    <m/>
    <n v="0"/>
    <n v="16225882.273752548"/>
    <n v="17319675.246857088"/>
    <n v="10624133"/>
    <m/>
    <n v="11260659"/>
    <n v="0"/>
    <n v="26850015.273752548"/>
    <n v="28580334.246857088"/>
  </r>
  <r>
    <x v="12"/>
    <x v="9"/>
    <s v="University of Tennessee Space Institute"/>
    <m/>
    <n v="221704"/>
    <x v="11"/>
    <m/>
    <m/>
    <m/>
    <m/>
    <m/>
    <m/>
    <m/>
    <m/>
    <n v="0"/>
    <m/>
    <m/>
    <n v="0"/>
    <n v="0"/>
    <n v="0"/>
    <n v="8589981.1774581838"/>
    <n v="8923113.9352994487"/>
    <n v="1766048"/>
    <m/>
    <n v="1766048"/>
    <n v="1450000"/>
    <n v="0"/>
    <n v="1450000"/>
    <m/>
    <m/>
    <m/>
    <m/>
    <m/>
    <m/>
    <n v="10356029.177458184"/>
    <n v="10373113.935299449"/>
  </r>
  <r>
    <x v="12"/>
    <x v="13"/>
    <s v="Educational special purpose funds — all other"/>
    <m/>
    <m/>
    <x v="12"/>
    <m/>
    <m/>
    <m/>
    <m/>
    <m/>
    <m/>
    <m/>
    <m/>
    <n v="0"/>
    <m/>
    <m/>
    <n v="0"/>
    <n v="0"/>
    <n v="0"/>
    <m/>
    <m/>
    <m/>
    <m/>
    <n v="0"/>
    <m/>
    <m/>
    <n v="0"/>
    <m/>
    <m/>
    <m/>
    <m/>
    <m/>
    <m/>
    <n v="0"/>
    <n v="0"/>
  </r>
  <r>
    <x v="12"/>
    <x v="13"/>
    <s v="Foreign Language Institute"/>
    <m/>
    <m/>
    <x v="12"/>
    <m/>
    <m/>
    <n v="394700"/>
    <n v="422000"/>
    <m/>
    <m/>
    <m/>
    <m/>
    <n v="0"/>
    <n v="0"/>
    <n v="0"/>
    <n v="0"/>
    <n v="394700"/>
    <n v="422000"/>
    <m/>
    <m/>
    <m/>
    <m/>
    <n v="0"/>
    <m/>
    <m/>
    <n v="0"/>
    <m/>
    <m/>
    <m/>
    <m/>
    <m/>
    <m/>
    <n v="394700"/>
    <n v="422000"/>
  </r>
  <r>
    <x v="12"/>
    <x v="14"/>
    <s v="Statewide System Operations"/>
    <m/>
    <m/>
    <x v="12"/>
    <m/>
    <m/>
    <m/>
    <m/>
    <m/>
    <m/>
    <m/>
    <m/>
    <n v="0"/>
    <m/>
    <m/>
    <n v="0"/>
    <n v="0"/>
    <n v="0"/>
    <m/>
    <m/>
    <m/>
    <m/>
    <n v="0"/>
    <m/>
    <m/>
    <n v="0"/>
    <m/>
    <m/>
    <m/>
    <m/>
    <m/>
    <m/>
    <n v="0"/>
    <n v="0"/>
  </r>
  <r>
    <x v="12"/>
    <x v="15"/>
    <s v="Colleges and universities"/>
    <m/>
    <m/>
    <x v="12"/>
    <m/>
    <m/>
    <m/>
    <m/>
    <m/>
    <m/>
    <m/>
    <m/>
    <n v="0"/>
    <m/>
    <m/>
    <n v="0"/>
    <n v="0"/>
    <n v="0"/>
    <m/>
    <m/>
    <m/>
    <m/>
    <n v="0"/>
    <m/>
    <m/>
    <n v="0"/>
    <m/>
    <m/>
    <m/>
    <m/>
    <m/>
    <m/>
    <n v="0"/>
    <n v="0"/>
  </r>
  <r>
    <x v="12"/>
    <x v="15"/>
    <s v="TN H.Ed. Commission"/>
    <m/>
    <m/>
    <x v="12"/>
    <m/>
    <m/>
    <m/>
    <m/>
    <m/>
    <m/>
    <m/>
    <m/>
    <n v="0"/>
    <m/>
    <m/>
    <n v="0"/>
    <n v="0"/>
    <n v="0"/>
    <n v="2292100"/>
    <n v="6229200"/>
    <m/>
    <m/>
    <n v="0"/>
    <n v="0"/>
    <n v="0"/>
    <n v="0"/>
    <m/>
    <m/>
    <m/>
    <m/>
    <m/>
    <m/>
    <n v="2292100"/>
    <n v="6229200"/>
  </r>
  <r>
    <x v="12"/>
    <x v="15"/>
    <s v="Univ TN System Adm &amp; TN Board of Regents"/>
    <m/>
    <m/>
    <x v="12"/>
    <m/>
    <m/>
    <m/>
    <m/>
    <m/>
    <m/>
    <m/>
    <m/>
    <n v="0"/>
    <m/>
    <m/>
    <n v="0"/>
    <n v="0"/>
    <n v="0"/>
    <n v="9922878"/>
    <n v="12444460"/>
    <m/>
    <m/>
    <n v="0"/>
    <n v="0"/>
    <n v="0"/>
    <n v="0"/>
    <m/>
    <m/>
    <m/>
    <m/>
    <m/>
    <m/>
    <n v="9922878"/>
    <n v="12444460"/>
  </r>
  <r>
    <x v="12"/>
    <x v="17"/>
    <s v="National or regional associations, compacts or consortia"/>
    <m/>
    <m/>
    <x v="12"/>
    <m/>
    <m/>
    <m/>
    <m/>
    <m/>
    <m/>
    <m/>
    <m/>
    <n v="0"/>
    <m/>
    <m/>
    <n v="0"/>
    <n v="0"/>
    <n v="0"/>
    <m/>
    <m/>
    <m/>
    <m/>
    <n v="0"/>
    <m/>
    <m/>
    <n v="0"/>
    <m/>
    <m/>
    <m/>
    <m/>
    <m/>
    <m/>
    <n v="0"/>
    <n v="0"/>
  </r>
  <r>
    <x v="12"/>
    <x v="17"/>
    <s v="SREB"/>
    <m/>
    <m/>
    <x v="12"/>
    <m/>
    <m/>
    <m/>
    <m/>
    <m/>
    <m/>
    <m/>
    <m/>
    <n v="0"/>
    <m/>
    <m/>
    <n v="0"/>
    <n v="0"/>
    <n v="0"/>
    <m/>
    <m/>
    <m/>
    <m/>
    <n v="0"/>
    <m/>
    <m/>
    <n v="0"/>
    <m/>
    <m/>
    <m/>
    <m/>
    <m/>
    <m/>
    <n v="0"/>
    <n v="0"/>
  </r>
  <r>
    <x v="12"/>
    <x v="18"/>
    <s v="Adm. of Statewide Student Aid Progs. (incldng centralized guaranteed student loans)"/>
    <m/>
    <m/>
    <x v="12"/>
    <m/>
    <m/>
    <m/>
    <m/>
    <m/>
    <m/>
    <m/>
    <m/>
    <n v="0"/>
    <m/>
    <m/>
    <n v="0"/>
    <n v="0"/>
    <n v="0"/>
    <n v="1251900"/>
    <n v="1353500"/>
    <m/>
    <m/>
    <n v="0"/>
    <n v="0"/>
    <n v="0"/>
    <n v="0"/>
    <m/>
    <m/>
    <m/>
    <m/>
    <m/>
    <m/>
    <n v="1251900"/>
    <n v="1353500"/>
  </r>
  <r>
    <x v="12"/>
    <x v="19"/>
    <s v="State Support to Private Colleges Other Than Student Aid"/>
    <m/>
    <m/>
    <x v="12"/>
    <m/>
    <m/>
    <m/>
    <m/>
    <m/>
    <m/>
    <m/>
    <m/>
    <n v="0"/>
    <m/>
    <m/>
    <n v="0"/>
    <n v="0"/>
    <n v="0"/>
    <m/>
    <m/>
    <m/>
    <m/>
    <n v="0"/>
    <m/>
    <m/>
    <n v="0"/>
    <m/>
    <m/>
    <m/>
    <m/>
    <m/>
    <m/>
    <n v="0"/>
    <n v="0"/>
  </r>
  <r>
    <x v="12"/>
    <x v="20"/>
    <s v="Contract Education Programs"/>
    <m/>
    <m/>
    <x v="12"/>
    <m/>
    <m/>
    <m/>
    <m/>
    <m/>
    <m/>
    <m/>
    <m/>
    <n v="0"/>
    <m/>
    <m/>
    <n v="0"/>
    <n v="0"/>
    <n v="0"/>
    <m/>
    <m/>
    <m/>
    <m/>
    <n v="0"/>
    <m/>
    <m/>
    <n v="0"/>
    <m/>
    <m/>
    <m/>
    <m/>
    <m/>
    <m/>
    <n v="0"/>
    <n v="0"/>
  </r>
  <r>
    <x v="12"/>
    <x v="21"/>
    <s v="SREB contract program with private colleges"/>
    <m/>
    <m/>
    <x v="12"/>
    <m/>
    <m/>
    <m/>
    <m/>
    <m/>
    <m/>
    <m/>
    <m/>
    <n v="0"/>
    <m/>
    <m/>
    <n v="0"/>
    <n v="0"/>
    <n v="0"/>
    <n v="1966400"/>
    <n v="2020900"/>
    <m/>
    <m/>
    <n v="0"/>
    <n v="0"/>
    <n v="0"/>
    <n v="0"/>
    <m/>
    <m/>
    <m/>
    <m/>
    <m/>
    <m/>
    <n v="1966400"/>
    <n v="2020900"/>
  </r>
  <r>
    <x v="12"/>
    <x v="21"/>
    <s v="Meharry Medical College (Dentistry, Medicine, Special Aid)"/>
    <m/>
    <m/>
    <x v="12"/>
    <m/>
    <m/>
    <m/>
    <m/>
    <m/>
    <m/>
    <m/>
    <m/>
    <n v="0"/>
    <m/>
    <m/>
    <n v="0"/>
    <n v="0"/>
    <n v="0"/>
    <m/>
    <m/>
    <m/>
    <m/>
    <n v="0"/>
    <m/>
    <m/>
    <n v="0"/>
    <m/>
    <m/>
    <m/>
    <m/>
    <m/>
    <m/>
    <n v="0"/>
    <n v="0"/>
  </r>
  <r>
    <x v="12"/>
    <x v="21"/>
    <s v="Southern College of Optometry"/>
    <m/>
    <m/>
    <x v="12"/>
    <m/>
    <m/>
    <m/>
    <m/>
    <m/>
    <m/>
    <m/>
    <m/>
    <n v="0"/>
    <m/>
    <m/>
    <n v="0"/>
    <n v="0"/>
    <n v="0"/>
    <m/>
    <m/>
    <m/>
    <m/>
    <n v="0"/>
    <m/>
    <m/>
    <n v="0"/>
    <m/>
    <m/>
    <m/>
    <m/>
    <m/>
    <m/>
    <n v="0"/>
    <n v="0"/>
  </r>
  <r>
    <x v="12"/>
    <x v="22"/>
    <s v="SREB contract program with public colleges"/>
    <m/>
    <m/>
    <x v="12"/>
    <m/>
    <m/>
    <m/>
    <m/>
    <m/>
    <m/>
    <m/>
    <m/>
    <n v="0"/>
    <m/>
    <m/>
    <n v="0"/>
    <n v="0"/>
    <n v="0"/>
    <m/>
    <m/>
    <m/>
    <m/>
    <n v="0"/>
    <m/>
    <m/>
    <n v="0"/>
    <m/>
    <m/>
    <m/>
    <m/>
    <m/>
    <m/>
    <n v="0"/>
    <n v="0"/>
  </r>
  <r>
    <x v="12"/>
    <x v="23"/>
    <s v="Other contract education programs"/>
    <m/>
    <m/>
    <x v="12"/>
    <m/>
    <m/>
    <m/>
    <m/>
    <m/>
    <m/>
    <m/>
    <m/>
    <n v="0"/>
    <m/>
    <m/>
    <n v="0"/>
    <n v="0"/>
    <n v="0"/>
    <m/>
    <m/>
    <m/>
    <m/>
    <n v="0"/>
    <m/>
    <m/>
    <n v="0"/>
    <m/>
    <m/>
    <m/>
    <m/>
    <m/>
    <m/>
    <n v="0"/>
    <n v="0"/>
  </r>
  <r>
    <x v="12"/>
    <x v="24"/>
    <s v="Statewide Student Financial Aid Programs Administered Off Campus"/>
    <m/>
    <m/>
    <x v="12"/>
    <m/>
    <m/>
    <m/>
    <m/>
    <m/>
    <m/>
    <m/>
    <m/>
    <n v="0"/>
    <m/>
    <m/>
    <n v="0"/>
    <n v="0"/>
    <n v="0"/>
    <m/>
    <m/>
    <m/>
    <m/>
    <n v="0"/>
    <m/>
    <m/>
    <n v="0"/>
    <m/>
    <m/>
    <m/>
    <m/>
    <m/>
    <m/>
    <n v="0"/>
    <n v="0"/>
  </r>
  <r>
    <x v="12"/>
    <x v="25"/>
    <s v="Available to public &amp; private sector students"/>
    <m/>
    <m/>
    <x v="12"/>
    <m/>
    <m/>
    <m/>
    <m/>
    <m/>
    <m/>
    <m/>
    <m/>
    <n v="0"/>
    <m/>
    <m/>
    <n v="0"/>
    <n v="0"/>
    <n v="0"/>
    <m/>
    <m/>
    <m/>
    <m/>
    <n v="0"/>
    <m/>
    <m/>
    <n v="0"/>
    <m/>
    <m/>
    <m/>
    <m/>
    <m/>
    <m/>
    <n v="0"/>
    <n v="0"/>
  </r>
  <r>
    <x v="12"/>
    <x v="25"/>
    <s v="Academic Scholarships"/>
    <m/>
    <m/>
    <x v="12"/>
    <m/>
    <m/>
    <m/>
    <m/>
    <m/>
    <m/>
    <m/>
    <m/>
    <n v="0"/>
    <m/>
    <m/>
    <n v="0"/>
    <n v="0"/>
    <n v="0"/>
    <m/>
    <m/>
    <m/>
    <m/>
    <n v="0"/>
    <m/>
    <m/>
    <n v="0"/>
    <m/>
    <m/>
    <m/>
    <m/>
    <m/>
    <m/>
    <n v="0"/>
    <n v="0"/>
  </r>
  <r>
    <x v="12"/>
    <x v="28"/>
    <s v="Amount to public sector students"/>
    <m/>
    <m/>
    <x v="12"/>
    <m/>
    <m/>
    <m/>
    <m/>
    <m/>
    <m/>
    <m/>
    <m/>
    <n v="0"/>
    <m/>
    <m/>
    <n v="0"/>
    <n v="0"/>
    <n v="0"/>
    <m/>
    <m/>
    <m/>
    <m/>
    <n v="0"/>
    <m/>
    <m/>
    <n v="0"/>
    <m/>
    <m/>
    <m/>
    <m/>
    <m/>
    <m/>
    <n v="0"/>
    <n v="0"/>
  </r>
  <r>
    <x v="12"/>
    <x v="29"/>
    <s v="Need-based"/>
    <m/>
    <m/>
    <x v="12"/>
    <m/>
    <m/>
    <m/>
    <m/>
    <m/>
    <m/>
    <m/>
    <m/>
    <n v="0"/>
    <m/>
    <m/>
    <n v="0"/>
    <n v="0"/>
    <n v="0"/>
    <n v="120677649"/>
    <n v="113858091.14"/>
    <m/>
    <m/>
    <n v="0"/>
    <n v="0"/>
    <n v="0"/>
    <n v="0"/>
    <m/>
    <m/>
    <m/>
    <m/>
    <m/>
    <m/>
    <n v="120677649"/>
    <n v="113858091.14"/>
  </r>
  <r>
    <x v="12"/>
    <x v="30"/>
    <s v="Non need-based"/>
    <m/>
    <m/>
    <x v="12"/>
    <m/>
    <m/>
    <m/>
    <m/>
    <m/>
    <m/>
    <m/>
    <m/>
    <n v="0"/>
    <m/>
    <m/>
    <n v="0"/>
    <n v="0"/>
    <n v="0"/>
    <n v="167356454"/>
    <n v="165956549"/>
    <m/>
    <m/>
    <n v="0"/>
    <n v="0"/>
    <n v="0"/>
    <n v="0"/>
    <m/>
    <m/>
    <m/>
    <m/>
    <m/>
    <m/>
    <n v="167356454"/>
    <n v="165956549"/>
  </r>
  <r>
    <x v="12"/>
    <x v="31"/>
    <s v="Amount to private sector students"/>
    <m/>
    <m/>
    <x v="12"/>
    <m/>
    <m/>
    <m/>
    <m/>
    <m/>
    <m/>
    <m/>
    <m/>
    <n v="0"/>
    <m/>
    <m/>
    <n v="0"/>
    <n v="0"/>
    <n v="0"/>
    <m/>
    <m/>
    <m/>
    <m/>
    <n v="0"/>
    <m/>
    <m/>
    <n v="0"/>
    <m/>
    <m/>
    <m/>
    <m/>
    <m/>
    <m/>
    <n v="0"/>
    <n v="0"/>
  </r>
  <r>
    <x v="12"/>
    <x v="32"/>
    <s v="Need-based"/>
    <m/>
    <m/>
    <x v="12"/>
    <m/>
    <m/>
    <m/>
    <m/>
    <m/>
    <m/>
    <m/>
    <m/>
    <n v="0"/>
    <m/>
    <m/>
    <n v="0"/>
    <n v="0"/>
    <n v="0"/>
    <n v="47269831"/>
    <n v="46943432.5"/>
    <m/>
    <m/>
    <n v="0"/>
    <n v="0"/>
    <n v="0"/>
    <n v="0"/>
    <m/>
    <m/>
    <m/>
    <m/>
    <m/>
    <m/>
    <n v="47269831"/>
    <n v="46943432.5"/>
  </r>
  <r>
    <x v="12"/>
    <x v="33"/>
    <s v="Non need-based"/>
    <m/>
    <m/>
    <x v="12"/>
    <m/>
    <m/>
    <m/>
    <m/>
    <m/>
    <m/>
    <m/>
    <m/>
    <n v="0"/>
    <m/>
    <m/>
    <n v="0"/>
    <n v="0"/>
    <n v="0"/>
    <n v="40256143"/>
    <n v="40567472.32"/>
    <m/>
    <m/>
    <n v="0"/>
    <n v="0"/>
    <n v="0"/>
    <n v="0"/>
    <m/>
    <m/>
    <m/>
    <m/>
    <m/>
    <m/>
    <n v="40256143"/>
    <n v="40567472.32"/>
  </r>
  <r>
    <x v="12"/>
    <x v="34"/>
    <s v="Limited to public college students only"/>
    <m/>
    <m/>
    <x v="12"/>
    <m/>
    <m/>
    <m/>
    <m/>
    <m/>
    <m/>
    <m/>
    <m/>
    <n v="0"/>
    <m/>
    <m/>
    <n v="0"/>
    <n v="0"/>
    <n v="0"/>
    <m/>
    <m/>
    <m/>
    <m/>
    <n v="0"/>
    <m/>
    <m/>
    <n v="0"/>
    <m/>
    <m/>
    <m/>
    <m/>
    <m/>
    <m/>
    <n v="0"/>
    <n v="0"/>
  </r>
  <r>
    <x v="12"/>
    <x v="35"/>
    <s v="Need-based"/>
    <m/>
    <m/>
    <x v="12"/>
    <m/>
    <m/>
    <m/>
    <m/>
    <m/>
    <m/>
    <m/>
    <m/>
    <n v="0"/>
    <m/>
    <m/>
    <n v="0"/>
    <n v="0"/>
    <n v="0"/>
    <m/>
    <m/>
    <m/>
    <m/>
    <n v="0"/>
    <m/>
    <m/>
    <n v="0"/>
    <m/>
    <m/>
    <m/>
    <m/>
    <m/>
    <m/>
    <n v="0"/>
    <n v="0"/>
  </r>
  <r>
    <x v="12"/>
    <x v="36"/>
    <s v="Non need-based"/>
    <m/>
    <m/>
    <x v="12"/>
    <m/>
    <m/>
    <m/>
    <m/>
    <m/>
    <m/>
    <m/>
    <m/>
    <n v="0"/>
    <m/>
    <m/>
    <n v="0"/>
    <n v="0"/>
    <n v="0"/>
    <m/>
    <m/>
    <m/>
    <m/>
    <n v="0"/>
    <m/>
    <m/>
    <n v="0"/>
    <m/>
    <m/>
    <m/>
    <m/>
    <m/>
    <m/>
    <n v="0"/>
    <n v="0"/>
  </r>
  <r>
    <x v="12"/>
    <x v="37"/>
    <s v="Limited to private college students"/>
    <m/>
    <m/>
    <x v="12"/>
    <m/>
    <m/>
    <m/>
    <m/>
    <m/>
    <m/>
    <m/>
    <m/>
    <n v="0"/>
    <m/>
    <m/>
    <n v="0"/>
    <n v="0"/>
    <n v="0"/>
    <m/>
    <m/>
    <m/>
    <m/>
    <n v="0"/>
    <m/>
    <m/>
    <n v="0"/>
    <m/>
    <m/>
    <m/>
    <m/>
    <m/>
    <m/>
    <n v="0"/>
    <n v="0"/>
  </r>
  <r>
    <x v="12"/>
    <x v="38"/>
    <s v="Need-based"/>
    <m/>
    <m/>
    <x v="12"/>
    <m/>
    <m/>
    <m/>
    <m/>
    <m/>
    <m/>
    <m/>
    <m/>
    <n v="0"/>
    <m/>
    <m/>
    <n v="0"/>
    <n v="0"/>
    <n v="0"/>
    <m/>
    <m/>
    <m/>
    <m/>
    <n v="0"/>
    <m/>
    <m/>
    <n v="0"/>
    <m/>
    <m/>
    <m/>
    <m/>
    <m/>
    <m/>
    <n v="0"/>
    <n v="0"/>
  </r>
  <r>
    <x v="12"/>
    <x v="39"/>
    <s v="Non need-based"/>
    <m/>
    <m/>
    <x v="12"/>
    <m/>
    <m/>
    <m/>
    <m/>
    <m/>
    <m/>
    <m/>
    <m/>
    <n v="0"/>
    <m/>
    <m/>
    <n v="0"/>
    <n v="0"/>
    <n v="0"/>
    <m/>
    <m/>
    <m/>
    <m/>
    <n v="0"/>
    <m/>
    <m/>
    <n v="0"/>
    <m/>
    <m/>
    <m/>
    <m/>
    <m/>
    <m/>
    <n v="0"/>
    <n v="0"/>
  </r>
  <r>
    <x v="13"/>
    <x v="0"/>
    <s v="Texas A&amp;M University "/>
    <m/>
    <n v="228723"/>
    <x v="0"/>
    <n v="361297232"/>
    <n v="382370491"/>
    <m/>
    <m/>
    <m/>
    <m/>
    <n v="335099053"/>
    <m/>
    <n v="335099053"/>
    <n v="337842499"/>
    <m/>
    <n v="337842499"/>
    <n v="696396285"/>
    <n v="720212990"/>
    <m/>
    <m/>
    <m/>
    <m/>
    <n v="0"/>
    <m/>
    <m/>
    <n v="0"/>
    <n v="22458841"/>
    <n v="24484103"/>
    <n v="12707884"/>
    <m/>
    <n v="13749215"/>
    <m/>
    <n v="731563010"/>
    <n v="758446308"/>
  </r>
  <r>
    <x v="13"/>
    <x v="1"/>
    <s v="Health professions education"/>
    <m/>
    <n v="228723"/>
    <x v="0"/>
    <m/>
    <m/>
    <m/>
    <m/>
    <m/>
    <m/>
    <m/>
    <m/>
    <n v="0"/>
    <m/>
    <m/>
    <n v="0"/>
    <n v="0"/>
    <n v="0"/>
    <m/>
    <m/>
    <m/>
    <m/>
    <n v="0"/>
    <m/>
    <m/>
    <n v="0"/>
    <m/>
    <m/>
    <m/>
    <m/>
    <m/>
    <m/>
    <n v="0"/>
    <n v="0"/>
  </r>
  <r>
    <x v="13"/>
    <x v="1"/>
    <s v="Veterinary Medicine School"/>
    <m/>
    <n v="228723"/>
    <x v="0"/>
    <m/>
    <m/>
    <m/>
    <m/>
    <m/>
    <m/>
    <m/>
    <m/>
    <n v="0"/>
    <m/>
    <m/>
    <n v="0"/>
    <n v="0"/>
    <n v="0"/>
    <m/>
    <m/>
    <m/>
    <m/>
    <n v="0"/>
    <m/>
    <m/>
    <n v="0"/>
    <m/>
    <m/>
    <m/>
    <m/>
    <m/>
    <m/>
    <n v="0"/>
    <n v="0"/>
  </r>
  <r>
    <x v="13"/>
    <x v="6"/>
    <s v="Texas AgriLife Research"/>
    <m/>
    <n v="228723"/>
    <x v="0"/>
    <m/>
    <m/>
    <n v="64822451"/>
    <n v="67164344"/>
    <m/>
    <m/>
    <m/>
    <m/>
    <n v="0"/>
    <m/>
    <m/>
    <n v="0"/>
    <n v="64822451"/>
    <n v="67164344"/>
    <m/>
    <m/>
    <m/>
    <m/>
    <n v="0"/>
    <m/>
    <m/>
    <n v="0"/>
    <m/>
    <m/>
    <m/>
    <m/>
    <m/>
    <m/>
    <n v="64822451"/>
    <n v="67164344"/>
  </r>
  <r>
    <x v="13"/>
    <x v="5"/>
    <s v="Texas AgriLife Extension Service"/>
    <m/>
    <n v="228723"/>
    <x v="0"/>
    <m/>
    <m/>
    <n v="59332900"/>
    <n v="60447709"/>
    <m/>
    <m/>
    <m/>
    <m/>
    <n v="0"/>
    <m/>
    <m/>
    <n v="0"/>
    <n v="59332900"/>
    <n v="60447709"/>
    <m/>
    <m/>
    <m/>
    <m/>
    <n v="0"/>
    <m/>
    <m/>
    <n v="0"/>
    <m/>
    <m/>
    <m/>
    <m/>
    <m/>
    <m/>
    <n v="59332900"/>
    <n v="60447709"/>
  </r>
  <r>
    <x v="13"/>
    <x v="43"/>
    <s v="Texas Engineering Experiment Station"/>
    <m/>
    <n v="228723"/>
    <x v="0"/>
    <m/>
    <m/>
    <n v="17084455"/>
    <n v="21165810"/>
    <m/>
    <m/>
    <m/>
    <m/>
    <n v="0"/>
    <m/>
    <m/>
    <n v="0"/>
    <n v="17084455"/>
    <n v="21165810"/>
    <m/>
    <m/>
    <m/>
    <m/>
    <n v="0"/>
    <m/>
    <m/>
    <n v="0"/>
    <m/>
    <m/>
    <m/>
    <m/>
    <m/>
    <m/>
    <n v="17084455"/>
    <n v="21165810"/>
  </r>
  <r>
    <x v="13"/>
    <x v="3"/>
    <s v="Texas Transportation Institute"/>
    <m/>
    <n v="228723"/>
    <x v="0"/>
    <m/>
    <m/>
    <n v="1295411"/>
    <n v="3490743"/>
    <m/>
    <m/>
    <m/>
    <m/>
    <n v="0"/>
    <m/>
    <m/>
    <n v="0"/>
    <n v="1295411"/>
    <n v="3490743"/>
    <m/>
    <m/>
    <m/>
    <m/>
    <n v="0"/>
    <m/>
    <m/>
    <n v="0"/>
    <m/>
    <m/>
    <m/>
    <m/>
    <m/>
    <m/>
    <n v="1295411"/>
    <n v="3490743"/>
  </r>
  <r>
    <x v="13"/>
    <x v="45"/>
    <s v="Texas Engineering extension service"/>
    <m/>
    <n v="228723"/>
    <x v="0"/>
    <m/>
    <m/>
    <n v="9367432"/>
    <n v="9493132"/>
    <m/>
    <m/>
    <m/>
    <m/>
    <n v="0"/>
    <m/>
    <m/>
    <n v="0"/>
    <n v="9367432"/>
    <n v="9493132"/>
    <m/>
    <m/>
    <m/>
    <m/>
    <n v="0"/>
    <m/>
    <m/>
    <n v="0"/>
    <m/>
    <m/>
    <m/>
    <m/>
    <m/>
    <m/>
    <n v="9367432"/>
    <n v="9493132"/>
  </r>
  <r>
    <x v="13"/>
    <x v="3"/>
    <s v="Texas Forest Service"/>
    <m/>
    <n v="228723"/>
    <x v="0"/>
    <m/>
    <m/>
    <n v="183909619"/>
    <n v="39378872"/>
    <m/>
    <m/>
    <m/>
    <m/>
    <n v="0"/>
    <m/>
    <m/>
    <n v="0"/>
    <n v="183909619"/>
    <n v="39378872"/>
    <m/>
    <m/>
    <m/>
    <m/>
    <n v="0"/>
    <m/>
    <m/>
    <n v="0"/>
    <m/>
    <m/>
    <m/>
    <m/>
    <m/>
    <m/>
    <n v="183909619"/>
    <n v="39378872"/>
  </r>
  <r>
    <x v="13"/>
    <x v="3"/>
    <s v="Texas Vet Med Diagnostic Lab"/>
    <m/>
    <n v="228723"/>
    <x v="0"/>
    <m/>
    <m/>
    <n v="6727879"/>
    <n v="9869798"/>
    <m/>
    <m/>
    <m/>
    <m/>
    <n v="0"/>
    <m/>
    <m/>
    <n v="0"/>
    <n v="6727879"/>
    <n v="9869798"/>
    <m/>
    <m/>
    <m/>
    <m/>
    <n v="0"/>
    <m/>
    <m/>
    <n v="0"/>
    <m/>
    <m/>
    <m/>
    <m/>
    <m/>
    <m/>
    <n v="6727879"/>
    <n v="9869798"/>
  </r>
  <r>
    <x v="13"/>
    <x v="3"/>
    <s v="Community or public service units"/>
    <m/>
    <n v="228723"/>
    <x v="0"/>
    <m/>
    <m/>
    <m/>
    <m/>
    <m/>
    <m/>
    <m/>
    <m/>
    <n v="0"/>
    <m/>
    <m/>
    <n v="0"/>
    <n v="0"/>
    <n v="0"/>
    <m/>
    <m/>
    <m/>
    <m/>
    <n v="0"/>
    <m/>
    <m/>
    <n v="0"/>
    <m/>
    <m/>
    <m/>
    <m/>
    <m/>
    <m/>
    <n v="0"/>
    <n v="0"/>
  </r>
  <r>
    <x v="13"/>
    <x v="0"/>
    <s v="Texas Tech University "/>
    <m/>
    <n v="229115"/>
    <x v="0"/>
    <n v="152892441"/>
    <n v="173158365"/>
    <n v="9697573"/>
    <n v="13332075"/>
    <m/>
    <m/>
    <n v="240229071"/>
    <m/>
    <n v="240229071"/>
    <n v="257319023"/>
    <m/>
    <n v="257319023"/>
    <n v="402819085"/>
    <n v="443809463"/>
    <m/>
    <m/>
    <m/>
    <m/>
    <n v="0"/>
    <m/>
    <m/>
    <n v="0"/>
    <m/>
    <m/>
    <m/>
    <m/>
    <m/>
    <m/>
    <n v="402819085"/>
    <n v="443809463"/>
  </r>
  <r>
    <x v="13"/>
    <x v="0"/>
    <s v="University of Houston"/>
    <m/>
    <n v="225511"/>
    <x v="0"/>
    <n v="156557863"/>
    <n v="183447588"/>
    <n v="9087444"/>
    <n v="474375"/>
    <m/>
    <m/>
    <n v="299359861"/>
    <m/>
    <n v="299359861"/>
    <n v="283284674"/>
    <m/>
    <n v="283284674"/>
    <n v="465005168"/>
    <n v="467206637"/>
    <m/>
    <m/>
    <m/>
    <m/>
    <n v="0"/>
    <m/>
    <m/>
    <n v="0"/>
    <m/>
    <m/>
    <m/>
    <m/>
    <m/>
    <m/>
    <n v="465005168"/>
    <n v="467206637"/>
  </r>
  <r>
    <x v="13"/>
    <x v="0"/>
    <s v="University of North Texas"/>
    <m/>
    <n v="227216"/>
    <x v="0"/>
    <n v="127640258"/>
    <n v="129304016"/>
    <n v="1490000"/>
    <n v="0"/>
    <m/>
    <m/>
    <n v="217267392"/>
    <m/>
    <n v="217267392"/>
    <n v="225168932"/>
    <m/>
    <n v="225168932"/>
    <n v="346397650"/>
    <n v="354472948"/>
    <m/>
    <m/>
    <m/>
    <m/>
    <n v="0"/>
    <m/>
    <m/>
    <n v="0"/>
    <m/>
    <m/>
    <m/>
    <m/>
    <m/>
    <m/>
    <n v="346397650"/>
    <n v="354472948"/>
  </r>
  <r>
    <x v="13"/>
    <x v="0"/>
    <s v="University of Texas at Arlington"/>
    <m/>
    <n v="228769"/>
    <x v="0"/>
    <n v="105623036"/>
    <n v="114872045"/>
    <n v="1214817"/>
    <n v="217500"/>
    <m/>
    <m/>
    <n v="195930801"/>
    <m/>
    <n v="195930801"/>
    <n v="182249596"/>
    <m/>
    <n v="182249596"/>
    <n v="302768654"/>
    <n v="297339141"/>
    <m/>
    <m/>
    <m/>
    <m/>
    <n v="0"/>
    <m/>
    <m/>
    <n v="0"/>
    <m/>
    <m/>
    <m/>
    <m/>
    <m/>
    <m/>
    <n v="302768654"/>
    <n v="297339141"/>
  </r>
  <r>
    <x v="13"/>
    <x v="0"/>
    <s v="University of Texas at Austin"/>
    <m/>
    <n v="228778"/>
    <x v="0"/>
    <n v="509710244"/>
    <n v="554214079"/>
    <m/>
    <m/>
    <m/>
    <m/>
    <n v="434121812"/>
    <m/>
    <n v="434121812"/>
    <n v="458702122"/>
    <m/>
    <n v="458702122"/>
    <n v="943832056"/>
    <n v="1012916201"/>
    <m/>
    <m/>
    <m/>
    <m/>
    <n v="0"/>
    <m/>
    <m/>
    <n v="0"/>
    <m/>
    <m/>
    <m/>
    <m/>
    <m/>
    <m/>
    <n v="943832056"/>
    <n v="1012916201"/>
  </r>
  <r>
    <x v="13"/>
    <x v="0"/>
    <s v="University of Texas at Dallas"/>
    <m/>
    <n v="228787"/>
    <x v="0"/>
    <n v="87667868"/>
    <n v="104009603"/>
    <n v="21254984"/>
    <n v="2549950"/>
    <m/>
    <m/>
    <n v="160321174"/>
    <m/>
    <n v="160321174"/>
    <n v="183814538"/>
    <m/>
    <n v="183814538"/>
    <n v="269244026"/>
    <n v="290374091"/>
    <m/>
    <m/>
    <m/>
    <m/>
    <n v="0"/>
    <m/>
    <m/>
    <n v="0"/>
    <m/>
    <m/>
    <m/>
    <m/>
    <m/>
    <m/>
    <n v="269244026"/>
    <n v="290374091"/>
  </r>
  <r>
    <x v="13"/>
    <x v="0"/>
    <s v="Texas Woman's University"/>
    <m/>
    <n v="229179"/>
    <x v="1"/>
    <n v="54920298"/>
    <n v="59290399"/>
    <m/>
    <m/>
    <m/>
    <m/>
    <n v="69429244"/>
    <m/>
    <n v="69429244"/>
    <n v="65839859"/>
    <m/>
    <n v="65839859"/>
    <n v="124349542"/>
    <n v="125130258"/>
    <m/>
    <m/>
    <m/>
    <m/>
    <n v="0"/>
    <m/>
    <m/>
    <n v="0"/>
    <m/>
    <m/>
    <m/>
    <m/>
    <m/>
    <m/>
    <n v="124349542"/>
    <n v="125130258"/>
  </r>
  <r>
    <x v="13"/>
    <x v="0"/>
    <s v="University of Texas at El Paso"/>
    <s v="Met the criteria for Four-Year 1 in 2013-14."/>
    <n v="228796"/>
    <x v="1"/>
    <n v="85444716"/>
    <n v="91867542"/>
    <n v="5137949"/>
    <n v="123125"/>
    <m/>
    <m/>
    <n v="96243343"/>
    <m/>
    <n v="96243343"/>
    <n v="80444489"/>
    <m/>
    <n v="80444489"/>
    <n v="186826008"/>
    <n v="172435156"/>
    <m/>
    <m/>
    <m/>
    <m/>
    <n v="0"/>
    <m/>
    <m/>
    <n v="0"/>
    <m/>
    <m/>
    <m/>
    <m/>
    <m/>
    <m/>
    <n v="186826008"/>
    <n v="172435156"/>
  </r>
  <r>
    <x v="13"/>
    <x v="0"/>
    <s v="University of Texas at San Antonio"/>
    <m/>
    <n v="229027"/>
    <x v="1"/>
    <n v="102569480"/>
    <n v="113248468"/>
    <n v="3705474"/>
    <n v="100000"/>
    <m/>
    <m/>
    <n v="169624392"/>
    <m/>
    <n v="169624392"/>
    <n v="158403609"/>
    <m/>
    <n v="158403609"/>
    <n v="275899346"/>
    <n v="271752077"/>
    <m/>
    <m/>
    <m/>
    <m/>
    <n v="0"/>
    <m/>
    <m/>
    <n v="0"/>
    <m/>
    <m/>
    <m/>
    <m/>
    <m/>
    <m/>
    <n v="275899346"/>
    <n v="271752077"/>
  </r>
  <r>
    <x v="13"/>
    <x v="0"/>
    <s v="Angelo State University"/>
    <m/>
    <n v="222831"/>
    <x v="2"/>
    <n v="26349487"/>
    <n v="30292147"/>
    <m/>
    <m/>
    <m/>
    <m/>
    <n v="34775417"/>
    <m/>
    <n v="34775417"/>
    <n v="33916306"/>
    <m/>
    <n v="33916306"/>
    <n v="61124904"/>
    <n v="64208453"/>
    <m/>
    <m/>
    <m/>
    <m/>
    <n v="0"/>
    <m/>
    <m/>
    <n v="0"/>
    <m/>
    <m/>
    <m/>
    <m/>
    <m/>
    <m/>
    <n v="61124904"/>
    <n v="64208453"/>
  </r>
  <r>
    <x v="13"/>
    <x v="0"/>
    <s v="Lamar University"/>
    <m/>
    <n v="226091"/>
    <x v="2"/>
    <n v="45769417"/>
    <n v="49379031"/>
    <m/>
    <m/>
    <m/>
    <m/>
    <n v="71731634"/>
    <m/>
    <n v="71731634"/>
    <n v="83404139"/>
    <m/>
    <n v="83404139"/>
    <n v="117501051"/>
    <n v="132783170"/>
    <m/>
    <m/>
    <m/>
    <m/>
    <n v="0"/>
    <m/>
    <m/>
    <n v="0"/>
    <m/>
    <m/>
    <m/>
    <m/>
    <m/>
    <m/>
    <n v="117501051"/>
    <n v="132783170"/>
  </r>
  <r>
    <x v="13"/>
    <x v="0"/>
    <s v="Midwestern State University  "/>
    <m/>
    <n v="226833"/>
    <x v="2"/>
    <n v="20129999"/>
    <n v="20532679"/>
    <m/>
    <m/>
    <m/>
    <m/>
    <n v="29192043"/>
    <m/>
    <n v="29192043"/>
    <n v="31130657"/>
    <m/>
    <n v="31130657"/>
    <n v="49322042"/>
    <n v="51663336"/>
    <m/>
    <m/>
    <m/>
    <m/>
    <n v="0"/>
    <m/>
    <m/>
    <n v="0"/>
    <m/>
    <m/>
    <m/>
    <m/>
    <m/>
    <m/>
    <n v="49322042"/>
    <n v="51663336"/>
  </r>
  <r>
    <x v="13"/>
    <x v="0"/>
    <s v="Prairie View A&amp;M University"/>
    <m/>
    <n v="227526"/>
    <x v="2"/>
    <n v="64682581"/>
    <n v="62152018"/>
    <m/>
    <m/>
    <m/>
    <m/>
    <n v="35818950"/>
    <m/>
    <n v="35818950"/>
    <n v="32976606"/>
    <m/>
    <n v="32976606"/>
    <n v="100501531"/>
    <n v="95128624"/>
    <m/>
    <m/>
    <m/>
    <m/>
    <n v="0"/>
    <m/>
    <m/>
    <n v="0"/>
    <m/>
    <m/>
    <m/>
    <m/>
    <m/>
    <m/>
    <n v="100501531"/>
    <n v="95128624"/>
  </r>
  <r>
    <x v="13"/>
    <x v="0"/>
    <s v="Sam Houston State University "/>
    <m/>
    <n v="227881"/>
    <x v="2"/>
    <n v="50885369"/>
    <n v="55017287"/>
    <m/>
    <m/>
    <m/>
    <m/>
    <n v="90545811"/>
    <m/>
    <n v="90545811"/>
    <n v="95482701"/>
    <m/>
    <n v="95482701"/>
    <n v="141431180"/>
    <n v="150499988"/>
    <m/>
    <m/>
    <m/>
    <m/>
    <n v="0"/>
    <m/>
    <m/>
    <n v="0"/>
    <m/>
    <m/>
    <m/>
    <m/>
    <m/>
    <m/>
    <n v="141431180"/>
    <n v="150499988"/>
  </r>
  <r>
    <x v="13"/>
    <x v="0"/>
    <s v="Stephen F. Austin State University"/>
    <m/>
    <n v="228431"/>
    <x v="2"/>
    <n v="47457074"/>
    <n v="49388727"/>
    <m/>
    <m/>
    <m/>
    <m/>
    <n v="64139740"/>
    <m/>
    <n v="64139740"/>
    <n v="68185946"/>
    <m/>
    <n v="68185946"/>
    <n v="111596814"/>
    <n v="117574673"/>
    <m/>
    <m/>
    <m/>
    <m/>
    <n v="0"/>
    <m/>
    <m/>
    <n v="0"/>
    <m/>
    <m/>
    <m/>
    <m/>
    <m/>
    <m/>
    <n v="111596814"/>
    <n v="117574673"/>
  </r>
  <r>
    <x v="13"/>
    <x v="0"/>
    <s v="Sul Ross State University "/>
    <m/>
    <n v="228501"/>
    <x v="2"/>
    <n v="13505143"/>
    <n v="13789618"/>
    <m/>
    <m/>
    <m/>
    <m/>
    <n v="11260206"/>
    <m/>
    <n v="11260206"/>
    <n v="10709181"/>
    <m/>
    <n v="10709181"/>
    <n v="24765349"/>
    <n v="24498799"/>
    <m/>
    <m/>
    <m/>
    <m/>
    <n v="0"/>
    <m/>
    <m/>
    <n v="0"/>
    <m/>
    <m/>
    <m/>
    <m/>
    <m/>
    <m/>
    <n v="24765349"/>
    <n v="24498799"/>
  </r>
  <r>
    <x v="13"/>
    <x v="0"/>
    <s v="Tarleton State University  "/>
    <m/>
    <n v="228529"/>
    <x v="2"/>
    <n v="32388194"/>
    <n v="38366046"/>
    <m/>
    <m/>
    <m/>
    <m/>
    <n v="39600221"/>
    <m/>
    <n v="39600221"/>
    <n v="44883493"/>
    <m/>
    <n v="44883493"/>
    <n v="71988415"/>
    <n v="83249539"/>
    <m/>
    <m/>
    <m/>
    <m/>
    <n v="0"/>
    <m/>
    <m/>
    <n v="0"/>
    <m/>
    <m/>
    <m/>
    <m/>
    <m/>
    <m/>
    <n v="71988415"/>
    <n v="83249539"/>
  </r>
  <r>
    <x v="13"/>
    <x v="0"/>
    <s v="Texas A&amp;M International University"/>
    <m/>
    <n v="226152"/>
    <x v="2"/>
    <n v="26131971"/>
    <n v="26759604"/>
    <m/>
    <m/>
    <m/>
    <m/>
    <n v="13892825"/>
    <m/>
    <n v="13892825"/>
    <n v="16855507"/>
    <m/>
    <n v="16855507"/>
    <n v="40024796"/>
    <n v="43615111"/>
    <m/>
    <m/>
    <m/>
    <m/>
    <n v="0"/>
    <m/>
    <m/>
    <n v="0"/>
    <m/>
    <m/>
    <m/>
    <m/>
    <m/>
    <m/>
    <n v="40024796"/>
    <n v="43615111"/>
  </r>
  <r>
    <x v="13"/>
    <x v="0"/>
    <s v="Texas A&amp;M University-Commerce"/>
    <m/>
    <n v="224554"/>
    <x v="2"/>
    <n v="40822145"/>
    <n v="44305359"/>
    <m/>
    <m/>
    <m/>
    <m/>
    <n v="50660607"/>
    <m/>
    <n v="50660607"/>
    <n v="59458198"/>
    <m/>
    <n v="59458198"/>
    <n v="91482752"/>
    <n v="103763557"/>
    <m/>
    <m/>
    <m/>
    <m/>
    <n v="0"/>
    <m/>
    <m/>
    <n v="0"/>
    <m/>
    <m/>
    <m/>
    <m/>
    <m/>
    <m/>
    <n v="91482752"/>
    <n v="103763557"/>
  </r>
  <r>
    <x v="13"/>
    <x v="0"/>
    <s v="Texas A&amp;M University-Corpus Christi "/>
    <m/>
    <n v="224147"/>
    <x v="2"/>
    <n v="43277425"/>
    <n v="46736906"/>
    <m/>
    <m/>
    <m/>
    <m/>
    <n v="44833707"/>
    <m/>
    <n v="44833707"/>
    <n v="48308637"/>
    <m/>
    <n v="48308637"/>
    <n v="88111132"/>
    <n v="95045543"/>
    <m/>
    <m/>
    <m/>
    <m/>
    <n v="0"/>
    <m/>
    <m/>
    <n v="0"/>
    <m/>
    <m/>
    <m/>
    <m/>
    <m/>
    <m/>
    <n v="88111132"/>
    <n v="95045543"/>
  </r>
  <r>
    <x v="13"/>
    <x v="0"/>
    <s v="Texas A&amp;M University-Kingsville"/>
    <m/>
    <n v="228705"/>
    <x v="2"/>
    <n v="33264727"/>
    <n v="38119107"/>
    <m/>
    <m/>
    <m/>
    <m/>
    <n v="22307324"/>
    <m/>
    <n v="22307324"/>
    <n v="28897075"/>
    <m/>
    <n v="28897075"/>
    <n v="55572051"/>
    <n v="67016182"/>
    <m/>
    <m/>
    <m/>
    <m/>
    <n v="0"/>
    <m/>
    <m/>
    <n v="0"/>
    <m/>
    <m/>
    <m/>
    <m/>
    <m/>
    <m/>
    <n v="55572051"/>
    <n v="67016182"/>
  </r>
  <r>
    <x v="13"/>
    <x v="0"/>
    <s v="Texas Southern University "/>
    <m/>
    <n v="229063"/>
    <x v="2"/>
    <n v="53320399"/>
    <n v="53064103"/>
    <m/>
    <m/>
    <m/>
    <m/>
    <n v="56292384"/>
    <m/>
    <n v="56292384"/>
    <n v="60443378"/>
    <m/>
    <n v="60443378"/>
    <n v="109612783"/>
    <n v="113507481"/>
    <m/>
    <m/>
    <m/>
    <m/>
    <n v="0"/>
    <m/>
    <m/>
    <n v="0"/>
    <m/>
    <m/>
    <m/>
    <m/>
    <m/>
    <m/>
    <n v="109612783"/>
    <n v="113507481"/>
  </r>
  <r>
    <x v="13"/>
    <x v="0"/>
    <s v="Texas State University"/>
    <m/>
    <n v="228459"/>
    <x v="2"/>
    <n v="97874062"/>
    <n v="109738634"/>
    <n v="624259"/>
    <n v="1015475"/>
    <m/>
    <m/>
    <n v="164748661"/>
    <m/>
    <n v="164748661"/>
    <n v="169094909"/>
    <m/>
    <n v="169094909"/>
    <n v="263246982"/>
    <n v="279849018"/>
    <m/>
    <m/>
    <m/>
    <m/>
    <n v="0"/>
    <m/>
    <m/>
    <n v="0"/>
    <m/>
    <m/>
    <m/>
    <m/>
    <m/>
    <m/>
    <n v="263246982"/>
    <n v="279849018"/>
  </r>
  <r>
    <x v="13"/>
    <x v="0"/>
    <s v="University of Houston-Clear Lake "/>
    <m/>
    <n v="225414"/>
    <x v="2"/>
    <n v="27769666"/>
    <n v="32343569"/>
    <m/>
    <m/>
    <m/>
    <m/>
    <n v="39836085"/>
    <m/>
    <n v="39836085"/>
    <n v="40241610"/>
    <m/>
    <n v="40241610"/>
    <n v="67605751"/>
    <n v="72585179"/>
    <m/>
    <m/>
    <m/>
    <m/>
    <n v="0"/>
    <m/>
    <m/>
    <n v="0"/>
    <m/>
    <m/>
    <m/>
    <m/>
    <m/>
    <m/>
    <n v="67605751"/>
    <n v="72585179"/>
  </r>
  <r>
    <x v="13"/>
    <x v="0"/>
    <s v="University of Texas at Brownsville"/>
    <m/>
    <n v="227377"/>
    <x v="2"/>
    <n v="26041686"/>
    <n v="24929612"/>
    <m/>
    <m/>
    <m/>
    <m/>
    <n v="19747641"/>
    <m/>
    <n v="19747641"/>
    <n v="27619038"/>
    <m/>
    <n v="27619038"/>
    <n v="45789327"/>
    <n v="52548650"/>
    <m/>
    <m/>
    <m/>
    <m/>
    <n v="0"/>
    <m/>
    <m/>
    <n v="0"/>
    <m/>
    <m/>
    <m/>
    <m/>
    <m/>
    <m/>
    <n v="45789327"/>
    <n v="52548650"/>
  </r>
  <r>
    <x v="13"/>
    <x v="0"/>
    <s v="University of Texas at Tyler"/>
    <m/>
    <n v="228802"/>
    <x v="2"/>
    <n v="27682370"/>
    <n v="31534322"/>
    <m/>
    <m/>
    <m/>
    <m/>
    <n v="25360270"/>
    <m/>
    <n v="25360270"/>
    <n v="27363871"/>
    <m/>
    <n v="27363871"/>
    <n v="53042640"/>
    <n v="58898193"/>
    <m/>
    <m/>
    <m/>
    <m/>
    <n v="0"/>
    <m/>
    <m/>
    <n v="0"/>
    <m/>
    <m/>
    <m/>
    <m/>
    <m/>
    <m/>
    <n v="53042640"/>
    <n v="58898193"/>
  </r>
  <r>
    <x v="13"/>
    <x v="0"/>
    <s v="University of Texas of the Permian Basin"/>
    <m/>
    <n v="229018"/>
    <x v="2"/>
    <n v="19293448"/>
    <n v="21355849"/>
    <m/>
    <m/>
    <m/>
    <m/>
    <n v="8799473"/>
    <m/>
    <n v="8799473"/>
    <n v="13643671"/>
    <m/>
    <n v="13643671"/>
    <n v="28092921"/>
    <n v="34999520"/>
    <m/>
    <m/>
    <m/>
    <m/>
    <n v="0"/>
    <m/>
    <m/>
    <n v="0"/>
    <m/>
    <m/>
    <m/>
    <m/>
    <m/>
    <m/>
    <n v="28092921"/>
    <n v="34999520"/>
  </r>
  <r>
    <x v="13"/>
    <x v="0"/>
    <s v="University of Texas-Pan American"/>
    <m/>
    <n v="227368"/>
    <x v="2"/>
    <n v="64945648"/>
    <n v="68689383"/>
    <m/>
    <m/>
    <m/>
    <m/>
    <n v="53978804"/>
    <m/>
    <n v="53978804"/>
    <n v="37114601"/>
    <m/>
    <n v="37114601"/>
    <n v="118924452"/>
    <n v="105803984"/>
    <m/>
    <m/>
    <m/>
    <m/>
    <n v="0"/>
    <m/>
    <m/>
    <n v="0"/>
    <m/>
    <m/>
    <m/>
    <m/>
    <m/>
    <m/>
    <n v="118924452"/>
    <n v="105803984"/>
  </r>
  <r>
    <x v="13"/>
    <x v="0"/>
    <s v="West Texas A&amp;M University"/>
    <m/>
    <n v="229814"/>
    <x v="2"/>
    <n v="31019675"/>
    <n v="31104533"/>
    <m/>
    <m/>
    <m/>
    <m/>
    <n v="28659933"/>
    <m/>
    <n v="28659933"/>
    <n v="32655974"/>
    <m/>
    <n v="32655974"/>
    <n v="59679608"/>
    <n v="63760507"/>
    <m/>
    <m/>
    <m/>
    <m/>
    <n v="0"/>
    <m/>
    <m/>
    <n v="0"/>
    <m/>
    <m/>
    <m/>
    <m/>
    <m/>
    <m/>
    <n v="59679608"/>
    <n v="63760507"/>
  </r>
  <r>
    <x v="13"/>
    <x v="0"/>
    <s v="TEXAS A&amp;M UNIV-CENTRAL TEXAS"/>
    <m/>
    <n v="483036"/>
    <x v="3"/>
    <n v="12522361"/>
    <n v="14002722"/>
    <m/>
    <m/>
    <m/>
    <m/>
    <n v="8355482"/>
    <m/>
    <n v="8355482"/>
    <n v="10114054"/>
    <m/>
    <n v="10114054"/>
    <n v="20877843"/>
    <n v="24116776"/>
    <m/>
    <m/>
    <m/>
    <m/>
    <n v="0"/>
    <m/>
    <m/>
    <n v="0"/>
    <m/>
    <m/>
    <m/>
    <m/>
    <m/>
    <m/>
    <n v="20877843"/>
    <n v="24116776"/>
  </r>
  <r>
    <x v="13"/>
    <x v="0"/>
    <s v="Texas A&amp;M -Texarkana"/>
    <m/>
    <n v="224545"/>
    <x v="3"/>
    <n v="11561613"/>
    <n v="12960473"/>
    <m/>
    <m/>
    <m/>
    <m/>
    <n v="5570849"/>
    <m/>
    <n v="5570849"/>
    <n v="6381690"/>
    <m/>
    <n v="6381690"/>
    <n v="17132462"/>
    <n v="19342163"/>
    <m/>
    <m/>
    <m/>
    <m/>
    <n v="0"/>
    <m/>
    <m/>
    <n v="0"/>
    <m/>
    <m/>
    <m/>
    <m/>
    <m/>
    <m/>
    <n v="17132462"/>
    <n v="19342163"/>
  </r>
  <r>
    <x v="13"/>
    <x v="0"/>
    <s v="University of Houston-Victoria"/>
    <m/>
    <n v="225502"/>
    <x v="3"/>
    <n v="13483764"/>
    <n v="19046676"/>
    <m/>
    <m/>
    <m/>
    <m/>
    <n v="15469974"/>
    <m/>
    <n v="15469974"/>
    <n v="14902527"/>
    <m/>
    <n v="14902527"/>
    <n v="28953738"/>
    <n v="33949203"/>
    <m/>
    <m/>
    <m/>
    <m/>
    <n v="0"/>
    <m/>
    <m/>
    <n v="0"/>
    <m/>
    <m/>
    <m/>
    <m/>
    <m/>
    <m/>
    <n v="28953738"/>
    <n v="33949203"/>
  </r>
  <r>
    <x v="13"/>
    <x v="0"/>
    <s v="Sul Ross State University-Rio Grande College"/>
    <m/>
    <n v="227924"/>
    <x v="4"/>
    <n v="5700083"/>
    <n v="5737509"/>
    <m/>
    <m/>
    <m/>
    <m/>
    <m/>
    <m/>
    <n v="0"/>
    <m/>
    <m/>
    <n v="0"/>
    <n v="5700083"/>
    <n v="5737509"/>
    <m/>
    <m/>
    <m/>
    <m/>
    <n v="0"/>
    <m/>
    <m/>
    <n v="0"/>
    <m/>
    <m/>
    <m/>
    <m/>
    <m/>
    <m/>
    <n v="5700083"/>
    <n v="5737509"/>
  </r>
  <r>
    <x v="13"/>
    <x v="0"/>
    <s v="TEXAS A&amp;M UNIV-SAN ANTONIO"/>
    <m/>
    <n v="870501"/>
    <x v="4"/>
    <n v="13971199"/>
    <n v="17909543"/>
    <m/>
    <m/>
    <m/>
    <m/>
    <n v="15423103"/>
    <m/>
    <n v="15423103"/>
    <n v="18054212"/>
    <m/>
    <n v="18054212"/>
    <n v="29394302"/>
    <n v="35963755"/>
    <m/>
    <m/>
    <m/>
    <m/>
    <n v="0"/>
    <m/>
    <m/>
    <n v="0"/>
    <m/>
    <m/>
    <m/>
    <m/>
    <m/>
    <m/>
    <n v="29394302"/>
    <n v="35963755"/>
  </r>
  <r>
    <x v="13"/>
    <x v="0"/>
    <s v="University of Houston-Downtown"/>
    <m/>
    <n v="225432"/>
    <x v="4"/>
    <n v="20683584"/>
    <n v="28556567"/>
    <m/>
    <m/>
    <m/>
    <m/>
    <n v="51989356"/>
    <m/>
    <n v="51989356"/>
    <n v="56733631"/>
    <m/>
    <n v="56733631"/>
    <n v="72672940"/>
    <n v="85290198"/>
    <m/>
    <m/>
    <m/>
    <m/>
    <n v="0"/>
    <m/>
    <m/>
    <n v="0"/>
    <m/>
    <m/>
    <m/>
    <m/>
    <m/>
    <m/>
    <n v="72672940"/>
    <n v="85290198"/>
  </r>
  <r>
    <x v="13"/>
    <x v="0"/>
    <s v="Texas A&amp;M University at Galveston"/>
    <m/>
    <n v="228714"/>
    <x v="5"/>
    <n v="14735656"/>
    <n v="15702931"/>
    <m/>
    <m/>
    <m/>
    <m/>
    <n v="15240304"/>
    <m/>
    <n v="15240304"/>
    <n v="16003426"/>
    <m/>
    <n v="16003426"/>
    <n v="29975960"/>
    <n v="31706357"/>
    <m/>
    <m/>
    <m/>
    <m/>
    <n v="0"/>
    <m/>
    <m/>
    <n v="0"/>
    <m/>
    <m/>
    <m/>
    <m/>
    <m/>
    <m/>
    <n v="29975960"/>
    <n v="31706357"/>
  </r>
  <r>
    <x v="13"/>
    <x v="0"/>
    <s v="Brazosport College "/>
    <m/>
    <n v="223506"/>
    <x v="14"/>
    <n v="6059177"/>
    <n v="6914055"/>
    <m/>
    <m/>
    <n v="14704892"/>
    <n v="16908797"/>
    <n v="8186178"/>
    <m/>
    <n v="8186178"/>
    <n v="8763635"/>
    <m/>
    <n v="8763635"/>
    <n v="28950247"/>
    <n v="32586487"/>
    <m/>
    <m/>
    <m/>
    <m/>
    <n v="0"/>
    <m/>
    <m/>
    <n v="0"/>
    <m/>
    <m/>
    <m/>
    <m/>
    <m/>
    <m/>
    <n v="28950247"/>
    <n v="32586487"/>
  </r>
  <r>
    <x v="13"/>
    <x v="0"/>
    <s v="Midland College "/>
    <m/>
    <n v="226806"/>
    <x v="14"/>
    <n v="10615032"/>
    <n v="10479685"/>
    <m/>
    <m/>
    <n v="21360680"/>
    <n v="20113716"/>
    <n v="10416495"/>
    <m/>
    <n v="10416495"/>
    <n v="10272180"/>
    <m/>
    <n v="10272180"/>
    <n v="42392207"/>
    <n v="40865581"/>
    <m/>
    <m/>
    <m/>
    <m/>
    <n v="0"/>
    <m/>
    <m/>
    <n v="0"/>
    <m/>
    <m/>
    <m/>
    <m/>
    <m/>
    <m/>
    <n v="42392207"/>
    <n v="40865581"/>
  </r>
  <r>
    <x v="13"/>
    <x v="0"/>
    <s v="South Texas College"/>
    <m/>
    <n v="409315"/>
    <x v="14"/>
    <n v="37410347"/>
    <n v="40048965"/>
    <m/>
    <m/>
    <n v="45742612"/>
    <n v="45852447"/>
    <n v="19583509"/>
    <m/>
    <n v="19583509"/>
    <n v="21051377"/>
    <m/>
    <n v="21051377"/>
    <n v="102736468"/>
    <n v="106952789"/>
    <m/>
    <m/>
    <m/>
    <m/>
    <n v="0"/>
    <m/>
    <m/>
    <n v="0"/>
    <m/>
    <m/>
    <m/>
    <m/>
    <m/>
    <m/>
    <n v="102736468"/>
    <n v="106952789"/>
  </r>
  <r>
    <x v="13"/>
    <x v="0"/>
    <s v="Amarillo College "/>
    <m/>
    <n v="222576"/>
    <x v="6"/>
    <n v="18419591"/>
    <n v="18279727"/>
    <m/>
    <m/>
    <n v="19348571"/>
    <n v="20730558"/>
    <n v="15109006"/>
    <m/>
    <n v="15109006"/>
    <n v="15381607"/>
    <m/>
    <n v="15381607"/>
    <n v="52877168"/>
    <n v="54391892"/>
    <m/>
    <m/>
    <m/>
    <m/>
    <n v="0"/>
    <m/>
    <m/>
    <n v="0"/>
    <m/>
    <m/>
    <m/>
    <m/>
    <m/>
    <m/>
    <n v="52877168"/>
    <n v="54391892"/>
  </r>
  <r>
    <x v="13"/>
    <x v="0"/>
    <s v="Austin Community College "/>
    <m/>
    <n v="222992"/>
    <x v="6"/>
    <n v="53508371"/>
    <n v="59076082"/>
    <m/>
    <m/>
    <n v="106083211"/>
    <n v="111385047"/>
    <n v="59016812"/>
    <m/>
    <n v="59016812"/>
    <n v="59622584"/>
    <m/>
    <n v="59622584"/>
    <n v="218608394"/>
    <n v="230083713"/>
    <m/>
    <m/>
    <m/>
    <m/>
    <n v="0"/>
    <m/>
    <m/>
    <n v="0"/>
    <m/>
    <m/>
    <m/>
    <m/>
    <m/>
    <m/>
    <n v="218608394"/>
    <n v="230083713"/>
  </r>
  <r>
    <x v="13"/>
    <x v="0"/>
    <s v="Blinn College "/>
    <m/>
    <n v="223427"/>
    <x v="6"/>
    <n v="24148326"/>
    <n v="25649628"/>
    <m/>
    <m/>
    <n v="1470887"/>
    <n v="1504461"/>
    <n v="39353794"/>
    <m/>
    <n v="39353794"/>
    <n v="42247252"/>
    <m/>
    <n v="42247252"/>
    <n v="64973007"/>
    <n v="69401341"/>
    <m/>
    <m/>
    <m/>
    <m/>
    <n v="0"/>
    <m/>
    <m/>
    <n v="0"/>
    <m/>
    <m/>
    <m/>
    <m/>
    <m/>
    <m/>
    <n v="64973007"/>
    <n v="69401341"/>
  </r>
  <r>
    <x v="13"/>
    <x v="0"/>
    <s v="Brookhaven College  (DCCCD)"/>
    <m/>
    <n v="223524"/>
    <x v="6"/>
    <n v="0"/>
    <n v="0"/>
    <m/>
    <m/>
    <m/>
    <m/>
    <m/>
    <m/>
    <n v="0"/>
    <m/>
    <m/>
    <n v="0"/>
    <n v="0"/>
    <n v="0"/>
    <m/>
    <m/>
    <m/>
    <m/>
    <n v="0"/>
    <m/>
    <m/>
    <n v="0"/>
    <m/>
    <m/>
    <m/>
    <m/>
    <m/>
    <m/>
    <n v="0"/>
    <n v="0"/>
  </r>
  <r>
    <x v="13"/>
    <x v="0"/>
    <s v="Central Texas College "/>
    <m/>
    <n v="223816"/>
    <x v="6"/>
    <n v="22693502"/>
    <n v="22806078"/>
    <m/>
    <m/>
    <n v="11314027"/>
    <n v="11370375"/>
    <n v="55520591"/>
    <m/>
    <n v="55520591"/>
    <n v="55626692"/>
    <m/>
    <n v="55626692"/>
    <n v="89528120"/>
    <n v="89803145"/>
    <m/>
    <m/>
    <m/>
    <m/>
    <n v="0"/>
    <m/>
    <m/>
    <n v="0"/>
    <m/>
    <m/>
    <m/>
    <m/>
    <m/>
    <m/>
    <n v="89528120"/>
    <n v="89803145"/>
  </r>
  <r>
    <x v="13"/>
    <x v="0"/>
    <s v="Collin County Community College District"/>
    <m/>
    <n v="247834"/>
    <x v="6"/>
    <n v="34479711"/>
    <n v="36718118"/>
    <m/>
    <m/>
    <n v="64846218"/>
    <n v="66783530"/>
    <n v="23740042"/>
    <m/>
    <n v="23740042"/>
    <n v="26569192"/>
    <m/>
    <n v="26569192"/>
    <n v="123065971"/>
    <n v="130070840"/>
    <m/>
    <m/>
    <m/>
    <m/>
    <n v="0"/>
    <m/>
    <m/>
    <n v="0"/>
    <m/>
    <m/>
    <m/>
    <m/>
    <m/>
    <m/>
    <n v="123065971"/>
    <n v="130070840"/>
  </r>
  <r>
    <x v="13"/>
    <x v="0"/>
    <s v="Del Mar College "/>
    <m/>
    <n v="224350"/>
    <x v="6"/>
    <n v="20070755"/>
    <n v="18455323"/>
    <m/>
    <m/>
    <n v="44483240"/>
    <n v="45972603"/>
    <n v="14874912"/>
    <m/>
    <n v="14874912"/>
    <n v="9681161"/>
    <m/>
    <n v="9681161"/>
    <n v="79428907"/>
    <n v="74109087"/>
    <m/>
    <m/>
    <m/>
    <m/>
    <n v="0"/>
    <m/>
    <m/>
    <n v="0"/>
    <m/>
    <m/>
    <m/>
    <m/>
    <m/>
    <m/>
    <n v="79428907"/>
    <n v="74109087"/>
  </r>
  <r>
    <x v="13"/>
    <x v="0"/>
    <s v="Eastfield College  (DCCCD)"/>
    <m/>
    <n v="224572"/>
    <x v="6"/>
    <n v="0"/>
    <n v="0"/>
    <m/>
    <m/>
    <m/>
    <m/>
    <m/>
    <m/>
    <n v="0"/>
    <m/>
    <m/>
    <n v="0"/>
    <n v="0"/>
    <n v="0"/>
    <m/>
    <m/>
    <m/>
    <m/>
    <n v="0"/>
    <m/>
    <m/>
    <n v="0"/>
    <m/>
    <m/>
    <m/>
    <m/>
    <m/>
    <m/>
    <n v="0"/>
    <n v="0"/>
  </r>
  <r>
    <x v="13"/>
    <x v="0"/>
    <s v="El Centro College  (DCCCD)"/>
    <m/>
    <n v="224615"/>
    <x v="6"/>
    <n v="0"/>
    <n v="0"/>
    <m/>
    <m/>
    <m/>
    <m/>
    <m/>
    <m/>
    <n v="0"/>
    <m/>
    <m/>
    <n v="0"/>
    <n v="0"/>
    <n v="0"/>
    <m/>
    <m/>
    <m/>
    <m/>
    <n v="0"/>
    <m/>
    <m/>
    <n v="0"/>
    <m/>
    <m/>
    <m/>
    <m/>
    <m/>
    <m/>
    <n v="0"/>
    <n v="0"/>
  </r>
  <r>
    <x v="13"/>
    <x v="0"/>
    <s v="El Paso County Community College District"/>
    <m/>
    <n v="224642"/>
    <x v="6"/>
    <n v="36958895"/>
    <n v="39047579"/>
    <m/>
    <m/>
    <n v="42055081"/>
    <n v="42729975"/>
    <n v="20414460"/>
    <m/>
    <n v="20414460"/>
    <n v="22181240"/>
    <m/>
    <n v="22181240"/>
    <n v="99428436"/>
    <n v="103958794"/>
    <m/>
    <m/>
    <m/>
    <m/>
    <n v="0"/>
    <m/>
    <m/>
    <n v="0"/>
    <m/>
    <m/>
    <m/>
    <m/>
    <m/>
    <m/>
    <n v="99428436"/>
    <n v="103958794"/>
  </r>
  <r>
    <x v="13"/>
    <x v="0"/>
    <s v="Houston Community College"/>
    <m/>
    <n v="225423"/>
    <x v="6"/>
    <n v="82719005"/>
    <n v="78451433"/>
    <m/>
    <m/>
    <n v="125264828"/>
    <n v="130035929"/>
    <n v="3472160"/>
    <m/>
    <n v="3472160"/>
    <n v="3558023"/>
    <m/>
    <n v="3558023"/>
    <n v="211455993"/>
    <n v="212045385"/>
    <m/>
    <m/>
    <m/>
    <m/>
    <n v="0"/>
    <m/>
    <m/>
    <n v="0"/>
    <m/>
    <m/>
    <m/>
    <m/>
    <m/>
    <m/>
    <n v="211455993"/>
    <n v="212045385"/>
  </r>
  <r>
    <x v="13"/>
    <x v="0"/>
    <s v="Kilgore College "/>
    <s v="Met the criteria for Two-Year 2 in 2013-14."/>
    <n v="226019"/>
    <x v="6"/>
    <n v="13245567"/>
    <n v="12433033"/>
    <m/>
    <m/>
    <n v="6010537"/>
    <n v="6207262"/>
    <n v="8259511"/>
    <m/>
    <n v="8259511"/>
    <n v="8533498"/>
    <m/>
    <n v="8533498"/>
    <n v="27515615"/>
    <n v="27173793"/>
    <m/>
    <m/>
    <m/>
    <m/>
    <n v="0"/>
    <m/>
    <m/>
    <n v="0"/>
    <m/>
    <m/>
    <m/>
    <m/>
    <m/>
    <m/>
    <n v="27515615"/>
    <n v="27173793"/>
  </r>
  <r>
    <x v="13"/>
    <x v="0"/>
    <s v="Laredo Community College "/>
    <m/>
    <n v="226134"/>
    <x v="6"/>
    <n v="13734760"/>
    <n v="13836730"/>
    <m/>
    <m/>
    <n v="27934664"/>
    <n v="28155631"/>
    <n v="8254382"/>
    <m/>
    <n v="8254382"/>
    <n v="8780001"/>
    <m/>
    <n v="8780001"/>
    <n v="49923806"/>
    <n v="50772362"/>
    <m/>
    <m/>
    <m/>
    <m/>
    <n v="0"/>
    <m/>
    <m/>
    <n v="0"/>
    <m/>
    <m/>
    <m/>
    <m/>
    <m/>
    <m/>
    <n v="49923806"/>
    <n v="50772362"/>
  </r>
  <r>
    <x v="13"/>
    <x v="0"/>
    <s v="Lone Star College System District"/>
    <m/>
    <n v="227182"/>
    <x v="6"/>
    <n v="73252471"/>
    <n v="81109192"/>
    <m/>
    <m/>
    <n v="141947513"/>
    <n v="146569549"/>
    <n v="58863971"/>
    <m/>
    <n v="58863971"/>
    <n v="59682149"/>
    <m/>
    <n v="59682149"/>
    <n v="274063955"/>
    <n v="287360890"/>
    <m/>
    <m/>
    <m/>
    <m/>
    <n v="0"/>
    <m/>
    <m/>
    <n v="0"/>
    <m/>
    <m/>
    <m/>
    <m/>
    <m/>
    <m/>
    <n v="274063955"/>
    <n v="287360890"/>
  </r>
  <r>
    <x v="13"/>
    <x v="0"/>
    <s v="McLennan Community College "/>
    <m/>
    <n v="226578"/>
    <x v="6"/>
    <n v="16439044"/>
    <n v="15773158"/>
    <m/>
    <m/>
    <n v="17982616"/>
    <n v="12733190"/>
    <n v="18759783"/>
    <m/>
    <n v="18759783"/>
    <n v="19436996"/>
    <m/>
    <n v="19436996"/>
    <n v="53181443"/>
    <n v="47943344"/>
    <m/>
    <m/>
    <m/>
    <m/>
    <n v="0"/>
    <m/>
    <m/>
    <n v="0"/>
    <m/>
    <m/>
    <m/>
    <m/>
    <m/>
    <m/>
    <n v="53181443"/>
    <n v="47943344"/>
  </r>
  <r>
    <x v="13"/>
    <x v="0"/>
    <s v="Navarro College "/>
    <m/>
    <n v="227146"/>
    <x v="6"/>
    <n v="17543562"/>
    <n v="17650284"/>
    <m/>
    <m/>
    <n v="3224898"/>
    <n v="3342472"/>
    <n v="15014906"/>
    <m/>
    <n v="15014906"/>
    <n v="14202493"/>
    <m/>
    <n v="14202493"/>
    <n v="35783366"/>
    <n v="35195249"/>
    <m/>
    <m/>
    <m/>
    <m/>
    <n v="0"/>
    <m/>
    <m/>
    <n v="0"/>
    <m/>
    <m/>
    <m/>
    <m/>
    <m/>
    <m/>
    <n v="35783366"/>
    <n v="35195249"/>
  </r>
  <r>
    <x v="13"/>
    <x v="0"/>
    <s v="North Central Texas Community College"/>
    <m/>
    <n v="224110"/>
    <x v="6"/>
    <n v="11142109"/>
    <n v="12606977"/>
    <m/>
    <m/>
    <n v="2199017"/>
    <n v="2220581"/>
    <n v="12585175"/>
    <m/>
    <n v="12585175"/>
    <n v="13280934"/>
    <m/>
    <n v="13280934"/>
    <n v="25926301"/>
    <n v="28108492"/>
    <m/>
    <m/>
    <m/>
    <m/>
    <n v="0"/>
    <m/>
    <m/>
    <n v="0"/>
    <m/>
    <m/>
    <m/>
    <m/>
    <m/>
    <m/>
    <n v="25926301"/>
    <n v="28108492"/>
  </r>
  <r>
    <x v="13"/>
    <x v="0"/>
    <s v="North Lake College  (DCCCD)"/>
    <m/>
    <n v="227191"/>
    <x v="6"/>
    <n v="0"/>
    <n v="0"/>
    <m/>
    <m/>
    <m/>
    <m/>
    <m/>
    <m/>
    <n v="0"/>
    <m/>
    <m/>
    <n v="0"/>
    <n v="0"/>
    <n v="0"/>
    <m/>
    <m/>
    <m/>
    <m/>
    <n v="0"/>
    <m/>
    <m/>
    <n v="0"/>
    <m/>
    <m/>
    <m/>
    <m/>
    <m/>
    <m/>
    <n v="0"/>
    <n v="0"/>
  </r>
  <r>
    <x v="13"/>
    <x v="0"/>
    <s v="Northwest Vista College (ACCD)"/>
    <m/>
    <n v="420398"/>
    <x v="6"/>
    <n v="0"/>
    <n v="0"/>
    <m/>
    <m/>
    <m/>
    <m/>
    <m/>
    <m/>
    <n v="0"/>
    <m/>
    <m/>
    <n v="0"/>
    <n v="0"/>
    <n v="0"/>
    <m/>
    <m/>
    <m/>
    <m/>
    <n v="0"/>
    <m/>
    <m/>
    <n v="0"/>
    <m/>
    <m/>
    <m/>
    <m/>
    <m/>
    <m/>
    <n v="0"/>
    <n v="0"/>
  </r>
  <r>
    <x v="13"/>
    <x v="0"/>
    <s v="Palo Alto College  (ACCD)"/>
    <m/>
    <n v="246354"/>
    <x v="6"/>
    <n v="0"/>
    <n v="0"/>
    <m/>
    <m/>
    <m/>
    <m/>
    <m/>
    <m/>
    <n v="0"/>
    <m/>
    <m/>
    <n v="0"/>
    <n v="0"/>
    <n v="0"/>
    <m/>
    <m/>
    <m/>
    <m/>
    <n v="0"/>
    <m/>
    <m/>
    <n v="0"/>
    <m/>
    <m/>
    <m/>
    <m/>
    <m/>
    <m/>
    <n v="0"/>
    <n v="0"/>
  </r>
  <r>
    <x v="13"/>
    <x v="0"/>
    <s v="Richland College  (DCCCD)"/>
    <m/>
    <n v="227766"/>
    <x v="6"/>
    <n v="0"/>
    <n v="0"/>
    <m/>
    <m/>
    <m/>
    <m/>
    <m/>
    <m/>
    <n v="0"/>
    <m/>
    <m/>
    <n v="0"/>
    <n v="0"/>
    <n v="0"/>
    <m/>
    <m/>
    <m/>
    <m/>
    <n v="0"/>
    <m/>
    <m/>
    <n v="0"/>
    <m/>
    <m/>
    <m/>
    <m/>
    <m/>
    <m/>
    <n v="0"/>
    <n v="0"/>
  </r>
  <r>
    <x v="13"/>
    <x v="0"/>
    <s v="San Antonio College (ACCD)"/>
    <m/>
    <n v="227924"/>
    <x v="6"/>
    <n v="0"/>
    <n v="0"/>
    <m/>
    <m/>
    <m/>
    <m/>
    <m/>
    <m/>
    <n v="0"/>
    <m/>
    <m/>
    <n v="0"/>
    <n v="0"/>
    <n v="0"/>
    <m/>
    <m/>
    <m/>
    <m/>
    <n v="0"/>
    <m/>
    <m/>
    <n v="0"/>
    <m/>
    <m/>
    <m/>
    <m/>
    <m/>
    <m/>
    <n v="0"/>
    <n v="0"/>
  </r>
  <r>
    <x v="13"/>
    <x v="0"/>
    <s v="San Jacinto College (SJCDS)"/>
    <m/>
    <n v="227979"/>
    <x v="6"/>
    <n v="42883972"/>
    <n v="43375060"/>
    <m/>
    <m/>
    <n v="69019186"/>
    <n v="73136908"/>
    <n v="32746050"/>
    <m/>
    <n v="32746050"/>
    <n v="37524566"/>
    <m/>
    <n v="37524566"/>
    <n v="144649208"/>
    <n v="154036534"/>
    <m/>
    <m/>
    <m/>
    <m/>
    <n v="0"/>
    <m/>
    <m/>
    <n v="0"/>
    <m/>
    <m/>
    <m/>
    <m/>
    <m/>
    <m/>
    <n v="144649208"/>
    <n v="154036534"/>
  </r>
  <r>
    <x v="13"/>
    <x v="0"/>
    <s v="South Plains College "/>
    <m/>
    <n v="228158"/>
    <x v="6"/>
    <n v="16484392"/>
    <n v="16184493"/>
    <m/>
    <m/>
    <n v="10732939"/>
    <n v="12628617"/>
    <n v="13790746"/>
    <m/>
    <n v="13790746"/>
    <n v="15807862"/>
    <m/>
    <n v="15807862"/>
    <n v="41008077"/>
    <n v="44620972"/>
    <m/>
    <m/>
    <m/>
    <m/>
    <n v="0"/>
    <m/>
    <m/>
    <n v="0"/>
    <m/>
    <m/>
    <m/>
    <m/>
    <m/>
    <m/>
    <n v="41008077"/>
    <n v="44620972"/>
  </r>
  <r>
    <x v="13"/>
    <x v="0"/>
    <s v="St. Philip's College  (ACCD)"/>
    <m/>
    <n v="227854"/>
    <x v="6"/>
    <n v="0"/>
    <n v="0"/>
    <m/>
    <m/>
    <m/>
    <m/>
    <m/>
    <m/>
    <n v="0"/>
    <m/>
    <m/>
    <n v="0"/>
    <n v="0"/>
    <n v="0"/>
    <m/>
    <m/>
    <m/>
    <m/>
    <n v="0"/>
    <m/>
    <m/>
    <n v="0"/>
    <m/>
    <m/>
    <m/>
    <m/>
    <m/>
    <m/>
    <n v="0"/>
    <n v="0"/>
  </r>
  <r>
    <x v="13"/>
    <x v="0"/>
    <s v="Tarrant County College (TCJCD)"/>
    <m/>
    <n v="228547"/>
    <x v="6"/>
    <n v="61964956"/>
    <n v="65001534"/>
    <m/>
    <m/>
    <n v="184432700"/>
    <n v="186261467"/>
    <n v="50214996"/>
    <m/>
    <n v="50214996"/>
    <n v="50245813"/>
    <m/>
    <n v="50245813"/>
    <n v="296612652"/>
    <n v="301508814"/>
    <m/>
    <m/>
    <m/>
    <m/>
    <n v="0"/>
    <m/>
    <m/>
    <n v="0"/>
    <m/>
    <m/>
    <m/>
    <m/>
    <m/>
    <m/>
    <n v="296612652"/>
    <n v="301508814"/>
  </r>
  <r>
    <x v="13"/>
    <x v="0"/>
    <s v="Texas Southmost College "/>
    <s v="Met the criteria for Two-Year 2 in 2012-13 and 2013-14."/>
    <n v="229072"/>
    <x v="6"/>
    <n v="13645409"/>
    <n v="6758227"/>
    <m/>
    <m/>
    <n v="17976953"/>
    <n v="18257955"/>
    <n v="32695242"/>
    <m/>
    <n v="32695242"/>
    <n v="17786278"/>
    <m/>
    <n v="17786278"/>
    <n v="64317604"/>
    <n v="42802460"/>
    <m/>
    <m/>
    <m/>
    <m/>
    <n v="0"/>
    <m/>
    <m/>
    <n v="0"/>
    <m/>
    <m/>
    <m/>
    <m/>
    <m/>
    <m/>
    <n v="64317604"/>
    <n v="42802460"/>
  </r>
  <r>
    <x v="13"/>
    <x v="0"/>
    <s v="Texas State Technical College-Waco"/>
    <s v="Met the criteria for Two-Year 2 in 2012-13 and 2013-14."/>
    <n v="228680"/>
    <x v="6"/>
    <n v="30239291"/>
    <n v="30853124"/>
    <m/>
    <m/>
    <m/>
    <m/>
    <n v="14608309"/>
    <m/>
    <n v="14608309"/>
    <n v="12299657"/>
    <m/>
    <n v="12299657"/>
    <n v="44847600"/>
    <n v="43152781"/>
    <m/>
    <m/>
    <m/>
    <m/>
    <n v="0"/>
    <m/>
    <m/>
    <n v="0"/>
    <m/>
    <m/>
    <m/>
    <m/>
    <m/>
    <m/>
    <n v="44847600"/>
    <n v="43152781"/>
  </r>
  <r>
    <x v="13"/>
    <x v="0"/>
    <s v="Trinity Valley Community College"/>
    <m/>
    <n v="225308"/>
    <x v="6"/>
    <n v="12938340"/>
    <n v="12865285"/>
    <m/>
    <m/>
    <n v="7940405"/>
    <n v="8543457"/>
    <n v="6697098"/>
    <m/>
    <n v="6697098"/>
    <n v="6681563"/>
    <m/>
    <n v="6681563"/>
    <n v="27575843"/>
    <n v="28090305"/>
    <m/>
    <m/>
    <m/>
    <m/>
    <n v="0"/>
    <m/>
    <m/>
    <n v="0"/>
    <m/>
    <m/>
    <m/>
    <m/>
    <m/>
    <m/>
    <n v="27575843"/>
    <n v="28090305"/>
  </r>
  <r>
    <x v="13"/>
    <x v="0"/>
    <s v="Tyler Junior College "/>
    <m/>
    <n v="229355"/>
    <x v="6"/>
    <n v="20592403"/>
    <n v="19694782"/>
    <m/>
    <m/>
    <n v="18898206"/>
    <n v="21022138"/>
    <n v="12266066"/>
    <m/>
    <n v="12266066"/>
    <n v="13880102"/>
    <m/>
    <n v="13880102"/>
    <n v="51756675"/>
    <n v="54597022"/>
    <m/>
    <m/>
    <m/>
    <m/>
    <n v="0"/>
    <m/>
    <m/>
    <n v="0"/>
    <m/>
    <m/>
    <m/>
    <m/>
    <m/>
    <m/>
    <n v="51756675"/>
    <n v="54597022"/>
  </r>
  <r>
    <x v="13"/>
    <x v="0"/>
    <s v="Alvin Community College "/>
    <m/>
    <n v="222567"/>
    <x v="7"/>
    <n v="8736742"/>
    <n v="8676610"/>
    <m/>
    <m/>
    <n v="11876516"/>
    <n v="12261637"/>
    <n v="9482131"/>
    <m/>
    <n v="9482131"/>
    <n v="9095957"/>
    <m/>
    <n v="9095957"/>
    <n v="30095389"/>
    <n v="30034204"/>
    <m/>
    <m/>
    <m/>
    <m/>
    <n v="0"/>
    <m/>
    <m/>
    <n v="0"/>
    <m/>
    <m/>
    <m/>
    <m/>
    <m/>
    <m/>
    <n v="30095389"/>
    <n v="30034204"/>
  </r>
  <r>
    <x v="13"/>
    <x v="0"/>
    <s v="Angelina College "/>
    <m/>
    <n v="222822"/>
    <x v="7"/>
    <n v="9112960"/>
    <n v="8809640"/>
    <m/>
    <m/>
    <n v="6217240"/>
    <n v="6412418"/>
    <n v="4533203"/>
    <m/>
    <n v="4533203"/>
    <n v="4590713"/>
    <m/>
    <n v="4590713"/>
    <n v="19863403"/>
    <n v="19812771"/>
    <m/>
    <m/>
    <m/>
    <m/>
    <n v="0"/>
    <m/>
    <m/>
    <n v="0"/>
    <m/>
    <m/>
    <m/>
    <m/>
    <m/>
    <m/>
    <n v="19863403"/>
    <n v="19812771"/>
  </r>
  <r>
    <x v="13"/>
    <x v="0"/>
    <s v="Cedar Valley College  (DCCCD)"/>
    <m/>
    <n v="223773"/>
    <x v="7"/>
    <n v="0"/>
    <n v="0"/>
    <m/>
    <m/>
    <m/>
    <m/>
    <m/>
    <m/>
    <n v="0"/>
    <m/>
    <m/>
    <n v="0"/>
    <n v="0"/>
    <n v="0"/>
    <m/>
    <m/>
    <m/>
    <m/>
    <n v="0"/>
    <m/>
    <m/>
    <n v="0"/>
    <m/>
    <m/>
    <m/>
    <m/>
    <m/>
    <m/>
    <n v="0"/>
    <n v="0"/>
  </r>
  <r>
    <x v="13"/>
    <x v="0"/>
    <s v="Cisco Junior College "/>
    <m/>
    <n v="223898"/>
    <x v="7"/>
    <n v="6403939"/>
    <n v="6035318"/>
    <m/>
    <m/>
    <n v="541573"/>
    <n v="597990"/>
    <n v="733390"/>
    <m/>
    <n v="733390"/>
    <n v="1674009"/>
    <m/>
    <n v="1674009"/>
    <n v="7678902"/>
    <n v="8307317"/>
    <m/>
    <m/>
    <m/>
    <m/>
    <n v="0"/>
    <m/>
    <m/>
    <n v="0"/>
    <m/>
    <m/>
    <m/>
    <m/>
    <m/>
    <m/>
    <n v="7678902"/>
    <n v="8307317"/>
  </r>
  <r>
    <x v="13"/>
    <x v="0"/>
    <s v="Coastal Bend College"/>
    <m/>
    <n v="223320"/>
    <x v="7"/>
    <n v="7749789"/>
    <n v="7271742"/>
    <m/>
    <m/>
    <n v="1767948"/>
    <n v="1904067"/>
    <n v="4737240"/>
    <m/>
    <n v="4737240"/>
    <n v="3067124"/>
    <m/>
    <n v="3067124"/>
    <n v="14254977"/>
    <n v="12242933"/>
    <m/>
    <m/>
    <m/>
    <m/>
    <n v="0"/>
    <m/>
    <m/>
    <n v="0"/>
    <m/>
    <m/>
    <m/>
    <m/>
    <m/>
    <m/>
    <n v="14254977"/>
    <n v="12242933"/>
  </r>
  <r>
    <x v="13"/>
    <x v="0"/>
    <s v="College of the Mainland"/>
    <m/>
    <n v="226408"/>
    <x v="7"/>
    <n v="7668700"/>
    <n v="7920964"/>
    <m/>
    <m/>
    <n v="20964876"/>
    <n v="21137942"/>
    <n v="3701392"/>
    <m/>
    <n v="3701392"/>
    <n v="3306016"/>
    <m/>
    <n v="3306016"/>
    <n v="32334968"/>
    <n v="32364922"/>
    <m/>
    <m/>
    <m/>
    <m/>
    <n v="0"/>
    <m/>
    <m/>
    <n v="0"/>
    <m/>
    <m/>
    <m/>
    <m/>
    <m/>
    <m/>
    <n v="32334968"/>
    <n v="32364922"/>
  </r>
  <r>
    <x v="13"/>
    <x v="0"/>
    <s v="Grayson County College "/>
    <m/>
    <n v="225070"/>
    <x v="7"/>
    <n v="8911824"/>
    <n v="8719186"/>
    <m/>
    <m/>
    <n v="12528883"/>
    <n v="12822686"/>
    <n v="4923045"/>
    <m/>
    <n v="4923045"/>
    <n v="4877086"/>
    <m/>
    <n v="4877086"/>
    <n v="26363752"/>
    <n v="26418958"/>
    <m/>
    <m/>
    <m/>
    <m/>
    <n v="0"/>
    <m/>
    <m/>
    <n v="0"/>
    <m/>
    <m/>
    <m/>
    <m/>
    <m/>
    <m/>
    <n v="26363752"/>
    <n v="26418958"/>
  </r>
  <r>
    <x v="13"/>
    <x v="0"/>
    <s v="Hill College"/>
    <m/>
    <n v="225371"/>
    <x v="7"/>
    <n v="8014842"/>
    <n v="8492350"/>
    <m/>
    <m/>
    <n v="1384171"/>
    <n v="1427422"/>
    <n v="4163082"/>
    <m/>
    <n v="4163082"/>
    <n v="4183889"/>
    <m/>
    <n v="4183889"/>
    <n v="13562095"/>
    <n v="14103661"/>
    <m/>
    <m/>
    <m/>
    <m/>
    <n v="0"/>
    <m/>
    <m/>
    <n v="0"/>
    <m/>
    <m/>
    <m/>
    <m/>
    <m/>
    <m/>
    <n v="13562095"/>
    <n v="14103661"/>
  </r>
  <r>
    <x v="13"/>
    <x v="0"/>
    <s v="Howard College (HCJCD)"/>
    <m/>
    <n v="225520"/>
    <x v="7"/>
    <n v="12237388"/>
    <n v="11028909"/>
    <m/>
    <m/>
    <n v="6049940"/>
    <n v="6299672"/>
    <n v="70263778"/>
    <m/>
    <n v="70263778"/>
    <n v="71433953"/>
    <m/>
    <n v="71433953"/>
    <n v="88551106"/>
    <n v="88762534"/>
    <m/>
    <m/>
    <m/>
    <m/>
    <n v="0"/>
    <m/>
    <m/>
    <n v="0"/>
    <m/>
    <m/>
    <m/>
    <m/>
    <m/>
    <m/>
    <n v="88551106"/>
    <n v="88762534"/>
  </r>
  <r>
    <x v="13"/>
    <x v="0"/>
    <s v="Lamar Institute of Technology"/>
    <m/>
    <n v="441760"/>
    <x v="7"/>
    <n v="9775712"/>
    <n v="10445237"/>
    <m/>
    <m/>
    <m/>
    <m/>
    <n v="7306446"/>
    <m/>
    <n v="7306446"/>
    <n v="7664409"/>
    <m/>
    <n v="7664409"/>
    <n v="17082158"/>
    <n v="18109646"/>
    <m/>
    <m/>
    <m/>
    <m/>
    <n v="0"/>
    <m/>
    <m/>
    <n v="0"/>
    <m/>
    <m/>
    <m/>
    <m/>
    <m/>
    <m/>
    <n v="17082158"/>
    <n v="18109646"/>
  </r>
  <r>
    <x v="13"/>
    <x v="0"/>
    <s v="Lamar State College-Port Arthur"/>
    <m/>
    <n v="226116"/>
    <x v="7"/>
    <n v="9608340"/>
    <n v="12065142"/>
    <m/>
    <m/>
    <m/>
    <m/>
    <n v="4647270"/>
    <m/>
    <n v="4647270"/>
    <n v="5086397"/>
    <m/>
    <n v="5086397"/>
    <n v="14255610"/>
    <n v="17151539"/>
    <m/>
    <m/>
    <m/>
    <m/>
    <n v="0"/>
    <m/>
    <m/>
    <n v="0"/>
    <m/>
    <m/>
    <m/>
    <m/>
    <m/>
    <m/>
    <n v="14255610"/>
    <n v="17151539"/>
  </r>
  <r>
    <x v="13"/>
    <x v="0"/>
    <s v="Lee College "/>
    <m/>
    <n v="226204"/>
    <x v="7"/>
    <n v="11123200"/>
    <n v="10355734"/>
    <m/>
    <m/>
    <n v="20561713"/>
    <n v="21293088"/>
    <n v="6532856"/>
    <m/>
    <n v="6532856"/>
    <n v="6283578"/>
    <m/>
    <n v="6283578"/>
    <n v="38217769"/>
    <n v="37932400"/>
    <m/>
    <m/>
    <m/>
    <m/>
    <n v="0"/>
    <m/>
    <m/>
    <n v="0"/>
    <m/>
    <m/>
    <m/>
    <m/>
    <m/>
    <m/>
    <n v="38217769"/>
    <n v="37932400"/>
  </r>
  <r>
    <x v="13"/>
    <x v="0"/>
    <s v="Mountain View College  (DCCCD)"/>
    <m/>
    <n v="226930"/>
    <x v="7"/>
    <n v="0"/>
    <n v="0"/>
    <m/>
    <m/>
    <m/>
    <m/>
    <m/>
    <m/>
    <n v="0"/>
    <m/>
    <m/>
    <n v="0"/>
    <n v="0"/>
    <n v="0"/>
    <m/>
    <m/>
    <m/>
    <m/>
    <n v="0"/>
    <m/>
    <m/>
    <n v="0"/>
    <m/>
    <m/>
    <m/>
    <m/>
    <m/>
    <m/>
    <n v="0"/>
    <n v="0"/>
  </r>
  <r>
    <x v="13"/>
    <x v="0"/>
    <s v="Northeast Texas Community College "/>
    <m/>
    <n v="227225"/>
    <x v="7"/>
    <n v="5035086"/>
    <n v="5637301"/>
    <m/>
    <m/>
    <n v="4649095"/>
    <n v="4374652"/>
    <n v="2899761"/>
    <m/>
    <n v="2899761"/>
    <n v="3107885"/>
    <m/>
    <n v="3107885"/>
    <n v="12583942"/>
    <n v="13119838"/>
    <m/>
    <m/>
    <m/>
    <m/>
    <n v="0"/>
    <m/>
    <m/>
    <n v="0"/>
    <m/>
    <m/>
    <m/>
    <m/>
    <m/>
    <m/>
    <n v="12583942"/>
    <n v="13119838"/>
  </r>
  <r>
    <x v="13"/>
    <x v="0"/>
    <s v="Odessa College "/>
    <m/>
    <n v="227304"/>
    <x v="7"/>
    <n v="8373993"/>
    <n v="9028001"/>
    <m/>
    <m/>
    <n v="21348141"/>
    <n v="22655419"/>
    <n v="7463390"/>
    <m/>
    <n v="7463390"/>
    <n v="7578923"/>
    <m/>
    <n v="7578923"/>
    <n v="37185524"/>
    <n v="39262343"/>
    <m/>
    <m/>
    <m/>
    <m/>
    <n v="0"/>
    <m/>
    <m/>
    <n v="0"/>
    <m/>
    <m/>
    <m/>
    <m/>
    <m/>
    <m/>
    <n v="37185524"/>
    <n v="39262343"/>
  </r>
  <r>
    <x v="13"/>
    <x v="0"/>
    <s v="Paris Junior College"/>
    <m/>
    <n v="227401"/>
    <x v="7"/>
    <n v="10240573"/>
    <n v="9517308"/>
    <m/>
    <m/>
    <n v="2900541"/>
    <n v="2891428"/>
    <n v="5691298"/>
    <m/>
    <n v="5691298"/>
    <n v="5375845"/>
    <m/>
    <n v="5375845"/>
    <n v="18832412"/>
    <n v="17784581"/>
    <m/>
    <m/>
    <m/>
    <m/>
    <n v="0"/>
    <m/>
    <m/>
    <n v="0"/>
    <m/>
    <m/>
    <m/>
    <m/>
    <m/>
    <m/>
    <n v="18832412"/>
    <n v="17784581"/>
  </r>
  <r>
    <x v="13"/>
    <x v="0"/>
    <s v="Southwest Texas Junior College "/>
    <m/>
    <n v="228316"/>
    <x v="7"/>
    <n v="8621420"/>
    <n v="8466392"/>
    <m/>
    <m/>
    <n v="2549671"/>
    <n v="2703529"/>
    <n v="5493939"/>
    <m/>
    <n v="5493939"/>
    <n v="5130032"/>
    <m/>
    <n v="5130032"/>
    <n v="16665030"/>
    <n v="16299953"/>
    <m/>
    <m/>
    <m/>
    <m/>
    <n v="0"/>
    <m/>
    <m/>
    <n v="0"/>
    <m/>
    <m/>
    <m/>
    <m/>
    <m/>
    <m/>
    <n v="16665030"/>
    <n v="16299953"/>
  </r>
  <r>
    <x v="13"/>
    <x v="0"/>
    <s v="Temple College "/>
    <m/>
    <n v="228608"/>
    <x v="7"/>
    <n v="9170367"/>
    <n v="9057116"/>
    <m/>
    <m/>
    <n v="7168855"/>
    <n v="7275176"/>
    <n v="12584768"/>
    <m/>
    <n v="12584768"/>
    <n v="12237686"/>
    <m/>
    <n v="12237686"/>
    <n v="28923990"/>
    <n v="28569978"/>
    <m/>
    <m/>
    <m/>
    <m/>
    <n v="0"/>
    <m/>
    <m/>
    <n v="0"/>
    <m/>
    <m/>
    <m/>
    <m/>
    <m/>
    <m/>
    <n v="28923990"/>
    <n v="28569978"/>
  </r>
  <r>
    <x v="13"/>
    <x v="0"/>
    <s v="Texarkana College "/>
    <m/>
    <n v="228699"/>
    <x v="7"/>
    <n v="9124890"/>
    <n v="7891499"/>
    <m/>
    <m/>
    <n v="1354269"/>
    <n v="1367528"/>
    <n v="4362146"/>
    <m/>
    <n v="4362146"/>
    <n v="3726660"/>
    <m/>
    <n v="3726660"/>
    <n v="14841305"/>
    <n v="12985687"/>
    <m/>
    <m/>
    <m/>
    <m/>
    <n v="0"/>
    <m/>
    <m/>
    <n v="0"/>
    <m/>
    <m/>
    <m/>
    <m/>
    <m/>
    <m/>
    <n v="14841305"/>
    <n v="12985687"/>
  </r>
  <r>
    <x v="13"/>
    <x v="0"/>
    <s v="Texas State Technical College-Harlingen "/>
    <m/>
    <n v="229319"/>
    <x v="7"/>
    <n v="21639600"/>
    <n v="21032079"/>
    <m/>
    <m/>
    <m/>
    <m/>
    <n v="3596521"/>
    <m/>
    <n v="3596521"/>
    <n v="3906225"/>
    <m/>
    <n v="3906225"/>
    <n v="25236121"/>
    <n v="24938304"/>
    <m/>
    <m/>
    <m/>
    <m/>
    <n v="0"/>
    <m/>
    <m/>
    <n v="0"/>
    <m/>
    <m/>
    <m/>
    <m/>
    <m/>
    <m/>
    <n v="25236121"/>
    <n v="24938304"/>
  </r>
  <r>
    <x v="13"/>
    <x v="0"/>
    <s v="Vernon College "/>
    <m/>
    <n v="229504"/>
    <x v="7"/>
    <n v="6828118"/>
    <n v="6407513"/>
    <m/>
    <m/>
    <n v="2167943"/>
    <n v="2167336"/>
    <n v="3486551"/>
    <m/>
    <n v="3486551"/>
    <n v="4662544"/>
    <m/>
    <n v="4662544"/>
    <n v="12482612"/>
    <n v="13237393"/>
    <m/>
    <m/>
    <m/>
    <m/>
    <n v="0"/>
    <m/>
    <m/>
    <n v="0"/>
    <m/>
    <m/>
    <m/>
    <m/>
    <m/>
    <m/>
    <n v="12482612"/>
    <n v="13237393"/>
  </r>
  <r>
    <x v="13"/>
    <x v="0"/>
    <s v="Victoria College "/>
    <m/>
    <n v="229540"/>
    <x v="7"/>
    <n v="7137980"/>
    <n v="7401997"/>
    <m/>
    <m/>
    <n v="8375917"/>
    <n v="9115455"/>
    <n v="9631402"/>
    <m/>
    <n v="9631402"/>
    <n v="8934439"/>
    <m/>
    <n v="8934439"/>
    <n v="25145299"/>
    <n v="25451891"/>
    <m/>
    <m/>
    <m/>
    <m/>
    <n v="0"/>
    <m/>
    <m/>
    <n v="0"/>
    <m/>
    <m/>
    <m/>
    <m/>
    <m/>
    <m/>
    <n v="25145299"/>
    <n v="25451891"/>
  </r>
  <r>
    <x v="13"/>
    <x v="0"/>
    <s v="Weatherford College "/>
    <m/>
    <n v="229799"/>
    <x v="7"/>
    <n v="9069994"/>
    <n v="9503802"/>
    <m/>
    <m/>
    <n v="10271040"/>
    <n v="9875105"/>
    <n v="7136957"/>
    <m/>
    <n v="7136957"/>
    <n v="6973854"/>
    <m/>
    <n v="6973854"/>
    <n v="26477991"/>
    <n v="26352761"/>
    <m/>
    <m/>
    <m/>
    <m/>
    <n v="0"/>
    <m/>
    <m/>
    <n v="0"/>
    <m/>
    <m/>
    <m/>
    <m/>
    <m/>
    <m/>
    <n v="26477991"/>
    <n v="26352761"/>
  </r>
  <r>
    <x v="13"/>
    <x v="0"/>
    <s v="Wharton County Junior College "/>
    <m/>
    <n v="229841"/>
    <x v="7"/>
    <n v="10146747"/>
    <n v="10761554"/>
    <m/>
    <m/>
    <n v="5169609"/>
    <n v="5227590"/>
    <n v="16572420"/>
    <m/>
    <n v="16572420"/>
    <n v="18007715"/>
    <m/>
    <n v="18007715"/>
    <n v="31888776"/>
    <n v="33996859"/>
    <m/>
    <m/>
    <m/>
    <m/>
    <n v="0"/>
    <m/>
    <m/>
    <n v="0"/>
    <m/>
    <m/>
    <m/>
    <m/>
    <m/>
    <m/>
    <n v="31888776"/>
    <n v="33996859"/>
  </r>
  <r>
    <x v="13"/>
    <x v="0"/>
    <s v="Clarendon College "/>
    <m/>
    <n v="223922"/>
    <x v="8"/>
    <n v="2992787"/>
    <n v="2873785"/>
    <m/>
    <m/>
    <n v="414491"/>
    <n v="415199"/>
    <n v="1170051"/>
    <m/>
    <n v="1170051"/>
    <n v="1238401"/>
    <m/>
    <n v="1238401"/>
    <n v="4577329"/>
    <n v="4527385"/>
    <m/>
    <m/>
    <m/>
    <m/>
    <n v="0"/>
    <m/>
    <m/>
    <n v="0"/>
    <m/>
    <m/>
    <m/>
    <m/>
    <m/>
    <m/>
    <n v="4577329"/>
    <n v="4527385"/>
  </r>
  <r>
    <x v="13"/>
    <x v="0"/>
    <s v="Frank Phillips College "/>
    <m/>
    <n v="224891"/>
    <x v="8"/>
    <n v="2511021"/>
    <n v="2644149"/>
    <m/>
    <m/>
    <n v="1415029"/>
    <n v="1415029"/>
    <n v="619626"/>
    <m/>
    <n v="619626"/>
    <n v="809488"/>
    <m/>
    <n v="809488"/>
    <n v="4545676"/>
    <n v="4868666"/>
    <m/>
    <m/>
    <m/>
    <m/>
    <n v="0"/>
    <m/>
    <m/>
    <n v="0"/>
    <m/>
    <m/>
    <m/>
    <m/>
    <m/>
    <m/>
    <n v="4545676"/>
    <n v="4868666"/>
  </r>
  <r>
    <x v="13"/>
    <x v="0"/>
    <s v="Galveston College "/>
    <m/>
    <n v="224961"/>
    <x v="8"/>
    <n v="4059276"/>
    <n v="4406558"/>
    <m/>
    <m/>
    <n v="9474409"/>
    <n v="10084057"/>
    <n v="2523914"/>
    <m/>
    <n v="2523914"/>
    <n v="2520989"/>
    <m/>
    <n v="2520989"/>
    <n v="16057599"/>
    <n v="17011604"/>
    <m/>
    <m/>
    <m/>
    <m/>
    <n v="0"/>
    <m/>
    <m/>
    <n v="0"/>
    <m/>
    <m/>
    <m/>
    <m/>
    <m/>
    <m/>
    <n v="16057599"/>
    <n v="17011604"/>
  </r>
  <r>
    <x v="13"/>
    <x v="0"/>
    <s v="Lamar State College-Orange"/>
    <m/>
    <n v="226107"/>
    <x v="8"/>
    <n v="7874646"/>
    <n v="8326995"/>
    <m/>
    <m/>
    <m/>
    <m/>
    <n v="4240267"/>
    <m/>
    <n v="4240267"/>
    <n v="4298956"/>
    <m/>
    <n v="4298956"/>
    <n v="12114913"/>
    <n v="12625951"/>
    <m/>
    <m/>
    <m/>
    <m/>
    <n v="0"/>
    <m/>
    <m/>
    <n v="0"/>
    <m/>
    <m/>
    <m/>
    <m/>
    <m/>
    <m/>
    <n v="12114913"/>
    <n v="12625951"/>
  </r>
  <r>
    <x v="13"/>
    <x v="0"/>
    <s v="Northeast Lakeview College (ACCD)"/>
    <m/>
    <s v="???"/>
    <x v="8"/>
    <n v="0"/>
    <n v="0"/>
    <m/>
    <m/>
    <m/>
    <m/>
    <m/>
    <m/>
    <n v="0"/>
    <m/>
    <m/>
    <n v="0"/>
    <n v="0"/>
    <n v="0"/>
    <m/>
    <m/>
    <m/>
    <m/>
    <n v="0"/>
    <m/>
    <m/>
    <n v="0"/>
    <m/>
    <m/>
    <m/>
    <m/>
    <m/>
    <m/>
    <n v="0"/>
    <n v="0"/>
  </r>
  <r>
    <x v="13"/>
    <x v="0"/>
    <s v="Panola College"/>
    <m/>
    <n v="227386"/>
    <x v="8"/>
    <n v="4143837"/>
    <n v="5063609"/>
    <m/>
    <m/>
    <n v="5750320"/>
    <n v="5962541"/>
    <n v="2879361"/>
    <m/>
    <n v="2879361"/>
    <n v="2764154"/>
    <m/>
    <n v="2764154"/>
    <n v="12773518"/>
    <n v="13790304"/>
    <m/>
    <m/>
    <m/>
    <m/>
    <n v="0"/>
    <m/>
    <m/>
    <n v="0"/>
    <m/>
    <m/>
    <m/>
    <m/>
    <m/>
    <m/>
    <n v="12773518"/>
    <n v="13790304"/>
  </r>
  <r>
    <x v="13"/>
    <x v="0"/>
    <s v="Ranger College "/>
    <m/>
    <n v="227687"/>
    <x v="8"/>
    <n v="2612936"/>
    <n v="3734878"/>
    <m/>
    <m/>
    <n v="239836"/>
    <n v="260751"/>
    <n v="2186758"/>
    <m/>
    <n v="2186758"/>
    <n v="1584341"/>
    <m/>
    <n v="1584341"/>
    <n v="5039530"/>
    <n v="5579970"/>
    <m/>
    <m/>
    <m/>
    <m/>
    <n v="0"/>
    <m/>
    <m/>
    <n v="0"/>
    <m/>
    <m/>
    <m/>
    <m/>
    <m/>
    <m/>
    <n v="5039530"/>
    <n v="5579970"/>
  </r>
  <r>
    <x v="13"/>
    <x v="0"/>
    <s v="Southwest Collegiate Institute for the Deaf (HCJCD)"/>
    <m/>
    <n v="382911"/>
    <x v="8"/>
    <n v="0"/>
    <n v="0"/>
    <m/>
    <m/>
    <m/>
    <m/>
    <m/>
    <m/>
    <n v="0"/>
    <m/>
    <m/>
    <n v="0"/>
    <n v="0"/>
    <n v="0"/>
    <m/>
    <m/>
    <m/>
    <m/>
    <n v="0"/>
    <m/>
    <m/>
    <n v="0"/>
    <m/>
    <m/>
    <m/>
    <m/>
    <m/>
    <m/>
    <n v="0"/>
    <n v="0"/>
  </r>
  <r>
    <x v="13"/>
    <x v="0"/>
    <s v="Texas State Technical College-Marshall"/>
    <m/>
    <n v="408394"/>
    <x v="8"/>
    <n v="6579112"/>
    <n v="5712334"/>
    <m/>
    <m/>
    <m/>
    <m/>
    <n v="2150257"/>
    <m/>
    <n v="2150257"/>
    <n v="2084206"/>
    <m/>
    <n v="2084206"/>
    <n v="8729369"/>
    <n v="7796540"/>
    <m/>
    <m/>
    <m/>
    <m/>
    <n v="0"/>
    <m/>
    <m/>
    <n v="0"/>
    <m/>
    <m/>
    <m/>
    <m/>
    <m/>
    <m/>
    <n v="8729369"/>
    <n v="7796540"/>
  </r>
  <r>
    <x v="13"/>
    <x v="0"/>
    <s v="Texas State Technical College-West Texas"/>
    <m/>
    <n v="229328"/>
    <x v="8"/>
    <n v="12515590"/>
    <n v="11901968"/>
    <m/>
    <m/>
    <m/>
    <m/>
    <n v="1953554"/>
    <m/>
    <n v="1953554"/>
    <n v="2437760"/>
    <m/>
    <n v="2437760"/>
    <n v="14469144"/>
    <n v="14339728"/>
    <m/>
    <m/>
    <m/>
    <m/>
    <n v="0"/>
    <m/>
    <m/>
    <n v="0"/>
    <m/>
    <m/>
    <m/>
    <m/>
    <m/>
    <m/>
    <n v="14469144"/>
    <n v="14339728"/>
  </r>
  <r>
    <x v="13"/>
    <x v="0"/>
    <s v="Western Texas College "/>
    <m/>
    <n v="229832"/>
    <x v="8"/>
    <n v="4253834"/>
    <n v="4522020"/>
    <m/>
    <m/>
    <n v="5686282"/>
    <n v="6194971"/>
    <n v="2951458"/>
    <m/>
    <n v="2951458"/>
    <n v="3268729"/>
    <m/>
    <n v="3268729"/>
    <n v="12891574"/>
    <n v="13985720"/>
    <m/>
    <m/>
    <m/>
    <m/>
    <n v="0"/>
    <m/>
    <m/>
    <n v="0"/>
    <m/>
    <m/>
    <m/>
    <m/>
    <m/>
    <m/>
    <n v="12891574"/>
    <n v="13985720"/>
  </r>
  <r>
    <x v="13"/>
    <x v="0"/>
    <s v="Alamo Community College District (ACCD)"/>
    <m/>
    <m/>
    <x v="15"/>
    <n v="78158475"/>
    <n v="209699392"/>
    <m/>
    <m/>
    <n v="138923380"/>
    <n v="149063093"/>
    <n v="59696566"/>
    <m/>
    <n v="59696566"/>
    <n v="64091209"/>
    <m/>
    <n v="64091209"/>
    <n v="276778421"/>
    <n v="422853694"/>
    <m/>
    <m/>
    <m/>
    <m/>
    <n v="0"/>
    <m/>
    <m/>
    <n v="0"/>
    <m/>
    <m/>
    <m/>
    <m/>
    <m/>
    <m/>
    <n v="276778421"/>
    <n v="422853694"/>
  </r>
  <r>
    <x v="13"/>
    <x v="0"/>
    <s v="Dallas County Community College District (DCCD)"/>
    <m/>
    <m/>
    <x v="15"/>
    <n v="107171623"/>
    <n v="102925973"/>
    <m/>
    <m/>
    <n v="161407124"/>
    <n v="196000124"/>
    <n v="56484293"/>
    <m/>
    <n v="56484293"/>
    <n v="58335519"/>
    <m/>
    <n v="58335519"/>
    <n v="325063040"/>
    <n v="357261616"/>
    <m/>
    <m/>
    <m/>
    <m/>
    <n v="0"/>
    <m/>
    <m/>
    <n v="0"/>
    <m/>
    <m/>
    <m/>
    <m/>
    <m/>
    <m/>
    <n v="325063040"/>
    <n v="357261616"/>
  </r>
  <r>
    <x v="13"/>
    <x v="0"/>
    <s v="Howard College (HCJCD)"/>
    <m/>
    <m/>
    <x v="15"/>
    <n v="0"/>
    <n v="0"/>
    <m/>
    <m/>
    <m/>
    <m/>
    <m/>
    <m/>
    <n v="0"/>
    <m/>
    <m/>
    <n v="0"/>
    <n v="0"/>
    <n v="0"/>
    <m/>
    <m/>
    <m/>
    <m/>
    <n v="0"/>
    <m/>
    <m/>
    <n v="0"/>
    <m/>
    <m/>
    <m/>
    <m/>
    <m/>
    <m/>
    <n v="0"/>
    <n v="0"/>
  </r>
  <r>
    <x v="13"/>
    <x v="1"/>
    <s v="Texas A&amp;M Health Science Center"/>
    <m/>
    <n v="223214"/>
    <x v="11"/>
    <m/>
    <m/>
    <m/>
    <m/>
    <m/>
    <m/>
    <m/>
    <m/>
    <n v="0"/>
    <m/>
    <m/>
    <n v="0"/>
    <n v="0"/>
    <n v="0"/>
    <m/>
    <m/>
    <m/>
    <m/>
    <n v="0"/>
    <m/>
    <m/>
    <n v="0"/>
    <n v="101565161"/>
    <n v="129613851"/>
    <n v="27403032"/>
    <m/>
    <n v="29879928"/>
    <m/>
    <n v="128968193"/>
    <n v="159493779"/>
  </r>
  <r>
    <x v="13"/>
    <x v="1"/>
    <s v="Texas Tech University Health Sciences Center"/>
    <m/>
    <n v="229337"/>
    <x v="11"/>
    <m/>
    <m/>
    <m/>
    <m/>
    <m/>
    <m/>
    <m/>
    <m/>
    <n v="0"/>
    <m/>
    <m/>
    <n v="0"/>
    <n v="0"/>
    <n v="0"/>
    <m/>
    <m/>
    <m/>
    <m/>
    <n v="0"/>
    <m/>
    <m/>
    <n v="0"/>
    <n v="163433831"/>
    <n v="195429838"/>
    <n v="39085218"/>
    <m/>
    <n v="42551274"/>
    <m/>
    <n v="202519049"/>
    <n v="237981112"/>
  </r>
  <r>
    <x v="13"/>
    <x v="1"/>
    <s v="Texas Tech University Health Sciences Center El Paso"/>
    <m/>
    <s v="????"/>
    <x v="11"/>
    <m/>
    <m/>
    <m/>
    <m/>
    <m/>
    <m/>
    <m/>
    <m/>
    <n v="0"/>
    <m/>
    <m/>
    <n v="0"/>
    <n v="0"/>
    <n v="0"/>
    <m/>
    <m/>
    <m/>
    <m/>
    <n v="0"/>
    <m/>
    <m/>
    <n v="0"/>
    <m/>
    <n v="1400000"/>
    <n v="0"/>
    <m/>
    <n v="0"/>
    <m/>
    <n v="0"/>
    <n v="1400000"/>
  </r>
  <r>
    <x v="13"/>
    <x v="1"/>
    <s v="University of North Texas Health Science Center at Fort Worth"/>
    <m/>
    <n v="228909"/>
    <x v="11"/>
    <m/>
    <m/>
    <m/>
    <m/>
    <m/>
    <m/>
    <m/>
    <m/>
    <n v="0"/>
    <m/>
    <m/>
    <n v="0"/>
    <n v="0"/>
    <n v="0"/>
    <m/>
    <m/>
    <m/>
    <m/>
    <n v="0"/>
    <m/>
    <m/>
    <n v="0"/>
    <n v="59091971"/>
    <n v="76364770"/>
    <n v="20948541"/>
    <m/>
    <n v="23047717"/>
    <m/>
    <n v="80040512"/>
    <n v="99412487"/>
  </r>
  <r>
    <x v="13"/>
    <x v="1"/>
    <s v="University of Texas Health Science Center at Houston"/>
    <m/>
    <n v="229300"/>
    <x v="11"/>
    <m/>
    <m/>
    <m/>
    <m/>
    <m/>
    <m/>
    <m/>
    <m/>
    <n v="0"/>
    <m/>
    <m/>
    <n v="0"/>
    <n v="0"/>
    <n v="0"/>
    <m/>
    <m/>
    <m/>
    <m/>
    <n v="0"/>
    <m/>
    <m/>
    <n v="0"/>
    <n v="157738254"/>
    <n v="190116007"/>
    <n v="35916483"/>
    <m/>
    <n v="37857366"/>
    <m/>
    <n v="193654737"/>
    <n v="227973373"/>
  </r>
  <r>
    <x v="13"/>
    <x v="1"/>
    <s v="University of Texas Health Science Center at San Antonio"/>
    <m/>
    <n v="228644"/>
    <x v="11"/>
    <m/>
    <m/>
    <m/>
    <m/>
    <m/>
    <m/>
    <m/>
    <m/>
    <n v="0"/>
    <m/>
    <m/>
    <n v="0"/>
    <n v="0"/>
    <n v="0"/>
    <m/>
    <m/>
    <m/>
    <m/>
    <n v="0"/>
    <m/>
    <m/>
    <n v="0"/>
    <n v="156158066"/>
    <n v="177838900"/>
    <n v="30407962"/>
    <m/>
    <n v="32579892"/>
    <m/>
    <n v="186566028"/>
    <n v="210418792"/>
  </r>
  <r>
    <x v="13"/>
    <x v="1"/>
    <s v="University of Texas M.D. Anderson Cancer Center"/>
    <m/>
    <n v="416801"/>
    <x v="11"/>
    <m/>
    <m/>
    <m/>
    <m/>
    <m/>
    <m/>
    <m/>
    <m/>
    <n v="0"/>
    <m/>
    <m/>
    <n v="0"/>
    <n v="0"/>
    <n v="0"/>
    <m/>
    <m/>
    <m/>
    <m/>
    <n v="0"/>
    <m/>
    <m/>
    <n v="0"/>
    <n v="197958544"/>
    <n v="237990852"/>
    <n v="1282629"/>
    <m/>
    <n v="1241361"/>
    <m/>
    <n v="199241173"/>
    <n v="239232213"/>
  </r>
  <r>
    <x v="13"/>
    <x v="1"/>
    <s v="University of Texas Medical Branch at Galveston"/>
    <m/>
    <n v="228653"/>
    <x v="11"/>
    <m/>
    <m/>
    <m/>
    <m/>
    <m/>
    <m/>
    <m/>
    <m/>
    <n v="0"/>
    <m/>
    <m/>
    <n v="0"/>
    <n v="0"/>
    <n v="0"/>
    <m/>
    <m/>
    <m/>
    <m/>
    <n v="0"/>
    <m/>
    <m/>
    <n v="0"/>
    <n v="318364087"/>
    <n v="340259418"/>
    <n v="28891848"/>
    <m/>
    <n v="29568236"/>
    <m/>
    <n v="347255935"/>
    <n v="369827654"/>
  </r>
  <r>
    <x v="13"/>
    <x v="1"/>
    <s v="University of Texas Southwestern Medical Center"/>
    <m/>
    <n v="228635"/>
    <x v="11"/>
    <m/>
    <m/>
    <m/>
    <m/>
    <m/>
    <m/>
    <m/>
    <m/>
    <n v="0"/>
    <m/>
    <m/>
    <n v="0"/>
    <n v="0"/>
    <n v="0"/>
    <m/>
    <m/>
    <m/>
    <m/>
    <n v="0"/>
    <m/>
    <m/>
    <n v="0"/>
    <n v="141738226"/>
    <n v="160170890"/>
    <n v="16793191"/>
    <m/>
    <n v="17871405"/>
    <m/>
    <n v="158531417"/>
    <n v="178042295"/>
  </r>
  <r>
    <x v="13"/>
    <x v="42"/>
    <s v="University of Texas Health Center at Tyler"/>
    <m/>
    <m/>
    <x v="11"/>
    <m/>
    <m/>
    <m/>
    <m/>
    <m/>
    <m/>
    <m/>
    <m/>
    <n v="0"/>
    <m/>
    <m/>
    <n v="0"/>
    <n v="0"/>
    <n v="0"/>
    <m/>
    <m/>
    <m/>
    <m/>
    <n v="0"/>
    <m/>
    <m/>
    <n v="0"/>
    <n v="38359596"/>
    <n v="46119542"/>
    <n v="0"/>
    <m/>
    <n v="39200"/>
    <m/>
    <n v="38359596"/>
    <n v="46158742"/>
  </r>
  <r>
    <x v="13"/>
    <x v="0"/>
    <s v="UNIV. OF NORTH TEXAS AT DALLAS"/>
    <s v="New fall 2009. No degrees yet granted."/>
    <n v="443711"/>
    <x v="13"/>
    <n v="11672435"/>
    <n v="12262083"/>
    <m/>
    <m/>
    <m/>
    <m/>
    <n v="7642235"/>
    <m/>
    <n v="7642235"/>
    <n v="8823113"/>
    <m/>
    <n v="8823113"/>
    <n v="19314670"/>
    <n v="21085196"/>
    <m/>
    <m/>
    <m/>
    <m/>
    <n v="0"/>
    <m/>
    <m/>
    <n v="0"/>
    <m/>
    <m/>
    <m/>
    <m/>
    <m/>
    <m/>
    <n v="19314670"/>
    <n v="21085196"/>
  </r>
  <r>
    <x v="13"/>
    <x v="10"/>
    <s v="Statewide Special-Purpose Units"/>
    <m/>
    <m/>
    <x v="12"/>
    <m/>
    <m/>
    <m/>
    <m/>
    <m/>
    <m/>
    <m/>
    <m/>
    <n v="0"/>
    <m/>
    <m/>
    <n v="0"/>
    <n v="0"/>
    <n v="0"/>
    <m/>
    <m/>
    <m/>
    <m/>
    <n v="0"/>
    <m/>
    <m/>
    <n v="0"/>
    <m/>
    <m/>
    <m/>
    <m/>
    <m/>
    <m/>
    <n v="0"/>
    <n v="0"/>
  </r>
  <r>
    <x v="13"/>
    <x v="12"/>
    <s v="Family practice residency "/>
    <m/>
    <m/>
    <x v="12"/>
    <m/>
    <m/>
    <m/>
    <m/>
    <m/>
    <m/>
    <m/>
    <m/>
    <n v="0"/>
    <m/>
    <m/>
    <n v="0"/>
    <n v="0"/>
    <n v="0"/>
    <m/>
    <m/>
    <m/>
    <m/>
    <n v="0"/>
    <m/>
    <m/>
    <n v="0"/>
    <n v="2800000"/>
    <n v="2515000"/>
    <m/>
    <m/>
    <m/>
    <m/>
    <n v="2800000"/>
    <n v="2515000"/>
  </r>
  <r>
    <x v="13"/>
    <x v="12"/>
    <s v="Other Health Related- Tobacco Settle-Minority Health Res. &amp; Ed."/>
    <m/>
    <m/>
    <x v="12"/>
    <m/>
    <m/>
    <m/>
    <m/>
    <m/>
    <m/>
    <m/>
    <m/>
    <n v="0"/>
    <m/>
    <m/>
    <n v="0"/>
    <n v="0"/>
    <n v="0"/>
    <m/>
    <m/>
    <m/>
    <m/>
    <n v="0"/>
    <m/>
    <m/>
    <n v="0"/>
    <n v="1649017"/>
    <n v="1725000"/>
    <m/>
    <m/>
    <m/>
    <m/>
    <n v="1649017"/>
    <n v="1725000"/>
  </r>
  <r>
    <x v="13"/>
    <x v="12"/>
    <s v="Other Health Related- Tobacco Settle-Nursing, Allied Health, etc."/>
    <m/>
    <m/>
    <x v="12"/>
    <m/>
    <m/>
    <m/>
    <m/>
    <m/>
    <m/>
    <m/>
    <m/>
    <n v="0"/>
    <m/>
    <m/>
    <n v="0"/>
    <n v="0"/>
    <n v="0"/>
    <m/>
    <m/>
    <m/>
    <m/>
    <n v="0"/>
    <m/>
    <m/>
    <n v="0"/>
    <n v="2700788"/>
    <n v="3200000"/>
    <m/>
    <m/>
    <m/>
    <m/>
    <n v="2700788"/>
    <n v="3200000"/>
  </r>
  <r>
    <x v="13"/>
    <x v="12"/>
    <s v="Nursing Shortage Reduction Program"/>
    <m/>
    <m/>
    <x v="12"/>
    <m/>
    <m/>
    <m/>
    <m/>
    <m/>
    <m/>
    <m/>
    <m/>
    <n v="0"/>
    <m/>
    <m/>
    <n v="0"/>
    <n v="0"/>
    <n v="0"/>
    <m/>
    <m/>
    <m/>
    <m/>
    <n v="0"/>
    <m/>
    <m/>
    <n v="0"/>
    <n v="15000000"/>
    <n v="16875000"/>
    <m/>
    <m/>
    <m/>
    <m/>
    <n v="15000000"/>
    <n v="16875000"/>
  </r>
  <r>
    <x v="13"/>
    <x v="13"/>
    <s v="Educational special purpose funds — all other"/>
    <m/>
    <m/>
    <x v="12"/>
    <m/>
    <m/>
    <m/>
    <m/>
    <m/>
    <m/>
    <m/>
    <m/>
    <n v="0"/>
    <m/>
    <m/>
    <n v="0"/>
    <n v="0"/>
    <n v="0"/>
    <m/>
    <m/>
    <m/>
    <m/>
    <n v="0"/>
    <m/>
    <m/>
    <n v="0"/>
    <m/>
    <m/>
    <m/>
    <m/>
    <m/>
    <m/>
    <n v="0"/>
    <n v="0"/>
  </r>
  <r>
    <x v="13"/>
    <x v="13"/>
    <s v="African American Museum"/>
    <m/>
    <m/>
    <x v="12"/>
    <m/>
    <m/>
    <n v="66716"/>
    <n v="0"/>
    <m/>
    <m/>
    <m/>
    <m/>
    <n v="0"/>
    <m/>
    <m/>
    <n v="0"/>
    <n v="66716"/>
    <n v="0"/>
    <m/>
    <m/>
    <m/>
    <m/>
    <n v="0"/>
    <m/>
    <m/>
    <n v="0"/>
    <m/>
    <m/>
    <m/>
    <m/>
    <m/>
    <m/>
    <n v="66716"/>
    <n v="0"/>
  </r>
  <r>
    <x v="13"/>
    <x v="14"/>
    <s v="Statewide System Operations"/>
    <m/>
    <m/>
    <x v="12"/>
    <m/>
    <m/>
    <m/>
    <m/>
    <m/>
    <m/>
    <m/>
    <m/>
    <n v="0"/>
    <m/>
    <m/>
    <n v="0"/>
    <n v="0"/>
    <n v="0"/>
    <m/>
    <m/>
    <m/>
    <m/>
    <n v="0"/>
    <m/>
    <m/>
    <n v="0"/>
    <m/>
    <m/>
    <m/>
    <m/>
    <m/>
    <m/>
    <n v="0"/>
    <n v="0"/>
  </r>
  <r>
    <x v="13"/>
    <x v="15"/>
    <s v="Colleges and universities System Admin."/>
    <m/>
    <m/>
    <x v="12"/>
    <m/>
    <m/>
    <m/>
    <m/>
    <m/>
    <m/>
    <m/>
    <m/>
    <n v="0"/>
    <m/>
    <m/>
    <n v="0"/>
    <n v="0"/>
    <n v="0"/>
    <n v="50540802"/>
    <n v="38258771"/>
    <m/>
    <m/>
    <n v="0"/>
    <m/>
    <m/>
    <n v="0"/>
    <m/>
    <m/>
    <m/>
    <m/>
    <m/>
    <m/>
    <n v="50540802"/>
    <n v="38258771"/>
  </r>
  <r>
    <x v="13"/>
    <x v="15"/>
    <s v="Texas Higher Education Coordinating Board"/>
    <m/>
    <m/>
    <x v="12"/>
    <m/>
    <m/>
    <m/>
    <m/>
    <m/>
    <m/>
    <m/>
    <m/>
    <n v="0"/>
    <m/>
    <m/>
    <n v="0"/>
    <n v="0"/>
    <n v="0"/>
    <n v="90376714"/>
    <n v="67767579"/>
    <m/>
    <m/>
    <n v="0"/>
    <m/>
    <m/>
    <n v="0"/>
    <m/>
    <m/>
    <m/>
    <m/>
    <m/>
    <m/>
    <n v="90376714"/>
    <n v="67767579"/>
  </r>
  <r>
    <x v="13"/>
    <x v="16"/>
    <s v="Two-year system(s), if any"/>
    <m/>
    <m/>
    <x v="12"/>
    <m/>
    <m/>
    <m/>
    <m/>
    <m/>
    <m/>
    <m/>
    <m/>
    <n v="0"/>
    <m/>
    <m/>
    <n v="0"/>
    <n v="0"/>
    <n v="0"/>
    <m/>
    <m/>
    <m/>
    <m/>
    <n v="0"/>
    <m/>
    <m/>
    <n v="0"/>
    <m/>
    <m/>
    <m/>
    <m/>
    <m/>
    <m/>
    <n v="0"/>
    <n v="0"/>
  </r>
  <r>
    <x v="13"/>
    <x v="16"/>
    <s v="Texas State Technical College System Office"/>
    <m/>
    <m/>
    <x v="12"/>
    <m/>
    <m/>
    <m/>
    <m/>
    <m/>
    <m/>
    <m/>
    <m/>
    <n v="0"/>
    <m/>
    <m/>
    <n v="0"/>
    <n v="0"/>
    <n v="0"/>
    <n v="5603862"/>
    <n v="13114523"/>
    <m/>
    <m/>
    <n v="0"/>
    <m/>
    <m/>
    <n v="0"/>
    <m/>
    <m/>
    <m/>
    <m/>
    <m/>
    <m/>
    <n v="5603862"/>
    <n v="13114523"/>
  </r>
  <r>
    <x v="13"/>
    <x v="18"/>
    <s v="Adm. of Statewide Student Aid Progs. (including centralized guaranteed student loans)"/>
    <m/>
    <m/>
    <x v="12"/>
    <m/>
    <m/>
    <m/>
    <m/>
    <m/>
    <m/>
    <m/>
    <m/>
    <n v="0"/>
    <m/>
    <m/>
    <n v="0"/>
    <n v="0"/>
    <n v="0"/>
    <m/>
    <m/>
    <m/>
    <m/>
    <n v="0"/>
    <m/>
    <m/>
    <n v="0"/>
    <m/>
    <m/>
    <m/>
    <m/>
    <m/>
    <m/>
    <n v="0"/>
    <n v="0"/>
  </r>
  <r>
    <x v="13"/>
    <x v="19"/>
    <s v="State Support to Private Colleges Other Than Student Aid"/>
    <m/>
    <m/>
    <x v="12"/>
    <m/>
    <m/>
    <m/>
    <m/>
    <m/>
    <m/>
    <m/>
    <m/>
    <n v="0"/>
    <m/>
    <m/>
    <n v="0"/>
    <n v="0"/>
    <n v="0"/>
    <m/>
    <m/>
    <m/>
    <m/>
    <n v="0"/>
    <m/>
    <m/>
    <n v="0"/>
    <m/>
    <m/>
    <m/>
    <m/>
    <m/>
    <m/>
    <n v="0"/>
    <n v="0"/>
  </r>
  <r>
    <x v="13"/>
    <x v="19"/>
    <s v="Baylor College of Medicine"/>
    <m/>
    <m/>
    <x v="12"/>
    <m/>
    <m/>
    <m/>
    <m/>
    <m/>
    <m/>
    <m/>
    <m/>
    <n v="0"/>
    <m/>
    <m/>
    <n v="0"/>
    <n v="0"/>
    <n v="0"/>
    <m/>
    <m/>
    <m/>
    <m/>
    <n v="0"/>
    <m/>
    <m/>
    <n v="0"/>
    <n v="43958524"/>
    <n v="45077583"/>
    <m/>
    <m/>
    <m/>
    <m/>
    <n v="43958524"/>
    <n v="45077583"/>
  </r>
  <r>
    <x v="13"/>
    <x v="19"/>
    <s v="Centers for Teacher Education"/>
    <m/>
    <m/>
    <x v="12"/>
    <m/>
    <m/>
    <m/>
    <m/>
    <m/>
    <m/>
    <m/>
    <m/>
    <n v="0"/>
    <m/>
    <m/>
    <n v="0"/>
    <n v="0"/>
    <n v="0"/>
    <n v="1520353"/>
    <n v="1520353"/>
    <m/>
    <m/>
    <n v="0"/>
    <m/>
    <m/>
    <n v="0"/>
    <m/>
    <m/>
    <m/>
    <m/>
    <m/>
    <m/>
    <n v="1520353"/>
    <n v="1520353"/>
  </r>
  <r>
    <x v="13"/>
    <x v="24"/>
    <s v="Statewide Student Financial Aid Programs Administered Off Campus"/>
    <m/>
    <m/>
    <x v="12"/>
    <m/>
    <m/>
    <m/>
    <m/>
    <m/>
    <m/>
    <m/>
    <m/>
    <n v="0"/>
    <m/>
    <m/>
    <n v="0"/>
    <n v="0"/>
    <n v="0"/>
    <m/>
    <m/>
    <m/>
    <m/>
    <n v="0"/>
    <m/>
    <m/>
    <n v="0"/>
    <m/>
    <m/>
    <m/>
    <m/>
    <m/>
    <m/>
    <n v="0"/>
    <n v="0"/>
  </r>
  <r>
    <x v="13"/>
    <x v="25"/>
    <s v="Available to public &amp; private sector students"/>
    <m/>
    <m/>
    <x v="12"/>
    <m/>
    <m/>
    <m/>
    <m/>
    <m/>
    <m/>
    <m/>
    <m/>
    <n v="0"/>
    <m/>
    <m/>
    <n v="0"/>
    <n v="0"/>
    <n v="0"/>
    <m/>
    <m/>
    <m/>
    <m/>
    <n v="0"/>
    <m/>
    <m/>
    <n v="0"/>
    <m/>
    <m/>
    <m/>
    <m/>
    <m/>
    <m/>
    <n v="0"/>
    <n v="0"/>
  </r>
  <r>
    <x v="13"/>
    <x v="25"/>
    <s v="TX Student Aid"/>
    <m/>
    <m/>
    <x v="12"/>
    <m/>
    <m/>
    <m/>
    <m/>
    <m/>
    <m/>
    <m/>
    <m/>
    <n v="0"/>
    <m/>
    <m/>
    <n v="0"/>
    <n v="0"/>
    <n v="0"/>
    <n v="352460831"/>
    <n v="525861525"/>
    <m/>
    <m/>
    <n v="0"/>
    <m/>
    <m/>
    <n v="0"/>
    <m/>
    <m/>
    <m/>
    <m/>
    <m/>
    <m/>
    <n v="352460831"/>
    <n v="525861525"/>
  </r>
  <r>
    <x v="13"/>
    <x v="27"/>
    <s v="Non need-based"/>
    <m/>
    <m/>
    <x v="12"/>
    <m/>
    <m/>
    <m/>
    <m/>
    <m/>
    <m/>
    <m/>
    <m/>
    <n v="0"/>
    <m/>
    <m/>
    <n v="0"/>
    <n v="0"/>
    <n v="0"/>
    <n v="17664000"/>
    <n v="20864000"/>
    <m/>
    <m/>
    <n v="0"/>
    <m/>
    <m/>
    <n v="0"/>
    <m/>
    <m/>
    <m/>
    <m/>
    <m/>
    <m/>
    <n v="17664000"/>
    <n v="20864000"/>
  </r>
  <r>
    <x v="13"/>
    <x v="25"/>
    <s v="Teach for TX Conditional Grants"/>
    <m/>
    <m/>
    <x v="12"/>
    <m/>
    <m/>
    <m/>
    <m/>
    <m/>
    <m/>
    <m/>
    <m/>
    <n v="0"/>
    <m/>
    <m/>
    <n v="0"/>
    <n v="0"/>
    <n v="0"/>
    <n v="500000"/>
    <n v="2212500"/>
    <m/>
    <m/>
    <n v="0"/>
    <m/>
    <m/>
    <n v="0"/>
    <m/>
    <m/>
    <m/>
    <m/>
    <m/>
    <m/>
    <n v="500000"/>
    <n v="2212500"/>
  </r>
  <r>
    <x v="13"/>
    <x v="25"/>
    <s v="Joint Admission Medical Program"/>
    <m/>
    <m/>
    <x v="12"/>
    <m/>
    <m/>
    <m/>
    <m/>
    <m/>
    <m/>
    <m/>
    <m/>
    <n v="0"/>
    <m/>
    <m/>
    <n v="0"/>
    <n v="0"/>
    <n v="0"/>
    <n v="0"/>
    <n v="10206794"/>
    <m/>
    <m/>
    <n v="0"/>
    <m/>
    <m/>
    <n v="0"/>
    <m/>
    <m/>
    <m/>
    <m/>
    <m/>
    <m/>
    <n v="0"/>
    <n v="10206794"/>
  </r>
  <r>
    <x v="13"/>
    <x v="25"/>
    <s v="Border Faculty Loan Repayment Program"/>
    <m/>
    <m/>
    <x v="12"/>
    <m/>
    <m/>
    <m/>
    <m/>
    <m/>
    <m/>
    <m/>
    <m/>
    <n v="0"/>
    <m/>
    <m/>
    <n v="0"/>
    <n v="0"/>
    <n v="0"/>
    <n v="187813"/>
    <n v="187813"/>
    <m/>
    <m/>
    <n v="0"/>
    <m/>
    <m/>
    <n v="0"/>
    <m/>
    <m/>
    <m/>
    <m/>
    <m/>
    <m/>
    <n v="187813"/>
    <n v="187813"/>
  </r>
  <r>
    <x v="14"/>
    <x v="0"/>
    <s v="George Mason University "/>
    <m/>
    <n v="232186"/>
    <x v="0"/>
    <n v="112149834"/>
    <n v="116066517"/>
    <n v="956250"/>
    <n v="1206250"/>
    <m/>
    <m/>
    <n v="292258478"/>
    <n v="2281257"/>
    <n v="294539735"/>
    <n v="285697677"/>
    <n v="2535489"/>
    <n v="288233166"/>
    <n v="405364562"/>
    <n v="402970444"/>
    <m/>
    <m/>
    <m/>
    <m/>
    <n v="0"/>
    <m/>
    <m/>
    <n v="0"/>
    <m/>
    <m/>
    <m/>
    <m/>
    <m/>
    <m/>
    <n v="405364562"/>
    <n v="402970444"/>
  </r>
  <r>
    <x v="14"/>
    <x v="0"/>
    <s v="Old Dominion University "/>
    <m/>
    <n v="232982"/>
    <x v="0"/>
    <n v="97649766"/>
    <n v="103809827"/>
    <n v="3099838"/>
    <n v="3099838"/>
    <m/>
    <m/>
    <n v="124638183"/>
    <n v="1063161"/>
    <n v="125701344"/>
    <n v="137728221"/>
    <n v="458766"/>
    <n v="138186987"/>
    <n v="225387787"/>
    <n v="244637886"/>
    <m/>
    <m/>
    <m/>
    <m/>
    <n v="0"/>
    <m/>
    <m/>
    <n v="0"/>
    <m/>
    <m/>
    <m/>
    <m/>
    <m/>
    <m/>
    <n v="225387787"/>
    <n v="244637886"/>
  </r>
  <r>
    <x v="14"/>
    <x v="0"/>
    <s v="University of Virginia"/>
    <m/>
    <n v="234076"/>
    <x v="0"/>
    <n v="99331142"/>
    <n v="103100232"/>
    <n v="4732332"/>
    <n v="6732332"/>
    <m/>
    <m/>
    <n v="459701000"/>
    <n v="4768632"/>
    <n v="464469632"/>
    <n v="445310563"/>
    <n v="4670622"/>
    <n v="449981185"/>
    <n v="563764474"/>
    <n v="555143127"/>
    <m/>
    <m/>
    <m/>
    <m/>
    <n v="0"/>
    <m/>
    <m/>
    <n v="0"/>
    <m/>
    <m/>
    <m/>
    <m/>
    <m/>
    <m/>
    <n v="563764474"/>
    <n v="555143127"/>
  </r>
  <r>
    <x v="14"/>
    <x v="1"/>
    <s v="Medical School"/>
    <m/>
    <n v="234076"/>
    <x v="0"/>
    <m/>
    <m/>
    <m/>
    <m/>
    <m/>
    <m/>
    <m/>
    <m/>
    <n v="0"/>
    <m/>
    <m/>
    <n v="0"/>
    <n v="0"/>
    <n v="0"/>
    <m/>
    <m/>
    <m/>
    <m/>
    <n v="0"/>
    <m/>
    <m/>
    <n v="0"/>
    <n v="16414805"/>
    <n v="16414805"/>
    <n v="43557434"/>
    <m/>
    <n v="45087505"/>
    <m/>
    <n v="59972239"/>
    <n v="61502310"/>
  </r>
  <r>
    <x v="14"/>
    <x v="0"/>
    <s v="Virginia Tech "/>
    <m/>
    <n v="233921"/>
    <x v="0"/>
    <n v="126674291"/>
    <n v="130754013"/>
    <n v="3138544"/>
    <n v="4138544"/>
    <m/>
    <m/>
    <n v="371133106"/>
    <n v="4625280"/>
    <n v="375758386"/>
    <n v="377019655"/>
    <n v="4656663"/>
    <n v="381676318"/>
    <n v="500945941"/>
    <n v="511912212"/>
    <m/>
    <m/>
    <m/>
    <m/>
    <n v="0"/>
    <m/>
    <m/>
    <n v="0"/>
    <m/>
    <m/>
    <m/>
    <m/>
    <m/>
    <m/>
    <n v="500945941"/>
    <n v="511912212"/>
  </r>
  <r>
    <x v="14"/>
    <x v="1"/>
    <s v="Veterinary School"/>
    <m/>
    <n v="233921"/>
    <x v="0"/>
    <m/>
    <m/>
    <m/>
    <m/>
    <m/>
    <m/>
    <m/>
    <m/>
    <n v="0"/>
    <m/>
    <m/>
    <n v="0"/>
    <n v="0"/>
    <n v="0"/>
    <m/>
    <m/>
    <m/>
    <m/>
    <n v="0"/>
    <m/>
    <m/>
    <n v="0"/>
    <n v="11273617"/>
    <n v="11862960"/>
    <n v="13079815"/>
    <m/>
    <n v="15192231"/>
    <m/>
    <n v="24353432"/>
    <n v="27055191"/>
  </r>
  <r>
    <x v="14"/>
    <x v="5"/>
    <s v="Agricultural &amp; Foresty Research"/>
    <m/>
    <n v="233921"/>
    <x v="0"/>
    <m/>
    <m/>
    <n v="30461149"/>
    <n v="30877496"/>
    <m/>
    <m/>
    <m/>
    <m/>
    <n v="0"/>
    <m/>
    <m/>
    <n v="0"/>
    <n v="30461149"/>
    <n v="30877496"/>
    <m/>
    <m/>
    <m/>
    <m/>
    <n v="0"/>
    <m/>
    <m/>
    <n v="0"/>
    <m/>
    <m/>
    <m/>
    <m/>
    <m/>
    <m/>
    <n v="30461149"/>
    <n v="30877496"/>
  </r>
  <r>
    <x v="14"/>
    <x v="6"/>
    <s v="Cooperative Extension"/>
    <m/>
    <n v="233921"/>
    <x v="0"/>
    <m/>
    <m/>
    <n v="30030646"/>
    <n v="31027270"/>
    <m/>
    <m/>
    <m/>
    <m/>
    <n v="0"/>
    <m/>
    <m/>
    <n v="0"/>
    <n v="30030646"/>
    <n v="31027270"/>
    <m/>
    <m/>
    <m/>
    <m/>
    <n v="0"/>
    <m/>
    <m/>
    <n v="0"/>
    <m/>
    <m/>
    <m/>
    <m/>
    <m/>
    <m/>
    <n v="30030646"/>
    <n v="31027270"/>
  </r>
  <r>
    <x v="14"/>
    <x v="0"/>
    <s v="College of William &amp; Mary"/>
    <m/>
    <n v="231624"/>
    <x v="1"/>
    <n v="36843298"/>
    <n v="38343452"/>
    <n v="75000"/>
    <n v="75000"/>
    <m/>
    <m/>
    <n v="112748169"/>
    <n v="1412532"/>
    <n v="114160701"/>
    <n v="139639459"/>
    <n v="1493811"/>
    <n v="141133270"/>
    <n v="149666467"/>
    <n v="178057911"/>
    <m/>
    <m/>
    <m/>
    <m/>
    <n v="0"/>
    <m/>
    <m/>
    <n v="0"/>
    <m/>
    <m/>
    <m/>
    <m/>
    <m/>
    <m/>
    <n v="149666467"/>
    <n v="178057911"/>
  </r>
  <r>
    <x v="14"/>
    <x v="7"/>
    <s v="Research centers/institutes"/>
    <m/>
    <n v="231624"/>
    <x v="1"/>
    <m/>
    <m/>
    <m/>
    <m/>
    <m/>
    <m/>
    <m/>
    <m/>
    <n v="0"/>
    <m/>
    <m/>
    <n v="0"/>
    <n v="0"/>
    <n v="0"/>
    <m/>
    <m/>
    <m/>
    <m/>
    <n v="0"/>
    <m/>
    <m/>
    <n v="0"/>
    <m/>
    <m/>
    <m/>
    <m/>
    <m/>
    <m/>
    <n v="0"/>
    <n v="0"/>
  </r>
  <r>
    <x v="14"/>
    <x v="7"/>
    <s v="Va Inst of Marine Science"/>
    <m/>
    <n v="231624"/>
    <x v="1"/>
    <m/>
    <m/>
    <n v="17160545"/>
    <n v="17491970"/>
    <m/>
    <m/>
    <m/>
    <m/>
    <n v="0"/>
    <m/>
    <m/>
    <n v="0"/>
    <n v="17160545"/>
    <n v="17491970"/>
    <m/>
    <m/>
    <m/>
    <m/>
    <n v="0"/>
    <m/>
    <m/>
    <n v="0"/>
    <m/>
    <m/>
    <m/>
    <m/>
    <m/>
    <m/>
    <n v="17160545"/>
    <n v="17491970"/>
  </r>
  <r>
    <x v="14"/>
    <x v="0"/>
    <s v="Virginia Commonwealth University"/>
    <s v="Met the criteria for Four-Year 1 in 2013-14."/>
    <n v="234030"/>
    <x v="1"/>
    <n v="112508868"/>
    <n v="116820767"/>
    <n v="8912500"/>
    <n v="10162500"/>
    <m/>
    <m/>
    <n v="313162213"/>
    <n v="1714383"/>
    <n v="314876596"/>
    <n v="290142227"/>
    <n v="2132460"/>
    <n v="292274687"/>
    <n v="434583581"/>
    <n v="417125494"/>
    <m/>
    <m/>
    <m/>
    <m/>
    <n v="0"/>
    <m/>
    <m/>
    <n v="0"/>
    <m/>
    <m/>
    <m/>
    <m/>
    <m/>
    <m/>
    <n v="434583581"/>
    <n v="417125494"/>
  </r>
  <r>
    <x v="14"/>
    <x v="1"/>
    <s v="Medical School"/>
    <m/>
    <n v="234030"/>
    <x v="1"/>
    <m/>
    <m/>
    <m/>
    <m/>
    <m/>
    <m/>
    <m/>
    <m/>
    <n v="0"/>
    <m/>
    <m/>
    <n v="0"/>
    <n v="0"/>
    <n v="0"/>
    <m/>
    <m/>
    <m/>
    <m/>
    <n v="0"/>
    <m/>
    <m/>
    <n v="0"/>
    <n v="38041247"/>
    <n v="38068870"/>
    <n v="42179650"/>
    <m/>
    <n v="43801240"/>
    <m/>
    <n v="80220897"/>
    <n v="81870110"/>
  </r>
  <r>
    <x v="14"/>
    <x v="0"/>
    <s v="James Madison University  "/>
    <m/>
    <n v="232423"/>
    <x v="2"/>
    <n v="66728837"/>
    <n v="69808843"/>
    <m/>
    <m/>
    <m/>
    <m/>
    <n v="174002043"/>
    <n v="2672109"/>
    <n v="176674152"/>
    <n v="188451376"/>
    <n v="2635578"/>
    <n v="191086954"/>
    <n v="240730880"/>
    <n v="258260219"/>
    <m/>
    <m/>
    <m/>
    <m/>
    <n v="0"/>
    <m/>
    <m/>
    <n v="0"/>
    <m/>
    <m/>
    <m/>
    <m/>
    <m/>
    <m/>
    <n v="240730880"/>
    <n v="258260219"/>
  </r>
  <r>
    <x v="14"/>
    <x v="0"/>
    <s v="Norfolk State University "/>
    <m/>
    <n v="232937"/>
    <x v="2"/>
    <n v="39740782"/>
    <n v="40473227"/>
    <m/>
    <m/>
    <m/>
    <m/>
    <n v="36221177"/>
    <n v="499356"/>
    <n v="36720533"/>
    <n v="40627201"/>
    <n v="293535"/>
    <n v="40920736"/>
    <n v="75961959"/>
    <n v="81100428"/>
    <m/>
    <m/>
    <m/>
    <m/>
    <n v="0"/>
    <m/>
    <m/>
    <n v="0"/>
    <m/>
    <m/>
    <m/>
    <m/>
    <m/>
    <m/>
    <n v="75961959"/>
    <n v="81100428"/>
  </r>
  <r>
    <x v="14"/>
    <x v="0"/>
    <s v="Longwood University "/>
    <s v="Reclassified: met the criteria for Four-Year 3 in 2011-12, 2012-13, and 2013-14."/>
    <n v="232566"/>
    <x v="2"/>
    <n v="23038180"/>
    <n v="23618254"/>
    <m/>
    <m/>
    <m/>
    <m/>
    <n v="31364011"/>
    <n v="118701"/>
    <n v="31482712"/>
    <n v="32422104"/>
    <n v="111276"/>
    <n v="32533380"/>
    <n v="54402191"/>
    <n v="56040358"/>
    <m/>
    <m/>
    <m/>
    <m/>
    <n v="0"/>
    <m/>
    <m/>
    <n v="0"/>
    <m/>
    <m/>
    <m/>
    <m/>
    <m/>
    <m/>
    <n v="54402191"/>
    <n v="56040358"/>
  </r>
  <r>
    <x v="14"/>
    <x v="0"/>
    <s v="Radford University"/>
    <s v="Reclassified: met the criteria for Four-Year 3 in 2011-12, 2012-13, and 2013-14."/>
    <n v="233277"/>
    <x v="2"/>
    <n v="42168708"/>
    <n v="43456527"/>
    <m/>
    <m/>
    <m/>
    <m/>
    <n v="57411711"/>
    <n v="277002"/>
    <n v="57688713"/>
    <n v="66908803"/>
    <n v="1059300"/>
    <n v="67968103"/>
    <n v="99580419"/>
    <n v="110365330"/>
    <m/>
    <m/>
    <m/>
    <m/>
    <n v="0"/>
    <m/>
    <m/>
    <n v="0"/>
    <m/>
    <m/>
    <m/>
    <m/>
    <m/>
    <m/>
    <n v="99580419"/>
    <n v="110365330"/>
  </r>
  <r>
    <x v="14"/>
    <x v="0"/>
    <s v="Virginia State University "/>
    <s v="Reclassified: met the criteria for Four-Year 3 in 2011-12, 2012-13, and 2013-14."/>
    <n v="234155"/>
    <x v="2"/>
    <n v="29672881"/>
    <n v="30167239"/>
    <m/>
    <m/>
    <m/>
    <m/>
    <n v="42881727"/>
    <n v="858726"/>
    <n v="43740453"/>
    <n v="43020598"/>
    <n v="845856"/>
    <n v="43866454"/>
    <n v="72554608"/>
    <n v="73187837"/>
    <m/>
    <m/>
    <m/>
    <m/>
    <n v="0"/>
    <m/>
    <m/>
    <n v="0"/>
    <m/>
    <m/>
    <m/>
    <m/>
    <m/>
    <m/>
    <n v="72554608"/>
    <n v="73187837"/>
  </r>
  <r>
    <x v="14"/>
    <x v="5"/>
    <s v="Agricultural cooperative extension"/>
    <m/>
    <n v="234155"/>
    <x v="2"/>
    <m/>
    <m/>
    <n v="5136690"/>
    <n v="5313900"/>
    <m/>
    <m/>
    <m/>
    <m/>
    <n v="0"/>
    <m/>
    <m/>
    <n v="0"/>
    <n v="5136690"/>
    <n v="5313900"/>
    <m/>
    <m/>
    <m/>
    <m/>
    <n v="0"/>
    <m/>
    <m/>
    <n v="0"/>
    <m/>
    <m/>
    <m/>
    <m/>
    <m/>
    <m/>
    <n v="5136690"/>
    <n v="5313900"/>
  </r>
  <r>
    <x v="14"/>
    <x v="0"/>
    <s v="Christopher Newport University"/>
    <s v="Met the criteria for Four-Year 3 in 2013-14."/>
    <n v="231712"/>
    <x v="4"/>
    <n v="23779417"/>
    <n v="24479716"/>
    <m/>
    <m/>
    <m/>
    <m/>
    <n v="32896824"/>
    <n v="119097"/>
    <n v="33015921"/>
    <n v="34906536"/>
    <n v="112167"/>
    <n v="35018703"/>
    <n v="56676241"/>
    <n v="59386252"/>
    <m/>
    <m/>
    <m/>
    <m/>
    <n v="0"/>
    <m/>
    <m/>
    <n v="0"/>
    <m/>
    <m/>
    <m/>
    <m/>
    <m/>
    <m/>
    <n v="56676241"/>
    <n v="59386252"/>
  </r>
  <r>
    <x v="14"/>
    <x v="0"/>
    <s v="University of Mary Washington"/>
    <s v="Reclassified: met the criteria for Four-Year 3 in 2011-12, 2012-13, and 2013-14."/>
    <n v="232681"/>
    <x v="2"/>
    <n v="19195775"/>
    <n v="19800128"/>
    <n v="1900000"/>
    <n v="1750000"/>
    <m/>
    <m/>
    <n v="40124236"/>
    <n v="339669"/>
    <n v="40463905"/>
    <n v="41482855"/>
    <n v="275022"/>
    <n v="41757877"/>
    <n v="61220011"/>
    <n v="63032983"/>
    <m/>
    <m/>
    <m/>
    <m/>
    <n v="0"/>
    <m/>
    <m/>
    <n v="0"/>
    <m/>
    <m/>
    <m/>
    <m/>
    <m/>
    <m/>
    <n v="61220011"/>
    <n v="63032983"/>
  </r>
  <r>
    <x v="14"/>
    <x v="0"/>
    <s v="University of Virginia's College at Wise "/>
    <m/>
    <n v="233897"/>
    <x v="5"/>
    <n v="12560895"/>
    <n v="12937643"/>
    <m/>
    <m/>
    <m/>
    <m/>
    <n v="7603241"/>
    <n v="41085"/>
    <n v="7644326"/>
    <n v="8039812"/>
    <n v="48510"/>
    <n v="8088322"/>
    <n v="20164136"/>
    <n v="20977455"/>
    <m/>
    <m/>
    <m/>
    <m/>
    <n v="0"/>
    <m/>
    <m/>
    <n v="0"/>
    <m/>
    <m/>
    <m/>
    <m/>
    <m/>
    <m/>
    <n v="20164136"/>
    <n v="20977455"/>
  </r>
  <r>
    <x v="14"/>
    <x v="0"/>
    <s v="J.S. Reynolds Community College"/>
    <m/>
    <n v="232414"/>
    <x v="6"/>
    <m/>
    <m/>
    <m/>
    <m/>
    <m/>
    <m/>
    <m/>
    <m/>
    <n v="0"/>
    <m/>
    <m/>
    <n v="0"/>
    <n v="0"/>
    <n v="0"/>
    <m/>
    <m/>
    <m/>
    <m/>
    <n v="0"/>
    <m/>
    <m/>
    <n v="0"/>
    <m/>
    <m/>
    <m/>
    <m/>
    <m/>
    <m/>
    <n v="0"/>
    <n v="0"/>
  </r>
  <r>
    <x v="14"/>
    <x v="0"/>
    <s v="Northern Virginia Community College "/>
    <m/>
    <n v="232946"/>
    <x v="6"/>
    <m/>
    <m/>
    <m/>
    <m/>
    <m/>
    <m/>
    <m/>
    <m/>
    <n v="0"/>
    <m/>
    <m/>
    <n v="0"/>
    <n v="0"/>
    <n v="0"/>
    <m/>
    <m/>
    <m/>
    <m/>
    <n v="0"/>
    <m/>
    <m/>
    <n v="0"/>
    <m/>
    <m/>
    <m/>
    <m/>
    <m/>
    <m/>
    <n v="0"/>
    <n v="0"/>
  </r>
  <r>
    <x v="14"/>
    <x v="0"/>
    <s v="Thomas Nelson Community College "/>
    <m/>
    <n v="233754"/>
    <x v="6"/>
    <m/>
    <m/>
    <m/>
    <m/>
    <m/>
    <m/>
    <m/>
    <m/>
    <n v="0"/>
    <m/>
    <m/>
    <n v="0"/>
    <n v="0"/>
    <n v="0"/>
    <m/>
    <m/>
    <m/>
    <m/>
    <n v="0"/>
    <m/>
    <m/>
    <n v="0"/>
    <m/>
    <m/>
    <m/>
    <m/>
    <m/>
    <m/>
    <n v="0"/>
    <n v="0"/>
  </r>
  <r>
    <x v="14"/>
    <x v="0"/>
    <s v="Tidewater Community College "/>
    <m/>
    <n v="233772"/>
    <x v="6"/>
    <m/>
    <m/>
    <m/>
    <m/>
    <m/>
    <m/>
    <m/>
    <m/>
    <n v="0"/>
    <m/>
    <m/>
    <n v="0"/>
    <n v="0"/>
    <n v="0"/>
    <m/>
    <m/>
    <m/>
    <m/>
    <n v="0"/>
    <m/>
    <m/>
    <n v="0"/>
    <m/>
    <m/>
    <m/>
    <m/>
    <m/>
    <m/>
    <n v="0"/>
    <n v="0"/>
  </r>
  <r>
    <x v="14"/>
    <x v="0"/>
    <s v="Blue Ridge Community College "/>
    <m/>
    <n v="231536"/>
    <x v="7"/>
    <m/>
    <m/>
    <m/>
    <m/>
    <m/>
    <m/>
    <m/>
    <m/>
    <n v="0"/>
    <m/>
    <m/>
    <n v="0"/>
    <n v="0"/>
    <n v="0"/>
    <m/>
    <m/>
    <m/>
    <m/>
    <n v="0"/>
    <m/>
    <m/>
    <n v="0"/>
    <m/>
    <m/>
    <m/>
    <m/>
    <m/>
    <m/>
    <n v="0"/>
    <n v="0"/>
  </r>
  <r>
    <x v="14"/>
    <x v="0"/>
    <s v="Central Virginia Community College "/>
    <m/>
    <n v="231697"/>
    <x v="7"/>
    <m/>
    <m/>
    <m/>
    <m/>
    <m/>
    <m/>
    <m/>
    <m/>
    <n v="0"/>
    <m/>
    <m/>
    <n v="0"/>
    <n v="0"/>
    <n v="0"/>
    <m/>
    <m/>
    <m/>
    <m/>
    <n v="0"/>
    <m/>
    <m/>
    <n v="0"/>
    <m/>
    <m/>
    <m/>
    <m/>
    <m/>
    <m/>
    <n v="0"/>
    <n v="0"/>
  </r>
  <r>
    <x v="14"/>
    <x v="0"/>
    <s v="Danville Community College "/>
    <m/>
    <n v="231882"/>
    <x v="7"/>
    <m/>
    <m/>
    <m/>
    <m/>
    <m/>
    <m/>
    <m/>
    <m/>
    <n v="0"/>
    <m/>
    <m/>
    <n v="0"/>
    <n v="0"/>
    <n v="0"/>
    <m/>
    <m/>
    <m/>
    <m/>
    <n v="0"/>
    <m/>
    <m/>
    <n v="0"/>
    <m/>
    <m/>
    <m/>
    <m/>
    <m/>
    <m/>
    <n v="0"/>
    <n v="0"/>
  </r>
  <r>
    <x v="14"/>
    <x v="0"/>
    <s v="Germanna Community College"/>
    <m/>
    <n v="232195"/>
    <x v="7"/>
    <m/>
    <m/>
    <m/>
    <m/>
    <m/>
    <m/>
    <m/>
    <m/>
    <n v="0"/>
    <m/>
    <m/>
    <n v="0"/>
    <n v="0"/>
    <n v="0"/>
    <m/>
    <m/>
    <m/>
    <m/>
    <n v="0"/>
    <m/>
    <m/>
    <n v="0"/>
    <m/>
    <m/>
    <m/>
    <m/>
    <m/>
    <m/>
    <n v="0"/>
    <n v="0"/>
  </r>
  <r>
    <x v="14"/>
    <x v="0"/>
    <s v="John Tyler Community College"/>
    <s v="Reclassified: met the criteria for Two-Year 1 in 2011-12, 2012-13, and 2013-14."/>
    <n v="232450"/>
    <x v="6"/>
    <m/>
    <m/>
    <m/>
    <m/>
    <m/>
    <m/>
    <m/>
    <m/>
    <n v="0"/>
    <m/>
    <m/>
    <n v="0"/>
    <n v="0"/>
    <n v="0"/>
    <m/>
    <m/>
    <m/>
    <m/>
    <n v="0"/>
    <m/>
    <m/>
    <n v="0"/>
    <m/>
    <m/>
    <m/>
    <m/>
    <m/>
    <m/>
    <n v="0"/>
    <n v="0"/>
  </r>
  <r>
    <x v="14"/>
    <x v="0"/>
    <s v="Lord Fairfax Community College  "/>
    <m/>
    <n v="232575"/>
    <x v="7"/>
    <m/>
    <m/>
    <m/>
    <m/>
    <m/>
    <m/>
    <m/>
    <m/>
    <n v="0"/>
    <m/>
    <m/>
    <n v="0"/>
    <n v="0"/>
    <n v="0"/>
    <m/>
    <m/>
    <m/>
    <m/>
    <n v="0"/>
    <m/>
    <m/>
    <n v="0"/>
    <m/>
    <m/>
    <m/>
    <m/>
    <m/>
    <m/>
    <n v="0"/>
    <n v="0"/>
  </r>
  <r>
    <x v="14"/>
    <x v="0"/>
    <s v="Mountain Empire Community College"/>
    <s v="Met the criteria for Two-Year 3 in 2013-14. "/>
    <n v="232788"/>
    <x v="7"/>
    <m/>
    <m/>
    <m/>
    <m/>
    <m/>
    <m/>
    <m/>
    <m/>
    <n v="0"/>
    <m/>
    <m/>
    <n v="0"/>
    <n v="0"/>
    <n v="0"/>
    <m/>
    <m/>
    <m/>
    <m/>
    <n v="0"/>
    <m/>
    <m/>
    <n v="0"/>
    <m/>
    <m/>
    <m/>
    <m/>
    <m/>
    <m/>
    <n v="0"/>
    <n v="0"/>
  </r>
  <r>
    <x v="14"/>
    <x v="0"/>
    <s v="New River Community College "/>
    <m/>
    <n v="232867"/>
    <x v="7"/>
    <m/>
    <m/>
    <m/>
    <m/>
    <m/>
    <m/>
    <m/>
    <m/>
    <n v="0"/>
    <m/>
    <m/>
    <n v="0"/>
    <n v="0"/>
    <n v="0"/>
    <m/>
    <m/>
    <m/>
    <m/>
    <n v="0"/>
    <m/>
    <m/>
    <n v="0"/>
    <m/>
    <m/>
    <m/>
    <m/>
    <m/>
    <m/>
    <n v="0"/>
    <n v="0"/>
  </r>
  <r>
    <x v="14"/>
    <x v="0"/>
    <s v="Patrick Henry Community College "/>
    <m/>
    <n v="233019"/>
    <x v="7"/>
    <m/>
    <m/>
    <m/>
    <m/>
    <m/>
    <m/>
    <m/>
    <m/>
    <n v="0"/>
    <m/>
    <m/>
    <n v="0"/>
    <n v="0"/>
    <n v="0"/>
    <m/>
    <m/>
    <m/>
    <m/>
    <n v="0"/>
    <m/>
    <m/>
    <n v="0"/>
    <m/>
    <m/>
    <m/>
    <m/>
    <m/>
    <m/>
    <n v="0"/>
    <n v="0"/>
  </r>
  <r>
    <x v="14"/>
    <x v="0"/>
    <s v="Piedmont Virginia Community College "/>
    <m/>
    <n v="233116"/>
    <x v="7"/>
    <m/>
    <m/>
    <m/>
    <m/>
    <m/>
    <m/>
    <m/>
    <m/>
    <n v="0"/>
    <m/>
    <m/>
    <n v="0"/>
    <n v="0"/>
    <n v="0"/>
    <m/>
    <m/>
    <m/>
    <m/>
    <n v="0"/>
    <m/>
    <m/>
    <n v="0"/>
    <m/>
    <m/>
    <m/>
    <m/>
    <m/>
    <m/>
    <n v="0"/>
    <n v="0"/>
  </r>
  <r>
    <x v="14"/>
    <x v="0"/>
    <s v="Southside Virginia Community College  "/>
    <m/>
    <n v="233639"/>
    <x v="7"/>
    <m/>
    <m/>
    <m/>
    <m/>
    <m/>
    <m/>
    <m/>
    <m/>
    <n v="0"/>
    <m/>
    <m/>
    <n v="0"/>
    <n v="0"/>
    <n v="0"/>
    <m/>
    <m/>
    <m/>
    <m/>
    <n v="0"/>
    <m/>
    <m/>
    <n v="0"/>
    <m/>
    <m/>
    <m/>
    <m/>
    <m/>
    <m/>
    <n v="0"/>
    <n v="0"/>
  </r>
  <r>
    <x v="14"/>
    <x v="0"/>
    <s v="Southwest Virginia Community College "/>
    <s v="Met the criteria for Two-Year 3 in 2012-13 and 2013-14."/>
    <n v="233648"/>
    <x v="7"/>
    <m/>
    <m/>
    <m/>
    <m/>
    <m/>
    <m/>
    <m/>
    <m/>
    <n v="0"/>
    <m/>
    <m/>
    <n v="0"/>
    <n v="0"/>
    <n v="0"/>
    <m/>
    <m/>
    <m/>
    <m/>
    <n v="0"/>
    <m/>
    <m/>
    <n v="0"/>
    <m/>
    <m/>
    <m/>
    <m/>
    <m/>
    <m/>
    <n v="0"/>
    <n v="0"/>
  </r>
  <r>
    <x v="14"/>
    <x v="0"/>
    <s v="Virginia Western Community College "/>
    <m/>
    <n v="233949"/>
    <x v="7"/>
    <m/>
    <m/>
    <m/>
    <m/>
    <m/>
    <m/>
    <m/>
    <m/>
    <n v="0"/>
    <m/>
    <m/>
    <n v="0"/>
    <n v="0"/>
    <n v="0"/>
    <m/>
    <m/>
    <m/>
    <m/>
    <n v="0"/>
    <m/>
    <m/>
    <n v="0"/>
    <m/>
    <m/>
    <m/>
    <m/>
    <m/>
    <m/>
    <n v="0"/>
    <n v="0"/>
  </r>
  <r>
    <x v="14"/>
    <x v="0"/>
    <s v="Wytheville Community College "/>
    <m/>
    <n v="234377"/>
    <x v="7"/>
    <m/>
    <m/>
    <m/>
    <m/>
    <m/>
    <m/>
    <m/>
    <m/>
    <n v="0"/>
    <m/>
    <m/>
    <n v="0"/>
    <n v="0"/>
    <n v="0"/>
    <m/>
    <m/>
    <m/>
    <m/>
    <n v="0"/>
    <m/>
    <m/>
    <n v="0"/>
    <m/>
    <m/>
    <m/>
    <m/>
    <m/>
    <m/>
    <n v="0"/>
    <n v="0"/>
  </r>
  <r>
    <x v="14"/>
    <x v="0"/>
    <s v="D.S. Lancaster Community College "/>
    <m/>
    <n v="231873"/>
    <x v="8"/>
    <m/>
    <m/>
    <m/>
    <m/>
    <m/>
    <m/>
    <m/>
    <m/>
    <n v="0"/>
    <m/>
    <m/>
    <n v="0"/>
    <n v="0"/>
    <n v="0"/>
    <m/>
    <m/>
    <m/>
    <m/>
    <n v="0"/>
    <m/>
    <m/>
    <n v="0"/>
    <m/>
    <m/>
    <m/>
    <m/>
    <m/>
    <m/>
    <n v="0"/>
    <n v="0"/>
  </r>
  <r>
    <x v="14"/>
    <x v="0"/>
    <s v="Eastern Shore Community College  "/>
    <m/>
    <n v="232052"/>
    <x v="8"/>
    <m/>
    <m/>
    <m/>
    <m/>
    <m/>
    <m/>
    <m/>
    <m/>
    <n v="0"/>
    <m/>
    <m/>
    <n v="0"/>
    <n v="0"/>
    <n v="0"/>
    <m/>
    <m/>
    <m/>
    <m/>
    <n v="0"/>
    <m/>
    <m/>
    <n v="0"/>
    <m/>
    <m/>
    <m/>
    <m/>
    <m/>
    <m/>
    <n v="0"/>
    <n v="0"/>
  </r>
  <r>
    <x v="14"/>
    <x v="0"/>
    <s v="Paul D. Camp Community College  "/>
    <m/>
    <n v="233037"/>
    <x v="8"/>
    <m/>
    <m/>
    <m/>
    <m/>
    <m/>
    <m/>
    <m/>
    <m/>
    <n v="0"/>
    <m/>
    <m/>
    <n v="0"/>
    <n v="0"/>
    <n v="0"/>
    <m/>
    <m/>
    <m/>
    <m/>
    <n v="0"/>
    <m/>
    <m/>
    <n v="0"/>
    <m/>
    <m/>
    <m/>
    <m/>
    <m/>
    <m/>
    <n v="0"/>
    <n v="0"/>
  </r>
  <r>
    <x v="14"/>
    <x v="0"/>
    <s v="Rappahannock Community College  "/>
    <m/>
    <n v="233310"/>
    <x v="8"/>
    <m/>
    <m/>
    <m/>
    <m/>
    <m/>
    <m/>
    <m/>
    <m/>
    <n v="0"/>
    <m/>
    <m/>
    <n v="0"/>
    <n v="0"/>
    <n v="0"/>
    <m/>
    <m/>
    <m/>
    <m/>
    <n v="0"/>
    <m/>
    <m/>
    <n v="0"/>
    <m/>
    <m/>
    <m/>
    <m/>
    <m/>
    <m/>
    <n v="0"/>
    <n v="0"/>
  </r>
  <r>
    <x v="14"/>
    <x v="0"/>
    <s v="Richard Bland College "/>
    <m/>
    <n v="233338"/>
    <x v="8"/>
    <n v="5238116"/>
    <n v="5473340"/>
    <m/>
    <m/>
    <m/>
    <m/>
    <n v="3998500"/>
    <n v="6930"/>
    <n v="4005430"/>
    <n v="4453406"/>
    <n v="9900"/>
    <n v="4463306"/>
    <n v="9236616"/>
    <n v="9926746"/>
    <m/>
    <m/>
    <m/>
    <m/>
    <n v="0"/>
    <m/>
    <m/>
    <n v="0"/>
    <m/>
    <m/>
    <m/>
    <m/>
    <m/>
    <m/>
    <n v="9236616"/>
    <n v="9926746"/>
  </r>
  <r>
    <x v="14"/>
    <x v="0"/>
    <s v="Virginia Highlands Community College "/>
    <m/>
    <n v="233903"/>
    <x v="8"/>
    <m/>
    <m/>
    <m/>
    <m/>
    <m/>
    <m/>
    <m/>
    <m/>
    <n v="0"/>
    <m/>
    <m/>
    <n v="0"/>
    <n v="0"/>
    <n v="0"/>
    <m/>
    <m/>
    <m/>
    <m/>
    <n v="0"/>
    <m/>
    <m/>
    <n v="0"/>
    <m/>
    <m/>
    <m/>
    <m/>
    <m/>
    <m/>
    <n v="0"/>
    <n v="0"/>
  </r>
  <r>
    <x v="14"/>
    <x v="0"/>
    <s v="All Community Colleges except R.Bland"/>
    <m/>
    <m/>
    <x v="15"/>
    <n v="316706416"/>
    <n v="324915521"/>
    <n v="0"/>
    <m/>
    <n v="10779805"/>
    <n v="10921170"/>
    <n v="550201661"/>
    <n v="3406095"/>
    <n v="553607756"/>
    <n v="527527893"/>
    <n v="3222450"/>
    <n v="530750343"/>
    <n v="877687882"/>
    <n v="863364584"/>
    <m/>
    <m/>
    <m/>
    <m/>
    <n v="0"/>
    <m/>
    <m/>
    <n v="0"/>
    <m/>
    <m/>
    <m/>
    <m/>
    <m/>
    <m/>
    <n v="877687882"/>
    <n v="863364584"/>
  </r>
  <r>
    <x v="14"/>
    <x v="9"/>
    <s v="Virginia Military Institute"/>
    <m/>
    <n v="234085"/>
    <x v="11"/>
    <m/>
    <m/>
    <m/>
    <m/>
    <m/>
    <m/>
    <m/>
    <m/>
    <n v="0"/>
    <m/>
    <m/>
    <n v="0"/>
    <n v="0"/>
    <n v="0"/>
    <n v="11359955"/>
    <n v="11901908"/>
    <n v="25590717"/>
    <n v="347490"/>
    <n v="25938207"/>
    <n v="27287237"/>
    <n v="296208"/>
    <n v="27583445"/>
    <m/>
    <m/>
    <m/>
    <m/>
    <m/>
    <m/>
    <n v="36950672"/>
    <n v="39189145"/>
  </r>
  <r>
    <x v="14"/>
    <x v="10"/>
    <s v="Statewide Special-Purpose Units"/>
    <m/>
    <m/>
    <x v="12"/>
    <m/>
    <m/>
    <m/>
    <m/>
    <m/>
    <m/>
    <m/>
    <m/>
    <n v="0"/>
    <m/>
    <m/>
    <n v="0"/>
    <n v="0"/>
    <n v="0"/>
    <m/>
    <m/>
    <m/>
    <m/>
    <n v="0"/>
    <m/>
    <m/>
    <n v="0"/>
    <m/>
    <m/>
    <m/>
    <m/>
    <m/>
    <m/>
    <n v="0"/>
    <n v="0"/>
  </r>
  <r>
    <x v="14"/>
    <x v="11"/>
    <s v="Research centers/institutes"/>
    <m/>
    <m/>
    <x v="12"/>
    <m/>
    <m/>
    <m/>
    <m/>
    <m/>
    <m/>
    <m/>
    <m/>
    <n v="0"/>
    <m/>
    <m/>
    <n v="0"/>
    <n v="0"/>
    <n v="0"/>
    <m/>
    <m/>
    <m/>
    <m/>
    <n v="0"/>
    <m/>
    <m/>
    <n v="0"/>
    <m/>
    <m/>
    <m/>
    <m/>
    <m/>
    <m/>
    <n v="0"/>
    <n v="0"/>
  </r>
  <r>
    <x v="14"/>
    <x v="11"/>
    <s v="Innovative Technology Authority"/>
    <m/>
    <m/>
    <x v="12"/>
    <m/>
    <m/>
    <n v="4973750"/>
    <n v="4973750"/>
    <m/>
    <m/>
    <m/>
    <m/>
    <n v="0"/>
    <m/>
    <m/>
    <n v="0"/>
    <n v="4973750"/>
    <n v="4973750"/>
    <m/>
    <m/>
    <m/>
    <m/>
    <n v="0"/>
    <m/>
    <m/>
    <n v="0"/>
    <m/>
    <m/>
    <m/>
    <m/>
    <m/>
    <m/>
    <n v="4973750"/>
    <n v="4973750"/>
  </r>
  <r>
    <x v="14"/>
    <x v="11"/>
    <s v="Jefferson Science Associates"/>
    <m/>
    <m/>
    <x v="12"/>
    <m/>
    <m/>
    <n v="1149891"/>
    <n v="1149891"/>
    <m/>
    <m/>
    <m/>
    <m/>
    <n v="0"/>
    <m/>
    <m/>
    <n v="0"/>
    <n v="1149891"/>
    <n v="1149891"/>
    <m/>
    <m/>
    <m/>
    <m/>
    <n v="0"/>
    <m/>
    <m/>
    <n v="0"/>
    <m/>
    <m/>
    <m/>
    <m/>
    <m/>
    <m/>
    <n v="1149891"/>
    <n v="1149891"/>
  </r>
  <r>
    <x v="14"/>
    <x v="11"/>
    <s v="Higher Education Research Initiatives"/>
    <m/>
    <m/>
    <x v="12"/>
    <m/>
    <m/>
    <n v="2980000"/>
    <n v="3020000"/>
    <m/>
    <m/>
    <m/>
    <m/>
    <n v="0"/>
    <m/>
    <m/>
    <n v="0"/>
    <n v="2980000"/>
    <n v="3020000"/>
    <m/>
    <m/>
    <m/>
    <m/>
    <n v="0"/>
    <m/>
    <m/>
    <n v="0"/>
    <m/>
    <m/>
    <m/>
    <m/>
    <m/>
    <m/>
    <n v="2980000"/>
    <n v="3020000"/>
  </r>
  <r>
    <x v="14"/>
    <x v="12"/>
    <s v="Special Line items for education operations"/>
    <m/>
    <m/>
    <x v="12"/>
    <m/>
    <m/>
    <m/>
    <m/>
    <m/>
    <m/>
    <m/>
    <m/>
    <n v="0"/>
    <m/>
    <m/>
    <n v="0"/>
    <n v="0"/>
    <n v="0"/>
    <m/>
    <m/>
    <m/>
    <m/>
    <n v="0"/>
    <m/>
    <m/>
    <n v="0"/>
    <m/>
    <m/>
    <m/>
    <m/>
    <m/>
    <m/>
    <n v="0"/>
    <n v="0"/>
  </r>
  <r>
    <x v="14"/>
    <x v="12"/>
    <s v="New College Institute"/>
    <m/>
    <m/>
    <x v="12"/>
    <m/>
    <m/>
    <n v="1471039"/>
    <n v="1471055"/>
    <m/>
    <m/>
    <m/>
    <m/>
    <n v="0"/>
    <m/>
    <m/>
    <n v="0"/>
    <n v="1471039"/>
    <n v="1471055"/>
    <m/>
    <m/>
    <m/>
    <m/>
    <n v="0"/>
    <m/>
    <m/>
    <n v="0"/>
    <m/>
    <m/>
    <m/>
    <m/>
    <m/>
    <m/>
    <n v="1471039"/>
    <n v="1471055"/>
  </r>
  <r>
    <x v="14"/>
    <x v="13"/>
    <s v="Educational special purpose funds — all other"/>
    <m/>
    <m/>
    <x v="12"/>
    <m/>
    <m/>
    <m/>
    <m/>
    <m/>
    <m/>
    <m/>
    <m/>
    <n v="0"/>
    <m/>
    <m/>
    <n v="0"/>
    <n v="0"/>
    <n v="0"/>
    <m/>
    <m/>
    <m/>
    <m/>
    <n v="0"/>
    <m/>
    <m/>
    <n v="0"/>
    <m/>
    <m/>
    <m/>
    <m/>
    <m/>
    <m/>
    <n v="0"/>
    <n v="0"/>
  </r>
  <r>
    <x v="14"/>
    <x v="13"/>
    <s v="Eminent Scholars"/>
    <m/>
    <m/>
    <x v="12"/>
    <m/>
    <m/>
    <n v="0"/>
    <m/>
    <m/>
    <m/>
    <m/>
    <m/>
    <n v="0"/>
    <m/>
    <m/>
    <n v="0"/>
    <n v="0"/>
    <n v="0"/>
    <m/>
    <m/>
    <m/>
    <m/>
    <n v="0"/>
    <m/>
    <m/>
    <n v="0"/>
    <m/>
    <m/>
    <m/>
    <m/>
    <m/>
    <m/>
    <n v="0"/>
    <n v="0"/>
  </r>
  <r>
    <x v="14"/>
    <x v="13"/>
    <s v="Library Sharing"/>
    <m/>
    <m/>
    <x v="12"/>
    <m/>
    <m/>
    <n v="7403177"/>
    <n v="7403177"/>
    <m/>
    <m/>
    <m/>
    <m/>
    <n v="0"/>
    <m/>
    <m/>
    <n v="0"/>
    <n v="7403177"/>
    <n v="7403177"/>
    <m/>
    <m/>
    <m/>
    <m/>
    <n v="0"/>
    <m/>
    <m/>
    <n v="0"/>
    <m/>
    <m/>
    <m/>
    <m/>
    <m/>
    <m/>
    <n v="7403177"/>
    <n v="7403177"/>
  </r>
  <r>
    <x v="14"/>
    <x v="13"/>
    <s v="VMI/MBC Contract"/>
    <m/>
    <m/>
    <x v="12"/>
    <m/>
    <m/>
    <n v="307899"/>
    <n v="307899"/>
    <m/>
    <m/>
    <m/>
    <m/>
    <n v="0"/>
    <m/>
    <m/>
    <n v="0"/>
    <n v="307899"/>
    <n v="307899"/>
    <m/>
    <m/>
    <m/>
    <m/>
    <n v="0"/>
    <m/>
    <m/>
    <n v="0"/>
    <m/>
    <m/>
    <m/>
    <m/>
    <m/>
    <m/>
    <n v="307899"/>
    <n v="307899"/>
  </r>
  <r>
    <x v="14"/>
    <x v="13"/>
    <s v="Space Grant"/>
    <m/>
    <m/>
    <x v="12"/>
    <m/>
    <m/>
    <n v="695000"/>
    <n v="695000"/>
    <m/>
    <m/>
    <m/>
    <m/>
    <n v="0"/>
    <m/>
    <m/>
    <n v="0"/>
    <n v="695000"/>
    <n v="695000"/>
    <m/>
    <m/>
    <m/>
    <m/>
    <n v="0"/>
    <m/>
    <m/>
    <n v="0"/>
    <m/>
    <m/>
    <m/>
    <m/>
    <m/>
    <m/>
    <n v="695000"/>
    <n v="695000"/>
  </r>
  <r>
    <x v="14"/>
    <x v="13"/>
    <s v="Melcher's-Monroe Memorials"/>
    <m/>
    <m/>
    <x v="12"/>
    <m/>
    <m/>
    <n v="664969"/>
    <n v="674969"/>
    <m/>
    <m/>
    <m/>
    <m/>
    <n v="0"/>
    <m/>
    <m/>
    <n v="0"/>
    <n v="664969"/>
    <n v="674969"/>
    <m/>
    <m/>
    <m/>
    <m/>
    <n v="0"/>
    <m/>
    <m/>
    <n v="0"/>
    <m/>
    <m/>
    <m/>
    <m/>
    <m/>
    <m/>
    <n v="664969"/>
    <n v="674969"/>
  </r>
  <r>
    <x v="14"/>
    <x v="13"/>
    <s v="Medical College Hampton Rds./Eastern VA Medical Auth."/>
    <m/>
    <m/>
    <x v="12"/>
    <m/>
    <m/>
    <m/>
    <m/>
    <m/>
    <m/>
    <m/>
    <m/>
    <n v="0"/>
    <m/>
    <m/>
    <n v="0"/>
    <n v="0"/>
    <n v="0"/>
    <m/>
    <m/>
    <m/>
    <m/>
    <n v="0"/>
    <m/>
    <m/>
    <n v="0"/>
    <n v="24145660"/>
    <n v="24145660"/>
    <m/>
    <m/>
    <m/>
    <m/>
    <n v="24145660"/>
    <n v="24145660"/>
  </r>
  <r>
    <x v="14"/>
    <x v="13"/>
    <s v="VCBA-Eq Trust Fund"/>
    <m/>
    <m/>
    <x v="12"/>
    <m/>
    <m/>
    <n v="38491738"/>
    <n v="47995653"/>
    <m/>
    <m/>
    <m/>
    <m/>
    <n v="0"/>
    <m/>
    <m/>
    <n v="0"/>
    <n v="38491738"/>
    <n v="47995653"/>
    <m/>
    <m/>
    <m/>
    <m/>
    <n v="0"/>
    <m/>
    <m/>
    <n v="0"/>
    <m/>
    <m/>
    <m/>
    <m/>
    <m/>
    <m/>
    <n v="38491738"/>
    <n v="47995653"/>
  </r>
  <r>
    <x v="14"/>
    <x v="13"/>
    <s v="Southern Virginia Higher Education Center"/>
    <m/>
    <m/>
    <x v="12"/>
    <m/>
    <m/>
    <n v="2158993"/>
    <n v="2159010"/>
    <m/>
    <m/>
    <m/>
    <m/>
    <n v="0"/>
    <m/>
    <m/>
    <n v="0"/>
    <n v="2158993"/>
    <n v="2159010"/>
    <m/>
    <m/>
    <m/>
    <m/>
    <n v="0"/>
    <m/>
    <m/>
    <n v="0"/>
    <m/>
    <m/>
    <m/>
    <m/>
    <m/>
    <m/>
    <n v="2158993"/>
    <n v="2159010"/>
  </r>
  <r>
    <x v="14"/>
    <x v="13"/>
    <s v="SW Va Higher Education Center"/>
    <m/>
    <m/>
    <x v="12"/>
    <m/>
    <m/>
    <n v="1815339"/>
    <n v="1815421"/>
    <m/>
    <m/>
    <m/>
    <m/>
    <n v="0"/>
    <m/>
    <m/>
    <n v="0"/>
    <n v="1815339"/>
    <n v="1815421"/>
    <m/>
    <m/>
    <m/>
    <m/>
    <n v="0"/>
    <m/>
    <m/>
    <n v="0"/>
    <m/>
    <m/>
    <m/>
    <m/>
    <m/>
    <m/>
    <n v="1815339"/>
    <n v="1815421"/>
  </r>
  <r>
    <x v="14"/>
    <x v="13"/>
    <s v="Roanoke H. Ed. Authority"/>
    <m/>
    <m/>
    <x v="12"/>
    <m/>
    <m/>
    <n v="1121896"/>
    <n v="1121896"/>
    <m/>
    <m/>
    <m/>
    <m/>
    <n v="0"/>
    <m/>
    <m/>
    <n v="0"/>
    <n v="1121896"/>
    <n v="1121896"/>
    <m/>
    <m/>
    <m/>
    <m/>
    <n v="0"/>
    <m/>
    <m/>
    <n v="0"/>
    <m/>
    <m/>
    <m/>
    <m/>
    <m/>
    <m/>
    <n v="1121896"/>
    <n v="1121896"/>
  </r>
  <r>
    <x v="14"/>
    <x v="13"/>
    <s v="Institute of Advanced Learning and Research"/>
    <m/>
    <m/>
    <x v="12"/>
    <m/>
    <m/>
    <n v="6122968"/>
    <n v="6122968"/>
    <m/>
    <m/>
    <m/>
    <m/>
    <n v="0"/>
    <m/>
    <m/>
    <n v="0"/>
    <n v="6122968"/>
    <n v="6122968"/>
    <m/>
    <m/>
    <m/>
    <m/>
    <n v="0"/>
    <m/>
    <m/>
    <n v="0"/>
    <m/>
    <m/>
    <m/>
    <m/>
    <m/>
    <m/>
    <n v="6122968"/>
    <n v="6122968"/>
  </r>
  <r>
    <x v="14"/>
    <x v="14"/>
    <s v="Statewide System Operations"/>
    <m/>
    <m/>
    <x v="12"/>
    <m/>
    <m/>
    <m/>
    <m/>
    <m/>
    <m/>
    <m/>
    <m/>
    <n v="0"/>
    <m/>
    <m/>
    <n v="0"/>
    <n v="0"/>
    <n v="0"/>
    <m/>
    <m/>
    <m/>
    <m/>
    <n v="0"/>
    <m/>
    <m/>
    <n v="0"/>
    <m/>
    <m/>
    <m/>
    <m/>
    <m/>
    <m/>
    <n v="0"/>
    <n v="0"/>
  </r>
  <r>
    <x v="14"/>
    <x v="15"/>
    <s v="Colleges and universities"/>
    <m/>
    <m/>
    <x v="12"/>
    <m/>
    <m/>
    <m/>
    <m/>
    <m/>
    <m/>
    <m/>
    <m/>
    <n v="0"/>
    <m/>
    <m/>
    <n v="0"/>
    <n v="0"/>
    <n v="0"/>
    <n v="3863369"/>
    <n v="3869255"/>
    <m/>
    <m/>
    <n v="0"/>
    <m/>
    <m/>
    <n v="0"/>
    <m/>
    <m/>
    <m/>
    <m/>
    <m/>
    <m/>
    <n v="3863369"/>
    <n v="3869255"/>
  </r>
  <r>
    <x v="14"/>
    <x v="16"/>
    <s v="Two-year system(s), if any"/>
    <m/>
    <m/>
    <x v="12"/>
    <m/>
    <m/>
    <m/>
    <m/>
    <m/>
    <m/>
    <m/>
    <m/>
    <n v="0"/>
    <m/>
    <m/>
    <n v="0"/>
    <n v="0"/>
    <n v="0"/>
    <n v="15943079"/>
    <n v="16339851"/>
    <m/>
    <m/>
    <n v="0"/>
    <m/>
    <m/>
    <n v="0"/>
    <m/>
    <m/>
    <m/>
    <m/>
    <m/>
    <m/>
    <n v="15943079"/>
    <n v="16339851"/>
  </r>
  <r>
    <x v="14"/>
    <x v="16"/>
    <s v="interest earnings"/>
    <m/>
    <m/>
    <x v="12"/>
    <m/>
    <m/>
    <n v="3233293"/>
    <n v="3886870"/>
    <m/>
    <m/>
    <m/>
    <m/>
    <n v="0"/>
    <m/>
    <m/>
    <n v="0"/>
    <n v="3233293"/>
    <n v="3886870"/>
    <m/>
    <m/>
    <m/>
    <m/>
    <n v="0"/>
    <m/>
    <m/>
    <n v="0"/>
    <m/>
    <m/>
    <m/>
    <m/>
    <m/>
    <m/>
    <n v="3233293"/>
    <n v="3886870"/>
  </r>
  <r>
    <x v="14"/>
    <x v="16"/>
    <s v="VCCS economic development"/>
    <m/>
    <m/>
    <x v="12"/>
    <m/>
    <m/>
    <n v="8992017"/>
    <n v="9217017"/>
    <m/>
    <m/>
    <m/>
    <m/>
    <n v="0"/>
    <m/>
    <m/>
    <n v="0"/>
    <n v="8992017"/>
    <n v="9217017"/>
    <m/>
    <m/>
    <m/>
    <m/>
    <n v="0"/>
    <m/>
    <m/>
    <n v="0"/>
    <m/>
    <m/>
    <m/>
    <m/>
    <m/>
    <m/>
    <n v="8992017"/>
    <n v="9217017"/>
  </r>
  <r>
    <x v="14"/>
    <x v="16"/>
    <s v="VCU state health service"/>
    <m/>
    <m/>
    <x v="12"/>
    <m/>
    <m/>
    <n v="250000"/>
    <m/>
    <m/>
    <m/>
    <m/>
    <m/>
    <n v="0"/>
    <m/>
    <m/>
    <n v="0"/>
    <n v="250000"/>
    <n v="0"/>
    <m/>
    <m/>
    <m/>
    <m/>
    <n v="0"/>
    <m/>
    <m/>
    <n v="0"/>
    <m/>
    <m/>
    <m/>
    <m/>
    <m/>
    <m/>
    <n v="250000"/>
    <n v="0"/>
  </r>
  <r>
    <x v="14"/>
    <x v="17"/>
    <s v="SREB"/>
    <m/>
    <m/>
    <x v="12"/>
    <m/>
    <m/>
    <m/>
    <m/>
    <m/>
    <m/>
    <m/>
    <m/>
    <n v="0"/>
    <m/>
    <m/>
    <n v="0"/>
    <n v="0"/>
    <n v="0"/>
    <m/>
    <m/>
    <m/>
    <m/>
    <n v="0"/>
    <m/>
    <m/>
    <n v="0"/>
    <m/>
    <m/>
    <m/>
    <m/>
    <m/>
    <m/>
    <n v="0"/>
    <n v="0"/>
  </r>
  <r>
    <x v="14"/>
    <x v="18"/>
    <s v="Adm. of Statewide Student Aid Progs. (incldng centralized guaranteed student loans)"/>
    <m/>
    <m/>
    <x v="12"/>
    <m/>
    <m/>
    <m/>
    <m/>
    <m/>
    <m/>
    <m/>
    <m/>
    <n v="0"/>
    <m/>
    <m/>
    <n v="0"/>
    <n v="0"/>
    <n v="0"/>
    <m/>
    <m/>
    <m/>
    <m/>
    <n v="0"/>
    <m/>
    <m/>
    <n v="0"/>
    <m/>
    <m/>
    <m/>
    <m/>
    <m/>
    <m/>
    <n v="0"/>
    <n v="0"/>
  </r>
  <r>
    <x v="14"/>
    <x v="19"/>
    <s v="State Support to Private Colleges Other Than Student Aid"/>
    <m/>
    <m/>
    <x v="12"/>
    <m/>
    <m/>
    <m/>
    <m/>
    <m/>
    <m/>
    <m/>
    <m/>
    <n v="0"/>
    <m/>
    <m/>
    <n v="0"/>
    <n v="0"/>
    <n v="0"/>
    <m/>
    <m/>
    <m/>
    <m/>
    <n v="0"/>
    <m/>
    <m/>
    <n v="0"/>
    <m/>
    <m/>
    <m/>
    <m/>
    <m/>
    <m/>
    <n v="0"/>
    <n v="0"/>
  </r>
  <r>
    <x v="14"/>
    <x v="20"/>
    <s v="Contract Education Programs"/>
    <m/>
    <m/>
    <x v="12"/>
    <m/>
    <m/>
    <m/>
    <m/>
    <m/>
    <m/>
    <m/>
    <m/>
    <n v="0"/>
    <m/>
    <m/>
    <n v="0"/>
    <n v="0"/>
    <n v="0"/>
    <m/>
    <m/>
    <m/>
    <m/>
    <n v="0"/>
    <m/>
    <m/>
    <n v="0"/>
    <m/>
    <m/>
    <m/>
    <m/>
    <m/>
    <m/>
    <n v="0"/>
    <n v="0"/>
  </r>
  <r>
    <x v="14"/>
    <x v="21"/>
    <s v="SREB contract program with private colleges"/>
    <m/>
    <m/>
    <x v="12"/>
    <m/>
    <m/>
    <m/>
    <m/>
    <m/>
    <m/>
    <m/>
    <m/>
    <n v="0"/>
    <m/>
    <m/>
    <n v="0"/>
    <n v="0"/>
    <n v="0"/>
    <m/>
    <m/>
    <m/>
    <m/>
    <n v="0"/>
    <m/>
    <m/>
    <n v="0"/>
    <m/>
    <m/>
    <m/>
    <m/>
    <m/>
    <m/>
    <n v="0"/>
    <n v="0"/>
  </r>
  <r>
    <x v="14"/>
    <x v="21"/>
    <s v="Southern College of Optometry"/>
    <m/>
    <m/>
    <x v="12"/>
    <m/>
    <m/>
    <m/>
    <m/>
    <m/>
    <m/>
    <m/>
    <m/>
    <n v="0"/>
    <m/>
    <m/>
    <n v="0"/>
    <n v="0"/>
    <n v="0"/>
    <n v="20000"/>
    <n v="20000"/>
    <m/>
    <m/>
    <n v="0"/>
    <m/>
    <m/>
    <n v="0"/>
    <m/>
    <m/>
    <m/>
    <m/>
    <m/>
    <m/>
    <n v="20000"/>
    <n v="20000"/>
  </r>
  <r>
    <x v="14"/>
    <x v="22"/>
    <s v="SREB contract program with public colleges"/>
    <m/>
    <m/>
    <x v="12"/>
    <m/>
    <m/>
    <m/>
    <m/>
    <m/>
    <m/>
    <m/>
    <m/>
    <n v="0"/>
    <m/>
    <m/>
    <n v="0"/>
    <n v="0"/>
    <n v="0"/>
    <m/>
    <m/>
    <m/>
    <m/>
    <n v="0"/>
    <m/>
    <m/>
    <n v="0"/>
    <m/>
    <m/>
    <m/>
    <m/>
    <m/>
    <m/>
    <n v="0"/>
    <n v="0"/>
  </r>
  <r>
    <x v="14"/>
    <x v="22"/>
    <s v="University of North Carolina at Chapel Hill (Library Science)"/>
    <m/>
    <m/>
    <x v="12"/>
    <m/>
    <m/>
    <m/>
    <m/>
    <m/>
    <m/>
    <m/>
    <m/>
    <n v="0"/>
    <m/>
    <m/>
    <n v="0"/>
    <n v="0"/>
    <n v="0"/>
    <m/>
    <m/>
    <m/>
    <m/>
    <n v="0"/>
    <m/>
    <m/>
    <n v="0"/>
    <m/>
    <m/>
    <m/>
    <m/>
    <m/>
    <m/>
    <n v="0"/>
    <n v="0"/>
  </r>
  <r>
    <x v="14"/>
    <x v="22"/>
    <s v="North Carolina State University (Pulp/Paper)"/>
    <m/>
    <m/>
    <x v="12"/>
    <m/>
    <m/>
    <m/>
    <m/>
    <m/>
    <m/>
    <m/>
    <m/>
    <n v="0"/>
    <m/>
    <m/>
    <n v="0"/>
    <n v="0"/>
    <n v="0"/>
    <m/>
    <m/>
    <m/>
    <m/>
    <n v="0"/>
    <m/>
    <m/>
    <n v="0"/>
    <m/>
    <m/>
    <m/>
    <m/>
    <m/>
    <m/>
    <n v="0"/>
    <n v="0"/>
  </r>
  <r>
    <x v="14"/>
    <x v="22"/>
    <s v="University of Alabama at Birmingham (Optometry)"/>
    <m/>
    <m/>
    <x v="12"/>
    <m/>
    <m/>
    <m/>
    <m/>
    <m/>
    <m/>
    <m/>
    <m/>
    <n v="0"/>
    <m/>
    <m/>
    <n v="0"/>
    <n v="0"/>
    <n v="0"/>
    <m/>
    <m/>
    <m/>
    <m/>
    <n v="0"/>
    <m/>
    <m/>
    <n v="0"/>
    <m/>
    <m/>
    <m/>
    <m/>
    <m/>
    <m/>
    <n v="0"/>
    <n v="0"/>
  </r>
  <r>
    <x v="14"/>
    <x v="22"/>
    <s v="North Carolina Central University (Library Science)"/>
    <m/>
    <m/>
    <x v="12"/>
    <m/>
    <m/>
    <m/>
    <m/>
    <m/>
    <m/>
    <m/>
    <m/>
    <n v="0"/>
    <m/>
    <m/>
    <n v="0"/>
    <n v="0"/>
    <n v="0"/>
    <m/>
    <m/>
    <m/>
    <m/>
    <n v="0"/>
    <m/>
    <m/>
    <n v="0"/>
    <m/>
    <m/>
    <m/>
    <m/>
    <m/>
    <m/>
    <n v="0"/>
    <n v="0"/>
  </r>
  <r>
    <x v="14"/>
    <x v="23"/>
    <s v="Other contract education programs"/>
    <m/>
    <m/>
    <x v="12"/>
    <m/>
    <m/>
    <m/>
    <m/>
    <m/>
    <m/>
    <m/>
    <m/>
    <n v="0"/>
    <m/>
    <m/>
    <n v="0"/>
    <n v="0"/>
    <n v="0"/>
    <n v="170000"/>
    <n v="170000"/>
    <m/>
    <m/>
    <n v="0"/>
    <m/>
    <m/>
    <n v="0"/>
    <m/>
    <m/>
    <m/>
    <m/>
    <m/>
    <m/>
    <n v="170000"/>
    <n v="170000"/>
  </r>
  <r>
    <x v="14"/>
    <x v="24"/>
    <s v="Statewide Student Financial Aid Programs Administered Off Campus"/>
    <m/>
    <m/>
    <x v="12"/>
    <m/>
    <m/>
    <m/>
    <m/>
    <m/>
    <m/>
    <m/>
    <m/>
    <n v="0"/>
    <m/>
    <m/>
    <n v="0"/>
    <n v="0"/>
    <n v="0"/>
    <m/>
    <m/>
    <m/>
    <m/>
    <n v="0"/>
    <m/>
    <m/>
    <n v="0"/>
    <m/>
    <m/>
    <m/>
    <m/>
    <m/>
    <m/>
    <n v="0"/>
    <n v="0"/>
  </r>
  <r>
    <x v="14"/>
    <x v="25"/>
    <s v="Available to public &amp; private sector students"/>
    <m/>
    <m/>
    <x v="12"/>
    <m/>
    <m/>
    <m/>
    <m/>
    <m/>
    <m/>
    <m/>
    <m/>
    <n v="0"/>
    <m/>
    <m/>
    <n v="0"/>
    <n v="0"/>
    <n v="0"/>
    <m/>
    <m/>
    <m/>
    <m/>
    <n v="0"/>
    <m/>
    <m/>
    <n v="0"/>
    <m/>
    <m/>
    <m/>
    <m/>
    <m/>
    <m/>
    <n v="0"/>
    <n v="0"/>
  </r>
  <r>
    <x v="14"/>
    <x v="25"/>
    <s v="Program name(s)???"/>
    <m/>
    <m/>
    <x v="12"/>
    <m/>
    <m/>
    <m/>
    <m/>
    <m/>
    <m/>
    <m/>
    <m/>
    <n v="0"/>
    <m/>
    <m/>
    <n v="0"/>
    <n v="0"/>
    <n v="0"/>
    <m/>
    <m/>
    <m/>
    <m/>
    <n v="0"/>
    <m/>
    <m/>
    <n v="0"/>
    <m/>
    <m/>
    <m/>
    <m/>
    <m/>
    <m/>
    <n v="0"/>
    <n v="0"/>
  </r>
  <r>
    <x v="14"/>
    <x v="28"/>
    <s v="Amount to public sector students"/>
    <m/>
    <m/>
    <x v="12"/>
    <m/>
    <m/>
    <m/>
    <m/>
    <m/>
    <m/>
    <m/>
    <m/>
    <n v="0"/>
    <m/>
    <m/>
    <n v="0"/>
    <n v="0"/>
    <n v="0"/>
    <m/>
    <m/>
    <m/>
    <m/>
    <n v="0"/>
    <m/>
    <m/>
    <n v="0"/>
    <m/>
    <m/>
    <m/>
    <m/>
    <m/>
    <m/>
    <n v="0"/>
    <n v="0"/>
  </r>
  <r>
    <x v="14"/>
    <x v="29"/>
    <s v="Need-based"/>
    <m/>
    <m/>
    <x v="12"/>
    <m/>
    <m/>
    <m/>
    <m/>
    <m/>
    <m/>
    <m/>
    <m/>
    <n v="0"/>
    <m/>
    <m/>
    <n v="0"/>
    <n v="0"/>
    <n v="0"/>
    <n v="3372105"/>
    <n v="3372105"/>
    <m/>
    <m/>
    <n v="0"/>
    <m/>
    <m/>
    <n v="0"/>
    <m/>
    <m/>
    <m/>
    <m/>
    <m/>
    <m/>
    <n v="3372105"/>
    <n v="3372105"/>
  </r>
  <r>
    <x v="14"/>
    <x v="30"/>
    <s v="(Military tuition waiver) Non need-based"/>
    <m/>
    <m/>
    <x v="12"/>
    <m/>
    <m/>
    <m/>
    <m/>
    <m/>
    <m/>
    <m/>
    <m/>
    <n v="0"/>
    <m/>
    <m/>
    <n v="0"/>
    <n v="0"/>
    <n v="0"/>
    <n v="1250000"/>
    <n v="1250000"/>
    <m/>
    <m/>
    <n v="0"/>
    <m/>
    <m/>
    <n v="0"/>
    <m/>
    <m/>
    <m/>
    <m/>
    <m/>
    <m/>
    <n v="1250000"/>
    <n v="1250000"/>
  </r>
  <r>
    <x v="14"/>
    <x v="31"/>
    <s v="Amount to private sector students"/>
    <m/>
    <m/>
    <x v="12"/>
    <m/>
    <m/>
    <m/>
    <m/>
    <m/>
    <m/>
    <m/>
    <m/>
    <n v="0"/>
    <m/>
    <m/>
    <n v="0"/>
    <n v="0"/>
    <n v="0"/>
    <m/>
    <m/>
    <m/>
    <m/>
    <n v="0"/>
    <m/>
    <m/>
    <n v="0"/>
    <m/>
    <m/>
    <m/>
    <m/>
    <m/>
    <m/>
    <n v="0"/>
    <n v="0"/>
  </r>
  <r>
    <x v="14"/>
    <x v="32"/>
    <s v="Need-based"/>
    <m/>
    <m/>
    <x v="12"/>
    <m/>
    <m/>
    <m/>
    <m/>
    <m/>
    <m/>
    <m/>
    <m/>
    <n v="0"/>
    <m/>
    <m/>
    <n v="0"/>
    <n v="0"/>
    <n v="0"/>
    <n v="1041645"/>
    <n v="1041645"/>
    <m/>
    <m/>
    <n v="0"/>
    <m/>
    <m/>
    <n v="0"/>
    <m/>
    <m/>
    <m/>
    <m/>
    <m/>
    <m/>
    <n v="1041645"/>
    <n v="1041645"/>
  </r>
  <r>
    <x v="14"/>
    <x v="33"/>
    <s v="Non need-based"/>
    <m/>
    <m/>
    <x v="12"/>
    <m/>
    <m/>
    <m/>
    <m/>
    <m/>
    <m/>
    <m/>
    <m/>
    <n v="0"/>
    <m/>
    <m/>
    <n v="0"/>
    <n v="0"/>
    <n v="0"/>
    <m/>
    <m/>
    <m/>
    <m/>
    <n v="0"/>
    <m/>
    <m/>
    <n v="0"/>
    <m/>
    <m/>
    <m/>
    <m/>
    <m/>
    <m/>
    <n v="0"/>
    <n v="0"/>
  </r>
  <r>
    <x v="14"/>
    <x v="34"/>
    <s v="Limited to public college students only"/>
    <m/>
    <m/>
    <x v="12"/>
    <m/>
    <m/>
    <m/>
    <m/>
    <m/>
    <m/>
    <m/>
    <m/>
    <n v="0"/>
    <m/>
    <m/>
    <n v="0"/>
    <n v="0"/>
    <n v="0"/>
    <m/>
    <m/>
    <m/>
    <m/>
    <n v="0"/>
    <m/>
    <m/>
    <n v="0"/>
    <m/>
    <m/>
    <m/>
    <m/>
    <m/>
    <m/>
    <n v="0"/>
    <n v="0"/>
  </r>
  <r>
    <x v="14"/>
    <x v="34"/>
    <s v="Program name(s)???"/>
    <m/>
    <m/>
    <x v="12"/>
    <m/>
    <m/>
    <m/>
    <m/>
    <m/>
    <m/>
    <m/>
    <m/>
    <n v="0"/>
    <m/>
    <m/>
    <n v="0"/>
    <n v="0"/>
    <n v="0"/>
    <m/>
    <m/>
    <m/>
    <m/>
    <n v="0"/>
    <m/>
    <m/>
    <n v="0"/>
    <m/>
    <m/>
    <m/>
    <m/>
    <m/>
    <m/>
    <n v="0"/>
    <n v="0"/>
  </r>
  <r>
    <x v="14"/>
    <x v="35"/>
    <s v="Need-based"/>
    <m/>
    <m/>
    <x v="12"/>
    <m/>
    <m/>
    <m/>
    <m/>
    <m/>
    <m/>
    <m/>
    <m/>
    <n v="0"/>
    <m/>
    <m/>
    <n v="0"/>
    <n v="0"/>
    <n v="0"/>
    <n v="154794742"/>
    <n v="165133966"/>
    <m/>
    <m/>
    <n v="0"/>
    <m/>
    <m/>
    <n v="0"/>
    <m/>
    <m/>
    <m/>
    <m/>
    <m/>
    <m/>
    <n v="154794742"/>
    <n v="165133966"/>
  </r>
  <r>
    <x v="14"/>
    <x v="36"/>
    <s v="Non need-based"/>
    <m/>
    <m/>
    <x v="12"/>
    <m/>
    <m/>
    <m/>
    <m/>
    <m/>
    <m/>
    <m/>
    <m/>
    <n v="0"/>
    <m/>
    <m/>
    <n v="0"/>
    <n v="0"/>
    <n v="0"/>
    <n v="12359822"/>
    <n v="12359822"/>
    <m/>
    <m/>
    <n v="0"/>
    <m/>
    <m/>
    <n v="0"/>
    <m/>
    <m/>
    <m/>
    <m/>
    <m/>
    <m/>
    <n v="12359822"/>
    <n v="12359822"/>
  </r>
  <r>
    <x v="14"/>
    <x v="34"/>
    <s v="Transfer grant"/>
    <m/>
    <m/>
    <x v="12"/>
    <m/>
    <m/>
    <m/>
    <m/>
    <m/>
    <m/>
    <m/>
    <m/>
    <n v="0"/>
    <m/>
    <m/>
    <n v="0"/>
    <n v="0"/>
    <n v="0"/>
    <n v="1650000"/>
    <n v="1650000"/>
    <m/>
    <m/>
    <n v="0"/>
    <m/>
    <m/>
    <n v="0"/>
    <m/>
    <m/>
    <m/>
    <m/>
    <m/>
    <m/>
    <n v="1650000"/>
    <n v="1650000"/>
  </r>
  <r>
    <x v="14"/>
    <x v="37"/>
    <s v="Limited to private college students"/>
    <m/>
    <m/>
    <x v="12"/>
    <m/>
    <m/>
    <m/>
    <m/>
    <m/>
    <m/>
    <m/>
    <m/>
    <n v="0"/>
    <m/>
    <m/>
    <n v="0"/>
    <n v="0"/>
    <n v="0"/>
    <m/>
    <m/>
    <m/>
    <m/>
    <n v="0"/>
    <m/>
    <m/>
    <n v="0"/>
    <m/>
    <m/>
    <m/>
    <m/>
    <m/>
    <m/>
    <n v="0"/>
    <n v="0"/>
  </r>
  <r>
    <x v="14"/>
    <x v="37"/>
    <s v="Student Tuition Aid Grant"/>
    <m/>
    <m/>
    <x v="12"/>
    <m/>
    <m/>
    <m/>
    <m/>
    <m/>
    <m/>
    <m/>
    <m/>
    <n v="0"/>
    <m/>
    <m/>
    <n v="0"/>
    <n v="0"/>
    <n v="0"/>
    <m/>
    <m/>
    <m/>
    <m/>
    <n v="0"/>
    <m/>
    <m/>
    <n v="0"/>
    <m/>
    <m/>
    <m/>
    <m/>
    <m/>
    <m/>
    <n v="0"/>
    <n v="0"/>
  </r>
  <r>
    <x v="14"/>
    <x v="38"/>
    <s v="Need-based"/>
    <m/>
    <m/>
    <x v="12"/>
    <m/>
    <m/>
    <m/>
    <m/>
    <m/>
    <m/>
    <m/>
    <m/>
    <n v="0"/>
    <m/>
    <m/>
    <n v="0"/>
    <n v="0"/>
    <n v="0"/>
    <m/>
    <m/>
    <m/>
    <m/>
    <n v="0"/>
    <m/>
    <m/>
    <n v="0"/>
    <m/>
    <m/>
    <m/>
    <m/>
    <m/>
    <m/>
    <n v="0"/>
    <n v="0"/>
  </r>
  <r>
    <x v="14"/>
    <x v="39"/>
    <s v="Non need-based"/>
    <m/>
    <m/>
    <x v="12"/>
    <m/>
    <m/>
    <m/>
    <m/>
    <m/>
    <m/>
    <m/>
    <m/>
    <n v="0"/>
    <m/>
    <m/>
    <n v="0"/>
    <n v="0"/>
    <n v="0"/>
    <n v="61812665"/>
    <n v="61812665"/>
    <m/>
    <m/>
    <n v="0"/>
    <m/>
    <m/>
    <n v="0"/>
    <m/>
    <m/>
    <m/>
    <m/>
    <m/>
    <m/>
    <n v="61812665"/>
    <n v="61812665"/>
  </r>
  <r>
    <x v="14"/>
    <x v="37"/>
    <s v="Other Student Financial Aid"/>
    <m/>
    <m/>
    <x v="12"/>
    <m/>
    <m/>
    <m/>
    <m/>
    <m/>
    <m/>
    <m/>
    <m/>
    <n v="0"/>
    <m/>
    <m/>
    <n v="0"/>
    <n v="0"/>
    <n v="0"/>
    <m/>
    <m/>
    <m/>
    <m/>
    <n v="0"/>
    <m/>
    <m/>
    <n v="0"/>
    <m/>
    <m/>
    <m/>
    <m/>
    <m/>
    <m/>
    <n v="0"/>
    <n v="0"/>
  </r>
  <r>
    <x v="14"/>
    <x v="38"/>
    <s v="Need-based"/>
    <m/>
    <m/>
    <x v="12"/>
    <m/>
    <m/>
    <m/>
    <m/>
    <m/>
    <m/>
    <m/>
    <m/>
    <n v="0"/>
    <m/>
    <m/>
    <n v="0"/>
    <n v="0"/>
    <n v="0"/>
    <m/>
    <m/>
    <m/>
    <m/>
    <n v="0"/>
    <m/>
    <m/>
    <n v="0"/>
    <m/>
    <m/>
    <m/>
    <m/>
    <m/>
    <m/>
    <n v="0"/>
    <n v="0"/>
  </r>
  <r>
    <x v="14"/>
    <x v="39"/>
    <s v="Non need-based"/>
    <m/>
    <m/>
    <x v="12"/>
    <m/>
    <m/>
    <m/>
    <m/>
    <m/>
    <m/>
    <m/>
    <m/>
    <n v="0"/>
    <m/>
    <m/>
    <n v="0"/>
    <n v="0"/>
    <n v="0"/>
    <n v="3139944"/>
    <n v="3139944"/>
    <m/>
    <m/>
    <n v="0"/>
    <m/>
    <m/>
    <n v="0"/>
    <m/>
    <m/>
    <m/>
    <m/>
    <m/>
    <m/>
    <n v="3139944"/>
    <n v="3139944"/>
  </r>
  <r>
    <x v="15"/>
    <x v="0"/>
    <s v="West Virginia University"/>
    <m/>
    <n v="238032"/>
    <x v="0"/>
    <n v="78213821"/>
    <n v="66460225"/>
    <m/>
    <m/>
    <m/>
    <m/>
    <n v="274842576"/>
    <n v="10615063"/>
    <n v="285457639"/>
    <n v="288649003"/>
    <n v="10614313"/>
    <n v="299263316"/>
    <n v="353056397"/>
    <n v="355109228"/>
    <m/>
    <m/>
    <m/>
    <m/>
    <n v="0"/>
    <m/>
    <m/>
    <n v="0"/>
    <m/>
    <m/>
    <m/>
    <m/>
    <m/>
    <m/>
    <n v="353056397"/>
    <n v="355109228"/>
  </r>
  <r>
    <x v="15"/>
    <x v="1"/>
    <s v="Health professions education"/>
    <m/>
    <n v="238032"/>
    <x v="0"/>
    <m/>
    <m/>
    <m/>
    <m/>
    <m/>
    <m/>
    <m/>
    <m/>
    <n v="0"/>
    <m/>
    <m/>
    <n v="0"/>
    <n v="0"/>
    <n v="0"/>
    <m/>
    <m/>
    <m/>
    <m/>
    <n v="0"/>
    <m/>
    <m/>
    <n v="0"/>
    <m/>
    <m/>
    <m/>
    <m/>
    <m/>
    <m/>
    <n v="0"/>
    <n v="0"/>
  </r>
  <r>
    <x v="15"/>
    <x v="1"/>
    <s v="School of Health Sciences"/>
    <m/>
    <n v="238032"/>
    <x v="0"/>
    <m/>
    <m/>
    <m/>
    <m/>
    <m/>
    <m/>
    <m/>
    <m/>
    <n v="0"/>
    <m/>
    <m/>
    <n v="0"/>
    <n v="0"/>
    <n v="0"/>
    <m/>
    <m/>
    <m/>
    <m/>
    <n v="0"/>
    <m/>
    <m/>
    <n v="0"/>
    <n v="69527816"/>
    <n v="67078611"/>
    <n v="45880496"/>
    <m/>
    <n v="48091056"/>
    <m/>
    <n v="115408312"/>
    <n v="115169667"/>
  </r>
  <r>
    <x v="15"/>
    <x v="1"/>
    <s v="BRIM insurance subsidy"/>
    <m/>
    <n v="238032"/>
    <x v="0"/>
    <m/>
    <m/>
    <m/>
    <m/>
    <m/>
    <m/>
    <m/>
    <m/>
    <n v="0"/>
    <m/>
    <m/>
    <n v="0"/>
    <n v="0"/>
    <n v="0"/>
    <m/>
    <m/>
    <m/>
    <m/>
    <n v="0"/>
    <m/>
    <m/>
    <n v="0"/>
    <n v="1400038"/>
    <n v="1274838"/>
    <m/>
    <m/>
    <m/>
    <m/>
    <n v="1400038"/>
    <n v="1274838"/>
  </r>
  <r>
    <x v="15"/>
    <x v="13"/>
    <s v="HSTA Program"/>
    <m/>
    <n v="238032"/>
    <x v="0"/>
    <m/>
    <m/>
    <n v="1543868"/>
    <n v="1750000"/>
    <m/>
    <m/>
    <m/>
    <m/>
    <n v="0"/>
    <m/>
    <m/>
    <n v="0"/>
    <n v="1543868"/>
    <n v="1750000"/>
    <m/>
    <m/>
    <m/>
    <m/>
    <n v="0"/>
    <m/>
    <m/>
    <n v="0"/>
    <n v="0"/>
    <m/>
    <m/>
    <m/>
    <m/>
    <m/>
    <n v="1543868"/>
    <n v="1750000"/>
  </r>
  <r>
    <x v="15"/>
    <x v="13"/>
    <s v="Health Sciences Career Opportunities"/>
    <m/>
    <n v="238032"/>
    <x v="0"/>
    <m/>
    <m/>
    <n v="378192"/>
    <n v="344372"/>
    <m/>
    <m/>
    <m/>
    <m/>
    <n v="0"/>
    <m/>
    <m/>
    <n v="0"/>
    <n v="378192"/>
    <n v="344372"/>
    <m/>
    <m/>
    <m/>
    <m/>
    <n v="0"/>
    <m/>
    <m/>
    <n v="0"/>
    <n v="0"/>
    <m/>
    <m/>
    <m/>
    <m/>
    <m/>
    <n v="378192"/>
    <n v="344372"/>
  </r>
  <r>
    <x v="15"/>
    <x v="1"/>
    <s v="Community or public service units"/>
    <m/>
    <n v="238032"/>
    <x v="0"/>
    <m/>
    <m/>
    <n v="2267147"/>
    <n v="2264539"/>
    <m/>
    <m/>
    <m/>
    <m/>
    <n v="0"/>
    <m/>
    <m/>
    <n v="0"/>
    <n v="2267147"/>
    <n v="2264539"/>
    <m/>
    <m/>
    <m/>
    <m/>
    <n v="0"/>
    <m/>
    <m/>
    <n v="0"/>
    <n v="0"/>
    <m/>
    <m/>
    <m/>
    <m/>
    <m/>
    <n v="2267147"/>
    <n v="2264539"/>
  </r>
  <r>
    <x v="15"/>
    <x v="1"/>
    <s v="WVU HSC - Blanchette Rockefeller Neuroligical Institute"/>
    <m/>
    <n v="238032"/>
    <x v="0"/>
    <m/>
    <m/>
    <m/>
    <s v=" "/>
    <m/>
    <m/>
    <m/>
    <m/>
    <n v="0"/>
    <m/>
    <m/>
    <n v="0"/>
    <n v="0"/>
    <n v="0"/>
    <m/>
    <m/>
    <m/>
    <m/>
    <n v="0"/>
    <m/>
    <m/>
    <n v="0"/>
    <n v="1000000"/>
    <n v="1000000"/>
    <m/>
    <m/>
    <m/>
    <m/>
    <n v="1000000"/>
    <n v="1000000"/>
  </r>
  <r>
    <x v="15"/>
    <x v="13"/>
    <s v="Public Health Program &amp; Health Science Technology"/>
    <m/>
    <n v="238032"/>
    <x v="0"/>
    <m/>
    <m/>
    <n v="62483"/>
    <n v="56895"/>
    <m/>
    <m/>
    <m/>
    <m/>
    <n v="0"/>
    <m/>
    <m/>
    <n v="0"/>
    <n v="62483"/>
    <n v="56895"/>
    <m/>
    <m/>
    <m/>
    <m/>
    <n v="0"/>
    <m/>
    <m/>
    <n v="0"/>
    <n v="0"/>
    <m/>
    <m/>
    <m/>
    <m/>
    <m/>
    <n v="62483"/>
    <n v="56895"/>
  </r>
  <r>
    <x v="15"/>
    <x v="1"/>
    <s v="WVUHSC - Graduate Medical Education"/>
    <m/>
    <n v="238032"/>
    <x v="0"/>
    <m/>
    <m/>
    <m/>
    <s v=" "/>
    <m/>
    <m/>
    <m/>
    <m/>
    <n v="0"/>
    <m/>
    <m/>
    <n v="0"/>
    <n v="0"/>
    <n v="0"/>
    <m/>
    <m/>
    <m/>
    <m/>
    <n v="0"/>
    <m/>
    <m/>
    <n v="0"/>
    <n v="943080"/>
    <n v="943080"/>
    <m/>
    <m/>
    <m/>
    <m/>
    <n v="943080"/>
    <n v="943080"/>
  </r>
  <r>
    <x v="15"/>
    <x v="1"/>
    <s v="WVU Health Sciences Center - Academy of Family Physicians Doc of the Day Program"/>
    <m/>
    <n v="238032"/>
    <x v="0"/>
    <m/>
    <m/>
    <m/>
    <s v=" "/>
    <m/>
    <m/>
    <m/>
    <m/>
    <n v="0"/>
    <m/>
    <m/>
    <n v="0"/>
    <n v="0"/>
    <n v="0"/>
    <m/>
    <m/>
    <m/>
    <m/>
    <n v="0"/>
    <m/>
    <m/>
    <n v="0"/>
    <n v="5000"/>
    <n v="5000"/>
    <m/>
    <m/>
    <m/>
    <m/>
    <n v="5000"/>
    <n v="5000"/>
  </r>
  <r>
    <x v="15"/>
    <x v="5"/>
    <s v="Agricultural cooperative extension"/>
    <m/>
    <n v="238032"/>
    <x v="0"/>
    <m/>
    <m/>
    <n v="17735741"/>
    <n v="17844171"/>
    <m/>
    <m/>
    <m/>
    <m/>
    <n v="0"/>
    <m/>
    <m/>
    <n v="0"/>
    <n v="17735741"/>
    <n v="17844171"/>
    <m/>
    <m/>
    <m/>
    <m/>
    <n v="0"/>
    <m/>
    <m/>
    <n v="0"/>
    <n v="0"/>
    <m/>
    <m/>
    <m/>
    <m/>
    <m/>
    <n v="17735741"/>
    <n v="17844171"/>
  </r>
  <r>
    <x v="15"/>
    <x v="6"/>
    <s v="Agricultural experiment stations"/>
    <m/>
    <n v="238032"/>
    <x v="0"/>
    <m/>
    <m/>
    <n v="8785626"/>
    <n v="9073860"/>
    <m/>
    <m/>
    <m/>
    <m/>
    <n v="0"/>
    <m/>
    <m/>
    <n v="0"/>
    <n v="8785626"/>
    <n v="9073860"/>
    <m/>
    <m/>
    <m/>
    <m/>
    <n v="0"/>
    <m/>
    <m/>
    <n v="0"/>
    <n v="0"/>
    <m/>
    <m/>
    <m/>
    <m/>
    <m/>
    <n v="8785626"/>
    <n v="9073860"/>
  </r>
  <r>
    <x v="15"/>
    <x v="43"/>
    <s v="Engineering experiment stations"/>
    <m/>
    <n v="238032"/>
    <x v="0"/>
    <m/>
    <m/>
    <n v="3285798"/>
    <n v="3696549"/>
    <m/>
    <m/>
    <m/>
    <m/>
    <n v="0"/>
    <m/>
    <m/>
    <n v="0"/>
    <n v="3285798"/>
    <n v="3696549"/>
    <m/>
    <m/>
    <m/>
    <m/>
    <n v="0"/>
    <m/>
    <m/>
    <n v="0"/>
    <n v="0"/>
    <m/>
    <m/>
    <m/>
    <m/>
    <m/>
    <n v="3285798"/>
    <n v="3696549"/>
  </r>
  <r>
    <x v="15"/>
    <x v="7"/>
    <s v="Research centers/institutes"/>
    <m/>
    <n v="238032"/>
    <x v="0"/>
    <m/>
    <m/>
    <n v="2748978"/>
    <n v="2754959"/>
    <m/>
    <m/>
    <m/>
    <m/>
    <n v="0"/>
    <m/>
    <m/>
    <n v="0"/>
    <n v="2748978"/>
    <n v="2754959"/>
    <m/>
    <m/>
    <m/>
    <m/>
    <n v="0"/>
    <m/>
    <m/>
    <n v="0"/>
    <n v="0"/>
    <m/>
    <m/>
    <m/>
    <m/>
    <m/>
    <n v="2748978"/>
    <n v="2754959"/>
  </r>
  <r>
    <x v="15"/>
    <x v="7"/>
    <s v="WVU - PRT"/>
    <m/>
    <n v="238032"/>
    <x v="0"/>
    <m/>
    <m/>
    <n v="2134245"/>
    <n v="2117392"/>
    <m/>
    <m/>
    <m/>
    <m/>
    <n v="0"/>
    <m/>
    <m/>
    <n v="0"/>
    <n v="2134245"/>
    <n v="2117392"/>
    <m/>
    <m/>
    <m/>
    <m/>
    <n v="0"/>
    <m/>
    <m/>
    <n v="0"/>
    <n v="0"/>
    <m/>
    <m/>
    <m/>
    <m/>
    <m/>
    <n v="2134245"/>
    <n v="2117392"/>
  </r>
  <r>
    <x v="15"/>
    <x v="8"/>
    <s v="Special Line items for education operations"/>
    <m/>
    <n v="238032"/>
    <x v="0"/>
    <m/>
    <m/>
    <n v="2155508"/>
    <n v="1420977"/>
    <m/>
    <m/>
    <m/>
    <m/>
    <n v="0"/>
    <m/>
    <m/>
    <n v="0"/>
    <n v="2155508"/>
    <n v="1420977"/>
    <m/>
    <m/>
    <m/>
    <m/>
    <n v="0"/>
    <m/>
    <m/>
    <n v="0"/>
    <n v="0"/>
    <m/>
    <m/>
    <m/>
    <m/>
    <m/>
    <n v="2155508"/>
    <n v="1420977"/>
  </r>
  <r>
    <x v="15"/>
    <x v="8"/>
    <s v="Center for Excellence in Disabilities"/>
    <m/>
    <n v="238032"/>
    <x v="0"/>
    <m/>
    <m/>
    <n v="350000"/>
    <n v="318701"/>
    <m/>
    <m/>
    <m/>
    <m/>
    <n v="0"/>
    <m/>
    <m/>
    <n v="0"/>
    <n v="350000"/>
    <n v="318701"/>
    <m/>
    <m/>
    <m/>
    <m/>
    <n v="0"/>
    <m/>
    <m/>
    <n v="0"/>
    <n v="0"/>
    <m/>
    <m/>
    <m/>
    <m/>
    <m/>
    <n v="350000"/>
    <n v="318701"/>
  </r>
  <r>
    <x v="15"/>
    <x v="0"/>
    <s v="Marshall University "/>
    <m/>
    <n v="237525"/>
    <x v="2"/>
    <n v="51457526"/>
    <n v="45819526"/>
    <m/>
    <s v=" "/>
    <m/>
    <m/>
    <n v="84076531"/>
    <n v="2446270"/>
    <n v="86522801"/>
    <n v="89336470"/>
    <n v="2454065"/>
    <n v="91790535"/>
    <n v="135534057"/>
    <n v="135155996"/>
    <m/>
    <m/>
    <m/>
    <m/>
    <n v="0"/>
    <m/>
    <m/>
    <n v="0"/>
    <m/>
    <m/>
    <m/>
    <m/>
    <m/>
    <m/>
    <n v="135534057"/>
    <n v="135155996"/>
  </r>
  <r>
    <x v="15"/>
    <x v="7"/>
    <s v="Research centers/institutes"/>
    <m/>
    <n v="237525"/>
    <x v="2"/>
    <m/>
    <m/>
    <m/>
    <s v=" "/>
    <m/>
    <m/>
    <m/>
    <m/>
    <n v="0"/>
    <m/>
    <m/>
    <n v="0"/>
    <n v="0"/>
    <n v="0"/>
    <m/>
    <m/>
    <m/>
    <m/>
    <n v="0"/>
    <m/>
    <m/>
    <n v="0"/>
    <m/>
    <m/>
    <m/>
    <m/>
    <m/>
    <m/>
    <n v="0"/>
    <n v="0"/>
  </r>
  <r>
    <x v="15"/>
    <x v="8"/>
    <s v="MU/SWVVCTC 2+2 Program"/>
    <m/>
    <n v="237525"/>
    <x v="2"/>
    <m/>
    <m/>
    <n v="181280"/>
    <n v="181280"/>
    <m/>
    <m/>
    <m/>
    <m/>
    <n v="0"/>
    <m/>
    <m/>
    <n v="0"/>
    <n v="181280"/>
    <n v="181280"/>
    <m/>
    <m/>
    <m/>
    <m/>
    <n v="0"/>
    <m/>
    <m/>
    <n v="0"/>
    <m/>
    <m/>
    <m/>
    <m/>
    <m/>
    <m/>
    <n v="181280"/>
    <n v="181280"/>
  </r>
  <r>
    <x v="15"/>
    <x v="7"/>
    <s v="Autism Training Center"/>
    <m/>
    <n v="237525"/>
    <x v="2"/>
    <m/>
    <m/>
    <n v="2111572"/>
    <n v="1901774"/>
    <m/>
    <m/>
    <m/>
    <m/>
    <n v="0"/>
    <m/>
    <m/>
    <n v="0"/>
    <n v="2111572"/>
    <n v="1901774"/>
    <m/>
    <m/>
    <m/>
    <m/>
    <n v="0"/>
    <m/>
    <m/>
    <n v="0"/>
    <m/>
    <m/>
    <m/>
    <m/>
    <m/>
    <m/>
    <n v="2111572"/>
    <n v="1901774"/>
  </r>
  <r>
    <x v="15"/>
    <x v="8"/>
    <s v="Special Line items for education operations"/>
    <m/>
    <n v="237525"/>
    <x v="2"/>
    <m/>
    <m/>
    <n v="703099"/>
    <n v="662987"/>
    <m/>
    <m/>
    <m/>
    <m/>
    <n v="0"/>
    <m/>
    <m/>
    <n v="0"/>
    <n v="703099"/>
    <n v="662987"/>
    <m/>
    <m/>
    <m/>
    <m/>
    <n v="0"/>
    <m/>
    <m/>
    <n v="0"/>
    <m/>
    <m/>
    <m/>
    <m/>
    <m/>
    <m/>
    <n v="703099"/>
    <n v="662987"/>
  </r>
  <r>
    <x v="15"/>
    <x v="1"/>
    <s v="Medical School"/>
    <m/>
    <n v="237525"/>
    <x v="2"/>
    <m/>
    <m/>
    <m/>
    <m/>
    <m/>
    <m/>
    <m/>
    <m/>
    <n v="0"/>
    <m/>
    <m/>
    <n v="0"/>
    <n v="0"/>
    <n v="0"/>
    <m/>
    <m/>
    <m/>
    <m/>
    <n v="0"/>
    <m/>
    <m/>
    <n v="0"/>
    <n v="19286846"/>
    <n v="19428921"/>
    <n v="8855321"/>
    <m/>
    <n v="8801006"/>
    <m/>
    <n v="28142167"/>
    <n v="28229927"/>
  </r>
  <r>
    <x v="15"/>
    <x v="1"/>
    <s v="MU SOM- Graduate Medical Education"/>
    <m/>
    <n v="237525"/>
    <x v="2"/>
    <m/>
    <m/>
    <m/>
    <m/>
    <m/>
    <m/>
    <m/>
    <m/>
    <n v="0"/>
    <m/>
    <m/>
    <n v="0"/>
    <n v="0"/>
    <n v="0"/>
    <m/>
    <m/>
    <m/>
    <m/>
    <n v="0"/>
    <m/>
    <m/>
    <n v="0"/>
    <n v="295477"/>
    <n v="295477"/>
    <m/>
    <m/>
    <m/>
    <m/>
    <n v="295477"/>
    <n v="295477"/>
  </r>
  <r>
    <x v="15"/>
    <x v="1"/>
    <s v="MU SOM- Academy of Family Physicians Doc of the Day Program"/>
    <m/>
    <n v="237525"/>
    <x v="2"/>
    <m/>
    <m/>
    <m/>
    <m/>
    <m/>
    <m/>
    <m/>
    <m/>
    <n v="0"/>
    <m/>
    <m/>
    <n v="0"/>
    <n v="0"/>
    <n v="0"/>
    <m/>
    <m/>
    <m/>
    <m/>
    <n v="0"/>
    <m/>
    <m/>
    <n v="0"/>
    <n v="5000"/>
    <n v="5000"/>
    <m/>
    <m/>
    <m/>
    <m/>
    <n v="5000"/>
    <n v="5000"/>
  </r>
  <r>
    <x v="15"/>
    <x v="1"/>
    <s v="MUSOM - Center for Rural Health"/>
    <m/>
    <n v="237525"/>
    <x v="2"/>
    <m/>
    <m/>
    <m/>
    <m/>
    <m/>
    <m/>
    <m/>
    <m/>
    <n v="0"/>
    <m/>
    <m/>
    <n v="0"/>
    <n v="0"/>
    <n v="0"/>
    <m/>
    <m/>
    <m/>
    <m/>
    <n v="0"/>
    <m/>
    <m/>
    <n v="0"/>
    <n v="275061"/>
    <n v="275061"/>
    <m/>
    <m/>
    <m/>
    <m/>
    <n v="275061"/>
    <n v="275061"/>
  </r>
  <r>
    <x v="15"/>
    <x v="7"/>
    <s v="Forensic Lab"/>
    <m/>
    <n v="237525"/>
    <x v="2"/>
    <m/>
    <m/>
    <m/>
    <m/>
    <m/>
    <m/>
    <m/>
    <m/>
    <n v="0"/>
    <m/>
    <m/>
    <n v="0"/>
    <n v="0"/>
    <n v="0"/>
    <m/>
    <m/>
    <m/>
    <m/>
    <n v="0"/>
    <m/>
    <m/>
    <n v="0"/>
    <n v="417351"/>
    <n v="417351"/>
    <m/>
    <m/>
    <m/>
    <m/>
    <n v="417351"/>
    <n v="417351"/>
  </r>
  <r>
    <x v="15"/>
    <x v="8"/>
    <s v="BRIM insurance subsidy"/>
    <m/>
    <n v="237525"/>
    <x v="2"/>
    <m/>
    <m/>
    <m/>
    <m/>
    <m/>
    <m/>
    <m/>
    <m/>
    <n v="0"/>
    <m/>
    <m/>
    <n v="0"/>
    <n v="0"/>
    <n v="0"/>
    <m/>
    <m/>
    <m/>
    <m/>
    <n v="0"/>
    <m/>
    <m/>
    <n v="0"/>
    <n v="1015462"/>
    <n v="924653"/>
    <m/>
    <m/>
    <m/>
    <m/>
    <n v="1015462"/>
    <n v="924653"/>
  </r>
  <r>
    <x v="15"/>
    <x v="0"/>
    <s v="Fairmont State University"/>
    <m/>
    <n v="237367"/>
    <x v="4"/>
    <n v="17880671"/>
    <n v="16104114"/>
    <m/>
    <m/>
    <m/>
    <m/>
    <n v="20637027"/>
    <n v="1528367"/>
    <n v="22165394"/>
    <n v="20980269"/>
    <n v="1522545"/>
    <n v="22502814"/>
    <n v="38517698"/>
    <n v="37084383"/>
    <m/>
    <m/>
    <m/>
    <m/>
    <n v="0"/>
    <m/>
    <m/>
    <n v="0"/>
    <m/>
    <m/>
    <m/>
    <m/>
    <m/>
    <m/>
    <n v="38517698"/>
    <n v="37084383"/>
  </r>
  <r>
    <x v="15"/>
    <x v="0"/>
    <s v="Shepherd University "/>
    <m/>
    <n v="237792"/>
    <x v="4"/>
    <n v="11128474"/>
    <n v="10012854"/>
    <m/>
    <m/>
    <m/>
    <m/>
    <n v="28099686"/>
    <n v="636945"/>
    <n v="28736631"/>
    <n v="28920229"/>
    <n v="635813"/>
    <n v="29556042"/>
    <n v="39228160"/>
    <n v="38933083"/>
    <m/>
    <m/>
    <m/>
    <m/>
    <n v="0"/>
    <m/>
    <m/>
    <n v="0"/>
    <m/>
    <m/>
    <m/>
    <m/>
    <m/>
    <m/>
    <n v="39228160"/>
    <n v="38933083"/>
  </r>
  <r>
    <x v="15"/>
    <x v="8"/>
    <s v="Special Line items for education operations"/>
    <m/>
    <n v="237792"/>
    <x v="4"/>
    <n v="0"/>
    <m/>
    <n v="100000"/>
    <n v="100000"/>
    <m/>
    <m/>
    <m/>
    <m/>
    <n v="0"/>
    <m/>
    <m/>
    <n v="0"/>
    <n v="100000"/>
    <n v="100000"/>
    <m/>
    <m/>
    <m/>
    <m/>
    <n v="0"/>
    <m/>
    <m/>
    <n v="0"/>
    <m/>
    <m/>
    <m/>
    <m/>
    <m/>
    <m/>
    <n v="100000"/>
    <n v="100000"/>
  </r>
  <r>
    <x v="15"/>
    <x v="0"/>
    <s v="Bluefield State College "/>
    <m/>
    <n v="237215"/>
    <x v="5"/>
    <n v="6593442"/>
    <n v="5938342"/>
    <m/>
    <m/>
    <m/>
    <m/>
    <n v="10386668"/>
    <s v=" "/>
    <n v="10386668"/>
    <n v="10369182"/>
    <m/>
    <n v="10369182"/>
    <n v="16980110"/>
    <n v="16307524"/>
    <m/>
    <m/>
    <m/>
    <m/>
    <n v="0"/>
    <m/>
    <m/>
    <n v="0"/>
    <m/>
    <m/>
    <m/>
    <m/>
    <m/>
    <m/>
    <n v="16980110"/>
    <n v="16307524"/>
  </r>
  <r>
    <x v="15"/>
    <x v="0"/>
    <s v="Concord University "/>
    <m/>
    <n v="237330"/>
    <x v="5"/>
    <n v="10106804"/>
    <n v="9092694"/>
    <m/>
    <m/>
    <m/>
    <m/>
    <n v="16510509"/>
    <s v=" "/>
    <n v="16510509"/>
    <n v="16716550"/>
    <m/>
    <n v="16716550"/>
    <n v="26617313"/>
    <n v="25809244"/>
    <m/>
    <m/>
    <m/>
    <m/>
    <n v="0"/>
    <m/>
    <m/>
    <n v="0"/>
    <m/>
    <m/>
    <m/>
    <m/>
    <m/>
    <m/>
    <n v="26617313"/>
    <n v="25809244"/>
  </r>
  <r>
    <x v="15"/>
    <x v="8"/>
    <s v="Special Line items for education operations"/>
    <m/>
    <n v="237330"/>
    <x v="5"/>
    <m/>
    <m/>
    <n v="100000"/>
    <n v="100000"/>
    <m/>
    <m/>
    <m/>
    <m/>
    <n v="0"/>
    <m/>
    <m/>
    <n v="0"/>
    <n v="100000"/>
    <n v="100000"/>
    <m/>
    <m/>
    <m/>
    <m/>
    <n v="0"/>
    <m/>
    <m/>
    <n v="0"/>
    <m/>
    <m/>
    <m/>
    <m/>
    <m/>
    <m/>
    <n v="100000"/>
    <n v="100000"/>
  </r>
  <r>
    <x v="15"/>
    <x v="0"/>
    <s v="Glenville State College "/>
    <m/>
    <n v="237385"/>
    <x v="5"/>
    <n v="6606804"/>
    <n v="5818711"/>
    <m/>
    <m/>
    <m/>
    <m/>
    <n v="7547782"/>
    <n v="351436"/>
    <n v="7899218"/>
    <n v="7294563"/>
    <n v="350887"/>
    <n v="7645450"/>
    <n v="14154586"/>
    <n v="13113274"/>
    <m/>
    <m/>
    <m/>
    <m/>
    <n v="0"/>
    <m/>
    <m/>
    <n v="0"/>
    <m/>
    <m/>
    <m/>
    <m/>
    <m/>
    <m/>
    <n v="14154586"/>
    <n v="13113274"/>
  </r>
  <r>
    <x v="15"/>
    <x v="8"/>
    <s v="Special Line items for education operations"/>
    <m/>
    <n v="237385"/>
    <x v="5"/>
    <m/>
    <m/>
    <n v="600000"/>
    <n v="600000"/>
    <m/>
    <m/>
    <m/>
    <m/>
    <n v="0"/>
    <m/>
    <m/>
    <n v="0"/>
    <n v="600000"/>
    <n v="600000"/>
    <m/>
    <m/>
    <m/>
    <m/>
    <n v="0"/>
    <m/>
    <m/>
    <n v="0"/>
    <m/>
    <m/>
    <m/>
    <m/>
    <m/>
    <m/>
    <n v="600000"/>
    <n v="600000"/>
  </r>
  <r>
    <x v="15"/>
    <x v="0"/>
    <s v="West Liberty University"/>
    <m/>
    <n v="237932"/>
    <x v="5"/>
    <n v="9322524"/>
    <n v="8396273"/>
    <m/>
    <m/>
    <m/>
    <m/>
    <n v="18904099"/>
    <n v="530118"/>
    <n v="19434217"/>
    <n v="19941858"/>
    <n v="527783"/>
    <n v="20469641"/>
    <n v="28226623"/>
    <n v="28338131"/>
    <m/>
    <m/>
    <m/>
    <m/>
    <n v="0"/>
    <m/>
    <m/>
    <n v="0"/>
    <m/>
    <m/>
    <m/>
    <m/>
    <m/>
    <m/>
    <n v="28226623"/>
    <n v="28338131"/>
  </r>
  <r>
    <x v="15"/>
    <x v="0"/>
    <s v="West Virginia State University "/>
    <m/>
    <n v="237899"/>
    <x v="5"/>
    <n v="13612389"/>
    <n v="12449485"/>
    <m/>
    <m/>
    <m/>
    <m/>
    <n v="12242153"/>
    <s v=" "/>
    <n v="12242153"/>
    <n v="15387812"/>
    <m/>
    <n v="15387812"/>
    <n v="25854542"/>
    <n v="27837297"/>
    <m/>
    <m/>
    <m/>
    <m/>
    <n v="0"/>
    <m/>
    <m/>
    <n v="0"/>
    <m/>
    <m/>
    <m/>
    <m/>
    <m/>
    <m/>
    <n v="25854542"/>
    <n v="27837297"/>
  </r>
  <r>
    <x v="15"/>
    <x v="0"/>
    <s v="West Virginia University Institute of Technology"/>
    <m/>
    <n v="237950"/>
    <x v="5"/>
    <n v="9467640"/>
    <n v="8526970"/>
    <m/>
    <m/>
    <m/>
    <m/>
    <n v="6990246"/>
    <s v=" "/>
    <n v="6990246"/>
    <n v="8763808"/>
    <m/>
    <n v="8763808"/>
    <n v="16457886"/>
    <n v="17290778"/>
    <m/>
    <m/>
    <m/>
    <m/>
    <n v="0"/>
    <m/>
    <m/>
    <n v="0"/>
    <m/>
    <m/>
    <m/>
    <m/>
    <m/>
    <m/>
    <n v="16457886"/>
    <n v="17290778"/>
  </r>
  <r>
    <x v="15"/>
    <x v="8"/>
    <s v="Accreditation supplement"/>
    <m/>
    <n v="237950"/>
    <x v="5"/>
    <m/>
    <m/>
    <m/>
    <m/>
    <m/>
    <m/>
    <s v=" "/>
    <s v=" "/>
    <n v="0"/>
    <m/>
    <m/>
    <n v="0"/>
    <n v="0"/>
    <n v="0"/>
    <m/>
    <m/>
    <m/>
    <m/>
    <n v="0"/>
    <m/>
    <m/>
    <n v="0"/>
    <m/>
    <m/>
    <m/>
    <m/>
    <m/>
    <m/>
    <n v="0"/>
    <n v="0"/>
  </r>
  <r>
    <x v="15"/>
    <x v="0"/>
    <s v="Potomac State College of West Virginia University"/>
    <m/>
    <n v="237701"/>
    <x v="14"/>
    <n v="4482689"/>
    <n v="4016689"/>
    <m/>
    <m/>
    <m/>
    <m/>
    <n v="6322687"/>
    <s v=" "/>
    <n v="6322687"/>
    <n v="6387004"/>
    <s v=" "/>
    <n v="6387004"/>
    <n v="10805376"/>
    <n v="10403693"/>
    <m/>
    <m/>
    <m/>
    <m/>
    <n v="0"/>
    <m/>
    <m/>
    <n v="0"/>
    <m/>
    <m/>
    <m/>
    <m/>
    <m/>
    <m/>
    <n v="10805376"/>
    <n v="10403693"/>
  </r>
  <r>
    <x v="15"/>
    <x v="8"/>
    <s v="Special Line items for education operations"/>
    <m/>
    <n v="237701"/>
    <x v="14"/>
    <m/>
    <m/>
    <n v="207500"/>
    <n v="207500"/>
    <m/>
    <m/>
    <m/>
    <m/>
    <n v="0"/>
    <m/>
    <m/>
    <n v="0"/>
    <n v="207500"/>
    <n v="207500"/>
    <m/>
    <m/>
    <m/>
    <m/>
    <n v="0"/>
    <m/>
    <m/>
    <n v="0"/>
    <m/>
    <m/>
    <m/>
    <m/>
    <m/>
    <m/>
    <n v="207500"/>
    <n v="207500"/>
  </r>
  <r>
    <x v="15"/>
    <x v="0"/>
    <s v="West Virginia University at Parkersburg"/>
    <m/>
    <n v="237686"/>
    <x v="14"/>
    <n v="10916188"/>
    <n v="10230191"/>
    <m/>
    <m/>
    <m/>
    <m/>
    <n v="10537000"/>
    <s v=" "/>
    <n v="10537000"/>
    <n v="11485330"/>
    <s v=" "/>
    <n v="11485330"/>
    <n v="21453188"/>
    <n v="21715521"/>
    <m/>
    <m/>
    <m/>
    <m/>
    <n v="0"/>
    <m/>
    <m/>
    <n v="0"/>
    <m/>
    <m/>
    <m/>
    <m/>
    <m/>
    <m/>
    <n v="21453188"/>
    <n v="21715521"/>
  </r>
  <r>
    <x v="15"/>
    <x v="8"/>
    <s v="Special Line items for education operations"/>
    <s v="Met the criteria for Four-Year 6 in 2013-14."/>
    <n v="237686"/>
    <x v="14"/>
    <m/>
    <m/>
    <m/>
    <m/>
    <m/>
    <m/>
    <m/>
    <m/>
    <n v="0"/>
    <m/>
    <m/>
    <n v="0"/>
    <n v="0"/>
    <n v="0"/>
    <m/>
    <m/>
    <m/>
    <m/>
    <n v="0"/>
    <m/>
    <m/>
    <n v="0"/>
    <m/>
    <m/>
    <m/>
    <m/>
    <m/>
    <m/>
    <n v="0"/>
    <n v="0"/>
  </r>
  <r>
    <x v="15"/>
    <x v="0"/>
    <s v="New River Community &amp; Technical College"/>
    <m/>
    <n v="447582"/>
    <x v="7"/>
    <n v="6305522"/>
    <n v="5775692"/>
    <m/>
    <m/>
    <m/>
    <m/>
    <n v="8904211"/>
    <s v=" "/>
    <n v="8904211"/>
    <n v="9431495"/>
    <m/>
    <n v="9431495"/>
    <n v="15209733"/>
    <n v="15207187"/>
    <m/>
    <m/>
    <m/>
    <m/>
    <n v="0"/>
    <m/>
    <m/>
    <n v="0"/>
    <m/>
    <m/>
    <m/>
    <m/>
    <m/>
    <m/>
    <n v="15209733"/>
    <n v="15207187"/>
  </r>
  <r>
    <x v="15"/>
    <x v="8"/>
    <s v="Special Line items for education operations"/>
    <m/>
    <n v="447582"/>
    <x v="7"/>
    <m/>
    <m/>
    <m/>
    <m/>
    <m/>
    <m/>
    <m/>
    <m/>
    <n v="0"/>
    <m/>
    <m/>
    <n v="0"/>
    <n v="0"/>
    <n v="0"/>
    <m/>
    <m/>
    <m/>
    <m/>
    <n v="0"/>
    <m/>
    <m/>
    <n v="0"/>
    <m/>
    <m/>
    <m/>
    <m/>
    <m/>
    <m/>
    <n v="0"/>
    <n v="0"/>
  </r>
  <r>
    <x v="15"/>
    <x v="0"/>
    <s v="Pierpont Community &amp; Technical College"/>
    <m/>
    <n v="443492"/>
    <x v="7"/>
    <n v="8443703"/>
    <n v="7734209"/>
    <m/>
    <m/>
    <m/>
    <m/>
    <n v="9127755"/>
    <m/>
    <n v="9127755"/>
    <n v="8554548"/>
    <m/>
    <n v="8554548"/>
    <n v="17571458"/>
    <n v="16288757"/>
    <m/>
    <m/>
    <m/>
    <m/>
    <n v="0"/>
    <m/>
    <m/>
    <n v="0"/>
    <m/>
    <m/>
    <m/>
    <m/>
    <m/>
    <m/>
    <n v="17571458"/>
    <n v="16288757"/>
  </r>
  <r>
    <x v="15"/>
    <x v="8"/>
    <s v="Special Line items for education operations"/>
    <m/>
    <n v="443492"/>
    <x v="7"/>
    <m/>
    <m/>
    <m/>
    <m/>
    <m/>
    <m/>
    <m/>
    <m/>
    <n v="0"/>
    <m/>
    <m/>
    <n v="0"/>
    <n v="0"/>
    <n v="0"/>
    <m/>
    <m/>
    <m/>
    <m/>
    <n v="0"/>
    <m/>
    <m/>
    <n v="0"/>
    <m/>
    <m/>
    <m/>
    <m/>
    <m/>
    <m/>
    <n v="0"/>
    <n v="0"/>
  </r>
  <r>
    <x v="15"/>
    <x v="0"/>
    <s v="West Virginia Northern Community College"/>
    <s v="Met the criteria for Two-Year 3 in 2012-13 and 2013-14."/>
    <n v="238014"/>
    <x v="7"/>
    <n v="7893643"/>
    <n v="7230369"/>
    <m/>
    <m/>
    <m/>
    <m/>
    <n v="5792012"/>
    <s v=" "/>
    <n v="5792012"/>
    <n v="5487559"/>
    <m/>
    <n v="5487559"/>
    <n v="13685655"/>
    <n v="12717928"/>
    <m/>
    <m/>
    <m/>
    <m/>
    <n v="0"/>
    <m/>
    <m/>
    <n v="0"/>
    <m/>
    <m/>
    <m/>
    <m/>
    <m/>
    <m/>
    <n v="13685655"/>
    <n v="12717928"/>
  </r>
  <r>
    <x v="15"/>
    <x v="8"/>
    <s v="Special Line items for education operations"/>
    <m/>
    <n v="238014"/>
    <x v="7"/>
    <m/>
    <m/>
    <m/>
    <m/>
    <m/>
    <m/>
    <m/>
    <m/>
    <n v="0"/>
    <m/>
    <m/>
    <n v="0"/>
    <n v="0"/>
    <n v="0"/>
    <m/>
    <m/>
    <m/>
    <m/>
    <n v="0"/>
    <m/>
    <m/>
    <n v="0"/>
    <m/>
    <m/>
    <m/>
    <m/>
    <m/>
    <m/>
    <n v="0"/>
    <n v="0"/>
  </r>
  <r>
    <x v="15"/>
    <x v="0"/>
    <s v="Blue Ridge Community &amp; Technical College"/>
    <m/>
    <n v="446774"/>
    <x v="8"/>
    <n v="5138415"/>
    <n v="4706653"/>
    <m/>
    <m/>
    <m/>
    <m/>
    <n v="6751053"/>
    <s v=" "/>
    <n v="6751053"/>
    <n v="6751053"/>
    <m/>
    <n v="6751053"/>
    <n v="11889468"/>
    <n v="11457706"/>
    <m/>
    <m/>
    <m/>
    <m/>
    <n v="0"/>
    <m/>
    <m/>
    <n v="0"/>
    <m/>
    <m/>
    <m/>
    <m/>
    <m/>
    <m/>
    <n v="11889468"/>
    <n v="11457706"/>
  </r>
  <r>
    <x v="15"/>
    <x v="8"/>
    <s v="Special Line items for education operations"/>
    <m/>
    <n v="446774"/>
    <x v="8"/>
    <m/>
    <m/>
    <m/>
    <m/>
    <m/>
    <m/>
    <m/>
    <m/>
    <n v="0"/>
    <m/>
    <m/>
    <n v="0"/>
    <n v="0"/>
    <n v="0"/>
    <m/>
    <m/>
    <m/>
    <m/>
    <n v="0"/>
    <m/>
    <m/>
    <n v="0"/>
    <m/>
    <m/>
    <m/>
    <m/>
    <m/>
    <m/>
    <n v="0"/>
    <n v="0"/>
  </r>
  <r>
    <x v="15"/>
    <x v="0"/>
    <s v="Bridgemont Community &amp; Technical College"/>
    <m/>
    <n v="445674"/>
    <x v="8"/>
    <n v="3973597"/>
    <n v="4134831"/>
    <m/>
    <m/>
    <m/>
    <m/>
    <n v="2040157"/>
    <s v=" "/>
    <n v="2040157"/>
    <n v="2084010"/>
    <m/>
    <n v="2084010"/>
    <n v="6013754"/>
    <n v="6218841"/>
    <m/>
    <m/>
    <m/>
    <m/>
    <n v="0"/>
    <m/>
    <m/>
    <n v="0"/>
    <m/>
    <m/>
    <m/>
    <m/>
    <m/>
    <m/>
    <n v="6013754"/>
    <n v="6218841"/>
  </r>
  <r>
    <x v="15"/>
    <x v="8"/>
    <s v="Special Line items for education operations"/>
    <m/>
    <n v="445674"/>
    <x v="8"/>
    <m/>
    <m/>
    <m/>
    <m/>
    <m/>
    <m/>
    <m/>
    <m/>
    <n v="0"/>
    <m/>
    <m/>
    <n v="0"/>
    <n v="0"/>
    <n v="0"/>
    <m/>
    <m/>
    <m/>
    <m/>
    <n v="0"/>
    <m/>
    <m/>
    <n v="0"/>
    <m/>
    <m/>
    <m/>
    <m/>
    <m/>
    <m/>
    <n v="0"/>
    <n v="0"/>
  </r>
  <r>
    <x v="15"/>
    <x v="0"/>
    <s v="Eastern West Virginia Community &amp; Technical College"/>
    <m/>
    <n v="438708"/>
    <x v="8"/>
    <n v="2100509"/>
    <n v="1924011"/>
    <m/>
    <m/>
    <m/>
    <m/>
    <n v="1585677"/>
    <m/>
    <n v="1585677"/>
    <n v="1734129"/>
    <m/>
    <n v="1734129"/>
    <n v="3686186"/>
    <n v="3658140"/>
    <m/>
    <m/>
    <m/>
    <m/>
    <n v="0"/>
    <m/>
    <m/>
    <n v="0"/>
    <m/>
    <m/>
    <m/>
    <m/>
    <m/>
    <m/>
    <n v="3686186"/>
    <n v="3658140"/>
  </r>
  <r>
    <x v="15"/>
    <x v="8"/>
    <s v="Special Line items for education operations"/>
    <m/>
    <n v="438708"/>
    <x v="8"/>
    <m/>
    <m/>
    <m/>
    <m/>
    <m/>
    <m/>
    <m/>
    <m/>
    <n v="0"/>
    <m/>
    <m/>
    <n v="0"/>
    <n v="0"/>
    <n v="0"/>
    <m/>
    <m/>
    <m/>
    <m/>
    <n v="0"/>
    <m/>
    <m/>
    <n v="0"/>
    <m/>
    <m/>
    <m/>
    <m/>
    <m/>
    <m/>
    <n v="0"/>
    <n v="0"/>
  </r>
  <r>
    <x v="15"/>
    <x v="0"/>
    <s v="Kanawha Valley Community &amp; Technical College"/>
    <m/>
    <n v="237899"/>
    <x v="8"/>
    <n v="4125664"/>
    <n v="3778999"/>
    <m/>
    <m/>
    <m/>
    <m/>
    <n v="5193308"/>
    <s v=" "/>
    <n v="5193308"/>
    <n v="5864998"/>
    <m/>
    <n v="5864998"/>
    <n v="9318972"/>
    <n v="9643997"/>
    <m/>
    <m/>
    <m/>
    <m/>
    <n v="0"/>
    <m/>
    <m/>
    <n v="0"/>
    <m/>
    <m/>
    <m/>
    <m/>
    <m/>
    <m/>
    <n v="9318972"/>
    <n v="9643997"/>
  </r>
  <r>
    <x v="15"/>
    <x v="8"/>
    <s v="Special Line items for education operations"/>
    <m/>
    <n v="237899"/>
    <x v="8"/>
    <m/>
    <m/>
    <m/>
    <m/>
    <m/>
    <m/>
    <m/>
    <m/>
    <n v="0"/>
    <m/>
    <m/>
    <n v="0"/>
    <n v="0"/>
    <n v="0"/>
    <m/>
    <m/>
    <m/>
    <m/>
    <n v="0"/>
    <m/>
    <m/>
    <n v="0"/>
    <m/>
    <m/>
    <m/>
    <m/>
    <m/>
    <m/>
    <n v="0"/>
    <n v="0"/>
  </r>
  <r>
    <x v="15"/>
    <x v="0"/>
    <s v="Mountwest Community &amp; Technical College"/>
    <m/>
    <n v="444954"/>
    <x v="8"/>
    <n v="6352577"/>
    <n v="5818793"/>
    <m/>
    <m/>
    <m/>
    <m/>
    <n v="9711715"/>
    <n v="212880"/>
    <n v="9924595"/>
    <n v="9711310"/>
    <n v="213285"/>
    <n v="9924595"/>
    <n v="16064292"/>
    <n v="15530103"/>
    <m/>
    <m/>
    <m/>
    <m/>
    <n v="0"/>
    <m/>
    <m/>
    <n v="0"/>
    <m/>
    <m/>
    <m/>
    <m/>
    <m/>
    <m/>
    <n v="16064292"/>
    <n v="15530103"/>
  </r>
  <r>
    <x v="15"/>
    <x v="8"/>
    <s v="Special Line items for education operations"/>
    <m/>
    <n v="444954"/>
    <x v="8"/>
    <m/>
    <m/>
    <m/>
    <m/>
    <m/>
    <m/>
    <m/>
    <m/>
    <n v="0"/>
    <m/>
    <m/>
    <n v="0"/>
    <n v="0"/>
    <n v="0"/>
    <m/>
    <m/>
    <m/>
    <m/>
    <n v="0"/>
    <m/>
    <m/>
    <n v="0"/>
    <m/>
    <m/>
    <m/>
    <m/>
    <m/>
    <m/>
    <n v="0"/>
    <n v="0"/>
  </r>
  <r>
    <x v="15"/>
    <x v="0"/>
    <s v="Southern West Virginia Community &amp; Technical College "/>
    <m/>
    <n v="237817"/>
    <x v="8"/>
    <n v="8748731"/>
    <n v="7973274"/>
    <m/>
    <m/>
    <m/>
    <m/>
    <n v="4784399"/>
    <m/>
    <n v="4784399"/>
    <n v="5044606"/>
    <m/>
    <n v="5044606"/>
    <n v="13533130"/>
    <n v="13017880"/>
    <m/>
    <m/>
    <m/>
    <m/>
    <n v="0"/>
    <m/>
    <m/>
    <n v="0"/>
    <m/>
    <m/>
    <m/>
    <m/>
    <m/>
    <m/>
    <n v="13533130"/>
    <n v="13017880"/>
  </r>
  <r>
    <x v="15"/>
    <x v="8"/>
    <s v="Special Line items for education operations"/>
    <m/>
    <n v="237817"/>
    <x v="8"/>
    <m/>
    <m/>
    <n v="480000"/>
    <n v="480000"/>
    <m/>
    <m/>
    <m/>
    <m/>
    <n v="0"/>
    <m/>
    <m/>
    <n v="0"/>
    <n v="480000"/>
    <n v="480000"/>
    <m/>
    <m/>
    <m/>
    <m/>
    <n v="0"/>
    <m/>
    <m/>
    <n v="0"/>
    <m/>
    <m/>
    <m/>
    <m/>
    <m/>
    <m/>
    <n v="480000"/>
    <n v="480000"/>
  </r>
  <r>
    <x v="15"/>
    <x v="41"/>
    <s v="West Virginia School of Osteopathic Medicine"/>
    <m/>
    <n v="237880"/>
    <x v="11"/>
    <m/>
    <m/>
    <m/>
    <m/>
    <m/>
    <m/>
    <s v=" "/>
    <m/>
    <n v="0"/>
    <m/>
    <m/>
    <n v="0"/>
    <n v="0"/>
    <n v="0"/>
    <m/>
    <m/>
    <m/>
    <m/>
    <n v="0"/>
    <m/>
    <m/>
    <n v="0"/>
    <n v="7978095"/>
    <n v="7185421"/>
    <n v="32324710"/>
    <m/>
    <n v="32275498"/>
    <m/>
    <n v="40302805"/>
    <n v="39460919"/>
  </r>
  <r>
    <x v="15"/>
    <x v="8"/>
    <s v="Special Line items for education operations"/>
    <m/>
    <n v="237880"/>
    <x v="11"/>
    <m/>
    <m/>
    <m/>
    <m/>
    <m/>
    <m/>
    <m/>
    <m/>
    <n v="0"/>
    <m/>
    <m/>
    <n v="0"/>
    <n v="0"/>
    <n v="0"/>
    <m/>
    <m/>
    <m/>
    <m/>
    <n v="0"/>
    <m/>
    <m/>
    <n v="0"/>
    <m/>
    <m/>
    <m/>
    <m/>
    <m/>
    <m/>
    <n v="0"/>
    <n v="0"/>
  </r>
  <r>
    <x v="15"/>
    <x v="8"/>
    <s v="BRIM insurance subsidy"/>
    <m/>
    <n v="237880"/>
    <x v="11"/>
    <m/>
    <m/>
    <m/>
    <m/>
    <m/>
    <m/>
    <m/>
    <m/>
    <n v="0"/>
    <m/>
    <m/>
    <n v="0"/>
    <n v="0"/>
    <n v="0"/>
    <m/>
    <m/>
    <m/>
    <m/>
    <n v="0"/>
    <m/>
    <m/>
    <n v="0"/>
    <n v="174476"/>
    <n v="158872"/>
    <m/>
    <m/>
    <m/>
    <m/>
    <n v="174476"/>
    <n v="158872"/>
  </r>
  <r>
    <x v="15"/>
    <x v="10"/>
    <s v="Statewide Special-Purpose Units"/>
    <m/>
    <m/>
    <x v="12"/>
    <m/>
    <m/>
    <m/>
    <m/>
    <m/>
    <m/>
    <m/>
    <m/>
    <n v="0"/>
    <m/>
    <m/>
    <n v="0"/>
    <n v="0"/>
    <n v="0"/>
    <m/>
    <m/>
    <m/>
    <m/>
    <n v="0"/>
    <m/>
    <m/>
    <n v="0"/>
    <m/>
    <m/>
    <m/>
    <m/>
    <m/>
    <m/>
    <n v="0"/>
    <n v="0"/>
  </r>
  <r>
    <x v="15"/>
    <x v="42"/>
    <s v="Community or public service units"/>
    <m/>
    <m/>
    <x v="12"/>
    <m/>
    <m/>
    <m/>
    <m/>
    <m/>
    <m/>
    <m/>
    <m/>
    <n v="0"/>
    <m/>
    <m/>
    <n v="0"/>
    <n v="0"/>
    <n v="0"/>
    <m/>
    <m/>
    <m/>
    <m/>
    <n v="0"/>
    <m/>
    <m/>
    <n v="0"/>
    <m/>
    <m/>
    <m/>
    <m/>
    <m/>
    <m/>
    <n v="0"/>
    <n v="0"/>
  </r>
  <r>
    <x v="15"/>
    <x v="42"/>
    <s v="Rural Health Initiative"/>
    <m/>
    <m/>
    <x v="12"/>
    <m/>
    <m/>
    <m/>
    <m/>
    <m/>
    <m/>
    <m/>
    <m/>
    <n v="0"/>
    <m/>
    <m/>
    <n v="0"/>
    <n v="0"/>
    <n v="0"/>
    <n v="2819700"/>
    <n v="2598296"/>
    <m/>
    <m/>
    <n v="0"/>
    <m/>
    <m/>
    <n v="0"/>
    <m/>
    <m/>
    <m/>
    <m/>
    <m/>
    <m/>
    <n v="2819700"/>
    <n v="2598296"/>
  </r>
  <r>
    <x v="15"/>
    <x v="42"/>
    <s v="RHI Program and Site Support - Gradutate Medical Education Fiscal Oversight"/>
    <m/>
    <m/>
    <x v="12"/>
    <m/>
    <m/>
    <m/>
    <m/>
    <m/>
    <m/>
    <m/>
    <m/>
    <n v="0"/>
    <m/>
    <m/>
    <n v="0"/>
    <n v="0"/>
    <n v="0"/>
    <n v="98709"/>
    <n v="89882"/>
    <m/>
    <m/>
    <n v="0"/>
    <m/>
    <m/>
    <n v="0"/>
    <m/>
    <m/>
    <m/>
    <m/>
    <m/>
    <m/>
    <n v="98709"/>
    <n v="89882"/>
  </r>
  <r>
    <x v="15"/>
    <x v="42"/>
    <s v="RHI Program and Site Support - District Consortia"/>
    <m/>
    <m/>
    <x v="12"/>
    <m/>
    <m/>
    <m/>
    <m/>
    <m/>
    <m/>
    <m/>
    <m/>
    <n v="0"/>
    <m/>
    <m/>
    <n v="0"/>
    <n v="0"/>
    <n v="0"/>
    <n v="2416972"/>
    <n v="2354085"/>
    <m/>
    <m/>
    <n v="0"/>
    <m/>
    <m/>
    <n v="0"/>
    <m/>
    <m/>
    <m/>
    <m/>
    <m/>
    <m/>
    <n v="2416972"/>
    <n v="2354085"/>
  </r>
  <r>
    <x v="15"/>
    <x v="44"/>
    <s v="Vice Chancellor for Health Sciences/Rural Health Program Support"/>
    <m/>
    <m/>
    <x v="12"/>
    <m/>
    <m/>
    <m/>
    <m/>
    <m/>
    <m/>
    <m/>
    <m/>
    <n v="0"/>
    <m/>
    <m/>
    <n v="0"/>
    <n v="0"/>
    <n v="0"/>
    <n v="267882"/>
    <n v="243926"/>
    <m/>
    <m/>
    <n v="0"/>
    <m/>
    <m/>
    <n v="0"/>
    <m/>
    <m/>
    <m/>
    <m/>
    <m/>
    <m/>
    <n v="267882"/>
    <n v="243926"/>
  </r>
  <r>
    <x v="15"/>
    <x v="13"/>
    <s v="Educational special purpose funds — all other"/>
    <m/>
    <m/>
    <x v="12"/>
    <m/>
    <m/>
    <m/>
    <m/>
    <m/>
    <m/>
    <m/>
    <m/>
    <n v="0"/>
    <m/>
    <m/>
    <n v="0"/>
    <n v="0"/>
    <n v="0"/>
    <m/>
    <m/>
    <m/>
    <m/>
    <n v="0"/>
    <m/>
    <m/>
    <n v="0"/>
    <m/>
    <m/>
    <m/>
    <m/>
    <m/>
    <m/>
    <n v="0"/>
    <n v="0"/>
  </r>
  <r>
    <x v="15"/>
    <x v="13"/>
    <s v="College Transition Program"/>
    <m/>
    <m/>
    <x v="12"/>
    <m/>
    <m/>
    <n v="333500"/>
    <n v="305478"/>
    <m/>
    <m/>
    <m/>
    <m/>
    <n v="0"/>
    <m/>
    <m/>
    <n v="0"/>
    <n v="333500"/>
    <n v="305478"/>
    <m/>
    <m/>
    <m/>
    <m/>
    <n v="0"/>
    <m/>
    <m/>
    <n v="0"/>
    <m/>
    <m/>
    <m/>
    <m/>
    <m/>
    <m/>
    <n v="333500"/>
    <n v="305478"/>
  </r>
  <r>
    <x v="15"/>
    <x v="13"/>
    <s v="Transit Training Partnership"/>
    <m/>
    <m/>
    <x v="12"/>
    <m/>
    <m/>
    <m/>
    <m/>
    <m/>
    <m/>
    <m/>
    <m/>
    <n v="0"/>
    <m/>
    <m/>
    <n v="0"/>
    <n v="0"/>
    <n v="0"/>
    <n v="80000"/>
    <n v="73278"/>
    <m/>
    <m/>
    <n v="0"/>
    <m/>
    <m/>
    <n v="0"/>
    <m/>
    <m/>
    <m/>
    <m/>
    <m/>
    <m/>
    <n v="80000"/>
    <n v="73278"/>
  </r>
  <r>
    <x v="15"/>
    <x v="13"/>
    <s v="WV Advanced Workforce Development &amp; Technical  Programs"/>
    <m/>
    <m/>
    <x v="12"/>
    <m/>
    <m/>
    <m/>
    <m/>
    <m/>
    <m/>
    <m/>
    <m/>
    <n v="0"/>
    <m/>
    <m/>
    <n v="0"/>
    <n v="0"/>
    <n v="0"/>
    <n v="6823120"/>
    <n v="6249800"/>
    <m/>
    <m/>
    <n v="0"/>
    <m/>
    <m/>
    <n v="0"/>
    <m/>
    <m/>
    <m/>
    <m/>
    <m/>
    <m/>
    <n v="6823120"/>
    <n v="6249800"/>
  </r>
  <r>
    <x v="15"/>
    <x v="14"/>
    <s v="Statewide System Operations"/>
    <m/>
    <m/>
    <x v="12"/>
    <m/>
    <m/>
    <m/>
    <m/>
    <m/>
    <m/>
    <m/>
    <m/>
    <n v="0"/>
    <m/>
    <m/>
    <n v="0"/>
    <n v="0"/>
    <n v="0"/>
    <m/>
    <m/>
    <m/>
    <m/>
    <n v="0"/>
    <m/>
    <m/>
    <n v="0"/>
    <m/>
    <m/>
    <m/>
    <m/>
    <m/>
    <m/>
    <n v="0"/>
    <n v="0"/>
  </r>
  <r>
    <x v="15"/>
    <x v="15"/>
    <s v="Colleges and universities"/>
    <m/>
    <m/>
    <x v="12"/>
    <m/>
    <m/>
    <m/>
    <m/>
    <m/>
    <m/>
    <m/>
    <m/>
    <n v="0"/>
    <m/>
    <m/>
    <n v="0"/>
    <n v="0"/>
    <n v="0"/>
    <m/>
    <m/>
    <m/>
    <m/>
    <n v="0"/>
    <m/>
    <m/>
    <n v="0"/>
    <m/>
    <m/>
    <m/>
    <m/>
    <m/>
    <m/>
    <n v="0"/>
    <n v="0"/>
  </r>
  <r>
    <x v="15"/>
    <x v="15"/>
    <s v="Higher Education Policy Commission"/>
    <m/>
    <m/>
    <x v="12"/>
    <m/>
    <m/>
    <m/>
    <m/>
    <m/>
    <m/>
    <m/>
    <m/>
    <n v="0"/>
    <m/>
    <m/>
    <n v="0"/>
    <n v="0"/>
    <n v="0"/>
    <n v="3110997"/>
    <n v="2802089"/>
    <m/>
    <m/>
    <n v="0"/>
    <m/>
    <m/>
    <n v="0"/>
    <m/>
    <m/>
    <m/>
    <m/>
    <m/>
    <m/>
    <n v="3110997"/>
    <n v="2802089"/>
  </r>
  <r>
    <x v="15"/>
    <x v="15"/>
    <s v="WV Network for Education Telecommunications Computer Center"/>
    <m/>
    <m/>
    <x v="12"/>
    <m/>
    <m/>
    <m/>
    <m/>
    <m/>
    <m/>
    <m/>
    <m/>
    <n v="0"/>
    <m/>
    <m/>
    <n v="0"/>
    <n v="0"/>
    <n v="0"/>
    <n v="1948443"/>
    <n v="1754853"/>
    <m/>
    <m/>
    <n v="0"/>
    <m/>
    <m/>
    <n v="0"/>
    <m/>
    <m/>
    <m/>
    <m/>
    <m/>
    <m/>
    <n v="1948443"/>
    <n v="1754853"/>
  </r>
  <r>
    <x v="15"/>
    <x v="16"/>
    <s v="Two-year system(s), if any"/>
    <m/>
    <m/>
    <x v="12"/>
    <m/>
    <m/>
    <m/>
    <m/>
    <m/>
    <m/>
    <m/>
    <m/>
    <n v="0"/>
    <m/>
    <m/>
    <n v="0"/>
    <n v="0"/>
    <n v="0"/>
    <m/>
    <m/>
    <m/>
    <m/>
    <n v="0"/>
    <m/>
    <m/>
    <n v="0"/>
    <m/>
    <m/>
    <m/>
    <m/>
    <m/>
    <m/>
    <n v="0"/>
    <n v="0"/>
  </r>
  <r>
    <x v="15"/>
    <x v="16"/>
    <s v="WV Council for Community &amp; Technical Education"/>
    <m/>
    <m/>
    <x v="12"/>
    <m/>
    <m/>
    <m/>
    <m/>
    <m/>
    <m/>
    <m/>
    <m/>
    <n v="0"/>
    <m/>
    <m/>
    <n v="0"/>
    <n v="0"/>
    <n v="0"/>
    <n v="863576"/>
    <n v="791013"/>
    <m/>
    <m/>
    <n v="0"/>
    <m/>
    <m/>
    <n v="0"/>
    <m/>
    <m/>
    <m/>
    <m/>
    <m/>
    <m/>
    <n v="863576"/>
    <n v="791013"/>
  </r>
  <r>
    <x v="15"/>
    <x v="17"/>
    <s v="National or regional associations, compacts or consortia"/>
    <m/>
    <m/>
    <x v="12"/>
    <m/>
    <m/>
    <m/>
    <m/>
    <m/>
    <m/>
    <m/>
    <m/>
    <n v="0"/>
    <m/>
    <m/>
    <n v="0"/>
    <n v="0"/>
    <n v="0"/>
    <m/>
    <m/>
    <m/>
    <m/>
    <n v="0"/>
    <m/>
    <m/>
    <n v="0"/>
    <m/>
    <m/>
    <m/>
    <m/>
    <m/>
    <m/>
    <n v="0"/>
    <n v="0"/>
  </r>
  <r>
    <x v="15"/>
    <x v="18"/>
    <s v="Adm. of Statewide Student Aid Progs. (incldng centralized guaranteed student loans)"/>
    <m/>
    <m/>
    <x v="12"/>
    <m/>
    <m/>
    <m/>
    <m/>
    <m/>
    <m/>
    <m/>
    <m/>
    <n v="0"/>
    <m/>
    <m/>
    <n v="0"/>
    <n v="0"/>
    <n v="0"/>
    <n v="1544258"/>
    <n v="1653122"/>
    <m/>
    <m/>
    <n v="0"/>
    <m/>
    <m/>
    <n v="0"/>
    <m/>
    <m/>
    <m/>
    <m/>
    <m/>
    <m/>
    <n v="1544258"/>
    <n v="1653122"/>
  </r>
  <r>
    <x v="15"/>
    <x v="19"/>
    <s v="State Support to Private Colleges Other Than Student Aid"/>
    <m/>
    <m/>
    <x v="12"/>
    <m/>
    <m/>
    <m/>
    <m/>
    <m/>
    <m/>
    <m/>
    <m/>
    <n v="0"/>
    <m/>
    <m/>
    <n v="0"/>
    <n v="0"/>
    <n v="0"/>
    <m/>
    <m/>
    <m/>
    <m/>
    <n v="0"/>
    <m/>
    <m/>
    <n v="0"/>
    <m/>
    <m/>
    <m/>
    <m/>
    <m/>
    <m/>
    <n v="0"/>
    <n v="0"/>
  </r>
  <r>
    <x v="15"/>
    <x v="20"/>
    <s v="Contract Education Programs"/>
    <m/>
    <m/>
    <x v="12"/>
    <m/>
    <m/>
    <m/>
    <m/>
    <m/>
    <m/>
    <m/>
    <m/>
    <n v="0"/>
    <m/>
    <m/>
    <n v="0"/>
    <n v="0"/>
    <n v="0"/>
    <m/>
    <m/>
    <m/>
    <m/>
    <n v="0"/>
    <m/>
    <m/>
    <n v="0"/>
    <m/>
    <m/>
    <m/>
    <m/>
    <m/>
    <m/>
    <n v="0"/>
    <n v="0"/>
  </r>
  <r>
    <x v="15"/>
    <x v="21"/>
    <s v="SREB contract program with private colleges"/>
    <m/>
    <m/>
    <x v="12"/>
    <m/>
    <m/>
    <m/>
    <m/>
    <m/>
    <m/>
    <m/>
    <m/>
    <n v="0"/>
    <m/>
    <m/>
    <n v="0"/>
    <n v="0"/>
    <n v="0"/>
    <m/>
    <m/>
    <m/>
    <m/>
    <n v="0"/>
    <m/>
    <m/>
    <n v="0"/>
    <m/>
    <m/>
    <m/>
    <m/>
    <m/>
    <m/>
    <n v="0"/>
    <n v="0"/>
  </r>
  <r>
    <x v="15"/>
    <x v="21"/>
    <s v="Ohio College of Podiatric Medicine"/>
    <m/>
    <m/>
    <x v="12"/>
    <m/>
    <m/>
    <m/>
    <m/>
    <m/>
    <m/>
    <m/>
    <m/>
    <n v="0"/>
    <m/>
    <m/>
    <n v="0"/>
    <n v="0"/>
    <n v="0"/>
    <n v="19831"/>
    <n v="17586"/>
    <m/>
    <m/>
    <n v="0"/>
    <m/>
    <m/>
    <n v="0"/>
    <m/>
    <m/>
    <m/>
    <m/>
    <m/>
    <m/>
    <n v="19831"/>
    <n v="17586"/>
  </r>
  <r>
    <x v="15"/>
    <x v="21"/>
    <s v="Tuskegee University (Veterinary Medicine)"/>
    <m/>
    <m/>
    <x v="12"/>
    <m/>
    <m/>
    <m/>
    <m/>
    <m/>
    <m/>
    <m/>
    <m/>
    <n v="0"/>
    <m/>
    <m/>
    <n v="0"/>
    <n v="0"/>
    <n v="0"/>
    <m/>
    <m/>
    <m/>
    <m/>
    <n v="0"/>
    <m/>
    <m/>
    <n v="0"/>
    <m/>
    <m/>
    <m/>
    <m/>
    <m/>
    <m/>
    <n v="0"/>
    <n v="0"/>
  </r>
  <r>
    <x v="15"/>
    <x v="21"/>
    <s v="Southern College of Optometry"/>
    <m/>
    <m/>
    <x v="12"/>
    <m/>
    <m/>
    <m/>
    <m/>
    <m/>
    <m/>
    <m/>
    <m/>
    <n v="0"/>
    <m/>
    <m/>
    <n v="0"/>
    <n v="0"/>
    <n v="0"/>
    <n v="101702"/>
    <n v="116421"/>
    <m/>
    <m/>
    <n v="0"/>
    <m/>
    <m/>
    <n v="0"/>
    <m/>
    <m/>
    <m/>
    <m/>
    <m/>
    <m/>
    <n v="101702"/>
    <n v="116421"/>
  </r>
  <r>
    <x v="15"/>
    <x v="22"/>
    <s v="SREB contract program with public colleges"/>
    <m/>
    <m/>
    <x v="12"/>
    <m/>
    <m/>
    <m/>
    <m/>
    <m/>
    <m/>
    <m/>
    <m/>
    <n v="0"/>
    <m/>
    <m/>
    <n v="0"/>
    <n v="0"/>
    <n v="0"/>
    <m/>
    <m/>
    <m/>
    <m/>
    <n v="0"/>
    <m/>
    <m/>
    <n v="0"/>
    <m/>
    <m/>
    <m/>
    <m/>
    <m/>
    <m/>
    <n v="0"/>
    <n v="0"/>
  </r>
  <r>
    <x v="15"/>
    <x v="22"/>
    <s v="University of Georgia (Veterinary Medicine)"/>
    <m/>
    <m/>
    <x v="12"/>
    <m/>
    <m/>
    <m/>
    <m/>
    <m/>
    <m/>
    <m/>
    <m/>
    <n v="0"/>
    <m/>
    <m/>
    <n v="0"/>
    <n v="0"/>
    <n v="0"/>
    <n v="405235"/>
    <n v="224896"/>
    <m/>
    <m/>
    <n v="0"/>
    <m/>
    <m/>
    <n v="0"/>
    <m/>
    <m/>
    <m/>
    <m/>
    <m/>
    <m/>
    <n v="405235"/>
    <n v="224896"/>
  </r>
  <r>
    <x v="15"/>
    <x v="22"/>
    <s v="Auburn University"/>
    <m/>
    <m/>
    <x v="12"/>
    <m/>
    <m/>
    <m/>
    <m/>
    <m/>
    <m/>
    <m/>
    <m/>
    <n v="0"/>
    <m/>
    <m/>
    <n v="0"/>
    <n v="0"/>
    <n v="0"/>
    <n v="202618"/>
    <n v="179916"/>
    <m/>
    <m/>
    <n v="0"/>
    <m/>
    <m/>
    <n v="0"/>
    <m/>
    <m/>
    <m/>
    <m/>
    <m/>
    <m/>
    <n v="202618"/>
    <n v="179916"/>
  </r>
  <r>
    <x v="15"/>
    <x v="22"/>
    <s v="Mississippi State University"/>
    <m/>
    <m/>
    <x v="12"/>
    <m/>
    <m/>
    <m/>
    <m/>
    <m/>
    <m/>
    <m/>
    <m/>
    <n v="0"/>
    <m/>
    <m/>
    <n v="0"/>
    <n v="0"/>
    <n v="0"/>
    <n v="506544"/>
    <n v="449792"/>
    <m/>
    <m/>
    <n v="0"/>
    <m/>
    <m/>
    <n v="0"/>
    <m/>
    <m/>
    <m/>
    <m/>
    <m/>
    <m/>
    <n v="506544"/>
    <n v="449792"/>
  </r>
  <r>
    <x v="15"/>
    <x v="22"/>
    <s v="UAB Birmingham (IL)"/>
    <m/>
    <m/>
    <x v="12"/>
    <m/>
    <m/>
    <m/>
    <m/>
    <m/>
    <m/>
    <m/>
    <m/>
    <n v="0"/>
    <m/>
    <m/>
    <n v="0"/>
    <n v="0"/>
    <n v="0"/>
    <n v="14529"/>
    <n v="19404"/>
    <m/>
    <m/>
    <n v="0"/>
    <m/>
    <m/>
    <n v="0"/>
    <m/>
    <m/>
    <m/>
    <m/>
    <m/>
    <m/>
    <n v="14529"/>
    <n v="19404"/>
  </r>
  <r>
    <x v="15"/>
    <x v="23"/>
    <s v="Other contract education programs"/>
    <m/>
    <m/>
    <x v="12"/>
    <m/>
    <m/>
    <m/>
    <m/>
    <m/>
    <m/>
    <m/>
    <m/>
    <n v="0"/>
    <m/>
    <m/>
    <n v="0"/>
    <n v="0"/>
    <n v="0"/>
    <n v="195549"/>
    <n v="308682"/>
    <m/>
    <m/>
    <n v="0"/>
    <m/>
    <m/>
    <n v="0"/>
    <m/>
    <m/>
    <m/>
    <m/>
    <m/>
    <m/>
    <n v="195549"/>
    <n v="308682"/>
  </r>
  <r>
    <x v="15"/>
    <x v="24"/>
    <s v="Statewide Student Financial Aid Programs Administered Off Campus"/>
    <m/>
    <m/>
    <x v="12"/>
    <m/>
    <m/>
    <m/>
    <m/>
    <m/>
    <m/>
    <m/>
    <m/>
    <n v="0"/>
    <m/>
    <m/>
    <n v="0"/>
    <n v="0"/>
    <n v="0"/>
    <m/>
    <m/>
    <m/>
    <m/>
    <n v="0"/>
    <m/>
    <m/>
    <n v="0"/>
    <m/>
    <m/>
    <m/>
    <m/>
    <m/>
    <m/>
    <n v="0"/>
    <n v="0"/>
  </r>
  <r>
    <x v="15"/>
    <x v="25"/>
    <s v="Available to public &amp; private sector students"/>
    <m/>
    <m/>
    <x v="12"/>
    <m/>
    <m/>
    <m/>
    <m/>
    <m/>
    <m/>
    <m/>
    <m/>
    <n v="0"/>
    <m/>
    <m/>
    <n v="0"/>
    <n v="0"/>
    <n v="0"/>
    <m/>
    <m/>
    <m/>
    <m/>
    <n v="0"/>
    <m/>
    <m/>
    <n v="0"/>
    <m/>
    <m/>
    <m/>
    <m/>
    <m/>
    <m/>
    <n v="0"/>
    <n v="0"/>
  </r>
  <r>
    <x v="15"/>
    <x v="25"/>
    <s v="Higher Education Grant Program"/>
    <m/>
    <m/>
    <x v="12"/>
    <m/>
    <m/>
    <m/>
    <m/>
    <m/>
    <m/>
    <m/>
    <m/>
    <n v="0"/>
    <m/>
    <m/>
    <n v="0"/>
    <n v="0"/>
    <n v="0"/>
    <m/>
    <m/>
    <m/>
    <m/>
    <n v="0"/>
    <m/>
    <m/>
    <n v="0"/>
    <m/>
    <m/>
    <m/>
    <m/>
    <m/>
    <m/>
    <n v="0"/>
    <n v="0"/>
  </r>
  <r>
    <x v="15"/>
    <x v="28"/>
    <s v="Amount to public sector students"/>
    <m/>
    <m/>
    <x v="12"/>
    <m/>
    <m/>
    <m/>
    <m/>
    <m/>
    <m/>
    <m/>
    <m/>
    <n v="0"/>
    <m/>
    <m/>
    <n v="0"/>
    <n v="0"/>
    <n v="0"/>
    <m/>
    <m/>
    <m/>
    <m/>
    <n v="0"/>
    <m/>
    <m/>
    <n v="0"/>
    <m/>
    <m/>
    <m/>
    <m/>
    <m/>
    <m/>
    <n v="0"/>
    <n v="0"/>
  </r>
  <r>
    <x v="15"/>
    <x v="29"/>
    <s v="Need-based"/>
    <m/>
    <m/>
    <x v="12"/>
    <m/>
    <m/>
    <m/>
    <m/>
    <m/>
    <m/>
    <m/>
    <m/>
    <n v="0"/>
    <m/>
    <m/>
    <n v="0"/>
    <n v="0"/>
    <n v="0"/>
    <n v="33365503"/>
    <n v="33809522"/>
    <m/>
    <m/>
    <n v="0"/>
    <m/>
    <m/>
    <n v="0"/>
    <m/>
    <m/>
    <m/>
    <m/>
    <m/>
    <m/>
    <n v="33365503"/>
    <n v="33809522"/>
  </r>
  <r>
    <x v="15"/>
    <x v="30"/>
    <s v="Non need-based"/>
    <m/>
    <m/>
    <x v="12"/>
    <m/>
    <m/>
    <m/>
    <m/>
    <m/>
    <m/>
    <m/>
    <m/>
    <n v="0"/>
    <m/>
    <m/>
    <n v="0"/>
    <n v="0"/>
    <n v="0"/>
    <m/>
    <m/>
    <m/>
    <m/>
    <n v="0"/>
    <m/>
    <m/>
    <n v="0"/>
    <m/>
    <m/>
    <m/>
    <m/>
    <m/>
    <m/>
    <n v="0"/>
    <n v="0"/>
  </r>
  <r>
    <x v="15"/>
    <x v="31"/>
    <s v="Amount to private sector students"/>
    <m/>
    <m/>
    <x v="12"/>
    <m/>
    <m/>
    <m/>
    <m/>
    <m/>
    <m/>
    <m/>
    <m/>
    <n v="0"/>
    <m/>
    <m/>
    <n v="0"/>
    <n v="0"/>
    <n v="0"/>
    <m/>
    <m/>
    <m/>
    <m/>
    <n v="0"/>
    <m/>
    <m/>
    <n v="0"/>
    <m/>
    <m/>
    <m/>
    <m/>
    <m/>
    <m/>
    <n v="0"/>
    <n v="0"/>
  </r>
  <r>
    <x v="15"/>
    <x v="32"/>
    <s v="Need-based"/>
    <m/>
    <m/>
    <x v="12"/>
    <m/>
    <m/>
    <m/>
    <m/>
    <m/>
    <m/>
    <m/>
    <m/>
    <n v="0"/>
    <m/>
    <m/>
    <n v="0"/>
    <n v="0"/>
    <n v="0"/>
    <n v="4838293"/>
    <n v="4359412"/>
    <m/>
    <m/>
    <n v="0"/>
    <m/>
    <m/>
    <n v="0"/>
    <m/>
    <m/>
    <m/>
    <m/>
    <m/>
    <m/>
    <n v="4838293"/>
    <n v="4359412"/>
  </r>
  <r>
    <x v="15"/>
    <x v="33"/>
    <s v="Non need-based"/>
    <m/>
    <m/>
    <x v="12"/>
    <m/>
    <m/>
    <m/>
    <m/>
    <m/>
    <m/>
    <m/>
    <m/>
    <n v="0"/>
    <m/>
    <m/>
    <n v="0"/>
    <n v="0"/>
    <n v="0"/>
    <m/>
    <m/>
    <m/>
    <m/>
    <n v="0"/>
    <m/>
    <m/>
    <n v="0"/>
    <m/>
    <m/>
    <m/>
    <m/>
    <m/>
    <m/>
    <n v="0"/>
    <n v="0"/>
  </r>
  <r>
    <x v="15"/>
    <x v="25"/>
    <s v="PROMISE Scholarship"/>
    <m/>
    <m/>
    <x v="12"/>
    <m/>
    <m/>
    <m/>
    <m/>
    <m/>
    <m/>
    <m/>
    <m/>
    <n v="0"/>
    <m/>
    <m/>
    <n v="0"/>
    <n v="0"/>
    <n v="0"/>
    <m/>
    <m/>
    <m/>
    <m/>
    <n v="0"/>
    <m/>
    <m/>
    <n v="0"/>
    <m/>
    <m/>
    <m/>
    <m/>
    <m/>
    <m/>
    <n v="0"/>
    <n v="0"/>
  </r>
  <r>
    <x v="15"/>
    <x v="28"/>
    <s v="Amount to public sector students"/>
    <m/>
    <m/>
    <x v="12"/>
    <m/>
    <m/>
    <m/>
    <m/>
    <m/>
    <m/>
    <m/>
    <m/>
    <n v="0"/>
    <m/>
    <m/>
    <n v="0"/>
    <n v="0"/>
    <n v="0"/>
    <m/>
    <m/>
    <m/>
    <m/>
    <n v="0"/>
    <m/>
    <m/>
    <n v="0"/>
    <m/>
    <m/>
    <m/>
    <m/>
    <m/>
    <m/>
    <n v="0"/>
    <n v="0"/>
  </r>
  <r>
    <x v="15"/>
    <x v="29"/>
    <s v="Need-based"/>
    <m/>
    <m/>
    <x v="12"/>
    <m/>
    <m/>
    <m/>
    <m/>
    <m/>
    <m/>
    <m/>
    <m/>
    <n v="0"/>
    <m/>
    <m/>
    <n v="0"/>
    <n v="0"/>
    <n v="0"/>
    <m/>
    <m/>
    <m/>
    <m/>
    <n v="0"/>
    <m/>
    <m/>
    <n v="0"/>
    <m/>
    <m/>
    <m/>
    <m/>
    <m/>
    <m/>
    <n v="0"/>
    <n v="0"/>
  </r>
  <r>
    <x v="15"/>
    <x v="30"/>
    <s v="Non need-based"/>
    <m/>
    <m/>
    <x v="12"/>
    <m/>
    <m/>
    <m/>
    <m/>
    <m/>
    <m/>
    <m/>
    <m/>
    <n v="0"/>
    <m/>
    <m/>
    <n v="0"/>
    <n v="0"/>
    <n v="0"/>
    <n v="42442641"/>
    <n v="41989420"/>
    <m/>
    <m/>
    <n v="0"/>
    <m/>
    <m/>
    <n v="0"/>
    <m/>
    <m/>
    <m/>
    <m/>
    <m/>
    <m/>
    <n v="42442641"/>
    <n v="41989420"/>
  </r>
  <r>
    <x v="15"/>
    <x v="31"/>
    <s v="Amount to private sector students"/>
    <m/>
    <m/>
    <x v="12"/>
    <m/>
    <m/>
    <m/>
    <m/>
    <m/>
    <m/>
    <m/>
    <m/>
    <n v="0"/>
    <m/>
    <m/>
    <n v="0"/>
    <n v="0"/>
    <n v="0"/>
    <m/>
    <m/>
    <m/>
    <m/>
    <n v="0"/>
    <m/>
    <m/>
    <n v="0"/>
    <m/>
    <m/>
    <m/>
    <m/>
    <m/>
    <m/>
    <n v="0"/>
    <n v="0"/>
  </r>
  <r>
    <x v="15"/>
    <x v="32"/>
    <s v="Need-based"/>
    <m/>
    <m/>
    <x v="12"/>
    <m/>
    <m/>
    <m/>
    <m/>
    <m/>
    <m/>
    <m/>
    <m/>
    <n v="0"/>
    <m/>
    <m/>
    <n v="0"/>
    <n v="0"/>
    <n v="0"/>
    <m/>
    <m/>
    <m/>
    <m/>
    <n v="0"/>
    <m/>
    <m/>
    <n v="0"/>
    <m/>
    <m/>
    <m/>
    <m/>
    <m/>
    <m/>
    <n v="0"/>
    <n v="0"/>
  </r>
  <r>
    <x v="15"/>
    <x v="33"/>
    <s v="Non need-based"/>
    <m/>
    <m/>
    <x v="12"/>
    <m/>
    <m/>
    <m/>
    <m/>
    <m/>
    <m/>
    <m/>
    <m/>
    <n v="0"/>
    <m/>
    <m/>
    <n v="0"/>
    <n v="0"/>
    <n v="0"/>
    <n v="4529854"/>
    <n v="4908107"/>
    <m/>
    <m/>
    <n v="0"/>
    <m/>
    <m/>
    <n v="0"/>
    <m/>
    <m/>
    <m/>
    <m/>
    <m/>
    <m/>
    <n v="4529854"/>
    <n v="4908107"/>
  </r>
  <r>
    <x v="15"/>
    <x v="25"/>
    <s v="SREB Minority Doctoral Fellows Program"/>
    <m/>
    <m/>
    <x v="12"/>
    <m/>
    <m/>
    <m/>
    <m/>
    <m/>
    <m/>
    <m/>
    <m/>
    <n v="0"/>
    <m/>
    <m/>
    <n v="0"/>
    <n v="0"/>
    <n v="0"/>
    <m/>
    <m/>
    <m/>
    <m/>
    <n v="0"/>
    <m/>
    <m/>
    <n v="0"/>
    <m/>
    <m/>
    <m/>
    <m/>
    <m/>
    <m/>
    <n v="0"/>
    <n v="0"/>
  </r>
  <r>
    <x v="15"/>
    <x v="28"/>
    <s v="Amount to public sector students"/>
    <m/>
    <m/>
    <x v="12"/>
    <m/>
    <m/>
    <m/>
    <m/>
    <m/>
    <m/>
    <m/>
    <m/>
    <n v="0"/>
    <m/>
    <m/>
    <n v="0"/>
    <n v="0"/>
    <n v="0"/>
    <m/>
    <m/>
    <m/>
    <m/>
    <n v="0"/>
    <m/>
    <m/>
    <n v="0"/>
    <m/>
    <m/>
    <m/>
    <m/>
    <m/>
    <m/>
    <n v="0"/>
    <n v="0"/>
  </r>
  <r>
    <x v="15"/>
    <x v="29"/>
    <s v="Need-based"/>
    <m/>
    <m/>
    <x v="12"/>
    <m/>
    <m/>
    <m/>
    <m/>
    <m/>
    <m/>
    <m/>
    <m/>
    <n v="0"/>
    <m/>
    <m/>
    <n v="0"/>
    <n v="0"/>
    <n v="0"/>
    <n v="150000"/>
    <n v="136586"/>
    <m/>
    <m/>
    <n v="0"/>
    <m/>
    <m/>
    <n v="0"/>
    <m/>
    <m/>
    <m/>
    <m/>
    <m/>
    <m/>
    <n v="150000"/>
    <n v="136586"/>
  </r>
  <r>
    <x v="15"/>
    <x v="30"/>
    <s v="Non need-based"/>
    <m/>
    <m/>
    <x v="12"/>
    <m/>
    <m/>
    <m/>
    <m/>
    <m/>
    <m/>
    <m/>
    <m/>
    <n v="0"/>
    <m/>
    <m/>
    <n v="0"/>
    <n v="0"/>
    <n v="0"/>
    <m/>
    <m/>
    <m/>
    <m/>
    <n v="0"/>
    <m/>
    <m/>
    <n v="0"/>
    <m/>
    <m/>
    <m/>
    <m/>
    <m/>
    <m/>
    <n v="0"/>
    <n v="0"/>
  </r>
  <r>
    <x v="15"/>
    <x v="31"/>
    <s v="Amount to private sector students"/>
    <m/>
    <m/>
    <x v="12"/>
    <m/>
    <m/>
    <m/>
    <m/>
    <m/>
    <m/>
    <m/>
    <m/>
    <n v="0"/>
    <m/>
    <m/>
    <n v="0"/>
    <n v="0"/>
    <n v="0"/>
    <m/>
    <m/>
    <m/>
    <m/>
    <n v="0"/>
    <m/>
    <m/>
    <n v="0"/>
    <m/>
    <m/>
    <m/>
    <m/>
    <m/>
    <m/>
    <n v="0"/>
    <n v="0"/>
  </r>
  <r>
    <x v="15"/>
    <x v="32"/>
    <s v="Need-based"/>
    <m/>
    <m/>
    <x v="12"/>
    <m/>
    <m/>
    <m/>
    <m/>
    <m/>
    <m/>
    <m/>
    <m/>
    <n v="0"/>
    <m/>
    <m/>
    <n v="0"/>
    <n v="0"/>
    <n v="0"/>
    <m/>
    <m/>
    <m/>
    <m/>
    <n v="0"/>
    <m/>
    <m/>
    <n v="0"/>
    <m/>
    <m/>
    <m/>
    <m/>
    <m/>
    <m/>
    <n v="0"/>
    <n v="0"/>
  </r>
  <r>
    <x v="15"/>
    <x v="33"/>
    <s v="Non need-based"/>
    <m/>
    <m/>
    <x v="12"/>
    <m/>
    <m/>
    <m/>
    <m/>
    <m/>
    <m/>
    <m/>
    <m/>
    <n v="0"/>
    <m/>
    <m/>
    <n v="0"/>
    <n v="0"/>
    <n v="0"/>
    <m/>
    <m/>
    <m/>
    <m/>
    <n v="0"/>
    <m/>
    <m/>
    <n v="0"/>
    <m/>
    <m/>
    <m/>
    <m/>
    <m/>
    <m/>
    <n v="0"/>
    <n v="0"/>
  </r>
  <r>
    <x v="15"/>
    <x v="25"/>
    <s v="Underwood-Smith Teacher Scholarship Fund"/>
    <m/>
    <m/>
    <x v="12"/>
    <m/>
    <m/>
    <m/>
    <m/>
    <m/>
    <m/>
    <m/>
    <m/>
    <n v="0"/>
    <m/>
    <m/>
    <n v="0"/>
    <n v="0"/>
    <n v="0"/>
    <m/>
    <m/>
    <m/>
    <m/>
    <n v="0"/>
    <m/>
    <m/>
    <n v="0"/>
    <m/>
    <m/>
    <m/>
    <m/>
    <m/>
    <m/>
    <n v="0"/>
    <n v="0"/>
  </r>
  <r>
    <x v="15"/>
    <x v="28"/>
    <s v="Amount to public sector students"/>
    <m/>
    <m/>
    <x v="12"/>
    <m/>
    <m/>
    <m/>
    <m/>
    <m/>
    <m/>
    <m/>
    <m/>
    <n v="0"/>
    <m/>
    <m/>
    <n v="0"/>
    <n v="0"/>
    <n v="0"/>
    <m/>
    <m/>
    <m/>
    <m/>
    <n v="0"/>
    <m/>
    <m/>
    <n v="0"/>
    <m/>
    <m/>
    <m/>
    <m/>
    <m/>
    <m/>
    <n v="0"/>
    <n v="0"/>
  </r>
  <r>
    <x v="15"/>
    <x v="29"/>
    <s v="Need-based"/>
    <m/>
    <m/>
    <x v="12"/>
    <m/>
    <m/>
    <m/>
    <m/>
    <m/>
    <m/>
    <m/>
    <m/>
    <n v="0"/>
    <m/>
    <m/>
    <n v="0"/>
    <n v="0"/>
    <n v="0"/>
    <m/>
    <m/>
    <m/>
    <m/>
    <n v="0"/>
    <m/>
    <m/>
    <n v="0"/>
    <m/>
    <m/>
    <m/>
    <m/>
    <m/>
    <m/>
    <n v="0"/>
    <n v="0"/>
  </r>
  <r>
    <x v="15"/>
    <x v="30"/>
    <s v="Non need-based"/>
    <m/>
    <m/>
    <x v="12"/>
    <m/>
    <m/>
    <m/>
    <m/>
    <m/>
    <m/>
    <m/>
    <m/>
    <n v="0"/>
    <m/>
    <m/>
    <n v="0"/>
    <n v="0"/>
    <n v="0"/>
    <n v="125883"/>
    <n v="277690"/>
    <m/>
    <m/>
    <n v="0"/>
    <m/>
    <m/>
    <n v="0"/>
    <m/>
    <m/>
    <m/>
    <m/>
    <m/>
    <m/>
    <n v="125883"/>
    <n v="277690"/>
  </r>
  <r>
    <x v="15"/>
    <x v="31"/>
    <s v="Amount to private sector students"/>
    <m/>
    <m/>
    <x v="12"/>
    <m/>
    <m/>
    <m/>
    <m/>
    <m/>
    <m/>
    <m/>
    <m/>
    <n v="0"/>
    <m/>
    <m/>
    <n v="0"/>
    <n v="0"/>
    <n v="0"/>
    <m/>
    <m/>
    <m/>
    <m/>
    <n v="0"/>
    <m/>
    <m/>
    <n v="0"/>
    <m/>
    <m/>
    <m/>
    <m/>
    <m/>
    <m/>
    <n v="0"/>
    <n v="0"/>
  </r>
  <r>
    <x v="15"/>
    <x v="32"/>
    <s v="Need-based"/>
    <m/>
    <m/>
    <x v="12"/>
    <m/>
    <m/>
    <m/>
    <m/>
    <m/>
    <m/>
    <m/>
    <m/>
    <n v="0"/>
    <m/>
    <m/>
    <n v="0"/>
    <n v="0"/>
    <n v="0"/>
    <m/>
    <m/>
    <m/>
    <m/>
    <n v="0"/>
    <m/>
    <m/>
    <n v="0"/>
    <m/>
    <m/>
    <m/>
    <m/>
    <m/>
    <m/>
    <n v="0"/>
    <n v="0"/>
  </r>
  <r>
    <x v="15"/>
    <x v="33"/>
    <s v="Non need-based"/>
    <m/>
    <m/>
    <x v="12"/>
    <m/>
    <m/>
    <m/>
    <m/>
    <m/>
    <m/>
    <m/>
    <m/>
    <n v="0"/>
    <m/>
    <m/>
    <n v="0"/>
    <n v="0"/>
    <n v="0"/>
    <n v="15259"/>
    <n v="63452"/>
    <m/>
    <m/>
    <n v="0"/>
    <m/>
    <m/>
    <n v="0"/>
    <m/>
    <m/>
    <m/>
    <m/>
    <m/>
    <m/>
    <n v="15259"/>
    <n v="63452"/>
  </r>
  <r>
    <x v="15"/>
    <x v="25"/>
    <s v="WV Engineering Science Technology Program"/>
    <m/>
    <m/>
    <x v="12"/>
    <m/>
    <m/>
    <m/>
    <m/>
    <m/>
    <m/>
    <m/>
    <m/>
    <n v="0"/>
    <m/>
    <m/>
    <n v="0"/>
    <n v="0"/>
    <n v="0"/>
    <m/>
    <m/>
    <m/>
    <m/>
    <n v="0"/>
    <m/>
    <m/>
    <n v="0"/>
    <m/>
    <m/>
    <m/>
    <m/>
    <m/>
    <m/>
    <n v="0"/>
    <n v="0"/>
  </r>
  <r>
    <x v="15"/>
    <x v="28"/>
    <s v="Amount to public sector students"/>
    <m/>
    <m/>
    <x v="12"/>
    <m/>
    <m/>
    <m/>
    <m/>
    <m/>
    <m/>
    <m/>
    <m/>
    <n v="0"/>
    <m/>
    <m/>
    <n v="0"/>
    <n v="0"/>
    <n v="0"/>
    <m/>
    <m/>
    <m/>
    <m/>
    <n v="0"/>
    <m/>
    <m/>
    <n v="0"/>
    <m/>
    <m/>
    <m/>
    <m/>
    <m/>
    <m/>
    <n v="0"/>
    <n v="0"/>
  </r>
  <r>
    <x v="15"/>
    <x v="29"/>
    <s v="Need-based"/>
    <m/>
    <m/>
    <x v="12"/>
    <m/>
    <m/>
    <m/>
    <m/>
    <m/>
    <m/>
    <m/>
    <m/>
    <n v="0"/>
    <m/>
    <m/>
    <n v="0"/>
    <n v="0"/>
    <n v="0"/>
    <m/>
    <m/>
    <m/>
    <m/>
    <n v="0"/>
    <m/>
    <m/>
    <n v="0"/>
    <m/>
    <m/>
    <m/>
    <m/>
    <m/>
    <m/>
    <n v="0"/>
    <n v="0"/>
  </r>
  <r>
    <x v="15"/>
    <x v="30"/>
    <s v="Non need-based"/>
    <m/>
    <m/>
    <x v="12"/>
    <m/>
    <m/>
    <m/>
    <m/>
    <m/>
    <m/>
    <m/>
    <m/>
    <n v="0"/>
    <m/>
    <m/>
    <n v="0"/>
    <n v="0"/>
    <n v="0"/>
    <n v="431711"/>
    <n v="430012"/>
    <m/>
    <m/>
    <n v="0"/>
    <m/>
    <m/>
    <n v="0"/>
    <m/>
    <m/>
    <m/>
    <m/>
    <m/>
    <m/>
    <n v="431711"/>
    <n v="430012"/>
  </r>
  <r>
    <x v="15"/>
    <x v="31"/>
    <s v="Amount to private sector students"/>
    <m/>
    <m/>
    <x v="12"/>
    <m/>
    <m/>
    <m/>
    <m/>
    <m/>
    <m/>
    <m/>
    <m/>
    <n v="0"/>
    <m/>
    <m/>
    <n v="0"/>
    <n v="0"/>
    <n v="0"/>
    <m/>
    <m/>
    <m/>
    <m/>
    <n v="0"/>
    <m/>
    <m/>
    <n v="0"/>
    <m/>
    <m/>
    <m/>
    <m/>
    <m/>
    <m/>
    <n v="0"/>
    <n v="0"/>
  </r>
  <r>
    <x v="15"/>
    <x v="32"/>
    <s v="Need-based"/>
    <m/>
    <m/>
    <x v="12"/>
    <m/>
    <m/>
    <m/>
    <m/>
    <m/>
    <m/>
    <m/>
    <m/>
    <n v="0"/>
    <m/>
    <m/>
    <n v="0"/>
    <n v="0"/>
    <n v="0"/>
    <m/>
    <m/>
    <m/>
    <m/>
    <n v="0"/>
    <m/>
    <m/>
    <n v="0"/>
    <m/>
    <m/>
    <m/>
    <m/>
    <m/>
    <m/>
    <n v="0"/>
    <n v="0"/>
  </r>
  <r>
    <x v="15"/>
    <x v="33"/>
    <s v="Non need-based"/>
    <m/>
    <m/>
    <x v="12"/>
    <m/>
    <m/>
    <m/>
    <m/>
    <m/>
    <m/>
    <m/>
    <m/>
    <n v="0"/>
    <m/>
    <m/>
    <n v="0"/>
    <n v="0"/>
    <n v="0"/>
    <n v="38762"/>
    <n v="40461"/>
    <m/>
    <m/>
    <n v="0"/>
    <m/>
    <m/>
    <n v="0"/>
    <m/>
    <m/>
    <m/>
    <m/>
    <m/>
    <m/>
    <n v="38762"/>
    <n v="40461"/>
  </r>
  <r>
    <x v="15"/>
    <x v="25"/>
    <s v="Health Sciences Scholarship Fund"/>
    <m/>
    <m/>
    <x v="12"/>
    <m/>
    <m/>
    <m/>
    <m/>
    <m/>
    <m/>
    <m/>
    <m/>
    <n v="0"/>
    <m/>
    <m/>
    <n v="0"/>
    <n v="0"/>
    <n v="0"/>
    <m/>
    <m/>
    <m/>
    <m/>
    <n v="0"/>
    <m/>
    <m/>
    <n v="0"/>
    <m/>
    <m/>
    <m/>
    <m/>
    <m/>
    <m/>
    <n v="0"/>
    <n v="0"/>
  </r>
  <r>
    <x v="15"/>
    <x v="28"/>
    <s v="Amount to public sector students"/>
    <m/>
    <m/>
    <x v="12"/>
    <m/>
    <m/>
    <m/>
    <m/>
    <m/>
    <m/>
    <m/>
    <m/>
    <n v="0"/>
    <m/>
    <m/>
    <n v="0"/>
    <n v="0"/>
    <n v="0"/>
    <m/>
    <m/>
    <m/>
    <m/>
    <n v="0"/>
    <m/>
    <m/>
    <n v="0"/>
    <m/>
    <m/>
    <m/>
    <m/>
    <m/>
    <m/>
    <n v="0"/>
    <n v="0"/>
  </r>
  <r>
    <x v="15"/>
    <x v="29"/>
    <s v="Need-based"/>
    <m/>
    <m/>
    <x v="12"/>
    <m/>
    <m/>
    <m/>
    <m/>
    <m/>
    <m/>
    <m/>
    <m/>
    <n v="0"/>
    <m/>
    <m/>
    <n v="0"/>
    <n v="0"/>
    <n v="0"/>
    <m/>
    <m/>
    <m/>
    <m/>
    <n v="0"/>
    <m/>
    <m/>
    <n v="0"/>
    <m/>
    <m/>
    <m/>
    <m/>
    <m/>
    <m/>
    <n v="0"/>
    <n v="0"/>
  </r>
  <r>
    <x v="15"/>
    <x v="30"/>
    <s v="Non need-based"/>
    <m/>
    <m/>
    <x v="12"/>
    <m/>
    <m/>
    <m/>
    <m/>
    <m/>
    <m/>
    <m/>
    <m/>
    <n v="0"/>
    <m/>
    <m/>
    <n v="0"/>
    <n v="0"/>
    <n v="0"/>
    <n v="251542"/>
    <n v="199271"/>
    <m/>
    <m/>
    <n v="0"/>
    <m/>
    <m/>
    <n v="0"/>
    <m/>
    <m/>
    <m/>
    <m/>
    <m/>
    <m/>
    <n v="251542"/>
    <n v="199271"/>
  </r>
  <r>
    <x v="15"/>
    <x v="31"/>
    <s v="Amount to private sector students"/>
    <m/>
    <m/>
    <x v="12"/>
    <m/>
    <m/>
    <m/>
    <m/>
    <m/>
    <m/>
    <m/>
    <m/>
    <n v="0"/>
    <m/>
    <m/>
    <n v="0"/>
    <n v="0"/>
    <n v="0"/>
    <m/>
    <m/>
    <m/>
    <m/>
    <n v="0"/>
    <m/>
    <m/>
    <n v="0"/>
    <m/>
    <m/>
    <m/>
    <m/>
    <m/>
    <m/>
    <n v="0"/>
    <n v="0"/>
  </r>
  <r>
    <x v="15"/>
    <x v="32"/>
    <s v="Need-based"/>
    <m/>
    <m/>
    <x v="12"/>
    <m/>
    <m/>
    <m/>
    <m/>
    <m/>
    <m/>
    <m/>
    <m/>
    <n v="0"/>
    <m/>
    <m/>
    <n v="0"/>
    <n v="0"/>
    <n v="0"/>
    <m/>
    <m/>
    <m/>
    <m/>
    <n v="0"/>
    <m/>
    <m/>
    <n v="0"/>
    <m/>
    <m/>
    <m/>
    <m/>
    <m/>
    <m/>
    <n v="0"/>
    <n v="0"/>
  </r>
  <r>
    <x v="15"/>
    <x v="33"/>
    <s v="Non need-based"/>
    <m/>
    <m/>
    <x v="12"/>
    <m/>
    <m/>
    <m/>
    <m/>
    <m/>
    <m/>
    <m/>
    <m/>
    <n v="0"/>
    <m/>
    <m/>
    <n v="0"/>
    <n v="0"/>
    <n v="0"/>
    <n v="0"/>
    <n v="29776"/>
    <m/>
    <m/>
    <n v="0"/>
    <m/>
    <m/>
    <n v="0"/>
    <m/>
    <m/>
    <m/>
    <m/>
    <m/>
    <m/>
    <n v="0"/>
    <n v="29776"/>
  </r>
  <r>
    <x v="15"/>
    <x v="25"/>
    <s v="HEAPS Grant Program"/>
    <m/>
    <m/>
    <x v="12"/>
    <m/>
    <m/>
    <m/>
    <m/>
    <m/>
    <m/>
    <m/>
    <m/>
    <n v="0"/>
    <m/>
    <m/>
    <n v="0"/>
    <n v="0"/>
    <n v="0"/>
    <m/>
    <m/>
    <m/>
    <m/>
    <n v="0"/>
    <m/>
    <m/>
    <n v="0"/>
    <m/>
    <m/>
    <m/>
    <m/>
    <m/>
    <m/>
    <n v="0"/>
    <n v="0"/>
  </r>
  <r>
    <x v="15"/>
    <x v="28"/>
    <s v="Amount to public sector students"/>
    <m/>
    <m/>
    <x v="12"/>
    <m/>
    <m/>
    <m/>
    <m/>
    <m/>
    <m/>
    <m/>
    <m/>
    <n v="0"/>
    <m/>
    <m/>
    <n v="0"/>
    <n v="0"/>
    <n v="0"/>
    <m/>
    <m/>
    <m/>
    <m/>
    <n v="0"/>
    <m/>
    <m/>
    <n v="0"/>
    <m/>
    <m/>
    <m/>
    <m/>
    <m/>
    <m/>
    <n v="0"/>
    <n v="0"/>
  </r>
  <r>
    <x v="15"/>
    <x v="29"/>
    <s v="Need-based"/>
    <m/>
    <m/>
    <x v="12"/>
    <m/>
    <m/>
    <m/>
    <m/>
    <m/>
    <m/>
    <m/>
    <m/>
    <n v="0"/>
    <m/>
    <m/>
    <n v="0"/>
    <n v="0"/>
    <n v="0"/>
    <n v="3753334"/>
    <n v="3405513"/>
    <m/>
    <m/>
    <n v="0"/>
    <m/>
    <m/>
    <n v="0"/>
    <m/>
    <m/>
    <m/>
    <m/>
    <m/>
    <m/>
    <n v="3753334"/>
    <n v="3405513"/>
  </r>
  <r>
    <x v="15"/>
    <x v="30"/>
    <s v="Non need-based"/>
    <m/>
    <m/>
    <x v="12"/>
    <m/>
    <m/>
    <m/>
    <m/>
    <m/>
    <m/>
    <m/>
    <m/>
    <n v="0"/>
    <m/>
    <m/>
    <n v="0"/>
    <n v="0"/>
    <n v="0"/>
    <m/>
    <m/>
    <m/>
    <m/>
    <n v="0"/>
    <m/>
    <m/>
    <n v="0"/>
    <m/>
    <m/>
    <m/>
    <m/>
    <m/>
    <m/>
    <n v="0"/>
    <n v="0"/>
  </r>
  <r>
    <x v="15"/>
    <x v="31"/>
    <s v="Amount to private sector students"/>
    <m/>
    <m/>
    <x v="12"/>
    <m/>
    <m/>
    <m/>
    <m/>
    <m/>
    <m/>
    <m/>
    <m/>
    <n v="0"/>
    <m/>
    <m/>
    <n v="0"/>
    <n v="0"/>
    <n v="0"/>
    <m/>
    <m/>
    <m/>
    <m/>
    <n v="0"/>
    <m/>
    <m/>
    <n v="0"/>
    <m/>
    <m/>
    <m/>
    <m/>
    <m/>
    <m/>
    <n v="0"/>
    <n v="0"/>
  </r>
  <r>
    <x v="15"/>
    <x v="32"/>
    <s v="Need-based"/>
    <m/>
    <m/>
    <x v="12"/>
    <m/>
    <m/>
    <m/>
    <m/>
    <m/>
    <m/>
    <m/>
    <m/>
    <n v="0"/>
    <m/>
    <m/>
    <n v="0"/>
    <n v="0"/>
    <n v="0"/>
    <n v="1051668"/>
    <n v="1400455"/>
    <m/>
    <m/>
    <n v="0"/>
    <m/>
    <m/>
    <n v="0"/>
    <m/>
    <m/>
    <m/>
    <m/>
    <m/>
    <m/>
    <n v="1051668"/>
    <n v="1400455"/>
  </r>
  <r>
    <x v="15"/>
    <x v="33"/>
    <s v="Non need-based"/>
    <m/>
    <m/>
    <x v="12"/>
    <m/>
    <m/>
    <m/>
    <m/>
    <m/>
    <m/>
    <m/>
    <m/>
    <n v="0"/>
    <m/>
    <m/>
    <n v="0"/>
    <n v="0"/>
    <n v="0"/>
    <m/>
    <m/>
    <m/>
    <m/>
    <n v="0"/>
    <m/>
    <m/>
    <n v="0"/>
    <m/>
    <m/>
    <m/>
    <m/>
    <m/>
    <m/>
    <n v="0"/>
    <n v="0"/>
  </r>
  <r>
    <x v="15"/>
    <x v="34"/>
    <s v="Limited to public college students only"/>
    <m/>
    <m/>
    <x v="12"/>
    <m/>
    <m/>
    <m/>
    <m/>
    <m/>
    <m/>
    <m/>
    <m/>
    <n v="0"/>
    <m/>
    <m/>
    <n v="0"/>
    <n v="0"/>
    <n v="0"/>
    <m/>
    <m/>
    <m/>
    <m/>
    <n v="0"/>
    <m/>
    <m/>
    <n v="0"/>
    <m/>
    <m/>
    <m/>
    <m/>
    <m/>
    <m/>
    <n v="0"/>
    <n v="0"/>
  </r>
  <r>
    <x v="15"/>
    <x v="35"/>
    <s v="Need-based"/>
    <m/>
    <m/>
    <x v="12"/>
    <m/>
    <m/>
    <m/>
    <m/>
    <m/>
    <m/>
    <m/>
    <m/>
    <n v="0"/>
    <m/>
    <m/>
    <n v="0"/>
    <n v="0"/>
    <n v="0"/>
    <m/>
    <m/>
    <m/>
    <m/>
    <n v="0"/>
    <m/>
    <m/>
    <n v="0"/>
    <m/>
    <m/>
    <m/>
    <m/>
    <m/>
    <m/>
    <n v="0"/>
    <n v="0"/>
  </r>
  <r>
    <x v="15"/>
    <x v="36"/>
    <s v="Non need-based"/>
    <m/>
    <m/>
    <x v="12"/>
    <m/>
    <m/>
    <m/>
    <m/>
    <m/>
    <m/>
    <m/>
    <m/>
    <n v="0"/>
    <m/>
    <m/>
    <n v="0"/>
    <n v="0"/>
    <n v="0"/>
    <m/>
    <m/>
    <m/>
    <m/>
    <n v="0"/>
    <m/>
    <m/>
    <n v="0"/>
    <m/>
    <m/>
    <m/>
    <m/>
    <m/>
    <m/>
    <n v="0"/>
    <n v="0"/>
  </r>
  <r>
    <x v="15"/>
    <x v="34"/>
    <s v="Limited to private college students only"/>
    <m/>
    <m/>
    <x v="12"/>
    <m/>
    <m/>
    <m/>
    <m/>
    <m/>
    <m/>
    <m/>
    <m/>
    <n v="0"/>
    <m/>
    <m/>
    <n v="0"/>
    <n v="0"/>
    <n v="0"/>
    <m/>
    <m/>
    <m/>
    <m/>
    <n v="0"/>
    <m/>
    <m/>
    <n v="0"/>
    <m/>
    <m/>
    <m/>
    <m/>
    <m/>
    <m/>
    <n v="0"/>
    <n v="0"/>
  </r>
  <r>
    <x v="15"/>
    <x v="35"/>
    <s v="Need-based"/>
    <m/>
    <m/>
    <x v="12"/>
    <m/>
    <m/>
    <m/>
    <m/>
    <m/>
    <m/>
    <m/>
    <m/>
    <n v="0"/>
    <m/>
    <m/>
    <n v="0"/>
    <n v="0"/>
    <n v="0"/>
    <m/>
    <m/>
    <m/>
    <m/>
    <n v="0"/>
    <m/>
    <m/>
    <n v="0"/>
    <m/>
    <m/>
    <m/>
    <m/>
    <m/>
    <m/>
    <n v="0"/>
    <n v="0"/>
  </r>
  <r>
    <x v="15"/>
    <x v="36"/>
    <s v="Non need-based"/>
    <m/>
    <m/>
    <x v="12"/>
    <m/>
    <m/>
    <m/>
    <m/>
    <m/>
    <m/>
    <m/>
    <m/>
    <n v="0"/>
    <m/>
    <m/>
    <n v="0"/>
    <n v="0"/>
    <n v="0"/>
    <m/>
    <m/>
    <m/>
    <m/>
    <n v="0"/>
    <m/>
    <m/>
    <n v="0"/>
    <m/>
    <m/>
    <m/>
    <m/>
    <m/>
    <m/>
    <n v="0"/>
    <n v="0"/>
  </r>
  <r>
    <x v="15"/>
    <x v="0"/>
    <s v="Benjamin Franklin Vocational Center "/>
    <m/>
    <n v="237172"/>
    <x v="16"/>
    <m/>
    <n v="384949"/>
    <m/>
    <m/>
    <m/>
    <m/>
    <m/>
    <m/>
    <n v="0"/>
    <m/>
    <m/>
    <n v="0"/>
    <n v="0"/>
    <n v="384949"/>
    <m/>
    <m/>
    <m/>
    <m/>
    <n v="0"/>
    <m/>
    <m/>
    <n v="0"/>
    <m/>
    <m/>
    <m/>
    <m/>
    <m/>
    <m/>
    <n v="0"/>
    <n v="384949"/>
  </r>
  <r>
    <x v="15"/>
    <x v="0"/>
    <s v="Boone County Career &amp; Technical Center "/>
    <m/>
    <n v="237224"/>
    <x v="16"/>
    <m/>
    <n v="353431"/>
    <m/>
    <m/>
    <m/>
    <m/>
    <m/>
    <m/>
    <n v="0"/>
    <m/>
    <m/>
    <n v="0"/>
    <n v="0"/>
    <n v="353431"/>
    <m/>
    <m/>
    <m/>
    <m/>
    <n v="0"/>
    <m/>
    <m/>
    <n v="0"/>
    <m/>
    <m/>
    <m/>
    <m/>
    <m/>
    <m/>
    <n v="0"/>
    <n v="353431"/>
  </r>
  <r>
    <x v="15"/>
    <x v="0"/>
    <s v="Cabell County Vocational-Technical Center"/>
    <m/>
    <n v="237242"/>
    <x v="16"/>
    <m/>
    <n v="460803"/>
    <m/>
    <m/>
    <m/>
    <m/>
    <m/>
    <m/>
    <n v="0"/>
    <m/>
    <m/>
    <n v="0"/>
    <n v="0"/>
    <n v="460803"/>
    <m/>
    <m/>
    <m/>
    <m/>
    <n v="0"/>
    <m/>
    <m/>
    <n v="0"/>
    <m/>
    <m/>
    <m/>
    <m/>
    <m/>
    <m/>
    <n v="0"/>
    <n v="460803"/>
  </r>
  <r>
    <x v="15"/>
    <x v="0"/>
    <s v="Carver Vocational Center "/>
    <m/>
    <n v="430795"/>
    <x v="16"/>
    <m/>
    <n v="732192"/>
    <m/>
    <m/>
    <m/>
    <m/>
    <m/>
    <m/>
    <n v="0"/>
    <m/>
    <m/>
    <n v="0"/>
    <n v="0"/>
    <n v="732192"/>
    <m/>
    <m/>
    <m/>
    <m/>
    <n v="0"/>
    <m/>
    <m/>
    <n v="0"/>
    <m/>
    <m/>
    <m/>
    <m/>
    <m/>
    <m/>
    <n v="0"/>
    <n v="732192"/>
  </r>
  <r>
    <x v="15"/>
    <x v="0"/>
    <s v="Fayette Institute of Technology"/>
    <m/>
    <n v="413176"/>
    <x v="16"/>
    <m/>
    <n v="258765"/>
    <m/>
    <m/>
    <m/>
    <m/>
    <m/>
    <m/>
    <n v="0"/>
    <m/>
    <m/>
    <n v="0"/>
    <n v="0"/>
    <n v="258765"/>
    <m/>
    <m/>
    <m/>
    <m/>
    <n v="0"/>
    <m/>
    <m/>
    <n v="0"/>
    <m/>
    <m/>
    <m/>
    <m/>
    <m/>
    <m/>
    <n v="0"/>
    <n v="258765"/>
  </r>
  <r>
    <x v="15"/>
    <x v="0"/>
    <s v="Fred W. Eberle Technical Center "/>
    <m/>
    <n v="237844"/>
    <x v="16"/>
    <m/>
    <n v="232717"/>
    <m/>
    <m/>
    <m/>
    <m/>
    <m/>
    <m/>
    <n v="0"/>
    <m/>
    <m/>
    <n v="0"/>
    <n v="0"/>
    <n v="232717"/>
    <m/>
    <m/>
    <m/>
    <m/>
    <n v="0"/>
    <m/>
    <m/>
    <n v="0"/>
    <m/>
    <m/>
    <m/>
    <m/>
    <m/>
    <m/>
    <n v="0"/>
    <n v="232717"/>
  </r>
  <r>
    <x v="15"/>
    <x v="0"/>
    <s v="Garnet Career Center "/>
    <m/>
    <n v="431169"/>
    <x v="16"/>
    <m/>
    <n v="977319"/>
    <m/>
    <m/>
    <m/>
    <m/>
    <m/>
    <m/>
    <n v="0"/>
    <m/>
    <m/>
    <n v="0"/>
    <n v="0"/>
    <n v="977319"/>
    <m/>
    <m/>
    <m/>
    <m/>
    <n v="0"/>
    <m/>
    <m/>
    <n v="0"/>
    <m/>
    <m/>
    <m/>
    <m/>
    <m/>
    <m/>
    <n v="0"/>
    <n v="977319"/>
  </r>
  <r>
    <x v="15"/>
    <x v="0"/>
    <s v="James Rumsey Technical Institute"/>
    <m/>
    <n v="237473"/>
    <x v="16"/>
    <m/>
    <n v="983838"/>
    <m/>
    <m/>
    <m/>
    <m/>
    <m/>
    <m/>
    <n v="0"/>
    <m/>
    <m/>
    <n v="0"/>
    <n v="0"/>
    <n v="983838"/>
    <m/>
    <m/>
    <m/>
    <m/>
    <n v="0"/>
    <m/>
    <m/>
    <n v="0"/>
    <m/>
    <m/>
    <m/>
    <m/>
    <m/>
    <m/>
    <n v="0"/>
    <n v="983838"/>
  </r>
  <r>
    <x v="15"/>
    <x v="0"/>
    <s v="John D. Rockefeller IV Career Center"/>
    <m/>
    <n v="446349"/>
    <x v="16"/>
    <m/>
    <n v="233879"/>
    <m/>
    <m/>
    <m/>
    <m/>
    <m/>
    <m/>
    <n v="0"/>
    <m/>
    <m/>
    <n v="0"/>
    <n v="0"/>
    <n v="233879"/>
    <m/>
    <m/>
    <m/>
    <m/>
    <n v="0"/>
    <m/>
    <m/>
    <n v="0"/>
    <m/>
    <m/>
    <m/>
    <m/>
    <m/>
    <m/>
    <n v="0"/>
    <n v="233879"/>
  </r>
  <r>
    <x v="15"/>
    <x v="0"/>
    <s v="Marion County Vocational-Technical Center"/>
    <m/>
    <n v="237516"/>
    <x v="16"/>
    <m/>
    <n v="174411"/>
    <m/>
    <m/>
    <m/>
    <m/>
    <m/>
    <m/>
    <n v="0"/>
    <m/>
    <m/>
    <n v="0"/>
    <n v="0"/>
    <n v="174411"/>
    <m/>
    <m/>
    <m/>
    <m/>
    <n v="0"/>
    <m/>
    <m/>
    <n v="0"/>
    <m/>
    <m/>
    <m/>
    <m/>
    <m/>
    <m/>
    <n v="0"/>
    <n v="174411"/>
  </r>
  <r>
    <x v="15"/>
    <x v="0"/>
    <s v="McDowell County Vocational-Technical Center "/>
    <m/>
    <n v="237534"/>
    <x v="16"/>
    <m/>
    <n v="130809"/>
    <m/>
    <m/>
    <m/>
    <m/>
    <m/>
    <m/>
    <n v="0"/>
    <m/>
    <m/>
    <n v="0"/>
    <n v="0"/>
    <n v="130809"/>
    <m/>
    <m/>
    <m/>
    <m/>
    <n v="0"/>
    <m/>
    <m/>
    <n v="0"/>
    <m/>
    <m/>
    <m/>
    <m/>
    <m/>
    <m/>
    <n v="0"/>
    <n v="130809"/>
  </r>
  <r>
    <x v="15"/>
    <x v="0"/>
    <s v="Mercer County Vocational-Technical Center"/>
    <m/>
    <n v="237543"/>
    <x v="16"/>
    <m/>
    <n v="502433"/>
    <m/>
    <m/>
    <m/>
    <m/>
    <m/>
    <m/>
    <n v="0"/>
    <m/>
    <m/>
    <n v="0"/>
    <n v="0"/>
    <n v="502433"/>
    <m/>
    <m/>
    <m/>
    <m/>
    <n v="0"/>
    <m/>
    <m/>
    <n v="0"/>
    <m/>
    <m/>
    <m/>
    <m/>
    <m/>
    <m/>
    <n v="0"/>
    <n v="502433"/>
  </r>
  <r>
    <x v="15"/>
    <x v="0"/>
    <s v="Mineral County Vocational-Technical Center "/>
    <m/>
    <n v="368647"/>
    <x v="16"/>
    <m/>
    <n v="192698"/>
    <m/>
    <m/>
    <m/>
    <m/>
    <m/>
    <m/>
    <n v="0"/>
    <m/>
    <m/>
    <n v="0"/>
    <n v="0"/>
    <n v="192698"/>
    <m/>
    <m/>
    <m/>
    <m/>
    <n v="0"/>
    <m/>
    <m/>
    <n v="0"/>
    <m/>
    <m/>
    <m/>
    <m/>
    <m/>
    <m/>
    <n v="0"/>
    <n v="192698"/>
  </r>
  <r>
    <x v="15"/>
    <x v="0"/>
    <s v="Monongalia County Technical Education Center "/>
    <m/>
    <n v="237561"/>
    <x v="16"/>
    <m/>
    <n v="787076"/>
    <m/>
    <m/>
    <m/>
    <m/>
    <m/>
    <m/>
    <n v="0"/>
    <m/>
    <m/>
    <n v="0"/>
    <n v="0"/>
    <n v="787076"/>
    <m/>
    <m/>
    <m/>
    <m/>
    <n v="0"/>
    <m/>
    <m/>
    <n v="0"/>
    <m/>
    <m/>
    <m/>
    <m/>
    <m/>
    <m/>
    <n v="0"/>
    <n v="787076"/>
  </r>
  <r>
    <x v="15"/>
    <x v="0"/>
    <s v="Putnam County Vocational-Technical Center"/>
    <m/>
    <n v="419420"/>
    <x v="16"/>
    <m/>
    <n v="304202"/>
    <m/>
    <m/>
    <m/>
    <m/>
    <m/>
    <m/>
    <n v="0"/>
    <m/>
    <m/>
    <n v="0"/>
    <n v="0"/>
    <n v="304202"/>
    <m/>
    <m/>
    <m/>
    <m/>
    <n v="0"/>
    <m/>
    <m/>
    <n v="0"/>
    <m/>
    <m/>
    <m/>
    <m/>
    <m/>
    <m/>
    <n v="0"/>
    <n v="304202"/>
  </r>
  <r>
    <x v="15"/>
    <x v="0"/>
    <s v="Raleigh County Academy of Careers and Technology"/>
    <m/>
    <n v="237729"/>
    <x v="16"/>
    <m/>
    <n v="414472"/>
    <m/>
    <m/>
    <m/>
    <m/>
    <m/>
    <m/>
    <n v="0"/>
    <m/>
    <m/>
    <n v="0"/>
    <n v="0"/>
    <n v="414472"/>
    <m/>
    <m/>
    <m/>
    <m/>
    <n v="0"/>
    <m/>
    <m/>
    <n v="0"/>
    <m/>
    <m/>
    <m/>
    <m/>
    <m/>
    <m/>
    <n v="0"/>
    <n v="414472"/>
  </r>
  <r>
    <x v="15"/>
    <x v="0"/>
    <s v="Ralph R. Willis Vocational-Technical Center"/>
    <m/>
    <n v="237491"/>
    <x v="16"/>
    <m/>
    <n v="167859"/>
    <m/>
    <m/>
    <m/>
    <m/>
    <m/>
    <m/>
    <n v="0"/>
    <m/>
    <m/>
    <n v="0"/>
    <n v="0"/>
    <n v="167859"/>
    <m/>
    <m/>
    <m/>
    <m/>
    <n v="0"/>
    <m/>
    <m/>
    <n v="0"/>
    <m/>
    <m/>
    <m/>
    <m/>
    <m/>
    <m/>
    <n v="0"/>
    <n v="167859"/>
  </r>
  <r>
    <x v="15"/>
    <x v="0"/>
    <s v="Roane-Jackson Technical Center"/>
    <m/>
    <n v="364575"/>
    <x v="16"/>
    <m/>
    <n v="283374"/>
    <m/>
    <m/>
    <m/>
    <m/>
    <m/>
    <m/>
    <n v="0"/>
    <m/>
    <m/>
    <n v="0"/>
    <n v="0"/>
    <n v="283374"/>
    <m/>
    <m/>
    <m/>
    <m/>
    <n v="0"/>
    <m/>
    <m/>
    <n v="0"/>
    <m/>
    <m/>
    <m/>
    <m/>
    <m/>
    <m/>
    <n v="0"/>
    <n v="283374"/>
  </r>
  <r>
    <x v="15"/>
    <x v="0"/>
    <s v="South Branch Career &amp; Technical Center"/>
    <m/>
    <n v="441894"/>
    <x v="16"/>
    <m/>
    <n v="88650"/>
    <m/>
    <m/>
    <m/>
    <m/>
    <m/>
    <m/>
    <n v="0"/>
    <m/>
    <m/>
    <n v="0"/>
    <n v="0"/>
    <n v="88650"/>
    <m/>
    <m/>
    <m/>
    <m/>
    <n v="0"/>
    <m/>
    <m/>
    <n v="0"/>
    <m/>
    <m/>
    <m/>
    <m/>
    <m/>
    <m/>
    <n v="0"/>
    <n v="88650"/>
  </r>
  <r>
    <x v="15"/>
    <x v="0"/>
    <s v="United Technical Center"/>
    <m/>
    <n v="419031"/>
    <x v="16"/>
    <m/>
    <n v="226199"/>
    <m/>
    <m/>
    <m/>
    <m/>
    <m/>
    <m/>
    <n v="0"/>
    <m/>
    <m/>
    <n v="0"/>
    <n v="0"/>
    <n v="226199"/>
    <m/>
    <m/>
    <m/>
    <m/>
    <n v="0"/>
    <m/>
    <m/>
    <n v="0"/>
    <m/>
    <m/>
    <m/>
    <m/>
    <m/>
    <m/>
    <n v="0"/>
    <n v="226199"/>
  </r>
  <r>
    <x v="15"/>
    <x v="0"/>
    <s v="Greenbrier Practical School of Nursing"/>
    <m/>
    <s v="???"/>
    <x v="11"/>
    <m/>
    <n v="117065"/>
    <m/>
    <m/>
    <m/>
    <m/>
    <m/>
    <m/>
    <n v="0"/>
    <m/>
    <m/>
    <n v="0"/>
    <n v="0"/>
    <n v="117065"/>
    <m/>
    <m/>
    <m/>
    <m/>
    <n v="0"/>
    <m/>
    <m/>
    <n v="0"/>
    <m/>
    <m/>
    <m/>
    <m/>
    <m/>
    <m/>
    <n v="0"/>
    <n v="117065"/>
  </r>
  <r>
    <x v="15"/>
    <x v="0"/>
    <s v="Mingo County Extended Learning Center"/>
    <m/>
    <s v="???"/>
    <x v="11"/>
    <m/>
    <n v="263591"/>
    <m/>
    <m/>
    <m/>
    <m/>
    <m/>
    <m/>
    <n v="0"/>
    <m/>
    <m/>
    <n v="0"/>
    <n v="0"/>
    <n v="263591"/>
    <m/>
    <m/>
    <m/>
    <m/>
    <n v="0"/>
    <m/>
    <m/>
    <n v="0"/>
    <m/>
    <m/>
    <m/>
    <m/>
    <m/>
    <m/>
    <n v="0"/>
    <n v="263591"/>
  </r>
  <r>
    <x v="15"/>
    <x v="0"/>
    <s v="Randolph County Career Technical Center"/>
    <m/>
    <s v="???"/>
    <x v="11"/>
    <m/>
    <n v="135055"/>
    <m/>
    <m/>
    <m/>
    <m/>
    <m/>
    <m/>
    <n v="0"/>
    <m/>
    <m/>
    <n v="0"/>
    <n v="0"/>
    <n v="135055"/>
    <m/>
    <m/>
    <m/>
    <m/>
    <n v="0"/>
    <m/>
    <m/>
    <n v="0"/>
    <m/>
    <m/>
    <m/>
    <m/>
    <m/>
    <m/>
    <n v="0"/>
    <n v="135055"/>
  </r>
  <r>
    <x v="15"/>
    <x v="0"/>
    <s v="Summers County School of Nursing"/>
    <m/>
    <s v="???"/>
    <x v="11"/>
    <m/>
    <n v="145761"/>
    <m/>
    <m/>
    <m/>
    <m/>
    <m/>
    <m/>
    <n v="0"/>
    <m/>
    <m/>
    <n v="0"/>
    <n v="0"/>
    <n v="145761"/>
    <m/>
    <m/>
    <m/>
    <m/>
    <n v="0"/>
    <m/>
    <m/>
    <n v="0"/>
    <m/>
    <m/>
    <m/>
    <m/>
    <m/>
    <m/>
    <n v="0"/>
    <n v="145761"/>
  </r>
  <r>
    <x v="15"/>
    <x v="0"/>
    <s v="Wood County School of Practical Nursing"/>
    <m/>
    <n v="238096"/>
    <x v="11"/>
    <m/>
    <n v="269947"/>
    <m/>
    <m/>
    <m/>
    <m/>
    <m/>
    <m/>
    <n v="0"/>
    <m/>
    <m/>
    <n v="0"/>
    <n v="0"/>
    <n v="269947"/>
    <m/>
    <m/>
    <m/>
    <m/>
    <n v="0"/>
    <m/>
    <m/>
    <n v="0"/>
    <m/>
    <m/>
    <m/>
    <m/>
    <m/>
    <m/>
    <n v="0"/>
    <n v="269947"/>
  </r>
  <r>
    <x v="15"/>
    <x v="0"/>
    <s v="Wyoming County "/>
    <m/>
    <s v="???"/>
    <x v="11"/>
    <m/>
    <n v="156941"/>
    <m/>
    <m/>
    <m/>
    <m/>
    <m/>
    <m/>
    <n v="0"/>
    <m/>
    <m/>
    <n v="0"/>
    <n v="0"/>
    <n v="156941"/>
    <m/>
    <m/>
    <m/>
    <m/>
    <n v="0"/>
    <m/>
    <m/>
    <n v="0"/>
    <m/>
    <m/>
    <m/>
    <m/>
    <m/>
    <m/>
    <n v="0"/>
    <n v="15694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1" cacheId="1" dataOnRows="1" applyNumberFormats="0" applyBorderFormats="0" applyFontFormats="0" applyPatternFormats="0" applyAlignmentFormats="0" applyWidthHeightFormats="1" dataCaption="Data" grandTotalCaption="Grand Total" updatedVersion="4" minRefreshableVersion="3" showMemberPropertyTips="0" itemPrintTitles="1" createdVersion="3" indent="0" compact="0" compactData="0" gridDropZones="1">
  <location ref="A3:W668" firstHeaderRow="1" firstDataRow="3" firstDataCol="2"/>
  <pivotFields count="51">
    <pivotField axis="axisRow" compact="0" outline="0" subtotalTop="0" showAll="0" includeNewItemsInFilter="1" sortType="ascending">
      <items count="18">
        <item x="0"/>
        <item x="1"/>
        <item x="2"/>
        <item x="3"/>
        <item x="4"/>
        <item x="5"/>
        <item x="6"/>
        <item x="7"/>
        <item x="8"/>
        <item x="9"/>
        <item x="10"/>
        <item x="11"/>
        <item x="12"/>
        <item x="13"/>
        <item x="14"/>
        <item x="15"/>
        <item m="1" x="16"/>
        <item t="default"/>
      </items>
    </pivotField>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axis="axisCol" compact="0" outline="0" subtotalTop="0" showAll="0" includeNewItemsInFilter="1">
      <items count="19">
        <item x="0"/>
        <item x="1"/>
        <item x="2"/>
        <item x="3"/>
        <item x="4"/>
        <item x="5"/>
        <item x="14"/>
        <item x="6"/>
        <item x="7"/>
        <item x="8"/>
        <item x="15"/>
        <item x="9"/>
        <item x="10"/>
        <item x="16"/>
        <item x="11"/>
        <item x="12"/>
        <item h="1" m="1" x="17"/>
        <item h="1" x="13"/>
        <item t="default"/>
      </items>
    </pivotField>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compact="0" outline="0" showAll="0" defaultSubtotal="0"/>
    <pivotField dataField="1"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dataField="1" compact="0" outline="0" subtotalTop="0" dragToRow="0" dragToCol="0" dragToPage="0" showAll="0" includeNewItemsInFilter="1" defaultSubtotal="0"/>
    <pivotField compact="0" outline="0" subtotalTop="0" dragToRow="0" dragToCol="0" dragToPage="0" showAll="0" includeNewItemsInFilter="1" defaultSubtotal="0"/>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axis="axisCol" compact="0" outline="0" subtotalTop="0" showAll="0" includeNewItemsInFilter="1">
      <items count="8">
        <item n="Four-Year" x="3"/>
        <item n="Two-Year" x="4"/>
        <item n="Technical" x="6"/>
        <item n="Specialized" x="1"/>
        <item n="Other" sd="0" x="0"/>
        <item h="1" x="2"/>
        <item h="1" x="5"/>
        <item t="default"/>
      </items>
    </pivotField>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s>
  <rowFields count="2">
    <field x="0"/>
    <field x="-2"/>
  </rowFields>
  <rowItems count="663">
    <i>
      <x/>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r="1" i="32">
      <x v="32"/>
    </i>
    <i r="1" i="33">
      <x v="33"/>
    </i>
    <i r="1" i="34">
      <x v="34"/>
    </i>
    <i r="1" i="35">
      <x v="35"/>
    </i>
    <i r="1" i="36">
      <x v="36"/>
    </i>
    <i r="1" i="37">
      <x v="37"/>
    </i>
    <i r="1" i="38">
      <x v="38"/>
    </i>
    <i>
      <x v="1"/>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r="1" i="32">
      <x v="32"/>
    </i>
    <i r="1" i="33">
      <x v="33"/>
    </i>
    <i r="1" i="34">
      <x v="34"/>
    </i>
    <i r="1" i="35">
      <x v="35"/>
    </i>
    <i r="1" i="36">
      <x v="36"/>
    </i>
    <i r="1" i="37">
      <x v="37"/>
    </i>
    <i r="1" i="38">
      <x v="38"/>
    </i>
    <i>
      <x v="2"/>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r="1" i="32">
      <x v="32"/>
    </i>
    <i r="1" i="33">
      <x v="33"/>
    </i>
    <i r="1" i="34">
      <x v="34"/>
    </i>
    <i r="1" i="35">
      <x v="35"/>
    </i>
    <i r="1" i="36">
      <x v="36"/>
    </i>
    <i r="1" i="37">
      <x v="37"/>
    </i>
    <i r="1" i="38">
      <x v="38"/>
    </i>
    <i>
      <x v="3"/>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r="1" i="32">
      <x v="32"/>
    </i>
    <i r="1" i="33">
      <x v="33"/>
    </i>
    <i r="1" i="34">
      <x v="34"/>
    </i>
    <i r="1" i="35">
      <x v="35"/>
    </i>
    <i r="1" i="36">
      <x v="36"/>
    </i>
    <i r="1" i="37">
      <x v="37"/>
    </i>
    <i r="1" i="38">
      <x v="38"/>
    </i>
    <i>
      <x v="4"/>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r="1" i="32">
      <x v="32"/>
    </i>
    <i r="1" i="33">
      <x v="33"/>
    </i>
    <i r="1" i="34">
      <x v="34"/>
    </i>
    <i r="1" i="35">
      <x v="35"/>
    </i>
    <i r="1" i="36">
      <x v="36"/>
    </i>
    <i r="1" i="37">
      <x v="37"/>
    </i>
    <i r="1" i="38">
      <x v="38"/>
    </i>
    <i>
      <x v="5"/>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r="1" i="32">
      <x v="32"/>
    </i>
    <i r="1" i="33">
      <x v="33"/>
    </i>
    <i r="1" i="34">
      <x v="34"/>
    </i>
    <i r="1" i="35">
      <x v="35"/>
    </i>
    <i r="1" i="36">
      <x v="36"/>
    </i>
    <i r="1" i="37">
      <x v="37"/>
    </i>
    <i r="1" i="38">
      <x v="38"/>
    </i>
    <i>
      <x v="6"/>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r="1" i="32">
      <x v="32"/>
    </i>
    <i r="1" i="33">
      <x v="33"/>
    </i>
    <i r="1" i="34">
      <x v="34"/>
    </i>
    <i r="1" i="35">
      <x v="35"/>
    </i>
    <i r="1" i="36">
      <x v="36"/>
    </i>
    <i r="1" i="37">
      <x v="37"/>
    </i>
    <i r="1" i="38">
      <x v="38"/>
    </i>
    <i>
      <x v="7"/>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r="1" i="32">
      <x v="32"/>
    </i>
    <i r="1" i="33">
      <x v="33"/>
    </i>
    <i r="1" i="34">
      <x v="34"/>
    </i>
    <i r="1" i="35">
      <x v="35"/>
    </i>
    <i r="1" i="36">
      <x v="36"/>
    </i>
    <i r="1" i="37">
      <x v="37"/>
    </i>
    <i r="1" i="38">
      <x v="38"/>
    </i>
    <i>
      <x v="8"/>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r="1" i="32">
      <x v="32"/>
    </i>
    <i r="1" i="33">
      <x v="33"/>
    </i>
    <i r="1" i="34">
      <x v="34"/>
    </i>
    <i r="1" i="35">
      <x v="35"/>
    </i>
    <i r="1" i="36">
      <x v="36"/>
    </i>
    <i r="1" i="37">
      <x v="37"/>
    </i>
    <i r="1" i="38">
      <x v="38"/>
    </i>
    <i>
      <x v="9"/>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r="1" i="32">
      <x v="32"/>
    </i>
    <i r="1" i="33">
      <x v="33"/>
    </i>
    <i r="1" i="34">
      <x v="34"/>
    </i>
    <i r="1" i="35">
      <x v="35"/>
    </i>
    <i r="1" i="36">
      <x v="36"/>
    </i>
    <i r="1" i="37">
      <x v="37"/>
    </i>
    <i r="1" i="38">
      <x v="38"/>
    </i>
    <i>
      <x v="10"/>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r="1" i="32">
      <x v="32"/>
    </i>
    <i r="1" i="33">
      <x v="33"/>
    </i>
    <i r="1" i="34">
      <x v="34"/>
    </i>
    <i r="1" i="35">
      <x v="35"/>
    </i>
    <i r="1" i="36">
      <x v="36"/>
    </i>
    <i r="1" i="37">
      <x v="37"/>
    </i>
    <i r="1" i="38">
      <x v="38"/>
    </i>
    <i>
      <x v="11"/>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r="1" i="32">
      <x v="32"/>
    </i>
    <i r="1" i="33">
      <x v="33"/>
    </i>
    <i r="1" i="34">
      <x v="34"/>
    </i>
    <i r="1" i="35">
      <x v="35"/>
    </i>
    <i r="1" i="36">
      <x v="36"/>
    </i>
    <i r="1" i="37">
      <x v="37"/>
    </i>
    <i r="1" i="38">
      <x v="38"/>
    </i>
    <i>
      <x v="12"/>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r="1" i="32">
      <x v="32"/>
    </i>
    <i r="1" i="33">
      <x v="33"/>
    </i>
    <i r="1" i="34">
      <x v="34"/>
    </i>
    <i r="1" i="35">
      <x v="35"/>
    </i>
    <i r="1" i="36">
      <x v="36"/>
    </i>
    <i r="1" i="37">
      <x v="37"/>
    </i>
    <i r="1" i="38">
      <x v="38"/>
    </i>
    <i>
      <x v="13"/>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r="1" i="32">
      <x v="32"/>
    </i>
    <i r="1" i="33">
      <x v="33"/>
    </i>
    <i r="1" i="34">
      <x v="34"/>
    </i>
    <i r="1" i="35">
      <x v="35"/>
    </i>
    <i r="1" i="36">
      <x v="36"/>
    </i>
    <i r="1" i="37">
      <x v="37"/>
    </i>
    <i r="1" i="38">
      <x v="38"/>
    </i>
    <i>
      <x v="14"/>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r="1" i="32">
      <x v="32"/>
    </i>
    <i r="1" i="33">
      <x v="33"/>
    </i>
    <i r="1" i="34">
      <x v="34"/>
    </i>
    <i r="1" i="35">
      <x v="35"/>
    </i>
    <i r="1" i="36">
      <x v="36"/>
    </i>
    <i r="1" i="37">
      <x v="37"/>
    </i>
    <i r="1" i="38">
      <x v="38"/>
    </i>
    <i>
      <x v="15"/>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r="1" i="32">
      <x v="32"/>
    </i>
    <i r="1" i="33">
      <x v="33"/>
    </i>
    <i r="1" i="34">
      <x v="34"/>
    </i>
    <i r="1" i="35">
      <x v="35"/>
    </i>
    <i r="1" i="36">
      <x v="36"/>
    </i>
    <i r="1" i="37">
      <x v="37"/>
    </i>
    <i r="1" i="38">
      <x v="38"/>
    </i>
    <i t="grand">
      <x/>
    </i>
    <i t="grand" i="1">
      <x/>
    </i>
    <i t="grand" i="2">
      <x/>
    </i>
    <i t="grand" i="3">
      <x/>
    </i>
    <i t="grand" i="4">
      <x/>
    </i>
    <i t="grand" i="5">
      <x/>
    </i>
    <i t="grand" i="6">
      <x/>
    </i>
    <i t="grand" i="7">
      <x/>
    </i>
    <i t="grand" i="8">
      <x/>
    </i>
    <i t="grand" i="9">
      <x/>
    </i>
    <i t="grand" i="10">
      <x/>
    </i>
    <i t="grand" i="11">
      <x/>
    </i>
    <i t="grand" i="12">
      <x/>
    </i>
    <i t="grand" i="13">
      <x/>
    </i>
    <i t="grand" i="14">
      <x/>
    </i>
    <i t="grand" i="15">
      <x/>
    </i>
    <i t="grand" i="16">
      <x/>
    </i>
    <i t="grand" i="17">
      <x/>
    </i>
    <i t="grand" i="18">
      <x/>
    </i>
    <i t="grand" i="19">
      <x/>
    </i>
    <i t="grand" i="20">
      <x/>
    </i>
    <i t="grand" i="21">
      <x/>
    </i>
    <i t="grand" i="22">
      <x/>
    </i>
    <i t="grand" i="23">
      <x/>
    </i>
    <i t="grand" i="24">
      <x/>
    </i>
    <i t="grand" i="25">
      <x/>
    </i>
    <i t="grand" i="26">
      <x/>
    </i>
    <i t="grand" i="27">
      <x/>
    </i>
    <i t="grand" i="28">
      <x/>
    </i>
    <i t="grand" i="29">
      <x/>
    </i>
    <i t="grand" i="30">
      <x/>
    </i>
    <i t="grand" i="31">
      <x/>
    </i>
    <i t="grand" i="32">
      <x/>
    </i>
    <i t="grand" i="33">
      <x/>
    </i>
    <i t="grand" i="34">
      <x/>
    </i>
    <i t="grand" i="35">
      <x/>
    </i>
    <i t="grand" i="36">
      <x/>
    </i>
    <i t="grand" i="37">
      <x/>
    </i>
    <i t="grand" i="38">
      <x/>
    </i>
  </rowItems>
  <colFields count="2">
    <field x="45"/>
    <field x="5"/>
  </colFields>
  <colItems count="21">
    <i>
      <x/>
      <x/>
    </i>
    <i r="1">
      <x v="1"/>
    </i>
    <i r="1">
      <x v="2"/>
    </i>
    <i r="1">
      <x v="3"/>
    </i>
    <i r="1">
      <x v="4"/>
    </i>
    <i r="1">
      <x v="5"/>
    </i>
    <i t="default">
      <x/>
    </i>
    <i>
      <x v="1"/>
      <x v="6"/>
    </i>
    <i r="1">
      <x v="7"/>
    </i>
    <i r="1">
      <x v="8"/>
    </i>
    <i r="1">
      <x v="9"/>
    </i>
    <i r="1">
      <x v="10"/>
    </i>
    <i t="default">
      <x v="1"/>
    </i>
    <i>
      <x v="2"/>
      <x v="11"/>
    </i>
    <i r="1">
      <x v="12"/>
    </i>
    <i r="1">
      <x v="13"/>
    </i>
    <i t="default">
      <x v="2"/>
    </i>
    <i>
      <x v="3"/>
      <x v="14"/>
    </i>
    <i t="default">
      <x v="3"/>
    </i>
    <i>
      <x v="4"/>
    </i>
    <i t="grand">
      <x/>
    </i>
  </colItems>
  <dataFields count="39">
    <dataField name="Sum of State Gen Purp-Old" fld="6" baseField="0" baseItem="0" numFmtId="37"/>
    <dataField name="Sum of State Gen Purp-New" fld="7" baseField="0" baseItem="0" numFmtId="37"/>
    <dataField name=" % change in state gen purp" fld="41" baseField="0" baseItem="0" numFmtId="37"/>
    <dataField name="Sum of State Ed Spec Purp-Old" fld="8" baseField="0" baseItem="0" numFmtId="37"/>
    <dataField name="Sum of State Ed Spec Purp-New" fld="9" baseField="0" baseItem="0" numFmtId="37"/>
    <dataField name=" % change in state ed spec purp" fld="40" baseField="0" baseItem="0" numFmtId="37"/>
    <dataField name="Sum of Local-Old" fld="10" baseField="0" baseItem="0" numFmtId="37"/>
    <dataField name="Sum of Local-New" fld="11" baseField="0" baseItem="0" numFmtId="37"/>
    <dataField name=" % change in local" fld="39" baseField="0" baseItem="0" numFmtId="37"/>
    <dataField name="Sum of Tuition Ops-Old" fld="12" baseField="0" baseItem="0" numFmtId="37"/>
    <dataField name="Sum of Tuition Ops-New" fld="15" baseField="0" baseItem="0" numFmtId="37"/>
    <dataField name=" % change in tuition ops" fld="38" baseField="0" baseItem="0" numFmtId="37"/>
    <dataField name="Sum of Tuition Debt-Old" fld="13" baseField="0" baseItem="0" numFmtId="37"/>
    <dataField name="Sum of Tuition Debt-New" fld="16" baseField="0" baseItem="0" numFmtId="37"/>
    <dataField name=" % change in tuition debt" fld="44" baseField="0" baseItem="0" numFmtId="37"/>
    <dataField name="Sum of Tuition Tot-Old" fld="14" baseField="0" baseItem="0" numFmtId="37"/>
    <dataField name="Sum of Tuition Tot-New" fld="17" baseField="0" baseItem="0" numFmtId="37"/>
    <dataField name=" % change in tuition total" fld="43" baseField="0" baseItem="0" numFmtId="37"/>
    <dataField name="Sum of Other Spec Purp State-Old" fld="20" baseField="0" baseItem="0" numFmtId="37"/>
    <dataField name="Sum of Other Spec Purp State-New" fld="21" baseField="0" baseItem="0" numFmtId="37"/>
    <dataField name=" % change in other spec purp state" fld="42" baseField="0" baseItem="0" numFmtId="37"/>
    <dataField name="Sum of Tuition SP Ops-Old" fld="22" baseField="0" baseItem="0" numFmtId="37"/>
    <dataField name="Sum of Tuition SP Ops-New" fld="25" baseField="0" baseItem="0" numFmtId="37"/>
    <dataField name=" % change in tuition sp ops" fld="49" baseField="0" baseItem="0" numFmtId="37"/>
    <dataField name="Sum of Tuition SP Debt-Old" fld="23" baseField="0" baseItem="0" numFmtId="37"/>
    <dataField name="Sum of Tuition SP Debt-New" fld="26" baseField="0" baseItem="0" numFmtId="37"/>
    <dataField name=" % change in tuition sp debt" fld="48" baseField="0" baseItem="0" numFmtId="37"/>
    <dataField name="Sum of Tuition SP Tot-Old" fld="24" baseField="0" baseItem="0" numFmtId="37"/>
    <dataField name="Sum of Tuition SP Tot-New" fld="27" baseField="0" baseItem="0" numFmtId="37"/>
    <dataField name=" % change in tuition sp total" fld="47" baseField="0" baseItem="0" numFmtId="37"/>
    <dataField name="Sum of Health State-Old" fld="28" baseField="0" baseItem="0" numFmtId="37"/>
    <dataField name="Sum of Health State-New" fld="29" baseField="0" baseItem="0" numFmtId="37"/>
    <dataField name=" % change in health state" fld="46" baseField="0" baseItem="0" numFmtId="37"/>
    <dataField name="Sum of Health Tuition-Old" fld="30" baseField="0" baseItem="0" numFmtId="37"/>
    <dataField name="Sum of Health Tuition-New" fld="32" baseField="0" baseItem="0" numFmtId="37"/>
    <dataField name=" % change in health tuition" fld="36" baseField="0" baseItem="0" numFmtId="37"/>
    <dataField name="Sum of Total E&amp;G-Old" fld="18" baseField="0" baseItem="0" numFmtId="37"/>
    <dataField name="Sum of Total E&amp;G-New" fld="19" baseField="0" baseItem="0" numFmtId="37"/>
    <dataField name=" % change in total E&amp;G funds" fld="50" baseField="0" baseItem="0" numFmtId="37"/>
  </dataFields>
  <formats count="371">
    <format dxfId="1294">
      <pivotArea outline="0" fieldPosition="0"/>
    </format>
    <format dxfId="1293">
      <pivotArea outline="0" fieldPosition="0">
        <references count="4">
          <reference field="4294967294" count="3" selected="0">
            <x v="9"/>
            <x v="10"/>
            <x v="11"/>
          </reference>
          <reference field="0" count="1" selected="0">
            <x v="9"/>
          </reference>
          <reference field="5" count="1" selected="0">
            <x v="4"/>
          </reference>
          <reference field="45" count="1" selected="0">
            <x v="0"/>
          </reference>
        </references>
      </pivotArea>
    </format>
    <format dxfId="1292">
      <pivotArea outline="0" fieldPosition="0">
        <references count="4">
          <reference field="4294967294" count="3" selected="0">
            <x v="3"/>
            <x v="4"/>
            <x v="5"/>
          </reference>
          <reference field="0" count="1" selected="0">
            <x v="9"/>
          </reference>
          <reference field="5" count="1" selected="0">
            <x v="7"/>
          </reference>
          <reference field="45" count="1" selected="0">
            <x v="1"/>
          </reference>
        </references>
      </pivotArea>
    </format>
    <format dxfId="1291">
      <pivotArea outline="0" fieldPosition="0">
        <references count="4">
          <reference field="4294967294" count="3" selected="0">
            <x v="3"/>
            <x v="4"/>
            <x v="5"/>
          </reference>
          <reference field="0" count="1" selected="0">
            <x v="9"/>
          </reference>
          <reference field="5" count="1" selected="0">
            <x v="8"/>
          </reference>
          <reference field="45" count="1" selected="0">
            <x v="1"/>
          </reference>
        </references>
      </pivotArea>
    </format>
    <format dxfId="1290">
      <pivotArea outline="0" fieldPosition="0">
        <references count="4">
          <reference field="4294967294" count="3" selected="0">
            <x v="3"/>
            <x v="4"/>
            <x v="5"/>
          </reference>
          <reference field="0" count="1" selected="0">
            <x v="9"/>
          </reference>
          <reference field="5" count="1" selected="0">
            <x v="9"/>
          </reference>
          <reference field="45" count="1" selected="0">
            <x v="1"/>
          </reference>
        </references>
      </pivotArea>
    </format>
    <format dxfId="1289">
      <pivotArea outline="0" fieldPosition="0">
        <references count="3">
          <reference field="4294967294" count="3" selected="0">
            <x v="3"/>
            <x v="4"/>
            <x v="5"/>
          </reference>
          <reference field="0" count="1" selected="0">
            <x v="9"/>
          </reference>
          <reference field="45" count="1" selected="0">
            <x v="4"/>
          </reference>
        </references>
      </pivotArea>
    </format>
    <format dxfId="1288">
      <pivotArea type="all" dataOnly="0" outline="0" fieldPosition="0"/>
    </format>
    <format dxfId="1287">
      <pivotArea outline="0" fieldPosition="0">
        <references count="1">
          <reference field="45" count="1" selected="0" defaultSubtotal="1">
            <x v="0"/>
          </reference>
        </references>
      </pivotArea>
    </format>
    <format dxfId="1286">
      <pivotArea dataOnly="0" labelOnly="1" outline="0" fieldPosition="0">
        <references count="1">
          <reference field="45" count="1" defaultSubtotal="1">
            <x v="0"/>
          </reference>
        </references>
      </pivotArea>
    </format>
    <format dxfId="1285">
      <pivotArea outline="0" fieldPosition="0">
        <references count="1">
          <reference field="45" count="1" selected="0" defaultSubtotal="1">
            <x v="1"/>
          </reference>
        </references>
      </pivotArea>
    </format>
    <format dxfId="1284">
      <pivotArea dataOnly="0" labelOnly="1" outline="0" fieldPosition="0">
        <references count="1">
          <reference field="45" count="1" defaultSubtotal="1">
            <x v="1"/>
          </reference>
        </references>
      </pivotArea>
    </format>
    <format dxfId="1283">
      <pivotArea outline="0" fieldPosition="0">
        <references count="1">
          <reference field="45" count="1" selected="0">
            <x v="4"/>
          </reference>
        </references>
      </pivotArea>
    </format>
    <format dxfId="1282">
      <pivotArea type="topRight" dataOnly="0" labelOnly="1" outline="0" offset="R1" fieldPosition="0"/>
    </format>
    <format dxfId="1281">
      <pivotArea dataOnly="0" labelOnly="1" outline="0" fieldPosition="0">
        <references count="1">
          <reference field="45" count="1">
            <x v="4"/>
          </reference>
        </references>
      </pivotArea>
    </format>
    <format dxfId="1280">
      <pivotArea outline="0" fieldPosition="0">
        <references count="1">
          <reference field="45" count="1" selected="0" defaultSubtotal="1">
            <x v="0"/>
          </reference>
        </references>
      </pivotArea>
    </format>
    <format dxfId="1279">
      <pivotArea field="45" type="button" dataOnly="0" labelOnly="1" outline="0" axis="axisCol" fieldPosition="0"/>
    </format>
    <format dxfId="1278">
      <pivotArea field="5" type="button" dataOnly="0" labelOnly="1" outline="0" axis="axisCol" fieldPosition="1"/>
    </format>
    <format dxfId="1277">
      <pivotArea type="topRight" dataOnly="0" labelOnly="1" outline="0" fieldPosition="0"/>
    </format>
    <format dxfId="1276">
      <pivotArea dataOnly="0" labelOnly="1" outline="0" fieldPosition="0">
        <references count="1">
          <reference field="45" count="1">
            <x v="0"/>
          </reference>
        </references>
      </pivotArea>
    </format>
    <format dxfId="1275">
      <pivotArea dataOnly="0" labelOnly="1" outline="0" fieldPosition="0">
        <references count="1">
          <reference field="45" count="1" defaultSubtotal="1">
            <x v="0"/>
          </reference>
        </references>
      </pivotArea>
    </format>
    <format dxfId="1274">
      <pivotArea dataOnly="0" labelOnly="1" outline="0" fieldPosition="0">
        <references count="2">
          <reference field="5" count="6">
            <x v="0"/>
            <x v="1"/>
            <x v="2"/>
            <x v="3"/>
            <x v="4"/>
            <x v="5"/>
          </reference>
          <reference field="45" count="1" selected="0">
            <x v="0"/>
          </reference>
        </references>
      </pivotArea>
    </format>
    <format dxfId="1273">
      <pivotArea outline="0" fieldPosition="0">
        <references count="2">
          <reference field="5" count="1" selected="0">
            <x v="6"/>
          </reference>
          <reference field="45" count="1" selected="0">
            <x v="1"/>
          </reference>
        </references>
      </pivotArea>
    </format>
    <format dxfId="1272">
      <pivotArea type="topRight" dataOnly="0" labelOnly="1" outline="0" offset="F1" fieldPosition="0"/>
    </format>
    <format dxfId="1271">
      <pivotArea dataOnly="0" labelOnly="1" outline="0" offset="A256" fieldPosition="0">
        <references count="1">
          <reference field="45" count="1">
            <x v="1"/>
          </reference>
        </references>
      </pivotArea>
    </format>
    <format dxfId="1270">
      <pivotArea dataOnly="0" labelOnly="1" outline="0" fieldPosition="0">
        <references count="2">
          <reference field="5" count="1">
            <x v="6"/>
          </reference>
          <reference field="45" count="1" selected="0">
            <x v="1"/>
          </reference>
        </references>
      </pivotArea>
    </format>
    <format dxfId="1269">
      <pivotArea outline="0" fieldPosition="0">
        <references count="2">
          <reference field="5" count="1" selected="0">
            <x v="7"/>
          </reference>
          <reference field="45" count="1" selected="0">
            <x v="1"/>
          </reference>
        </references>
      </pivotArea>
    </format>
    <format dxfId="1268">
      <pivotArea type="topRight" dataOnly="0" labelOnly="1" outline="0" offset="G1" fieldPosition="0"/>
    </format>
    <format dxfId="1267">
      <pivotArea dataOnly="0" labelOnly="1" outline="0" offset="B256" fieldPosition="0">
        <references count="1">
          <reference field="45" count="1">
            <x v="1"/>
          </reference>
        </references>
      </pivotArea>
    </format>
    <format dxfId="1266">
      <pivotArea dataOnly="0" labelOnly="1" outline="0" fieldPosition="0">
        <references count="2">
          <reference field="5" count="1">
            <x v="7"/>
          </reference>
          <reference field="45" count="1" selected="0">
            <x v="1"/>
          </reference>
        </references>
      </pivotArea>
    </format>
    <format dxfId="1265">
      <pivotArea outline="0" fieldPosition="0">
        <references count="2">
          <reference field="5" count="1" selected="0">
            <x v="8"/>
          </reference>
          <reference field="45" count="1" selected="0">
            <x v="1"/>
          </reference>
        </references>
      </pivotArea>
    </format>
    <format dxfId="1264">
      <pivotArea type="topRight" dataOnly="0" labelOnly="1" outline="0" offset="H1" fieldPosition="0"/>
    </format>
    <format dxfId="1263">
      <pivotArea dataOnly="0" labelOnly="1" outline="0" offset="C256" fieldPosition="0">
        <references count="1">
          <reference field="45" count="1">
            <x v="1"/>
          </reference>
        </references>
      </pivotArea>
    </format>
    <format dxfId="1262">
      <pivotArea dataOnly="0" labelOnly="1" outline="0" fieldPosition="0">
        <references count="2">
          <reference field="5" count="1">
            <x v="8"/>
          </reference>
          <reference field="45" count="1" selected="0">
            <x v="1"/>
          </reference>
        </references>
      </pivotArea>
    </format>
    <format dxfId="1261">
      <pivotArea outline="0" fieldPosition="0">
        <references count="2">
          <reference field="5" count="1" selected="0">
            <x v="9"/>
          </reference>
          <reference field="45" count="1" selected="0">
            <x v="1"/>
          </reference>
        </references>
      </pivotArea>
    </format>
    <format dxfId="1260">
      <pivotArea type="topRight" dataOnly="0" labelOnly="1" outline="0" offset="I1" fieldPosition="0"/>
    </format>
    <format dxfId="1259">
      <pivotArea dataOnly="0" labelOnly="1" outline="0" offset="D256" fieldPosition="0">
        <references count="1">
          <reference field="45" count="1">
            <x v="1"/>
          </reference>
        </references>
      </pivotArea>
    </format>
    <format dxfId="1258">
      <pivotArea dataOnly="0" labelOnly="1" outline="0" fieldPosition="0">
        <references count="2">
          <reference field="5" count="1">
            <x v="9"/>
          </reference>
          <reference field="45" count="1" selected="0">
            <x v="1"/>
          </reference>
        </references>
      </pivotArea>
    </format>
    <format dxfId="1257">
      <pivotArea outline="0" fieldPosition="0">
        <references count="2">
          <reference field="5" count="1" selected="0">
            <x v="10"/>
          </reference>
          <reference field="45" count="1" selected="0">
            <x v="1"/>
          </reference>
        </references>
      </pivotArea>
    </format>
    <format dxfId="1256">
      <pivotArea type="topRight" dataOnly="0" labelOnly="1" outline="0" offset="J1" fieldPosition="0"/>
    </format>
    <format dxfId="1255">
      <pivotArea dataOnly="0" labelOnly="1" outline="0" offset="IV256" fieldPosition="0">
        <references count="1">
          <reference field="45" count="1">
            <x v="1"/>
          </reference>
        </references>
      </pivotArea>
    </format>
    <format dxfId="1254">
      <pivotArea dataOnly="0" labelOnly="1" outline="0" fieldPosition="0">
        <references count="2">
          <reference field="5" count="1">
            <x v="10"/>
          </reference>
          <reference field="45" count="1" selected="0">
            <x v="1"/>
          </reference>
        </references>
      </pivotArea>
    </format>
    <format dxfId="1253">
      <pivotArea outline="0" fieldPosition="0">
        <references count="1">
          <reference field="45" count="1" selected="0" defaultSubtotal="1">
            <x v="1"/>
          </reference>
        </references>
      </pivotArea>
    </format>
    <format dxfId="1252">
      <pivotArea type="topRight" dataOnly="0" labelOnly="1" outline="0" offset="K1" fieldPosition="0"/>
    </format>
    <format dxfId="1251">
      <pivotArea dataOnly="0" labelOnly="1" outline="0" fieldPosition="0">
        <references count="1">
          <reference field="45" count="1" defaultSubtotal="1">
            <x v="1"/>
          </reference>
        </references>
      </pivotArea>
    </format>
    <format dxfId="1250">
      <pivotArea outline="0" fieldPosition="0">
        <references count="4">
          <reference field="4294967294" count="3" selected="0">
            <x v="3"/>
            <x v="4"/>
            <x v="5"/>
          </reference>
          <reference field="0" count="1" selected="0">
            <x v="9"/>
          </reference>
          <reference field="5" count="2" selected="0">
            <x v="2"/>
            <x v="3"/>
          </reference>
          <reference field="45" count="1" selected="0">
            <x v="0"/>
          </reference>
        </references>
      </pivotArea>
    </format>
    <format dxfId="1249">
      <pivotArea outline="0" fieldPosition="0">
        <references count="4">
          <reference field="4294967294" count="3" selected="0">
            <x v="9"/>
            <x v="10"/>
            <x v="11"/>
          </reference>
          <reference field="0" count="1" selected="0">
            <x v="9"/>
          </reference>
          <reference field="5" count="3" selected="0">
            <x v="0"/>
            <x v="1"/>
            <x v="2"/>
          </reference>
          <reference field="45" count="1" selected="0">
            <x v="0"/>
          </reference>
        </references>
      </pivotArea>
    </format>
    <format dxfId="1248">
      <pivotArea outline="0" fieldPosition="0">
        <references count="4">
          <reference field="4294967294" count="1" selected="0">
            <x v="12"/>
          </reference>
          <reference field="0" count="1" selected="0">
            <x v="9"/>
          </reference>
          <reference field="5" count="1" selected="0">
            <x v="0"/>
          </reference>
          <reference field="45" count="1" selected="0">
            <x v="0"/>
          </reference>
        </references>
      </pivotArea>
    </format>
    <format dxfId="1247">
      <pivotArea outline="0" fieldPosition="0">
        <references count="4">
          <reference field="4294967294" count="3" selected="0">
            <x v="33"/>
            <x v="34"/>
            <x v="35"/>
          </reference>
          <reference field="0" count="1" selected="0">
            <x v="9"/>
          </reference>
          <reference field="5" count="1" selected="0">
            <x v="2"/>
          </reference>
          <reference field="45" count="1" selected="0">
            <x v="0"/>
          </reference>
        </references>
      </pivotArea>
    </format>
    <format dxfId="1246">
      <pivotArea outline="0" fieldPosition="0">
        <references count="4">
          <reference field="4294967294" count="1" selected="0">
            <x v="0"/>
          </reference>
          <reference field="0" count="1" selected="0">
            <x v="9"/>
          </reference>
          <reference field="5" count="1" selected="0">
            <x v="0"/>
          </reference>
          <reference field="45" count="1" selected="0">
            <x v="0"/>
          </reference>
        </references>
      </pivotArea>
    </format>
    <format dxfId="1245">
      <pivotArea outline="0" fieldPosition="0">
        <references count="4">
          <reference field="4294967294" count="3" selected="0">
            <x v="0"/>
            <x v="1"/>
            <x v="2"/>
          </reference>
          <reference field="0" count="1" selected="0">
            <x v="9"/>
          </reference>
          <reference field="5" count="1" selected="0">
            <x v="3"/>
          </reference>
          <reference field="45" count="1" selected="0">
            <x v="0"/>
          </reference>
        </references>
      </pivotArea>
    </format>
    <format dxfId="1244">
      <pivotArea outline="0" fieldPosition="0">
        <references count="4">
          <reference field="4294967294" count="3" selected="0">
            <x v="9"/>
            <x v="10"/>
            <x v="11"/>
          </reference>
          <reference field="0" count="1" selected="0">
            <x v="9"/>
          </reference>
          <reference field="5" count="1" selected="0">
            <x v="3"/>
          </reference>
          <reference field="45" count="1" selected="0">
            <x v="0"/>
          </reference>
        </references>
      </pivotArea>
    </format>
    <format dxfId="1243">
      <pivotArea outline="0" fieldPosition="0">
        <references count="4">
          <reference field="4294967294" count="1" selected="0">
            <x v="0"/>
          </reference>
          <reference field="0" count="1" selected="0">
            <x v="9"/>
          </reference>
          <reference field="5" count="1" selected="0">
            <x v="6"/>
          </reference>
          <reference field="45" count="1" selected="0">
            <x v="1"/>
          </reference>
        </references>
      </pivotArea>
    </format>
    <format dxfId="1242">
      <pivotArea outline="0" fieldPosition="0">
        <references count="4">
          <reference field="4294967294" count="3" selected="0">
            <x v="6"/>
            <x v="7"/>
            <x v="8"/>
          </reference>
          <reference field="0" count="1" selected="0">
            <x v="9"/>
          </reference>
          <reference field="5" count="1" selected="0">
            <x v="7"/>
          </reference>
          <reference field="45" count="1" selected="0">
            <x v="1"/>
          </reference>
        </references>
      </pivotArea>
    </format>
    <format dxfId="1241">
      <pivotArea dataOnly="0" labelOnly="1" outline="0" offset="IV256" fieldPosition="0">
        <references count="1">
          <reference field="0" count="1">
            <x v="9"/>
          </reference>
        </references>
      </pivotArea>
    </format>
    <format dxfId="1240">
      <pivotArea dataOnly="0" labelOnly="1" outline="0" fieldPosition="0">
        <references count="2">
          <reference field="5" count="1">
            <x v="9"/>
          </reference>
          <reference field="45" count="1" selected="0">
            <x v="1"/>
          </reference>
        </references>
      </pivotArea>
    </format>
    <format dxfId="1239">
      <pivotArea outline="0" fieldPosition="0">
        <references count="4">
          <reference field="4294967294" count="3" selected="0">
            <x v="0"/>
            <x v="1"/>
            <x v="2"/>
          </reference>
          <reference field="0" count="1" selected="0">
            <x v="9"/>
          </reference>
          <reference field="5" count="1" selected="0">
            <x v="5"/>
          </reference>
          <reference field="45" count="1" selected="0">
            <x v="0"/>
          </reference>
        </references>
      </pivotArea>
    </format>
    <format dxfId="1238">
      <pivotArea outline="0" fieldPosition="0">
        <references count="4">
          <reference field="4294967294" count="3" selected="0">
            <x v="0"/>
            <x v="1"/>
            <x v="2"/>
          </reference>
          <reference field="0" count="1" selected="0">
            <x v="9"/>
          </reference>
          <reference field="5" count="1" selected="0">
            <x v="1"/>
          </reference>
          <reference field="45" count="1" selected="0">
            <x v="0"/>
          </reference>
        </references>
      </pivotArea>
    </format>
    <format dxfId="1237">
      <pivotArea outline="0" fieldPosition="0">
        <references count="4">
          <reference field="4294967294" count="3" selected="0">
            <x v="9"/>
            <x v="10"/>
            <x v="11"/>
          </reference>
          <reference field="0" count="1" selected="0">
            <x v="9"/>
          </reference>
          <reference field="5" count="1" selected="0">
            <x v="3"/>
          </reference>
          <reference field="45" count="1" selected="0">
            <x v="0"/>
          </reference>
        </references>
      </pivotArea>
    </format>
    <format dxfId="1236">
      <pivotArea outline="0" fieldPosition="0">
        <references count="4">
          <reference field="4294967294" count="3" selected="0">
            <x v="9"/>
            <x v="10"/>
            <x v="11"/>
          </reference>
          <reference field="0" count="1" selected="0">
            <x v="9"/>
          </reference>
          <reference field="5" count="1" selected="0">
            <x v="4"/>
          </reference>
          <reference field="45" count="1" selected="0">
            <x v="0"/>
          </reference>
        </references>
      </pivotArea>
    </format>
    <format dxfId="1235">
      <pivotArea outline="0" fieldPosition="0">
        <references count="4">
          <reference field="4294967294" count="3" selected="0">
            <x v="9"/>
            <x v="10"/>
            <x v="11"/>
          </reference>
          <reference field="0" count="1" selected="0">
            <x v="9"/>
          </reference>
          <reference field="5" count="1" selected="0">
            <x v="5"/>
          </reference>
          <reference field="45" count="1" selected="0">
            <x v="0"/>
          </reference>
        </references>
      </pivotArea>
    </format>
    <format dxfId="1234">
      <pivotArea outline="0" fieldPosition="0">
        <references count="4">
          <reference field="4294967294" count="3" selected="0">
            <x v="9"/>
            <x v="10"/>
            <x v="11"/>
          </reference>
          <reference field="0" count="1" selected="0">
            <x v="9"/>
          </reference>
          <reference field="5" count="1" selected="0">
            <x v="7"/>
          </reference>
          <reference field="45" count="1" selected="0">
            <x v="1"/>
          </reference>
        </references>
      </pivotArea>
    </format>
    <format dxfId="1233">
      <pivotArea outline="0" fieldPosition="0">
        <references count="4">
          <reference field="4294967294" count="3" selected="0">
            <x v="9"/>
            <x v="10"/>
            <x v="11"/>
          </reference>
          <reference field="0" count="1" selected="0">
            <x v="9"/>
          </reference>
          <reference field="5" count="1" selected="0">
            <x v="8"/>
          </reference>
          <reference field="45" count="1" selected="0">
            <x v="1"/>
          </reference>
        </references>
      </pivotArea>
    </format>
    <format dxfId="1232">
      <pivotArea outline="0" fieldPosition="0">
        <references count="4">
          <reference field="4294967294" count="3" selected="0">
            <x v="9"/>
            <x v="10"/>
            <x v="11"/>
          </reference>
          <reference field="0" count="1" selected="0">
            <x v="9"/>
          </reference>
          <reference field="5" count="1" selected="0">
            <x v="9"/>
          </reference>
          <reference field="45" count="1" selected="0">
            <x v="1"/>
          </reference>
        </references>
      </pivotArea>
    </format>
    <format dxfId="1231">
      <pivotArea outline="0" fieldPosition="0">
        <references count="4">
          <reference field="4294967294" count="3" selected="0">
            <x v="18"/>
            <x v="19"/>
            <x v="20"/>
          </reference>
          <reference field="0" count="1" selected="0">
            <x v="9"/>
          </reference>
          <reference field="5" count="3" selected="0">
            <x v="7"/>
            <x v="8"/>
            <x v="9"/>
          </reference>
          <reference field="45" count="1" selected="0">
            <x v="1"/>
          </reference>
        </references>
      </pivotArea>
    </format>
    <format dxfId="1230">
      <pivotArea type="all" dataOnly="0" outline="0" fieldPosition="0"/>
    </format>
    <format dxfId="1229">
      <pivotArea dataOnly="0" labelOnly="1" outline="0" fieldPosition="0">
        <references count="2">
          <reference field="5" count="1">
            <x v="1"/>
          </reference>
          <reference field="45" count="1" selected="0">
            <x v="0"/>
          </reference>
        </references>
      </pivotArea>
    </format>
    <format dxfId="1228">
      <pivotArea dataOnly="0" labelOnly="1" outline="0" fieldPosition="0">
        <references count="2">
          <reference field="5" count="1">
            <x v="2"/>
          </reference>
          <reference field="45" count="1" selected="0">
            <x v="0"/>
          </reference>
        </references>
      </pivotArea>
    </format>
    <format dxfId="1227">
      <pivotArea dataOnly="0" labelOnly="1" outline="0" fieldPosition="0">
        <references count="2">
          <reference field="5" count="1">
            <x v="3"/>
          </reference>
          <reference field="45" count="1" selected="0">
            <x v="0"/>
          </reference>
        </references>
      </pivotArea>
    </format>
    <format dxfId="1226">
      <pivotArea dataOnly="0" labelOnly="1" outline="0" fieldPosition="0">
        <references count="2">
          <reference field="5" count="1">
            <x v="4"/>
          </reference>
          <reference field="45" count="1" selected="0">
            <x v="0"/>
          </reference>
        </references>
      </pivotArea>
    </format>
    <format dxfId="1225">
      <pivotArea dataOnly="0" labelOnly="1" outline="0" fieldPosition="0">
        <references count="2">
          <reference field="5" count="1">
            <x v="5"/>
          </reference>
          <reference field="45" count="1" selected="0">
            <x v="0"/>
          </reference>
        </references>
      </pivotArea>
    </format>
    <format dxfId="1224">
      <pivotArea dataOnly="0" labelOnly="1" outline="0" fieldPosition="0">
        <references count="2">
          <reference field="5" count="1">
            <x v="7"/>
          </reference>
          <reference field="45" count="1" selected="0">
            <x v="1"/>
          </reference>
        </references>
      </pivotArea>
    </format>
    <format dxfId="1223">
      <pivotArea dataOnly="0" labelOnly="1" outline="0" fieldPosition="0">
        <references count="2">
          <reference field="5" count="3">
            <x v="8"/>
            <x v="9"/>
            <x v="10"/>
          </reference>
          <reference field="45" count="1" selected="0">
            <x v="1"/>
          </reference>
        </references>
      </pivotArea>
    </format>
    <format dxfId="1222">
      <pivotArea type="topRight" dataOnly="0" labelOnly="1" outline="0" offset="V1" fieldPosition="0"/>
    </format>
    <format dxfId="1221">
      <pivotArea dataOnly="0" labelOnly="1" grandCol="1" outline="0" fieldPosition="0"/>
    </format>
    <format dxfId="1220">
      <pivotArea type="origin" dataOnly="0" labelOnly="1" outline="0" fieldPosition="0"/>
    </format>
    <format dxfId="1219">
      <pivotArea field="0" type="button" dataOnly="0" labelOnly="1" outline="0" axis="axisRow" fieldPosition="0"/>
    </format>
    <format dxfId="1218">
      <pivotArea field="-2" type="button" dataOnly="0" labelOnly="1" outline="0" axis="axisRow" fieldPosition="1"/>
    </format>
    <format dxfId="1217">
      <pivotArea field="45" type="button" dataOnly="0" labelOnly="1" outline="0" axis="axisCol" fieldPosition="0"/>
    </format>
    <format dxfId="1216">
      <pivotArea field="5" type="button" dataOnly="0" labelOnly="1" outline="0" axis="axisCol" fieldPosition="1"/>
    </format>
    <format dxfId="1215">
      <pivotArea type="topRight" dataOnly="0" labelOnly="1" outline="0" fieldPosition="0"/>
    </format>
    <format dxfId="1214">
      <pivotArea dataOnly="0" labelOnly="1" outline="0" fieldPosition="0">
        <references count="1">
          <reference field="45" count="4">
            <x v="0"/>
            <x v="1"/>
            <x v="3"/>
            <x v="4"/>
          </reference>
        </references>
      </pivotArea>
    </format>
    <format dxfId="1213">
      <pivotArea dataOnly="0" labelOnly="1" outline="0" fieldPosition="0">
        <references count="1">
          <reference field="45" count="4" defaultSubtotal="1">
            <x v="0"/>
            <x v="1"/>
            <x v="3"/>
            <x v="4"/>
          </reference>
        </references>
      </pivotArea>
    </format>
    <format dxfId="1212">
      <pivotArea dataOnly="0" labelOnly="1" grandCol="1" outline="0" fieldPosition="0"/>
    </format>
    <format dxfId="1211">
      <pivotArea dataOnly="0" labelOnly="1" outline="0" fieldPosition="0">
        <references count="2">
          <reference field="5" count="6">
            <x v="0"/>
            <x v="1"/>
            <x v="2"/>
            <x v="3"/>
            <x v="4"/>
            <x v="5"/>
          </reference>
          <reference field="45" count="1" selected="0">
            <x v="0"/>
          </reference>
        </references>
      </pivotArea>
    </format>
    <format dxfId="1210">
      <pivotArea dataOnly="0" labelOnly="1" outline="0" fieldPosition="0">
        <references count="2">
          <reference field="5" count="5">
            <x v="6"/>
            <x v="7"/>
            <x v="8"/>
            <x v="9"/>
            <x v="10"/>
          </reference>
          <reference field="45" count="1" selected="0">
            <x v="1"/>
          </reference>
        </references>
      </pivotArea>
    </format>
    <format dxfId="1209">
      <pivotArea dataOnly="0" labelOnly="1" outline="0" fieldPosition="0">
        <references count="2">
          <reference field="5" count="1">
            <x v="14"/>
          </reference>
          <reference field="45" count="1" selected="0">
            <x v="3"/>
          </reference>
        </references>
      </pivotArea>
    </format>
    <format dxfId="1208">
      <pivotArea dataOnly="0" labelOnly="1" outline="0" fieldPosition="0">
        <references count="2">
          <reference field="5" count="1">
            <x v="15"/>
          </reference>
          <reference field="45" count="1" selected="0">
            <x v="4"/>
          </reference>
        </references>
      </pivotArea>
    </format>
    <format dxfId="1207">
      <pivotArea outline="0" fieldPosition="0">
        <references count="2">
          <reference field="5" count="1" selected="0">
            <x v="6"/>
          </reference>
          <reference field="45" count="1" selected="0">
            <x v="1"/>
          </reference>
        </references>
      </pivotArea>
    </format>
    <format dxfId="1206">
      <pivotArea dataOnly="0" labelOnly="1" outline="0" offset="A256" fieldPosition="0">
        <references count="1">
          <reference field="45" count="1">
            <x v="1"/>
          </reference>
        </references>
      </pivotArea>
    </format>
    <format dxfId="1205">
      <pivotArea outline="0" fieldPosition="0">
        <references count="1">
          <reference field="45" count="1" selected="0" defaultSubtotal="1">
            <x v="1"/>
          </reference>
        </references>
      </pivotArea>
    </format>
    <format dxfId="1204">
      <pivotArea field="0" type="button" dataOnly="0" labelOnly="1" outline="0" axis="axisRow" fieldPosition="0"/>
    </format>
    <format dxfId="1203">
      <pivotArea field="-2" type="button" dataOnly="0" labelOnly="1" outline="0" axis="axisRow" fieldPosition="1"/>
    </format>
    <format dxfId="1202">
      <pivotArea dataOnly="0" labelOnly="1" outline="0" offset="IV256" fieldPosition="0">
        <references count="1">
          <reference field="45" count="1" defaultSubtotal="1">
            <x v="0"/>
          </reference>
        </references>
      </pivotArea>
    </format>
    <format dxfId="1201">
      <pivotArea dataOnly="0" labelOnly="1" outline="0" offset="IV256" fieldPosition="0">
        <references count="1">
          <reference field="45" count="1" defaultSubtotal="1">
            <x v="1"/>
          </reference>
        </references>
      </pivotArea>
    </format>
    <format dxfId="1200">
      <pivotArea dataOnly="0" labelOnly="1" outline="0" offset="IV256" fieldPosition="0">
        <references count="1">
          <reference field="45" count="1" defaultSubtotal="1">
            <x v="3"/>
          </reference>
        </references>
      </pivotArea>
    </format>
    <format dxfId="1199">
      <pivotArea dataOnly="0" labelOnly="1" outline="0" offset="IV256" fieldPosition="0">
        <references count="1">
          <reference field="45" count="1" defaultSubtotal="1">
            <x v="4"/>
          </reference>
        </references>
      </pivotArea>
    </format>
    <format dxfId="1198">
      <pivotArea dataOnly="0" labelOnly="1" grandCol="1" outline="0" offset="IV256" fieldPosition="0"/>
    </format>
    <format dxfId="1197">
      <pivotArea dataOnly="0" labelOnly="1" outline="0" fieldPosition="0">
        <references count="2">
          <reference field="5" count="6">
            <x v="0"/>
            <x v="1"/>
            <x v="2"/>
            <x v="3"/>
            <x v="4"/>
            <x v="5"/>
          </reference>
          <reference field="45" count="1" selected="0">
            <x v="0"/>
          </reference>
        </references>
      </pivotArea>
    </format>
    <format dxfId="1196">
      <pivotArea dataOnly="0" labelOnly="1" outline="0" fieldPosition="0">
        <references count="2">
          <reference field="5" count="5">
            <x v="6"/>
            <x v="7"/>
            <x v="8"/>
            <x v="9"/>
            <x v="10"/>
          </reference>
          <reference field="45" count="1" selected="0">
            <x v="1"/>
          </reference>
        </references>
      </pivotArea>
    </format>
    <format dxfId="1195">
      <pivotArea dataOnly="0" labelOnly="1" outline="0" fieldPosition="0">
        <references count="2">
          <reference field="5" count="1">
            <x v="14"/>
          </reference>
          <reference field="45" count="1" selected="0">
            <x v="3"/>
          </reference>
        </references>
      </pivotArea>
    </format>
    <format dxfId="1194">
      <pivotArea dataOnly="0" labelOnly="1" outline="0" fieldPosition="0">
        <references count="2">
          <reference field="5" count="1">
            <x v="15"/>
          </reference>
          <reference field="45" count="1" selected="0">
            <x v="4"/>
          </reference>
        </references>
      </pivotArea>
    </format>
    <format dxfId="1193">
      <pivotArea field="0" type="button" dataOnly="0" labelOnly="1" outline="0" axis="axisRow" fieldPosition="0"/>
    </format>
    <format dxfId="1192">
      <pivotArea field="-2" type="button" dataOnly="0" labelOnly="1" outline="0" axis="axisRow" fieldPosition="1"/>
    </format>
    <format dxfId="1191">
      <pivotArea dataOnly="0" labelOnly="1" outline="0" offset="IV256" fieldPosition="0">
        <references count="1">
          <reference field="45" count="1" defaultSubtotal="1">
            <x v="0"/>
          </reference>
        </references>
      </pivotArea>
    </format>
    <format dxfId="1190">
      <pivotArea dataOnly="0" labelOnly="1" outline="0" offset="IV256" fieldPosition="0">
        <references count="1">
          <reference field="45" count="1" defaultSubtotal="1">
            <x v="1"/>
          </reference>
        </references>
      </pivotArea>
    </format>
    <format dxfId="1189">
      <pivotArea dataOnly="0" labelOnly="1" outline="0" offset="IV256" fieldPosition="0">
        <references count="1">
          <reference field="45" count="1" defaultSubtotal="1">
            <x v="3"/>
          </reference>
        </references>
      </pivotArea>
    </format>
    <format dxfId="1188">
      <pivotArea dataOnly="0" labelOnly="1" outline="0" offset="IV256" fieldPosition="0">
        <references count="1">
          <reference field="45" count="1" defaultSubtotal="1">
            <x v="4"/>
          </reference>
        </references>
      </pivotArea>
    </format>
    <format dxfId="1187">
      <pivotArea dataOnly="0" labelOnly="1" grandCol="1" outline="0" offset="IV256" fieldPosition="0"/>
    </format>
    <format dxfId="1186">
      <pivotArea dataOnly="0" labelOnly="1" outline="0" fieldPosition="0">
        <references count="2">
          <reference field="5" count="6">
            <x v="0"/>
            <x v="1"/>
            <x v="2"/>
            <x v="3"/>
            <x v="4"/>
            <x v="5"/>
          </reference>
          <reference field="45" count="1" selected="0">
            <x v="0"/>
          </reference>
        </references>
      </pivotArea>
    </format>
    <format dxfId="1185">
      <pivotArea dataOnly="0" labelOnly="1" outline="0" fieldPosition="0">
        <references count="2">
          <reference field="5" count="5">
            <x v="6"/>
            <x v="7"/>
            <x v="8"/>
            <x v="9"/>
            <x v="10"/>
          </reference>
          <reference field="45" count="1" selected="0">
            <x v="1"/>
          </reference>
        </references>
      </pivotArea>
    </format>
    <format dxfId="1184">
      <pivotArea dataOnly="0" labelOnly="1" outline="0" fieldPosition="0">
        <references count="2">
          <reference field="5" count="1">
            <x v="14"/>
          </reference>
          <reference field="45" count="1" selected="0">
            <x v="3"/>
          </reference>
        </references>
      </pivotArea>
    </format>
    <format dxfId="1183">
      <pivotArea dataOnly="0" labelOnly="1" outline="0" fieldPosition="0">
        <references count="2">
          <reference field="5" count="1">
            <x v="15"/>
          </reference>
          <reference field="45" count="1" selected="0">
            <x v="4"/>
          </reference>
        </references>
      </pivotArea>
    </format>
    <format dxfId="1182">
      <pivotArea type="origin" dataOnly="0" labelOnly="1" outline="0" offset="A2:B2" fieldPosition="0"/>
    </format>
    <format dxfId="1181">
      <pivotArea type="origin" dataOnly="0" labelOnly="1" outline="0" fieldPosition="0"/>
    </format>
    <format dxfId="1180">
      <pivotArea field="45" type="button" dataOnly="0" labelOnly="1" outline="0" axis="axisCol" fieldPosition="0"/>
    </format>
    <format dxfId="1179">
      <pivotArea field="5" type="button" dataOnly="0" labelOnly="1" outline="0" axis="axisCol" fieldPosition="1"/>
    </format>
    <format dxfId="1178">
      <pivotArea type="topRight" dataOnly="0" labelOnly="1" outline="0" fieldPosition="0"/>
    </format>
    <format dxfId="1177">
      <pivotArea dataOnly="0" labelOnly="1" outline="0" fieldPosition="0">
        <references count="1">
          <reference field="45" count="1">
            <x v="0"/>
          </reference>
        </references>
      </pivotArea>
    </format>
    <format dxfId="1176">
      <pivotArea dataOnly="0" labelOnly="1" outline="0" offset="IV1" fieldPosition="0">
        <references count="1">
          <reference field="45" count="1" defaultSubtotal="1">
            <x v="0"/>
          </reference>
        </references>
      </pivotArea>
    </format>
    <format dxfId="1175">
      <pivotArea dataOnly="0" labelOnly="1" outline="0" fieldPosition="0">
        <references count="1">
          <reference field="45" count="1">
            <x v="1"/>
          </reference>
        </references>
      </pivotArea>
    </format>
    <format dxfId="1174">
      <pivotArea dataOnly="0" labelOnly="1" outline="0" offset="IV1" fieldPosition="0">
        <references count="1">
          <reference field="45" count="1" defaultSubtotal="1">
            <x v="1"/>
          </reference>
        </references>
      </pivotArea>
    </format>
    <format dxfId="1173">
      <pivotArea dataOnly="0" labelOnly="1" outline="0" fieldPosition="0">
        <references count="1">
          <reference field="45" count="1">
            <x v="3"/>
          </reference>
        </references>
      </pivotArea>
    </format>
    <format dxfId="1172">
      <pivotArea dataOnly="0" labelOnly="1" outline="0" fieldPosition="0">
        <references count="1">
          <reference field="45" count="1">
            <x v="4"/>
          </reference>
        </references>
      </pivotArea>
    </format>
    <format dxfId="1171">
      <pivotArea dataOnly="0" labelOnly="1" outline="0" offset="IV1" fieldPosition="0">
        <references count="1">
          <reference field="45" count="1" defaultSubtotal="1">
            <x v="4"/>
          </reference>
        </references>
      </pivotArea>
    </format>
    <format dxfId="1170">
      <pivotArea dataOnly="0" labelOnly="1" grandCol="1" outline="0" offset="IV1" fieldPosition="0"/>
    </format>
    <format dxfId="1169">
      <pivotArea dataOnly="0" labelOnly="1" outline="0" fieldPosition="0">
        <references count="1">
          <reference field="0" count="1">
            <x v="9"/>
          </reference>
        </references>
      </pivotArea>
    </format>
    <format dxfId="1168">
      <pivotArea field="0" dataOnly="0" labelOnly="1" grandRow="1" outline="0" axis="axisRow" fieldPosition="0">
        <references count="1">
          <reference field="4294967294" count="1" selected="0">
            <x v="0"/>
          </reference>
        </references>
      </pivotArea>
    </format>
    <format dxfId="1167">
      <pivotArea field="0" dataOnly="0" labelOnly="1" grandRow="1" outline="0" axis="axisRow" fieldPosition="0">
        <references count="1">
          <reference field="4294967294" count="1" selected="0">
            <x v="1"/>
          </reference>
        </references>
      </pivotArea>
    </format>
    <format dxfId="1166">
      <pivotArea field="0" dataOnly="0" labelOnly="1" grandRow="1" outline="0" axis="axisRow" fieldPosition="0">
        <references count="1">
          <reference field="4294967294" count="1" selected="0">
            <x v="2"/>
          </reference>
        </references>
      </pivotArea>
    </format>
    <format dxfId="1165">
      <pivotArea field="0" dataOnly="0" labelOnly="1" grandRow="1" outline="0" axis="axisRow" fieldPosition="0">
        <references count="1">
          <reference field="4294967294" count="1" selected="0">
            <x v="3"/>
          </reference>
        </references>
      </pivotArea>
    </format>
    <format dxfId="1164">
      <pivotArea field="0" dataOnly="0" labelOnly="1" grandRow="1" outline="0" axis="axisRow" fieldPosition="0">
        <references count="1">
          <reference field="4294967294" count="1" selected="0">
            <x v="4"/>
          </reference>
        </references>
      </pivotArea>
    </format>
    <format dxfId="1163">
      <pivotArea field="0" dataOnly="0" labelOnly="1" grandRow="1" outline="0" axis="axisRow" fieldPosition="0">
        <references count="1">
          <reference field="4294967294" count="1" selected="0">
            <x v="5"/>
          </reference>
        </references>
      </pivotArea>
    </format>
    <format dxfId="1162">
      <pivotArea field="0" dataOnly="0" labelOnly="1" grandRow="1" outline="0" axis="axisRow" fieldPosition="0">
        <references count="1">
          <reference field="4294967294" count="1" selected="0">
            <x v="6"/>
          </reference>
        </references>
      </pivotArea>
    </format>
    <format dxfId="1161">
      <pivotArea field="0" dataOnly="0" labelOnly="1" grandRow="1" outline="0" axis="axisRow" fieldPosition="0">
        <references count="1">
          <reference field="4294967294" count="1" selected="0">
            <x v="7"/>
          </reference>
        </references>
      </pivotArea>
    </format>
    <format dxfId="1160">
      <pivotArea field="0" dataOnly="0" labelOnly="1" grandRow="1" outline="0" axis="axisRow" fieldPosition="0">
        <references count="1">
          <reference field="4294967294" count="1" selected="0">
            <x v="8"/>
          </reference>
        </references>
      </pivotArea>
    </format>
    <format dxfId="1159">
      <pivotArea field="0" dataOnly="0" labelOnly="1" grandRow="1" outline="0" axis="axisRow" fieldPosition="0">
        <references count="1">
          <reference field="4294967294" count="1" selected="0">
            <x v="9"/>
          </reference>
        </references>
      </pivotArea>
    </format>
    <format dxfId="1158">
      <pivotArea field="0" dataOnly="0" labelOnly="1" grandRow="1" outline="0" axis="axisRow" fieldPosition="0">
        <references count="1">
          <reference field="4294967294" count="1" selected="0">
            <x v="10"/>
          </reference>
        </references>
      </pivotArea>
    </format>
    <format dxfId="1157">
      <pivotArea field="0" dataOnly="0" labelOnly="1" grandRow="1" outline="0" axis="axisRow" fieldPosition="0">
        <references count="1">
          <reference field="4294967294" count="1" selected="0">
            <x v="11"/>
          </reference>
        </references>
      </pivotArea>
    </format>
    <format dxfId="1156">
      <pivotArea field="0" dataOnly="0" labelOnly="1" grandRow="1" outline="0" axis="axisRow" fieldPosition="0">
        <references count="1">
          <reference field="4294967294" count="1" selected="0">
            <x v="12"/>
          </reference>
        </references>
      </pivotArea>
    </format>
    <format dxfId="1155">
      <pivotArea field="0" dataOnly="0" labelOnly="1" grandRow="1" outline="0" axis="axisRow" fieldPosition="0">
        <references count="1">
          <reference field="4294967294" count="1" selected="0">
            <x v="13"/>
          </reference>
        </references>
      </pivotArea>
    </format>
    <format dxfId="1154">
      <pivotArea field="0" dataOnly="0" labelOnly="1" grandRow="1" outline="0" axis="axisRow" fieldPosition="0">
        <references count="1">
          <reference field="4294967294" count="1" selected="0">
            <x v="14"/>
          </reference>
        </references>
      </pivotArea>
    </format>
    <format dxfId="1153">
      <pivotArea field="0" dataOnly="0" labelOnly="1" grandRow="1" outline="0" axis="axisRow" fieldPosition="0">
        <references count="1">
          <reference field="4294967294" count="1" selected="0">
            <x v="15"/>
          </reference>
        </references>
      </pivotArea>
    </format>
    <format dxfId="1152">
      <pivotArea field="0" dataOnly="0" labelOnly="1" grandRow="1" outline="0" axis="axisRow" fieldPosition="0">
        <references count="1">
          <reference field="4294967294" count="1" selected="0">
            <x v="16"/>
          </reference>
        </references>
      </pivotArea>
    </format>
    <format dxfId="1151">
      <pivotArea field="0" dataOnly="0" labelOnly="1" grandRow="1" outline="0" axis="axisRow" fieldPosition="0">
        <references count="1">
          <reference field="4294967294" count="1" selected="0">
            <x v="17"/>
          </reference>
        </references>
      </pivotArea>
    </format>
    <format dxfId="1150">
      <pivotArea field="0" dataOnly="0" labelOnly="1" grandRow="1" outline="0" axis="axisRow" fieldPosition="0">
        <references count="1">
          <reference field="4294967294" count="1" selected="0">
            <x v="18"/>
          </reference>
        </references>
      </pivotArea>
    </format>
    <format dxfId="1149">
      <pivotArea field="0" dataOnly="0" labelOnly="1" grandRow="1" outline="0" axis="axisRow" fieldPosition="0">
        <references count="1">
          <reference field="4294967294" count="1" selected="0">
            <x v="19"/>
          </reference>
        </references>
      </pivotArea>
    </format>
    <format dxfId="1148">
      <pivotArea field="0" dataOnly="0" labelOnly="1" grandRow="1" outline="0" axis="axisRow" fieldPosition="0">
        <references count="1">
          <reference field="4294967294" count="1" selected="0">
            <x v="20"/>
          </reference>
        </references>
      </pivotArea>
    </format>
    <format dxfId="1147">
      <pivotArea field="0" dataOnly="0" labelOnly="1" grandRow="1" outline="0" axis="axisRow" fieldPosition="0">
        <references count="1">
          <reference field="4294967294" count="1" selected="0">
            <x v="21"/>
          </reference>
        </references>
      </pivotArea>
    </format>
    <format dxfId="1146">
      <pivotArea field="0" dataOnly="0" labelOnly="1" grandRow="1" outline="0" axis="axisRow" fieldPosition="0">
        <references count="1">
          <reference field="4294967294" count="1" selected="0">
            <x v="22"/>
          </reference>
        </references>
      </pivotArea>
    </format>
    <format dxfId="1145">
      <pivotArea field="0" dataOnly="0" labelOnly="1" grandRow="1" outline="0" axis="axisRow" fieldPosition="0">
        <references count="1">
          <reference field="4294967294" count="1" selected="0">
            <x v="23"/>
          </reference>
        </references>
      </pivotArea>
    </format>
    <format dxfId="1144">
      <pivotArea field="0" dataOnly="0" labelOnly="1" grandRow="1" outline="0" axis="axisRow" fieldPosition="0">
        <references count="1">
          <reference field="4294967294" count="1" selected="0">
            <x v="24"/>
          </reference>
        </references>
      </pivotArea>
    </format>
    <format dxfId="1143">
      <pivotArea field="0" dataOnly="0" labelOnly="1" grandRow="1" outline="0" axis="axisRow" fieldPosition="0">
        <references count="1">
          <reference field="4294967294" count="1" selected="0">
            <x v="25"/>
          </reference>
        </references>
      </pivotArea>
    </format>
    <format dxfId="1142">
      <pivotArea field="0" dataOnly="0" labelOnly="1" grandRow="1" outline="0" axis="axisRow" fieldPosition="0">
        <references count="1">
          <reference field="4294967294" count="1" selected="0">
            <x v="26"/>
          </reference>
        </references>
      </pivotArea>
    </format>
    <format dxfId="1141">
      <pivotArea field="0" dataOnly="0" labelOnly="1" grandRow="1" outline="0" axis="axisRow" fieldPosition="0">
        <references count="1">
          <reference field="4294967294" count="1" selected="0">
            <x v="27"/>
          </reference>
        </references>
      </pivotArea>
    </format>
    <format dxfId="1140">
      <pivotArea field="0" dataOnly="0" labelOnly="1" grandRow="1" outline="0" axis="axisRow" fieldPosition="0">
        <references count="1">
          <reference field="4294967294" count="1" selected="0">
            <x v="28"/>
          </reference>
        </references>
      </pivotArea>
    </format>
    <format dxfId="1139">
      <pivotArea field="0" dataOnly="0" labelOnly="1" grandRow="1" outline="0" axis="axisRow" fieldPosition="0">
        <references count="1">
          <reference field="4294967294" count="1" selected="0">
            <x v="29"/>
          </reference>
        </references>
      </pivotArea>
    </format>
    <format dxfId="1138">
      <pivotArea field="0" dataOnly="0" labelOnly="1" grandRow="1" outline="0" axis="axisRow" fieldPosition="0">
        <references count="1">
          <reference field="4294967294" count="1" selected="0">
            <x v="30"/>
          </reference>
        </references>
      </pivotArea>
    </format>
    <format dxfId="1137">
      <pivotArea field="0" dataOnly="0" labelOnly="1" grandRow="1" outline="0" axis="axisRow" fieldPosition="0">
        <references count="1">
          <reference field="4294967294" count="1" selected="0">
            <x v="31"/>
          </reference>
        </references>
      </pivotArea>
    </format>
    <format dxfId="1136">
      <pivotArea field="0" dataOnly="0" labelOnly="1" grandRow="1" outline="0" axis="axisRow" fieldPosition="0">
        <references count="1">
          <reference field="4294967294" count="1" selected="0">
            <x v="32"/>
          </reference>
        </references>
      </pivotArea>
    </format>
    <format dxfId="1135">
      <pivotArea field="0" dataOnly="0" labelOnly="1" grandRow="1" outline="0" axis="axisRow" fieldPosition="0">
        <references count="1">
          <reference field="4294967294" count="1" selected="0">
            <x v="33"/>
          </reference>
        </references>
      </pivotArea>
    </format>
    <format dxfId="1134">
      <pivotArea field="0" dataOnly="0" labelOnly="1" grandRow="1" outline="0" axis="axisRow" fieldPosition="0">
        <references count="1">
          <reference field="4294967294" count="1" selected="0">
            <x v="34"/>
          </reference>
        </references>
      </pivotArea>
    </format>
    <format dxfId="1133">
      <pivotArea field="0" dataOnly="0" labelOnly="1" grandRow="1" outline="0" axis="axisRow" fieldPosition="0">
        <references count="1">
          <reference field="4294967294" count="1" selected="0">
            <x v="35"/>
          </reference>
        </references>
      </pivotArea>
    </format>
    <format dxfId="1132">
      <pivotArea field="0" dataOnly="0" labelOnly="1" grandRow="1" outline="0" axis="axisRow" fieldPosition="0">
        <references count="1">
          <reference field="4294967294" count="1" selected="0">
            <x v="36"/>
          </reference>
        </references>
      </pivotArea>
    </format>
    <format dxfId="1131">
      <pivotArea field="0" dataOnly="0" labelOnly="1" grandRow="1" outline="0" axis="axisRow" fieldPosition="0">
        <references count="1">
          <reference field="4294967294" count="1" selected="0">
            <x v="37"/>
          </reference>
        </references>
      </pivotArea>
    </format>
    <format dxfId="1130">
      <pivotArea field="0" dataOnly="0" labelOnly="1" grandRow="1" outline="0" axis="axisRow" fieldPosition="0">
        <references count="1">
          <reference field="4294967294" count="1" selected="0">
            <x v="38"/>
          </reference>
        </references>
      </pivotArea>
    </format>
    <format dxfId="1129">
      <pivotArea outline="0" collapsedLevelsAreSubtotals="1" fieldPosition="0">
        <references count="1">
          <reference field="45" count="1" selected="0" defaultSubtotal="1">
            <x v="0"/>
          </reference>
        </references>
      </pivotArea>
    </format>
    <format dxfId="1128">
      <pivotArea type="topRight" dataOnly="0" labelOnly="1" outline="0" offset="E1" fieldPosition="0"/>
    </format>
    <format dxfId="1127">
      <pivotArea dataOnly="0" labelOnly="1" outline="0" fieldPosition="0">
        <references count="1">
          <reference field="45" count="1" defaultSubtotal="1">
            <x v="0"/>
          </reference>
        </references>
      </pivotArea>
    </format>
    <format dxfId="1126">
      <pivotArea outline="0" collapsedLevelsAreSubtotals="1" fieldPosition="0">
        <references count="1">
          <reference field="45" count="1" selected="0" defaultSubtotal="1">
            <x v="1"/>
          </reference>
        </references>
      </pivotArea>
    </format>
    <format dxfId="1125">
      <pivotArea type="topRight" dataOnly="0" labelOnly="1" outline="0" offset="K1" fieldPosition="0"/>
    </format>
    <format dxfId="1124">
      <pivotArea type="all" dataOnly="0" outline="0" fieldPosition="0"/>
    </format>
    <format dxfId="1123">
      <pivotArea type="all" dataOnly="0" outline="0" fieldPosition="0"/>
    </format>
    <format dxfId="1122">
      <pivotArea type="all" dataOnly="0" outline="0" fieldPosition="0"/>
    </format>
    <format dxfId="1121">
      <pivotArea outline="0" collapsedLevelsAreSubtotals="1" fieldPosition="0">
        <references count="4">
          <reference field="4294967294" count="1" selected="0">
            <x v="5"/>
          </reference>
          <reference field="0" count="1" selected="0">
            <x v="0"/>
          </reference>
          <reference field="5" count="1" selected="0">
            <x v="9"/>
          </reference>
          <reference field="45" count="1" selected="0">
            <x v="1"/>
          </reference>
        </references>
      </pivotArea>
    </format>
    <format dxfId="1120">
      <pivotArea outline="0" collapsedLevelsAreSubtotals="1" fieldPosition="0">
        <references count="4">
          <reference field="4294967294" count="1" selected="0">
            <x v="8"/>
          </reference>
          <reference field="0" count="1" selected="0">
            <x v="0"/>
          </reference>
          <reference field="5" count="1" selected="0">
            <x v="9"/>
          </reference>
          <reference field="45" count="1" selected="0">
            <x v="1"/>
          </reference>
        </references>
      </pivotArea>
    </format>
    <format dxfId="1119">
      <pivotArea outline="0" collapsedLevelsAreSubtotals="1" fieldPosition="0">
        <references count="4">
          <reference field="4294967294" count="1" selected="0">
            <x v="8"/>
          </reference>
          <reference field="0" count="1" selected="0">
            <x v="0"/>
          </reference>
          <reference field="5" count="1" selected="0">
            <x v="8"/>
          </reference>
          <reference field="45" count="1" selected="0">
            <x v="1"/>
          </reference>
        </references>
      </pivotArea>
    </format>
    <format dxfId="1118">
      <pivotArea outline="0" collapsedLevelsAreSubtotals="1" fieldPosition="0">
        <references count="4">
          <reference field="4294967294" count="1" selected="0">
            <x v="14"/>
          </reference>
          <reference field="0" count="1" selected="0">
            <x v="0"/>
          </reference>
          <reference field="5" count="1" selected="0">
            <x v="8"/>
          </reference>
          <reference field="45" count="1" selected="0">
            <x v="1"/>
          </reference>
        </references>
      </pivotArea>
    </format>
    <format dxfId="1117">
      <pivotArea outline="0" collapsedLevelsAreSubtotals="1" fieldPosition="0">
        <references count="4">
          <reference field="4294967294" count="1" selected="0">
            <x v="14"/>
          </reference>
          <reference field="0" count="1" selected="0">
            <x v="0"/>
          </reference>
          <reference field="5" count="1" selected="0">
            <x v="12"/>
          </reference>
          <reference field="45" count="1" selected="0">
            <x v="2"/>
          </reference>
        </references>
      </pivotArea>
    </format>
    <format dxfId="1116">
      <pivotArea outline="0" collapsedLevelsAreSubtotals="1" fieldPosition="0">
        <references count="4">
          <reference field="4294967294" count="1" selected="0">
            <x v="5"/>
          </reference>
          <reference field="0" count="1" selected="0">
            <x v="0"/>
          </reference>
          <reference field="5" count="1" selected="0">
            <x v="11"/>
          </reference>
          <reference field="45" count="1" selected="0">
            <x v="2"/>
          </reference>
        </references>
      </pivotArea>
    </format>
    <format dxfId="1115">
      <pivotArea outline="0" collapsedLevelsAreSubtotals="1" fieldPosition="0">
        <references count="4">
          <reference field="4294967294" count="1" selected="0">
            <x v="26"/>
          </reference>
          <reference field="0" count="1" selected="0">
            <x v="0"/>
          </reference>
          <reference field="5" count="1" selected="0">
            <x v="14"/>
          </reference>
          <reference field="45" count="1" selected="0">
            <x v="3"/>
          </reference>
        </references>
      </pivotArea>
    </format>
    <format dxfId="1114">
      <pivotArea outline="0" collapsedLevelsAreSubtotals="1" fieldPosition="0">
        <references count="3">
          <reference field="4294967294" count="1" selected="0">
            <x v="26"/>
          </reference>
          <reference field="0" count="1" selected="0">
            <x v="0"/>
          </reference>
          <reference field="45" count="1" selected="0" defaultSubtotal="1">
            <x v="3"/>
          </reference>
        </references>
      </pivotArea>
    </format>
    <format dxfId="1113">
      <pivotArea outline="0" collapsedLevelsAreSubtotals="1" fieldPosition="0">
        <references count="4">
          <reference field="4294967294" count="1" selected="0">
            <x v="14"/>
          </reference>
          <reference field="0" count="1" selected="0">
            <x v="0"/>
          </reference>
          <reference field="5" count="1" selected="0">
            <x v="1"/>
          </reference>
          <reference field="45" count="1" selected="0">
            <x v="0"/>
          </reference>
        </references>
      </pivotArea>
    </format>
    <format dxfId="1112">
      <pivotArea outline="0" collapsedLevelsAreSubtotals="1" fieldPosition="0">
        <references count="4">
          <reference field="4294967294" count="1" selected="0">
            <x v="11"/>
          </reference>
          <reference field="0" count="1" selected="0">
            <x v="1"/>
          </reference>
          <reference field="5" count="1" selected="0">
            <x v="0"/>
          </reference>
          <reference field="45" count="1" selected="0">
            <x v="0"/>
          </reference>
        </references>
      </pivotArea>
    </format>
    <format dxfId="1111">
      <pivotArea outline="0" collapsedLevelsAreSubtotals="1" fieldPosition="0">
        <references count="4">
          <reference field="4294967294" count="1" selected="0">
            <x v="11"/>
          </reference>
          <reference field="0" count="1" selected="0">
            <x v="1"/>
          </reference>
          <reference field="5" count="1" selected="0">
            <x v="4"/>
          </reference>
          <reference field="45" count="1" selected="0">
            <x v="0"/>
          </reference>
        </references>
      </pivotArea>
    </format>
    <format dxfId="1110">
      <pivotArea outline="0" collapsedLevelsAreSubtotals="1" fieldPosition="0">
        <references count="3">
          <reference field="4294967294" count="1" selected="0">
            <x v="11"/>
          </reference>
          <reference field="0" count="1" selected="0">
            <x v="1"/>
          </reference>
          <reference field="45" count="1" selected="0" defaultSubtotal="1">
            <x v="0"/>
          </reference>
        </references>
      </pivotArea>
    </format>
    <format dxfId="1109">
      <pivotArea outline="0" collapsedLevelsAreSubtotals="1" fieldPosition="0">
        <references count="4">
          <reference field="4294967294" count="1" selected="0">
            <x v="11"/>
          </reference>
          <reference field="0" count="1" selected="0">
            <x v="1"/>
          </reference>
          <reference field="5" count="1" selected="0">
            <x v="9"/>
          </reference>
          <reference field="45" count="1" selected="0">
            <x v="1"/>
          </reference>
        </references>
      </pivotArea>
    </format>
    <format dxfId="1108">
      <pivotArea outline="0" collapsedLevelsAreSubtotals="1" fieldPosition="0">
        <references count="4">
          <reference field="4294967294" count="1" selected="0">
            <x v="17"/>
          </reference>
          <reference field="0" count="1" selected="0">
            <x v="1"/>
          </reference>
          <reference field="5" count="1" selected="0">
            <x v="0"/>
          </reference>
          <reference field="45" count="1" selected="0">
            <x v="0"/>
          </reference>
        </references>
      </pivotArea>
    </format>
    <format dxfId="1107">
      <pivotArea outline="0" collapsedLevelsAreSubtotals="1" fieldPosition="0">
        <references count="4">
          <reference field="4294967294" count="1" selected="0">
            <x v="5"/>
          </reference>
          <reference field="0" count="1" selected="0">
            <x v="0"/>
          </reference>
          <reference field="5" count="3" selected="0">
            <x v="7"/>
            <x v="8"/>
            <x v="9"/>
          </reference>
          <reference field="45" count="1" selected="0">
            <x v="1"/>
          </reference>
        </references>
      </pivotArea>
    </format>
    <format dxfId="1106">
      <pivotArea outline="0" collapsedLevelsAreSubtotals="1" fieldPosition="0">
        <references count="4">
          <reference field="4294967294" count="1" selected="0">
            <x v="8"/>
          </reference>
          <reference field="0" count="1" selected="0">
            <x v="0"/>
          </reference>
          <reference field="5" count="2" selected="0">
            <x v="8"/>
            <x v="9"/>
          </reference>
          <reference field="45" count="1" selected="0">
            <x v="1"/>
          </reference>
        </references>
      </pivotArea>
    </format>
    <format dxfId="1105">
      <pivotArea outline="0" collapsedLevelsAreSubtotals="1" fieldPosition="0">
        <references count="4">
          <reference field="4294967294" count="1" selected="0">
            <x v="14"/>
          </reference>
          <reference field="0" count="1" selected="0">
            <x v="0"/>
          </reference>
          <reference field="5" count="1" selected="0">
            <x v="3"/>
          </reference>
          <reference field="45" count="1" selected="0">
            <x v="0"/>
          </reference>
        </references>
      </pivotArea>
    </format>
    <format dxfId="1104">
      <pivotArea outline="0" collapsedLevelsAreSubtotals="1" fieldPosition="0">
        <references count="4">
          <reference field="4294967294" count="1" selected="0">
            <x v="5"/>
          </reference>
          <reference field="0" count="1" selected="0">
            <x v="0"/>
          </reference>
          <reference field="5" count="1" selected="0">
            <x v="11"/>
          </reference>
          <reference field="45" count="1" selected="0">
            <x v="2"/>
          </reference>
        </references>
      </pivotArea>
    </format>
    <format dxfId="1103">
      <pivotArea outline="0" collapsedLevelsAreSubtotals="1" fieldPosition="0">
        <references count="4">
          <reference field="4294967294" count="1" selected="0">
            <x v="14"/>
          </reference>
          <reference field="0" count="1" selected="0">
            <x v="0"/>
          </reference>
          <reference field="5" count="1" selected="0">
            <x v="12"/>
          </reference>
          <reference field="45" count="1" selected="0">
            <x v="2"/>
          </reference>
        </references>
      </pivotArea>
    </format>
    <format dxfId="1102">
      <pivotArea outline="0" collapsedLevelsAreSubtotals="1" fieldPosition="0">
        <references count="3">
          <reference field="4294967294" count="1" selected="0">
            <x v="5"/>
          </reference>
          <reference field="0" count="1" selected="0">
            <x v="0"/>
          </reference>
          <reference field="45" count="1" selected="0" defaultSubtotal="1">
            <x v="2"/>
          </reference>
        </references>
      </pivotArea>
    </format>
    <format dxfId="1101">
      <pivotArea outline="0" collapsedLevelsAreSubtotals="1" fieldPosition="0">
        <references count="4">
          <reference field="4294967294" count="1" selected="0">
            <x v="17"/>
          </reference>
          <reference field="0" count="1" selected="0">
            <x v="0"/>
          </reference>
          <reference field="5" count="1" selected="0">
            <x v="0"/>
          </reference>
          <reference field="45" count="1" selected="0">
            <x v="0"/>
          </reference>
        </references>
      </pivotArea>
    </format>
    <format dxfId="1100">
      <pivotArea outline="0" collapsedLevelsAreSubtotals="1" fieldPosition="0">
        <references count="4">
          <reference field="4294967294" count="1" selected="0">
            <x v="11"/>
          </reference>
          <reference field="0" count="1" selected="0">
            <x v="0"/>
          </reference>
          <reference field="5" count="1" selected="0">
            <x v="12"/>
          </reference>
          <reference field="45" count="1" selected="0">
            <x v="2"/>
          </reference>
        </references>
      </pivotArea>
    </format>
    <format dxfId="1099">
      <pivotArea outline="0" collapsedLevelsAreSubtotals="1" fieldPosition="0">
        <references count="4">
          <reference field="4294967294" count="1" selected="0">
            <x v="11"/>
          </reference>
          <reference field="0" count="1" selected="0">
            <x v="0"/>
          </reference>
          <reference field="5" count="1" selected="0">
            <x v="0"/>
          </reference>
          <reference field="45" count="1" selected="0">
            <x v="0"/>
          </reference>
        </references>
      </pivotArea>
    </format>
    <format dxfId="1098">
      <pivotArea outline="0" collapsedLevelsAreSubtotals="1" fieldPosition="0">
        <references count="4">
          <reference field="4294967294" count="1" selected="0">
            <x v="11"/>
          </reference>
          <reference field="0" count="1" selected="0">
            <x v="1"/>
          </reference>
          <reference field="5" count="1" selected="0">
            <x v="4"/>
          </reference>
          <reference field="45" count="1" selected="0">
            <x v="0"/>
          </reference>
        </references>
      </pivotArea>
    </format>
    <format dxfId="1097">
      <pivotArea outline="0" collapsedLevelsAreSubtotals="1" fieldPosition="0">
        <references count="4">
          <reference field="4294967294" count="1" selected="0">
            <x v="14"/>
          </reference>
          <reference field="0" count="1" selected="0">
            <x v="2"/>
          </reference>
          <reference field="5" count="1" selected="0">
            <x v="2"/>
          </reference>
          <reference field="45" count="1" selected="0">
            <x v="0"/>
          </reference>
        </references>
      </pivotArea>
    </format>
    <format dxfId="1096">
      <pivotArea outline="0" collapsedLevelsAreSubtotals="1" fieldPosition="0">
        <references count="4">
          <reference field="4294967294" count="1" selected="0">
            <x v="5"/>
          </reference>
          <reference field="0" count="1" selected="0">
            <x v="3"/>
          </reference>
          <reference field="5" count="1" selected="0">
            <x v="3"/>
          </reference>
          <reference field="45" count="1" selected="0">
            <x v="0"/>
          </reference>
        </references>
      </pivotArea>
    </format>
    <format dxfId="1095">
      <pivotArea outline="0" collapsedLevelsAreSubtotals="1" fieldPosition="0">
        <references count="4">
          <reference field="4294967294" count="1" selected="0">
            <x v="5"/>
          </reference>
          <reference field="0" count="1" selected="0">
            <x v="3"/>
          </reference>
          <reference field="5" count="1" selected="0">
            <x v="5"/>
          </reference>
          <reference field="45" count="1" selected="0">
            <x v="0"/>
          </reference>
        </references>
      </pivotArea>
    </format>
    <format dxfId="1094">
      <pivotArea outline="0" collapsedLevelsAreSubtotals="1" fieldPosition="0">
        <references count="4">
          <reference field="4294967294" count="1" selected="0">
            <x v="17"/>
          </reference>
          <reference field="0" count="1" selected="0">
            <x v="3"/>
          </reference>
          <reference field="5" count="4" selected="0">
            <x v="0"/>
            <x v="1"/>
            <x v="2"/>
            <x v="3"/>
          </reference>
          <reference field="45" count="1" selected="0">
            <x v="0"/>
          </reference>
        </references>
      </pivotArea>
    </format>
    <format dxfId="1093">
      <pivotArea outline="0" collapsedLevelsAreSubtotals="1" fieldPosition="0">
        <references count="4">
          <reference field="4294967294" count="1" selected="0">
            <x v="17"/>
          </reference>
          <reference field="0" count="1" selected="0">
            <x v="3"/>
          </reference>
          <reference field="5" count="1" selected="0">
            <x v="5"/>
          </reference>
          <reference field="45" count="1" selected="0">
            <x v="0"/>
          </reference>
        </references>
      </pivotArea>
    </format>
    <format dxfId="1092">
      <pivotArea outline="0" collapsedLevelsAreSubtotals="1" fieldPosition="0">
        <references count="4">
          <reference field="4294967294" count="1" selected="0">
            <x v="35"/>
          </reference>
          <reference field="0" count="1" selected="0">
            <x v="3"/>
          </reference>
          <reference field="5" count="1" selected="0">
            <x v="0"/>
          </reference>
          <reference field="45" count="1" selected="0">
            <x v="0"/>
          </reference>
        </references>
      </pivotArea>
    </format>
    <format dxfId="1091">
      <pivotArea outline="0" collapsedLevelsAreSubtotals="1" fieldPosition="0">
        <references count="4">
          <reference field="4294967294" count="1" selected="0">
            <x v="11"/>
          </reference>
          <reference field="0" count="1" selected="0">
            <x v="4"/>
          </reference>
          <reference field="5" count="1" selected="0">
            <x v="7"/>
          </reference>
          <reference field="45" count="1" selected="0">
            <x v="1"/>
          </reference>
        </references>
      </pivotArea>
    </format>
    <format dxfId="1090">
      <pivotArea dataOnly="0" outline="0" fieldPosition="0">
        <references count="1">
          <reference field="4294967294" count="3">
            <x v="15"/>
            <x v="16"/>
            <x v="17"/>
          </reference>
        </references>
      </pivotArea>
    </format>
    <format dxfId="1089">
      <pivotArea outline="0" collapsedLevelsAreSubtotals="1" fieldPosition="0">
        <references count="4">
          <reference field="4294967294" count="1" selected="0">
            <x v="11"/>
          </reference>
          <reference field="0" count="1" selected="0">
            <x v="4"/>
          </reference>
          <reference field="5" count="1" selected="0">
            <x v="4"/>
          </reference>
          <reference field="45" count="1" selected="0">
            <x v="0"/>
          </reference>
        </references>
      </pivotArea>
    </format>
    <format dxfId="1088">
      <pivotArea outline="0" collapsedLevelsAreSubtotals="1" fieldPosition="0">
        <references count="4">
          <reference field="4294967294" count="1" selected="0">
            <x v="11"/>
          </reference>
          <reference field="0" count="1" selected="0">
            <x v="5"/>
          </reference>
          <reference field="5" count="1" selected="0">
            <x v="9"/>
          </reference>
          <reference field="45" count="1" selected="0">
            <x v="1"/>
          </reference>
        </references>
      </pivotArea>
    </format>
    <format dxfId="1087">
      <pivotArea outline="0" collapsedLevelsAreSubtotals="1" fieldPosition="0">
        <references count="4">
          <reference field="4294967294" count="1" selected="0">
            <x v="2"/>
          </reference>
          <reference field="0" count="1" selected="0">
            <x v="6"/>
          </reference>
          <reference field="5" count="1" selected="0">
            <x v="8"/>
          </reference>
          <reference field="45" count="1" selected="0">
            <x v="1"/>
          </reference>
        </references>
      </pivotArea>
    </format>
    <format dxfId="1086">
      <pivotArea outline="0" collapsedLevelsAreSubtotals="1" fieldPosition="0">
        <references count="4">
          <reference field="4294967294" count="1" selected="0">
            <x v="2"/>
          </reference>
          <reference field="0" count="1" selected="0">
            <x v="6"/>
          </reference>
          <reference field="5" count="1" selected="0">
            <x v="7"/>
          </reference>
          <reference field="45" count="1" selected="0">
            <x v="1"/>
          </reference>
        </references>
      </pivotArea>
    </format>
    <format dxfId="1085">
      <pivotArea outline="0" collapsedLevelsAreSubtotals="1" fieldPosition="0">
        <references count="4">
          <reference field="4294967294" count="1" selected="0">
            <x v="11"/>
          </reference>
          <reference field="0" count="1" selected="0">
            <x v="6"/>
          </reference>
          <reference field="5" count="1" selected="0">
            <x v="5"/>
          </reference>
          <reference field="45" count="1" selected="0">
            <x v="0"/>
          </reference>
        </references>
      </pivotArea>
    </format>
    <format dxfId="1084">
      <pivotArea outline="0" collapsedLevelsAreSubtotals="1" fieldPosition="0">
        <references count="4">
          <reference field="4294967294" count="1" selected="0">
            <x v="11"/>
          </reference>
          <reference field="0" count="1" selected="0">
            <x v="6"/>
          </reference>
          <reference field="5" count="2" selected="0">
            <x v="8"/>
            <x v="9"/>
          </reference>
          <reference field="45" count="1" selected="0">
            <x v="1"/>
          </reference>
        </references>
      </pivotArea>
    </format>
    <format dxfId="1083">
      <pivotArea outline="0" collapsedLevelsAreSubtotals="1" fieldPosition="0">
        <references count="4">
          <reference field="4294967294" count="1" selected="0">
            <x v="35"/>
          </reference>
          <reference field="0" count="1" selected="0">
            <x v="6"/>
          </reference>
          <reference field="5" count="1" selected="0">
            <x v="14"/>
          </reference>
          <reference field="45" count="1" selected="0">
            <x v="3"/>
          </reference>
        </references>
      </pivotArea>
    </format>
    <format dxfId="1082">
      <pivotArea outline="0" collapsedLevelsAreSubtotals="1" fieldPosition="0">
        <references count="4">
          <reference field="4294967294" count="1" selected="0">
            <x v="2"/>
          </reference>
          <reference field="0" count="1" selected="0">
            <x v="9"/>
          </reference>
          <reference field="5" count="1" selected="0">
            <x v="3"/>
          </reference>
          <reference field="45" count="1" selected="0">
            <x v="0"/>
          </reference>
        </references>
      </pivotArea>
    </format>
    <format dxfId="1081">
      <pivotArea outline="0" collapsedLevelsAreSubtotals="1" fieldPosition="0">
        <references count="4">
          <reference field="4294967294" count="1" selected="0">
            <x v="11"/>
          </reference>
          <reference field="0" count="1" selected="0">
            <x v="10"/>
          </reference>
          <reference field="5" count="1" selected="0">
            <x v="7"/>
          </reference>
          <reference field="45" count="1" selected="0">
            <x v="1"/>
          </reference>
        </references>
      </pivotArea>
    </format>
    <format dxfId="1080">
      <pivotArea outline="0" collapsedLevelsAreSubtotals="1" fieldPosition="0">
        <references count="4">
          <reference field="4294967294" count="1" selected="0">
            <x v="35"/>
          </reference>
          <reference field="0" count="1" selected="0">
            <x v="10"/>
          </reference>
          <reference field="5" count="1" selected="0">
            <x v="0"/>
          </reference>
          <reference field="45" count="1" selected="0">
            <x v="0"/>
          </reference>
        </references>
      </pivotArea>
    </format>
    <format dxfId="1079">
      <pivotArea outline="0" collapsedLevelsAreSubtotals="1" fieldPosition="0">
        <references count="4">
          <reference field="4294967294" count="1" selected="0">
            <x v="5"/>
          </reference>
          <reference field="0" count="1" selected="0">
            <x v="11"/>
          </reference>
          <reference field="5" count="4" selected="0">
            <x v="2"/>
            <x v="3"/>
            <x v="4"/>
            <x v="5"/>
          </reference>
          <reference field="45" count="1" selected="0">
            <x v="0"/>
          </reference>
        </references>
      </pivotArea>
    </format>
    <format dxfId="1078">
      <pivotArea outline="0" collapsedLevelsAreSubtotals="1" fieldPosition="0">
        <references count="4">
          <reference field="4294967294" count="1" selected="0">
            <x v="11"/>
          </reference>
          <reference field="0" count="1" selected="0">
            <x v="13"/>
          </reference>
          <reference field="5" count="1" selected="0">
            <x v="10"/>
          </reference>
          <reference field="45" count="1" selected="0">
            <x v="1"/>
          </reference>
        </references>
      </pivotArea>
    </format>
    <format dxfId="1077">
      <pivotArea outline="0" collapsedLevelsAreSubtotals="1" fieldPosition="0">
        <references count="4">
          <reference field="4294967294" count="1" selected="0">
            <x v="35"/>
          </reference>
          <reference field="0" count="1" selected="0">
            <x v="13"/>
          </reference>
          <reference field="5" count="1" selected="0">
            <x v="0"/>
          </reference>
          <reference field="45" count="1" selected="0">
            <x v="0"/>
          </reference>
        </references>
      </pivotArea>
    </format>
    <format dxfId="1076">
      <pivotArea outline="0" collapsedLevelsAreSubtotals="1" fieldPosition="0">
        <references count="4">
          <reference field="4294967294" count="1" selected="0">
            <x v="5"/>
          </reference>
          <reference field="0" count="1" selected="0">
            <x v="14"/>
          </reference>
          <reference field="5" count="1" selected="0">
            <x v="10"/>
          </reference>
          <reference field="45" count="1" selected="0">
            <x v="1"/>
          </reference>
        </references>
      </pivotArea>
    </format>
    <format dxfId="1075">
      <pivotArea outline="0" collapsedLevelsAreSubtotals="1" fieldPosition="0">
        <references count="4">
          <reference field="4294967294" count="1" selected="0">
            <x v="8"/>
          </reference>
          <reference field="0" count="1" selected="0">
            <x v="14"/>
          </reference>
          <reference field="5" count="1" selected="0">
            <x v="10"/>
          </reference>
          <reference field="45" count="1" selected="0">
            <x v="1"/>
          </reference>
        </references>
      </pivotArea>
    </format>
    <format dxfId="1074">
      <pivotArea outline="0" collapsedLevelsAreSubtotals="1" fieldPosition="0">
        <references count="4">
          <reference field="4294967294" count="1" selected="0">
            <x v="14"/>
          </reference>
          <reference field="0" count="1" selected="0">
            <x v="14"/>
          </reference>
          <reference field="5" count="1" selected="0">
            <x v="4"/>
          </reference>
          <reference field="45" count="1" selected="0">
            <x v="0"/>
          </reference>
        </references>
      </pivotArea>
    </format>
    <format dxfId="1073">
      <pivotArea outline="0" collapsedLevelsAreSubtotals="1" fieldPosition="0">
        <references count="4">
          <reference field="4294967294" count="1" selected="0">
            <x v="14"/>
          </reference>
          <reference field="0" count="1" selected="0">
            <x v="14"/>
          </reference>
          <reference field="5" count="2" selected="0">
            <x v="9"/>
            <x v="10"/>
          </reference>
          <reference field="45" count="1" selected="0">
            <x v="1"/>
          </reference>
        </references>
      </pivotArea>
    </format>
    <format dxfId="1072">
      <pivotArea outline="0" collapsedLevelsAreSubtotals="1" fieldPosition="0">
        <references count="4">
          <reference field="4294967294" count="1" selected="0">
            <x v="20"/>
          </reference>
          <reference field="0" count="1" selected="0">
            <x v="14"/>
          </reference>
          <reference field="5" count="1" selected="0">
            <x v="4"/>
          </reference>
          <reference field="45" count="1" selected="0">
            <x v="0"/>
          </reference>
        </references>
      </pivotArea>
    </format>
    <format dxfId="1071">
      <pivotArea outline="0" collapsedLevelsAreSubtotals="1" fieldPosition="0">
        <references count="4">
          <reference field="4294967294" count="1" selected="0">
            <x v="35"/>
          </reference>
          <reference field="0" count="1" selected="0">
            <x v="14"/>
          </reference>
          <reference field="5" count="2" selected="0">
            <x v="0"/>
            <x v="1"/>
          </reference>
          <reference field="45" count="1" selected="0">
            <x v="0"/>
          </reference>
        </references>
      </pivotArea>
    </format>
    <format dxfId="1070">
      <pivotArea outline="0" collapsedLevelsAreSubtotals="1" fieldPosition="0">
        <references count="4">
          <reference field="4294967294" count="1" selected="0">
            <x v="5"/>
          </reference>
          <reference field="0" count="1" selected="0">
            <x v="15"/>
          </reference>
          <reference field="5" count="1" selected="0">
            <x v="5"/>
          </reference>
          <reference field="45" count="1" selected="0">
            <x v="0"/>
          </reference>
        </references>
      </pivotArea>
    </format>
    <format dxfId="1069">
      <pivotArea outline="0" collapsedLevelsAreSubtotals="1" fieldPosition="0">
        <references count="4">
          <reference field="4294967294" count="1" selected="0">
            <x v="14"/>
          </reference>
          <reference field="0" count="1" selected="0">
            <x v="15"/>
          </reference>
          <reference field="5" count="1" selected="0">
            <x v="2"/>
          </reference>
          <reference field="45" count="1" selected="0">
            <x v="0"/>
          </reference>
        </references>
      </pivotArea>
    </format>
    <format dxfId="1068">
      <pivotArea outline="0" collapsedLevelsAreSubtotals="1" fieldPosition="0">
        <references count="4">
          <reference field="4294967294" count="1" selected="0">
            <x v="14"/>
          </reference>
          <reference field="0" count="1" selected="0">
            <x v="15"/>
          </reference>
          <reference field="5" count="2" selected="0">
            <x v="4"/>
            <x v="5"/>
          </reference>
          <reference field="45" count="1" selected="0">
            <x v="0"/>
          </reference>
        </references>
      </pivotArea>
    </format>
    <format dxfId="1067">
      <pivotArea outline="0" collapsedLevelsAreSubtotals="1" fieldPosition="0">
        <references count="4">
          <reference field="4294967294" count="1" selected="0">
            <x v="14"/>
          </reference>
          <reference field="0" count="1" selected="0">
            <x v="15"/>
          </reference>
          <reference field="5" count="1" selected="0">
            <x v="6"/>
          </reference>
          <reference field="45" count="1" selected="0">
            <x v="1"/>
          </reference>
        </references>
      </pivotArea>
    </format>
    <format dxfId="1066">
      <pivotArea outline="0" collapsedLevelsAreSubtotals="1" fieldPosition="0">
        <references count="4">
          <reference field="4294967294" count="1" selected="0">
            <x v="14"/>
          </reference>
          <reference field="0" count="1" selected="0">
            <x v="15"/>
          </reference>
          <reference field="5" count="2" selected="0">
            <x v="8"/>
            <x v="9"/>
          </reference>
          <reference field="45" count="1" selected="0">
            <x v="1"/>
          </reference>
        </references>
      </pivotArea>
    </format>
    <format dxfId="1065">
      <pivotArea outline="0" collapsedLevelsAreSubtotals="1" fieldPosition="0">
        <references count="4">
          <reference field="4294967294" count="1" selected="0">
            <x v="35"/>
          </reference>
          <reference field="0" count="1" selected="0">
            <x v="15"/>
          </reference>
          <reference field="5" count="1" selected="0">
            <x v="2"/>
          </reference>
          <reference field="45" count="1" selected="0">
            <x v="0"/>
          </reference>
        </references>
      </pivotArea>
    </format>
    <format dxfId="1064">
      <pivotArea outline="0" collapsedLevelsAreSubtotals="1" fieldPosition="0">
        <references count="4">
          <reference field="4294967294" count="1" selected="0">
            <x v="11"/>
          </reference>
          <reference field="0" count="1" selected="0">
            <x v="3"/>
          </reference>
          <reference field="5" count="4" selected="0">
            <x v="0"/>
            <x v="1"/>
            <x v="2"/>
            <x v="3"/>
          </reference>
          <reference field="45" count="1" selected="0">
            <x v="0"/>
          </reference>
        </references>
      </pivotArea>
    </format>
    <format dxfId="1063">
      <pivotArea outline="0" collapsedLevelsAreSubtotals="1" fieldPosition="0">
        <references count="4">
          <reference field="4294967294" count="1" selected="0">
            <x v="11"/>
          </reference>
          <reference field="0" count="1" selected="0">
            <x v="3"/>
          </reference>
          <reference field="5" count="1" selected="0">
            <x v="5"/>
          </reference>
          <reference field="45" count="1" selected="0">
            <x v="0"/>
          </reference>
        </references>
      </pivotArea>
    </format>
    <format dxfId="1062">
      <pivotArea dataOnly="0" outline="0" fieldPosition="0">
        <references count="1">
          <reference field="4294967294" count="1">
            <x v="0"/>
          </reference>
        </references>
      </pivotArea>
    </format>
    <format dxfId="1061">
      <pivotArea outline="0" collapsedLevelsAreSubtotals="1" fieldPosition="0">
        <references count="4">
          <reference field="4294967294" count="1" selected="0">
            <x v="11"/>
          </reference>
          <reference field="0" count="1" selected="0">
            <x v="2"/>
          </reference>
          <reference field="5" count="3" selected="0">
            <x v="7"/>
            <x v="8"/>
            <x v="9"/>
          </reference>
          <reference field="45" count="1" selected="0">
            <x v="1"/>
          </reference>
        </references>
      </pivotArea>
    </format>
    <format dxfId="1060">
      <pivotArea outline="0" collapsedLevelsAreSubtotals="1" fieldPosition="0">
        <references count="4">
          <reference field="4294967294" count="1" selected="0">
            <x v="31"/>
          </reference>
          <reference field="0" count="1" selected="0">
            <x v="3"/>
          </reference>
          <reference field="5" count="1" selected="0">
            <x v="1"/>
          </reference>
          <reference field="45" count="1" selected="0">
            <x v="0"/>
          </reference>
        </references>
      </pivotArea>
    </format>
    <format dxfId="1059">
      <pivotArea outline="0" collapsedLevelsAreSubtotals="1" fieldPosition="0">
        <references count="4">
          <reference field="4294967294" count="1" selected="0">
            <x v="34"/>
          </reference>
          <reference field="0" count="1" selected="0">
            <x v="3"/>
          </reference>
          <reference field="5" count="1" selected="0">
            <x v="1"/>
          </reference>
          <reference field="45" count="1" selected="0">
            <x v="0"/>
          </reference>
        </references>
      </pivotArea>
    </format>
    <format dxfId="1058">
      <pivotArea outline="0" collapsedLevelsAreSubtotals="1" fieldPosition="0">
        <references count="4">
          <reference field="4294967294" count="1" selected="0">
            <x v="11"/>
          </reference>
          <reference field="0" count="1" selected="0">
            <x v="3"/>
          </reference>
          <reference field="5" count="2" selected="0">
            <x v="0"/>
            <x v="1"/>
          </reference>
          <reference field="45" count="1" selected="0">
            <x v="0"/>
          </reference>
        </references>
      </pivotArea>
    </format>
    <format dxfId="1057">
      <pivotArea outline="0" collapsedLevelsAreSubtotals="1" fieldPosition="0">
        <references count="4">
          <reference field="4294967294" count="1" selected="0">
            <x v="11"/>
          </reference>
          <reference field="0" count="1" selected="0">
            <x v="3"/>
          </reference>
          <reference field="5" count="1" selected="0">
            <x v="3"/>
          </reference>
          <reference field="45" count="1" selected="0">
            <x v="0"/>
          </reference>
        </references>
      </pivotArea>
    </format>
    <format dxfId="1056">
      <pivotArea outline="0" collapsedLevelsAreSubtotals="1" fieldPosition="0">
        <references count="4">
          <reference field="4294967294" count="1" selected="0">
            <x v="11"/>
          </reference>
          <reference field="0" count="1" selected="0">
            <x v="3"/>
          </reference>
          <reference field="5" count="1" selected="0">
            <x v="2"/>
          </reference>
          <reference field="45" count="1" selected="0">
            <x v="0"/>
          </reference>
        </references>
      </pivotArea>
    </format>
    <format dxfId="1055">
      <pivotArea outline="0" collapsedLevelsAreSubtotals="1" fieldPosition="0">
        <references count="4">
          <reference field="4294967294" count="1" selected="0">
            <x v="2"/>
          </reference>
          <reference field="0" count="1" selected="0">
            <x v="5"/>
          </reference>
          <reference field="5" count="3" selected="0">
            <x v="7"/>
            <x v="8"/>
            <x v="9"/>
          </reference>
          <reference field="45" count="1" selected="0">
            <x v="1"/>
          </reference>
        </references>
      </pivotArea>
    </format>
    <format dxfId="1054">
      <pivotArea outline="0" collapsedLevelsAreSubtotals="1" fieldPosition="0">
        <references count="4">
          <reference field="4294967294" count="1" selected="0">
            <x v="2"/>
          </reference>
          <reference field="0" count="1" selected="0">
            <x v="5"/>
          </reference>
          <reference field="5" count="1" selected="0">
            <x v="8"/>
          </reference>
          <reference field="45" count="1" selected="0">
            <x v="1"/>
          </reference>
        </references>
      </pivotArea>
    </format>
    <format dxfId="1053">
      <pivotArea outline="0" collapsedLevelsAreSubtotals="1" fieldPosition="0">
        <references count="4">
          <reference field="4294967294" count="1" selected="0">
            <x v="11"/>
          </reference>
          <reference field="0" count="1" selected="0">
            <x v="6"/>
          </reference>
          <reference field="5" count="1" selected="0">
            <x v="11"/>
          </reference>
          <reference field="45" count="1" selected="0">
            <x v="2"/>
          </reference>
        </references>
      </pivotArea>
    </format>
    <format dxfId="1052">
      <pivotArea outline="0" collapsedLevelsAreSubtotals="1" fieldPosition="0">
        <references count="4">
          <reference field="4294967294" count="1" selected="0">
            <x v="2"/>
          </reference>
          <reference field="0" count="1" selected="0">
            <x v="8"/>
          </reference>
          <reference field="5" count="1" selected="0">
            <x v="3"/>
          </reference>
          <reference field="45" count="1" selected="0">
            <x v="0"/>
          </reference>
        </references>
      </pivotArea>
    </format>
    <format dxfId="1051">
      <pivotArea outline="0" collapsedLevelsAreSubtotals="1" fieldPosition="0">
        <references count="4">
          <reference field="4294967294" count="1" selected="0">
            <x v="2"/>
          </reference>
          <reference field="0" count="1" selected="0">
            <x v="8"/>
          </reference>
          <reference field="5" count="3" selected="0">
            <x v="7"/>
            <x v="8"/>
            <x v="9"/>
          </reference>
          <reference field="45" count="1" selected="0">
            <x v="1"/>
          </reference>
        </references>
      </pivotArea>
    </format>
    <format dxfId="1050">
      <pivotArea outline="0" collapsedLevelsAreSubtotals="1" fieldPosition="0">
        <references count="4">
          <reference field="4294967294" count="1" selected="0">
            <x v="5"/>
          </reference>
          <reference field="0" count="1" selected="0">
            <x v="8"/>
          </reference>
          <reference field="5" count="1" selected="0">
            <x v="7"/>
          </reference>
          <reference field="45" count="1" selected="0">
            <x v="1"/>
          </reference>
        </references>
      </pivotArea>
    </format>
    <format dxfId="1049">
      <pivotArea outline="0" collapsedLevelsAreSubtotals="1" fieldPosition="0">
        <references count="4">
          <reference field="4294967294" count="1" selected="0">
            <x v="32"/>
          </reference>
          <reference field="0" count="1" selected="0">
            <x v="8"/>
          </reference>
          <reference field="5" count="1" selected="0">
            <x v="14"/>
          </reference>
          <reference field="45" count="1" selected="0">
            <x v="3"/>
          </reference>
        </references>
      </pivotArea>
    </format>
    <format dxfId="1048">
      <pivotArea outline="0" collapsedLevelsAreSubtotals="1" fieldPosition="0">
        <references count="4">
          <reference field="4294967294" count="1" selected="0">
            <x v="38"/>
          </reference>
          <reference field="0" count="1" selected="0">
            <x v="0"/>
          </reference>
          <reference field="5" count="1" selected="0">
            <x v="0"/>
          </reference>
          <reference field="45" count="1" selected="0">
            <x v="0"/>
          </reference>
        </references>
      </pivotArea>
    </format>
    <format dxfId="1047">
      <pivotArea outline="0" collapsedLevelsAreSubtotals="1" fieldPosition="0">
        <references count="4">
          <reference field="4294967294" count="1" selected="0">
            <x v="38"/>
          </reference>
          <reference field="0" count="1" selected="0">
            <x v="4"/>
          </reference>
          <reference field="5" count="1" selected="0">
            <x v="7"/>
          </reference>
          <reference field="45" count="1" selected="0">
            <x v="1"/>
          </reference>
        </references>
      </pivotArea>
    </format>
    <format dxfId="1046">
      <pivotArea outline="0" collapsedLevelsAreSubtotals="1" fieldPosition="0">
        <references count="4">
          <reference field="4294967294" count="1" selected="0">
            <x v="38"/>
          </reference>
          <reference field="0" count="1" selected="0">
            <x v="6"/>
          </reference>
          <reference field="5" count="1" selected="0">
            <x v="5"/>
          </reference>
          <reference field="45" count="1" selected="0">
            <x v="0"/>
          </reference>
        </references>
      </pivotArea>
    </format>
    <format dxfId="1045">
      <pivotArea outline="0" collapsedLevelsAreSubtotals="1" fieldPosition="0">
        <references count="4">
          <reference field="4294967294" count="1" selected="0">
            <x v="38"/>
          </reference>
          <reference field="0" count="1" selected="0">
            <x v="6"/>
          </reference>
          <reference field="5" count="1" selected="0">
            <x v="8"/>
          </reference>
          <reference field="45" count="1" selected="0">
            <x v="1"/>
          </reference>
        </references>
      </pivotArea>
    </format>
    <format dxfId="1044">
      <pivotArea outline="0" collapsedLevelsAreSubtotals="1" fieldPosition="0">
        <references count="4">
          <reference field="4294967294" count="1" selected="0">
            <x v="38"/>
          </reference>
          <reference field="0" count="1" selected="0">
            <x v="6"/>
          </reference>
          <reference field="5" count="1" selected="0">
            <x v="11"/>
          </reference>
          <reference field="45" count="1" selected="0">
            <x v="2"/>
          </reference>
        </references>
      </pivotArea>
    </format>
    <format dxfId="1043">
      <pivotArea outline="0" collapsedLevelsAreSubtotals="1" fieldPosition="0">
        <references count="4">
          <reference field="4294967294" count="1" selected="0">
            <x v="38"/>
          </reference>
          <reference field="0" count="1" selected="0">
            <x v="9"/>
          </reference>
          <reference field="5" count="1" selected="0">
            <x v="3"/>
          </reference>
          <reference field="45" count="1" selected="0">
            <x v="0"/>
          </reference>
        </references>
      </pivotArea>
    </format>
    <format dxfId="1042">
      <pivotArea outline="0" collapsedLevelsAreSubtotals="1" fieldPosition="0">
        <references count="4">
          <reference field="4294967294" count="1" selected="0">
            <x v="2"/>
          </reference>
          <reference field="0" count="1" selected="0">
            <x v="7"/>
          </reference>
          <reference field="5" count="1" selected="0">
            <x v="8"/>
          </reference>
          <reference field="45" count="1" selected="0">
            <x v="1"/>
          </reference>
        </references>
      </pivotArea>
    </format>
    <format dxfId="1041">
      <pivotArea dataOnly="0" outline="0" fieldPosition="0">
        <references count="1">
          <reference field="4294967294" count="15">
            <x v="0"/>
            <x v="1"/>
            <x v="2"/>
            <x v="3"/>
            <x v="4"/>
            <x v="5"/>
            <x v="6"/>
            <x v="7"/>
            <x v="8"/>
            <x v="9"/>
            <x v="10"/>
            <x v="11"/>
            <x v="12"/>
            <x v="13"/>
            <x v="14"/>
          </reference>
        </references>
      </pivotArea>
    </format>
    <format dxfId="1040">
      <pivotArea dataOnly="0" outline="0" fieldPosition="0">
        <references count="1">
          <reference field="4294967294" count="21">
            <x v="18"/>
            <x v="19"/>
            <x v="20"/>
            <x v="21"/>
            <x v="22"/>
            <x v="23"/>
            <x v="24"/>
            <x v="25"/>
            <x v="26"/>
            <x v="27"/>
            <x v="28"/>
            <x v="29"/>
            <x v="30"/>
            <x v="31"/>
            <x v="32"/>
            <x v="33"/>
            <x v="34"/>
            <x v="35"/>
            <x v="36"/>
            <x v="37"/>
            <x v="38"/>
          </reference>
        </references>
      </pivotArea>
    </format>
    <format dxfId="1039">
      <pivotArea dataOnly="0" outline="0" fieldPosition="0">
        <references count="1">
          <reference field="45" count="0" defaultSubtotal="1"/>
        </references>
      </pivotArea>
    </format>
    <format dxfId="1038">
      <pivotArea outline="0" collapsedLevelsAreSubtotals="1" fieldPosition="0">
        <references count="4">
          <reference field="4294967294" count="1" selected="0">
            <x v="2"/>
          </reference>
          <reference field="0" count="1" selected="0">
            <x v="0"/>
          </reference>
          <reference field="5" count="1" selected="0">
            <x v="1"/>
          </reference>
          <reference field="45" count="1" selected="0">
            <x v="0"/>
          </reference>
        </references>
      </pivotArea>
    </format>
    <format dxfId="1037">
      <pivotArea outline="0" collapsedLevelsAreSubtotals="1" fieldPosition="0">
        <references count="4">
          <reference field="4294967294" count="1" selected="0">
            <x v="5"/>
          </reference>
          <reference field="0" count="1" selected="0">
            <x v="0"/>
          </reference>
          <reference field="5" count="1" selected="0">
            <x v="1"/>
          </reference>
          <reference field="45" count="1" selected="0">
            <x v="0"/>
          </reference>
        </references>
      </pivotArea>
    </format>
    <format dxfId="1036">
      <pivotArea outline="0" collapsedLevelsAreSubtotals="1" fieldPosition="0">
        <references count="4">
          <reference field="4294967294" count="1" selected="0">
            <x v="5"/>
          </reference>
          <reference field="0" count="1" selected="0">
            <x v="0"/>
          </reference>
          <reference field="5" count="1" selected="0">
            <x v="3"/>
          </reference>
          <reference field="45" count="1" selected="0">
            <x v="0"/>
          </reference>
        </references>
      </pivotArea>
    </format>
    <format dxfId="1035">
      <pivotArea outline="0" collapsedLevelsAreSubtotals="1" fieldPosition="0">
        <references count="4">
          <reference field="4294967294" count="1" selected="0">
            <x v="11"/>
          </reference>
          <reference field="0" count="1" selected="0">
            <x v="0"/>
          </reference>
          <reference field="5" count="1" selected="0">
            <x v="5"/>
          </reference>
          <reference field="45" count="1" selected="0">
            <x v="0"/>
          </reference>
        </references>
      </pivotArea>
    </format>
    <format dxfId="1034">
      <pivotArea outline="0" collapsedLevelsAreSubtotals="1" fieldPosition="0">
        <references count="4">
          <reference field="4294967294" count="1" selected="0">
            <x v="14"/>
          </reference>
          <reference field="0" count="1" selected="0">
            <x v="0"/>
          </reference>
          <reference field="5" count="1" selected="0">
            <x v="1"/>
          </reference>
          <reference field="45" count="1" selected="0">
            <x v="0"/>
          </reference>
        </references>
      </pivotArea>
    </format>
    <format dxfId="1033">
      <pivotArea outline="0" collapsedLevelsAreSubtotals="1" fieldPosition="0">
        <references count="4">
          <reference field="4294967294" count="1" selected="0">
            <x v="14"/>
          </reference>
          <reference field="0" count="1" selected="0">
            <x v="0"/>
          </reference>
          <reference field="5" count="1" selected="0">
            <x v="5"/>
          </reference>
          <reference field="45" count="1" selected="0">
            <x v="0"/>
          </reference>
        </references>
      </pivotArea>
    </format>
    <format dxfId="1032">
      <pivotArea outline="0" collapsedLevelsAreSubtotals="1" fieldPosition="0">
        <references count="4">
          <reference field="4294967294" count="1" selected="0">
            <x v="5"/>
          </reference>
          <reference field="0" count="1" selected="0">
            <x v="0"/>
          </reference>
          <reference field="5" count="1" selected="0">
            <x v="9"/>
          </reference>
          <reference field="45" count="1" selected="0">
            <x v="1"/>
          </reference>
        </references>
      </pivotArea>
    </format>
    <format dxfId="1031">
      <pivotArea outline="0" collapsedLevelsAreSubtotals="1" fieldPosition="0">
        <references count="4">
          <reference field="4294967294" count="1" selected="0">
            <x v="8"/>
          </reference>
          <reference field="0" count="1" selected="0">
            <x v="0"/>
          </reference>
          <reference field="5" count="2" selected="0">
            <x v="7"/>
            <x v="8"/>
          </reference>
          <reference field="45" count="1" selected="0">
            <x v="1"/>
          </reference>
        </references>
      </pivotArea>
    </format>
    <format dxfId="1030">
      <pivotArea outline="0" collapsedLevelsAreSubtotals="1" fieldPosition="0">
        <references count="4">
          <reference field="4294967294" count="1" selected="0">
            <x v="14"/>
          </reference>
          <reference field="0" count="1" selected="0">
            <x v="0"/>
          </reference>
          <reference field="5" count="2" selected="0">
            <x v="8"/>
            <x v="9"/>
          </reference>
          <reference field="45" count="1" selected="0">
            <x v="1"/>
          </reference>
        </references>
      </pivotArea>
    </format>
    <format dxfId="1029">
      <pivotArea outline="0" collapsedLevelsAreSubtotals="1" fieldPosition="0">
        <references count="4">
          <reference field="4294967294" count="1" selected="0">
            <x v="32"/>
          </reference>
          <reference field="0" count="1" selected="0">
            <x v="0"/>
          </reference>
          <reference field="5" count="1" selected="0">
            <x v="2"/>
          </reference>
          <reference field="45" count="1" selected="0">
            <x v="0"/>
          </reference>
        </references>
      </pivotArea>
    </format>
    <format dxfId="1028">
      <pivotArea outline="0" collapsedLevelsAreSubtotals="1" fieldPosition="0">
        <references count="4">
          <reference field="4294967294" count="1" selected="0">
            <x v="11"/>
          </reference>
          <reference field="0" count="1" selected="0">
            <x v="1"/>
          </reference>
          <reference field="5" count="1" selected="0">
            <x v="0"/>
          </reference>
          <reference field="45" count="1" selected="0">
            <x v="0"/>
          </reference>
        </references>
      </pivotArea>
    </format>
    <format dxfId="1027">
      <pivotArea outline="0" collapsedLevelsAreSubtotals="1" fieldPosition="0">
        <references count="4">
          <reference field="4294967294" count="1" selected="0">
            <x v="11"/>
          </reference>
          <reference field="0" count="1" selected="0">
            <x v="1"/>
          </reference>
          <reference field="5" count="1" selected="0">
            <x v="9"/>
          </reference>
          <reference field="45" count="1" selected="0">
            <x v="1"/>
          </reference>
        </references>
      </pivotArea>
    </format>
    <format dxfId="1026">
      <pivotArea outline="0" collapsedLevelsAreSubtotals="1" fieldPosition="0">
        <references count="4">
          <reference field="4294967294" count="1" selected="0">
            <x v="8"/>
          </reference>
          <reference field="0" count="1" selected="0">
            <x v="1"/>
          </reference>
          <reference field="5" count="1" selected="0">
            <x v="9"/>
          </reference>
          <reference field="45" count="1" selected="0">
            <x v="1"/>
          </reference>
        </references>
      </pivotArea>
    </format>
    <format dxfId="1025">
      <pivotArea outline="0" collapsedLevelsAreSubtotals="1" fieldPosition="0">
        <references count="3">
          <reference field="4294967294" count="1" selected="0">
            <x v="20"/>
          </reference>
          <reference field="0" count="1" selected="0">
            <x v="1"/>
          </reference>
          <reference field="45" count="1" selected="0">
            <x v="4"/>
          </reference>
        </references>
      </pivotArea>
    </format>
    <format dxfId="1024">
      <pivotArea dataOnly="0" grandCol="1" outline="0" fieldPosition="0"/>
    </format>
    <format dxfId="1023">
      <pivotArea outline="0" collapsedLevelsAreSubtotals="1" fieldPosition="0">
        <references count="4">
          <reference field="4294967294" count="1" selected="0">
            <x v="5"/>
          </reference>
          <reference field="0" count="1" selected="0">
            <x v="2"/>
          </reference>
          <reference field="5" count="1" selected="0">
            <x v="0"/>
          </reference>
          <reference field="45" count="1" selected="0">
            <x v="0"/>
          </reference>
        </references>
      </pivotArea>
    </format>
    <format dxfId="1022">
      <pivotArea outline="0" collapsedLevelsAreSubtotals="1" fieldPosition="0">
        <references count="4">
          <reference field="4294967294" count="1" selected="0">
            <x v="11"/>
          </reference>
          <reference field="0" count="1" selected="0">
            <x v="2"/>
          </reference>
          <reference field="5" count="1" selected="0">
            <x v="2"/>
          </reference>
          <reference field="45" count="1" selected="0">
            <x v="0"/>
          </reference>
        </references>
      </pivotArea>
    </format>
    <format dxfId="1021">
      <pivotArea outline="0" collapsedLevelsAreSubtotals="1" fieldPosition="0">
        <references count="4">
          <reference field="4294967294" count="1" selected="0">
            <x v="2"/>
          </reference>
          <reference field="0" count="1" selected="0">
            <x v="3"/>
          </reference>
          <reference field="5" count="4" selected="0">
            <x v="0"/>
            <x v="1"/>
            <x v="2"/>
            <x v="3"/>
          </reference>
          <reference field="45" count="1" selected="0">
            <x v="0"/>
          </reference>
        </references>
      </pivotArea>
    </format>
    <format dxfId="1020">
      <pivotArea outline="0" collapsedLevelsAreSubtotals="1" fieldPosition="0">
        <references count="4">
          <reference field="4294967294" count="1" selected="0">
            <x v="2"/>
          </reference>
          <reference field="0" count="1" selected="0">
            <x v="3"/>
          </reference>
          <reference field="5" count="1" selected="0">
            <x v="5"/>
          </reference>
          <reference field="45" count="1" selected="0">
            <x v="0"/>
          </reference>
        </references>
      </pivotArea>
    </format>
    <format dxfId="1019">
      <pivotArea outline="0" collapsedLevelsAreSubtotals="1" fieldPosition="0">
        <references count="4">
          <reference field="4294967294" count="1" selected="0">
            <x v="14"/>
          </reference>
          <reference field="0" count="1" selected="0">
            <x v="3"/>
          </reference>
          <reference field="5" count="4" selected="0">
            <x v="0"/>
            <x v="1"/>
            <x v="2"/>
            <x v="3"/>
          </reference>
          <reference field="45" count="1" selected="0">
            <x v="0"/>
          </reference>
        </references>
      </pivotArea>
    </format>
    <format dxfId="1018">
      <pivotArea outline="0" collapsedLevelsAreSubtotals="1" fieldPosition="0">
        <references count="4">
          <reference field="4294967294" count="1" selected="0">
            <x v="14"/>
          </reference>
          <reference field="0" count="1" selected="0">
            <x v="3"/>
          </reference>
          <reference field="5" count="1" selected="0">
            <x v="5"/>
          </reference>
          <reference field="45" count="1" selected="0">
            <x v="0"/>
          </reference>
        </references>
      </pivotArea>
    </format>
    <format dxfId="1017">
      <pivotArea outline="0" collapsedLevelsAreSubtotals="1" fieldPosition="0">
        <references count="4">
          <reference field="4294967294" count="1" selected="0">
            <x v="2"/>
          </reference>
          <reference field="0" count="1" selected="0">
            <x v="3"/>
          </reference>
          <reference field="5" count="1" selected="0">
            <x v="9"/>
          </reference>
          <reference field="45" count="1" selected="0">
            <x v="1"/>
          </reference>
        </references>
      </pivotArea>
    </format>
    <format dxfId="1016">
      <pivotArea outline="0" collapsedLevelsAreSubtotals="1" fieldPosition="0">
        <references count="4">
          <reference field="4294967294" count="1" selected="0">
            <x v="32"/>
          </reference>
          <reference field="0" count="1" selected="0">
            <x v="3"/>
          </reference>
          <reference field="5" count="2" selected="0">
            <x v="0"/>
            <x v="1"/>
          </reference>
          <reference field="45" count="1" selected="0">
            <x v="0"/>
          </reference>
        </references>
      </pivotArea>
    </format>
    <format dxfId="1015">
      <pivotArea outline="0" collapsedLevelsAreSubtotals="1" fieldPosition="0">
        <references count="4">
          <reference field="4294967294" count="1" selected="0">
            <x v="35"/>
          </reference>
          <reference field="0" count="1" selected="0">
            <x v="3"/>
          </reference>
          <reference field="5" count="1" selected="0">
            <x v="1"/>
          </reference>
          <reference field="45" count="1" selected="0">
            <x v="0"/>
          </reference>
        </references>
      </pivotArea>
    </format>
    <format dxfId="1014">
      <pivotArea outline="0" collapsedLevelsAreSubtotals="1" fieldPosition="0">
        <references count="4">
          <reference field="4294967294" count="1" selected="0">
            <x v="38"/>
          </reference>
          <reference field="0" count="1" selected="0">
            <x v="3"/>
          </reference>
          <reference field="5" count="4" selected="0">
            <x v="0"/>
            <x v="1"/>
            <x v="2"/>
            <x v="3"/>
          </reference>
          <reference field="45" count="1" selected="0">
            <x v="0"/>
          </reference>
        </references>
      </pivotArea>
    </format>
    <format dxfId="1013">
      <pivotArea outline="0" collapsedLevelsAreSubtotals="1" fieldPosition="0">
        <references count="4">
          <reference field="4294967294" count="1" selected="0">
            <x v="38"/>
          </reference>
          <reference field="0" count="1" selected="0">
            <x v="3"/>
          </reference>
          <reference field="5" count="1" selected="0">
            <x v="5"/>
          </reference>
          <reference field="45" count="1" selected="0">
            <x v="0"/>
          </reference>
        </references>
      </pivotArea>
    </format>
    <format dxfId="1012">
      <pivotArea outline="0" collapsedLevelsAreSubtotals="1" fieldPosition="0">
        <references count="4">
          <reference field="4294967294" count="1" selected="0">
            <x v="2"/>
          </reference>
          <reference field="0" count="1" selected="0">
            <x v="4"/>
          </reference>
          <reference field="5" count="1" selected="0">
            <x v="7"/>
          </reference>
          <reference field="45" count="1" selected="0">
            <x v="1"/>
          </reference>
        </references>
      </pivotArea>
    </format>
    <format dxfId="1011">
      <pivotArea outline="0" collapsedLevelsAreSubtotals="1" fieldPosition="0">
        <references count="3">
          <reference field="4294967294" count="1" selected="0">
            <x v="5"/>
          </reference>
          <reference field="0" count="1" selected="0">
            <x v="4"/>
          </reference>
          <reference field="45" count="1" selected="0">
            <x v="4"/>
          </reference>
        </references>
      </pivotArea>
    </format>
    <format dxfId="1010">
      <pivotArea outline="0" collapsedLevelsAreSubtotals="1" fieldPosition="0">
        <references count="3">
          <reference field="4294967294" count="1" selected="0">
            <x v="38"/>
          </reference>
          <reference field="0" count="1" selected="0">
            <x v="4"/>
          </reference>
          <reference field="45" count="1" selected="0">
            <x v="4"/>
          </reference>
        </references>
      </pivotArea>
    </format>
    <format dxfId="1009">
      <pivotArea outline="0" collapsedLevelsAreSubtotals="1" fieldPosition="0">
        <references count="4">
          <reference field="4294967294" count="1" selected="0">
            <x v="11"/>
          </reference>
          <reference field="0" count="1" selected="0">
            <x v="5"/>
          </reference>
          <reference field="5" count="1" selected="0">
            <x v="11"/>
          </reference>
          <reference field="45" count="1" selected="0">
            <x v="2"/>
          </reference>
        </references>
      </pivotArea>
    </format>
    <format dxfId="1008">
      <pivotArea outline="0" collapsedLevelsAreSubtotals="1" fieldPosition="0">
        <references count="4">
          <reference field="4294967294" count="1" selected="0">
            <x v="14"/>
          </reference>
          <reference field="0" count="1" selected="0">
            <x v="5"/>
          </reference>
          <reference field="5" count="1" selected="0">
            <x v="3"/>
          </reference>
          <reference field="45" count="1" selected="0">
            <x v="0"/>
          </reference>
        </references>
      </pivotArea>
    </format>
    <format dxfId="1007">
      <pivotArea outline="0" collapsedLevelsAreSubtotals="1" fieldPosition="0">
        <references count="4">
          <reference field="4294967294" count="1" selected="0">
            <x v="14"/>
          </reference>
          <reference field="0" count="1" selected="0">
            <x v="5"/>
          </reference>
          <reference field="5" count="1" selected="0">
            <x v="0"/>
          </reference>
          <reference field="45" count="1" selected="0">
            <x v="0"/>
          </reference>
        </references>
      </pivotArea>
    </format>
    <format dxfId="1006">
      <pivotArea outline="0" collapsedLevelsAreSubtotals="1" fieldPosition="0">
        <references count="4">
          <reference field="4294967294" count="1" selected="0">
            <x v="5"/>
          </reference>
          <reference field="0" count="1" selected="0">
            <x v="5"/>
          </reference>
          <reference field="5" count="1" selected="0">
            <x v="3"/>
          </reference>
          <reference field="45" count="1" selected="0">
            <x v="0"/>
          </reference>
        </references>
      </pivotArea>
    </format>
    <format dxfId="1005">
      <pivotArea outline="0" collapsedLevelsAreSubtotals="1" fieldPosition="0">
        <references count="4">
          <reference field="4294967294" count="1" selected="0">
            <x v="35"/>
          </reference>
          <reference field="0" count="1" selected="0">
            <x v="5"/>
          </reference>
          <reference field="5" count="1" selected="0">
            <x v="0"/>
          </reference>
          <reference field="45" count="1" selected="0">
            <x v="0"/>
          </reference>
        </references>
      </pivotArea>
    </format>
    <format dxfId="1004">
      <pivotArea outline="0" collapsedLevelsAreSubtotals="1" fieldPosition="0">
        <references count="4">
          <reference field="4294967294" count="1" selected="0">
            <x v="2"/>
          </reference>
          <reference field="0" count="1" selected="0">
            <x v="6"/>
          </reference>
          <reference field="5" count="4" selected="0">
            <x v="0"/>
            <x v="1"/>
            <x v="2"/>
            <x v="3"/>
          </reference>
          <reference field="45" count="1" selected="0">
            <x v="0"/>
          </reference>
        </references>
      </pivotArea>
    </format>
    <format dxfId="1003">
      <pivotArea outline="0" collapsedLevelsAreSubtotals="1" fieldPosition="0">
        <references count="4">
          <reference field="4294967294" count="1" selected="0">
            <x v="2"/>
          </reference>
          <reference field="0" count="1" selected="0">
            <x v="6"/>
          </reference>
          <reference field="5" count="1" selected="0">
            <x v="5"/>
          </reference>
          <reference field="45" count="1" selected="0">
            <x v="0"/>
          </reference>
        </references>
      </pivotArea>
    </format>
    <format dxfId="1002">
      <pivotArea outline="0" collapsedLevelsAreSubtotals="1" fieldPosition="0">
        <references count="4">
          <reference field="4294967294" count="1" selected="0">
            <x v="2"/>
          </reference>
          <reference field="0" count="1" selected="0">
            <x v="6"/>
          </reference>
          <reference field="5" count="1" selected="0">
            <x v="11"/>
          </reference>
          <reference field="45" count="1" selected="0">
            <x v="2"/>
          </reference>
        </references>
      </pivotArea>
    </format>
    <format dxfId="1001">
      <pivotArea outline="0" collapsedLevelsAreSubtotals="1" fieldPosition="0">
        <references count="3">
          <reference field="4294967294" count="1" selected="0">
            <x v="20"/>
          </reference>
          <reference field="0" count="1" selected="0">
            <x v="6"/>
          </reference>
          <reference field="45" count="1" selected="0">
            <x v="4"/>
          </reference>
        </references>
      </pivotArea>
    </format>
    <format dxfId="1000">
      <pivotArea outline="0" collapsedLevelsAreSubtotals="1" fieldPosition="0">
        <references count="4">
          <reference field="4294967294" count="1" selected="0">
            <x v="5"/>
          </reference>
          <reference field="0" count="1" selected="0">
            <x v="6"/>
          </reference>
          <reference field="5" count="1" selected="0">
            <x v="2"/>
          </reference>
          <reference field="45" count="1" selected="0">
            <x v="0"/>
          </reference>
        </references>
      </pivotArea>
    </format>
    <format dxfId="999">
      <pivotArea outline="0" collapsedLevelsAreSubtotals="1" fieldPosition="0">
        <references count="4">
          <reference field="4294967294" count="1" selected="0">
            <x v="11"/>
          </reference>
          <reference field="0" count="1" selected="0">
            <x v="6"/>
          </reference>
          <reference field="5" count="1" selected="0">
            <x v="0"/>
          </reference>
          <reference field="45" count="1" selected="0">
            <x v="0"/>
          </reference>
        </references>
      </pivotArea>
    </format>
    <format dxfId="998">
      <pivotArea outline="0" collapsedLevelsAreSubtotals="1" fieldPosition="0">
        <references count="4">
          <reference field="4294967294" count="1" selected="0">
            <x v="7"/>
          </reference>
          <reference field="0" count="1" selected="0">
            <x v="0"/>
          </reference>
          <reference field="5" count="1" selected="0">
            <x v="9"/>
          </reference>
          <reference field="45" count="1" selected="0">
            <x v="1"/>
          </reference>
        </references>
      </pivotArea>
    </format>
    <format dxfId="997">
      <pivotArea outline="0" collapsedLevelsAreSubtotals="1" fieldPosition="0">
        <references count="4">
          <reference field="4294967294" count="1" selected="0">
            <x v="35"/>
          </reference>
          <reference field="0" count="1" selected="0">
            <x v="6"/>
          </reference>
          <reference field="5" count="1" selected="0">
            <x v="0"/>
          </reference>
          <reference field="45" count="1" selected="0">
            <x v="0"/>
          </reference>
        </references>
      </pivotArea>
    </format>
    <format dxfId="996">
      <pivotArea outline="0" collapsedLevelsAreSubtotals="1" fieldPosition="0">
        <references count="4">
          <reference field="4294967294" count="1" selected="0">
            <x v="2"/>
          </reference>
          <reference field="0" count="1" selected="0">
            <x v="7"/>
          </reference>
          <reference field="5" count="6" selected="0">
            <x v="0"/>
            <x v="1"/>
            <x v="2"/>
            <x v="3"/>
            <x v="4"/>
            <x v="5"/>
          </reference>
          <reference field="45" count="1" selected="0">
            <x v="0"/>
          </reference>
        </references>
      </pivotArea>
    </format>
    <format dxfId="995">
      <pivotArea outline="0" collapsedLevelsAreSubtotals="1" fieldPosition="0">
        <references count="4">
          <reference field="4294967294" count="1" selected="0">
            <x v="11"/>
          </reference>
          <reference field="0" count="1" selected="0">
            <x v="7"/>
          </reference>
          <reference field="5" count="1" selected="0">
            <x v="5"/>
          </reference>
          <reference field="45" count="1" selected="0">
            <x v="0"/>
          </reference>
        </references>
      </pivotArea>
    </format>
    <format dxfId="994">
      <pivotArea outline="0" collapsedLevelsAreSubtotals="1" fieldPosition="0">
        <references count="4">
          <reference field="4294967294" count="1" selected="0">
            <x v="38"/>
          </reference>
          <reference field="0" count="1" selected="0">
            <x v="7"/>
          </reference>
          <reference field="5" count="1" selected="0">
            <x v="5"/>
          </reference>
          <reference field="45" count="1" selected="0">
            <x v="0"/>
          </reference>
        </references>
      </pivotArea>
    </format>
    <format dxfId="993">
      <pivotArea outline="0" collapsedLevelsAreSubtotals="1" fieldPosition="0">
        <references count="4">
          <reference field="4294967294" count="1" selected="0">
            <x v="5"/>
          </reference>
          <reference field="0" count="1" selected="0">
            <x v="7"/>
          </reference>
          <reference field="5" count="2" selected="0">
            <x v="8"/>
            <x v="9"/>
          </reference>
          <reference field="45" count="1" selected="0">
            <x v="1"/>
          </reference>
        </references>
      </pivotArea>
    </format>
    <format dxfId="992">
      <pivotArea outline="0" collapsedLevelsAreSubtotals="1" fieldPosition="0">
        <references count="4">
          <reference field="4294967294" count="1" selected="0">
            <x v="32"/>
          </reference>
          <reference field="0" count="1" selected="0">
            <x v="7"/>
          </reference>
          <reference field="5" count="1" selected="0">
            <x v="14"/>
          </reference>
          <reference field="45" count="1" selected="0">
            <x v="3"/>
          </reference>
        </references>
      </pivotArea>
    </format>
    <format dxfId="991">
      <pivotArea outline="0" collapsedLevelsAreSubtotals="1" fieldPosition="0">
        <references count="4">
          <reference field="4294967294" count="1" selected="0">
            <x v="2"/>
          </reference>
          <reference field="0" count="1" selected="0">
            <x v="8"/>
          </reference>
          <reference field="5" count="1" selected="0">
            <x v="4"/>
          </reference>
          <reference field="45" count="1" selected="0">
            <x v="0"/>
          </reference>
        </references>
      </pivotArea>
    </format>
    <format dxfId="990">
      <pivotArea outline="0" collapsedLevelsAreSubtotals="1" fieldPosition="0">
        <references count="4">
          <reference field="4294967294" count="1" selected="0">
            <x v="11"/>
          </reference>
          <reference field="0" count="1" selected="0">
            <x v="8"/>
          </reference>
          <reference field="5" count="1" selected="0">
            <x v="3"/>
          </reference>
          <reference field="45" count="1" selected="0">
            <x v="0"/>
          </reference>
        </references>
      </pivotArea>
    </format>
    <format dxfId="989">
      <pivotArea outline="0" collapsedLevelsAreSubtotals="1" fieldPosition="0">
        <references count="4">
          <reference field="4294967294" count="1" selected="0">
            <x v="38"/>
          </reference>
          <reference field="0" count="1" selected="0">
            <x v="8"/>
          </reference>
          <reference field="5" count="1" selected="0">
            <x v="3"/>
          </reference>
          <reference field="45" count="1" selected="0">
            <x v="0"/>
          </reference>
        </references>
      </pivotArea>
    </format>
    <format dxfId="988">
      <pivotArea outline="0" collapsedLevelsAreSubtotals="1" fieldPosition="0">
        <references count="4">
          <reference field="4294967294" count="1" selected="0">
            <x v="11"/>
          </reference>
          <reference field="0" count="1" selected="0">
            <x v="8"/>
          </reference>
          <reference field="5" count="1" selected="0">
            <x v="8"/>
          </reference>
          <reference field="45" count="1" selected="0">
            <x v="1"/>
          </reference>
        </references>
      </pivotArea>
    </format>
    <format dxfId="987">
      <pivotArea outline="0" collapsedLevelsAreSubtotals="1" fieldPosition="0">
        <references count="4">
          <reference field="4294967294" count="1" selected="0">
            <x v="35"/>
          </reference>
          <reference field="0" count="1" selected="0">
            <x v="8"/>
          </reference>
          <reference field="5" count="1" selected="0">
            <x v="14"/>
          </reference>
          <reference field="45" count="1" selected="0">
            <x v="3"/>
          </reference>
        </references>
      </pivotArea>
    </format>
    <format dxfId="986">
      <pivotArea outline="0" collapsedLevelsAreSubtotals="1" fieldPosition="0">
        <references count="3">
          <reference field="4294967294" count="1" selected="0">
            <x v="5"/>
          </reference>
          <reference field="0" count="1" selected="0">
            <x v="9"/>
          </reference>
          <reference field="45" count="1" selected="0">
            <x v="4"/>
          </reference>
        </references>
      </pivotArea>
    </format>
    <format dxfId="985">
      <pivotArea outline="0" collapsedLevelsAreSubtotals="1" fieldPosition="0">
        <references count="4">
          <reference field="4294967294" count="1" selected="0">
            <x v="2"/>
          </reference>
          <reference field="0" count="1" selected="0">
            <x v="9"/>
          </reference>
          <reference field="5" count="1" selected="0">
            <x v="14"/>
          </reference>
          <reference field="45" count="1" selected="0">
            <x v="3"/>
          </reference>
        </references>
      </pivotArea>
    </format>
    <format dxfId="984">
      <pivotArea outline="0" collapsedLevelsAreSubtotals="1" fieldPosition="0">
        <references count="4">
          <reference field="4294967294" count="1" selected="0">
            <x v="11"/>
          </reference>
          <reference field="0" count="1" selected="0">
            <x v="9"/>
          </reference>
          <reference field="5" count="2" selected="0">
            <x v="3"/>
            <x v="4"/>
          </reference>
          <reference field="45" count="1" selected="0">
            <x v="0"/>
          </reference>
        </references>
      </pivotArea>
    </format>
    <format dxfId="983">
      <pivotArea outline="0" collapsedLevelsAreSubtotals="1" fieldPosition="0">
        <references count="4">
          <reference field="4294967294" count="1" selected="0">
            <x v="35"/>
          </reference>
          <reference field="0" count="1" selected="0">
            <x v="9"/>
          </reference>
          <reference field="5" count="2" selected="0">
            <x v="0"/>
            <x v="1"/>
          </reference>
          <reference field="45" count="1" selected="0">
            <x v="0"/>
          </reference>
        </references>
      </pivotArea>
    </format>
    <format dxfId="982">
      <pivotArea outline="0" collapsedLevelsAreSubtotals="1" fieldPosition="0">
        <references count="4">
          <reference field="4294967294" count="1" selected="0">
            <x v="11"/>
          </reference>
          <reference field="0" count="1" selected="0">
            <x v="9"/>
          </reference>
          <reference field="5" count="1" selected="0">
            <x v="9"/>
          </reference>
          <reference field="45" count="1" selected="0">
            <x v="1"/>
          </reference>
        </references>
      </pivotArea>
    </format>
    <format dxfId="981">
      <pivotArea outline="0" collapsedLevelsAreSubtotals="1" fieldPosition="0">
        <references count="4">
          <reference field="4294967294" count="1" selected="0">
            <x v="20"/>
          </reference>
          <reference field="0" count="1" selected="0">
            <x v="9"/>
          </reference>
          <reference field="5" count="1" selected="0">
            <x v="14"/>
          </reference>
          <reference field="45" count="1" selected="0">
            <x v="3"/>
          </reference>
        </references>
      </pivotArea>
    </format>
    <format dxfId="980">
      <pivotArea outline="0" collapsedLevelsAreSubtotals="1" fieldPosition="0">
        <references count="4">
          <reference field="4294967294" count="1" selected="0">
            <x v="23"/>
          </reference>
          <reference field="0" count="1" selected="0">
            <x v="9"/>
          </reference>
          <reference field="5" count="1" selected="0">
            <x v="14"/>
          </reference>
          <reference field="45" count="1" selected="0">
            <x v="3"/>
          </reference>
        </references>
      </pivotArea>
    </format>
    <format dxfId="979">
      <pivotArea outline="0" collapsedLevelsAreSubtotals="1" fieldPosition="0">
        <references count="4">
          <reference field="4294967294" count="1" selected="0">
            <x v="29"/>
          </reference>
          <reference field="0" count="1" selected="0">
            <x v="9"/>
          </reference>
          <reference field="5" count="1" selected="0">
            <x v="14"/>
          </reference>
          <reference field="45" count="1" selected="0">
            <x v="3"/>
          </reference>
        </references>
      </pivotArea>
    </format>
    <format dxfId="978">
      <pivotArea outline="0" collapsedLevelsAreSubtotals="1" fieldPosition="0">
        <references count="3">
          <reference field="4294967294" count="1" selected="0">
            <x v="38"/>
          </reference>
          <reference field="0" count="1" selected="0">
            <x v="9"/>
          </reference>
          <reference field="45" count="1" selected="0">
            <x v="4"/>
          </reference>
        </references>
      </pivotArea>
    </format>
    <format dxfId="977">
      <pivotArea outline="0" collapsedLevelsAreSubtotals="1" fieldPosition="0">
        <references count="4">
          <reference field="4294967294" count="1" selected="0">
            <x v="38"/>
          </reference>
          <reference field="0" count="1" selected="0">
            <x v="9"/>
          </reference>
          <reference field="5" count="1" selected="0">
            <x v="14"/>
          </reference>
          <reference field="45" count="1" selected="0">
            <x v="3"/>
          </reference>
        </references>
      </pivotArea>
    </format>
    <format dxfId="976">
      <pivotArea outline="0" collapsedLevelsAreSubtotals="1" fieldPosition="0">
        <references count="4">
          <reference field="4294967294" count="1" selected="0">
            <x v="5"/>
          </reference>
          <reference field="0" count="1" selected="0">
            <x v="10"/>
          </reference>
          <reference field="5" count="1" selected="0">
            <x v="0"/>
          </reference>
          <reference field="45" count="1" selected="0">
            <x v="0"/>
          </reference>
        </references>
      </pivotArea>
    </format>
    <format dxfId="975">
      <pivotArea outline="0" collapsedLevelsAreSubtotals="1" fieldPosition="0">
        <references count="4">
          <reference field="4294967294" count="1" selected="0">
            <x v="11"/>
          </reference>
          <reference field="0" count="1" selected="0">
            <x v="10"/>
          </reference>
          <reference field="5" count="1" selected="0">
            <x v="0"/>
          </reference>
          <reference field="45" count="1" selected="0">
            <x v="0"/>
          </reference>
        </references>
      </pivotArea>
    </format>
    <format dxfId="974">
      <pivotArea outline="0" collapsedLevelsAreSubtotals="1" fieldPosition="0">
        <references count="4">
          <reference field="4294967294" count="1" selected="0">
            <x v="38"/>
          </reference>
          <reference field="0" count="1" selected="0">
            <x v="10"/>
          </reference>
          <reference field="5" count="1" selected="0">
            <x v="0"/>
          </reference>
          <reference field="45" count="1" selected="0">
            <x v="0"/>
          </reference>
        </references>
      </pivotArea>
    </format>
    <format dxfId="973">
      <pivotArea outline="0" collapsedLevelsAreSubtotals="1" fieldPosition="0">
        <references count="4">
          <reference field="4294967294" count="1" selected="0">
            <x v="8"/>
          </reference>
          <reference field="0" count="1" selected="0">
            <x v="10"/>
          </reference>
          <reference field="5" count="1" selected="0">
            <x v="7"/>
          </reference>
          <reference field="45" count="1" selected="0">
            <x v="1"/>
          </reference>
        </references>
      </pivotArea>
    </format>
    <format dxfId="972">
      <pivotArea outline="0" collapsedLevelsAreSubtotals="1" fieldPosition="0">
        <references count="4">
          <reference field="4294967294" count="1" selected="0">
            <x v="11"/>
          </reference>
          <reference field="0" count="1" selected="0">
            <x v="10"/>
          </reference>
          <reference field="5" count="1" selected="0">
            <x v="9"/>
          </reference>
          <reference field="45" count="1" selected="0">
            <x v="1"/>
          </reference>
        </references>
      </pivotArea>
    </format>
    <format dxfId="971">
      <pivotArea outline="0" collapsedLevelsAreSubtotals="1" fieldPosition="0">
        <references count="4">
          <reference field="4294967294" count="1" selected="0">
            <x v="38"/>
          </reference>
          <reference field="0" count="1" selected="0">
            <x v="10"/>
          </reference>
          <reference field="5" count="1" selected="0">
            <x v="9"/>
          </reference>
          <reference field="45" count="1" selected="0">
            <x v="1"/>
          </reference>
        </references>
      </pivotArea>
    </format>
    <format dxfId="970">
      <pivotArea outline="0" collapsedLevelsAreSubtotals="1" fieldPosition="0">
        <references count="4">
          <reference field="4294967294" count="1" selected="0">
            <x v="11"/>
          </reference>
          <reference field="0" count="1" selected="0">
            <x v="10"/>
          </reference>
          <reference field="5" count="1" selected="0">
            <x v="11"/>
          </reference>
          <reference field="45" count="1" selected="0">
            <x v="2"/>
          </reference>
        </references>
      </pivotArea>
    </format>
    <format dxfId="969">
      <pivotArea outline="0" collapsedLevelsAreSubtotals="1" fieldPosition="0">
        <references count="4">
          <reference field="4294967294" count="1" selected="0">
            <x v="38"/>
          </reference>
          <reference field="0" count="1" selected="0">
            <x v="10"/>
          </reference>
          <reference field="5" count="1" selected="0">
            <x v="11"/>
          </reference>
          <reference field="45" count="1" selected="0">
            <x v="2"/>
          </reference>
        </references>
      </pivotArea>
    </format>
    <format dxfId="968">
      <pivotArea outline="0" collapsedLevelsAreSubtotals="1" fieldPosition="0">
        <references count="4">
          <reference field="4294967294" count="1" selected="0">
            <x v="5"/>
          </reference>
          <reference field="0" count="1" selected="0">
            <x v="11"/>
          </reference>
          <reference field="5" count="1" selected="0">
            <x v="0"/>
          </reference>
          <reference field="45" count="1" selected="0">
            <x v="0"/>
          </reference>
        </references>
      </pivotArea>
    </format>
    <format dxfId="967">
      <pivotArea outline="0" collapsedLevelsAreSubtotals="1" fieldPosition="0">
        <references count="4">
          <reference field="4294967294" count="1" selected="0">
            <x v="5"/>
          </reference>
          <reference field="0" count="1" selected="0">
            <x v="11"/>
          </reference>
          <reference field="5" count="1" selected="0">
            <x v="2"/>
          </reference>
          <reference field="45" count="1" selected="0">
            <x v="0"/>
          </reference>
        </references>
      </pivotArea>
    </format>
    <format dxfId="966">
      <pivotArea outline="0" collapsedLevelsAreSubtotals="1" fieldPosition="0">
        <references count="4">
          <reference field="4294967294" count="1" selected="0">
            <x v="5"/>
          </reference>
          <reference field="0" count="1" selected="0">
            <x v="11"/>
          </reference>
          <reference field="5" count="1" selected="0">
            <x v="4"/>
          </reference>
          <reference field="45" count="1" selected="0">
            <x v="0"/>
          </reference>
        </references>
      </pivotArea>
    </format>
    <format dxfId="965">
      <pivotArea outline="0" collapsedLevelsAreSubtotals="1" fieldPosition="0">
        <references count="4">
          <reference field="4294967294" count="1" selected="0">
            <x v="5"/>
          </reference>
          <reference field="0" count="1" selected="0">
            <x v="11"/>
          </reference>
          <reference field="5" count="1" selected="0">
            <x v="5"/>
          </reference>
          <reference field="45" count="1" selected="0">
            <x v="0"/>
          </reference>
        </references>
      </pivotArea>
    </format>
    <format dxfId="964">
      <pivotArea outline="0" collapsedLevelsAreSubtotals="1" fieldPosition="0">
        <references count="4">
          <reference field="4294967294" count="1" selected="0">
            <x v="35"/>
          </reference>
          <reference field="0" count="1" selected="0">
            <x v="11"/>
          </reference>
          <reference field="5" count="1" selected="0">
            <x v="0"/>
          </reference>
          <reference field="45" count="1" selected="0">
            <x v="0"/>
          </reference>
        </references>
      </pivotArea>
    </format>
    <format dxfId="963">
      <pivotArea outline="0" collapsedLevelsAreSubtotals="1" fieldPosition="0">
        <references count="4">
          <reference field="4294967294" count="1" selected="0">
            <x v="5"/>
          </reference>
          <reference field="0" count="1" selected="0">
            <x v="11"/>
          </reference>
          <reference field="5" count="3" selected="0">
            <x v="7"/>
            <x v="8"/>
            <x v="9"/>
          </reference>
          <reference field="45" count="1" selected="0">
            <x v="1"/>
          </reference>
        </references>
      </pivotArea>
    </format>
    <format dxfId="962">
      <pivotArea outline="0" collapsedLevelsAreSubtotals="1" fieldPosition="0">
        <references count="4">
          <reference field="4294967294" count="1" selected="0">
            <x v="38"/>
          </reference>
          <reference field="0" count="1" selected="0">
            <x v="11"/>
          </reference>
          <reference field="5" count="1" selected="0">
            <x v="8"/>
          </reference>
          <reference field="45" count="1" selected="0">
            <x v="1"/>
          </reference>
        </references>
      </pivotArea>
    </format>
    <format dxfId="961">
      <pivotArea outline="0" collapsedLevelsAreSubtotals="1" fieldPosition="0">
        <references count="4">
          <reference field="4294967294" count="1" selected="0">
            <x v="35"/>
          </reference>
          <reference field="0" count="1" selected="0">
            <x v="11"/>
          </reference>
          <reference field="5" count="1" selected="0">
            <x v="14"/>
          </reference>
          <reference field="45" count="1" selected="0">
            <x v="3"/>
          </reference>
        </references>
      </pivotArea>
    </format>
    <format dxfId="960">
      <pivotArea outline="0" collapsedLevelsAreSubtotals="1" fieldPosition="0">
        <references count="3">
          <reference field="4294967294" count="1" selected="0">
            <x v="5"/>
          </reference>
          <reference field="0" count="1" selected="0">
            <x v="11"/>
          </reference>
          <reference field="45" count="1" selected="0">
            <x v="4"/>
          </reference>
        </references>
      </pivotArea>
    </format>
    <format dxfId="959">
      <pivotArea outline="0" collapsedLevelsAreSubtotals="1" fieldPosition="0">
        <references count="4">
          <reference field="4294967294" count="1" selected="0">
            <x v="11"/>
          </reference>
          <reference field="0" count="1" selected="0">
            <x v="12"/>
          </reference>
          <reference field="5" count="1" selected="0">
            <x v="11"/>
          </reference>
          <reference field="45" count="1" selected="0">
            <x v="2"/>
          </reference>
        </references>
      </pivotArea>
    </format>
    <format dxfId="958">
      <pivotArea outline="0" collapsedLevelsAreSubtotals="1" fieldPosition="0">
        <references count="4">
          <reference field="4294967294" count="1" selected="0">
            <x v="24"/>
          </reference>
          <reference field="0" count="1" selected="0">
            <x v="12"/>
          </reference>
          <reference field="5" count="1" selected="0">
            <x v="14"/>
          </reference>
          <reference field="45" count="1" selected="0">
            <x v="3"/>
          </reference>
        </references>
      </pivotArea>
    </format>
    <format dxfId="957">
      <pivotArea outline="0" collapsedLevelsAreSubtotals="1" fieldPosition="0">
        <references count="4">
          <reference field="4294967294" count="1" selected="0">
            <x v="2"/>
          </reference>
          <reference field="0" count="1" selected="0">
            <x v="13"/>
          </reference>
          <reference field="5" count="1" selected="0">
            <x v="3"/>
          </reference>
          <reference field="45" count="1" selected="0">
            <x v="0"/>
          </reference>
        </references>
      </pivotArea>
    </format>
    <format dxfId="956">
      <pivotArea outline="0" collapsedLevelsAreSubtotals="1" fieldPosition="0">
        <references count="4">
          <reference field="4294967294" count="1" selected="0">
            <x v="2"/>
          </reference>
          <reference field="0" count="1" selected="0">
            <x v="13"/>
          </reference>
          <reference field="5" count="1" selected="0">
            <x v="4"/>
          </reference>
          <reference field="45" count="1" selected="0">
            <x v="0"/>
          </reference>
        </references>
      </pivotArea>
    </format>
    <format dxfId="955">
      <pivotArea outline="0" collapsedLevelsAreSubtotals="1" fieldPosition="0">
        <references count="4">
          <reference field="4294967294" count="1" selected="0">
            <x v="5"/>
          </reference>
          <reference field="0" count="1" selected="0">
            <x v="13"/>
          </reference>
          <reference field="5" count="1" selected="0">
            <x v="0"/>
          </reference>
          <reference field="45" count="1" selected="0">
            <x v="0"/>
          </reference>
        </references>
      </pivotArea>
    </format>
    <format dxfId="954">
      <pivotArea outline="0" collapsedLevelsAreSubtotals="1" fieldPosition="0">
        <references count="4">
          <reference field="4294967294" count="1" selected="0">
            <x v="5"/>
          </reference>
          <reference field="0" count="1" selected="0">
            <x v="13"/>
          </reference>
          <reference field="5" count="1" selected="0">
            <x v="1"/>
          </reference>
          <reference field="45" count="1" selected="0">
            <x v="0"/>
          </reference>
        </references>
      </pivotArea>
    </format>
    <format dxfId="953">
      <pivotArea outline="0" collapsedLevelsAreSubtotals="1" fieldPosition="0">
        <references count="4">
          <reference field="4294967294" count="1" selected="0">
            <x v="5"/>
          </reference>
          <reference field="0" count="1" selected="0">
            <x v="13"/>
          </reference>
          <reference field="5" count="1" selected="0">
            <x v="2"/>
          </reference>
          <reference field="45" count="1" selected="0">
            <x v="0"/>
          </reference>
        </references>
      </pivotArea>
    </format>
    <format dxfId="952">
      <pivotArea outline="0" collapsedLevelsAreSubtotals="1" fieldPosition="0">
        <references count="4">
          <reference field="4294967294" count="1" selected="0">
            <x v="11"/>
          </reference>
          <reference field="0" count="1" selected="0">
            <x v="13"/>
          </reference>
          <reference field="5" count="1" selected="0">
            <x v="1"/>
          </reference>
          <reference field="45" count="1" selected="0">
            <x v="0"/>
          </reference>
        </references>
      </pivotArea>
    </format>
    <format dxfId="951">
      <pivotArea outline="0" collapsedLevelsAreSubtotals="1" fieldPosition="0">
        <references count="4">
          <reference field="4294967294" count="1" selected="0">
            <x v="2"/>
          </reference>
          <reference field="0" count="1" selected="0">
            <x v="13"/>
          </reference>
          <reference field="5" count="1" selected="0">
            <x v="10"/>
          </reference>
          <reference field="45" count="1" selected="0">
            <x v="1"/>
          </reference>
        </references>
      </pivotArea>
    </format>
    <format dxfId="950">
      <pivotArea outline="0" collapsedLevelsAreSubtotals="1" fieldPosition="0">
        <references count="4">
          <reference field="4294967294" count="1" selected="0">
            <x v="8"/>
          </reference>
          <reference field="0" count="1" selected="0">
            <x v="13"/>
          </reference>
          <reference field="5" count="1" selected="0">
            <x v="10"/>
          </reference>
          <reference field="45" count="1" selected="0">
            <x v="1"/>
          </reference>
        </references>
      </pivotArea>
    </format>
    <format dxfId="949">
      <pivotArea outline="0" collapsedLevelsAreSubtotals="1" fieldPosition="0">
        <references count="4">
          <reference field="4294967294" count="1" selected="0">
            <x v="38"/>
          </reference>
          <reference field="0" count="1" selected="0">
            <x v="13"/>
          </reference>
          <reference field="5" count="1" selected="0">
            <x v="10"/>
          </reference>
          <reference field="45" count="1" selected="0">
            <x v="1"/>
          </reference>
        </references>
      </pivotArea>
    </format>
    <format dxfId="948">
      <pivotArea outline="0" collapsedLevelsAreSubtotals="1" fieldPosition="0">
        <references count="4">
          <reference field="4294967294" count="1" selected="0">
            <x v="38"/>
          </reference>
          <reference field="0" count="1" selected="0">
            <x v="13"/>
          </reference>
          <reference field="5" count="1" selected="0">
            <x v="1"/>
          </reference>
          <reference field="45" count="1" selected="0">
            <x v="0"/>
          </reference>
        </references>
      </pivotArea>
    </format>
    <format dxfId="947">
      <pivotArea outline="0" collapsedLevelsAreSubtotals="1" fieldPosition="0">
        <references count="4">
          <reference field="4294967294" count="1" selected="0">
            <x v="38"/>
          </reference>
          <reference field="0" count="1" selected="0">
            <x v="13"/>
          </reference>
          <reference field="5" count="2" selected="0">
            <x v="3"/>
            <x v="4"/>
          </reference>
          <reference field="45" count="1" selected="0">
            <x v="0"/>
          </reference>
        </references>
      </pivotArea>
    </format>
    <format dxfId="946">
      <pivotArea outline="0" collapsedLevelsAreSubtotals="1" fieldPosition="0">
        <references count="3">
          <reference field="4294967294" count="1" selected="0">
            <x v="20"/>
          </reference>
          <reference field="0" count="1" selected="0">
            <x v="13"/>
          </reference>
          <reference field="45" count="1" selected="0">
            <x v="4"/>
          </reference>
        </references>
      </pivotArea>
    </format>
    <format dxfId="945">
      <pivotArea outline="0" collapsedLevelsAreSubtotals="1" fieldPosition="0">
        <references count="4">
          <reference field="4294967294" count="1" selected="0">
            <x v="32"/>
          </reference>
          <reference field="0" count="1" selected="0">
            <x v="13"/>
          </reference>
          <reference field="5" count="1" selected="0">
            <x v="14"/>
          </reference>
          <reference field="45" count="1" selected="0">
            <x v="3"/>
          </reference>
        </references>
      </pivotArea>
    </format>
    <format dxfId="944">
      <pivotArea outline="0" collapsedLevelsAreSubtotals="1" fieldPosition="0">
        <references count="4">
          <reference field="4294967294" count="1" selected="0">
            <x v="1"/>
          </reference>
          <reference field="0" count="1" selected="0">
            <x v="15"/>
          </reference>
          <reference field="5" count="1" selected="0">
            <x v="14"/>
          </reference>
          <reference field="45" count="1" selected="0">
            <x v="3"/>
          </reference>
        </references>
      </pivotArea>
    </format>
    <format dxfId="943">
      <pivotArea outline="0" collapsedLevelsAreSubtotals="1" fieldPosition="0">
        <references count="4">
          <reference field="4294967294" count="1" selected="0">
            <x v="32"/>
          </reference>
          <reference field="0" count="1" selected="0">
            <x v="15"/>
          </reference>
          <reference field="5" count="1" selected="0">
            <x v="14"/>
          </reference>
          <reference field="45" count="1" selected="0">
            <x v="3"/>
          </reference>
        </references>
      </pivotArea>
    </format>
    <format dxfId="942">
      <pivotArea dataOnly="0" labelOnly="1" outline="0" offset="IV1" fieldPosition="0">
        <references count="1">
          <reference field="45" count="1" defaultSubtotal="1">
            <x v="2"/>
          </reference>
        </references>
      </pivotArea>
    </format>
    <format dxfId="941">
      <pivotArea dataOnly="0" labelOnly="1" outline="0" fieldPosition="0">
        <references count="1">
          <reference field="45" count="1" defaultSubtotal="1">
            <x v="2"/>
          </reference>
        </references>
      </pivotArea>
    </format>
    <format dxfId="940">
      <pivotArea dataOnly="0" labelOnly="1" outline="0" fieldPosition="0">
        <references count="1">
          <reference field="45" count="1" defaultSubtotal="1">
            <x v="2"/>
          </reference>
        </references>
      </pivotArea>
    </format>
    <format dxfId="939">
      <pivotArea dataOnly="0" labelOnly="1" outline="0" offset="IV1" fieldPosition="0">
        <references count="1">
          <reference field="45" count="1" defaultSubtotal="1">
            <x v="2"/>
          </reference>
        </references>
      </pivotArea>
    </format>
    <format dxfId="938">
      <pivotArea dataOnly="0" labelOnly="1" outline="0" offset="IV1" fieldPosition="0">
        <references count="1">
          <reference field="45" count="1" defaultSubtotal="1">
            <x v="3"/>
          </reference>
        </references>
      </pivotArea>
    </format>
    <format dxfId="937">
      <pivotArea outline="0" collapsedLevelsAreSubtotals="1" fieldPosition="0">
        <references count="4">
          <reference field="4294967294" count="1" selected="0">
            <x v="38"/>
          </reference>
          <reference field="0" count="1" selected="0">
            <x v="15"/>
          </reference>
          <reference field="5" count="1" selected="0">
            <x v="2"/>
          </reference>
          <reference field="45" count="1" selected="0">
            <x v="0"/>
          </reference>
        </references>
      </pivotArea>
    </format>
    <format dxfId="936">
      <pivotArea outline="0" collapsedLevelsAreSubtotals="1" fieldPosition="0">
        <references count="4">
          <reference field="4294967294" count="1" selected="0">
            <x v="38"/>
          </reference>
          <reference field="0" count="1" selected="0">
            <x v="15"/>
          </reference>
          <reference field="5" count="1" selected="0">
            <x v="5"/>
          </reference>
          <reference field="45" count="1" selected="0">
            <x v="0"/>
          </reference>
        </references>
      </pivotArea>
    </format>
    <format dxfId="935">
      <pivotArea outline="0" collapsedLevelsAreSubtotals="1" fieldPosition="0">
        <references count="4">
          <reference field="4294967294" count="1" selected="0">
            <x v="2"/>
          </reference>
          <reference field="0" count="1" selected="0">
            <x v="15"/>
          </reference>
          <reference field="5" count="1" selected="0">
            <x v="0"/>
          </reference>
          <reference field="45" count="1" selected="0">
            <x v="0"/>
          </reference>
        </references>
      </pivotArea>
    </format>
    <format dxfId="934">
      <pivotArea outline="0" collapsedLevelsAreSubtotals="1" fieldPosition="0">
        <references count="4">
          <reference field="4294967294" count="1" selected="0">
            <x v="2"/>
          </reference>
          <reference field="0" count="1" selected="0">
            <x v="15"/>
          </reference>
          <reference field="5" count="1" selected="0">
            <x v="2"/>
          </reference>
          <reference field="45" count="1" selected="0">
            <x v="0"/>
          </reference>
        </references>
      </pivotArea>
    </format>
    <format dxfId="933">
      <pivotArea outline="0" collapsedLevelsAreSubtotals="1" fieldPosition="0">
        <references count="4">
          <reference field="4294967294" count="1" selected="0">
            <x v="2"/>
          </reference>
          <reference field="0" count="1" selected="0">
            <x v="15"/>
          </reference>
          <reference field="5" count="1" selected="0">
            <x v="4"/>
          </reference>
          <reference field="45" count="1" selected="0">
            <x v="0"/>
          </reference>
        </references>
      </pivotArea>
    </format>
    <format dxfId="932">
      <pivotArea outline="0" collapsedLevelsAreSubtotals="1" fieldPosition="0">
        <references count="4">
          <reference field="4294967294" count="1" selected="0">
            <x v="2"/>
          </reference>
          <reference field="0" count="1" selected="0">
            <x v="15"/>
          </reference>
          <reference field="5" count="1" selected="0">
            <x v="5"/>
          </reference>
          <reference field="45" count="1" selected="0">
            <x v="0"/>
          </reference>
        </references>
      </pivotArea>
    </format>
    <format dxfId="931">
      <pivotArea outline="0" collapsedLevelsAreSubtotals="1" fieldPosition="0">
        <references count="4">
          <reference field="4294967294" count="1" selected="0">
            <x v="2"/>
          </reference>
          <reference field="0" count="1" selected="0">
            <x v="15"/>
          </reference>
          <reference field="5" count="1" selected="0">
            <x v="6"/>
          </reference>
          <reference field="45" count="1" selected="0">
            <x v="1"/>
          </reference>
        </references>
      </pivotArea>
    </format>
    <format dxfId="930">
      <pivotArea outline="0" collapsedLevelsAreSubtotals="1" fieldPosition="0">
        <references count="4">
          <reference field="4294967294" count="1" selected="0">
            <x v="5"/>
          </reference>
          <reference field="0" count="1" selected="0">
            <x v="15"/>
          </reference>
          <reference field="5" count="1" selected="0">
            <x v="2"/>
          </reference>
          <reference field="45" count="1" selected="0">
            <x v="0"/>
          </reference>
        </references>
      </pivotArea>
    </format>
    <format dxfId="929">
      <pivotArea outline="0" collapsedLevelsAreSubtotals="1" fieldPosition="0">
        <references count="4">
          <reference field="4294967294" count="1" selected="0">
            <x v="2"/>
          </reference>
          <reference field="0" count="1" selected="0">
            <x v="15"/>
          </reference>
          <reference field="5" count="2" selected="0">
            <x v="8"/>
            <x v="9"/>
          </reference>
          <reference field="45" count="1" selected="0">
            <x v="1"/>
          </reference>
        </references>
      </pivotArea>
    </format>
    <format dxfId="928">
      <pivotArea outline="0" collapsedLevelsAreSubtotals="1" fieldPosition="0">
        <references count="3">
          <reference field="4294967294" count="1" selected="0">
            <x v="20"/>
          </reference>
          <reference field="0" count="1" selected="0">
            <x v="12"/>
          </reference>
          <reference field="45" count="1" selected="0">
            <x v="4"/>
          </reference>
        </references>
      </pivotArea>
    </format>
    <format dxfId="927">
      <pivotArea outline="0" collapsedLevelsAreSubtotals="1" fieldPosition="0">
        <references count="4">
          <reference field="4294967294" count="1" selected="0">
            <x v="23"/>
          </reference>
          <reference field="0" count="1" selected="0">
            <x v="12"/>
          </reference>
          <reference field="5" count="1" selected="0">
            <x v="14"/>
          </reference>
          <reference field="45" count="1" selected="0">
            <x v="3"/>
          </reference>
        </references>
      </pivotArea>
    </format>
    <format dxfId="926">
      <pivotArea outline="0" collapsedLevelsAreSubtotals="1" fieldPosition="0">
        <references count="4">
          <reference field="4294967294" count="1" selected="0">
            <x v="8"/>
          </reference>
          <reference field="0" count="1" selected="0">
            <x v="1"/>
          </reference>
          <reference field="5" count="1" selected="0">
            <x v="5"/>
          </reference>
          <reference field="45" count="1" selected="0">
            <x v="0"/>
          </reference>
        </references>
      </pivotArea>
    </format>
    <format dxfId="925">
      <pivotArea outline="0" collapsedLevelsAreSubtotals="1" fieldPosition="0">
        <references count="4">
          <reference field="4294967294" count="1" selected="0">
            <x v="8"/>
          </reference>
          <reference field="0" count="1" selected="0">
            <x v="1"/>
          </reference>
          <reference field="5" count="1" selected="0">
            <x v="7"/>
          </reference>
          <reference field="45" count="1" selected="0">
            <x v="1"/>
          </reference>
        </references>
      </pivotArea>
    </format>
    <format dxfId="924">
      <pivotArea outline="0" collapsedLevelsAreSubtotals="1" fieldPosition="0">
        <references count="4">
          <reference field="4294967294" count="1" selected="0">
            <x v="35"/>
          </reference>
          <reference field="0" count="1" selected="0">
            <x v="1"/>
          </reference>
          <reference field="5" count="1" selected="0">
            <x v="14"/>
          </reference>
          <reference field="45" count="1" selected="0">
            <x v="3"/>
          </reference>
        </references>
      </pivotArea>
    </format>
  </formats>
  <pivotTableStyleInfo showRowHeaders="1" showColHeaders="1" showRowStripes="0" showColStripes="0" showLastColumn="1"/>
</pivotTableDefinition>
</file>

<file path=xl/pivotTables/pivotTable2.xml><?xml version="1.0" encoding="utf-8"?>
<pivotTableDefinition xmlns="http://schemas.openxmlformats.org/spreadsheetml/2006/main" name="PivotTable2" cacheId="1" dataOnRows="1" applyNumberFormats="0" applyBorderFormats="0" applyFontFormats="0" applyPatternFormats="0" applyAlignmentFormats="0" applyWidthHeightFormats="1" dataCaption="Data" updatedVersion="4" minRefreshableVersion="3" asteriskTotals="1" showMultipleLabel="0" showMemberPropertyTips="0" useAutoFormatting="1" itemPrintTitles="1" createdVersion="3" indent="0" compact="0" compactData="0" gridDropZones="1">
  <location ref="C2:U97" firstHeaderRow="1" firstDataRow="2" firstDataCol="2"/>
  <pivotFields count="51">
    <pivotField axis="axisCol" compact="0" outline="0" subtotalTop="0" showAll="0" includeNewItemsInFilter="1" sortType="ascending">
      <items count="18">
        <item x="0"/>
        <item x="1"/>
        <item x="2"/>
        <item x="3"/>
        <item x="4"/>
        <item x="5"/>
        <item x="6"/>
        <item x="7"/>
        <item x="8"/>
        <item x="9"/>
        <item x="10"/>
        <item x="11"/>
        <item x="12"/>
        <item x="13"/>
        <item x="14"/>
        <item x="15"/>
        <item h="1" m="1" x="16"/>
        <item t="default"/>
      </items>
    </pivotField>
    <pivotField axis="axisRow" compact="0" outline="0" subtotalTop="0" showAll="0" includeNewItemsInFilter="1" sortType="ascending">
      <items count="48">
        <item n="1A" x="0"/>
        <item x="2"/>
        <item x="3"/>
        <item x="4"/>
        <item n="1B3" x="5"/>
        <item n="1B4" x="6"/>
        <item x="43"/>
        <item x="7"/>
        <item x="8"/>
        <item n="1C" x="10"/>
        <item n="1C1" x="42"/>
        <item x="44"/>
        <item x="40"/>
        <item x="45"/>
        <item n="1C6" x="11"/>
        <item x="12"/>
        <item n="1D" x="1"/>
        <item x="41"/>
        <item n="1F" x="9"/>
        <item n="1G" x="13"/>
        <item n="2A" x="14"/>
        <item n="2A1" x="15"/>
        <item x="16"/>
        <item n="2A3" x="17"/>
        <item n="2A4" x="18"/>
        <item n="2B" x="19"/>
        <item n="2C" x="20"/>
        <item n="2C1" x="21"/>
        <item n="2C2" x="22"/>
        <item n="2C3" x="23"/>
        <item n="2D" x="24"/>
        <item n="2D1" x="25"/>
        <item n="2D1a" x="26"/>
        <item n="2D1b" x="27"/>
        <item n="2D1c" x="28"/>
        <item n="2D1c1" x="29"/>
        <item x="30"/>
        <item n="2D1d" x="31"/>
        <item n="2D1d1" x="32"/>
        <item x="33"/>
        <item n="2D2" x="34"/>
        <item n="2D2a" x="35"/>
        <item n="2D2b" x="36"/>
        <item n="2D3" x="37"/>
        <item n="2D3a" x="38"/>
        <item n="2D3b" x="39"/>
        <item h="1" m="1" x="46"/>
        <item t="default"/>
      </items>
    </pivotField>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items count="19">
        <item x="0"/>
        <item x="1"/>
        <item x="2"/>
        <item x="3"/>
        <item x="4"/>
        <item x="5"/>
        <item x="14"/>
        <item x="6"/>
        <item x="7"/>
        <item x="8"/>
        <item x="15"/>
        <item x="9"/>
        <item x="10"/>
        <item m="1" x="17"/>
        <item x="16"/>
        <item x="11"/>
        <item x="12"/>
        <item x="13"/>
        <item t="default"/>
      </items>
    </pivotField>
    <pivotField compact="0" numFmtId="37"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numFmtId="37"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numFmtId="37" outline="0" subtotalTop="0" showAll="0" includeNewItemsInFilter="1"/>
    <pivotField compact="0" outline="0" showAll="0" defaultSubtotal="0"/>
    <pivotField compact="0" outline="0" subtotalTop="0" showAll="0" includeNewItemsInFilter="1"/>
    <pivotField compact="0" outline="0" showAll="0" defaultSubtotal="0"/>
    <pivotField dataField="1" compact="0" outline="0" subtotalTop="0" showAll="0" includeNewItemsInFilter="1"/>
    <pivotField dataField="1" compact="0" outline="0" subtotalTop="0" showAll="0" includeNewItemsInFilter="1"/>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showAll="0" includeNewItemsInFilter="1" defaultSubtotal="0">
      <items count="7">
        <item x="0"/>
        <item x="1"/>
        <item x="2"/>
        <item x="3"/>
        <item x="4"/>
        <item x="6"/>
        <item x="5"/>
      </items>
    </pivotField>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s>
  <rowFields count="2">
    <field x="1"/>
    <field x="-2"/>
  </rowFields>
  <rowItems count="94">
    <i>
      <x/>
      <x/>
    </i>
    <i r="1" i="1">
      <x v="1"/>
    </i>
    <i>
      <x v="1"/>
      <x/>
    </i>
    <i r="1" i="1">
      <x v="1"/>
    </i>
    <i>
      <x v="2"/>
      <x/>
    </i>
    <i r="1" i="1">
      <x v="1"/>
    </i>
    <i>
      <x v="3"/>
      <x/>
    </i>
    <i r="1" i="1">
      <x v="1"/>
    </i>
    <i>
      <x v="4"/>
      <x/>
    </i>
    <i r="1" i="1">
      <x v="1"/>
    </i>
    <i>
      <x v="5"/>
      <x/>
    </i>
    <i r="1" i="1">
      <x v="1"/>
    </i>
    <i>
      <x v="6"/>
      <x/>
    </i>
    <i r="1" i="1">
      <x v="1"/>
    </i>
    <i>
      <x v="7"/>
      <x/>
    </i>
    <i r="1" i="1">
      <x v="1"/>
    </i>
    <i>
      <x v="8"/>
      <x/>
    </i>
    <i r="1" i="1">
      <x v="1"/>
    </i>
    <i>
      <x v="9"/>
      <x/>
    </i>
    <i r="1" i="1">
      <x v="1"/>
    </i>
    <i>
      <x v="10"/>
      <x/>
    </i>
    <i r="1" i="1">
      <x v="1"/>
    </i>
    <i>
      <x v="11"/>
      <x/>
    </i>
    <i r="1" i="1">
      <x v="1"/>
    </i>
    <i>
      <x v="12"/>
      <x/>
    </i>
    <i r="1" i="1">
      <x v="1"/>
    </i>
    <i>
      <x v="13"/>
      <x/>
    </i>
    <i r="1" i="1">
      <x v="1"/>
    </i>
    <i>
      <x v="14"/>
      <x/>
    </i>
    <i r="1" i="1">
      <x v="1"/>
    </i>
    <i>
      <x v="15"/>
      <x/>
    </i>
    <i r="1" i="1">
      <x v="1"/>
    </i>
    <i>
      <x v="16"/>
      <x/>
    </i>
    <i r="1" i="1">
      <x v="1"/>
    </i>
    <i>
      <x v="17"/>
      <x/>
    </i>
    <i r="1" i="1">
      <x v="1"/>
    </i>
    <i>
      <x v="18"/>
      <x/>
    </i>
    <i r="1" i="1">
      <x v="1"/>
    </i>
    <i>
      <x v="19"/>
      <x/>
    </i>
    <i r="1" i="1">
      <x v="1"/>
    </i>
    <i>
      <x v="20"/>
      <x/>
    </i>
    <i r="1" i="1">
      <x v="1"/>
    </i>
    <i>
      <x v="21"/>
      <x/>
    </i>
    <i r="1" i="1">
      <x v="1"/>
    </i>
    <i>
      <x v="22"/>
      <x/>
    </i>
    <i r="1" i="1">
      <x v="1"/>
    </i>
    <i>
      <x v="23"/>
      <x/>
    </i>
    <i r="1" i="1">
      <x v="1"/>
    </i>
    <i>
      <x v="24"/>
      <x/>
    </i>
    <i r="1" i="1">
      <x v="1"/>
    </i>
    <i>
      <x v="25"/>
      <x/>
    </i>
    <i r="1" i="1">
      <x v="1"/>
    </i>
    <i>
      <x v="26"/>
      <x/>
    </i>
    <i r="1" i="1">
      <x v="1"/>
    </i>
    <i>
      <x v="27"/>
      <x/>
    </i>
    <i r="1" i="1">
      <x v="1"/>
    </i>
    <i>
      <x v="28"/>
      <x/>
    </i>
    <i r="1" i="1">
      <x v="1"/>
    </i>
    <i>
      <x v="29"/>
      <x/>
    </i>
    <i r="1" i="1">
      <x v="1"/>
    </i>
    <i>
      <x v="30"/>
      <x/>
    </i>
    <i r="1" i="1">
      <x v="1"/>
    </i>
    <i>
      <x v="31"/>
      <x/>
    </i>
    <i r="1" i="1">
      <x v="1"/>
    </i>
    <i>
      <x v="32"/>
      <x/>
    </i>
    <i r="1" i="1">
      <x v="1"/>
    </i>
    <i>
      <x v="33"/>
      <x/>
    </i>
    <i r="1" i="1">
      <x v="1"/>
    </i>
    <i>
      <x v="34"/>
      <x/>
    </i>
    <i r="1" i="1">
      <x v="1"/>
    </i>
    <i>
      <x v="35"/>
      <x/>
    </i>
    <i r="1" i="1">
      <x v="1"/>
    </i>
    <i>
      <x v="36"/>
      <x/>
    </i>
    <i r="1" i="1">
      <x v="1"/>
    </i>
    <i>
      <x v="37"/>
      <x/>
    </i>
    <i r="1" i="1">
      <x v="1"/>
    </i>
    <i>
      <x v="38"/>
      <x/>
    </i>
    <i r="1" i="1">
      <x v="1"/>
    </i>
    <i>
      <x v="39"/>
      <x/>
    </i>
    <i r="1" i="1">
      <x v="1"/>
    </i>
    <i>
      <x v="40"/>
      <x/>
    </i>
    <i r="1" i="1">
      <x v="1"/>
    </i>
    <i>
      <x v="41"/>
      <x/>
    </i>
    <i r="1" i="1">
      <x v="1"/>
    </i>
    <i>
      <x v="42"/>
      <x/>
    </i>
    <i r="1" i="1">
      <x v="1"/>
    </i>
    <i>
      <x v="43"/>
      <x/>
    </i>
    <i r="1" i="1">
      <x v="1"/>
    </i>
    <i>
      <x v="44"/>
      <x/>
    </i>
    <i r="1" i="1">
      <x v="1"/>
    </i>
    <i>
      <x v="45"/>
      <x/>
    </i>
    <i r="1" i="1">
      <x v="1"/>
    </i>
    <i t="grand">
      <x/>
    </i>
    <i t="grand" i="1">
      <x/>
    </i>
  </rowItems>
  <colFields count="1">
    <field x="0"/>
  </colFields>
  <colItems count="17">
    <i>
      <x/>
    </i>
    <i>
      <x v="1"/>
    </i>
    <i>
      <x v="2"/>
    </i>
    <i>
      <x v="3"/>
    </i>
    <i>
      <x v="4"/>
    </i>
    <i>
      <x v="5"/>
    </i>
    <i>
      <x v="6"/>
    </i>
    <i>
      <x v="7"/>
    </i>
    <i>
      <x v="8"/>
    </i>
    <i>
      <x v="9"/>
    </i>
    <i>
      <x v="10"/>
    </i>
    <i>
      <x v="11"/>
    </i>
    <i>
      <x v="12"/>
    </i>
    <i>
      <x v="13"/>
    </i>
    <i>
      <x v="14"/>
    </i>
    <i>
      <x v="15"/>
    </i>
    <i t="grand">
      <x/>
    </i>
  </colItems>
  <dataFields count="2">
    <dataField name="Total-Old" fld="34" baseField="0" baseItem="0" numFmtId="37"/>
    <dataField name="Total-New" fld="35" baseField="0" baseItem="0" numFmtId="37"/>
  </dataFields>
  <formats count="211">
    <format dxfId="923">
      <pivotArea type="origin" dataOnly="0" labelOnly="1" outline="0" fieldPosition="0"/>
    </format>
    <format dxfId="922">
      <pivotArea type="all" dataOnly="0" labelOnly="1" outline="0" fieldPosition="0"/>
    </format>
    <format dxfId="921">
      <pivotArea dataOnly="0" labelOnly="1" outline="0" offset="IV1" fieldPosition="0">
        <references count="1">
          <reference field="1" count="1">
            <x v="34"/>
          </reference>
        </references>
      </pivotArea>
    </format>
    <format dxfId="920">
      <pivotArea dataOnly="0" labelOnly="1" outline="0" fieldPosition="0">
        <references count="1">
          <reference field="1" count="2">
            <x v="34"/>
            <x v="35"/>
          </reference>
        </references>
      </pivotArea>
    </format>
    <format dxfId="919">
      <pivotArea dataOnly="0" labelOnly="1" outline="0" fieldPosition="0">
        <references count="1">
          <reference field="1" count="3">
            <x v="40"/>
            <x v="41"/>
            <x v="42"/>
          </reference>
        </references>
      </pivotArea>
    </format>
    <format dxfId="918">
      <pivotArea dataOnly="0" labelOnly="1" outline="0" fieldPosition="0">
        <references count="1">
          <reference field="0" count="0"/>
        </references>
      </pivotArea>
    </format>
    <format dxfId="917">
      <pivotArea dataOnly="0" labelOnly="1" grandCol="1" outline="0" fieldPosition="0"/>
    </format>
    <format dxfId="916">
      <pivotArea type="topRight" dataOnly="0" labelOnly="1" outline="0" offset="F1" fieldPosition="0"/>
    </format>
    <format dxfId="915">
      <pivotArea type="topRight" dataOnly="0" labelOnly="1" outline="0" offset="C1" fieldPosition="0"/>
    </format>
    <format dxfId="914">
      <pivotArea type="topRight" dataOnly="0" labelOnly="1" outline="0" offset="C1" fieldPosition="0"/>
    </format>
    <format dxfId="913">
      <pivotArea type="topRight" dataOnly="0" labelOnly="1" outline="0" offset="F1" fieldPosition="0"/>
    </format>
    <format dxfId="912">
      <pivotArea type="all" dataOnly="0" outline="0" fieldPosition="0"/>
    </format>
    <format dxfId="911">
      <pivotArea outline="0" fieldPosition="0">
        <references count="1">
          <reference field="1" count="7" selected="0">
            <x v="34"/>
            <x v="35"/>
            <x v="37"/>
            <x v="38"/>
            <x v="40"/>
            <x v="41"/>
            <x v="42"/>
          </reference>
        </references>
      </pivotArea>
    </format>
    <format dxfId="910">
      <pivotArea outline="0" fieldPosition="0">
        <references count="2">
          <reference field="4294967294" count="1" selected="0">
            <x v="0"/>
          </reference>
          <reference field="1" count="1" selected="0">
            <x v="43"/>
          </reference>
        </references>
      </pivotArea>
    </format>
    <format dxfId="909">
      <pivotArea dataOnly="0" labelOnly="1" outline="0" fieldPosition="0">
        <references count="1">
          <reference field="1" count="7">
            <x v="34"/>
            <x v="35"/>
            <x v="37"/>
            <x v="38"/>
            <x v="40"/>
            <x v="41"/>
            <x v="42"/>
          </reference>
        </references>
      </pivotArea>
    </format>
    <format dxfId="908">
      <pivotArea dataOnly="0" labelOnly="1" outline="0" offset="IV1" fieldPosition="0">
        <references count="1">
          <reference field="1" count="1">
            <x v="43"/>
          </reference>
        </references>
      </pivotArea>
    </format>
    <format dxfId="907">
      <pivotArea dataOnly="0" labelOnly="1" outline="0" fieldPosition="0">
        <references count="2">
          <reference field="4294967294" count="0"/>
          <reference field="1" count="1" selected="0">
            <x v="34"/>
          </reference>
        </references>
      </pivotArea>
    </format>
    <format dxfId="906">
      <pivotArea dataOnly="0" labelOnly="1" outline="0" fieldPosition="0">
        <references count="2">
          <reference field="4294967294" count="0"/>
          <reference field="1" count="1" selected="0">
            <x v="35"/>
          </reference>
        </references>
      </pivotArea>
    </format>
    <format dxfId="905">
      <pivotArea dataOnly="0" labelOnly="1" outline="0" fieldPosition="0">
        <references count="2">
          <reference field="4294967294" count="0"/>
          <reference field="1" count="1" selected="0">
            <x v="37"/>
          </reference>
        </references>
      </pivotArea>
    </format>
    <format dxfId="904">
      <pivotArea dataOnly="0" labelOnly="1" outline="0" fieldPosition="0">
        <references count="2">
          <reference field="4294967294" count="0"/>
          <reference field="1" count="1" selected="0">
            <x v="38"/>
          </reference>
        </references>
      </pivotArea>
    </format>
    <format dxfId="903">
      <pivotArea dataOnly="0" labelOnly="1" outline="0" fieldPosition="0">
        <references count="2">
          <reference field="4294967294" count="0"/>
          <reference field="1" count="1" selected="0">
            <x v="40"/>
          </reference>
        </references>
      </pivotArea>
    </format>
    <format dxfId="902">
      <pivotArea dataOnly="0" labelOnly="1" outline="0" fieldPosition="0">
        <references count="2">
          <reference field="4294967294" count="0"/>
          <reference field="1" count="1" selected="0">
            <x v="41"/>
          </reference>
        </references>
      </pivotArea>
    </format>
    <format dxfId="901">
      <pivotArea dataOnly="0" labelOnly="1" outline="0" fieldPosition="0">
        <references count="2">
          <reference field="4294967294" count="0"/>
          <reference field="1" count="1" selected="0">
            <x v="42"/>
          </reference>
        </references>
      </pivotArea>
    </format>
    <format dxfId="900">
      <pivotArea dataOnly="0" labelOnly="1" outline="0" fieldPosition="0">
        <references count="2">
          <reference field="4294967294" count="1">
            <x v="0"/>
          </reference>
          <reference field="1" count="1" selected="0">
            <x v="43"/>
          </reference>
        </references>
      </pivotArea>
    </format>
    <format dxfId="899">
      <pivotArea dataOnly="0" labelOnly="1" outline="0" fieldPosition="0">
        <references count="2">
          <reference field="4294967294" count="2">
            <x v="0"/>
            <x v="1"/>
          </reference>
          <reference field="1" count="1" selected="0">
            <x v="0"/>
          </reference>
        </references>
      </pivotArea>
    </format>
    <format dxfId="898">
      <pivotArea type="all" dataOnly="0" outline="0" fieldPosition="0"/>
    </format>
    <format dxfId="897">
      <pivotArea field="1" grandRow="1" outline="0" axis="axisRow" fieldPosition="0">
        <references count="1">
          <reference field="4294967294" count="0" selected="0"/>
        </references>
      </pivotArea>
    </format>
    <format dxfId="896">
      <pivotArea field="1" dataOnly="0" labelOnly="1" grandRow="1" outline="0" axis="axisRow" fieldPosition="0">
        <references count="1">
          <reference field="4294967294" count="1" selected="0">
            <x v="0"/>
          </reference>
        </references>
      </pivotArea>
    </format>
    <format dxfId="895">
      <pivotArea field="1" dataOnly="0" labelOnly="1" grandRow="1" outline="0" axis="axisRow" fieldPosition="0">
        <references count="1">
          <reference field="4294967294" count="1" selected="0">
            <x v="1"/>
          </reference>
        </references>
      </pivotArea>
    </format>
    <format dxfId="894">
      <pivotArea field="1" dataOnly="0" labelOnly="1" grandRow="1" outline="0" axis="axisRow" fieldPosition="0">
        <references count="1">
          <reference field="4294967294" count="1" selected="0">
            <x v="0"/>
          </reference>
        </references>
      </pivotArea>
    </format>
    <format dxfId="893">
      <pivotArea field="1" dataOnly="0" labelOnly="1" grandRow="1" outline="0" axis="axisRow" fieldPosition="0">
        <references count="1">
          <reference field="4294967294" count="1" selected="0">
            <x v="1"/>
          </reference>
        </references>
      </pivotArea>
    </format>
    <format dxfId="892">
      <pivotArea grandRow="1" grandCol="1" outline="0" fieldPosition="0">
        <references count="1">
          <reference field="4294967294" count="0" selected="0"/>
        </references>
      </pivotArea>
    </format>
    <format dxfId="891">
      <pivotArea outline="0" fieldPosition="0">
        <references count="2">
          <reference field="4294967294" count="1" selected="0">
            <x v="1"/>
          </reference>
          <reference field="1" count="1" selected="0">
            <x v="23"/>
          </reference>
        </references>
      </pivotArea>
    </format>
    <format dxfId="890">
      <pivotArea outline="0" fieldPosition="0">
        <references count="2">
          <reference field="0" count="1" selected="0">
            <x v="9"/>
          </reference>
          <reference field="1" count="1" selected="0">
            <x v="19"/>
          </reference>
        </references>
      </pivotArea>
    </format>
    <format dxfId="889">
      <pivotArea outline="0" fieldPosition="0">
        <references count="1">
          <reference field="1" count="31" selected="0">
            <x v="4"/>
            <x v="5"/>
            <x v="9"/>
            <x v="10"/>
            <x v="14"/>
            <x v="16"/>
            <x v="18"/>
            <x v="19"/>
            <x v="20"/>
            <x v="21"/>
            <x v="23"/>
            <x v="24"/>
            <x v="25"/>
            <x v="26"/>
            <x v="27"/>
            <x v="28"/>
            <x v="29"/>
            <x v="30"/>
            <x v="31"/>
            <x v="32"/>
            <x v="33"/>
            <x v="34"/>
            <x v="35"/>
            <x v="37"/>
            <x v="38"/>
            <x v="40"/>
            <x v="41"/>
            <x v="42"/>
            <x v="43"/>
            <x v="44"/>
            <x v="45"/>
          </reference>
        </references>
      </pivotArea>
    </format>
    <format dxfId="888">
      <pivotArea field="1" grandRow="1" outline="0" axis="axisRow" fieldPosition="0">
        <references count="1">
          <reference field="4294967294" count="0" selected="0"/>
        </references>
      </pivotArea>
    </format>
    <format dxfId="887">
      <pivotArea dataOnly="0" labelOnly="1" outline="0" fieldPosition="0">
        <references count="1">
          <reference field="1" count="31">
            <x v="4"/>
            <x v="5"/>
            <x v="9"/>
            <x v="10"/>
            <x v="14"/>
            <x v="16"/>
            <x v="18"/>
            <x v="19"/>
            <x v="20"/>
            <x v="21"/>
            <x v="23"/>
            <x v="24"/>
            <x v="25"/>
            <x v="26"/>
            <x v="27"/>
            <x v="28"/>
            <x v="29"/>
            <x v="30"/>
            <x v="31"/>
            <x v="32"/>
            <x v="33"/>
            <x v="34"/>
            <x v="35"/>
            <x v="37"/>
            <x v="38"/>
            <x v="40"/>
            <x v="41"/>
            <x v="42"/>
            <x v="43"/>
            <x v="44"/>
            <x v="45"/>
          </reference>
        </references>
      </pivotArea>
    </format>
    <format dxfId="886">
      <pivotArea field="1" dataOnly="0" labelOnly="1" grandRow="1" outline="0" axis="axisRow" fieldPosition="0">
        <references count="1">
          <reference field="4294967294" count="1" selected="0">
            <x v="0"/>
          </reference>
        </references>
      </pivotArea>
    </format>
    <format dxfId="885">
      <pivotArea field="1" dataOnly="0" labelOnly="1" grandRow="1" outline="0" axis="axisRow" fieldPosition="0">
        <references count="1">
          <reference field="4294967294" count="1" selected="0">
            <x v="1"/>
          </reference>
        </references>
      </pivotArea>
    </format>
    <format dxfId="884">
      <pivotArea dataOnly="0" labelOnly="1" outline="0" fieldPosition="0">
        <references count="2">
          <reference field="4294967294" count="0"/>
          <reference field="1" count="1" selected="0">
            <x v="4"/>
          </reference>
        </references>
      </pivotArea>
    </format>
    <format dxfId="883">
      <pivotArea dataOnly="0" labelOnly="1" outline="0" fieldPosition="0">
        <references count="2">
          <reference field="4294967294" count="0"/>
          <reference field="1" count="1" selected="0">
            <x v="5"/>
          </reference>
        </references>
      </pivotArea>
    </format>
    <format dxfId="882">
      <pivotArea dataOnly="0" labelOnly="1" outline="0" fieldPosition="0">
        <references count="2">
          <reference field="4294967294" count="0"/>
          <reference field="1" count="1" selected="0">
            <x v="9"/>
          </reference>
        </references>
      </pivotArea>
    </format>
    <format dxfId="881">
      <pivotArea dataOnly="0" labelOnly="1" outline="0" fieldPosition="0">
        <references count="2">
          <reference field="4294967294" count="0"/>
          <reference field="1" count="1" selected="0">
            <x v="10"/>
          </reference>
        </references>
      </pivotArea>
    </format>
    <format dxfId="880">
      <pivotArea dataOnly="0" labelOnly="1" outline="0" fieldPosition="0">
        <references count="2">
          <reference field="4294967294" count="0"/>
          <reference field="1" count="1" selected="0">
            <x v="14"/>
          </reference>
        </references>
      </pivotArea>
    </format>
    <format dxfId="879">
      <pivotArea dataOnly="0" labelOnly="1" outline="0" fieldPosition="0">
        <references count="2">
          <reference field="4294967294" count="0"/>
          <reference field="1" count="1" selected="0">
            <x v="19"/>
          </reference>
        </references>
      </pivotArea>
    </format>
    <format dxfId="878">
      <pivotArea dataOnly="0" labelOnly="1" outline="0" fieldPosition="0">
        <references count="2">
          <reference field="4294967294" count="0"/>
          <reference field="1" count="1" selected="0">
            <x v="16"/>
          </reference>
        </references>
      </pivotArea>
    </format>
    <format dxfId="877">
      <pivotArea dataOnly="0" labelOnly="1" outline="0" fieldPosition="0">
        <references count="2">
          <reference field="4294967294" count="0"/>
          <reference field="1" count="1" selected="0">
            <x v="18"/>
          </reference>
        </references>
      </pivotArea>
    </format>
    <format dxfId="876">
      <pivotArea dataOnly="0" labelOnly="1" outline="0" fieldPosition="0">
        <references count="2">
          <reference field="4294967294" count="0"/>
          <reference field="1" count="1" selected="0">
            <x v="20"/>
          </reference>
        </references>
      </pivotArea>
    </format>
    <format dxfId="875">
      <pivotArea dataOnly="0" labelOnly="1" outline="0" fieldPosition="0">
        <references count="2">
          <reference field="4294967294" count="0"/>
          <reference field="1" count="1" selected="0">
            <x v="21"/>
          </reference>
        </references>
      </pivotArea>
    </format>
    <format dxfId="874">
      <pivotArea dataOnly="0" labelOnly="1" outline="0" fieldPosition="0">
        <references count="2">
          <reference field="4294967294" count="0"/>
          <reference field="1" count="1" selected="0">
            <x v="23"/>
          </reference>
        </references>
      </pivotArea>
    </format>
    <format dxfId="873">
      <pivotArea dataOnly="0" labelOnly="1" outline="0" fieldPosition="0">
        <references count="2">
          <reference field="4294967294" count="0"/>
          <reference field="1" count="1" selected="0">
            <x v="24"/>
          </reference>
        </references>
      </pivotArea>
    </format>
    <format dxfId="872">
      <pivotArea dataOnly="0" labelOnly="1" outline="0" fieldPosition="0">
        <references count="2">
          <reference field="4294967294" count="0"/>
          <reference field="1" count="1" selected="0">
            <x v="25"/>
          </reference>
        </references>
      </pivotArea>
    </format>
    <format dxfId="871">
      <pivotArea dataOnly="0" labelOnly="1" outline="0" fieldPosition="0">
        <references count="2">
          <reference field="4294967294" count="0"/>
          <reference field="1" count="1" selected="0">
            <x v="26"/>
          </reference>
        </references>
      </pivotArea>
    </format>
    <format dxfId="870">
      <pivotArea dataOnly="0" labelOnly="1" outline="0" fieldPosition="0">
        <references count="2">
          <reference field="4294967294" count="0"/>
          <reference field="1" count="1" selected="0">
            <x v="27"/>
          </reference>
        </references>
      </pivotArea>
    </format>
    <format dxfId="869">
      <pivotArea dataOnly="0" labelOnly="1" outline="0" fieldPosition="0">
        <references count="2">
          <reference field="4294967294" count="0"/>
          <reference field="1" count="1" selected="0">
            <x v="28"/>
          </reference>
        </references>
      </pivotArea>
    </format>
    <format dxfId="868">
      <pivotArea dataOnly="0" labelOnly="1" outline="0" fieldPosition="0">
        <references count="2">
          <reference field="4294967294" count="0"/>
          <reference field="1" count="1" selected="0">
            <x v="29"/>
          </reference>
        </references>
      </pivotArea>
    </format>
    <format dxfId="867">
      <pivotArea dataOnly="0" labelOnly="1" outline="0" fieldPosition="0">
        <references count="2">
          <reference field="4294967294" count="0"/>
          <reference field="1" count="1" selected="0">
            <x v="30"/>
          </reference>
        </references>
      </pivotArea>
    </format>
    <format dxfId="866">
      <pivotArea dataOnly="0" labelOnly="1" outline="0" fieldPosition="0">
        <references count="2">
          <reference field="4294967294" count="0"/>
          <reference field="1" count="1" selected="0">
            <x v="31"/>
          </reference>
        </references>
      </pivotArea>
    </format>
    <format dxfId="865">
      <pivotArea dataOnly="0" labelOnly="1" outline="0" fieldPosition="0">
        <references count="2">
          <reference field="4294967294" count="0"/>
          <reference field="1" count="1" selected="0">
            <x v="32"/>
          </reference>
        </references>
      </pivotArea>
    </format>
    <format dxfId="864">
      <pivotArea dataOnly="0" labelOnly="1" outline="0" fieldPosition="0">
        <references count="2">
          <reference field="4294967294" count="0"/>
          <reference field="1" count="1" selected="0">
            <x v="33"/>
          </reference>
        </references>
      </pivotArea>
    </format>
    <format dxfId="863">
      <pivotArea dataOnly="0" labelOnly="1" outline="0" fieldPosition="0">
        <references count="2">
          <reference field="4294967294" count="0"/>
          <reference field="1" count="1" selected="0">
            <x v="34"/>
          </reference>
        </references>
      </pivotArea>
    </format>
    <format dxfId="862">
      <pivotArea dataOnly="0" labelOnly="1" outline="0" fieldPosition="0">
        <references count="2">
          <reference field="4294967294" count="0"/>
          <reference field="1" count="1" selected="0">
            <x v="35"/>
          </reference>
        </references>
      </pivotArea>
    </format>
    <format dxfId="861">
      <pivotArea dataOnly="0" labelOnly="1" outline="0" fieldPosition="0">
        <references count="2">
          <reference field="4294967294" count="0"/>
          <reference field="1" count="1" selected="0">
            <x v="37"/>
          </reference>
        </references>
      </pivotArea>
    </format>
    <format dxfId="860">
      <pivotArea dataOnly="0" labelOnly="1" outline="0" fieldPosition="0">
        <references count="2">
          <reference field="4294967294" count="0"/>
          <reference field="1" count="1" selected="0">
            <x v="38"/>
          </reference>
        </references>
      </pivotArea>
    </format>
    <format dxfId="859">
      <pivotArea dataOnly="0" labelOnly="1" outline="0" fieldPosition="0">
        <references count="2">
          <reference field="4294967294" count="0"/>
          <reference field="1" count="1" selected="0">
            <x v="40"/>
          </reference>
        </references>
      </pivotArea>
    </format>
    <format dxfId="858">
      <pivotArea dataOnly="0" labelOnly="1" outline="0" fieldPosition="0">
        <references count="2">
          <reference field="4294967294" count="0"/>
          <reference field="1" count="1" selected="0">
            <x v="41"/>
          </reference>
        </references>
      </pivotArea>
    </format>
    <format dxfId="857">
      <pivotArea dataOnly="0" labelOnly="1" outline="0" fieldPosition="0">
        <references count="2">
          <reference field="4294967294" count="0"/>
          <reference field="1" count="1" selected="0">
            <x v="42"/>
          </reference>
        </references>
      </pivotArea>
    </format>
    <format dxfId="856">
      <pivotArea dataOnly="0" labelOnly="1" outline="0" fieldPosition="0">
        <references count="2">
          <reference field="4294967294" count="0"/>
          <reference field="1" count="1" selected="0">
            <x v="43"/>
          </reference>
        </references>
      </pivotArea>
    </format>
    <format dxfId="855">
      <pivotArea dataOnly="0" labelOnly="1" outline="0" fieldPosition="0">
        <references count="2">
          <reference field="4294967294" count="0"/>
          <reference field="1" count="1" selected="0">
            <x v="44"/>
          </reference>
        </references>
      </pivotArea>
    </format>
    <format dxfId="854">
      <pivotArea dataOnly="0" labelOnly="1" outline="0" fieldPosition="0">
        <references count="2">
          <reference field="4294967294" count="0"/>
          <reference field="1" count="1" selected="0">
            <x v="45"/>
          </reference>
        </references>
      </pivotArea>
    </format>
    <format dxfId="853">
      <pivotArea grandRow="1" grandCol="1" outline="0" fieldPosition="0">
        <references count="1">
          <reference field="4294967294" count="0" selected="0"/>
        </references>
      </pivotArea>
    </format>
    <format dxfId="852">
      <pivotArea dataOnly="0" labelOnly="1" outline="0" fieldPosition="0">
        <references count="1">
          <reference field="1" count="1">
            <x v="0"/>
          </reference>
        </references>
      </pivotArea>
    </format>
    <format dxfId="851">
      <pivotArea outline="0" fieldPosition="0">
        <references count="2">
          <reference field="4294967294" count="1" selected="0">
            <x v="0"/>
          </reference>
          <reference field="1" count="1" selected="0">
            <x v="0"/>
          </reference>
        </references>
      </pivotArea>
    </format>
    <format dxfId="850">
      <pivotArea dataOnly="0" labelOnly="1" outline="0" fieldPosition="0">
        <references count="2">
          <reference field="4294967294" count="1">
            <x v="0"/>
          </reference>
          <reference field="1" count="1" selected="0">
            <x v="0"/>
          </reference>
        </references>
      </pivotArea>
    </format>
    <format dxfId="849">
      <pivotArea outline="0" fieldPosition="0">
        <references count="2">
          <reference field="4294967294" count="1" selected="0">
            <x v="0"/>
          </reference>
          <reference field="1" count="1" selected="0">
            <x v="4"/>
          </reference>
        </references>
      </pivotArea>
    </format>
    <format dxfId="848">
      <pivotArea outline="0" fieldPosition="0">
        <references count="2">
          <reference field="4294967294" count="1" selected="0">
            <x v="0"/>
          </reference>
          <reference field="1" count="1" selected="0">
            <x v="5"/>
          </reference>
        </references>
      </pivotArea>
    </format>
    <format dxfId="847">
      <pivotArea outline="0" fieldPosition="0">
        <references count="2">
          <reference field="4294967294" count="1" selected="0">
            <x v="0"/>
          </reference>
          <reference field="1" count="1" selected="0">
            <x v="9"/>
          </reference>
        </references>
      </pivotArea>
    </format>
    <format dxfId="846">
      <pivotArea outline="0" fieldPosition="0">
        <references count="2">
          <reference field="4294967294" count="1" selected="0">
            <x v="0"/>
          </reference>
          <reference field="1" count="1" selected="0">
            <x v="10"/>
          </reference>
        </references>
      </pivotArea>
    </format>
    <format dxfId="845">
      <pivotArea outline="0" fieldPosition="0">
        <references count="2">
          <reference field="4294967294" count="1" selected="0">
            <x v="0"/>
          </reference>
          <reference field="1" count="1" selected="0">
            <x v="14"/>
          </reference>
        </references>
      </pivotArea>
    </format>
    <format dxfId="844">
      <pivotArea outline="0" fieldPosition="0">
        <references count="2">
          <reference field="4294967294" count="1" selected="0">
            <x v="0"/>
          </reference>
          <reference field="1" count="1" selected="0">
            <x v="19"/>
          </reference>
        </references>
      </pivotArea>
    </format>
    <format dxfId="843">
      <pivotArea outline="0" fieldPosition="0">
        <references count="2">
          <reference field="4294967294" count="1" selected="0">
            <x v="0"/>
          </reference>
          <reference field="1" count="1" selected="0">
            <x v="16"/>
          </reference>
        </references>
      </pivotArea>
    </format>
    <format dxfId="842">
      <pivotArea outline="0" fieldPosition="0">
        <references count="2">
          <reference field="4294967294" count="1" selected="0">
            <x v="0"/>
          </reference>
          <reference field="1" count="1" selected="0">
            <x v="18"/>
          </reference>
        </references>
      </pivotArea>
    </format>
    <format dxfId="841">
      <pivotArea outline="0" fieldPosition="0">
        <references count="2">
          <reference field="4294967294" count="1" selected="0">
            <x v="0"/>
          </reference>
          <reference field="1" count="1" selected="0">
            <x v="20"/>
          </reference>
        </references>
      </pivotArea>
    </format>
    <format dxfId="840">
      <pivotArea outline="0" fieldPosition="0">
        <references count="2">
          <reference field="4294967294" count="1" selected="0">
            <x v="0"/>
          </reference>
          <reference field="1" count="1" selected="0">
            <x v="21"/>
          </reference>
        </references>
      </pivotArea>
    </format>
    <format dxfId="839">
      <pivotArea outline="0" fieldPosition="0">
        <references count="2">
          <reference field="4294967294" count="1" selected="0">
            <x v="0"/>
          </reference>
          <reference field="1" count="1" selected="0">
            <x v="23"/>
          </reference>
        </references>
      </pivotArea>
    </format>
    <format dxfId="838">
      <pivotArea outline="0" fieldPosition="0">
        <references count="2">
          <reference field="4294967294" count="1" selected="0">
            <x v="0"/>
          </reference>
          <reference field="1" count="1" selected="0">
            <x v="24"/>
          </reference>
        </references>
      </pivotArea>
    </format>
    <format dxfId="837">
      <pivotArea outline="0" fieldPosition="0">
        <references count="2">
          <reference field="4294967294" count="1" selected="0">
            <x v="0"/>
          </reference>
          <reference field="1" count="1" selected="0">
            <x v="25"/>
          </reference>
        </references>
      </pivotArea>
    </format>
    <format dxfId="836">
      <pivotArea outline="0" fieldPosition="0">
        <references count="2">
          <reference field="4294967294" count="1" selected="0">
            <x v="0"/>
          </reference>
          <reference field="1" count="1" selected="0">
            <x v="26"/>
          </reference>
        </references>
      </pivotArea>
    </format>
    <format dxfId="835">
      <pivotArea outline="0" fieldPosition="0">
        <references count="2">
          <reference field="4294967294" count="1" selected="0">
            <x v="0"/>
          </reference>
          <reference field="1" count="1" selected="0">
            <x v="27"/>
          </reference>
        </references>
      </pivotArea>
    </format>
    <format dxfId="834">
      <pivotArea outline="0" fieldPosition="0">
        <references count="2">
          <reference field="4294967294" count="1" selected="0">
            <x v="0"/>
          </reference>
          <reference field="1" count="1" selected="0">
            <x v="28"/>
          </reference>
        </references>
      </pivotArea>
    </format>
    <format dxfId="833">
      <pivotArea outline="0" fieldPosition="0">
        <references count="2">
          <reference field="4294967294" count="1" selected="0">
            <x v="0"/>
          </reference>
          <reference field="1" count="1" selected="0">
            <x v="29"/>
          </reference>
        </references>
      </pivotArea>
    </format>
    <format dxfId="832">
      <pivotArea outline="0" fieldPosition="0">
        <references count="2">
          <reference field="4294967294" count="1" selected="0">
            <x v="0"/>
          </reference>
          <reference field="1" count="1" selected="0">
            <x v="30"/>
          </reference>
        </references>
      </pivotArea>
    </format>
    <format dxfId="831">
      <pivotArea outline="0" fieldPosition="0">
        <references count="2">
          <reference field="4294967294" count="1" selected="0">
            <x v="0"/>
          </reference>
          <reference field="1" count="1" selected="0">
            <x v="31"/>
          </reference>
        </references>
      </pivotArea>
    </format>
    <format dxfId="830">
      <pivotArea outline="0" fieldPosition="0">
        <references count="2">
          <reference field="4294967294" count="1" selected="0">
            <x v="0"/>
          </reference>
          <reference field="1" count="1" selected="0">
            <x v="32"/>
          </reference>
        </references>
      </pivotArea>
    </format>
    <format dxfId="829">
      <pivotArea outline="0" fieldPosition="0">
        <references count="2">
          <reference field="4294967294" count="1" selected="0">
            <x v="0"/>
          </reference>
          <reference field="1" count="1" selected="0">
            <x v="33"/>
          </reference>
        </references>
      </pivotArea>
    </format>
    <format dxfId="828">
      <pivotArea outline="0" fieldPosition="0">
        <references count="2">
          <reference field="4294967294" count="1" selected="0">
            <x v="0"/>
          </reference>
          <reference field="1" count="1" selected="0">
            <x v="34"/>
          </reference>
        </references>
      </pivotArea>
    </format>
    <format dxfId="827">
      <pivotArea outline="0" fieldPosition="0">
        <references count="2">
          <reference field="4294967294" count="1" selected="0">
            <x v="0"/>
          </reference>
          <reference field="1" count="1" selected="0">
            <x v="35"/>
          </reference>
        </references>
      </pivotArea>
    </format>
    <format dxfId="826">
      <pivotArea outline="0" fieldPosition="0">
        <references count="2">
          <reference field="4294967294" count="1" selected="0">
            <x v="0"/>
          </reference>
          <reference field="1" count="1" selected="0">
            <x v="37"/>
          </reference>
        </references>
      </pivotArea>
    </format>
    <format dxfId="825">
      <pivotArea outline="0" fieldPosition="0">
        <references count="2">
          <reference field="4294967294" count="1" selected="0">
            <x v="0"/>
          </reference>
          <reference field="1" count="1" selected="0">
            <x v="38"/>
          </reference>
        </references>
      </pivotArea>
    </format>
    <format dxfId="824">
      <pivotArea outline="0" fieldPosition="0">
        <references count="2">
          <reference field="4294967294" count="1" selected="0">
            <x v="0"/>
          </reference>
          <reference field="1" count="1" selected="0">
            <x v="40"/>
          </reference>
        </references>
      </pivotArea>
    </format>
    <format dxfId="823">
      <pivotArea outline="0" fieldPosition="0">
        <references count="2">
          <reference field="4294967294" count="1" selected="0">
            <x v="0"/>
          </reference>
          <reference field="1" count="1" selected="0">
            <x v="41"/>
          </reference>
        </references>
      </pivotArea>
    </format>
    <format dxfId="822">
      <pivotArea outline="0" fieldPosition="0">
        <references count="2">
          <reference field="4294967294" count="1" selected="0">
            <x v="0"/>
          </reference>
          <reference field="1" count="1" selected="0">
            <x v="42"/>
          </reference>
        </references>
      </pivotArea>
    </format>
    <format dxfId="821">
      <pivotArea outline="0" fieldPosition="0">
        <references count="2">
          <reference field="4294967294" count="1" selected="0">
            <x v="0"/>
          </reference>
          <reference field="1" count="1" selected="0">
            <x v="43"/>
          </reference>
        </references>
      </pivotArea>
    </format>
    <format dxfId="820">
      <pivotArea outline="0" fieldPosition="0">
        <references count="2">
          <reference field="4294967294" count="1" selected="0">
            <x v="0"/>
          </reference>
          <reference field="1" count="1" selected="0">
            <x v="44"/>
          </reference>
        </references>
      </pivotArea>
    </format>
    <format dxfId="819">
      <pivotArea outline="0" fieldPosition="0">
        <references count="2">
          <reference field="4294967294" count="1" selected="0">
            <x v="0"/>
          </reference>
          <reference field="1" count="1" selected="0">
            <x v="45"/>
          </reference>
        </references>
      </pivotArea>
    </format>
    <format dxfId="818">
      <pivotArea outline="0" fieldPosition="0">
        <references count="1">
          <reference field="1" count="1" selected="0">
            <x v="0"/>
          </reference>
        </references>
      </pivotArea>
    </format>
    <format dxfId="817">
      <pivotArea dataOnly="0" labelOnly="1" outline="0" fieldPosition="0">
        <references count="2">
          <reference field="4294967294" count="0"/>
          <reference field="1" count="1" selected="0">
            <x v="0"/>
          </reference>
        </references>
      </pivotArea>
    </format>
    <format dxfId="816">
      <pivotArea dataOnly="0" labelOnly="1" outline="0" fieldPosition="0">
        <references count="2">
          <reference field="4294967294" count="1">
            <x v="0"/>
          </reference>
          <reference field="1" count="1" selected="0">
            <x v="4"/>
          </reference>
        </references>
      </pivotArea>
    </format>
    <format dxfId="815">
      <pivotArea dataOnly="0" labelOnly="1" outline="0" fieldPosition="0">
        <references count="2">
          <reference field="4294967294" count="1">
            <x v="0"/>
          </reference>
          <reference field="1" count="1" selected="0">
            <x v="5"/>
          </reference>
        </references>
      </pivotArea>
    </format>
    <format dxfId="814">
      <pivotArea dataOnly="0" labelOnly="1" outline="0" fieldPosition="0">
        <references count="2">
          <reference field="4294967294" count="1">
            <x v="0"/>
          </reference>
          <reference field="1" count="1" selected="0">
            <x v="9"/>
          </reference>
        </references>
      </pivotArea>
    </format>
    <format dxfId="813">
      <pivotArea dataOnly="0" labelOnly="1" outline="0" fieldPosition="0">
        <references count="2">
          <reference field="4294967294" count="1">
            <x v="0"/>
          </reference>
          <reference field="1" count="1" selected="0">
            <x v="10"/>
          </reference>
        </references>
      </pivotArea>
    </format>
    <format dxfId="812">
      <pivotArea dataOnly="0" labelOnly="1" outline="0" fieldPosition="0">
        <references count="2">
          <reference field="4294967294" count="1">
            <x v="0"/>
          </reference>
          <reference field="1" count="1" selected="0">
            <x v="14"/>
          </reference>
        </references>
      </pivotArea>
    </format>
    <format dxfId="811">
      <pivotArea dataOnly="0" labelOnly="1" outline="0" fieldPosition="0">
        <references count="2">
          <reference field="4294967294" count="1">
            <x v="0"/>
          </reference>
          <reference field="1" count="1" selected="0">
            <x v="19"/>
          </reference>
        </references>
      </pivotArea>
    </format>
    <format dxfId="810">
      <pivotArea dataOnly="0" labelOnly="1" outline="0" fieldPosition="0">
        <references count="2">
          <reference field="4294967294" count="1">
            <x v="0"/>
          </reference>
          <reference field="1" count="1" selected="0">
            <x v="16"/>
          </reference>
        </references>
      </pivotArea>
    </format>
    <format dxfId="809">
      <pivotArea dataOnly="0" labelOnly="1" outline="0" fieldPosition="0">
        <references count="2">
          <reference field="4294967294" count="1">
            <x v="0"/>
          </reference>
          <reference field="1" count="1" selected="0">
            <x v="18"/>
          </reference>
        </references>
      </pivotArea>
    </format>
    <format dxfId="808">
      <pivotArea dataOnly="0" labelOnly="1" outline="0" fieldPosition="0">
        <references count="2">
          <reference field="4294967294" count="1">
            <x v="0"/>
          </reference>
          <reference field="1" count="1" selected="0">
            <x v="20"/>
          </reference>
        </references>
      </pivotArea>
    </format>
    <format dxfId="807">
      <pivotArea dataOnly="0" labelOnly="1" outline="0" fieldPosition="0">
        <references count="2">
          <reference field="4294967294" count="1">
            <x v="0"/>
          </reference>
          <reference field="1" count="1" selected="0">
            <x v="21"/>
          </reference>
        </references>
      </pivotArea>
    </format>
    <format dxfId="806">
      <pivotArea dataOnly="0" labelOnly="1" outline="0" fieldPosition="0">
        <references count="2">
          <reference field="4294967294" count="1">
            <x v="0"/>
          </reference>
          <reference field="1" count="1" selected="0">
            <x v="23"/>
          </reference>
        </references>
      </pivotArea>
    </format>
    <format dxfId="805">
      <pivotArea dataOnly="0" labelOnly="1" outline="0" fieldPosition="0">
        <references count="2">
          <reference field="4294967294" count="1">
            <x v="0"/>
          </reference>
          <reference field="1" count="1" selected="0">
            <x v="24"/>
          </reference>
        </references>
      </pivotArea>
    </format>
    <format dxfId="804">
      <pivotArea dataOnly="0" labelOnly="1" outline="0" fieldPosition="0">
        <references count="2">
          <reference field="4294967294" count="1">
            <x v="0"/>
          </reference>
          <reference field="1" count="1" selected="0">
            <x v="25"/>
          </reference>
        </references>
      </pivotArea>
    </format>
    <format dxfId="803">
      <pivotArea dataOnly="0" labelOnly="1" outline="0" fieldPosition="0">
        <references count="2">
          <reference field="4294967294" count="1">
            <x v="0"/>
          </reference>
          <reference field="1" count="1" selected="0">
            <x v="26"/>
          </reference>
        </references>
      </pivotArea>
    </format>
    <format dxfId="802">
      <pivotArea dataOnly="0" labelOnly="1" outline="0" fieldPosition="0">
        <references count="2">
          <reference field="4294967294" count="1">
            <x v="0"/>
          </reference>
          <reference field="1" count="1" selected="0">
            <x v="27"/>
          </reference>
        </references>
      </pivotArea>
    </format>
    <format dxfId="801">
      <pivotArea dataOnly="0" labelOnly="1" outline="0" fieldPosition="0">
        <references count="2">
          <reference field="4294967294" count="1">
            <x v="0"/>
          </reference>
          <reference field="1" count="1" selected="0">
            <x v="28"/>
          </reference>
        </references>
      </pivotArea>
    </format>
    <format dxfId="800">
      <pivotArea dataOnly="0" labelOnly="1" outline="0" fieldPosition="0">
        <references count="2">
          <reference field="4294967294" count="1">
            <x v="0"/>
          </reference>
          <reference field="1" count="1" selected="0">
            <x v="29"/>
          </reference>
        </references>
      </pivotArea>
    </format>
    <format dxfId="799">
      <pivotArea dataOnly="0" labelOnly="1" outline="0" fieldPosition="0">
        <references count="2">
          <reference field="4294967294" count="1">
            <x v="0"/>
          </reference>
          <reference field="1" count="1" selected="0">
            <x v="30"/>
          </reference>
        </references>
      </pivotArea>
    </format>
    <format dxfId="798">
      <pivotArea dataOnly="0" labelOnly="1" outline="0" fieldPosition="0">
        <references count="2">
          <reference field="4294967294" count="1">
            <x v="0"/>
          </reference>
          <reference field="1" count="1" selected="0">
            <x v="31"/>
          </reference>
        </references>
      </pivotArea>
    </format>
    <format dxfId="797">
      <pivotArea dataOnly="0" labelOnly="1" outline="0" fieldPosition="0">
        <references count="2">
          <reference field="4294967294" count="1">
            <x v="0"/>
          </reference>
          <reference field="1" count="1" selected="0">
            <x v="32"/>
          </reference>
        </references>
      </pivotArea>
    </format>
    <format dxfId="796">
      <pivotArea dataOnly="0" labelOnly="1" outline="0" fieldPosition="0">
        <references count="2">
          <reference field="4294967294" count="1">
            <x v="0"/>
          </reference>
          <reference field="1" count="1" selected="0">
            <x v="33"/>
          </reference>
        </references>
      </pivotArea>
    </format>
    <format dxfId="795">
      <pivotArea dataOnly="0" labelOnly="1" outline="0" fieldPosition="0">
        <references count="2">
          <reference field="4294967294" count="1">
            <x v="0"/>
          </reference>
          <reference field="1" count="1" selected="0">
            <x v="34"/>
          </reference>
        </references>
      </pivotArea>
    </format>
    <format dxfId="794">
      <pivotArea dataOnly="0" labelOnly="1" outline="0" fieldPosition="0">
        <references count="2">
          <reference field="4294967294" count="1">
            <x v="0"/>
          </reference>
          <reference field="1" count="1" selected="0">
            <x v="35"/>
          </reference>
        </references>
      </pivotArea>
    </format>
    <format dxfId="793">
      <pivotArea dataOnly="0" labelOnly="1" outline="0" fieldPosition="0">
        <references count="2">
          <reference field="4294967294" count="1">
            <x v="0"/>
          </reference>
          <reference field="1" count="1" selected="0">
            <x v="37"/>
          </reference>
        </references>
      </pivotArea>
    </format>
    <format dxfId="792">
      <pivotArea dataOnly="0" labelOnly="1" outline="0" fieldPosition="0">
        <references count="2">
          <reference field="4294967294" count="1">
            <x v="0"/>
          </reference>
          <reference field="1" count="1" selected="0">
            <x v="38"/>
          </reference>
        </references>
      </pivotArea>
    </format>
    <format dxfId="791">
      <pivotArea dataOnly="0" labelOnly="1" outline="0" fieldPosition="0">
        <references count="2">
          <reference field="4294967294" count="1">
            <x v="0"/>
          </reference>
          <reference field="1" count="1" selected="0">
            <x v="40"/>
          </reference>
        </references>
      </pivotArea>
    </format>
    <format dxfId="790">
      <pivotArea dataOnly="0" labelOnly="1" outline="0" fieldPosition="0">
        <references count="2">
          <reference field="4294967294" count="1">
            <x v="0"/>
          </reference>
          <reference field="1" count="1" selected="0">
            <x v="41"/>
          </reference>
        </references>
      </pivotArea>
    </format>
    <format dxfId="789">
      <pivotArea dataOnly="0" labelOnly="1" outline="0" fieldPosition="0">
        <references count="2">
          <reference field="4294967294" count="1">
            <x v="0"/>
          </reference>
          <reference field="1" count="1" selected="0">
            <x v="42"/>
          </reference>
        </references>
      </pivotArea>
    </format>
    <format dxfId="788">
      <pivotArea dataOnly="0" labelOnly="1" outline="0" fieldPosition="0">
        <references count="2">
          <reference field="4294967294" count="1">
            <x v="0"/>
          </reference>
          <reference field="1" count="1" selected="0">
            <x v="43"/>
          </reference>
        </references>
      </pivotArea>
    </format>
    <format dxfId="787">
      <pivotArea dataOnly="0" labelOnly="1" outline="0" fieldPosition="0">
        <references count="2">
          <reference field="4294967294" count="1">
            <x v="0"/>
          </reference>
          <reference field="1" count="1" selected="0">
            <x v="44"/>
          </reference>
        </references>
      </pivotArea>
    </format>
    <format dxfId="786">
      <pivotArea dataOnly="0" labelOnly="1" outline="0" fieldPosition="0">
        <references count="2">
          <reference field="4294967294" count="1">
            <x v="0"/>
          </reference>
          <reference field="1" count="1" selected="0">
            <x v="45"/>
          </reference>
        </references>
      </pivotArea>
    </format>
    <format dxfId="785">
      <pivotArea type="topRight" dataOnly="0" labelOnly="1" outline="0" offset="P1" fieldPosition="0"/>
    </format>
    <format dxfId="784">
      <pivotArea outline="0" fieldPosition="0">
        <references count="3">
          <reference field="4294967294" count="1" selected="0">
            <x v="0"/>
          </reference>
          <reference field="0" count="1" selected="0">
            <x v="9"/>
          </reference>
          <reference field="1" count="1" selected="0">
            <x v="0"/>
          </reference>
        </references>
      </pivotArea>
    </format>
    <format dxfId="783">
      <pivotArea field="1" grandCol="1" outline="0" axis="axisRow" fieldPosition="0">
        <references count="2">
          <reference field="4294967294" count="1" selected="0">
            <x v="0"/>
          </reference>
          <reference field="1" count="1" selected="0">
            <x v="0"/>
          </reference>
        </references>
      </pivotArea>
    </format>
    <format dxfId="782">
      <pivotArea dataOnly="0" labelOnly="1" outline="0" fieldPosition="0">
        <references count="1">
          <reference field="1" count="9">
            <x v="20"/>
            <x v="21"/>
            <x v="23"/>
            <x v="24"/>
            <x v="25"/>
            <x v="26"/>
            <x v="27"/>
            <x v="28"/>
            <x v="29"/>
          </reference>
        </references>
      </pivotArea>
    </format>
    <format dxfId="781">
      <pivotArea dataOnly="0" labelOnly="1" outline="0" fieldPosition="0">
        <references count="2">
          <reference field="4294967294" count="0"/>
          <reference field="1" count="1" selected="0">
            <x v="20"/>
          </reference>
        </references>
      </pivotArea>
    </format>
    <format dxfId="780">
      <pivotArea dataOnly="0" labelOnly="1" outline="0" fieldPosition="0">
        <references count="2">
          <reference field="4294967294" count="0"/>
          <reference field="1" count="1" selected="0">
            <x v="21"/>
          </reference>
        </references>
      </pivotArea>
    </format>
    <format dxfId="779">
      <pivotArea dataOnly="0" labelOnly="1" outline="0" fieldPosition="0">
        <references count="2">
          <reference field="4294967294" count="0"/>
          <reference field="1" count="1" selected="0">
            <x v="23"/>
          </reference>
        </references>
      </pivotArea>
    </format>
    <format dxfId="778">
      <pivotArea dataOnly="0" labelOnly="1" outline="0" fieldPosition="0">
        <references count="2">
          <reference field="4294967294" count="0"/>
          <reference field="1" count="1" selected="0">
            <x v="24"/>
          </reference>
        </references>
      </pivotArea>
    </format>
    <format dxfId="777">
      <pivotArea dataOnly="0" labelOnly="1" outline="0" fieldPosition="0">
        <references count="2">
          <reference field="4294967294" count="0"/>
          <reference field="1" count="1" selected="0">
            <x v="25"/>
          </reference>
        </references>
      </pivotArea>
    </format>
    <format dxfId="776">
      <pivotArea dataOnly="0" labelOnly="1" outline="0" fieldPosition="0">
        <references count="2">
          <reference field="4294967294" count="0"/>
          <reference field="1" count="1" selected="0">
            <x v="26"/>
          </reference>
        </references>
      </pivotArea>
    </format>
    <format dxfId="775">
      <pivotArea dataOnly="0" labelOnly="1" outline="0" fieldPosition="0">
        <references count="2">
          <reference field="4294967294" count="0"/>
          <reference field="1" count="1" selected="0">
            <x v="27"/>
          </reference>
        </references>
      </pivotArea>
    </format>
    <format dxfId="774">
      <pivotArea dataOnly="0" labelOnly="1" outline="0" fieldPosition="0">
        <references count="2">
          <reference field="4294967294" count="0"/>
          <reference field="1" count="1" selected="0">
            <x v="28"/>
          </reference>
        </references>
      </pivotArea>
    </format>
    <format dxfId="773">
      <pivotArea dataOnly="0" labelOnly="1" outline="0" fieldPosition="0">
        <references count="2">
          <reference field="4294967294" count="0"/>
          <reference field="1" count="1" selected="0">
            <x v="29"/>
          </reference>
        </references>
      </pivotArea>
    </format>
    <format dxfId="772">
      <pivotArea dataOnly="0" labelOnly="1" outline="0" fieldPosition="0">
        <references count="1">
          <reference field="1" count="7">
            <x v="0"/>
            <x v="4"/>
            <x v="5"/>
            <x v="9"/>
            <x v="10"/>
            <x v="14"/>
            <x v="19"/>
          </reference>
        </references>
      </pivotArea>
    </format>
    <format dxfId="771">
      <pivotArea dataOnly="0" labelOnly="1" outline="0" fieldPosition="0">
        <references count="2">
          <reference field="4294967294" count="0"/>
          <reference field="1" count="1" selected="0">
            <x v="0"/>
          </reference>
        </references>
      </pivotArea>
    </format>
    <format dxfId="770">
      <pivotArea dataOnly="0" labelOnly="1" outline="0" fieldPosition="0">
        <references count="2">
          <reference field="4294967294" count="0"/>
          <reference field="1" count="1" selected="0">
            <x v="4"/>
          </reference>
        </references>
      </pivotArea>
    </format>
    <format dxfId="769">
      <pivotArea dataOnly="0" labelOnly="1" outline="0" fieldPosition="0">
        <references count="2">
          <reference field="4294967294" count="0"/>
          <reference field="1" count="1" selected="0">
            <x v="5"/>
          </reference>
        </references>
      </pivotArea>
    </format>
    <format dxfId="768">
      <pivotArea dataOnly="0" labelOnly="1" outline="0" fieldPosition="0">
        <references count="2">
          <reference field="4294967294" count="0"/>
          <reference field="1" count="1" selected="0">
            <x v="9"/>
          </reference>
        </references>
      </pivotArea>
    </format>
    <format dxfId="767">
      <pivotArea dataOnly="0" labelOnly="1" outline="0" fieldPosition="0">
        <references count="2">
          <reference field="4294967294" count="0"/>
          <reference field="1" count="1" selected="0">
            <x v="10"/>
          </reference>
        </references>
      </pivotArea>
    </format>
    <format dxfId="766">
      <pivotArea dataOnly="0" labelOnly="1" outline="0" fieldPosition="0">
        <references count="2">
          <reference field="4294967294" count="0"/>
          <reference field="1" count="1" selected="0">
            <x v="14"/>
          </reference>
        </references>
      </pivotArea>
    </format>
    <format dxfId="765">
      <pivotArea dataOnly="0" labelOnly="1" outline="0" fieldPosition="0">
        <references count="2">
          <reference field="4294967294" count="0"/>
          <reference field="1" count="1" selected="0">
            <x v="19"/>
          </reference>
        </references>
      </pivotArea>
    </format>
    <format dxfId="764">
      <pivotArea dataOnly="0" labelOnly="1" outline="0" fieldPosition="0">
        <references count="1">
          <reference field="1" count="2">
            <x v="16"/>
            <x v="18"/>
          </reference>
        </references>
      </pivotArea>
    </format>
    <format dxfId="763">
      <pivotArea dataOnly="0" labelOnly="1" outline="0" fieldPosition="0">
        <references count="2">
          <reference field="4294967294" count="0"/>
          <reference field="1" count="1" selected="0">
            <x v="16"/>
          </reference>
        </references>
      </pivotArea>
    </format>
    <format dxfId="762">
      <pivotArea dataOnly="0" labelOnly="1" outline="0" fieldPosition="0">
        <references count="2">
          <reference field="4294967294" count="0"/>
          <reference field="1" count="1" selected="0">
            <x v="18"/>
          </reference>
        </references>
      </pivotArea>
    </format>
    <format dxfId="761">
      <pivotArea dataOnly="0" labelOnly="1" outline="0" fieldPosition="0">
        <references count="1">
          <reference field="1" count="14">
            <x v="30"/>
            <x v="31"/>
            <x v="32"/>
            <x v="33"/>
            <x v="34"/>
            <x v="35"/>
            <x v="37"/>
            <x v="38"/>
            <x v="40"/>
            <x v="41"/>
            <x v="42"/>
            <x v="43"/>
            <x v="44"/>
            <x v="45"/>
          </reference>
        </references>
      </pivotArea>
    </format>
    <format dxfId="760">
      <pivotArea dataOnly="0" labelOnly="1" outline="0" fieldPosition="0">
        <references count="2">
          <reference field="4294967294" count="0"/>
          <reference field="1" count="1" selected="0">
            <x v="30"/>
          </reference>
        </references>
      </pivotArea>
    </format>
    <format dxfId="759">
      <pivotArea dataOnly="0" labelOnly="1" outline="0" fieldPosition="0">
        <references count="2">
          <reference field="4294967294" count="0"/>
          <reference field="1" count="1" selected="0">
            <x v="31"/>
          </reference>
        </references>
      </pivotArea>
    </format>
    <format dxfId="758">
      <pivotArea dataOnly="0" labelOnly="1" outline="0" fieldPosition="0">
        <references count="2">
          <reference field="4294967294" count="0"/>
          <reference field="1" count="1" selected="0">
            <x v="32"/>
          </reference>
        </references>
      </pivotArea>
    </format>
    <format dxfId="757">
      <pivotArea dataOnly="0" labelOnly="1" outline="0" fieldPosition="0">
        <references count="2">
          <reference field="4294967294" count="0"/>
          <reference field="1" count="1" selected="0">
            <x v="33"/>
          </reference>
        </references>
      </pivotArea>
    </format>
    <format dxfId="756">
      <pivotArea dataOnly="0" labelOnly="1" outline="0" fieldPosition="0">
        <references count="2">
          <reference field="4294967294" count="0"/>
          <reference field="1" count="1" selected="0">
            <x v="34"/>
          </reference>
        </references>
      </pivotArea>
    </format>
    <format dxfId="755">
      <pivotArea dataOnly="0" labelOnly="1" outline="0" fieldPosition="0">
        <references count="2">
          <reference field="4294967294" count="0"/>
          <reference field="1" count="1" selected="0">
            <x v="35"/>
          </reference>
        </references>
      </pivotArea>
    </format>
    <format dxfId="754">
      <pivotArea dataOnly="0" labelOnly="1" outline="0" fieldPosition="0">
        <references count="2">
          <reference field="4294967294" count="0"/>
          <reference field="1" count="1" selected="0">
            <x v="37"/>
          </reference>
        </references>
      </pivotArea>
    </format>
    <format dxfId="753">
      <pivotArea dataOnly="0" labelOnly="1" outline="0" fieldPosition="0">
        <references count="2">
          <reference field="4294967294" count="0"/>
          <reference field="1" count="1" selected="0">
            <x v="38"/>
          </reference>
        </references>
      </pivotArea>
    </format>
    <format dxfId="752">
      <pivotArea dataOnly="0" labelOnly="1" outline="0" fieldPosition="0">
        <references count="2">
          <reference field="4294967294" count="0"/>
          <reference field="1" count="1" selected="0">
            <x v="40"/>
          </reference>
        </references>
      </pivotArea>
    </format>
    <format dxfId="751">
      <pivotArea dataOnly="0" labelOnly="1" outline="0" fieldPosition="0">
        <references count="2">
          <reference field="4294967294" count="0"/>
          <reference field="1" count="1" selected="0">
            <x v="41"/>
          </reference>
        </references>
      </pivotArea>
    </format>
    <format dxfId="750">
      <pivotArea dataOnly="0" labelOnly="1" outline="0" fieldPosition="0">
        <references count="2">
          <reference field="4294967294" count="0"/>
          <reference field="1" count="1" selected="0">
            <x v="42"/>
          </reference>
        </references>
      </pivotArea>
    </format>
    <format dxfId="749">
      <pivotArea dataOnly="0" labelOnly="1" outline="0" fieldPosition="0">
        <references count="2">
          <reference field="4294967294" count="0"/>
          <reference field="1" count="1" selected="0">
            <x v="43"/>
          </reference>
        </references>
      </pivotArea>
    </format>
    <format dxfId="748">
      <pivotArea dataOnly="0" labelOnly="1" outline="0" fieldPosition="0">
        <references count="2">
          <reference field="4294967294" count="0"/>
          <reference field="1" count="1" selected="0">
            <x v="44"/>
          </reference>
        </references>
      </pivotArea>
    </format>
    <format dxfId="747">
      <pivotArea dataOnly="0" labelOnly="1" outline="0" fieldPosition="0">
        <references count="2">
          <reference field="4294967294" count="0"/>
          <reference field="1" count="1" selected="0">
            <x v="45"/>
          </reference>
        </references>
      </pivotArea>
    </format>
    <format dxfId="746">
      <pivotArea outline="0" fieldPosition="0">
        <references count="3">
          <reference field="4294967294" count="1" selected="0">
            <x v="1"/>
          </reference>
          <reference field="0" count="1" selected="0">
            <x v="9"/>
          </reference>
          <reference field="1" count="1" selected="0">
            <x v="32"/>
          </reference>
        </references>
      </pivotArea>
    </format>
    <format dxfId="745">
      <pivotArea outline="0" fieldPosition="0">
        <references count="3">
          <reference field="4294967294" count="1" selected="0">
            <x v="1"/>
          </reference>
          <reference field="0" count="1" selected="0">
            <x v="9"/>
          </reference>
          <reference field="1" count="1" selected="0">
            <x v="33"/>
          </reference>
        </references>
      </pivotArea>
    </format>
    <format dxfId="744">
      <pivotArea outline="0" fieldPosition="0">
        <references count="3">
          <reference field="4294967294" count="1" selected="0">
            <x v="1"/>
          </reference>
          <reference field="0" count="1" selected="0">
            <x v="9"/>
          </reference>
          <reference field="1" count="1" selected="0">
            <x v="41"/>
          </reference>
        </references>
      </pivotArea>
    </format>
    <format dxfId="743">
      <pivotArea outline="0" fieldPosition="0">
        <references count="3">
          <reference field="4294967294" count="1" selected="0">
            <x v="1"/>
          </reference>
          <reference field="0" count="1" selected="0">
            <x v="9"/>
          </reference>
          <reference field="1" count="1" selected="0">
            <x v="42"/>
          </reference>
        </references>
      </pivotArea>
    </format>
    <format dxfId="742">
      <pivotArea outline="0" fieldPosition="0">
        <references count="3">
          <reference field="4294967294" count="1" selected="0">
            <x v="1"/>
          </reference>
          <reference field="0" count="1" selected="0">
            <x v="9"/>
          </reference>
          <reference field="1" count="1" selected="0">
            <x v="44"/>
          </reference>
        </references>
      </pivotArea>
    </format>
    <format dxfId="741">
      <pivotArea outline="0" fieldPosition="0">
        <references count="3">
          <reference field="4294967294" count="1" selected="0">
            <x v="1"/>
          </reference>
          <reference field="0" count="1" selected="0">
            <x v="9"/>
          </reference>
          <reference field="1" count="1" selected="0">
            <x v="45"/>
          </reference>
        </references>
      </pivotArea>
    </format>
    <format dxfId="740">
      <pivotArea field="1" grandCol="1" outline="0" axis="axisRow" fieldPosition="0">
        <references count="2">
          <reference field="4294967294" count="1" selected="0">
            <x v="1"/>
          </reference>
          <reference field="1" count="1" selected="0">
            <x v="31"/>
          </reference>
        </references>
      </pivotArea>
    </format>
    <format dxfId="739">
      <pivotArea field="1" grandCol="1" outline="0" axis="axisRow" fieldPosition="0">
        <references count="2">
          <reference field="4294967294" count="1" selected="0">
            <x v="1"/>
          </reference>
          <reference field="1" count="1" selected="0">
            <x v="32"/>
          </reference>
        </references>
      </pivotArea>
    </format>
    <format dxfId="738">
      <pivotArea field="1" grandCol="1" outline="0" axis="axisRow" fieldPosition="0">
        <references count="2">
          <reference field="4294967294" count="1" selected="0">
            <x v="1"/>
          </reference>
          <reference field="1" count="1" selected="0">
            <x v="33"/>
          </reference>
        </references>
      </pivotArea>
    </format>
    <format dxfId="737">
      <pivotArea field="1" grandCol="1" outline="0" axis="axisRow" fieldPosition="0">
        <references count="2">
          <reference field="4294967294" count="1" selected="0">
            <x v="1"/>
          </reference>
          <reference field="1" count="1" selected="0">
            <x v="34"/>
          </reference>
        </references>
      </pivotArea>
    </format>
    <format dxfId="736">
      <pivotArea field="1" grandCol="1" outline="0" axis="axisRow" fieldPosition="0">
        <references count="2">
          <reference field="4294967294" count="1" selected="0">
            <x v="1"/>
          </reference>
          <reference field="1" count="1" selected="0">
            <x v="35"/>
          </reference>
        </references>
      </pivotArea>
    </format>
    <format dxfId="735">
      <pivotArea field="1" grandCol="1" outline="0" axis="axisRow" fieldPosition="0">
        <references count="2">
          <reference field="4294967294" count="1" selected="0">
            <x v="1"/>
          </reference>
          <reference field="1" count="1" selected="0">
            <x v="37"/>
          </reference>
        </references>
      </pivotArea>
    </format>
    <format dxfId="734">
      <pivotArea field="1" grandCol="1" outline="0" axis="axisRow" fieldPosition="0">
        <references count="2">
          <reference field="4294967294" count="1" selected="0">
            <x v="1"/>
          </reference>
          <reference field="1" count="1" selected="0">
            <x v="38"/>
          </reference>
        </references>
      </pivotArea>
    </format>
    <format dxfId="733">
      <pivotArea field="1" grandCol="1" outline="0" axis="axisRow" fieldPosition="0">
        <references count="2">
          <reference field="4294967294" count="1" selected="0">
            <x v="1"/>
          </reference>
          <reference field="1" count="1" selected="0">
            <x v="41"/>
          </reference>
        </references>
      </pivotArea>
    </format>
    <format dxfId="732">
      <pivotArea field="1" grandCol="1" outline="0" axis="axisRow" fieldPosition="0">
        <references count="2">
          <reference field="4294967294" count="2" selected="0">
            <x v="0"/>
            <x v="1"/>
          </reference>
          <reference field="1" count="1" selected="0">
            <x v="42"/>
          </reference>
        </references>
      </pivotArea>
    </format>
    <format dxfId="731">
      <pivotArea field="1" grandCol="1" outline="0" axis="axisRow" fieldPosition="0">
        <references count="2">
          <reference field="4294967294" count="1" selected="0">
            <x v="1"/>
          </reference>
          <reference field="1" count="1" selected="0">
            <x v="45"/>
          </reference>
        </references>
      </pivotArea>
    </format>
    <format dxfId="730">
      <pivotArea type="all" dataOnly="0" outline="0" fieldPosition="0"/>
    </format>
    <format dxfId="729">
      <pivotArea type="all" dataOnly="0" outline="0" fieldPosition="0"/>
    </format>
    <format dxfId="728">
      <pivotArea outline="0" collapsedLevelsAreSubtotals="1" fieldPosition="0">
        <references count="2">
          <reference field="4294967294" count="2" selected="0">
            <x v="0"/>
            <x v="1"/>
          </reference>
          <reference field="1" count="1" selected="0">
            <x v="0"/>
          </reference>
        </references>
      </pivotArea>
    </format>
    <format dxfId="727">
      <pivotArea field="1" dataOnly="0" labelOnly="1" grandRow="1" outline="0" axis="axisRow" fieldPosition="0">
        <references count="1">
          <reference field="4294967294" count="1" selected="0">
            <x v="0"/>
          </reference>
        </references>
      </pivotArea>
    </format>
    <format dxfId="726">
      <pivotArea field="1" dataOnly="0" labelOnly="1" grandRow="1" outline="0" axis="axisRow" fieldPosition="0">
        <references count="1">
          <reference field="4294967294" count="1" selected="0">
            <x v="1"/>
          </reference>
        </references>
      </pivotArea>
    </format>
    <format dxfId="725">
      <pivotArea field="1" dataOnly="0" labelOnly="1" grandRow="1" outline="0" axis="axisRow" fieldPosition="0">
        <references count="1">
          <reference field="4294967294" count="1" selected="0">
            <x v="0"/>
          </reference>
        </references>
      </pivotArea>
    </format>
    <format dxfId="724">
      <pivotArea field="1" dataOnly="0" labelOnly="1" grandRow="1" outline="0" axis="axisRow" fieldPosition="0">
        <references count="1">
          <reference field="4294967294" count="1" selected="0">
            <x v="1"/>
          </reference>
        </references>
      </pivotArea>
    </format>
    <format dxfId="723">
      <pivotArea field="1" dataOnly="0" labelOnly="1" grandRow="1" outline="0" offset="A256" axis="axisRow" fieldPosition="0">
        <references count="1">
          <reference field="4294967294" count="1" selected="0">
            <x v="0"/>
          </reference>
        </references>
      </pivotArea>
    </format>
    <format dxfId="722">
      <pivotArea field="1" dataOnly="0" labelOnly="1" grandRow="1" outline="0" offset="A256" axis="axisRow" fieldPosition="0">
        <references count="1">
          <reference field="4294967294" count="1" selected="0">
            <x v="1"/>
          </reference>
        </references>
      </pivotArea>
    </format>
    <format dxfId="721">
      <pivotArea dataOnly="0" labelOnly="1" outline="0" fieldPosition="0">
        <references count="1">
          <reference field="1" count="14">
            <x v="30"/>
            <x v="31"/>
            <x v="32"/>
            <x v="33"/>
            <x v="34"/>
            <x v="35"/>
            <x v="37"/>
            <x v="38"/>
            <x v="40"/>
            <x v="41"/>
            <x v="42"/>
            <x v="43"/>
            <x v="44"/>
            <x v="45"/>
          </reference>
        </references>
      </pivotArea>
    </format>
    <format dxfId="720">
      <pivotArea grandCol="1" outline="0" collapsedLevelsAreSubtotals="1" fieldPosition="0"/>
    </format>
    <format dxfId="719">
      <pivotArea dataOnly="0" labelOnly="1" grandCol="1" outline="0" fieldPosition="0"/>
    </format>
    <format dxfId="718">
      <pivotArea type="all" dataOnly="0" outline="0" fieldPosition="0"/>
    </format>
    <format dxfId="717">
      <pivotArea outline="0" collapsedLevelsAreSubtotals="1" fieldPosition="0">
        <references count="1">
          <reference field="0" count="1" selected="0">
            <x v="9"/>
          </reference>
        </references>
      </pivotArea>
    </format>
    <format dxfId="716">
      <pivotArea dataOnly="0" labelOnly="1" outline="0" fieldPosition="0">
        <references count="1">
          <reference field="0" count="1">
            <x v="9"/>
          </reference>
        </references>
      </pivotArea>
    </format>
    <format dxfId="715">
      <pivotArea outline="0" collapsedLevelsAreSubtotals="1" fieldPosition="0">
        <references count="3">
          <reference field="4294967294" count="2" selected="0">
            <x v="0"/>
            <x v="1"/>
          </reference>
          <reference field="0" count="1" selected="0">
            <x v="9"/>
          </reference>
          <reference field="1" count="1" selected="0">
            <x v="19"/>
          </reference>
        </references>
      </pivotArea>
    </format>
    <format dxfId="714">
      <pivotArea outline="0" collapsedLevelsAreSubtotals="1" fieldPosition="0">
        <references count="3">
          <reference field="4294967294" count="2" selected="0">
            <x v="0"/>
            <x v="1"/>
          </reference>
          <reference field="0" count="1" selected="0">
            <x v="9"/>
          </reference>
          <reference field="1" count="1" selected="0">
            <x v="19"/>
          </reference>
        </references>
      </pivotArea>
    </format>
    <format dxfId="713">
      <pivotArea outline="0" collapsedLevelsAreSubtotals="1" fieldPosition="0">
        <references count="3">
          <reference field="4294967294" count="2" selected="0">
            <x v="0"/>
            <x v="1"/>
          </reference>
          <reference field="0" count="1" selected="0">
            <x v="9"/>
          </reference>
          <reference field="1" count="1" selected="0">
            <x v="19"/>
          </reference>
        </references>
      </pivotArea>
    </format>
  </formats>
  <pivotTableStyleInfo showRowHeaders="1" showColHeaders="1" showRowStripes="0" showColStripes="0" showLastColumn="1"/>
</pivotTableDefinition>
</file>

<file path=xl/pivotTables/pivotTable3.xml><?xml version="1.0" encoding="utf-8"?>
<pivotTableDefinition xmlns="http://schemas.openxmlformats.org/spreadsheetml/2006/main" name="PivotTable1" cacheId="0" applyNumberFormats="0" applyBorderFormats="0" applyFontFormats="0" applyPatternFormats="0" applyAlignmentFormats="0" applyWidthHeightFormats="1" dataCaption="Data" grandTotalCaption="Grand Total" updatedVersion="4" minRefreshableVersion="3" showMemberPropertyTips="0" colGrandTotals="0" itemPrintTitles="1" createdVersion="3" indent="0" compact="0" compactData="0" gridDropZones="1">
  <location ref="A3:I21" firstHeaderRow="1" firstDataRow="2" firstDataCol="1" rowPageCount="1" colPageCount="1"/>
  <pivotFields count="51">
    <pivotField axis="axisRow" compact="0" outline="0" subtotalTop="0" showAll="0" includeNewItemsInFilter="1" sortType="ascending">
      <items count="17">
        <item x="0"/>
        <item x="1"/>
        <item x="2"/>
        <item x="3"/>
        <item x="4"/>
        <item x="5"/>
        <item x="6"/>
        <item x="7"/>
        <item x="8"/>
        <item x="9"/>
        <item x="10"/>
        <item x="11"/>
        <item x="12"/>
        <item x="13"/>
        <item x="14"/>
        <item x="15"/>
        <item t="default"/>
      </items>
    </pivotField>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axis="axisPage" compact="0" outline="0" subtotalTop="0" multipleItemSelectionAllowed="1" showAll="0" includeNewItemsInFilter="1">
      <items count="19">
        <item x="0"/>
        <item h="1" x="1"/>
        <item h="1" x="2"/>
        <item h="1" x="3"/>
        <item h="1" x="4"/>
        <item h="1" x="5"/>
        <item h="1" x="14"/>
        <item h="1" x="6"/>
        <item h="1" x="7"/>
        <item h="1" x="8"/>
        <item h="1" x="15"/>
        <item h="1" x="9"/>
        <item x="10"/>
        <item h="1" m="1" x="16"/>
        <item h="1" x="11"/>
        <item m="1" x="17"/>
        <item x="12"/>
        <item x="13"/>
        <item t="default"/>
      </items>
    </pivotField>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showAll="0" includeNewItemsInFilter="1">
      <items count="8">
        <item n="Four-Year" x="3"/>
        <item n="Two-Year" x="4"/>
        <item n="Technical" x="6"/>
        <item n="Specialized" x="1"/>
        <item x="2"/>
        <item x="0"/>
        <item x="5"/>
        <item t="default"/>
      </items>
    </pivotField>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s>
  <rowFields count="1">
    <field x="0"/>
  </rowFields>
  <rowItems count="17">
    <i>
      <x/>
    </i>
    <i>
      <x v="1"/>
    </i>
    <i>
      <x v="2"/>
    </i>
    <i>
      <x v="3"/>
    </i>
    <i>
      <x v="4"/>
    </i>
    <i>
      <x v="5"/>
    </i>
    <i>
      <x v="6"/>
    </i>
    <i>
      <x v="7"/>
    </i>
    <i>
      <x v="8"/>
    </i>
    <i>
      <x v="9"/>
    </i>
    <i>
      <x v="10"/>
    </i>
    <i>
      <x v="11"/>
    </i>
    <i>
      <x v="12"/>
    </i>
    <i>
      <x v="13"/>
    </i>
    <i>
      <x v="14"/>
    </i>
    <i>
      <x v="15"/>
    </i>
    <i t="grand">
      <x/>
    </i>
  </rowItems>
  <colFields count="1">
    <field x="-2"/>
  </colFields>
  <colItems count="8">
    <i>
      <x/>
    </i>
    <i i="1">
      <x v="1"/>
    </i>
    <i i="2">
      <x v="2"/>
    </i>
    <i i="3">
      <x v="3"/>
    </i>
    <i i="4">
      <x v="4"/>
    </i>
    <i i="5">
      <x v="5"/>
    </i>
    <i i="6">
      <x v="6"/>
    </i>
    <i i="7">
      <x v="7"/>
    </i>
  </colItems>
  <pageFields count="1">
    <pageField fld="5" hier="-1"/>
  </pageFields>
  <dataFields count="8">
    <dataField name="Sum of State Gen Purp-Old" fld="6" baseField="0" baseItem="0" numFmtId="37"/>
    <dataField name="Sum of State Gen Purp-New" fld="7" baseField="0" baseItem="0" numFmtId="37"/>
    <dataField name="Sum of State Ed Spec Purp-Old" fld="8" baseField="0" baseItem="0" numFmtId="37"/>
    <dataField name="Sum of State Ed Spec Purp-New" fld="9" baseField="0" baseItem="0" numFmtId="37"/>
    <dataField name="Sum of Local-Old" fld="10" baseField="0" baseItem="0" numFmtId="37"/>
    <dataField name="Sum of Local-New" fld="11" baseField="0" baseItem="0" numFmtId="37"/>
    <dataField name="Sum of Tuition Ops-Old" fld="12" baseField="0" baseItem="0" numFmtId="37"/>
    <dataField name="Sum of Tuition Ops-New" fld="15" baseField="0" baseItem="0" numFmtId="37"/>
  </dataFields>
  <formats count="57">
    <format dxfId="712">
      <pivotArea outline="0" fieldPosition="0"/>
    </format>
    <format dxfId="711">
      <pivotArea type="all" dataOnly="0" outline="0" fieldPosition="0"/>
    </format>
    <format dxfId="710">
      <pivotArea type="topRight" dataOnly="0" labelOnly="1" outline="0" offset="R1" fieldPosition="0"/>
    </format>
    <format dxfId="709">
      <pivotArea field="45" type="button" dataOnly="0" labelOnly="1" outline="0"/>
    </format>
    <format dxfId="708">
      <pivotArea field="5" type="button" dataOnly="0" labelOnly="1" outline="0" axis="axisPage" fieldPosition="0"/>
    </format>
    <format dxfId="707">
      <pivotArea type="topRight" dataOnly="0" labelOnly="1" outline="0" fieldPosition="0"/>
    </format>
    <format dxfId="706">
      <pivotArea type="topRight" dataOnly="0" labelOnly="1" outline="0" offset="F1" fieldPosition="0"/>
    </format>
    <format dxfId="705">
      <pivotArea type="topRight" dataOnly="0" labelOnly="1" outline="0" offset="G1" fieldPosition="0"/>
    </format>
    <format dxfId="704">
      <pivotArea type="topRight" dataOnly="0" labelOnly="1" outline="0" offset="H1" fieldPosition="0"/>
    </format>
    <format dxfId="703">
      <pivotArea type="topRight" dataOnly="0" labelOnly="1" outline="0" offset="I1" fieldPosition="0"/>
    </format>
    <format dxfId="702">
      <pivotArea type="topRight" dataOnly="0" labelOnly="1" outline="0" offset="J1" fieldPosition="0"/>
    </format>
    <format dxfId="701">
      <pivotArea type="topRight" dataOnly="0" labelOnly="1" outline="0" offset="K1" fieldPosition="0"/>
    </format>
    <format dxfId="700">
      <pivotArea dataOnly="0" labelOnly="1" outline="0" offset="IV256" fieldPosition="0">
        <references count="1">
          <reference field="0" count="1">
            <x v="9"/>
          </reference>
        </references>
      </pivotArea>
    </format>
    <format dxfId="699">
      <pivotArea type="all" dataOnly="0" outline="0" fieldPosition="0"/>
    </format>
    <format dxfId="698">
      <pivotArea type="topRight" dataOnly="0" labelOnly="1" outline="0" offset="V1" fieldPosition="0"/>
    </format>
    <format dxfId="697">
      <pivotArea dataOnly="0" labelOnly="1" grandCol="1" outline="0" fieldPosition="0"/>
    </format>
    <format dxfId="696">
      <pivotArea type="origin" dataOnly="0" labelOnly="1" outline="0" fieldPosition="0"/>
    </format>
    <format dxfId="695">
      <pivotArea field="0" type="button" dataOnly="0" labelOnly="1" outline="0" axis="axisRow" fieldPosition="0"/>
    </format>
    <format dxfId="694">
      <pivotArea field="-2" type="button" dataOnly="0" labelOnly="1" outline="0" axis="axisCol" fieldPosition="0"/>
    </format>
    <format dxfId="693">
      <pivotArea field="45" type="button" dataOnly="0" labelOnly="1" outline="0"/>
    </format>
    <format dxfId="692">
      <pivotArea field="5" type="button" dataOnly="0" labelOnly="1" outline="0" axis="axisPage" fieldPosition="0"/>
    </format>
    <format dxfId="691">
      <pivotArea type="topRight" dataOnly="0" labelOnly="1" outline="0" fieldPosition="0"/>
    </format>
    <format dxfId="690">
      <pivotArea dataOnly="0" labelOnly="1" grandCol="1" outline="0" fieldPosition="0"/>
    </format>
    <format dxfId="689">
      <pivotArea field="0" type="button" dataOnly="0" labelOnly="1" outline="0" axis="axisRow" fieldPosition="0"/>
    </format>
    <format dxfId="688">
      <pivotArea field="-2" type="button" dataOnly="0" labelOnly="1" outline="0" axis="axisCol" fieldPosition="0"/>
    </format>
    <format dxfId="687">
      <pivotArea dataOnly="0" labelOnly="1" grandCol="1" outline="0" offset="IV256" fieldPosition="0"/>
    </format>
    <format dxfId="686">
      <pivotArea field="0" type="button" dataOnly="0" labelOnly="1" outline="0" axis="axisRow" fieldPosition="0"/>
    </format>
    <format dxfId="685">
      <pivotArea field="-2" type="button" dataOnly="0" labelOnly="1" outline="0" axis="axisCol" fieldPosition="0"/>
    </format>
    <format dxfId="684">
      <pivotArea dataOnly="0" labelOnly="1" grandCol="1" outline="0" offset="IV256" fieldPosition="0"/>
    </format>
    <format dxfId="683">
      <pivotArea type="origin" dataOnly="0" labelOnly="1" outline="0" offset="A2:B2" fieldPosition="0"/>
    </format>
    <format dxfId="682">
      <pivotArea type="origin" dataOnly="0" labelOnly="1" outline="0" fieldPosition="0"/>
    </format>
    <format dxfId="681">
      <pivotArea field="45" type="button" dataOnly="0" labelOnly="1" outline="0"/>
    </format>
    <format dxfId="680">
      <pivotArea field="5" type="button" dataOnly="0" labelOnly="1" outline="0" axis="axisPage" fieldPosition="0"/>
    </format>
    <format dxfId="679">
      <pivotArea type="topRight" dataOnly="0" labelOnly="1" outline="0" fieldPosition="0"/>
    </format>
    <format dxfId="678">
      <pivotArea dataOnly="0" labelOnly="1" grandCol="1" outline="0" offset="IV1" fieldPosition="0"/>
    </format>
    <format dxfId="677">
      <pivotArea dataOnly="0" labelOnly="1" outline="0" fieldPosition="0">
        <references count="1">
          <reference field="0" count="1">
            <x v="9"/>
          </reference>
        </references>
      </pivotArea>
    </format>
    <format dxfId="676">
      <pivotArea field="0" dataOnly="0" labelOnly="1" grandRow="1" outline="0" axis="axisRow" fieldPosition="0">
        <references count="1">
          <reference field="4294967294" count="1" selected="0">
            <x v="0"/>
          </reference>
        </references>
      </pivotArea>
    </format>
    <format dxfId="675">
      <pivotArea field="0" dataOnly="0" labelOnly="1" grandRow="1" outline="0" axis="axisRow" fieldPosition="0">
        <references count="1">
          <reference field="4294967294" count="1" selected="0">
            <x v="1"/>
          </reference>
        </references>
      </pivotArea>
    </format>
    <format dxfId="674">
      <pivotArea field="0" dataOnly="0" labelOnly="1" grandRow="1" outline="0" axis="axisRow" fieldPosition="0">
        <references count="1">
          <reference field="4294967294" count="1" selected="0">
            <x v="2"/>
          </reference>
        </references>
      </pivotArea>
    </format>
    <format dxfId="673">
      <pivotArea field="0" dataOnly="0" labelOnly="1" grandRow="1" outline="0" axis="axisRow" fieldPosition="0">
        <references count="1">
          <reference field="4294967294" count="1" selected="0">
            <x v="3"/>
          </reference>
        </references>
      </pivotArea>
    </format>
    <format dxfId="672">
      <pivotArea field="0" dataOnly="0" labelOnly="1" grandRow="1" outline="0" axis="axisRow" fieldPosition="0">
        <references count="1">
          <reference field="4294967294" count="1" selected="0">
            <x v="4"/>
          </reference>
        </references>
      </pivotArea>
    </format>
    <format dxfId="671">
      <pivotArea field="0" dataOnly="0" labelOnly="1" grandRow="1" outline="0" axis="axisRow" fieldPosition="0">
        <references count="1">
          <reference field="4294967294" count="1" selected="0">
            <x v="5"/>
          </reference>
        </references>
      </pivotArea>
    </format>
    <format dxfId="670">
      <pivotArea field="0" dataOnly="0" labelOnly="1" grandRow="1" outline="0" axis="axisRow" fieldPosition="0">
        <references count="1">
          <reference field="4294967294" count="1" selected="0">
            <x v="6"/>
          </reference>
        </references>
      </pivotArea>
    </format>
    <format dxfId="669">
      <pivotArea field="0" dataOnly="0" labelOnly="1" grandRow="1" outline="0" axis="axisRow" fieldPosition="0">
        <references count="1">
          <reference field="4294967294" count="1" selected="0">
            <x v="7"/>
          </reference>
        </references>
      </pivotArea>
    </format>
    <format dxfId="668">
      <pivotArea type="topRight" dataOnly="0" labelOnly="1" outline="0" offset="E1" fieldPosition="0"/>
    </format>
    <format dxfId="667">
      <pivotArea type="topRight" dataOnly="0" labelOnly="1" outline="0" offset="K1" fieldPosition="0"/>
    </format>
    <format dxfId="666">
      <pivotArea type="topRight" dataOnly="0" labelOnly="1" outline="0" offset="O1" fieldPosition="0"/>
    </format>
    <format dxfId="665">
      <pivotArea type="all" dataOnly="0" outline="0" fieldPosition="0"/>
    </format>
    <format dxfId="664">
      <pivotArea type="all" dataOnly="0" outline="0" fieldPosition="0"/>
    </format>
    <format dxfId="663">
      <pivotArea dataOnly="0" labelOnly="1" outline="0" fieldPosition="0">
        <references count="1">
          <reference field="4294967294" count="8">
            <x v="0"/>
            <x v="1"/>
            <x v="2"/>
            <x v="3"/>
            <x v="4"/>
            <x v="5"/>
            <x v="6"/>
            <x v="7"/>
          </reference>
        </references>
      </pivotArea>
    </format>
    <format dxfId="662">
      <pivotArea type="all" dataOnly="0" outline="0" fieldPosition="0"/>
    </format>
    <format dxfId="661">
      <pivotArea type="all" dataOnly="0" outline="0" fieldPosition="0"/>
    </format>
    <format dxfId="660">
      <pivotArea dataOnly="0" labelOnly="1" outline="0" fieldPosition="0">
        <references count="1">
          <reference field="4294967294" count="2">
            <x v="4"/>
            <x v="5"/>
          </reference>
        </references>
      </pivotArea>
    </format>
    <format dxfId="659">
      <pivotArea grandRow="1" outline="0" collapsedLevelsAreSubtotals="1" fieldPosition="0"/>
    </format>
    <format dxfId="658">
      <pivotArea dataOnly="0" labelOnly="1" grandRow="1" outline="0" fieldPosition="0"/>
    </format>
    <format dxfId="657">
      <pivotArea dataOnly="0" labelOnly="1" outline="0" fieldPosition="0">
        <references count="1">
          <reference field="0" count="1">
            <x v="9"/>
          </reference>
        </references>
      </pivotArea>
    </format>
    <format dxfId="656">
      <pivotArea dataOnly="0" labelOnly="1" outline="0" fieldPosition="0">
        <references count="1">
          <reference field="0" count="1">
            <x v="9"/>
          </reference>
        </references>
      </pivotArea>
    </format>
  </formats>
  <pivotTableStyleInfo showRowHeaders="1" showColHeaders="1" showRowStripes="0" showColStripes="0" showLastColumn="1"/>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pivotTable" Target="../pivotTables/pivotTable2.xml"/></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pivotTable" Target="../pivotTables/pivotTable3.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indexed="16"/>
    <pageSetUpPr fitToPage="1"/>
  </sheetPr>
  <dimension ref="A1:T26"/>
  <sheetViews>
    <sheetView view="pageBreakPreview" zoomScaleNormal="100" zoomScaleSheetLayoutView="100" workbookViewId="0"/>
  </sheetViews>
  <sheetFormatPr defaultRowHeight="12.75" x14ac:dyDescent="0.2"/>
  <cols>
    <col min="1" max="1" width="10.125" style="48" customWidth="1"/>
    <col min="2" max="2" width="17.625" style="10" customWidth="1"/>
    <col min="3" max="3" width="3.375" style="2" hidden="1" customWidth="1"/>
    <col min="4" max="4" width="6.375" style="10" bestFit="1" customWidth="1"/>
    <col min="5" max="5" width="6.75" style="10" customWidth="1"/>
    <col min="6" max="6" width="6.25" style="10" customWidth="1"/>
    <col min="7" max="10" width="6.375" style="10" bestFit="1" customWidth="1"/>
    <col min="11" max="11" width="6.375" style="6" bestFit="1" customWidth="1"/>
    <col min="12" max="12" width="7.25" style="6" bestFit="1" customWidth="1"/>
    <col min="13" max="13" width="6.375" style="186" bestFit="1" customWidth="1"/>
    <col min="14" max="15" width="7.25" style="10" bestFit="1" customWidth="1"/>
    <col min="16" max="19" width="6.375" style="10" bestFit="1" customWidth="1"/>
    <col min="20" max="20" width="6.625" style="48" customWidth="1"/>
    <col min="21" max="16384" width="9" style="10"/>
  </cols>
  <sheetData>
    <row r="1" spans="1:20" ht="18" x14ac:dyDescent="0.25">
      <c r="A1" s="62" t="s">
        <v>355</v>
      </c>
      <c r="B1" s="42"/>
      <c r="C1" s="207"/>
      <c r="D1" s="42"/>
      <c r="E1" s="42"/>
      <c r="F1" s="42"/>
      <c r="G1" s="42"/>
      <c r="H1" s="42"/>
      <c r="I1" s="42"/>
      <c r="J1" s="42"/>
      <c r="K1" s="181"/>
      <c r="L1" s="181"/>
      <c r="M1" s="182"/>
      <c r="N1" s="42"/>
      <c r="O1" s="42"/>
      <c r="P1" s="42"/>
      <c r="Q1" s="42"/>
      <c r="R1" s="42"/>
      <c r="S1" s="42"/>
      <c r="T1" s="43"/>
    </row>
    <row r="2" spans="1:20" ht="18" x14ac:dyDescent="0.25">
      <c r="A2" s="62"/>
      <c r="B2" s="42"/>
      <c r="C2" s="207"/>
      <c r="D2" s="42"/>
      <c r="E2" s="42"/>
      <c r="F2" s="42"/>
      <c r="G2" s="42"/>
      <c r="H2" s="42"/>
      <c r="I2" s="42"/>
      <c r="J2" s="42"/>
      <c r="K2" s="181"/>
      <c r="L2" s="181"/>
      <c r="M2" s="182"/>
      <c r="N2" s="42"/>
      <c r="O2" s="42"/>
      <c r="P2" s="42"/>
      <c r="Q2" s="42"/>
      <c r="R2" s="42"/>
      <c r="S2" s="42"/>
      <c r="T2" s="43"/>
    </row>
    <row r="3" spans="1:20" s="69" customFormat="1" ht="15.75" x14ac:dyDescent="0.15">
      <c r="A3" s="1533" t="s">
        <v>340</v>
      </c>
      <c r="B3" s="1533"/>
      <c r="C3" s="1533"/>
      <c r="D3" s="1533"/>
      <c r="E3" s="1533"/>
      <c r="F3" s="1533"/>
      <c r="G3" s="1533"/>
      <c r="H3" s="1533"/>
      <c r="I3" s="1533"/>
      <c r="J3" s="1533"/>
      <c r="K3" s="1533"/>
      <c r="L3" s="1533"/>
      <c r="M3" s="1533"/>
      <c r="N3" s="1533"/>
      <c r="O3" s="1533"/>
      <c r="P3" s="1533"/>
      <c r="Q3" s="1533"/>
      <c r="R3" s="1533"/>
      <c r="S3" s="1533"/>
      <c r="T3" s="1533"/>
    </row>
    <row r="4" spans="1:20" s="69" customFormat="1" ht="15.75" x14ac:dyDescent="0.15">
      <c r="A4" s="1533" t="s">
        <v>1897</v>
      </c>
      <c r="B4" s="1533"/>
      <c r="C4" s="1533"/>
      <c r="D4" s="1533"/>
      <c r="E4" s="1533"/>
      <c r="F4" s="1533"/>
      <c r="G4" s="1533"/>
      <c r="H4" s="1533"/>
      <c r="I4" s="1533"/>
      <c r="J4" s="1533"/>
      <c r="K4" s="1533"/>
      <c r="L4" s="1533"/>
      <c r="M4" s="1533"/>
      <c r="N4" s="1533"/>
      <c r="O4" s="1533"/>
      <c r="P4" s="1533"/>
      <c r="Q4" s="1533"/>
      <c r="R4" s="1533"/>
      <c r="S4" s="1533"/>
      <c r="T4" s="1533"/>
    </row>
    <row r="5" spans="1:20" s="69" customFormat="1" ht="15.75" x14ac:dyDescent="0.15">
      <c r="A5" s="509"/>
      <c r="B5" s="509"/>
      <c r="C5" s="509"/>
      <c r="D5" s="509"/>
      <c r="E5" s="509"/>
      <c r="F5" s="509"/>
      <c r="G5" s="509"/>
      <c r="H5" s="509"/>
      <c r="I5" s="509"/>
      <c r="J5" s="509"/>
      <c r="K5" s="509"/>
      <c r="L5" s="509"/>
      <c r="M5" s="509"/>
      <c r="N5" s="509"/>
      <c r="O5" s="509"/>
      <c r="P5" s="509"/>
      <c r="Q5" s="509"/>
      <c r="R5" s="509"/>
      <c r="S5" s="509"/>
      <c r="T5" s="509"/>
    </row>
    <row r="6" spans="1:20" ht="29.25" customHeight="1" x14ac:dyDescent="0.2">
      <c r="A6" s="44"/>
      <c r="B6" s="41"/>
      <c r="C6" s="208" t="s">
        <v>263</v>
      </c>
      <c r="D6" s="516" t="s">
        <v>393</v>
      </c>
      <c r="E6" s="517" t="s">
        <v>142</v>
      </c>
      <c r="F6" s="518" t="s">
        <v>143</v>
      </c>
      <c r="G6" s="518" t="s">
        <v>148</v>
      </c>
      <c r="H6" s="518" t="s">
        <v>149</v>
      </c>
      <c r="I6" s="518" t="s">
        <v>144</v>
      </c>
      <c r="J6" s="519" t="s">
        <v>150</v>
      </c>
      <c r="K6" s="519" t="s">
        <v>145</v>
      </c>
      <c r="L6" s="519" t="s">
        <v>151</v>
      </c>
      <c r="M6" s="520" t="s">
        <v>152</v>
      </c>
      <c r="N6" s="519" t="s">
        <v>153</v>
      </c>
      <c r="O6" s="519" t="s">
        <v>154</v>
      </c>
      <c r="P6" s="519" t="s">
        <v>146</v>
      </c>
      <c r="Q6" s="519" t="s">
        <v>155</v>
      </c>
      <c r="R6" s="519" t="s">
        <v>147</v>
      </c>
      <c r="S6" s="519" t="s">
        <v>156</v>
      </c>
      <c r="T6" s="519" t="s">
        <v>157</v>
      </c>
    </row>
    <row r="7" spans="1:20" ht="33" customHeight="1" x14ac:dyDescent="0.2">
      <c r="A7" s="1534" t="s">
        <v>337</v>
      </c>
      <c r="B7" s="393" t="s">
        <v>345</v>
      </c>
      <c r="C7" s="362" t="s">
        <v>264</v>
      </c>
      <c r="D7" s="427">
        <f>IF('114. NEW Distrib by purpose'!D7&gt;0.0005=0,,IF('114. NEW Distrib by purpose'!D7&gt;0.0005,'114. NEW Distrib by purpose'!D7,"*"))</f>
        <v>0.79515209000155262</v>
      </c>
      <c r="E7" s="414">
        <f>IF('114. NEW Distrib by purpose'!E7&gt;0.0005=0,,IF('114. NEW Distrib by purpose'!E7&gt;0.0005,'114. NEW Distrib by purpose'!E7,"*"))</f>
        <v>0.78389321860433137</v>
      </c>
      <c r="F7" s="415">
        <f>IF('114. NEW Distrib by purpose'!F7&gt;0.0005=0,,IF('114. NEW Distrib by purpose'!F7&gt;0.0005,'114. NEW Distrib by purpose'!F7,"*"))</f>
        <v>0.78101359291193706</v>
      </c>
      <c r="G7" s="415">
        <f>IF('114. NEW Distrib by purpose'!G7&gt;0.0005=0,,IF('114. NEW Distrib by purpose'!G7&gt;0.0005,'114. NEW Distrib by purpose'!G7,"*"))</f>
        <v>0.96384516445450474</v>
      </c>
      <c r="H7" s="415">
        <f>IF('114. NEW Distrib by purpose'!H7&gt;0.0005=0,,IF('114. NEW Distrib by purpose'!H7&gt;0.0005,'114. NEW Distrib by purpose'!H7,"*"))</f>
        <v>0.81883982068040462</v>
      </c>
      <c r="I7" s="415">
        <f>IF('114. NEW Distrib by purpose'!I7&gt;0.0005=0,,IF('114. NEW Distrib by purpose'!I7&gt;0.0005,'114. NEW Distrib by purpose'!I7,"*"))</f>
        <v>0.78258427454253121</v>
      </c>
      <c r="J7" s="415">
        <f>IF('114. NEW Distrib by purpose'!J7&gt;0.0005=0,,IF('114. NEW Distrib by purpose'!J7&gt;0.0005,'114. NEW Distrib by purpose'!J7,"*"))</f>
        <v>0.80716186439508286</v>
      </c>
      <c r="K7" s="415">
        <f>IF('114. NEW Distrib by purpose'!K7&gt;0.0005=0,,IF('114. NEW Distrib by purpose'!K7&gt;0.0005,'114. NEW Distrib by purpose'!K7,"*"))</f>
        <v>0.6968990630266011</v>
      </c>
      <c r="L7" s="415">
        <f>IF('114. NEW Distrib by purpose'!L7&gt;0.0005=0,,IF('114. NEW Distrib by purpose'!L7&gt;0.0005,'114. NEW Distrib by purpose'!L7,"*"))</f>
        <v>0.77110121002487242</v>
      </c>
      <c r="M7" s="415">
        <f>IF('114. NEW Distrib by purpose'!M7&gt;0.0005=0,,IF('114. NEW Distrib by purpose'!M7&gt;0.0005,'114. NEW Distrib by purpose'!M7,"*"))</f>
        <v>0.78425316543828461</v>
      </c>
      <c r="N7" s="415">
        <f>IF('114. NEW Distrib by purpose'!N7&gt;0.0005=0,,IF('114. NEW Distrib by purpose'!N7&gt;0.0005,'114. NEW Distrib by purpose'!N7,"*"))</f>
        <v>0.80231264386700207</v>
      </c>
      <c r="O7" s="415">
        <f>IF('114. NEW Distrib by purpose'!O7&gt;0.0005=0,,IF('114. NEW Distrib by purpose'!O7&gt;0.0005,'114. NEW Distrib by purpose'!O7,"*"))</f>
        <v>0.8884673507488845</v>
      </c>
      <c r="P7" s="415">
        <f>IF('114. NEW Distrib by purpose'!P7&gt;0.0005=0,,IF('114. NEW Distrib by purpose'!P7&gt;0.0005,'114. NEW Distrib by purpose'!P7,"*"))</f>
        <v>0.79987054760360921</v>
      </c>
      <c r="Q7" s="415">
        <f>IF('114. NEW Distrib by purpose'!Q7&gt;0.0005=0,,IF('114. NEW Distrib by purpose'!Q7&gt;0.0005,'114. NEW Distrib by purpose'!Q7,"*"))</f>
        <v>0.74525278353152014</v>
      </c>
      <c r="R7" s="415">
        <f>IF('114. NEW Distrib by purpose'!R7&gt;0.0005=0,,IF('114. NEW Distrib by purpose'!R7&gt;0.0005,'114. NEW Distrib by purpose'!R7,"*"))</f>
        <v>0.78524825978621438</v>
      </c>
      <c r="S7" s="415">
        <f>IF('114. NEW Distrib by purpose'!S7&gt;0.0005=0,,IF('114. NEW Distrib by purpose'!S7&gt;0.0005,'114. NEW Distrib by purpose'!S7,"*"))</f>
        <v>0.85158598454491108</v>
      </c>
      <c r="T7" s="415">
        <f>IF('114. NEW Distrib by purpose'!T7&gt;0.0005=0,,IF('114. NEW Distrib by purpose'!T7&gt;0.0005,'114. NEW Distrib by purpose'!T7,"*"))</f>
        <v>0.708625632632925</v>
      </c>
    </row>
    <row r="8" spans="1:20" ht="37.5" customHeight="1" x14ac:dyDescent="0.2">
      <c r="A8" s="1535"/>
      <c r="B8" s="393" t="s">
        <v>346</v>
      </c>
      <c r="C8" s="362" t="s">
        <v>265</v>
      </c>
      <c r="D8" s="427">
        <f>IF('114. NEW Distrib by purpose'!D8&gt;0.0005=0,,IF('114. NEW Distrib by purpose'!D8&gt;0.0005,'114. NEW Distrib by purpose'!D8,"*"))</f>
        <v>2.2301729784092051E-2</v>
      </c>
      <c r="E8" s="416">
        <f>IF('114. NEW Distrib by purpose'!E8&gt;0.0005=0,,IF('114. NEW Distrib by purpose'!E8&gt;0.0005,'114. NEW Distrib by purpose'!E8,"*"))</f>
        <v>2.9190247160988114E-2</v>
      </c>
      <c r="F8" s="417">
        <f>IF('114. NEW Distrib by purpose'!F8&gt;0.0005=0,,IF('114. NEW Distrib by purpose'!F8&gt;0.0005,'114. NEW Distrib by purpose'!F8,"*"))</f>
        <v>1.5599355665420409E-2</v>
      </c>
      <c r="G8" s="417">
        <f>IF('114. NEW Distrib by purpose'!G8&gt;0.0005=0,,IF('114. NEW Distrib by purpose'!G8&gt;0.0005,'114. NEW Distrib by purpose'!G8,"*"))</f>
        <v>7.3322693029313941E-3</v>
      </c>
      <c r="H8" s="417">
        <f>IF('114. NEW Distrib by purpose'!H8&gt;0.0005=0,,IF('114. NEW Distrib by purpose'!H8&gt;0.0005,'114. NEW Distrib by purpose'!H8,"*"))</f>
        <v>2.9490702210105683E-2</v>
      </c>
      <c r="I8" s="417">
        <f>IF('114. NEW Distrib by purpose'!I8&gt;0.0005=0,,IF('114. NEW Distrib by purpose'!I8&gt;0.0005,'114. NEW Distrib by purpose'!I8,"*"))</f>
        <v>1.8167049893754436E-2</v>
      </c>
      <c r="J8" s="417">
        <f>IF('114. NEW Distrib by purpose'!J8&gt;0.0005=0,,IF('114. NEW Distrib by purpose'!J8&gt;0.0005,'114. NEW Distrib by purpose'!J8,"*"))</f>
        <v>3.3569641887325322E-2</v>
      </c>
      <c r="K8" s="417">
        <f>IF('114. NEW Distrib by purpose'!K8&gt;0.0005=0,,IF('114. NEW Distrib by purpose'!K8&gt;0.0005,'114. NEW Distrib by purpose'!K8,"*"))</f>
        <v>3.4562342842772903E-2</v>
      </c>
      <c r="L8" s="417">
        <f>IF('114. NEW Distrib by purpose'!L8&gt;0.0005=0,,IF('114. NEW Distrib by purpose'!L8&gt;0.0005,'114. NEW Distrib by purpose'!L8,"*"))</f>
        <v>1.4868716838063754E-2</v>
      </c>
      <c r="M8" s="417">
        <f>IF('114. NEW Distrib by purpose'!M8&gt;0.0005=0,,IF('114. NEW Distrib by purpose'!M8&gt;0.0005,'114. NEW Distrib by purpose'!M8,"*"))</f>
        <v>5.8271654342830784E-2</v>
      </c>
      <c r="N8" s="417">
        <f>IF('114. NEW Distrib by purpose'!N8&gt;0.0005=0,,IF('114. NEW Distrib by purpose'!N8&gt;0.0005,'114. NEW Distrib by purpose'!N8,"*"))</f>
        <v>1.8038856487154687E-2</v>
      </c>
      <c r="O8" s="417" t="str">
        <f>IF('114. NEW Distrib by purpose'!O8&gt;0.0005=0,,IF('114. NEW Distrib by purpose'!O8&gt;0.0005,'114. NEW Distrib by purpose'!O8,"*"))</f>
        <v>*</v>
      </c>
      <c r="P8" s="417">
        <f>IF('114. NEW Distrib by purpose'!P8&gt;0.0005=0,,IF('114. NEW Distrib by purpose'!P8&gt;0.0005,'114. NEW Distrib by purpose'!P8,"*"))</f>
        <v>3.2535485983834794E-2</v>
      </c>
      <c r="Q8" s="417">
        <f>IF('114. NEW Distrib by purpose'!Q8&gt;0.0005=0,,IF('114. NEW Distrib by purpose'!Q8&gt;0.0005,'114. NEW Distrib by purpose'!Q8,"*"))</f>
        <v>2.4594190023227519E-2</v>
      </c>
      <c r="R8" s="417">
        <f>IF('114. NEW Distrib by purpose'!R8&gt;0.0005=0,,IF('114. NEW Distrib by purpose'!R8&gt;0.0005,'114. NEW Distrib by purpose'!R8,"*"))</f>
        <v>1.5850124366517733E-2</v>
      </c>
      <c r="S8" s="417">
        <f>IF('114. NEW Distrib by purpose'!S8&gt;0.0005=0,,IF('114. NEW Distrib by purpose'!S8&gt;0.0005,'114. NEW Distrib by purpose'!S8,"*"))</f>
        <v>1.8471025125456224E-2</v>
      </c>
      <c r="T8" s="417">
        <f>IF('114. NEW Distrib by purpose'!T8&gt;0.0005=0,,IF('114. NEW Distrib by purpose'!T8&gt;0.0005,'114. NEW Distrib by purpose'!T8,"*"))</f>
        <v>3.6249896851424344E-2</v>
      </c>
    </row>
    <row r="9" spans="1:20" ht="22.5" x14ac:dyDescent="0.2">
      <c r="A9" s="1535"/>
      <c r="B9" s="404" t="s">
        <v>348</v>
      </c>
      <c r="C9" s="403">
        <f>+D8+D7</f>
        <v>0.81745381978564469</v>
      </c>
      <c r="D9" s="427">
        <f>+D8+D7</f>
        <v>0.81745381978564469</v>
      </c>
      <c r="E9" s="416">
        <f t="shared" ref="E9:T9" si="0">+E8+E7</f>
        <v>0.81308346576531942</v>
      </c>
      <c r="F9" s="417">
        <f t="shared" si="0"/>
        <v>0.79661294857735743</v>
      </c>
      <c r="G9" s="417">
        <f t="shared" si="0"/>
        <v>0.97117743375743615</v>
      </c>
      <c r="H9" s="417">
        <f t="shared" si="0"/>
        <v>0.84833052289051025</v>
      </c>
      <c r="I9" s="417">
        <f t="shared" si="0"/>
        <v>0.80075132443628561</v>
      </c>
      <c r="J9" s="417">
        <f t="shared" si="0"/>
        <v>0.84073150628240823</v>
      </c>
      <c r="K9" s="417">
        <f t="shared" si="0"/>
        <v>0.73146140586937403</v>
      </c>
      <c r="L9" s="417">
        <f t="shared" si="0"/>
        <v>0.78596992686293621</v>
      </c>
      <c r="M9" s="417">
        <f t="shared" si="0"/>
        <v>0.84252481978111537</v>
      </c>
      <c r="N9" s="417">
        <f t="shared" si="0"/>
        <v>0.82035150035415672</v>
      </c>
      <c r="O9" s="417">
        <f>O7</f>
        <v>0.8884673507488845</v>
      </c>
      <c r="P9" s="417">
        <f t="shared" si="0"/>
        <v>0.83240603358744403</v>
      </c>
      <c r="Q9" s="417">
        <f t="shared" si="0"/>
        <v>0.76984697355474763</v>
      </c>
      <c r="R9" s="417">
        <f t="shared" si="0"/>
        <v>0.80109838415273216</v>
      </c>
      <c r="S9" s="417">
        <f t="shared" si="0"/>
        <v>0.87005700967036725</v>
      </c>
      <c r="T9" s="417">
        <f t="shared" si="0"/>
        <v>0.74487552948434932</v>
      </c>
    </row>
    <row r="10" spans="1:20" ht="35.25" customHeight="1" x14ac:dyDescent="0.2">
      <c r="A10" s="1535"/>
      <c r="B10" s="393" t="s">
        <v>12</v>
      </c>
      <c r="C10" s="209" t="s">
        <v>273</v>
      </c>
      <c r="D10" s="521">
        <f>IF('114. NEW Distrib by purpose'!D17&gt;0.0005=0,,IF('114. NEW Distrib by purpose'!D17&gt;0.0005,'114. NEW Distrib by purpose'!D17,"*"))</f>
        <v>8.5257235619860955E-3</v>
      </c>
      <c r="E10" s="522">
        <f>IF('114. NEW Distrib by purpose'!E17&gt;0.0005=0,,IF('114. NEW Distrib by purpose'!E17&gt;0.0005,'114. NEW Distrib by purpose'!E17,"*"))</f>
        <v>6.4862784850022335E-3</v>
      </c>
      <c r="F10" s="523">
        <f>IF('114. NEW Distrib by purpose'!F17&gt;0.0005=0,,IF('114. NEW Distrib by purpose'!F17&gt;0.0005,'114. NEW Distrib by purpose'!F17,"*"))</f>
        <v>4.0070561086635675E-2</v>
      </c>
      <c r="G10" s="523" t="str">
        <f>IF('114. NEW Distrib by purpose'!G17&gt;0.0005=0,,IF('114. NEW Distrib by purpose'!G17&gt;0.0005,'114. NEW Distrib by purpose'!G17,"*"))</f>
        <v>*</v>
      </c>
      <c r="H10" s="523">
        <f>IF('114. NEW Distrib by purpose'!H17&gt;0.0005=0,,IF('114. NEW Distrib by purpose'!H17&gt;0.0005,'114. NEW Distrib by purpose'!H17,"*"))</f>
        <v>2.0156112739689687E-3</v>
      </c>
      <c r="I10" s="523">
        <f>IF('114. NEW Distrib by purpose'!I17&gt;0.0005=0,,IF('114. NEW Distrib by purpose'!I17&gt;0.0005,'114. NEW Distrib by purpose'!I17,"*"))</f>
        <v>7.384774999043278E-3</v>
      </c>
      <c r="J10" s="523">
        <f>IF('114. NEW Distrib by purpose'!J17&gt;0.0005=0,,IF('114. NEW Distrib by purpose'!J17&gt;0.0005,'114. NEW Distrib by purpose'!J17,"*"))</f>
        <v>3.6956914002477105E-3</v>
      </c>
      <c r="K10" s="523">
        <f>IF('114. NEW Distrib by purpose'!K17&gt;0.0005=0,,IF('114. NEW Distrib by purpose'!K17&gt;0.0005,'114. NEW Distrib by purpose'!K17,"*"))</f>
        <v>1.7914283008907891E-2</v>
      </c>
      <c r="L10" s="523" t="str">
        <f>IF('114. NEW Distrib by purpose'!L17&gt;0.0005=0,,IF('114. NEW Distrib by purpose'!L17&gt;0.0005,'114. NEW Distrib by purpose'!L17,"*"))</f>
        <v>*</v>
      </c>
      <c r="M10" s="523" t="str">
        <f>IF('114. NEW Distrib by purpose'!M17&gt;0.0005=0,,IF('114. NEW Distrib by purpose'!M17&gt;0.0005,'114. NEW Distrib by purpose'!M17,"*"))</f>
        <v>*</v>
      </c>
      <c r="N10" s="523">
        <f>IF('114. NEW Distrib by purpose'!N17&gt;0.0005=0,,IF('114. NEW Distrib by purpose'!N17&gt;0.0005,'114. NEW Distrib by purpose'!N17,"*"))</f>
        <v>4.1577492347192449E-2</v>
      </c>
      <c r="O10" s="523" t="str">
        <f>IF('114. NEW Distrib by purpose'!O17&gt;0.0005=0,,IF('114. NEW Distrib by purpose'!O17&gt;0.0005,'114. NEW Distrib by purpose'!O17,"*"))</f>
        <v>*</v>
      </c>
      <c r="P10" s="523" t="str">
        <f>IF('114. NEW Distrib by purpose'!P17&gt;0.0005=0,,IF('114. NEW Distrib by purpose'!P17&gt;0.0005,'114. NEW Distrib by purpose'!P17,"*"))</f>
        <v>*</v>
      </c>
      <c r="Q10" s="523" t="str">
        <f>IF('114. NEW Distrib by purpose'!Q17&gt;0.0005=0,,IF('114. NEW Distrib by purpose'!Q17&gt;0.0005,'114. NEW Distrib by purpose'!Q17,"*"))</f>
        <v>*</v>
      </c>
      <c r="R10" s="523">
        <f>IF('114. NEW Distrib by purpose'!R17&gt;0.0005=0,,IF('114. NEW Distrib by purpose'!R17&gt;0.0005,'114. NEW Distrib by purpose'!R17,"*"))</f>
        <v>6.2897083727037548E-3</v>
      </c>
      <c r="S10" s="523">
        <f>IF('114. NEW Distrib by purpose'!S17&gt;0.0005=0,,IF('114. NEW Distrib by purpose'!S17&gt;0.0005,'114. NEW Distrib by purpose'!S17,"*"))</f>
        <v>1.9937569899622955E-3</v>
      </c>
      <c r="T10" s="523">
        <f>IF('114. NEW Distrib by purpose'!T17&gt;0.0005=0,,IF('114. NEW Distrib by purpose'!T17&gt;0.0005,'114. NEW Distrib by purpose'!T17,"*"))</f>
        <v>4.2545891163715101E-3</v>
      </c>
    </row>
    <row r="11" spans="1:20" ht="33" customHeight="1" x14ac:dyDescent="0.2">
      <c r="A11" s="1536"/>
      <c r="B11" s="394" t="s">
        <v>86</v>
      </c>
      <c r="C11" s="210" t="s">
        <v>303</v>
      </c>
      <c r="D11" s="524">
        <f>IF('114. NEW Distrib by purpose'!D24&gt;0.0005=0,,IF('114. NEW Distrib by purpose'!D24&gt;0.0005,'114. NEW Distrib by purpose'!D24,"*"))</f>
        <v>4.4852284646651561E-3</v>
      </c>
      <c r="E11" s="525">
        <f>IF('114. NEW Distrib by purpose'!E24&gt;0.0005=0,,IF('114. NEW Distrib by purpose'!E24&gt;0.0005,'114. NEW Distrib by purpose'!E24,"*"))</f>
        <v>1.2859093478856643E-3</v>
      </c>
      <c r="F11" s="526" t="str">
        <f>IF('114. NEW Distrib by purpose'!F24&gt;0.0005=0,,IF('114. NEW Distrib by purpose'!F24&gt;0.0005,'114. NEW Distrib by purpose'!F24,"*"))</f>
        <v>*</v>
      </c>
      <c r="G11" s="526">
        <f>IF('114. NEW Distrib by purpose'!G24&gt;0.0005=0,,IF('114. NEW Distrib by purpose'!G24&gt;0.0005,'114. NEW Distrib by purpose'!G24,"*"))</f>
        <v>2.2507530532131122E-3</v>
      </c>
      <c r="H11" s="526" t="str">
        <f>IF('114. NEW Distrib by purpose'!H24&gt;0.0005=0,,IF('114. NEW Distrib by purpose'!H24&gt;0.0005,'114. NEW Distrib by purpose'!H24,"*"))</f>
        <v>*</v>
      </c>
      <c r="I11" s="526">
        <f>IF('114. NEW Distrib by purpose'!I24&gt;0.0005=0,,IF('114. NEW Distrib by purpose'!I24&gt;0.0005,'114. NEW Distrib by purpose'!I24,"*"))</f>
        <v>1.2932587980429927E-2</v>
      </c>
      <c r="J11" s="526">
        <f>IF('114. NEW Distrib by purpose'!J24&gt;0.0005=0,,IF('114. NEW Distrib by purpose'!J24&gt;0.0005,'114. NEW Distrib by purpose'!J24,"*"))</f>
        <v>1.3022331703126401E-2</v>
      </c>
      <c r="K11" s="526">
        <f>IF('114. NEW Distrib by purpose'!K24&gt;0.0005=0,,IF('114. NEW Distrib by purpose'!K24&gt;0.0005,'114. NEW Distrib by purpose'!K24,"*"))</f>
        <v>4.9964923318137821E-3</v>
      </c>
      <c r="L11" s="526">
        <f>IF('114. NEW Distrib by purpose'!L24&gt;0.0005=0,,IF('114. NEW Distrib by purpose'!L24&gt;0.0005,'114. NEW Distrib by purpose'!L24,"*"))</f>
        <v>1.4658277717064998E-3</v>
      </c>
      <c r="M11" s="526">
        <f>IF('114. NEW Distrib by purpose'!M24&gt;0.0005=0,,IF('114. NEW Distrib by purpose'!M24&gt;0.0005,'114. NEW Distrib by purpose'!M24,"*"))</f>
        <v>3.7169832765544465E-3</v>
      </c>
      <c r="N11" s="526">
        <f>IF('114. NEW Distrib by purpose'!N24&gt;0.0005=0,,IF('114. NEW Distrib by purpose'!N24&gt;0.0005,'114. NEW Distrib by purpose'!N24,"*"))</f>
        <v>3.4366044531083349E-3</v>
      </c>
      <c r="O11" s="526">
        <f>IF('114. NEW Distrib by purpose'!O24&gt;0.0005=0,,IF('114. NEW Distrib by purpose'!O24&gt;0.0005,'114. NEW Distrib by purpose'!O24,"*"))</f>
        <v>7.7618051219211417E-3</v>
      </c>
      <c r="P11" s="526">
        <f>IF('114. NEW Distrib by purpose'!P24&gt;0.0005=0,,IF('114. NEW Distrib by purpose'!P24&gt;0.0005,'114. NEW Distrib by purpose'!P24,"*"))</f>
        <v>1.6436183120720578E-3</v>
      </c>
      <c r="Q11" s="526" t="str">
        <f>IF('114. NEW Distrib by purpose'!Q24&gt;0.0005=0,,IF('114. NEW Distrib by purpose'!Q24&gt;0.0005,'114. NEW Distrib by purpose'!Q24,"*"))</f>
        <v>*</v>
      </c>
      <c r="R11" s="526" t="str">
        <f>IF('114. NEW Distrib by purpose'!R24&gt;0.0005=0,,IF('114. NEW Distrib by purpose'!R24&gt;0.0005,'114. NEW Distrib by purpose'!R24,"*"))</f>
        <v>*</v>
      </c>
      <c r="S11" s="526">
        <f>IF('114. NEW Distrib by purpose'!S24&gt;0.0005=0,,IF('114. NEW Distrib by purpose'!S24&gt;0.0005,'114. NEW Distrib by purpose'!S24,"*"))</f>
        <v>2.0156761604312661E-2</v>
      </c>
      <c r="T11" s="526">
        <f>IF('114. NEW Distrib by purpose'!T24&gt;0.0005=0,,IF('114. NEW Distrib by purpose'!T24&gt;0.0005,'114. NEW Distrib by purpose'!T24,"*"))</f>
        <v>7.4082885758771921E-3</v>
      </c>
    </row>
    <row r="12" spans="1:20" ht="24.75" customHeight="1" x14ac:dyDescent="0.2">
      <c r="A12" s="1534" t="s">
        <v>338</v>
      </c>
      <c r="B12" s="395" t="s">
        <v>120</v>
      </c>
      <c r="C12" s="211" t="s">
        <v>281</v>
      </c>
      <c r="D12" s="527">
        <f>IF('114. NEW Distrib by purpose'!D29&gt;0.0005=0,,IF('114. NEW Distrib by purpose'!D29&gt;0.0005,'114. NEW Distrib by purpose'!D29,"*"))</f>
        <v>7.4935560796357478E-3</v>
      </c>
      <c r="E12" s="528">
        <f>IF('114. NEW Distrib by purpose'!E29&gt;0.0005=0,,IF('114. NEW Distrib by purpose'!E29&gt;0.0005,'114. NEW Distrib by purpose'!E29,"*"))</f>
        <v>2.7554452758765361E-3</v>
      </c>
      <c r="F12" s="529">
        <f>IF('114. NEW Distrib by purpose'!F29&gt;0.0005=0,,IF('114. NEW Distrib by purpose'!F29&gt;0.0005,'114. NEW Distrib by purpose'!F29,"*"))</f>
        <v>5.2683569364613426E-3</v>
      </c>
      <c r="G12" s="529">
        <f>IF('114. NEW Distrib by purpose'!G29&gt;0.0005=0,,IF('114. NEW Distrib by purpose'!G29&gt;0.0005,'114. NEW Distrib by purpose'!G29,"*"))</f>
        <v>1.6983562937037233E-2</v>
      </c>
      <c r="H12" s="529">
        <f>IF('114. NEW Distrib by purpose'!H29&gt;0.0005=0,,IF('114. NEW Distrib by purpose'!H29&gt;0.0005,'114. NEW Distrib by purpose'!H29,"*"))</f>
        <v>9.9149591518650645E-4</v>
      </c>
      <c r="I12" s="529">
        <f>IF('114. NEW Distrib by purpose'!I29&gt;0.0005=0,,IF('114. NEW Distrib by purpose'!I29&gt;0.0005,'114. NEW Distrib by purpose'!I29,"*"))</f>
        <v>5.2822483748299733E-3</v>
      </c>
      <c r="J12" s="529">
        <f>IF('114. NEW Distrib by purpose'!J29&gt;0.0005=0,,IF('114. NEW Distrib by purpose'!J29&gt;0.0005,'114. NEW Distrib by purpose'!J29,"*"))</f>
        <v>1.1492367202956046E-2</v>
      </c>
      <c r="K12" s="529">
        <f>IF('114. NEW Distrib by purpose'!K29&gt;0.0005=0,,IF('114. NEW Distrib by purpose'!K29&gt;0.0005,'114. NEW Distrib by purpose'!K29,"*"))</f>
        <v>3.2866563455612556E-2</v>
      </c>
      <c r="L12" s="529">
        <f>IF('114. NEW Distrib by purpose'!L29&gt;0.0005=0,,IF('114. NEW Distrib by purpose'!L29&gt;0.0005,'114. NEW Distrib by purpose'!L29,"*"))</f>
        <v>4.1733262449192262E-3</v>
      </c>
      <c r="M12" s="529">
        <f>IF('114. NEW Distrib by purpose'!M29&gt;0.0005=0,,IF('114. NEW Distrib by purpose'!M29&gt;0.0005,'114. NEW Distrib by purpose'!M29,"*"))</f>
        <v>4.5619269198657044E-3</v>
      </c>
      <c r="N12" s="529">
        <f>IF('114. NEW Distrib by purpose'!N29&gt;0.0005=0,,IF('114. NEW Distrib by purpose'!N29&gt;0.0005,'114. NEW Distrib by purpose'!N29,"*"))</f>
        <v>8.315500150235345E-3</v>
      </c>
      <c r="O12" s="529">
        <f>IF('114. NEW Distrib by purpose'!O29&gt;0.0005=0,,IF('114. NEW Distrib by purpose'!O29&gt;0.0005,'114. NEW Distrib by purpose'!O29,"*"))</f>
        <v>5.028187553371026E-3</v>
      </c>
      <c r="P12" s="529">
        <f>IF('114. NEW Distrib by purpose'!P29&gt;0.0005=0,,IF('114. NEW Distrib by purpose'!P29&gt;0.0005,'114. NEW Distrib by purpose'!P29,"*"))</f>
        <v>1.1230184124207062E-2</v>
      </c>
      <c r="Q12" s="529">
        <f>IF('114. NEW Distrib by purpose'!Q29&gt;0.0005=0,,IF('114. NEW Distrib by purpose'!Q29&gt;0.0005,'114. NEW Distrib by purpose'!Q29,"*"))</f>
        <v>6.326102960810473E-3</v>
      </c>
      <c r="R12" s="529">
        <f>IF('114. NEW Distrib by purpose'!R29&gt;0.0005=0,,IF('114. NEW Distrib by purpose'!R29&gt;0.0005,'114. NEW Distrib by purpose'!R29,"*"))</f>
        <v>9.3708970847020331E-3</v>
      </c>
      <c r="S12" s="529">
        <f>IF('114. NEW Distrib by purpose'!S29&gt;0.0005=0,,IF('114. NEW Distrib by purpose'!S29&gt;0.0005,'114. NEW Distrib by purpose'!S29,"*"))</f>
        <v>7.2638473722136535E-3</v>
      </c>
      <c r="T12" s="529">
        <f>IF('114. NEW Distrib by purpose'!T29&gt;0.0005=0,,IF('114. NEW Distrib by purpose'!T29&gt;0.0005,'114. NEW Distrib by purpose'!T29,"*"))</f>
        <v>5.9074082425051811E-3</v>
      </c>
    </row>
    <row r="13" spans="1:20" ht="39" customHeight="1" x14ac:dyDescent="0.2">
      <c r="A13" s="1535"/>
      <c r="B13" s="396" t="s">
        <v>187</v>
      </c>
      <c r="C13" s="209" t="s">
        <v>286</v>
      </c>
      <c r="D13" s="521">
        <f>IF('114. NEW Distrib by purpose'!D34&gt;0.0005=0,,IF('114. NEW Distrib by purpose'!D34&gt;0.0005,'114. NEW Distrib by purpose'!D34,"*"))</f>
        <v>2.5038934752370607E-3</v>
      </c>
      <c r="E13" s="522">
        <f>IF('114. NEW Distrib by purpose'!E34&gt;0.0005=0,,IF('114. NEW Distrib by purpose'!E34&gt;0.0005,'114. NEW Distrib by purpose'!E34,"*"))</f>
        <v>3.7745643192509024E-3</v>
      </c>
      <c r="F13" s="523" t="str">
        <f>IF('114. NEW Distrib by purpose'!F34&gt;0.0005=0,,IF('114. NEW Distrib by purpose'!F34&gt;0.0005,'114. NEW Distrib by purpose'!F34,"*"))</f>
        <v>*</v>
      </c>
      <c r="G13" s="523" t="str">
        <f>IF('114. NEW Distrib by purpose'!G34&gt;0.0005=0,,IF('114. NEW Distrib by purpose'!G34&gt;0.0005,'114. NEW Distrib by purpose'!G34,"*"))</f>
        <v>*</v>
      </c>
      <c r="H13" s="523">
        <f>IF('114. NEW Distrib by purpose'!H34&gt;0.0005=0,,IF('114. NEW Distrib by purpose'!H34&gt;0.0005,'114. NEW Distrib by purpose'!H34,"*"))</f>
        <v>1.8719912695583474E-3</v>
      </c>
      <c r="I13" s="523">
        <f>IF('114. NEW Distrib by purpose'!I34&gt;0.0005=0,,IF('114. NEW Distrib by purpose'!I34&gt;0.0005,'114. NEW Distrib by purpose'!I34,"*"))</f>
        <v>7.0829152778905009E-3</v>
      </c>
      <c r="J13" s="523" t="str">
        <f>IF('114. NEW Distrib by purpose'!J34&gt;0.0005=0,,IF('114. NEW Distrib by purpose'!J34&gt;0.0005,'114. NEW Distrib by purpose'!J34,"*"))</f>
        <v>*</v>
      </c>
      <c r="K13" s="523" t="str">
        <f>IF('114. NEW Distrib by purpose'!K34&gt;0.0005=0,,IF('114. NEW Distrib by purpose'!K34&gt;0.0005,'114. NEW Distrib by purpose'!K34,"*"))</f>
        <v>*</v>
      </c>
      <c r="L13" s="523">
        <f>IF('114. NEW Distrib by purpose'!L34&gt;0.0005=0,,IF('114. NEW Distrib by purpose'!L34&gt;0.0005,'114. NEW Distrib by purpose'!L34,"*"))</f>
        <v>1.0087820617268416E-2</v>
      </c>
      <c r="M13" s="523" t="str">
        <f>IF('114. NEW Distrib by purpose'!M34&gt;0.0005=0,,IF('114. NEW Distrib by purpose'!M34&gt;0.0005,'114. NEW Distrib by purpose'!M34,"*"))</f>
        <v>*</v>
      </c>
      <c r="N13" s="523" t="str">
        <f>IF('114. NEW Distrib by purpose'!N34&gt;0.0005=0,,IF('114. NEW Distrib by purpose'!N34&gt;0.0005,'114. NEW Distrib by purpose'!N34,"*"))</f>
        <v>*</v>
      </c>
      <c r="O13" s="523" t="str">
        <f>IF('114. NEW Distrib by purpose'!O34&gt;0.0005=0,,IF('114. NEW Distrib by purpose'!O34&gt;0.0005,'114. NEW Distrib by purpose'!O34,"*"))</f>
        <v>*</v>
      </c>
      <c r="P13" s="523">
        <f>IF('114. NEW Distrib by purpose'!P34&gt;0.0005=0,,IF('114. NEW Distrib by purpose'!P34&gt;0.0005,'114. NEW Distrib by purpose'!P34,"*"))</f>
        <v>1.272554394517655E-3</v>
      </c>
      <c r="Q13" s="523" t="str">
        <f>IF('114. NEW Distrib by purpose'!Q34&gt;0.0005=0,,IF('114. NEW Distrib by purpose'!Q34&gt;0.0005,'114. NEW Distrib by purpose'!Q34,"*"))</f>
        <v>*</v>
      </c>
      <c r="R13" s="523">
        <f>IF('114. NEW Distrib by purpose'!R34&gt;0.0005=0,,IF('114. NEW Distrib by purpose'!R34&gt;0.0005,'114. NEW Distrib by purpose'!R34,"*"))</f>
        <v>3.6651104832472717E-3</v>
      </c>
      <c r="S13" s="523" t="str">
        <f>IF('114. NEW Distrib by purpose'!S34&gt;0.0005=0,,IF('114. NEW Distrib by purpose'!S34&gt;0.0005,'114. NEW Distrib by purpose'!S34,"*"))</f>
        <v>*</v>
      </c>
      <c r="T13" s="523" t="str">
        <f>IF('114. NEW Distrib by purpose'!T34&gt;0.0005=0,,IF('114. NEW Distrib by purpose'!T34&gt;0.0005,'114. NEW Distrib by purpose'!T34,"*"))</f>
        <v>*</v>
      </c>
    </row>
    <row r="14" spans="1:20" ht="25.5" customHeight="1" x14ac:dyDescent="0.2">
      <c r="A14" s="1535"/>
      <c r="B14" s="396" t="s">
        <v>188</v>
      </c>
      <c r="C14" s="209" t="s">
        <v>287</v>
      </c>
      <c r="D14" s="530" t="str">
        <f>IF('114. NEW Distrib by purpose'!D35&gt;0.0005=0,,IF('114. NEW Distrib by purpose'!D35&gt;0.0005,'114. NEW Distrib by purpose'!D35,"*"))</f>
        <v>*</v>
      </c>
      <c r="E14" s="425" t="str">
        <f>IF('114. NEW Distrib by purpose'!E35&gt;0.0005=0,,IF('114. NEW Distrib by purpose'!E35&gt;0.0005,'114. NEW Distrib by purpose'!E35,"*"))</f>
        <v>*</v>
      </c>
      <c r="F14" s="531">
        <f>IF('114. NEW Distrib by purpose'!F35&gt;0.0005=0,,IF('114. NEW Distrib by purpose'!F35&gt;0.0005,'114. NEW Distrib by purpose'!F35,"*"))</f>
        <v>1.6439453479565988E-3</v>
      </c>
      <c r="G14" s="531">
        <f>IF('114. NEW Distrib by purpose'!G35&gt;0.0005=0,,IF('114. NEW Distrib by purpose'!G35&gt;0.0005,'114. NEW Distrib by purpose'!G35,"*"))</f>
        <v>3.4472430495927206E-3</v>
      </c>
      <c r="H14" s="531" t="str">
        <f>IF('114. NEW Distrib by purpose'!H35&gt;0.0005=0,,IF('114. NEW Distrib by purpose'!H35&gt;0.0005,'114. NEW Distrib by purpose'!H35,"*"))</f>
        <v>*</v>
      </c>
      <c r="I14" s="531" t="str">
        <f>IF('114. NEW Distrib by purpose'!I35&gt;0.0005=0,,IF('114. NEW Distrib by purpose'!I35&gt;0.0005,'114. NEW Distrib by purpose'!I35,"*"))</f>
        <v>*</v>
      </c>
      <c r="J14" s="531">
        <f>IF('114. NEW Distrib by purpose'!J35&gt;0.0005=0,,IF('114. NEW Distrib by purpose'!J35&gt;0.0005,'114. NEW Distrib by purpose'!J35,"*"))</f>
        <v>1.5576399906833478E-3</v>
      </c>
      <c r="K14" s="531" t="str">
        <f>IF('114. NEW Distrib by purpose'!K35&gt;0.0005=0,,IF('114. NEW Distrib by purpose'!K35&gt;0.0005,'114. NEW Distrib by purpose'!K35,"*"))</f>
        <v>*</v>
      </c>
      <c r="L14" s="531" t="str">
        <f>IF('114. NEW Distrib by purpose'!L35&gt;0.0005=0,,IF('114. NEW Distrib by purpose'!L35&gt;0.0005,'114. NEW Distrib by purpose'!L35,"*"))</f>
        <v>*</v>
      </c>
      <c r="M14" s="531" t="str">
        <f>IF('114. NEW Distrib by purpose'!M35&gt;0.0005=0,,IF('114. NEW Distrib by purpose'!M35&gt;0.0005,'114. NEW Distrib by purpose'!M35,"*"))</f>
        <v>*</v>
      </c>
      <c r="N14" s="531" t="str">
        <f>IF('114. NEW Distrib by purpose'!N35&gt;0.0005=0,,IF('114. NEW Distrib by purpose'!N35&gt;0.0005,'114. NEW Distrib by purpose'!N35,"*"))</f>
        <v>*</v>
      </c>
      <c r="O14" s="531" t="str">
        <f>IF('114. NEW Distrib by purpose'!O35&gt;0.0005=0,,IF('114. NEW Distrib by purpose'!O35&gt;0.0005,'114. NEW Distrib by purpose'!O35,"*"))</f>
        <v>*</v>
      </c>
      <c r="P14" s="531">
        <f>IF('114. NEW Distrib by purpose'!P35&gt;0.0005=0,,IF('114. NEW Distrib by purpose'!P35&gt;0.0005,'114. NEW Distrib by purpose'!P35,"*"))</f>
        <v>8.9213788141672952E-4</v>
      </c>
      <c r="Q14" s="531">
        <f>IF('114. NEW Distrib by purpose'!Q35&gt;0.0005=0,,IF('114. NEW Distrib by purpose'!Q35&gt;0.0005,'114. NEW Distrib by purpose'!Q35,"*"))</f>
        <v>6.8462323259081963E-4</v>
      </c>
      <c r="R14" s="531" t="str">
        <f>IF('114. NEW Distrib by purpose'!R35&gt;0.0005=0,,IF('114. NEW Distrib by purpose'!R35&gt;0.0005,'114. NEW Distrib by purpose'!R35,"*"))</f>
        <v>*</v>
      </c>
      <c r="S14" s="531" t="str">
        <f>IF('114. NEW Distrib by purpose'!S35&gt;0.0005=0,,IF('114. NEW Distrib by purpose'!S35&gt;0.0005,'114. NEW Distrib by purpose'!S35,"*"))</f>
        <v>*</v>
      </c>
      <c r="T14" s="531">
        <f>IF('114. NEW Distrib by purpose'!T35&gt;0.0005=0,,IF('114. NEW Distrib by purpose'!T35&gt;0.0005,'114. NEW Distrib by purpose'!T35,"*"))</f>
        <v>7.3747540031561835E-4</v>
      </c>
    </row>
    <row r="15" spans="1:20" ht="48.75" customHeight="1" x14ac:dyDescent="0.2">
      <c r="A15" s="1535"/>
      <c r="B15" s="396" t="s">
        <v>259</v>
      </c>
      <c r="C15" s="209" t="s">
        <v>291</v>
      </c>
      <c r="D15" s="521">
        <f>IF('114. NEW Distrib by purpose'!D39&gt;0.0005=0,,IF('114. NEW Distrib by purpose'!D39&gt;0.0005,'114. NEW Distrib by purpose'!D39,"*"))</f>
        <v>6.1010797763787913E-2</v>
      </c>
      <c r="E15" s="522">
        <f>IF('114. NEW Distrib by purpose'!E39&gt;0.0005=0,,IF('114. NEW Distrib by purpose'!E39&gt;0.0005,'114. NEW Distrib by purpose'!E39,"*"))</f>
        <v>1.7928692329690105E-2</v>
      </c>
      <c r="F15" s="523">
        <f>IF('114. NEW Distrib by purpose'!F39&gt;0.0005=0,,IF('114. NEW Distrib by purpose'!F39&gt;0.0005,'114. NEW Distrib by purpose'!F39,"*"))</f>
        <v>7.5681312126752748E-2</v>
      </c>
      <c r="G15" s="523">
        <f>IF('114. NEW Distrib by purpose'!G39&gt;0.0005=0,,IF('114. NEW Distrib by purpose'!G39&gt;0.0005,'114. NEW Distrib by purpose'!G39,"*"))</f>
        <v>5.0821205968623927E-3</v>
      </c>
      <c r="H15" s="523">
        <f>IF('114. NEW Distrib by purpose'!H39&gt;0.0005=0,,IF('114. NEW Distrib by purpose'!H39&gt;0.0005,'114. NEW Distrib by purpose'!H39,"*"))</f>
        <v>8.2546646049555666E-2</v>
      </c>
      <c r="I15" s="523">
        <f>IF('114. NEW Distrib by purpose'!I39&gt;0.0005=0,,IF('114. NEW Distrib by purpose'!I39&gt;0.0005,'114. NEW Distrib by purpose'!I39,"*"))</f>
        <v>8.7903961884089374E-2</v>
      </c>
      <c r="J15" s="523">
        <f>IF('114. NEW Distrib by purpose'!J39&gt;0.0005=0,,IF('114. NEW Distrib by purpose'!J39&gt;0.0005,'114. NEW Distrib by purpose'!J39,"*"))</f>
        <v>7.2469326230221384E-2</v>
      </c>
      <c r="K15" s="523">
        <f>IF('114. NEW Distrib by purpose'!K39&gt;0.0005=0,,IF('114. NEW Distrib by purpose'!K39&gt;0.0005,'114. NEW Distrib by purpose'!K39,"*"))</f>
        <v>0.10991832659705894</v>
      </c>
      <c r="L15" s="523">
        <f>IF('114. NEW Distrib by purpose'!L39&gt;0.0005=0,,IF('114. NEW Distrib by purpose'!L39&gt;0.0005,'114. NEW Distrib by purpose'!L39,"*"))</f>
        <v>2.4823957486560001E-2</v>
      </c>
      <c r="M15" s="523">
        <f>IF('114. NEW Distrib by purpose'!M39&gt;0.0005=0,,IF('114. NEW Distrib by purpose'!M39&gt;0.0005,'114. NEW Distrib by purpose'!M39,"*"))</f>
        <v>1.8371922833881164E-2</v>
      </c>
      <c r="N15" s="523">
        <f>IF('114. NEW Distrib by purpose'!N39&gt;0.0005=0,,IF('114. NEW Distrib by purpose'!N39&gt;0.0005,'114. NEW Distrib by purpose'!N39,"*"))</f>
        <v>4.2085290580143972E-2</v>
      </c>
      <c r="O15" s="523">
        <f>IF('114. NEW Distrib by purpose'!O39&gt;0.0005=0,,IF('114. NEW Distrib by purpose'!O39&gt;0.0005,'114. NEW Distrib by purpose'!O39,"*"))</f>
        <v>3.9987486286984252E-2</v>
      </c>
      <c r="P15" s="523">
        <f>IF('114. NEW Distrib by purpose'!P39&gt;0.0005=0,,IF('114. NEW Distrib by purpose'!P39&gt;0.0005,'114. NEW Distrib by purpose'!P39,"*"))</f>
        <v>0.12365159249838191</v>
      </c>
      <c r="Q15" s="523">
        <f>IF('114. NEW Distrib by purpose'!Q39&gt;0.0005=0,,IF('114. NEW Distrib by purpose'!Q39&gt;0.0005,'114. NEW Distrib by purpose'!Q39,"*"))</f>
        <v>0.12443940917596102</v>
      </c>
      <c r="R15" s="523">
        <f>IF('114. NEW Distrib by purpose'!R39&gt;0.0005=0,,IF('114. NEW Distrib by purpose'!R39&gt;0.0005,'114. NEW Distrib by purpose'!R39,"*"))</f>
        <v>4.3993705926491856E-2</v>
      </c>
      <c r="S15" s="523">
        <f>IF('114. NEW Distrib by purpose'!S39&gt;0.0005=0,,IF('114. NEW Distrib by purpose'!S39&gt;0.0005,'114. NEW Distrib by purpose'!S39,"*"))</f>
        <v>5.3600349863316001E-2</v>
      </c>
      <c r="T15" s="523">
        <f>IF('114. NEW Distrib by purpose'!T39&gt;0.0005=0,,IF('114. NEW Distrib by purpose'!T39&gt;0.0005,'114. NEW Distrib by purpose'!T39,"*"))</f>
        <v>7.6826410049087357E-2</v>
      </c>
    </row>
    <row r="16" spans="1:20" ht="36" customHeight="1" x14ac:dyDescent="0.2">
      <c r="A16" s="1537"/>
      <c r="B16" s="393" t="s">
        <v>192</v>
      </c>
      <c r="C16" s="209" t="s">
        <v>280</v>
      </c>
      <c r="D16" s="521">
        <f>IF('114. NEW Distrib by purpose'!D55&gt;0.0005=0,,IF('114. NEW Distrib by purpose'!D55&gt;0.0005,'114. NEW Distrib by purpose'!D55,"*"))</f>
        <v>6.6311209040898197E-2</v>
      </c>
      <c r="E16" s="522">
        <f>IF('114. NEW Distrib by purpose'!E55&gt;0.0005=0,,IF('114. NEW Distrib by purpose'!E55&gt;0.0005,'114. NEW Distrib by purpose'!E55,"*"))</f>
        <v>0.15101443963924227</v>
      </c>
      <c r="F16" s="523" t="str">
        <f>IF('114. NEW Distrib by purpose'!F55&gt;0.0005=0,,IF('114. NEW Distrib by purpose'!F55&gt;0.0005,'114. NEW Distrib by purpose'!F55,"*"))</f>
        <v>*</v>
      </c>
      <c r="G16" s="523" t="str">
        <f>IF('114. NEW Distrib by purpose'!G55&gt;0.0005=0,,IF('114. NEW Distrib by purpose'!G55&gt;0.0005,'114. NEW Distrib by purpose'!G55,"*"))</f>
        <v>*</v>
      </c>
      <c r="H16" s="523">
        <f>IF('114. NEW Distrib by purpose'!H55&gt;0.0005=0,,IF('114. NEW Distrib by purpose'!H55&gt;0.0005,'114. NEW Distrib by purpose'!H55,"*"))</f>
        <v>6.3282809505514265E-2</v>
      </c>
      <c r="I16" s="523">
        <f>IF('114. NEW Distrib by purpose'!I55&gt;0.0005=0,,IF('114. NEW Distrib by purpose'!I55&gt;0.0005,'114. NEW Distrib by purpose'!I55,"*"))</f>
        <v>4.9911845703644785E-2</v>
      </c>
      <c r="J16" s="523">
        <f>IF('114. NEW Distrib by purpose'!J55&gt;0.0005=0,,IF('114. NEW Distrib by purpose'!J55&gt;0.0005,'114. NEW Distrib by purpose'!J55,"*"))</f>
        <v>5.6412365183127755E-2</v>
      </c>
      <c r="K16" s="523">
        <f>IF('114. NEW Distrib by purpose'!K55&gt;0.0005=0,,IF('114. NEW Distrib by purpose'!K55&gt;0.0005,'114. NEW Distrib by purpose'!K55,"*"))</f>
        <v>1.4772673393499393E-2</v>
      </c>
      <c r="L16" s="523" t="str">
        <f>IF('114. NEW Distrib by purpose'!L55&gt;0.0005=0,,IF('114. NEW Distrib by purpose'!L55&gt;0.0005,'114. NEW Distrib by purpose'!L55,"*"))</f>
        <v>*</v>
      </c>
      <c r="M16" s="523">
        <f>IF('114. NEW Distrib by purpose'!M55&gt;0.0005=0,,IF('114. NEW Distrib by purpose'!M55&gt;0.0005,'114. NEW Distrib by purpose'!M55,"*"))</f>
        <v>1.4559359951315248E-2</v>
      </c>
      <c r="N16" s="523">
        <f>IF('114. NEW Distrib by purpose'!N55&gt;0.0005=0,,IF('114. NEW Distrib by purpose'!N55&gt;0.0005,'114. NEW Distrib by purpose'!N55,"*"))</f>
        <v>7.0589336685165552E-2</v>
      </c>
      <c r="O16" s="523">
        <f>IF('114. NEW Distrib by purpose'!O55&gt;0.0005=0,,IF('114. NEW Distrib by purpose'!O55&gt;0.0005,'114. NEW Distrib by purpose'!O55,"*"))</f>
        <v>5.8755170288839066E-2</v>
      </c>
      <c r="P16" s="523">
        <f>IF('114. NEW Distrib by purpose'!P55&gt;0.0005=0,,IF('114. NEW Distrib by purpose'!P55&gt;0.0005,'114. NEW Distrib by purpose'!P55,"*"))</f>
        <v>4.942900488482096E-3</v>
      </c>
      <c r="Q16" s="523">
        <f>IF('114. NEW Distrib by purpose'!Q55&gt;0.0005=0,,IF('114. NEW Distrib by purpose'!Q55&gt;0.0005,'114. NEW Distrib by purpose'!Q55,"*"))</f>
        <v>1.4968006932657084E-2</v>
      </c>
      <c r="R16" s="523">
        <f>IF('114. NEW Distrib by purpose'!R55&gt;0.0005=0,,IF('114. NEW Distrib by purpose'!R55&gt;0.0005,'114. NEW Distrib by purpose'!R55,"*"))</f>
        <v>0.135582193980123</v>
      </c>
      <c r="S16" s="523">
        <f>IF('114. NEW Distrib by purpose'!S55&gt;0.0005=0,,IF('114. NEW Distrib by purpose'!S55&gt;0.0005,'114. NEW Distrib by purpose'!S55,"*"))</f>
        <v>3.7161480936732424E-2</v>
      </c>
      <c r="T16" s="523">
        <f>IF('114. NEW Distrib by purpose'!T55&gt;0.0005=0,,IF('114. NEW Distrib by purpose'!T55&gt;0.0005,'114. NEW Distrib by purpose'!T55,"*"))</f>
        <v>0.12611438643008271</v>
      </c>
    </row>
    <row r="17" spans="1:20" ht="37.5" customHeight="1" x14ac:dyDescent="0.2">
      <c r="A17" s="1537"/>
      <c r="B17" s="393" t="s">
        <v>304</v>
      </c>
      <c r="C17" s="209" t="s">
        <v>301</v>
      </c>
      <c r="D17" s="521">
        <f>IF('114. NEW Distrib by purpose'!D56&gt;0.0005=0,,IF('114. NEW Distrib by purpose'!D56&gt;0.0005,'114. NEW Distrib by purpose'!D56,"*"))</f>
        <v>2.0163278893714456E-2</v>
      </c>
      <c r="E17" s="522" t="str">
        <f>IF('114. NEW Distrib by purpose'!E56&gt;0.0005=0,,IF('114. NEW Distrib by purpose'!E56&gt;0.0005,'114. NEW Distrib by purpose'!E56,"*"))</f>
        <v>*</v>
      </c>
      <c r="F17" s="523">
        <f>IF('114. NEW Distrib by purpose'!F56&gt;0.0005=0,,IF('114. NEW Distrib by purpose'!F56&gt;0.0005,'114. NEW Distrib by purpose'!F56,"*"))</f>
        <v>7.9814391974531149E-2</v>
      </c>
      <c r="G17" s="523" t="str">
        <f>IF('114. NEW Distrib by purpose'!G56&gt;0.0005=0,,IF('114. NEW Distrib by purpose'!G56&gt;0.0005,'114. NEW Distrib by purpose'!G56,"*"))</f>
        <v>*</v>
      </c>
      <c r="H17" s="523" t="str">
        <f>IF('114. NEW Distrib by purpose'!H56&gt;0.0005=0,,IF('114. NEW Distrib by purpose'!H56&gt;0.0005,'114. NEW Distrib by purpose'!H56,"*"))</f>
        <v>*</v>
      </c>
      <c r="I17" s="523" t="str">
        <f>IF('114. NEW Distrib by purpose'!I56&gt;0.0005=0,,IF('114. NEW Distrib by purpose'!I56&gt;0.0005,'114. NEW Distrib by purpose'!I56,"*"))</f>
        <v>*</v>
      </c>
      <c r="J17" s="523" t="str">
        <f>IF('114. NEW Distrib by purpose'!J56&gt;0.0005=0,,IF('114. NEW Distrib by purpose'!J56&gt;0.0005,'114. NEW Distrib by purpose'!J56,"*"))</f>
        <v>*</v>
      </c>
      <c r="K17" s="523">
        <f>IF('114. NEW Distrib by purpose'!K56&gt;0.0005=0,,IF('114. NEW Distrib by purpose'!K56&gt;0.0005,'114. NEW Distrib by purpose'!K56,"*"))</f>
        <v>8.7615825357495403E-2</v>
      </c>
      <c r="L17" s="523">
        <f>IF('114. NEW Distrib by purpose'!L56&gt;0.0005=0,,IF('114. NEW Distrib by purpose'!L56&gt;0.0005,'114. NEW Distrib by purpose'!L56,"*"))</f>
        <v>7.8524385912569078E-2</v>
      </c>
      <c r="M17" s="523">
        <f>IF('114. NEW Distrib by purpose'!M56&gt;0.0005=0,,IF('114. NEW Distrib by purpose'!M56&gt;0.0005,'114. NEW Distrib by purpose'!M56,"*"))</f>
        <v>0.11406994890602955</v>
      </c>
      <c r="N17" s="523" t="str">
        <f>IF('114. NEW Distrib by purpose'!N56&gt;0.0005=0,,IF('114. NEW Distrib by purpose'!N56&gt;0.0005,'114. NEW Distrib by purpose'!N56,"*"))</f>
        <v>*</v>
      </c>
      <c r="O17" s="523" t="str">
        <f>IF('114. NEW Distrib by purpose'!O56&gt;0.0005=0,,IF('114. NEW Distrib by purpose'!O56&gt;0.0005,'114. NEW Distrib by purpose'!O56,"*"))</f>
        <v>*</v>
      </c>
      <c r="P17" s="523">
        <f>IF('114. NEW Distrib by purpose'!P56&gt;0.0005=0,,IF('114. NEW Distrib by purpose'!P56&gt;0.0005,'114. NEW Distrib by purpose'!P56,"*"))</f>
        <v>2.3621570747107981E-2</v>
      </c>
      <c r="Q17" s="523">
        <f>IF('114. NEW Distrib by purpose'!Q56&gt;0.0005=0,,IF('114. NEW Distrib by purpose'!Q56&gt;0.0005,'114. NEW Distrib by purpose'!Q56,"*"))</f>
        <v>7.9619280529059727E-2</v>
      </c>
      <c r="R17" s="523" t="str">
        <f>IF('114. NEW Distrib by purpose'!R56&gt;0.0005=0,,IF('114. NEW Distrib by purpose'!R56&gt;0.0005,'114. NEW Distrib by purpose'!R56,"*"))</f>
        <v>*</v>
      </c>
      <c r="S17" s="523" t="str">
        <f>IF('114. NEW Distrib by purpose'!S56&gt;0.0005=0,,IF('114. NEW Distrib by purpose'!S56&gt;0.0005,'114. NEW Distrib by purpose'!S56,"*"))</f>
        <v>*</v>
      </c>
      <c r="T17" s="523">
        <f>IF('114. NEW Distrib by purpose'!T56&gt;0.0005=0,,IF('114. NEW Distrib by purpose'!T56&gt;0.0005,'114. NEW Distrib by purpose'!T56,"*"))</f>
        <v>3.3296556823675744E-2</v>
      </c>
    </row>
    <row r="18" spans="1:20" ht="45.75" customHeight="1" x14ac:dyDescent="0.2">
      <c r="A18" s="1536"/>
      <c r="B18" s="397" t="s">
        <v>305</v>
      </c>
      <c r="C18" s="402" t="s">
        <v>302</v>
      </c>
      <c r="D18" s="532">
        <f>IF('114. NEW Distrib by purpose'!D57&gt;0.0005=0,,IF('114. NEW Distrib by purpose'!D57&gt;0.0005,'114. NEW Distrib by purpose'!D57,"*"))</f>
        <v>1.092536133619071E-2</v>
      </c>
      <c r="E18" s="533">
        <f>IF('114. NEW Distrib by purpose'!E57&gt;0.0005=0,,IF('114. NEW Distrib by purpose'!E57&gt;0.0005,'114. NEW Distrib by purpose'!E57,"*"))</f>
        <v>3.0265849641447308E-3</v>
      </c>
      <c r="F18" s="534" t="str">
        <f>IF('114. NEW Distrib by purpose'!F57&gt;0.0005=0,,IF('114. NEW Distrib by purpose'!F57&gt;0.0005,'114. NEW Distrib by purpose'!F57,"*"))</f>
        <v>*</v>
      </c>
      <c r="G18" s="534" t="str">
        <f>IF('114. NEW Distrib by purpose'!G57&gt;0.0005=0,,IF('114. NEW Distrib by purpose'!G57&gt;0.0005,'114. NEW Distrib by purpose'!G57,"*"))</f>
        <v>*</v>
      </c>
      <c r="H18" s="534" t="str">
        <f>IF('114. NEW Distrib by purpose'!H57&gt;0.0005=0,,IF('114. NEW Distrib by purpose'!H57&gt;0.0005,'114. NEW Distrib by purpose'!H57,"*"))</f>
        <v>*</v>
      </c>
      <c r="I18" s="534">
        <f>IF('114. NEW Distrib by purpose'!I57&gt;0.0005=0,,IF('114. NEW Distrib by purpose'!I57&gt;0.0005,'114. NEW Distrib by purpose'!I57,"*"))</f>
        <v>2.7606021902771859E-2</v>
      </c>
      <c r="J18" s="534" t="str">
        <f>IF('114. NEW Distrib by purpose'!J57&gt;0.0005=0,,IF('114. NEW Distrib by purpose'!J57&gt;0.0005,'114. NEW Distrib by purpose'!J57,"*"))</f>
        <v>*</v>
      </c>
      <c r="K18" s="534" t="str">
        <f>IF('114. NEW Distrib by purpose'!K57&gt;0.0005=0,,IF('114. NEW Distrib by purpose'!K57&gt;0.0005,'114. NEW Distrib by purpose'!K57,"*"))</f>
        <v>*</v>
      </c>
      <c r="L18" s="534">
        <f>IF('114. NEW Distrib by purpose'!L57&gt;0.0005=0,,IF('114. NEW Distrib by purpose'!L57&gt;0.0005,'114. NEW Distrib by purpose'!L57,"*"))</f>
        <v>9.4487285282014749E-2</v>
      </c>
      <c r="M18" s="534" t="str">
        <f>IF('114. NEW Distrib by purpose'!M57&gt;0.0005=0,,IF('114. NEW Distrib by purpose'!M57&gt;0.0005,'114. NEW Distrib by purpose'!M57,"*"))</f>
        <v>*</v>
      </c>
      <c r="N18" s="534">
        <f>IF('114. NEW Distrib by purpose'!N57&gt;0.0005=0,,IF('114. NEW Distrib by purpose'!N57&gt;0.0005,'114. NEW Distrib by purpose'!N57,"*"))</f>
        <v>1.3607620290350175E-2</v>
      </c>
      <c r="O18" s="534" t="str">
        <f>IF('114. NEW Distrib by purpose'!O57&gt;0.0005=0,,IF('114. NEW Distrib by purpose'!O57&gt;0.0005,'114. NEW Distrib by purpose'!O57,"*"))</f>
        <v>*</v>
      </c>
      <c r="P18" s="534" t="str">
        <f>IF('114. NEW Distrib by purpose'!P57&gt;0.0005=0,,IF('114. NEW Distrib by purpose'!P57&gt;0.0005,'114. NEW Distrib by purpose'!P57,"*"))</f>
        <v>*</v>
      </c>
      <c r="Q18" s="534">
        <f>IF('114. NEW Distrib by purpose'!Q57&gt;0.0005=0,,IF('114. NEW Distrib by purpose'!Q57&gt;0.0005,'114. NEW Distrib by purpose'!Q57,"*"))</f>
        <v>3.5141148965399508E-3</v>
      </c>
      <c r="R18" s="534" t="str">
        <f>IF('114. NEW Distrib by purpose'!R57&gt;0.0005=0,,IF('114. NEW Distrib by purpose'!R57&gt;0.0005,'114. NEW Distrib by purpose'!R57,"*"))</f>
        <v>*</v>
      </c>
      <c r="S18" s="534">
        <f>IF('114. NEW Distrib by purpose'!S57&gt;0.0005=0,,IF('114. NEW Distrib by purpose'!S57&gt;0.0005,'114. NEW Distrib by purpose'!S57,"*"))</f>
        <v>8.5451333636563324E-3</v>
      </c>
      <c r="T18" s="534" t="str">
        <f>IF('114. NEW Distrib by purpose'!T57&gt;0.0005=0,,IF('114. NEW Distrib by purpose'!T57&gt;0.0005,'114. NEW Distrib by purpose'!T57,"*"))</f>
        <v>*</v>
      </c>
    </row>
    <row r="19" spans="1:20" s="122" customFormat="1" ht="16.5" customHeight="1" x14ac:dyDescent="0.15">
      <c r="A19" s="73"/>
      <c r="B19" s="322" t="s">
        <v>3</v>
      </c>
      <c r="C19" s="323"/>
      <c r="D19" s="324">
        <f>SUM(D9:D18)</f>
        <v>0.99887286840176004</v>
      </c>
      <c r="E19" s="324">
        <f t="shared" ref="E19:T19" si="1">SUM(E9:E18)</f>
        <v>0.99935538012641201</v>
      </c>
      <c r="F19" s="324">
        <f t="shared" si="1"/>
        <v>0.99909151604969493</v>
      </c>
      <c r="G19" s="324">
        <f t="shared" si="1"/>
        <v>0.99894111339414171</v>
      </c>
      <c r="H19" s="324">
        <f t="shared" si="1"/>
        <v>0.99903907690429405</v>
      </c>
      <c r="I19" s="324">
        <f t="shared" si="1"/>
        <v>0.99885568055898533</v>
      </c>
      <c r="J19" s="324">
        <f t="shared" si="1"/>
        <v>0.99938122799277096</v>
      </c>
      <c r="K19" s="324">
        <f t="shared" si="1"/>
        <v>0.99954557001376187</v>
      </c>
      <c r="L19" s="324">
        <f t="shared" si="1"/>
        <v>0.99953253017797405</v>
      </c>
      <c r="M19" s="324">
        <f t="shared" si="1"/>
        <v>0.99780496166876143</v>
      </c>
      <c r="N19" s="324">
        <f t="shared" si="1"/>
        <v>0.99996334486035243</v>
      </c>
      <c r="O19" s="324">
        <f t="shared" si="1"/>
        <v>0.99999999999999989</v>
      </c>
      <c r="P19" s="324">
        <f t="shared" si="1"/>
        <v>0.99966059203362956</v>
      </c>
      <c r="Q19" s="324">
        <f t="shared" si="1"/>
        <v>0.99939851128236679</v>
      </c>
      <c r="R19" s="324">
        <f t="shared" si="1"/>
        <v>1</v>
      </c>
      <c r="S19" s="324">
        <f t="shared" si="1"/>
        <v>0.99877833980056063</v>
      </c>
      <c r="T19" s="324">
        <f t="shared" si="1"/>
        <v>0.9994206441222645</v>
      </c>
    </row>
    <row r="20" spans="1:20" ht="39.75" customHeight="1" x14ac:dyDescent="0.2">
      <c r="A20" s="1531" t="s">
        <v>339</v>
      </c>
      <c r="B20" s="1532"/>
      <c r="C20" s="1532"/>
      <c r="D20" s="1532"/>
      <c r="E20" s="1532"/>
      <c r="F20" s="1532"/>
      <c r="G20" s="1532"/>
      <c r="H20" s="1532"/>
      <c r="I20" s="1532"/>
      <c r="J20" s="1532"/>
      <c r="K20" s="1532"/>
      <c r="L20" s="1532"/>
      <c r="M20" s="1532"/>
      <c r="N20" s="1532"/>
      <c r="O20" s="1532"/>
      <c r="P20" s="1532"/>
      <c r="Q20" s="1532"/>
      <c r="R20" s="1532"/>
      <c r="S20" s="1532"/>
      <c r="T20" s="1532"/>
    </row>
    <row r="21" spans="1:20" ht="14.25" customHeight="1" x14ac:dyDescent="0.2">
      <c r="A21" s="70" t="s">
        <v>83</v>
      </c>
      <c r="B21" s="71"/>
      <c r="C21" s="71"/>
      <c r="D21" s="71"/>
      <c r="E21" s="71"/>
      <c r="F21" s="71"/>
      <c r="G21" s="71"/>
      <c r="H21" s="71"/>
      <c r="I21" s="71"/>
      <c r="J21" s="71"/>
      <c r="K21" s="184"/>
      <c r="L21" s="184"/>
      <c r="M21" s="185"/>
      <c r="N21" s="71"/>
      <c r="O21" s="71"/>
      <c r="P21" s="71"/>
      <c r="Q21" s="71"/>
      <c r="R21" s="71"/>
      <c r="S21" s="71"/>
      <c r="T21" s="72"/>
    </row>
    <row r="22" spans="1:20" ht="15" customHeight="1" x14ac:dyDescent="0.2">
      <c r="A22" s="70" t="s">
        <v>232</v>
      </c>
      <c r="B22" s="71"/>
      <c r="C22" s="71"/>
      <c r="D22" s="71"/>
      <c r="E22" s="71"/>
      <c r="F22" s="71"/>
      <c r="G22" s="71"/>
      <c r="H22" s="71"/>
      <c r="I22" s="71"/>
      <c r="J22" s="71"/>
      <c r="K22" s="184"/>
      <c r="L22" s="184"/>
      <c r="M22" s="185"/>
      <c r="N22" s="71"/>
      <c r="O22" s="71"/>
      <c r="P22" s="71"/>
      <c r="Q22" s="71"/>
      <c r="R22" s="71"/>
      <c r="S22" s="71"/>
      <c r="T22" s="72"/>
    </row>
    <row r="23" spans="1:20" ht="12" customHeight="1" x14ac:dyDescent="0.2">
      <c r="A23" s="72" t="s">
        <v>0</v>
      </c>
      <c r="B23" s="71"/>
      <c r="C23" s="71"/>
      <c r="D23" s="71"/>
      <c r="E23" s="71"/>
      <c r="F23" s="71"/>
      <c r="G23" s="71"/>
      <c r="H23" s="71"/>
      <c r="I23" s="71"/>
      <c r="J23" s="71"/>
      <c r="K23" s="184"/>
      <c r="L23" s="184"/>
      <c r="M23" s="185"/>
      <c r="N23" s="71"/>
      <c r="O23" s="71"/>
      <c r="P23" s="71"/>
      <c r="Q23" s="71"/>
      <c r="R23" s="71"/>
      <c r="S23" s="71"/>
      <c r="T23" s="72"/>
    </row>
    <row r="24" spans="1:20" x14ac:dyDescent="0.2">
      <c r="T24" s="535" t="s">
        <v>1898</v>
      </c>
    </row>
    <row r="26" spans="1:20" x14ac:dyDescent="0.2">
      <c r="H26" s="220"/>
    </row>
  </sheetData>
  <mergeCells count="5">
    <mergeCell ref="A20:T20"/>
    <mergeCell ref="A3:T3"/>
    <mergeCell ref="A4:T4"/>
    <mergeCell ref="A7:A11"/>
    <mergeCell ref="A12:A18"/>
  </mergeCells>
  <phoneticPr fontId="17" type="noConversion"/>
  <pageMargins left="0.98666666666666702" right="0.3" top="0.75" bottom="0.5" header="0.75" footer="0.5"/>
  <pageSetup scale="78" firstPageNumber="124" orientation="landscape" useFirstPageNumber="1" r:id="rId1"/>
  <headerFooter alignWithMargins="0">
    <oddHeader>&amp;R&amp;"Arial,Regular"&amp;8SREB-State Data Exchange</oddHeader>
    <oddFooter>&amp;C&amp;"Arial,Regular"&amp;P</oddFooter>
  </headerFooter>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indexed="17"/>
  </sheetPr>
  <dimension ref="A1:AP707"/>
  <sheetViews>
    <sheetView workbookViewId="0">
      <pane xSplit="4" ySplit="3" topLeftCell="J4" activePane="bottomRight" state="frozen"/>
      <selection pane="topRight" activeCell="E1" sqref="E1"/>
      <selection pane="bottomLeft" activeCell="A4" sqref="A4"/>
      <selection pane="bottomRight" sqref="A1:XFD1048576"/>
    </sheetView>
  </sheetViews>
  <sheetFormatPr defaultRowHeight="12.75" x14ac:dyDescent="0.2"/>
  <cols>
    <col min="1" max="1" width="11.125" style="433" customWidth="1"/>
    <col min="2" max="2" width="47.125" style="401" customWidth="1"/>
    <col min="3" max="3" width="6.5" style="378" customWidth="1"/>
    <col min="4" max="4" width="8" style="378" customWidth="1"/>
    <col min="5" max="22" width="12.5" style="378" customWidth="1"/>
    <col min="23" max="25" width="2.375" style="378" customWidth="1"/>
    <col min="26" max="26" width="6.5" style="378" customWidth="1"/>
    <col min="27" max="27" width="5.375" style="378" customWidth="1"/>
    <col min="28" max="28" width="5.5" style="378" customWidth="1"/>
    <col min="29" max="29" width="6" style="378" customWidth="1"/>
    <col min="30" max="30" width="5.125" style="378" customWidth="1"/>
    <col min="31" max="32" width="5.625" style="378" customWidth="1"/>
    <col min="33" max="35" width="6" style="378" customWidth="1"/>
    <col min="36" max="36" width="5.25" style="378" bestFit="1" customWidth="1"/>
    <col min="37" max="37" width="5.625" style="378" customWidth="1"/>
    <col min="38" max="38" width="5" style="378" customWidth="1"/>
    <col min="39" max="39" width="5.625" style="378" customWidth="1"/>
    <col min="40" max="40" width="5.25" style="378" customWidth="1"/>
    <col min="41" max="41" width="5" style="378" bestFit="1" customWidth="1"/>
    <col min="42" max="16384" width="9" style="378"/>
  </cols>
  <sheetData>
    <row r="1" spans="1:42" x14ac:dyDescent="0.2">
      <c r="A1" s="443"/>
      <c r="B1" s="436"/>
      <c r="C1" s="379"/>
      <c r="D1" s="379"/>
      <c r="E1" s="379"/>
      <c r="F1" s="379"/>
      <c r="G1" s="379"/>
      <c r="H1" s="379"/>
      <c r="I1" s="379"/>
      <c r="J1" s="379"/>
      <c r="K1" s="379"/>
      <c r="L1" s="379"/>
      <c r="M1" s="379"/>
      <c r="N1" s="379"/>
      <c r="O1" s="379"/>
      <c r="P1" s="379"/>
      <c r="Q1" s="379"/>
      <c r="R1" s="379"/>
      <c r="S1" s="379"/>
      <c r="T1" s="379"/>
      <c r="U1" s="379"/>
      <c r="V1" s="379"/>
      <c r="W1" s="379"/>
      <c r="X1" s="379"/>
      <c r="Y1" s="379"/>
      <c r="Z1" s="461" t="s">
        <v>354</v>
      </c>
      <c r="AA1" s="461"/>
      <c r="AB1" s="461"/>
      <c r="AC1" s="461"/>
      <c r="AD1" s="461"/>
      <c r="AE1" s="461"/>
      <c r="AF1" s="461"/>
      <c r="AG1" s="461"/>
      <c r="AH1" s="461"/>
      <c r="AI1" s="461"/>
      <c r="AJ1" s="461"/>
      <c r="AK1" s="461"/>
      <c r="AL1" s="461"/>
      <c r="AM1" s="461"/>
      <c r="AN1" s="461"/>
      <c r="AO1" s="461"/>
    </row>
    <row r="2" spans="1:42" x14ac:dyDescent="0.2">
      <c r="C2" s="799"/>
      <c r="D2" s="800"/>
      <c r="E2" s="783" t="s">
        <v>122</v>
      </c>
      <c r="F2" s="784"/>
      <c r="G2" s="784"/>
      <c r="H2" s="784"/>
      <c r="I2" s="784"/>
      <c r="J2" s="784"/>
      <c r="K2" s="784"/>
      <c r="L2" s="784"/>
      <c r="M2" s="784"/>
      <c r="N2" s="784"/>
      <c r="O2" s="784"/>
      <c r="P2" s="784"/>
      <c r="Q2" s="784"/>
      <c r="R2" s="784"/>
      <c r="S2" s="784"/>
      <c r="T2" s="784"/>
      <c r="U2" s="785"/>
      <c r="V2" s="388"/>
      <c r="W2" s="379"/>
      <c r="X2" s="379"/>
      <c r="Y2" s="379"/>
      <c r="Z2" s="462" t="s">
        <v>122</v>
      </c>
      <c r="AA2" s="463"/>
      <c r="AB2" s="463"/>
      <c r="AC2" s="463"/>
      <c r="AD2" s="463"/>
      <c r="AE2" s="463"/>
      <c r="AF2" s="463"/>
      <c r="AG2" s="463"/>
      <c r="AH2" s="463"/>
      <c r="AI2" s="463"/>
      <c r="AJ2" s="463"/>
      <c r="AK2" s="463"/>
      <c r="AL2" s="463"/>
      <c r="AM2" s="463"/>
      <c r="AN2" s="463"/>
      <c r="AO2" s="463"/>
    </row>
    <row r="3" spans="1:42" x14ac:dyDescent="0.2">
      <c r="C3" s="783" t="s">
        <v>124</v>
      </c>
      <c r="D3" s="783" t="s">
        <v>118</v>
      </c>
      <c r="E3" s="801" t="s">
        <v>142</v>
      </c>
      <c r="F3" s="802" t="s">
        <v>143</v>
      </c>
      <c r="G3" s="802" t="s">
        <v>148</v>
      </c>
      <c r="H3" s="802" t="s">
        <v>149</v>
      </c>
      <c r="I3" s="802" t="s">
        <v>144</v>
      </c>
      <c r="J3" s="802" t="s">
        <v>150</v>
      </c>
      <c r="K3" s="802" t="s">
        <v>145</v>
      </c>
      <c r="L3" s="802" t="s">
        <v>151</v>
      </c>
      <c r="M3" s="802" t="s">
        <v>152</v>
      </c>
      <c r="N3" s="802" t="s">
        <v>153</v>
      </c>
      <c r="O3" s="802" t="s">
        <v>154</v>
      </c>
      <c r="P3" s="802" t="s">
        <v>146</v>
      </c>
      <c r="Q3" s="802" t="s">
        <v>155</v>
      </c>
      <c r="R3" s="802" t="s">
        <v>147</v>
      </c>
      <c r="S3" s="802" t="s">
        <v>156</v>
      </c>
      <c r="T3" s="802" t="s">
        <v>157</v>
      </c>
      <c r="U3" s="803" t="s">
        <v>335</v>
      </c>
      <c r="V3" s="741"/>
      <c r="W3" s="452"/>
      <c r="X3" s="452"/>
      <c r="Y3" s="452"/>
      <c r="Z3" s="464" t="s">
        <v>142</v>
      </c>
      <c r="AA3" s="465" t="s">
        <v>143</v>
      </c>
      <c r="AB3" s="465" t="s">
        <v>148</v>
      </c>
      <c r="AC3" s="465" t="s">
        <v>149</v>
      </c>
      <c r="AD3" s="465" t="s">
        <v>144</v>
      </c>
      <c r="AE3" s="465" t="s">
        <v>150</v>
      </c>
      <c r="AF3" s="465" t="s">
        <v>145</v>
      </c>
      <c r="AG3" s="465" t="s">
        <v>151</v>
      </c>
      <c r="AH3" s="465" t="s">
        <v>152</v>
      </c>
      <c r="AI3" s="465" t="s">
        <v>153</v>
      </c>
      <c r="AJ3" s="465" t="s">
        <v>154</v>
      </c>
      <c r="AK3" s="465" t="s">
        <v>146</v>
      </c>
      <c r="AL3" s="465" t="s">
        <v>155</v>
      </c>
      <c r="AM3" s="465" t="s">
        <v>147</v>
      </c>
      <c r="AN3" s="465" t="s">
        <v>156</v>
      </c>
      <c r="AO3" s="465" t="s">
        <v>157</v>
      </c>
    </row>
    <row r="4" spans="1:42" ht="12.75" customHeight="1" x14ac:dyDescent="0.2">
      <c r="A4" s="1605" t="s">
        <v>347</v>
      </c>
      <c r="B4" s="435" t="s">
        <v>245</v>
      </c>
      <c r="C4" s="804" t="s">
        <v>264</v>
      </c>
      <c r="D4" s="805" t="s">
        <v>197</v>
      </c>
      <c r="E4" s="810">
        <v>2594045484</v>
      </c>
      <c r="F4" s="813">
        <v>1356189484.1400001</v>
      </c>
      <c r="G4" s="813">
        <v>777936627</v>
      </c>
      <c r="H4" s="813">
        <v>4843954940</v>
      </c>
      <c r="I4" s="813">
        <v>3646906074.213201</v>
      </c>
      <c r="J4" s="813">
        <v>2168744601.4384093</v>
      </c>
      <c r="K4" s="813">
        <v>1536154298</v>
      </c>
      <c r="L4" s="813">
        <v>3013210020</v>
      </c>
      <c r="M4" s="813">
        <v>1401711201</v>
      </c>
      <c r="N4" s="813">
        <v>4445071431.8299999</v>
      </c>
      <c r="O4" s="813">
        <v>1727955892</v>
      </c>
      <c r="P4" s="813">
        <v>2182674547</v>
      </c>
      <c r="Q4" s="813">
        <v>2110270030.579783</v>
      </c>
      <c r="R4" s="813">
        <v>9468313331</v>
      </c>
      <c r="S4" s="813">
        <v>3847927755</v>
      </c>
      <c r="T4" s="813">
        <v>833858584</v>
      </c>
      <c r="U4" s="817">
        <v>45954924301.201401</v>
      </c>
      <c r="V4" s="438"/>
      <c r="W4" s="406"/>
      <c r="X4" s="406"/>
      <c r="Y4" s="406"/>
      <c r="Z4" s="438"/>
      <c r="AA4" s="446"/>
      <c r="AB4" s="704"/>
      <c r="AC4" s="704"/>
      <c r="AD4" s="704"/>
      <c r="AE4" s="704"/>
      <c r="AF4" s="704"/>
      <c r="AG4" s="704"/>
      <c r="AH4" s="704"/>
      <c r="AI4" s="704"/>
      <c r="AJ4" s="704"/>
      <c r="AK4" s="704"/>
      <c r="AL4" s="704"/>
      <c r="AM4" s="704"/>
      <c r="AN4" s="704"/>
      <c r="AO4" s="704"/>
    </row>
    <row r="5" spans="1:42" x14ac:dyDescent="0.2">
      <c r="A5" s="1606"/>
      <c r="B5" s="439"/>
      <c r="C5" s="806"/>
      <c r="D5" s="807" t="s">
        <v>199</v>
      </c>
      <c r="E5" s="798">
        <v>2557115584</v>
      </c>
      <c r="F5" s="814">
        <v>1412664917</v>
      </c>
      <c r="G5" s="814">
        <v>821349558</v>
      </c>
      <c r="H5" s="814">
        <v>5409656386</v>
      </c>
      <c r="I5" s="814">
        <v>3777824984.66958</v>
      </c>
      <c r="J5" s="814">
        <v>2190308279.7254028</v>
      </c>
      <c r="K5" s="814">
        <v>1526781475</v>
      </c>
      <c r="L5" s="814">
        <v>3156310277</v>
      </c>
      <c r="M5" s="814">
        <v>1464682435</v>
      </c>
      <c r="N5" s="814">
        <v>4487002004</v>
      </c>
      <c r="O5" s="814">
        <v>1791700749</v>
      </c>
      <c r="P5" s="814">
        <v>2187872687</v>
      </c>
      <c r="Q5" s="814">
        <v>2199868889.256629</v>
      </c>
      <c r="R5" s="814">
        <v>9983586667</v>
      </c>
      <c r="S5" s="814">
        <v>3905489266</v>
      </c>
      <c r="T5" s="814">
        <v>839817127</v>
      </c>
      <c r="U5" s="818">
        <v>47712031285.651611</v>
      </c>
      <c r="V5" s="742"/>
      <c r="W5" s="379"/>
      <c r="X5" s="379"/>
      <c r="Y5" s="379"/>
      <c r="Z5" s="714">
        <f t="shared" ref="Z5:AO5" si="0">IF(E4&gt;0,((E5-E4)/E4),)</f>
        <v>-1.4236411900941055E-2</v>
      </c>
      <c r="AA5" s="715">
        <f t="shared" si="0"/>
        <v>4.1642730253001956E-2</v>
      </c>
      <c r="AB5" s="716">
        <f t="shared" si="0"/>
        <v>5.5805228206590146E-2</v>
      </c>
      <c r="AC5" s="716">
        <f t="shared" si="0"/>
        <v>0.11678503475096323</v>
      </c>
      <c r="AD5" s="716">
        <f t="shared" si="0"/>
        <v>3.5898624146667647E-2</v>
      </c>
      <c r="AE5" s="716">
        <f t="shared" si="0"/>
        <v>9.9429311651964454E-3</v>
      </c>
      <c r="AF5" s="716">
        <f t="shared" si="0"/>
        <v>-6.101485386072851E-3</v>
      </c>
      <c r="AG5" s="716">
        <f t="shared" si="0"/>
        <v>4.7490966792948605E-2</v>
      </c>
      <c r="AH5" s="716">
        <f t="shared" si="0"/>
        <v>4.492454219890335E-2</v>
      </c>
      <c r="AI5" s="716">
        <f t="shared" si="0"/>
        <v>9.4330479977770797E-3</v>
      </c>
      <c r="AJ5" s="716">
        <f t="shared" si="0"/>
        <v>3.6890326480625235E-2</v>
      </c>
      <c r="AK5" s="716">
        <f t="shared" si="0"/>
        <v>2.3815460748120411E-3</v>
      </c>
      <c r="AL5" s="716">
        <f t="shared" si="0"/>
        <v>4.2458480373826532E-2</v>
      </c>
      <c r="AM5" s="716">
        <f t="shared" si="0"/>
        <v>5.4420815829251734E-2</v>
      </c>
      <c r="AN5" s="716">
        <f t="shared" si="0"/>
        <v>1.4959093482252762E-2</v>
      </c>
      <c r="AO5" s="716">
        <f t="shared" si="0"/>
        <v>7.1457476295524952E-3</v>
      </c>
      <c r="AP5" s="713"/>
    </row>
    <row r="6" spans="1:42" x14ac:dyDescent="0.2">
      <c r="A6" s="1606"/>
      <c r="B6" s="435" t="s">
        <v>352</v>
      </c>
      <c r="C6" s="783" t="s">
        <v>265</v>
      </c>
      <c r="D6" s="783" t="s">
        <v>197</v>
      </c>
      <c r="E6" s="783">
        <v>0</v>
      </c>
      <c r="F6" s="788"/>
      <c r="G6" s="788"/>
      <c r="H6" s="788"/>
      <c r="I6" s="788"/>
      <c r="J6" s="788"/>
      <c r="K6" s="788"/>
      <c r="L6" s="788"/>
      <c r="M6" s="788"/>
      <c r="N6" s="788"/>
      <c r="O6" s="788"/>
      <c r="P6" s="788"/>
      <c r="Q6" s="788"/>
      <c r="R6" s="788"/>
      <c r="S6" s="788"/>
      <c r="T6" s="788"/>
      <c r="U6" s="787">
        <v>0</v>
      </c>
      <c r="V6" s="709"/>
      <c r="W6" s="379"/>
      <c r="X6" s="379"/>
      <c r="Z6" s="709"/>
      <c r="AA6" s="642"/>
      <c r="AB6" s="705"/>
      <c r="AC6" s="705"/>
      <c r="AD6" s="705"/>
      <c r="AE6" s="705"/>
      <c r="AF6" s="705"/>
      <c r="AG6" s="705"/>
      <c r="AH6" s="705"/>
      <c r="AI6" s="705"/>
      <c r="AJ6" s="705"/>
      <c r="AK6" s="705"/>
      <c r="AL6" s="705"/>
      <c r="AM6" s="705"/>
      <c r="AN6" s="705"/>
      <c r="AO6" s="705"/>
    </row>
    <row r="7" spans="1:42" x14ac:dyDescent="0.2">
      <c r="A7" s="1606"/>
      <c r="B7" s="378"/>
      <c r="C7" s="786"/>
      <c r="D7" s="789" t="s">
        <v>199</v>
      </c>
      <c r="E7" s="789">
        <v>0</v>
      </c>
      <c r="F7" s="792"/>
      <c r="G7" s="792"/>
      <c r="H7" s="792"/>
      <c r="I7" s="792"/>
      <c r="J7" s="792"/>
      <c r="K7" s="792"/>
      <c r="L7" s="792"/>
      <c r="M7" s="792"/>
      <c r="N7" s="808"/>
      <c r="O7" s="792"/>
      <c r="P7" s="792"/>
      <c r="Q7" s="792"/>
      <c r="R7" s="792"/>
      <c r="S7" s="792"/>
      <c r="T7" s="792"/>
      <c r="U7" s="793">
        <v>0</v>
      </c>
      <c r="V7" s="740"/>
      <c r="W7" s="379"/>
      <c r="X7" s="379"/>
      <c r="Y7" s="453"/>
      <c r="Z7" s="714">
        <f t="shared" ref="Z7" si="1">IF(E6&gt;0,((E7-E6)/E6),)</f>
        <v>0</v>
      </c>
      <c r="AA7" s="715">
        <f t="shared" ref="AA7" si="2">IF(F6&gt;0,((F7-F6)/F6),)</f>
        <v>0</v>
      </c>
      <c r="AB7" s="716">
        <f t="shared" ref="AB7" si="3">IF(G6&gt;0,((G7-G6)/G6),)</f>
        <v>0</v>
      </c>
      <c r="AC7" s="716">
        <f t="shared" ref="AC7" si="4">IF(H6&gt;0,((H7-H6)/H6),)</f>
        <v>0</v>
      </c>
      <c r="AD7" s="716">
        <f t="shared" ref="AD7" si="5">IF(I6&gt;0,((I7-I6)/I6),)</f>
        <v>0</v>
      </c>
      <c r="AE7" s="716">
        <f t="shared" ref="AE7" si="6">IF(J6&gt;0,((J7-J6)/J6),)</f>
        <v>0</v>
      </c>
      <c r="AF7" s="716">
        <f t="shared" ref="AF7" si="7">IF(K6&gt;0,((K7-K6)/K6),)</f>
        <v>0</v>
      </c>
      <c r="AG7" s="716">
        <f t="shared" ref="AG7" si="8">IF(L6&gt;0,((L7-L6)/L6),)</f>
        <v>0</v>
      </c>
      <c r="AH7" s="716">
        <f t="shared" ref="AH7" si="9">IF(M6&gt;0,((M7-M6)/M6),)</f>
        <v>0</v>
      </c>
      <c r="AI7" s="716">
        <f t="shared" ref="AI7" si="10">IF(N6&gt;0,((N7-N6)/N6),)</f>
        <v>0</v>
      </c>
      <c r="AJ7" s="716">
        <f t="shared" ref="AJ7" si="11">IF(O6&gt;0,((O7-O6)/O6),)</f>
        <v>0</v>
      </c>
      <c r="AK7" s="716">
        <f t="shared" ref="AK7" si="12">IF(P6&gt;0,((P7-P6)/P6),)</f>
        <v>0</v>
      </c>
      <c r="AL7" s="716">
        <f t="shared" ref="AL7" si="13">IF(Q6&gt;0,((Q7-Q6)/Q6),)</f>
        <v>0</v>
      </c>
      <c r="AM7" s="716">
        <f t="shared" ref="AM7" si="14">IF(R6&gt;0,((R7-R6)/R6),)</f>
        <v>0</v>
      </c>
      <c r="AN7" s="716">
        <f t="shared" ref="AN7" si="15">IF(S6&gt;0,((S7-S6)/S6),)</f>
        <v>0</v>
      </c>
      <c r="AO7" s="716">
        <f t="shared" ref="AO7" si="16">IF(T6&gt;0,((T7-T6)/T6),)</f>
        <v>0</v>
      </c>
    </row>
    <row r="8" spans="1:42" x14ac:dyDescent="0.2">
      <c r="A8" s="1606"/>
      <c r="B8" s="440" t="s">
        <v>319</v>
      </c>
      <c r="C8" s="783" t="s">
        <v>266</v>
      </c>
      <c r="D8" s="783" t="s">
        <v>197</v>
      </c>
      <c r="E8" s="783">
        <v>3658950</v>
      </c>
      <c r="F8" s="788">
        <v>27147811</v>
      </c>
      <c r="G8" s="788">
        <v>95000</v>
      </c>
      <c r="H8" s="788">
        <v>41148635</v>
      </c>
      <c r="I8" s="788">
        <v>7154177</v>
      </c>
      <c r="J8" s="788">
        <v>21311790</v>
      </c>
      <c r="K8" s="788"/>
      <c r="L8" s="788"/>
      <c r="M8" s="788">
        <v>231222</v>
      </c>
      <c r="N8" s="788">
        <v>9039792</v>
      </c>
      <c r="O8" s="788"/>
      <c r="P8" s="788">
        <v>5940819</v>
      </c>
      <c r="Q8" s="788">
        <v>9447397</v>
      </c>
      <c r="R8" s="788">
        <v>191932909</v>
      </c>
      <c r="S8" s="788"/>
      <c r="T8" s="788"/>
      <c r="U8" s="787">
        <v>317108502</v>
      </c>
      <c r="V8" s="708"/>
      <c r="W8" s="710"/>
      <c r="X8" s="710"/>
      <c r="Y8" s="379"/>
      <c r="Z8" s="708"/>
      <c r="AA8" s="706"/>
      <c r="AB8" s="707"/>
      <c r="AC8" s="707"/>
      <c r="AD8" s="707"/>
      <c r="AE8" s="707"/>
      <c r="AF8" s="707"/>
      <c r="AG8" s="707"/>
      <c r="AH8" s="707"/>
      <c r="AI8" s="707"/>
      <c r="AJ8" s="707"/>
      <c r="AK8" s="707"/>
      <c r="AL8" s="707"/>
      <c r="AM8" s="707"/>
      <c r="AN8" s="707"/>
      <c r="AO8" s="707"/>
    </row>
    <row r="9" spans="1:42" x14ac:dyDescent="0.2">
      <c r="A9" s="1606"/>
      <c r="B9" s="441"/>
      <c r="C9" s="786"/>
      <c r="D9" s="789" t="s">
        <v>199</v>
      </c>
      <c r="E9" s="789">
        <v>5427950</v>
      </c>
      <c r="F9" s="792">
        <v>28215466</v>
      </c>
      <c r="G9" s="792">
        <v>96200</v>
      </c>
      <c r="H9" s="792">
        <v>44503000</v>
      </c>
      <c r="I9" s="792">
        <v>7187612</v>
      </c>
      <c r="J9" s="792">
        <v>21786997</v>
      </c>
      <c r="K9" s="792"/>
      <c r="L9" s="792"/>
      <c r="M9" s="792">
        <v>290329</v>
      </c>
      <c r="N9" s="808">
        <v>9092196</v>
      </c>
      <c r="O9" s="792"/>
      <c r="P9" s="792">
        <v>3992457</v>
      </c>
      <c r="Q9" s="792">
        <v>9899924</v>
      </c>
      <c r="R9" s="792">
        <v>52739413</v>
      </c>
      <c r="S9" s="792"/>
      <c r="T9" s="792"/>
      <c r="U9" s="793">
        <v>183231544</v>
      </c>
      <c r="V9" s="740"/>
      <c r="W9" s="379"/>
      <c r="X9" s="379"/>
      <c r="Y9" s="445"/>
      <c r="Z9" s="1530">
        <f t="shared" ref="Z9" si="17">IF(E8&gt;0,((E9-E8)/E8),)</f>
        <v>0.48347203432678776</v>
      </c>
      <c r="AA9" s="715">
        <f t="shared" ref="AA9" si="18">IF(F8&gt;0,((F9-F8)/F8),)</f>
        <v>3.9327480215624017E-2</v>
      </c>
      <c r="AB9" s="716">
        <f t="shared" ref="AB9" si="19">IF(G8&gt;0,((G9-G8)/G8),)</f>
        <v>1.2631578947368421E-2</v>
      </c>
      <c r="AC9" s="716">
        <f t="shared" ref="AC9" si="20">IF(H8&gt;0,((H9-H8)/H8),)</f>
        <v>8.1518256923953855E-2</v>
      </c>
      <c r="AD9" s="716">
        <f t="shared" ref="AD9" si="21">IF(I8&gt;0,((I9-I8)/I8),)</f>
        <v>4.6734935409062425E-3</v>
      </c>
      <c r="AE9" s="716">
        <f t="shared" ref="AE9" si="22">IF(J8&gt;0,((J9-J8)/J8),)</f>
        <v>2.2297845464881175E-2</v>
      </c>
      <c r="AF9" s="716">
        <f t="shared" ref="AF9" si="23">IF(K8&gt;0,((K9-K8)/K8),)</f>
        <v>0</v>
      </c>
      <c r="AG9" s="716">
        <f t="shared" ref="AG9" si="24">IF(L8&gt;0,((L9-L8)/L8),)</f>
        <v>0</v>
      </c>
      <c r="AH9" s="716">
        <f t="shared" ref="AH9" si="25">IF(M8&gt;0,((M9-M8)/M8),)</f>
        <v>0.25562878964804386</v>
      </c>
      <c r="AI9" s="716">
        <f t="shared" ref="AI9" si="26">IF(N8&gt;0,((N9-N8)/N8),)</f>
        <v>5.7970360379973346E-3</v>
      </c>
      <c r="AJ9" s="716">
        <f t="shared" ref="AJ9" si="27">IF(O8&gt;0,((O9-O8)/O8),)</f>
        <v>0</v>
      </c>
      <c r="AK9" s="717">
        <f t="shared" ref="AK9" si="28">IF(P8&gt;0,((P9-P8)/P8),)</f>
        <v>-0.32796185172448444</v>
      </c>
      <c r="AL9" s="716">
        <f t="shared" ref="AL9" si="29">IF(Q8&gt;0,((Q9-Q8)/Q8),)</f>
        <v>4.7899648972092528E-2</v>
      </c>
      <c r="AM9" s="717">
        <f t="shared" ref="AM9" si="30">IF(R8&gt;0,((R9-R8)/R8),)</f>
        <v>-0.72521954012586765</v>
      </c>
      <c r="AN9" s="716">
        <f t="shared" ref="AN9" si="31">IF(S8&gt;0,((S9-S8)/S8),)</f>
        <v>0</v>
      </c>
      <c r="AO9" s="716">
        <f t="shared" ref="AO9" si="32">IF(T8&gt;0,((T9-T8)/T8),)</f>
        <v>0</v>
      </c>
    </row>
    <row r="10" spans="1:42" x14ac:dyDescent="0.2">
      <c r="A10" s="1606"/>
      <c r="B10" s="440" t="s">
        <v>258</v>
      </c>
      <c r="C10" s="783" t="s">
        <v>267</v>
      </c>
      <c r="D10" s="783" t="s">
        <v>197</v>
      </c>
      <c r="E10" s="783">
        <v>2584080</v>
      </c>
      <c r="F10" s="788"/>
      <c r="G10" s="788"/>
      <c r="H10" s="788"/>
      <c r="I10" s="788"/>
      <c r="J10" s="788"/>
      <c r="K10" s="788"/>
      <c r="L10" s="788">
        <v>0</v>
      </c>
      <c r="M10" s="788"/>
      <c r="N10" s="788"/>
      <c r="O10" s="788"/>
      <c r="P10" s="788"/>
      <c r="Q10" s="788"/>
      <c r="R10" s="788"/>
      <c r="S10" s="788"/>
      <c r="T10" s="788"/>
      <c r="U10" s="787">
        <v>2584080</v>
      </c>
      <c r="V10" s="708"/>
      <c r="W10" s="710"/>
      <c r="X10" s="710"/>
      <c r="Y10" s="406"/>
      <c r="Z10" s="708"/>
      <c r="AA10" s="706"/>
      <c r="AB10" s="707"/>
      <c r="AC10" s="707"/>
      <c r="AD10" s="707"/>
      <c r="AE10" s="707"/>
      <c r="AF10" s="707"/>
      <c r="AG10" s="707"/>
      <c r="AH10" s="707"/>
      <c r="AI10" s="707"/>
      <c r="AJ10" s="707"/>
      <c r="AK10" s="707"/>
      <c r="AL10" s="707"/>
      <c r="AM10" s="707"/>
      <c r="AN10" s="707"/>
      <c r="AO10" s="707"/>
    </row>
    <row r="11" spans="1:42" x14ac:dyDescent="0.2">
      <c r="A11" s="1606"/>
      <c r="B11" s="378"/>
      <c r="C11" s="786"/>
      <c r="D11" s="789" t="s">
        <v>199</v>
      </c>
      <c r="E11" s="789">
        <v>2584080</v>
      </c>
      <c r="F11" s="792"/>
      <c r="G11" s="792"/>
      <c r="H11" s="792"/>
      <c r="I11" s="792"/>
      <c r="J11" s="792"/>
      <c r="K11" s="792"/>
      <c r="L11" s="792">
        <v>0</v>
      </c>
      <c r="M11" s="792"/>
      <c r="N11" s="808"/>
      <c r="O11" s="792"/>
      <c r="P11" s="792"/>
      <c r="Q11" s="792"/>
      <c r="R11" s="792"/>
      <c r="S11" s="792"/>
      <c r="T11" s="792"/>
      <c r="U11" s="793">
        <v>2584080</v>
      </c>
      <c r="V11" s="740"/>
      <c r="W11" s="379"/>
      <c r="X11" s="379"/>
      <c r="Y11" s="379"/>
      <c r="Z11" s="714">
        <f t="shared" ref="Z11" si="33">IF(E10&gt;0,((E11-E10)/E10),)</f>
        <v>0</v>
      </c>
      <c r="AA11" s="715">
        <f t="shared" ref="AA11" si="34">IF(F10&gt;0,((F11-F10)/F10),)</f>
        <v>0</v>
      </c>
      <c r="AB11" s="716">
        <f t="shared" ref="AB11" si="35">IF(G10&gt;0,((G11-G10)/G10),)</f>
        <v>0</v>
      </c>
      <c r="AC11" s="716">
        <f t="shared" ref="AC11" si="36">IF(H10&gt;0,((H11-H10)/H10),)</f>
        <v>0</v>
      </c>
      <c r="AD11" s="716">
        <f t="shared" ref="AD11" si="37">IF(I10&gt;0,((I11-I10)/I10),)</f>
        <v>0</v>
      </c>
      <c r="AE11" s="716">
        <f t="shared" ref="AE11" si="38">IF(J10&gt;0,((J11-J10)/J10),)</f>
        <v>0</v>
      </c>
      <c r="AF11" s="716">
        <f t="shared" ref="AF11" si="39">IF(K10&gt;0,((K11-K10)/K10),)</f>
        <v>0</v>
      </c>
      <c r="AG11" s="716">
        <f t="shared" ref="AG11" si="40">IF(L10&gt;0,((L11-L10)/L10),)</f>
        <v>0</v>
      </c>
      <c r="AH11" s="716">
        <f t="shared" ref="AH11" si="41">IF(M10&gt;0,((M11-M10)/M10),)</f>
        <v>0</v>
      </c>
      <c r="AI11" s="716">
        <f t="shared" ref="AI11" si="42">IF(N10&gt;0,((N11-N10)/N10),)</f>
        <v>0</v>
      </c>
      <c r="AJ11" s="716">
        <f t="shared" ref="AJ11" si="43">IF(O10&gt;0,((O11-O10)/O10),)</f>
        <v>0</v>
      </c>
      <c r="AK11" s="716">
        <f t="shared" ref="AK11" si="44">IF(P10&gt;0,((P11-P10)/P10),)</f>
        <v>0</v>
      </c>
      <c r="AL11" s="716">
        <f t="shared" ref="AL11" si="45">IF(Q10&gt;0,((Q11-Q10)/Q10),)</f>
        <v>0</v>
      </c>
      <c r="AM11" s="716">
        <f t="shared" ref="AM11" si="46">IF(R10&gt;0,((R11-R10)/R10),)</f>
        <v>0</v>
      </c>
      <c r="AN11" s="716">
        <f t="shared" ref="AN11" si="47">IF(S10&gt;0,((S11-S10)/S10),)</f>
        <v>0</v>
      </c>
      <c r="AO11" s="716">
        <f t="shared" ref="AO11" si="48">IF(T10&gt;0,((T11-T10)/T10),)</f>
        <v>0</v>
      </c>
    </row>
    <row r="12" spans="1:42" x14ac:dyDescent="0.2">
      <c r="A12" s="1606"/>
      <c r="B12" s="440" t="s">
        <v>257</v>
      </c>
      <c r="C12" s="783" t="s">
        <v>268</v>
      </c>
      <c r="D12" s="794" t="s">
        <v>197</v>
      </c>
      <c r="E12" s="795">
        <v>38546336</v>
      </c>
      <c r="F12" s="796"/>
      <c r="G12" s="796">
        <v>2308076</v>
      </c>
      <c r="H12" s="796">
        <v>136170810</v>
      </c>
      <c r="I12" s="796">
        <v>28583815</v>
      </c>
      <c r="J12" s="796">
        <v>60324365</v>
      </c>
      <c r="K12" s="796">
        <v>43770623</v>
      </c>
      <c r="L12" s="796">
        <v>19443892</v>
      </c>
      <c r="M12" s="796">
        <v>32868303</v>
      </c>
      <c r="N12" s="796">
        <v>39859680</v>
      </c>
      <c r="O12" s="796">
        <v>28916944</v>
      </c>
      <c r="P12" s="796">
        <v>29284647</v>
      </c>
      <c r="Q12" s="796">
        <v>35517116</v>
      </c>
      <c r="R12" s="796">
        <v>59332900</v>
      </c>
      <c r="S12" s="796">
        <v>35597839</v>
      </c>
      <c r="T12" s="796">
        <v>17735741</v>
      </c>
      <c r="U12" s="797">
        <v>608261087</v>
      </c>
      <c r="V12" s="708"/>
      <c r="W12" s="710"/>
      <c r="X12" s="710"/>
      <c r="Y12" s="711"/>
      <c r="Z12" s="708"/>
      <c r="AA12" s="706"/>
      <c r="AB12" s="707"/>
      <c r="AC12" s="707"/>
      <c r="AD12" s="707"/>
      <c r="AE12" s="707"/>
      <c r="AF12" s="707"/>
      <c r="AG12" s="707"/>
      <c r="AH12" s="707"/>
      <c r="AI12" s="707"/>
      <c r="AJ12" s="707"/>
      <c r="AK12" s="707"/>
      <c r="AL12" s="707"/>
      <c r="AM12" s="707"/>
      <c r="AN12" s="707"/>
      <c r="AO12" s="707"/>
    </row>
    <row r="13" spans="1:42" x14ac:dyDescent="0.2">
      <c r="A13" s="1606"/>
      <c r="B13" s="441"/>
      <c r="C13" s="786"/>
      <c r="D13" s="798" t="s">
        <v>199</v>
      </c>
      <c r="E13" s="789">
        <v>38990535</v>
      </c>
      <c r="F13" s="792"/>
      <c r="G13" s="792">
        <v>1774625</v>
      </c>
      <c r="H13" s="792">
        <v>140867350</v>
      </c>
      <c r="I13" s="792">
        <v>29365384</v>
      </c>
      <c r="J13" s="792">
        <v>63340001</v>
      </c>
      <c r="K13" s="792">
        <v>44910820</v>
      </c>
      <c r="L13" s="792">
        <v>20588859</v>
      </c>
      <c r="M13" s="792">
        <v>34958500</v>
      </c>
      <c r="N13" s="808">
        <v>38552799</v>
      </c>
      <c r="O13" s="792">
        <v>0</v>
      </c>
      <c r="P13" s="792">
        <v>31282186</v>
      </c>
      <c r="Q13" s="792">
        <v>37118767</v>
      </c>
      <c r="R13" s="792">
        <v>60447709</v>
      </c>
      <c r="S13" s="792">
        <v>36191396</v>
      </c>
      <c r="T13" s="792">
        <v>17844171</v>
      </c>
      <c r="U13" s="793">
        <v>596233102</v>
      </c>
      <c r="V13" s="740"/>
      <c r="W13" s="379"/>
      <c r="X13" s="379"/>
      <c r="Y13" s="453"/>
      <c r="Z13" s="714">
        <f t="shared" ref="Z13" si="49">IF(E12&gt;0,((E13-E12)/E12),)</f>
        <v>1.1523767135740217E-2</v>
      </c>
      <c r="AA13" s="715">
        <f t="shared" ref="AA13" si="50">IF(F12&gt;0,((F13-F12)/F12),)</f>
        <v>0</v>
      </c>
      <c r="AB13" s="717">
        <f t="shared" ref="AB13" si="51">IF(G12&gt;0,((G13-G12)/G12),)</f>
        <v>-0.23112367183749583</v>
      </c>
      <c r="AC13" s="716">
        <f t="shared" ref="AC13" si="52">IF(H12&gt;0,((H13-H12)/H12),)</f>
        <v>3.4490064353733377E-2</v>
      </c>
      <c r="AD13" s="716">
        <f t="shared" ref="AD13" si="53">IF(I12&gt;0,((I13-I12)/I12),)</f>
        <v>2.7343061099436867E-2</v>
      </c>
      <c r="AE13" s="716">
        <f t="shared" ref="AE13" si="54">IF(J12&gt;0,((J13-J12)/J12),)</f>
        <v>4.9990348012780572E-2</v>
      </c>
      <c r="AF13" s="716">
        <f t="shared" ref="AF13" si="55">IF(K12&gt;0,((K13-K12)/K12),)</f>
        <v>2.6049366489483139E-2</v>
      </c>
      <c r="AG13" s="716">
        <f t="shared" ref="AG13" si="56">IF(L12&gt;0,((L13-L12)/L12),)</f>
        <v>5.8885690169437274E-2</v>
      </c>
      <c r="AH13" s="716">
        <f t="shared" ref="AH13" si="57">IF(M12&gt;0,((M13-M12)/M12),)</f>
        <v>6.3593091496083623E-2</v>
      </c>
      <c r="AI13" s="716">
        <f t="shared" ref="AI13" si="58">IF(N12&gt;0,((N13-N12)/N12),)</f>
        <v>-3.2787041943136523E-2</v>
      </c>
      <c r="AJ13" s="717">
        <f t="shared" ref="AJ13" si="59">IF(O12&gt;0,((O13-O12)/O12),)</f>
        <v>-1</v>
      </c>
      <c r="AK13" s="716">
        <f t="shared" ref="AK13" si="60">IF(P12&gt;0,((P13-P12)/P12),)</f>
        <v>6.8211134660424624E-2</v>
      </c>
      <c r="AL13" s="716">
        <f t="shared" ref="AL13" si="61">IF(Q12&gt;0,((Q13-Q12)/Q12),)</f>
        <v>4.5095187345729308E-2</v>
      </c>
      <c r="AM13" s="716">
        <f t="shared" ref="AM13" si="62">IF(R12&gt;0,((R13-R12)/R12),)</f>
        <v>1.8789052953757528E-2</v>
      </c>
      <c r="AN13" s="716">
        <f t="shared" ref="AN13" si="63">IF(S12&gt;0,((S13-S12)/S12),)</f>
        <v>1.6673961585140042E-2</v>
      </c>
      <c r="AO13" s="716">
        <f t="shared" ref="AO13" si="64">IF(T12&gt;0,((T13-T12)/T12),)</f>
        <v>6.1136436306777368E-3</v>
      </c>
    </row>
    <row r="14" spans="1:42" x14ac:dyDescent="0.2">
      <c r="A14" s="1606"/>
      <c r="B14" s="440" t="s">
        <v>256</v>
      </c>
      <c r="C14" s="783" t="s">
        <v>269</v>
      </c>
      <c r="D14" s="794" t="s">
        <v>197</v>
      </c>
      <c r="E14" s="795">
        <v>29995593</v>
      </c>
      <c r="F14" s="796"/>
      <c r="G14" s="796">
        <v>2602724</v>
      </c>
      <c r="H14" s="796"/>
      <c r="I14" s="796">
        <v>34053795</v>
      </c>
      <c r="J14" s="796"/>
      <c r="K14" s="796">
        <v>30331621</v>
      </c>
      <c r="L14" s="796">
        <v>17912363</v>
      </c>
      <c r="M14" s="796">
        <v>21365833</v>
      </c>
      <c r="N14" s="796">
        <v>54926026</v>
      </c>
      <c r="O14" s="796">
        <v>26436909</v>
      </c>
      <c r="P14" s="796"/>
      <c r="Q14" s="796">
        <v>24480573</v>
      </c>
      <c r="R14" s="796">
        <v>64822451</v>
      </c>
      <c r="S14" s="796">
        <v>30030646</v>
      </c>
      <c r="T14" s="796">
        <v>8785626</v>
      </c>
      <c r="U14" s="797">
        <v>345744160</v>
      </c>
      <c r="V14" s="708"/>
      <c r="W14" s="710"/>
      <c r="X14" s="710"/>
      <c r="Y14" s="379"/>
      <c r="Z14" s="708"/>
      <c r="AA14" s="706"/>
      <c r="AB14" s="707"/>
      <c r="AC14" s="707"/>
      <c r="AD14" s="707"/>
      <c r="AE14" s="707"/>
      <c r="AF14" s="707"/>
      <c r="AG14" s="707"/>
      <c r="AH14" s="707"/>
      <c r="AI14" s="707"/>
      <c r="AJ14" s="707"/>
      <c r="AK14" s="707"/>
      <c r="AL14" s="707"/>
      <c r="AM14" s="707"/>
      <c r="AN14" s="707"/>
      <c r="AO14" s="707"/>
    </row>
    <row r="15" spans="1:42" x14ac:dyDescent="0.2">
      <c r="A15" s="1606"/>
      <c r="B15" s="441"/>
      <c r="C15" s="790"/>
      <c r="D15" s="798" t="s">
        <v>199</v>
      </c>
      <c r="E15" s="789">
        <v>30622954</v>
      </c>
      <c r="F15" s="792"/>
      <c r="G15" s="792">
        <v>653400</v>
      </c>
      <c r="H15" s="792"/>
      <c r="I15" s="792">
        <v>35233027</v>
      </c>
      <c r="J15" s="792"/>
      <c r="K15" s="792">
        <v>30809105</v>
      </c>
      <c r="L15" s="792">
        <v>19055840</v>
      </c>
      <c r="M15" s="792">
        <v>22650355</v>
      </c>
      <c r="N15" s="808">
        <v>53238851</v>
      </c>
      <c r="O15" s="792">
        <v>0</v>
      </c>
      <c r="P15" s="792"/>
      <c r="Q15" s="792">
        <v>25579486</v>
      </c>
      <c r="R15" s="792">
        <v>67164344</v>
      </c>
      <c r="S15" s="792">
        <v>31027270</v>
      </c>
      <c r="T15" s="792">
        <v>9073860</v>
      </c>
      <c r="U15" s="793">
        <v>325108492</v>
      </c>
      <c r="V15" s="740"/>
      <c r="W15" s="379"/>
      <c r="X15" s="379"/>
      <c r="Y15" s="445"/>
      <c r="Z15" s="714">
        <f t="shared" ref="Z15" si="65">IF(E14&gt;0,((E15-E14)/E14),)</f>
        <v>2.0915105762369827E-2</v>
      </c>
      <c r="AA15" s="715">
        <f t="shared" ref="AA15" si="66">IF(F14&gt;0,((F15-F14)/F14),)</f>
        <v>0</v>
      </c>
      <c r="AB15" s="717">
        <f t="shared" ref="AB15" si="67">IF(G14&gt;0,((G15-G14)/G14),)</f>
        <v>-0.74895532526691266</v>
      </c>
      <c r="AC15" s="716">
        <f t="shared" ref="AC15" si="68">IF(H14&gt;0,((H15-H14)/H14),)</f>
        <v>0</v>
      </c>
      <c r="AD15" s="716">
        <f t="shared" ref="AD15" si="69">IF(I14&gt;0,((I15-I14)/I14),)</f>
        <v>3.4628504693823406E-2</v>
      </c>
      <c r="AE15" s="716">
        <f t="shared" ref="AE15" si="70">IF(J14&gt;0,((J15-J14)/J14),)</f>
        <v>0</v>
      </c>
      <c r="AF15" s="716">
        <f t="shared" ref="AF15" si="71">IF(K14&gt;0,((K15-K14)/K14),)</f>
        <v>1.5742119420521575E-2</v>
      </c>
      <c r="AG15" s="716">
        <f t="shared" ref="AG15" si="72">IF(L14&gt;0,((L15-L14)/L14),)</f>
        <v>6.3837306110868783E-2</v>
      </c>
      <c r="AH15" s="716">
        <f t="shared" ref="AH15" si="73">IF(M14&gt;0,((M15-M14)/M14),)</f>
        <v>6.0120380047901711E-2</v>
      </c>
      <c r="AI15" s="716">
        <f t="shared" ref="AI15" si="74">IF(N14&gt;0,((N15-N14)/N14),)</f>
        <v>-3.0717223197614916E-2</v>
      </c>
      <c r="AJ15" s="717">
        <f t="shared" ref="AJ15" si="75">IF(O14&gt;0,((O15-O14)/O14),)</f>
        <v>-1</v>
      </c>
      <c r="AK15" s="716">
        <f t="shared" ref="AK15" si="76">IF(P14&gt;0,((P15-P14)/P14),)</f>
        <v>0</v>
      </c>
      <c r="AL15" s="716">
        <f t="shared" ref="AL15" si="77">IF(Q14&gt;0,((Q15-Q14)/Q14),)</f>
        <v>4.4889186213084145E-2</v>
      </c>
      <c r="AM15" s="716">
        <f t="shared" ref="AM15" si="78">IF(R14&gt;0,((R15-R14)/R14),)</f>
        <v>3.6127807015504554E-2</v>
      </c>
      <c r="AN15" s="716">
        <f t="shared" ref="AN15" si="79">IF(S14&gt;0,((S15-S14)/S14),)</f>
        <v>3.3186898476975819E-2</v>
      </c>
      <c r="AO15" s="716">
        <f t="shared" ref="AO15" si="80">IF(T14&gt;0,((T15-T14)/T14),)</f>
        <v>3.2807451626099264E-2</v>
      </c>
    </row>
    <row r="16" spans="1:42" x14ac:dyDescent="0.2">
      <c r="A16" s="1606"/>
      <c r="B16" s="440" t="s">
        <v>308</v>
      </c>
      <c r="C16" s="783" t="s">
        <v>270</v>
      </c>
      <c r="D16" s="783" t="s">
        <v>197</v>
      </c>
      <c r="E16" s="783"/>
      <c r="F16" s="788"/>
      <c r="G16" s="788"/>
      <c r="H16" s="788"/>
      <c r="I16" s="788">
        <v>5569382</v>
      </c>
      <c r="J16" s="788"/>
      <c r="K16" s="788"/>
      <c r="L16" s="788"/>
      <c r="M16" s="788"/>
      <c r="N16" s="788"/>
      <c r="O16" s="788"/>
      <c r="P16" s="788"/>
      <c r="Q16" s="788"/>
      <c r="R16" s="788">
        <v>17084455</v>
      </c>
      <c r="S16" s="788"/>
      <c r="T16" s="788">
        <v>3285798</v>
      </c>
      <c r="U16" s="787">
        <v>25939635</v>
      </c>
      <c r="V16" s="708"/>
      <c r="W16" s="710"/>
      <c r="X16" s="710"/>
      <c r="Y16" s="406"/>
      <c r="Z16" s="708"/>
      <c r="AA16" s="706"/>
      <c r="AB16" s="707"/>
      <c r="AC16" s="707"/>
      <c r="AD16" s="707"/>
      <c r="AE16" s="707"/>
      <c r="AF16" s="707"/>
      <c r="AG16" s="707"/>
      <c r="AH16" s="707"/>
      <c r="AI16" s="707"/>
      <c r="AJ16" s="707"/>
      <c r="AK16" s="707"/>
      <c r="AL16" s="707"/>
      <c r="AM16" s="707"/>
      <c r="AN16" s="707"/>
      <c r="AO16" s="707"/>
    </row>
    <row r="17" spans="1:41" x14ac:dyDescent="0.2">
      <c r="A17" s="1606"/>
      <c r="B17" s="378"/>
      <c r="C17" s="786"/>
      <c r="D17" s="789" t="s">
        <v>199</v>
      </c>
      <c r="E17" s="789"/>
      <c r="F17" s="792"/>
      <c r="G17" s="792"/>
      <c r="H17" s="792"/>
      <c r="I17" s="792">
        <v>5588520</v>
      </c>
      <c r="J17" s="792"/>
      <c r="K17" s="792"/>
      <c r="L17" s="792"/>
      <c r="M17" s="792"/>
      <c r="N17" s="808"/>
      <c r="O17" s="792"/>
      <c r="P17" s="792"/>
      <c r="Q17" s="792"/>
      <c r="R17" s="792">
        <v>21165810</v>
      </c>
      <c r="S17" s="792"/>
      <c r="T17" s="792">
        <v>3696549</v>
      </c>
      <c r="U17" s="793">
        <v>30450879</v>
      </c>
      <c r="V17" s="740"/>
      <c r="W17" s="379"/>
      <c r="X17" s="379"/>
      <c r="Y17" s="379"/>
      <c r="Z17" s="714">
        <f t="shared" ref="Z17" si="81">IF(E16&gt;0,((E17-E16)/E16),)</f>
        <v>0</v>
      </c>
      <c r="AA17" s="715">
        <f t="shared" ref="AA17" si="82">IF(F16&gt;0,((F17-F16)/F16),)</f>
        <v>0</v>
      </c>
      <c r="AB17" s="716">
        <f t="shared" ref="AB17" si="83">IF(G16&gt;0,((G17-G16)/G16),)</f>
        <v>0</v>
      </c>
      <c r="AC17" s="716">
        <f t="shared" ref="AC17" si="84">IF(H16&gt;0,((H17-H16)/H16),)</f>
        <v>0</v>
      </c>
      <c r="AD17" s="716">
        <f t="shared" ref="AD17" si="85">IF(I16&gt;0,((I17-I16)/I16),)</f>
        <v>3.4362879041157529E-3</v>
      </c>
      <c r="AE17" s="716">
        <f t="shared" ref="AE17" si="86">IF(J16&gt;0,((J17-J16)/J16),)</f>
        <v>0</v>
      </c>
      <c r="AF17" s="716">
        <f t="shared" ref="AF17" si="87">IF(K16&gt;0,((K17-K16)/K16),)</f>
        <v>0</v>
      </c>
      <c r="AG17" s="716">
        <f t="shared" ref="AG17" si="88">IF(L16&gt;0,((L17-L16)/L16),)</f>
        <v>0</v>
      </c>
      <c r="AH17" s="716">
        <f t="shared" ref="AH17" si="89">IF(M16&gt;0,((M17-M16)/M16),)</f>
        <v>0</v>
      </c>
      <c r="AI17" s="716">
        <f t="shared" ref="AI17" si="90">IF(N16&gt;0,((N17-N16)/N16),)</f>
        <v>0</v>
      </c>
      <c r="AJ17" s="716">
        <f t="shared" ref="AJ17" si="91">IF(O16&gt;0,((O17-O16)/O16),)</f>
        <v>0</v>
      </c>
      <c r="AK17" s="716">
        <f t="shared" ref="AK17" si="92">IF(P16&gt;0,((P17-P16)/P16),)</f>
        <v>0</v>
      </c>
      <c r="AL17" s="716">
        <f t="shared" ref="AL17" si="93">IF(Q16&gt;0,((Q17-Q16)/Q16),)</f>
        <v>0</v>
      </c>
      <c r="AM17" s="717">
        <f t="shared" ref="AM17" si="94">IF(R16&gt;0,((R17-R16)/R16),)</f>
        <v>0.23889290000763852</v>
      </c>
      <c r="AN17" s="716">
        <f t="shared" ref="AN17" si="95">IF(S16&gt;0,((S17-S16)/S16),)</f>
        <v>0</v>
      </c>
      <c r="AO17" s="716">
        <f t="shared" ref="AO17" si="96">IF(T16&gt;0,((T17-T16)/T16),)</f>
        <v>0.12500798892689083</v>
      </c>
    </row>
    <row r="18" spans="1:41" x14ac:dyDescent="0.2">
      <c r="A18" s="1606"/>
      <c r="B18" s="440" t="s">
        <v>309</v>
      </c>
      <c r="C18" s="783" t="s">
        <v>271</v>
      </c>
      <c r="D18" s="783" t="s">
        <v>197</v>
      </c>
      <c r="E18" s="783">
        <v>0</v>
      </c>
      <c r="F18" s="788"/>
      <c r="G18" s="788">
        <v>3751300</v>
      </c>
      <c r="H18" s="788">
        <v>5418844</v>
      </c>
      <c r="I18" s="788">
        <v>9724148</v>
      </c>
      <c r="J18" s="788">
        <v>5981071</v>
      </c>
      <c r="K18" s="788"/>
      <c r="L18" s="788">
        <v>19645704</v>
      </c>
      <c r="M18" s="788">
        <v>22767543</v>
      </c>
      <c r="N18" s="788"/>
      <c r="O18" s="788"/>
      <c r="P18" s="788">
        <v>0</v>
      </c>
      <c r="Q18" s="788"/>
      <c r="R18" s="788"/>
      <c r="S18" s="788">
        <v>17160545</v>
      </c>
      <c r="T18" s="788">
        <v>7412146</v>
      </c>
      <c r="U18" s="787">
        <v>91861301</v>
      </c>
      <c r="V18" s="708"/>
      <c r="W18" s="710"/>
      <c r="X18" s="710"/>
      <c r="Y18" s="445"/>
      <c r="Z18" s="708"/>
      <c r="AA18" s="706"/>
      <c r="AB18" s="707"/>
      <c r="AC18" s="707"/>
      <c r="AD18" s="707"/>
      <c r="AE18" s="707"/>
      <c r="AF18" s="707"/>
      <c r="AG18" s="707"/>
      <c r="AH18" s="707"/>
      <c r="AI18" s="707"/>
      <c r="AJ18" s="707"/>
      <c r="AK18" s="707"/>
      <c r="AL18" s="707"/>
      <c r="AM18" s="707"/>
      <c r="AN18" s="707"/>
      <c r="AO18" s="707"/>
    </row>
    <row r="19" spans="1:41" x14ac:dyDescent="0.2">
      <c r="A19" s="1606"/>
      <c r="B19" s="441"/>
      <c r="C19" s="786"/>
      <c r="D19" s="789" t="s">
        <v>199</v>
      </c>
      <c r="E19" s="789">
        <v>0</v>
      </c>
      <c r="F19" s="792"/>
      <c r="G19" s="792">
        <v>3820236</v>
      </c>
      <c r="H19" s="792">
        <v>5425981</v>
      </c>
      <c r="I19" s="792">
        <v>10324555</v>
      </c>
      <c r="J19" s="792">
        <v>5967326.2199999997</v>
      </c>
      <c r="K19" s="792"/>
      <c r="L19" s="792">
        <v>21216681</v>
      </c>
      <c r="M19" s="792">
        <v>24458206</v>
      </c>
      <c r="N19" s="808"/>
      <c r="O19" s="792"/>
      <c r="P19" s="792">
        <v>3000000</v>
      </c>
      <c r="Q19" s="792"/>
      <c r="R19" s="792"/>
      <c r="S19" s="792">
        <v>17491970</v>
      </c>
      <c r="T19" s="792">
        <v>7191476</v>
      </c>
      <c r="U19" s="793">
        <v>98896431.219999999</v>
      </c>
      <c r="V19" s="743"/>
      <c r="W19" s="379"/>
      <c r="X19" s="379"/>
      <c r="Y19" s="406"/>
      <c r="Z19" s="714">
        <f t="shared" ref="Z19" si="97">IF(E18&gt;0,((E19-E18)/E18),)</f>
        <v>0</v>
      </c>
      <c r="AA19" s="715">
        <f t="shared" ref="AA19" si="98">IF(F18&gt;0,((F19-F18)/F18),)</f>
        <v>0</v>
      </c>
      <c r="AB19" s="716">
        <f t="shared" ref="AB19" si="99">IF(G18&gt;0,((G19-G18)/G18),)</f>
        <v>1.837656279156559E-2</v>
      </c>
      <c r="AC19" s="716">
        <f t="shared" ref="AC19" si="100">IF(H18&gt;0,((H19-H18)/H18),)</f>
        <v>1.3170705781528312E-3</v>
      </c>
      <c r="AD19" s="716">
        <f t="shared" ref="AD19" si="101">IF(I18&gt;0,((I19-I18)/I18),)</f>
        <v>6.1743918336084558E-2</v>
      </c>
      <c r="AE19" s="716">
        <f t="shared" ref="AE19" si="102">IF(J18&gt;0,((J19-J18)/J18),)</f>
        <v>-2.2980466207473981E-3</v>
      </c>
      <c r="AF19" s="716">
        <f t="shared" ref="AF19" si="103">IF(K18&gt;0,((K19-K18)/K18),)</f>
        <v>0</v>
      </c>
      <c r="AG19" s="716">
        <f t="shared" ref="AG19" si="104">IF(L18&gt;0,((L19-L18)/L18),)</f>
        <v>7.9965421447864629E-2</v>
      </c>
      <c r="AH19" s="716">
        <f t="shared" ref="AH19" si="105">IF(M18&gt;0,((M19-M18)/M18),)</f>
        <v>7.4257595560487138E-2</v>
      </c>
      <c r="AI19" s="716">
        <f t="shared" ref="AI19" si="106">IF(N18&gt;0,((N19-N18)/N18),)</f>
        <v>0</v>
      </c>
      <c r="AJ19" s="716">
        <f t="shared" ref="AJ19" si="107">IF(O18&gt;0,((O19-O18)/O18),)</f>
        <v>0</v>
      </c>
      <c r="AK19" s="716">
        <f t="shared" ref="AK19" si="108">IF(P18&gt;0,((P19-P18)/P18),)</f>
        <v>0</v>
      </c>
      <c r="AL19" s="716">
        <f t="shared" ref="AL19" si="109">IF(Q18&gt;0,((Q19-Q18)/Q18),)</f>
        <v>0</v>
      </c>
      <c r="AM19" s="716">
        <f t="shared" ref="AM19" si="110">IF(R18&gt;0,((R19-R18)/R18),)</f>
        <v>0</v>
      </c>
      <c r="AN19" s="716">
        <f t="shared" ref="AN19" si="111">IF(S18&gt;0,((S19-S18)/S18),)</f>
        <v>1.9313197803449717E-2</v>
      </c>
      <c r="AO19" s="716">
        <f t="shared" ref="AO19" si="112">IF(T18&gt;0,((T19-T18)/T18),)</f>
        <v>-2.9771404934549321E-2</v>
      </c>
    </row>
    <row r="20" spans="1:41" x14ac:dyDescent="0.2">
      <c r="A20" s="1606"/>
      <c r="B20" s="440" t="s">
        <v>429</v>
      </c>
      <c r="C20" s="783" t="s">
        <v>272</v>
      </c>
      <c r="D20" s="783" t="s">
        <v>197</v>
      </c>
      <c r="E20" s="783">
        <v>18831724</v>
      </c>
      <c r="F20" s="788"/>
      <c r="G20" s="788"/>
      <c r="H20" s="788">
        <v>3485348</v>
      </c>
      <c r="I20" s="788"/>
      <c r="J20" s="788"/>
      <c r="K20" s="788"/>
      <c r="L20" s="788"/>
      <c r="M20" s="788">
        <v>26762817.479999997</v>
      </c>
      <c r="N20" s="788"/>
      <c r="O20" s="788"/>
      <c r="P20" s="788">
        <v>65492346</v>
      </c>
      <c r="Q20" s="788"/>
      <c r="R20" s="788"/>
      <c r="S20" s="788"/>
      <c r="T20" s="788">
        <v>6067325</v>
      </c>
      <c r="U20" s="787">
        <v>120639560.47999999</v>
      </c>
      <c r="V20" s="708"/>
      <c r="W20" s="710"/>
      <c r="X20" s="710"/>
      <c r="Y20" s="379"/>
      <c r="Z20" s="708"/>
      <c r="AA20" s="706"/>
      <c r="AB20" s="707"/>
      <c r="AC20" s="707"/>
      <c r="AD20" s="707"/>
      <c r="AE20" s="707"/>
      <c r="AF20" s="707"/>
      <c r="AG20" s="707"/>
      <c r="AH20" s="707"/>
      <c r="AI20" s="707"/>
      <c r="AJ20" s="707"/>
      <c r="AK20" s="707"/>
      <c r="AL20" s="707"/>
      <c r="AM20" s="707"/>
      <c r="AN20" s="707"/>
      <c r="AO20" s="707"/>
    </row>
    <row r="21" spans="1:41" x14ac:dyDescent="0.2">
      <c r="A21" s="1606"/>
      <c r="B21" s="441"/>
      <c r="C21" s="786"/>
      <c r="D21" s="789" t="s">
        <v>199</v>
      </c>
      <c r="E21" s="789">
        <v>17595149</v>
      </c>
      <c r="F21" s="792"/>
      <c r="G21" s="792"/>
      <c r="H21" s="792">
        <v>4033673</v>
      </c>
      <c r="I21" s="792"/>
      <c r="J21" s="792"/>
      <c r="K21" s="792"/>
      <c r="L21" s="792"/>
      <c r="M21" s="792">
        <v>26761914.559999999</v>
      </c>
      <c r="N21" s="808"/>
      <c r="O21" s="792"/>
      <c r="P21" s="792">
        <v>50719134</v>
      </c>
      <c r="Q21" s="792"/>
      <c r="R21" s="792"/>
      <c r="S21" s="792"/>
      <c r="T21" s="792">
        <v>5154970</v>
      </c>
      <c r="U21" s="793">
        <v>104264840.56</v>
      </c>
      <c r="V21" s="740"/>
      <c r="W21" s="379"/>
      <c r="X21" s="379"/>
      <c r="Y21" s="445"/>
      <c r="Z21" s="714">
        <f t="shared" ref="Z21" si="113">IF(E20&gt;0,((E21-E20)/E20),)</f>
        <v>-6.5664460672851838E-2</v>
      </c>
      <c r="AA21" s="715">
        <f t="shared" ref="AA21" si="114">IF(F20&gt;0,((F21-F20)/F20),)</f>
        <v>0</v>
      </c>
      <c r="AB21" s="716">
        <f t="shared" ref="AB21" si="115">IF(G20&gt;0,((G21-G20)/G20),)</f>
        <v>0</v>
      </c>
      <c r="AC21" s="716">
        <f t="shared" ref="AC21" si="116">IF(H20&gt;0,((H21-H20)/H20),)</f>
        <v>0.15732288425718177</v>
      </c>
      <c r="AD21" s="716">
        <f t="shared" ref="AD21" si="117">IF(I20&gt;0,((I21-I20)/I20),)</f>
        <v>0</v>
      </c>
      <c r="AE21" s="716">
        <f t="shared" ref="AE21" si="118">IF(J20&gt;0,((J21-J20)/J20),)</f>
        <v>0</v>
      </c>
      <c r="AF21" s="716">
        <f t="shared" ref="AF21" si="119">IF(K20&gt;0,((K21-K20)/K20),)</f>
        <v>0</v>
      </c>
      <c r="AG21" s="716">
        <f t="shared" ref="AG21" si="120">IF(L20&gt;0,((L21-L20)/L20),)</f>
        <v>0</v>
      </c>
      <c r="AH21" s="716">
        <f t="shared" ref="AH21" si="121">IF(M20&gt;0,((M21-M20)/M20),)</f>
        <v>-3.3737852924970254E-5</v>
      </c>
      <c r="AI21" s="716">
        <f t="shared" ref="AI21" si="122">IF(N20&gt;0,((N21-N20)/N20),)</f>
        <v>0</v>
      </c>
      <c r="AJ21" s="716">
        <f t="shared" ref="AJ21" si="123">IF(O20&gt;0,((O21-O20)/O20),)</f>
        <v>0</v>
      </c>
      <c r="AK21" s="717">
        <f t="shared" ref="AK21" si="124">IF(P20&gt;0,((P21-P20)/P20),)</f>
        <v>-0.22557158053247933</v>
      </c>
      <c r="AL21" s="716">
        <f t="shared" ref="AL21" si="125">IF(Q20&gt;0,((Q21-Q20)/Q20),)</f>
        <v>0</v>
      </c>
      <c r="AM21" s="716">
        <f t="shared" ref="AM21" si="126">IF(R20&gt;0,((R21-R20)/R20),)</f>
        <v>0</v>
      </c>
      <c r="AN21" s="716">
        <f t="shared" ref="AN21" si="127">IF(S20&gt;0,((S21-S20)/S20),)</f>
        <v>0</v>
      </c>
      <c r="AO21" s="716">
        <f t="shared" ref="AO21" si="128">IF(T20&gt;0,((T21-T20)/T20),)</f>
        <v>-0.15037186898674457</v>
      </c>
    </row>
    <row r="22" spans="1:41" x14ac:dyDescent="0.2">
      <c r="A22" s="1606"/>
      <c r="B22" s="435" t="s">
        <v>353</v>
      </c>
      <c r="C22" s="783" t="s">
        <v>273</v>
      </c>
      <c r="D22" s="794" t="s">
        <v>197</v>
      </c>
      <c r="E22" s="795">
        <v>0</v>
      </c>
      <c r="F22" s="796"/>
      <c r="G22" s="796"/>
      <c r="H22" s="796"/>
      <c r="I22" s="796">
        <v>0</v>
      </c>
      <c r="J22" s="796"/>
      <c r="K22" s="796">
        <v>0</v>
      </c>
      <c r="L22" s="796"/>
      <c r="M22" s="796">
        <v>0</v>
      </c>
      <c r="N22" s="796">
        <v>0</v>
      </c>
      <c r="O22" s="796">
        <v>0</v>
      </c>
      <c r="P22" s="796"/>
      <c r="Q22" s="796"/>
      <c r="R22" s="796">
        <v>0</v>
      </c>
      <c r="S22" s="796">
        <v>0</v>
      </c>
      <c r="T22" s="796">
        <v>0</v>
      </c>
      <c r="U22" s="797">
        <v>0</v>
      </c>
      <c r="V22" s="708"/>
      <c r="W22" s="710"/>
      <c r="X22" s="710"/>
      <c r="Y22" s="406"/>
      <c r="Z22" s="708"/>
      <c r="AA22" s="706"/>
      <c r="AB22" s="707"/>
      <c r="AC22" s="707"/>
      <c r="AD22" s="707"/>
      <c r="AE22" s="707"/>
      <c r="AF22" s="707"/>
      <c r="AG22" s="707"/>
      <c r="AH22" s="707"/>
      <c r="AI22" s="707"/>
      <c r="AJ22" s="707"/>
      <c r="AK22" s="707"/>
      <c r="AL22" s="707"/>
      <c r="AM22" s="707"/>
      <c r="AN22" s="707"/>
      <c r="AO22" s="707"/>
    </row>
    <row r="23" spans="1:41" x14ac:dyDescent="0.2">
      <c r="A23" s="1606"/>
      <c r="B23" s="378"/>
      <c r="C23" s="786"/>
      <c r="D23" s="798" t="s">
        <v>199</v>
      </c>
      <c r="E23" s="789">
        <v>0</v>
      </c>
      <c r="F23" s="792"/>
      <c r="G23" s="792"/>
      <c r="H23" s="792"/>
      <c r="I23" s="792">
        <v>0</v>
      </c>
      <c r="J23" s="792"/>
      <c r="K23" s="792">
        <v>0</v>
      </c>
      <c r="L23" s="792"/>
      <c r="M23" s="792">
        <v>0</v>
      </c>
      <c r="N23" s="808">
        <v>0</v>
      </c>
      <c r="O23" s="792">
        <v>0</v>
      </c>
      <c r="P23" s="792"/>
      <c r="Q23" s="792"/>
      <c r="R23" s="792">
        <v>0</v>
      </c>
      <c r="S23" s="792">
        <v>0</v>
      </c>
      <c r="T23" s="792">
        <v>0</v>
      </c>
      <c r="U23" s="793">
        <v>0</v>
      </c>
      <c r="V23" s="740"/>
      <c r="W23" s="379"/>
      <c r="X23" s="379"/>
      <c r="Y23" s="379"/>
      <c r="Z23" s="714">
        <f t="shared" ref="Z23" si="129">IF(E22&gt;0,((E23-E22)/E22),)</f>
        <v>0</v>
      </c>
      <c r="AA23" s="715">
        <f t="shared" ref="AA23" si="130">IF(F22&gt;0,((F23-F22)/F22),)</f>
        <v>0</v>
      </c>
      <c r="AB23" s="716">
        <f t="shared" ref="AB23" si="131">IF(G22&gt;0,((G23-G22)/G22),)</f>
        <v>0</v>
      </c>
      <c r="AC23" s="716">
        <f t="shared" ref="AC23" si="132">IF(H22&gt;0,((H23-H22)/H22),)</f>
        <v>0</v>
      </c>
      <c r="AD23" s="716">
        <f t="shared" ref="AD23" si="133">IF(I22&gt;0,((I23-I22)/I22),)</f>
        <v>0</v>
      </c>
      <c r="AE23" s="716">
        <f t="shared" ref="AE23" si="134">IF(J22&gt;0,((J23-J22)/J22),)</f>
        <v>0</v>
      </c>
      <c r="AF23" s="716">
        <f t="shared" ref="AF23" si="135">IF(K22&gt;0,((K23-K22)/K22),)</f>
        <v>0</v>
      </c>
      <c r="AG23" s="716">
        <f t="shared" ref="AG23" si="136">IF(L22&gt;0,((L23-L22)/L22),)</f>
        <v>0</v>
      </c>
      <c r="AH23" s="716">
        <f t="shared" ref="AH23" si="137">IF(M22&gt;0,((M23-M22)/M22),)</f>
        <v>0</v>
      </c>
      <c r="AI23" s="716">
        <f t="shared" ref="AI23" si="138">IF(N22&gt;0,((N23-N22)/N22),)</f>
        <v>0</v>
      </c>
      <c r="AJ23" s="716">
        <f t="shared" ref="AJ23" si="139">IF(O22&gt;0,((O23-O22)/O22),)</f>
        <v>0</v>
      </c>
      <c r="AK23" s="716">
        <f t="shared" ref="AK23" si="140">IF(P22&gt;0,((P23-P22)/P22),)</f>
        <v>0</v>
      </c>
      <c r="AL23" s="716">
        <f t="shared" ref="AL23" si="141">IF(Q22&gt;0,((Q23-Q22)/Q22),)</f>
        <v>0</v>
      </c>
      <c r="AM23" s="716">
        <f t="shared" ref="AM23" si="142">IF(R22&gt;0,((R23-R22)/R22),)</f>
        <v>0</v>
      </c>
      <c r="AN23" s="716">
        <f t="shared" ref="AN23" si="143">IF(S22&gt;0,((S23-S22)/S22),)</f>
        <v>0</v>
      </c>
      <c r="AO23" s="716">
        <f t="shared" ref="AO23" si="144">IF(T22&gt;0,((T23-T22)/T22),)</f>
        <v>0</v>
      </c>
    </row>
    <row r="24" spans="1:41" x14ac:dyDescent="0.2">
      <c r="A24" s="1606"/>
      <c r="B24" s="440" t="s">
        <v>319</v>
      </c>
      <c r="C24" s="783" t="s">
        <v>274</v>
      </c>
      <c r="D24" s="794" t="s">
        <v>197</v>
      </c>
      <c r="E24" s="795"/>
      <c r="F24" s="796"/>
      <c r="G24" s="796"/>
      <c r="H24" s="796">
        <v>0</v>
      </c>
      <c r="I24" s="796">
        <v>0</v>
      </c>
      <c r="J24" s="796">
        <v>10028500</v>
      </c>
      <c r="K24" s="796">
        <v>311466</v>
      </c>
      <c r="L24" s="796"/>
      <c r="M24" s="796">
        <v>500000</v>
      </c>
      <c r="N24" s="796">
        <v>54289422</v>
      </c>
      <c r="O24" s="796">
        <v>93835</v>
      </c>
      <c r="P24" s="796"/>
      <c r="Q24" s="796"/>
      <c r="R24" s="796">
        <v>38359596</v>
      </c>
      <c r="S24" s="796"/>
      <c r="T24" s="796">
        <v>5335381</v>
      </c>
      <c r="U24" s="797">
        <v>108918200</v>
      </c>
      <c r="V24" s="708"/>
      <c r="W24" s="710"/>
      <c r="X24" s="710"/>
      <c r="Y24" s="445"/>
      <c r="Z24" s="708"/>
      <c r="AA24" s="706"/>
      <c r="AB24" s="707"/>
      <c r="AC24" s="707"/>
      <c r="AD24" s="707"/>
      <c r="AE24" s="707"/>
      <c r="AF24" s="707"/>
      <c r="AG24" s="707"/>
      <c r="AH24" s="707"/>
      <c r="AI24" s="707"/>
      <c r="AJ24" s="707"/>
      <c r="AK24" s="707"/>
      <c r="AL24" s="707"/>
      <c r="AM24" s="707"/>
      <c r="AN24" s="707"/>
      <c r="AO24" s="707"/>
    </row>
    <row r="25" spans="1:41" x14ac:dyDescent="0.2">
      <c r="A25" s="1606"/>
      <c r="B25" s="441"/>
      <c r="C25" s="790"/>
      <c r="D25" s="798" t="s">
        <v>199</v>
      </c>
      <c r="E25" s="789"/>
      <c r="F25" s="792"/>
      <c r="G25" s="792"/>
      <c r="H25" s="792">
        <v>0</v>
      </c>
      <c r="I25" s="792">
        <v>0</v>
      </c>
      <c r="J25" s="792">
        <v>10028600</v>
      </c>
      <c r="K25" s="792">
        <v>287216</v>
      </c>
      <c r="L25" s="792"/>
      <c r="M25" s="792">
        <v>509619</v>
      </c>
      <c r="N25" s="808">
        <v>52121005</v>
      </c>
      <c r="O25" s="792">
        <v>0</v>
      </c>
      <c r="P25" s="792"/>
      <c r="Q25" s="792"/>
      <c r="R25" s="792">
        <v>46158742</v>
      </c>
      <c r="S25" s="792"/>
      <c r="T25" s="792">
        <v>5042263</v>
      </c>
      <c r="U25" s="793">
        <v>114147445</v>
      </c>
      <c r="V25" s="740"/>
      <c r="W25" s="379"/>
      <c r="X25" s="379"/>
      <c r="Y25" s="406"/>
      <c r="Z25" s="714">
        <f t="shared" ref="Z25" si="145">IF(E24&gt;0,((E25-E24)/E24),)</f>
        <v>0</v>
      </c>
      <c r="AA25" s="715">
        <f t="shared" ref="AA25" si="146">IF(F24&gt;0,((F25-F24)/F24),)</f>
        <v>0</v>
      </c>
      <c r="AB25" s="716">
        <f t="shared" ref="AB25" si="147">IF(G24&gt;0,((G25-G24)/G24),)</f>
        <v>0</v>
      </c>
      <c r="AC25" s="716">
        <f t="shared" ref="AC25" si="148">IF(H24&gt;0,((H25-H24)/H24),)</f>
        <v>0</v>
      </c>
      <c r="AD25" s="716">
        <f t="shared" ref="AD25" si="149">IF(I24&gt;0,((I25-I24)/I24),)</f>
        <v>0</v>
      </c>
      <c r="AE25" s="716">
        <f t="shared" ref="AE25" si="150">IF(J24&gt;0,((J25-J24)/J24),)</f>
        <v>9.9715809941666256E-6</v>
      </c>
      <c r="AF25" s="716">
        <f t="shared" ref="AF25" si="151">IF(K24&gt;0,((K25-K24)/K24),)</f>
        <v>-7.7857615277429959E-2</v>
      </c>
      <c r="AG25" s="716">
        <f t="shared" ref="AG25" si="152">IF(L24&gt;0,((L25-L24)/L24),)</f>
        <v>0</v>
      </c>
      <c r="AH25" s="716">
        <f t="shared" ref="AH25" si="153">IF(M24&gt;0,((M25-M24)/M24),)</f>
        <v>1.9238000000000002E-2</v>
      </c>
      <c r="AI25" s="716">
        <f t="shared" ref="AI25" si="154">IF(N24&gt;0,((N25-N24)/N24),)</f>
        <v>-3.994179565956698E-2</v>
      </c>
      <c r="AJ25" s="717">
        <f t="shared" ref="AJ25" si="155">IF(O24&gt;0,((O25-O24)/O24),)</f>
        <v>-1</v>
      </c>
      <c r="AK25" s="716">
        <f t="shared" ref="AK25" si="156">IF(P24&gt;0,((P25-P24)/P24),)</f>
        <v>0</v>
      </c>
      <c r="AL25" s="716">
        <f t="shared" ref="AL25" si="157">IF(Q24&gt;0,((Q25-Q24)/Q24),)</f>
        <v>0</v>
      </c>
      <c r="AM25" s="717">
        <f t="shared" ref="AM25" si="158">IF(R24&gt;0,((R25-R24)/R24),)</f>
        <v>0.20331668769399969</v>
      </c>
      <c r="AN25" s="716">
        <f t="shared" ref="AN25" si="159">IF(S24&gt;0,((S25-S24)/S24),)</f>
        <v>0</v>
      </c>
      <c r="AO25" s="716">
        <f t="shared" ref="AO25" si="160">IF(T24&gt;0,((T25-T24)/T24),)</f>
        <v>-5.4938532037355908E-2</v>
      </c>
    </row>
    <row r="26" spans="1:41" x14ac:dyDescent="0.2">
      <c r="A26" s="1606"/>
      <c r="B26" s="440" t="s">
        <v>258</v>
      </c>
      <c r="C26" s="783" t="s">
        <v>275</v>
      </c>
      <c r="D26" s="783" t="s">
        <v>197</v>
      </c>
      <c r="E26" s="783"/>
      <c r="F26" s="788"/>
      <c r="G26" s="788"/>
      <c r="H26" s="788"/>
      <c r="I26" s="788"/>
      <c r="J26" s="788"/>
      <c r="K26" s="788"/>
      <c r="L26" s="788"/>
      <c r="M26" s="788"/>
      <c r="N26" s="788">
        <v>160118455</v>
      </c>
      <c r="O26" s="788"/>
      <c r="P26" s="788"/>
      <c r="Q26" s="788"/>
      <c r="R26" s="788"/>
      <c r="S26" s="788"/>
      <c r="T26" s="788">
        <v>267882</v>
      </c>
      <c r="U26" s="787">
        <v>160386337</v>
      </c>
      <c r="V26" s="708"/>
      <c r="W26" s="710"/>
      <c r="X26" s="710"/>
      <c r="Y26" s="379"/>
      <c r="Z26" s="708"/>
      <c r="AA26" s="706"/>
      <c r="AB26" s="707"/>
      <c r="AC26" s="707"/>
      <c r="AD26" s="707"/>
      <c r="AE26" s="707"/>
      <c r="AF26" s="707"/>
      <c r="AG26" s="707"/>
      <c r="AH26" s="707"/>
      <c r="AI26" s="707"/>
      <c r="AJ26" s="707"/>
      <c r="AK26" s="707"/>
      <c r="AL26" s="707"/>
      <c r="AM26" s="707"/>
      <c r="AN26" s="707"/>
      <c r="AO26" s="707"/>
    </row>
    <row r="27" spans="1:41" x14ac:dyDescent="0.2">
      <c r="A27" s="1606"/>
      <c r="B27" s="378"/>
      <c r="C27" s="786"/>
      <c r="D27" s="789" t="s">
        <v>199</v>
      </c>
      <c r="E27" s="789"/>
      <c r="F27" s="792"/>
      <c r="G27" s="792"/>
      <c r="H27" s="792"/>
      <c r="I27" s="792"/>
      <c r="J27" s="792"/>
      <c r="K27" s="792"/>
      <c r="L27" s="792"/>
      <c r="M27" s="792"/>
      <c r="N27" s="808">
        <v>154463208</v>
      </c>
      <c r="O27" s="792"/>
      <c r="P27" s="792"/>
      <c r="Q27" s="792"/>
      <c r="R27" s="792"/>
      <c r="S27" s="792"/>
      <c r="T27" s="792">
        <v>243926</v>
      </c>
      <c r="U27" s="793">
        <v>154707134</v>
      </c>
      <c r="V27" s="740"/>
      <c r="W27" s="379"/>
      <c r="X27" s="379"/>
      <c r="Y27" s="445"/>
      <c r="Z27" s="714">
        <f t="shared" ref="Z27" si="161">IF(E26&gt;0,((E27-E26)/E26),)</f>
        <v>0</v>
      </c>
      <c r="AA27" s="715">
        <f t="shared" ref="AA27" si="162">IF(F26&gt;0,((F27-F26)/F26),)</f>
        <v>0</v>
      </c>
      <c r="AB27" s="716">
        <f t="shared" ref="AB27" si="163">IF(G26&gt;0,((G27-G26)/G26),)</f>
        <v>0</v>
      </c>
      <c r="AC27" s="716">
        <f t="shared" ref="AC27" si="164">IF(H26&gt;0,((H27-H26)/H26),)</f>
        <v>0</v>
      </c>
      <c r="AD27" s="716">
        <f t="shared" ref="AD27" si="165">IF(I26&gt;0,((I27-I26)/I26),)</f>
        <v>0</v>
      </c>
      <c r="AE27" s="716">
        <f t="shared" ref="AE27" si="166">IF(J26&gt;0,((J27-J26)/J26),)</f>
        <v>0</v>
      </c>
      <c r="AF27" s="716">
        <f t="shared" ref="AF27" si="167">IF(K26&gt;0,((K27-K26)/K26),)</f>
        <v>0</v>
      </c>
      <c r="AG27" s="716">
        <f t="shared" ref="AG27" si="168">IF(L26&gt;0,((L27-L26)/L26),)</f>
        <v>0</v>
      </c>
      <c r="AH27" s="716">
        <f t="shared" ref="AH27" si="169">IF(M26&gt;0,((M27-M26)/M26),)</f>
        <v>0</v>
      </c>
      <c r="AI27" s="716">
        <f t="shared" ref="AI27" si="170">IF(N26&gt;0,((N27-N26)/N26),)</f>
        <v>-3.5319145441417107E-2</v>
      </c>
      <c r="AJ27" s="716">
        <f t="shared" ref="AJ27" si="171">IF(O26&gt;0,((O27-O26)/O26),)</f>
        <v>0</v>
      </c>
      <c r="AK27" s="716">
        <f t="shared" ref="AK27" si="172">IF(P26&gt;0,((P27-P26)/P26),)</f>
        <v>0</v>
      </c>
      <c r="AL27" s="716">
        <f t="shared" ref="AL27" si="173">IF(Q26&gt;0,((Q27-Q26)/Q26),)</f>
        <v>0</v>
      </c>
      <c r="AM27" s="716">
        <f t="shared" ref="AM27" si="174">IF(R26&gt;0,((R27-R26)/R26),)</f>
        <v>0</v>
      </c>
      <c r="AN27" s="716">
        <f t="shared" ref="AN27" si="175">IF(S26&gt;0,((S27-S26)/S26),)</f>
        <v>0</v>
      </c>
      <c r="AO27" s="716">
        <f t="shared" ref="AO27" si="176">IF(T26&gt;0,((T27-T26)/T26),)</f>
        <v>-8.942743446741476E-2</v>
      </c>
    </row>
    <row r="28" spans="1:41" x14ac:dyDescent="0.2">
      <c r="A28" s="1606"/>
      <c r="B28" s="440" t="s">
        <v>257</v>
      </c>
      <c r="C28" s="783" t="s">
        <v>276</v>
      </c>
      <c r="D28" s="783" t="s">
        <v>197</v>
      </c>
      <c r="E28" s="783"/>
      <c r="F28" s="788">
        <v>68137894</v>
      </c>
      <c r="G28" s="788"/>
      <c r="H28" s="788"/>
      <c r="I28" s="788"/>
      <c r="J28" s="788"/>
      <c r="K28" s="788"/>
      <c r="L28" s="788"/>
      <c r="M28" s="788"/>
      <c r="N28" s="788"/>
      <c r="O28" s="788"/>
      <c r="P28" s="788"/>
      <c r="Q28" s="788"/>
      <c r="R28" s="788"/>
      <c r="S28" s="788"/>
      <c r="T28" s="788"/>
      <c r="U28" s="787">
        <v>68137894</v>
      </c>
      <c r="V28" s="708"/>
      <c r="W28" s="710"/>
      <c r="X28" s="710"/>
      <c r="Y28" s="406"/>
      <c r="Z28" s="708"/>
      <c r="AA28" s="706"/>
      <c r="AB28" s="707"/>
      <c r="AC28" s="707"/>
      <c r="AD28" s="707"/>
      <c r="AE28" s="707"/>
      <c r="AF28" s="707"/>
      <c r="AG28" s="707"/>
      <c r="AH28" s="707"/>
      <c r="AI28" s="707"/>
      <c r="AJ28" s="707"/>
      <c r="AK28" s="707"/>
      <c r="AL28" s="707"/>
      <c r="AM28" s="707"/>
      <c r="AN28" s="707"/>
      <c r="AO28" s="707"/>
    </row>
    <row r="29" spans="1:41" x14ac:dyDescent="0.2">
      <c r="A29" s="1606"/>
      <c r="B29" s="441"/>
      <c r="C29" s="786"/>
      <c r="D29" s="789" t="s">
        <v>199</v>
      </c>
      <c r="E29" s="789"/>
      <c r="F29" s="792">
        <v>68195051</v>
      </c>
      <c r="G29" s="792"/>
      <c r="H29" s="792"/>
      <c r="I29" s="792"/>
      <c r="J29" s="792"/>
      <c r="K29" s="792"/>
      <c r="L29" s="792"/>
      <c r="M29" s="792"/>
      <c r="N29" s="808"/>
      <c r="O29" s="792"/>
      <c r="P29" s="792"/>
      <c r="Q29" s="792"/>
      <c r="R29" s="792"/>
      <c r="S29" s="792"/>
      <c r="T29" s="792"/>
      <c r="U29" s="793">
        <v>68195051</v>
      </c>
      <c r="V29" s="740"/>
      <c r="W29" s="379"/>
      <c r="X29" s="379"/>
      <c r="Y29" s="379"/>
      <c r="Z29" s="714">
        <f t="shared" ref="Z29" si="177">IF(E28&gt;0,((E29-E28)/E28),)</f>
        <v>0</v>
      </c>
      <c r="AA29" s="715">
        <f t="shared" ref="AA29" si="178">IF(F28&gt;0,((F29-F28)/F28),)</f>
        <v>8.3884306726591813E-4</v>
      </c>
      <c r="AB29" s="716">
        <f t="shared" ref="AB29" si="179">IF(G28&gt;0,((G29-G28)/G28),)</f>
        <v>0</v>
      </c>
      <c r="AC29" s="716">
        <f t="shared" ref="AC29" si="180">IF(H28&gt;0,((H29-H28)/H28),)</f>
        <v>0</v>
      </c>
      <c r="AD29" s="716">
        <f t="shared" ref="AD29" si="181">IF(I28&gt;0,((I29-I28)/I28),)</f>
        <v>0</v>
      </c>
      <c r="AE29" s="716">
        <f t="shared" ref="AE29" si="182">IF(J28&gt;0,((J29-J28)/J28),)</f>
        <v>0</v>
      </c>
      <c r="AF29" s="716">
        <f t="shared" ref="AF29" si="183">IF(K28&gt;0,((K29-K28)/K28),)</f>
        <v>0</v>
      </c>
      <c r="AG29" s="716">
        <f t="shared" ref="AG29" si="184">IF(L28&gt;0,((L29-L28)/L28),)</f>
        <v>0</v>
      </c>
      <c r="AH29" s="716">
        <f t="shared" ref="AH29" si="185">IF(M28&gt;0,((M29-M28)/M28),)</f>
        <v>0</v>
      </c>
      <c r="AI29" s="716">
        <f t="shared" ref="AI29" si="186">IF(N28&gt;0,((N29-N28)/N28),)</f>
        <v>0</v>
      </c>
      <c r="AJ29" s="716">
        <f t="shared" ref="AJ29" si="187">IF(O28&gt;0,((O29-O28)/O28),)</f>
        <v>0</v>
      </c>
      <c r="AK29" s="716">
        <f t="shared" ref="AK29" si="188">IF(P28&gt;0,((P29-P28)/P28),)</f>
        <v>0</v>
      </c>
      <c r="AL29" s="716">
        <f t="shared" ref="AL29" si="189">IF(Q28&gt;0,((Q29-Q28)/Q28),)</f>
        <v>0</v>
      </c>
      <c r="AM29" s="716">
        <f t="shared" ref="AM29" si="190">IF(R28&gt;0,((R29-R28)/R28),)</f>
        <v>0</v>
      </c>
      <c r="AN29" s="716">
        <f t="shared" ref="AN29" si="191">IF(S28&gt;0,((S29-S28)/S28),)</f>
        <v>0</v>
      </c>
      <c r="AO29" s="716">
        <f t="shared" ref="AO29" si="192">IF(T28&gt;0,((T29-T28)/T28),)</f>
        <v>0</v>
      </c>
    </row>
    <row r="30" spans="1:41" x14ac:dyDescent="0.2">
      <c r="A30" s="1606"/>
      <c r="B30" s="440" t="s">
        <v>308</v>
      </c>
      <c r="C30" s="783" t="s">
        <v>277</v>
      </c>
      <c r="D30" s="783" t="s">
        <v>197</v>
      </c>
      <c r="E30" s="783"/>
      <c r="F30" s="788"/>
      <c r="G30" s="788"/>
      <c r="H30" s="788"/>
      <c r="I30" s="788"/>
      <c r="J30" s="788"/>
      <c r="K30" s="788"/>
      <c r="L30" s="788"/>
      <c r="M30" s="788"/>
      <c r="N30" s="788"/>
      <c r="O30" s="788"/>
      <c r="P30" s="788"/>
      <c r="Q30" s="788"/>
      <c r="R30" s="788">
        <v>9367432</v>
      </c>
      <c r="S30" s="788"/>
      <c r="T30" s="788"/>
      <c r="U30" s="787">
        <v>9367432</v>
      </c>
      <c r="V30" s="708"/>
      <c r="W30" s="710"/>
      <c r="X30" s="710"/>
      <c r="Y30" s="445"/>
      <c r="Z30" s="708"/>
      <c r="AA30" s="706"/>
      <c r="AB30" s="707"/>
      <c r="AC30" s="707"/>
      <c r="AD30" s="707"/>
      <c r="AE30" s="707"/>
      <c r="AF30" s="707"/>
      <c r="AG30" s="707"/>
      <c r="AH30" s="707"/>
      <c r="AI30" s="707"/>
      <c r="AJ30" s="707"/>
      <c r="AK30" s="707"/>
      <c r="AL30" s="707"/>
      <c r="AM30" s="707"/>
      <c r="AN30" s="707"/>
      <c r="AO30" s="707"/>
    </row>
    <row r="31" spans="1:41" x14ac:dyDescent="0.2">
      <c r="A31" s="1606"/>
      <c r="B31" s="378"/>
      <c r="C31" s="786"/>
      <c r="D31" s="789" t="s">
        <v>199</v>
      </c>
      <c r="E31" s="789"/>
      <c r="F31" s="792"/>
      <c r="G31" s="792"/>
      <c r="H31" s="792"/>
      <c r="I31" s="792"/>
      <c r="J31" s="792"/>
      <c r="K31" s="792"/>
      <c r="L31" s="792"/>
      <c r="M31" s="792"/>
      <c r="N31" s="808"/>
      <c r="O31" s="792"/>
      <c r="P31" s="792"/>
      <c r="Q31" s="792"/>
      <c r="R31" s="792">
        <v>9493132</v>
      </c>
      <c r="S31" s="792"/>
      <c r="T31" s="792"/>
      <c r="U31" s="793">
        <v>9493132</v>
      </c>
      <c r="V31" s="740"/>
      <c r="W31" s="379"/>
      <c r="X31" s="379"/>
      <c r="Y31" s="406"/>
      <c r="Z31" s="714">
        <f t="shared" ref="Z31" si="193">IF(E30&gt;0,((E31-E30)/E30),)</f>
        <v>0</v>
      </c>
      <c r="AA31" s="715">
        <f t="shared" ref="AA31" si="194">IF(F30&gt;0,((F31-F30)/F30),)</f>
        <v>0</v>
      </c>
      <c r="AB31" s="716">
        <f t="shared" ref="AB31" si="195">IF(G30&gt;0,((G31-G30)/G30),)</f>
        <v>0</v>
      </c>
      <c r="AC31" s="716">
        <f t="shared" ref="AC31" si="196">IF(H30&gt;0,((H31-H30)/H30),)</f>
        <v>0</v>
      </c>
      <c r="AD31" s="716">
        <f t="shared" ref="AD31" si="197">IF(I30&gt;0,((I31-I30)/I30),)</f>
        <v>0</v>
      </c>
      <c r="AE31" s="716">
        <f t="shared" ref="AE31" si="198">IF(J30&gt;0,((J31-J30)/J30),)</f>
        <v>0</v>
      </c>
      <c r="AF31" s="716">
        <f t="shared" ref="AF31" si="199">IF(K30&gt;0,((K31-K30)/K30),)</f>
        <v>0</v>
      </c>
      <c r="AG31" s="716">
        <f t="shared" ref="AG31" si="200">IF(L30&gt;0,((L31-L30)/L30),)</f>
        <v>0</v>
      </c>
      <c r="AH31" s="716">
        <f t="shared" ref="AH31" si="201">IF(M30&gt;0,((M31-M30)/M30),)</f>
        <v>0</v>
      </c>
      <c r="AI31" s="716">
        <f t="shared" ref="AI31" si="202">IF(N30&gt;0,((N31-N30)/N30),)</f>
        <v>0</v>
      </c>
      <c r="AJ31" s="716">
        <f t="shared" ref="AJ31" si="203">IF(O30&gt;0,((O31-O30)/O30),)</f>
        <v>0</v>
      </c>
      <c r="AK31" s="716">
        <f t="shared" ref="AK31" si="204">IF(P30&gt;0,((P31-P30)/P30),)</f>
        <v>0</v>
      </c>
      <c r="AL31" s="716">
        <f t="shared" ref="AL31" si="205">IF(Q30&gt;0,((Q31-Q30)/Q30),)</f>
        <v>0</v>
      </c>
      <c r="AM31" s="716">
        <f t="shared" ref="AM31" si="206">IF(R30&gt;0,((R31-R30)/R30),)</f>
        <v>1.3418832397182067E-2</v>
      </c>
      <c r="AN31" s="716">
        <f t="shared" ref="AN31" si="207">IF(S30&gt;0,((S31-S30)/S30),)</f>
        <v>0</v>
      </c>
      <c r="AO31" s="716">
        <f t="shared" ref="AO31" si="208">IF(T30&gt;0,((T31-T30)/T30),)</f>
        <v>0</v>
      </c>
    </row>
    <row r="32" spans="1:41" x14ac:dyDescent="0.2">
      <c r="A32" s="1606"/>
      <c r="B32" s="440" t="s">
        <v>309</v>
      </c>
      <c r="C32" s="783" t="s">
        <v>278</v>
      </c>
      <c r="D32" s="794" t="s">
        <v>197</v>
      </c>
      <c r="E32" s="795">
        <v>4747003</v>
      </c>
      <c r="F32" s="796">
        <v>4281538</v>
      </c>
      <c r="G32" s="796"/>
      <c r="H32" s="796">
        <v>13316114</v>
      </c>
      <c r="I32" s="796">
        <v>0</v>
      </c>
      <c r="J32" s="796"/>
      <c r="K32" s="796">
        <v>14893709</v>
      </c>
      <c r="L32" s="796"/>
      <c r="M32" s="796"/>
      <c r="N32" s="796">
        <v>5000000</v>
      </c>
      <c r="O32" s="796"/>
      <c r="P32" s="796"/>
      <c r="Q32" s="796"/>
      <c r="R32" s="796"/>
      <c r="S32" s="796">
        <v>9103641</v>
      </c>
      <c r="T32" s="796"/>
      <c r="U32" s="797">
        <v>51342005</v>
      </c>
      <c r="V32" s="708"/>
      <c r="W32" s="710"/>
      <c r="X32" s="710"/>
      <c r="Y32" s="379"/>
      <c r="Z32" s="708"/>
      <c r="AA32" s="706"/>
      <c r="AB32" s="707"/>
      <c r="AC32" s="707"/>
      <c r="AD32" s="707"/>
      <c r="AE32" s="707"/>
      <c r="AF32" s="707"/>
      <c r="AG32" s="707"/>
      <c r="AH32" s="707"/>
      <c r="AI32" s="707"/>
      <c r="AJ32" s="707"/>
      <c r="AK32" s="707"/>
      <c r="AL32" s="707"/>
      <c r="AM32" s="707"/>
      <c r="AN32" s="707"/>
      <c r="AO32" s="707"/>
    </row>
    <row r="33" spans="1:41" x14ac:dyDescent="0.2">
      <c r="A33" s="1606"/>
      <c r="B33" s="439"/>
      <c r="C33" s="790"/>
      <c r="D33" s="798" t="s">
        <v>199</v>
      </c>
      <c r="E33" s="789">
        <v>3919570</v>
      </c>
      <c r="F33" s="792">
        <v>4282914</v>
      </c>
      <c r="G33" s="792"/>
      <c r="H33" s="792">
        <v>13316114</v>
      </c>
      <c r="I33" s="792">
        <v>35649052</v>
      </c>
      <c r="J33" s="792"/>
      <c r="K33" s="792">
        <v>15826137</v>
      </c>
      <c r="L33" s="792"/>
      <c r="M33" s="792"/>
      <c r="N33" s="808">
        <v>4900000</v>
      </c>
      <c r="O33" s="792"/>
      <c r="P33" s="792"/>
      <c r="Q33" s="792"/>
      <c r="R33" s="792"/>
      <c r="S33" s="792">
        <v>9143641</v>
      </c>
      <c r="T33" s="792"/>
      <c r="U33" s="793">
        <v>87037428</v>
      </c>
      <c r="V33" s="740"/>
      <c r="W33" s="379"/>
      <c r="X33" s="379"/>
      <c r="Y33" s="445"/>
      <c r="Z33" s="714">
        <f t="shared" ref="Z33" si="209">IF(E32&gt;0,((E33-E32)/E32),)</f>
        <v>-0.17430639921651619</v>
      </c>
      <c r="AA33" s="715">
        <f t="shared" ref="AA33" si="210">IF(F32&gt;0,((F33-F32)/F32),)</f>
        <v>3.2137984060867848E-4</v>
      </c>
      <c r="AB33" s="716">
        <f t="shared" ref="AB33" si="211">IF(G32&gt;0,((G33-G32)/G32),)</f>
        <v>0</v>
      </c>
      <c r="AC33" s="716">
        <f t="shared" ref="AC33" si="212">IF(H32&gt;0,((H33-H32)/H32),)</f>
        <v>0</v>
      </c>
      <c r="AD33" s="716">
        <f t="shared" ref="AD33" si="213">IF(I32&gt;0,((I33-I32)/I32),)</f>
        <v>0</v>
      </c>
      <c r="AE33" s="716">
        <f t="shared" ref="AE33" si="214">IF(J32&gt;0,((J33-J32)/J32),)</f>
        <v>0</v>
      </c>
      <c r="AF33" s="716">
        <f t="shared" ref="AF33" si="215">IF(K32&gt;0,((K33-K32)/K32),)</f>
        <v>6.260549336636026E-2</v>
      </c>
      <c r="AG33" s="716">
        <f t="shared" ref="AG33" si="216">IF(L32&gt;0,((L33-L32)/L32),)</f>
        <v>0</v>
      </c>
      <c r="AH33" s="716">
        <f t="shared" ref="AH33" si="217">IF(M32&gt;0,((M33-M32)/M32),)</f>
        <v>0</v>
      </c>
      <c r="AI33" s="716">
        <f t="shared" ref="AI33" si="218">IF(N32&gt;0,((N33-N32)/N32),)</f>
        <v>-0.02</v>
      </c>
      <c r="AJ33" s="716">
        <f t="shared" ref="AJ33" si="219">IF(O32&gt;0,((O33-O32)/O32),)</f>
        <v>0</v>
      </c>
      <c r="AK33" s="716">
        <f t="shared" ref="AK33" si="220">IF(P32&gt;0,((P33-P32)/P32),)</f>
        <v>0</v>
      </c>
      <c r="AL33" s="716">
        <f t="shared" ref="AL33" si="221">IF(Q32&gt;0,((Q33-Q32)/Q32),)</f>
        <v>0</v>
      </c>
      <c r="AM33" s="716">
        <f t="shared" ref="AM33" si="222">IF(R32&gt;0,((R33-R32)/R32),)</f>
        <v>0</v>
      </c>
      <c r="AN33" s="716">
        <f t="shared" ref="AN33" si="223">IF(S32&gt;0,((S33-S32)/S32),)</f>
        <v>4.3938463742144492E-3</v>
      </c>
      <c r="AO33" s="716">
        <f t="shared" ref="AO33" si="224">IF(T32&gt;0,((T33-T32)/T32),)</f>
        <v>0</v>
      </c>
    </row>
    <row r="34" spans="1:41" x14ac:dyDescent="0.2">
      <c r="A34" s="1606"/>
      <c r="B34" s="440" t="s">
        <v>430</v>
      </c>
      <c r="C34" s="783" t="s">
        <v>279</v>
      </c>
      <c r="D34" s="783" t="s">
        <v>197</v>
      </c>
      <c r="E34" s="783">
        <v>16864482</v>
      </c>
      <c r="F34" s="788"/>
      <c r="G34" s="788"/>
      <c r="H34" s="788">
        <v>0</v>
      </c>
      <c r="I34" s="788"/>
      <c r="J34" s="788"/>
      <c r="K34" s="788">
        <v>23437869</v>
      </c>
      <c r="L34" s="788"/>
      <c r="M34" s="788"/>
      <c r="N34" s="788">
        <v>20959604</v>
      </c>
      <c r="O34" s="788"/>
      <c r="P34" s="788"/>
      <c r="Q34" s="788"/>
      <c r="R34" s="788">
        <v>22149805</v>
      </c>
      <c r="S34" s="788">
        <v>1471039</v>
      </c>
      <c r="T34" s="788"/>
      <c r="U34" s="787">
        <v>84882799</v>
      </c>
      <c r="V34" s="708"/>
      <c r="W34" s="710"/>
      <c r="X34" s="710"/>
      <c r="Y34" s="406"/>
      <c r="Z34" s="708"/>
      <c r="AA34" s="706"/>
      <c r="AB34" s="707"/>
      <c r="AC34" s="707"/>
      <c r="AD34" s="707"/>
      <c r="AE34" s="707"/>
      <c r="AF34" s="707"/>
      <c r="AG34" s="707"/>
      <c r="AH34" s="707"/>
      <c r="AI34" s="707"/>
      <c r="AJ34" s="707"/>
      <c r="AK34" s="707"/>
      <c r="AL34" s="707"/>
      <c r="AM34" s="707"/>
      <c r="AN34" s="707"/>
      <c r="AO34" s="707"/>
    </row>
    <row r="35" spans="1:41" x14ac:dyDescent="0.2">
      <c r="A35" s="1606"/>
      <c r="B35" s="441"/>
      <c r="C35" s="786"/>
      <c r="D35" s="789" t="s">
        <v>199</v>
      </c>
      <c r="E35" s="789">
        <v>17239133</v>
      </c>
      <c r="F35" s="792"/>
      <c r="G35" s="792"/>
      <c r="H35" s="792">
        <v>0</v>
      </c>
      <c r="I35" s="792"/>
      <c r="J35" s="792"/>
      <c r="K35" s="792">
        <v>23420860</v>
      </c>
      <c r="L35" s="792"/>
      <c r="M35" s="792"/>
      <c r="N35" s="808">
        <v>21041465</v>
      </c>
      <c r="O35" s="792"/>
      <c r="P35" s="792"/>
      <c r="Q35" s="792"/>
      <c r="R35" s="792">
        <v>24315000</v>
      </c>
      <c r="S35" s="792">
        <v>1471055</v>
      </c>
      <c r="T35" s="792"/>
      <c r="U35" s="793">
        <v>87487513</v>
      </c>
      <c r="V35" s="740"/>
      <c r="W35" s="379"/>
      <c r="X35" s="379"/>
      <c r="Y35" s="379"/>
      <c r="Z35" s="714">
        <f t="shared" ref="Z35" si="225">IF(E34&gt;0,((E35-E34)/E34),)</f>
        <v>2.2215387344835139E-2</v>
      </c>
      <c r="AA35" s="715">
        <f t="shared" ref="AA35" si="226">IF(F34&gt;0,((F35-F34)/F34),)</f>
        <v>0</v>
      </c>
      <c r="AB35" s="716">
        <f t="shared" ref="AB35" si="227">IF(G34&gt;0,((G35-G34)/G34),)</f>
        <v>0</v>
      </c>
      <c r="AC35" s="716">
        <f t="shared" ref="AC35" si="228">IF(H34&gt;0,((H35-H34)/H34),)</f>
        <v>0</v>
      </c>
      <c r="AD35" s="716">
        <f t="shared" ref="AD35" si="229">IF(I34&gt;0,((I35-I34)/I34),)</f>
        <v>0</v>
      </c>
      <c r="AE35" s="716">
        <f t="shared" ref="AE35" si="230">IF(J34&gt;0,((J35-J34)/J34),)</f>
        <v>0</v>
      </c>
      <c r="AF35" s="716">
        <f t="shared" ref="AF35" si="231">IF(K34&gt;0,((K35-K34)/K34),)</f>
        <v>-7.2570590781952061E-4</v>
      </c>
      <c r="AG35" s="716">
        <f t="shared" ref="AG35" si="232">IF(L34&gt;0,((L35-L34)/L34),)</f>
        <v>0</v>
      </c>
      <c r="AH35" s="716">
        <f t="shared" ref="AH35" si="233">IF(M34&gt;0,((M35-M34)/M34),)</f>
        <v>0</v>
      </c>
      <c r="AI35" s="716">
        <f t="shared" ref="AI35" si="234">IF(N34&gt;0,((N35-N34)/N34),)</f>
        <v>3.9056558511315386E-3</v>
      </c>
      <c r="AJ35" s="716">
        <f t="shared" ref="AJ35" si="235">IF(O34&gt;0,((O35-O34)/O34),)</f>
        <v>0</v>
      </c>
      <c r="AK35" s="716">
        <f t="shared" ref="AK35" si="236">IF(P34&gt;0,((P35-P34)/P34),)</f>
        <v>0</v>
      </c>
      <c r="AL35" s="716">
        <f t="shared" ref="AL35" si="237">IF(Q34&gt;0,((Q35-Q34)/Q34),)</f>
        <v>0</v>
      </c>
      <c r="AM35" s="716">
        <f t="shared" ref="AM35" si="238">IF(R34&gt;0,((R35-R34)/R34),)</f>
        <v>9.7752327842163853E-2</v>
      </c>
      <c r="AN35" s="716">
        <f t="shared" ref="AN35" si="239">IF(S34&gt;0,((S35-S34)/S34),)</f>
        <v>1.0876666084311837E-5</v>
      </c>
      <c r="AO35" s="716">
        <f t="shared" ref="AO35" si="240">IF(T34&gt;0,((T35-T34)/T34),)</f>
        <v>0</v>
      </c>
    </row>
    <row r="36" spans="1:41" x14ac:dyDescent="0.2">
      <c r="A36" s="1606"/>
      <c r="B36" s="435" t="s">
        <v>238</v>
      </c>
      <c r="C36" s="809" t="s">
        <v>280</v>
      </c>
      <c r="D36" s="810" t="s">
        <v>197</v>
      </c>
      <c r="E36" s="795">
        <v>462012714</v>
      </c>
      <c r="F36" s="796"/>
      <c r="G36" s="796"/>
      <c r="H36" s="796">
        <v>381618691</v>
      </c>
      <c r="I36" s="796">
        <v>233627653</v>
      </c>
      <c r="J36" s="796">
        <v>148869441</v>
      </c>
      <c r="K36" s="796">
        <v>30856303</v>
      </c>
      <c r="L36" s="796"/>
      <c r="M36" s="796">
        <v>25753711</v>
      </c>
      <c r="N36" s="796">
        <v>391450591</v>
      </c>
      <c r="O36" s="796">
        <v>117167433</v>
      </c>
      <c r="P36" s="796">
        <v>28127722</v>
      </c>
      <c r="Q36" s="796">
        <v>42151900</v>
      </c>
      <c r="R36" s="796">
        <v>1496777044</v>
      </c>
      <c r="S36" s="796">
        <v>164546568</v>
      </c>
      <c r="T36" s="796">
        <v>149741282</v>
      </c>
      <c r="U36" s="797">
        <v>3672701053</v>
      </c>
      <c r="V36" s="708"/>
      <c r="W36" s="710"/>
      <c r="X36" s="710"/>
      <c r="Y36" s="445"/>
      <c r="Z36" s="708"/>
      <c r="AA36" s="706"/>
      <c r="AB36" s="707"/>
      <c r="AC36" s="707"/>
      <c r="AD36" s="707"/>
      <c r="AE36" s="707"/>
      <c r="AF36" s="707"/>
      <c r="AG36" s="707"/>
      <c r="AH36" s="707"/>
      <c r="AI36" s="707"/>
      <c r="AJ36" s="707"/>
      <c r="AK36" s="707"/>
      <c r="AL36" s="707"/>
      <c r="AM36" s="707"/>
      <c r="AN36" s="707"/>
      <c r="AO36" s="707"/>
    </row>
    <row r="37" spans="1:41" x14ac:dyDescent="0.2">
      <c r="A37" s="1606"/>
      <c r="B37" s="378"/>
      <c r="C37" s="790"/>
      <c r="D37" s="798" t="s">
        <v>199</v>
      </c>
      <c r="E37" s="789">
        <v>492619872</v>
      </c>
      <c r="F37" s="792"/>
      <c r="G37" s="792"/>
      <c r="H37" s="792">
        <v>418077194</v>
      </c>
      <c r="I37" s="792">
        <v>240943019</v>
      </c>
      <c r="J37" s="792">
        <v>153080163.95459735</v>
      </c>
      <c r="K37" s="792">
        <v>32364291</v>
      </c>
      <c r="L37" s="792"/>
      <c r="M37" s="792">
        <v>27191269</v>
      </c>
      <c r="N37" s="808">
        <v>394776896</v>
      </c>
      <c r="O37" s="792">
        <v>118486833</v>
      </c>
      <c r="P37" s="792">
        <v>13520234</v>
      </c>
      <c r="Q37" s="792">
        <v>44183200</v>
      </c>
      <c r="R37" s="792">
        <v>1723781705</v>
      </c>
      <c r="S37" s="792">
        <v>170427611</v>
      </c>
      <c r="T37" s="792">
        <v>149462589</v>
      </c>
      <c r="U37" s="793">
        <v>3978914876.9545975</v>
      </c>
      <c r="V37" s="742"/>
      <c r="W37" s="379"/>
      <c r="X37" s="379"/>
      <c r="Y37" s="406"/>
      <c r="Z37" s="714">
        <f t="shared" ref="Z37" si="241">IF(E36&gt;0,((E37-E36)/E36),)</f>
        <v>6.6247436645217511E-2</v>
      </c>
      <c r="AA37" s="715">
        <f t="shared" ref="AA37" si="242">IF(F36&gt;0,((F37-F36)/F36),)</f>
        <v>0</v>
      </c>
      <c r="AB37" s="716">
        <f t="shared" ref="AB37" si="243">IF(G36&gt;0,((G37-G36)/G36),)</f>
        <v>0</v>
      </c>
      <c r="AC37" s="716">
        <f t="shared" ref="AC37" si="244">IF(H36&gt;0,((H37-H36)/H36),)</f>
        <v>9.5536470984855404E-2</v>
      </c>
      <c r="AD37" s="716">
        <f t="shared" ref="AD37" si="245">IF(I36&gt;0,((I37-I36)/I36),)</f>
        <v>3.1312072462586438E-2</v>
      </c>
      <c r="AE37" s="716">
        <f t="shared" ref="AE37" si="246">IF(J36&gt;0,((J37-J36)/J36),)</f>
        <v>2.8284669615958012E-2</v>
      </c>
      <c r="AF37" s="716">
        <f t="shared" ref="AF37" si="247">IF(K36&gt;0,((K37-K36)/K36),)</f>
        <v>4.8871311640931191E-2</v>
      </c>
      <c r="AG37" s="716">
        <f t="shared" ref="AG37" si="248">IF(L36&gt;0,((L37-L36)/L36),)</f>
        <v>0</v>
      </c>
      <c r="AH37" s="716">
        <f t="shared" ref="AH37" si="249">IF(M36&gt;0,((M37-M36)/M36),)</f>
        <v>5.5819450641501726E-2</v>
      </c>
      <c r="AI37" s="716">
        <f t="shared" ref="AI37" si="250">IF(N36&gt;0,((N37-N36)/N36),)</f>
        <v>8.4973814741283651E-3</v>
      </c>
      <c r="AJ37" s="716">
        <f t="shared" ref="AJ37" si="251">IF(O36&gt;0,((O37-O36)/O36),)</f>
        <v>1.1260808282793052E-2</v>
      </c>
      <c r="AK37" s="717">
        <f t="shared" ref="AK37" si="252">IF(P36&gt;0,((P37-P36)/P36),)</f>
        <v>-0.51932708948133088</v>
      </c>
      <c r="AL37" s="716">
        <f t="shared" ref="AL37" si="253">IF(Q36&gt;0,((Q37-Q36)/Q36),)</f>
        <v>4.8189998552852893E-2</v>
      </c>
      <c r="AM37" s="716">
        <f t="shared" ref="AM37" si="254">IF(R36&gt;0,((R37-R36)/R36),)</f>
        <v>0.15166230796361679</v>
      </c>
      <c r="AN37" s="716">
        <f t="shared" ref="AN37" si="255">IF(S36&gt;0,((S37-S36)/S36),)</f>
        <v>3.5740903450505269E-2</v>
      </c>
      <c r="AO37" s="716">
        <f t="shared" ref="AO37" si="256">IF(T36&gt;0,((T37-T36)/T36),)</f>
        <v>-1.8611634432246947E-3</v>
      </c>
    </row>
    <row r="38" spans="1:41" x14ac:dyDescent="0.2">
      <c r="A38" s="1606"/>
      <c r="B38" s="454" t="s">
        <v>35</v>
      </c>
      <c r="C38" s="783" t="s">
        <v>301</v>
      </c>
      <c r="D38" s="783" t="s">
        <v>197</v>
      </c>
      <c r="E38" s="783"/>
      <c r="F38" s="788">
        <v>143895763</v>
      </c>
      <c r="G38" s="788"/>
      <c r="H38" s="788"/>
      <c r="I38" s="788"/>
      <c r="J38" s="788"/>
      <c r="K38" s="788">
        <v>201921995</v>
      </c>
      <c r="L38" s="788">
        <v>300214528</v>
      </c>
      <c r="M38" s="788">
        <v>199979337</v>
      </c>
      <c r="N38" s="788"/>
      <c r="O38" s="788"/>
      <c r="P38" s="788">
        <v>143051931</v>
      </c>
      <c r="Q38" s="788">
        <v>218520630.18721333</v>
      </c>
      <c r="R38" s="788"/>
      <c r="S38" s="788"/>
      <c r="T38" s="788">
        <v>40302805</v>
      </c>
      <c r="U38" s="787">
        <v>1247886989.1872134</v>
      </c>
      <c r="V38" s="438"/>
      <c r="W38" s="710"/>
      <c r="X38" s="710"/>
      <c r="Y38" s="379"/>
      <c r="Z38" s="438"/>
      <c r="AA38" s="706"/>
      <c r="AB38" s="707"/>
      <c r="AC38" s="707"/>
      <c r="AD38" s="707"/>
      <c r="AE38" s="707"/>
      <c r="AF38" s="707"/>
      <c r="AG38" s="707"/>
      <c r="AH38" s="707"/>
      <c r="AI38" s="707"/>
      <c r="AJ38" s="707"/>
      <c r="AK38" s="707"/>
      <c r="AL38" s="707"/>
      <c r="AM38" s="707"/>
      <c r="AN38" s="707"/>
      <c r="AO38" s="707"/>
    </row>
    <row r="39" spans="1:41" x14ac:dyDescent="0.2">
      <c r="A39" s="1607"/>
      <c r="B39" s="441"/>
      <c r="C39" s="786"/>
      <c r="D39" s="789" t="s">
        <v>199</v>
      </c>
      <c r="E39" s="789"/>
      <c r="F39" s="792">
        <v>144364954</v>
      </c>
      <c r="G39" s="792"/>
      <c r="H39" s="792"/>
      <c r="I39" s="792"/>
      <c r="J39" s="792"/>
      <c r="K39" s="792">
        <v>191950637</v>
      </c>
      <c r="L39" s="792">
        <v>321419968</v>
      </c>
      <c r="M39" s="792">
        <v>213038669</v>
      </c>
      <c r="N39" s="808"/>
      <c r="O39" s="792"/>
      <c r="P39" s="792">
        <v>64611692</v>
      </c>
      <c r="Q39" s="792">
        <v>235023581.3825264</v>
      </c>
      <c r="R39" s="792"/>
      <c r="S39" s="792"/>
      <c r="T39" s="792">
        <v>39460919</v>
      </c>
      <c r="U39" s="793">
        <v>1209870420.3825264</v>
      </c>
      <c r="V39" s="740"/>
      <c r="W39" s="379"/>
      <c r="X39" s="379"/>
      <c r="Y39" s="445"/>
      <c r="Z39" s="714">
        <f t="shared" ref="Z39" si="257">IF(E38&gt;0,((E39-E38)/E38),)</f>
        <v>0</v>
      </c>
      <c r="AA39" s="715">
        <f t="shared" ref="AA39" si="258">IF(F38&gt;0,((F39-F38)/F38),)</f>
        <v>3.2606311000275942E-3</v>
      </c>
      <c r="AB39" s="716">
        <f t="shared" ref="AB39" si="259">IF(G38&gt;0,((G39-G38)/G38),)</f>
        <v>0</v>
      </c>
      <c r="AC39" s="716">
        <f t="shared" ref="AC39" si="260">IF(H38&gt;0,((H39-H38)/H38),)</f>
        <v>0</v>
      </c>
      <c r="AD39" s="716">
        <f t="shared" ref="AD39" si="261">IF(I38&gt;0,((I39-I38)/I38),)</f>
        <v>0</v>
      </c>
      <c r="AE39" s="716">
        <f t="shared" ref="AE39" si="262">IF(J38&gt;0,((J39-J38)/J38),)</f>
        <v>0</v>
      </c>
      <c r="AF39" s="716">
        <f t="shared" ref="AF39" si="263">IF(K38&gt;0,((K39-K38)/K38),)</f>
        <v>-4.9382228023252248E-2</v>
      </c>
      <c r="AG39" s="716">
        <f t="shared" ref="AG39" si="264">IF(L38&gt;0,((L39-L38)/L38),)</f>
        <v>7.0634289890194782E-2</v>
      </c>
      <c r="AH39" s="716">
        <f t="shared" ref="AH39" si="265">IF(M38&gt;0,((M39-M38)/M38),)</f>
        <v>6.5303406821475757E-2</v>
      </c>
      <c r="AI39" s="716">
        <f t="shared" ref="AI39" si="266">IF(N38&gt;0,((N39-N38)/N38),)</f>
        <v>0</v>
      </c>
      <c r="AJ39" s="716">
        <f t="shared" ref="AJ39" si="267">IF(O38&gt;0,((O39-O38)/O38),)</f>
        <v>0</v>
      </c>
      <c r="AK39" s="717">
        <f t="shared" ref="AK39" si="268">IF(P38&gt;0,((P39-P38)/P38),)</f>
        <v>-0.54833401025533868</v>
      </c>
      <c r="AL39" s="716">
        <f t="shared" ref="AL39" si="269">IF(Q38&gt;0,((Q39-Q38)/Q38),)</f>
        <v>7.552125024156521E-2</v>
      </c>
      <c r="AM39" s="716">
        <f t="shared" ref="AM39" si="270">IF(R38&gt;0,((R39-R38)/R38),)</f>
        <v>0</v>
      </c>
      <c r="AN39" s="716">
        <f t="shared" ref="AN39" si="271">IF(S38&gt;0,((S39-S38)/S38),)</f>
        <v>0</v>
      </c>
      <c r="AO39" s="716">
        <f t="shared" ref="AO39" si="272">IF(T38&gt;0,((T39-T38)/T38),)</f>
        <v>-2.0889017526199479E-2</v>
      </c>
    </row>
    <row r="40" spans="1:41" ht="12.75" customHeight="1" x14ac:dyDescent="0.2">
      <c r="A40" s="1605" t="s">
        <v>338</v>
      </c>
      <c r="B40" s="456" t="s">
        <v>305</v>
      </c>
      <c r="C40" s="809" t="s">
        <v>302</v>
      </c>
      <c r="D40" s="810" t="s">
        <v>197</v>
      </c>
      <c r="E40" s="795">
        <v>9858093</v>
      </c>
      <c r="F40" s="796"/>
      <c r="G40" s="796"/>
      <c r="H40" s="796"/>
      <c r="I40" s="796">
        <v>123589820</v>
      </c>
      <c r="J40" s="796"/>
      <c r="K40" s="796"/>
      <c r="L40" s="796">
        <v>384287818</v>
      </c>
      <c r="M40" s="796"/>
      <c r="N40" s="796">
        <v>65336384</v>
      </c>
      <c r="O40" s="796"/>
      <c r="P40" s="796"/>
      <c r="Q40" s="796">
        <v>10356029.177458184</v>
      </c>
      <c r="R40" s="796"/>
      <c r="S40" s="796">
        <v>36950672</v>
      </c>
      <c r="T40" s="796"/>
      <c r="U40" s="797">
        <v>630378816.17745817</v>
      </c>
      <c r="V40" s="708"/>
      <c r="W40" s="710"/>
      <c r="X40" s="710"/>
      <c r="Y40" s="406"/>
      <c r="Z40" s="708"/>
      <c r="AA40" s="706"/>
      <c r="AB40" s="707"/>
      <c r="AC40" s="707"/>
      <c r="AD40" s="707"/>
      <c r="AE40" s="707"/>
      <c r="AF40" s="707"/>
      <c r="AG40" s="707"/>
      <c r="AH40" s="707"/>
      <c r="AI40" s="707"/>
      <c r="AJ40" s="707"/>
      <c r="AK40" s="707"/>
      <c r="AL40" s="707"/>
      <c r="AM40" s="707"/>
      <c r="AN40" s="707"/>
      <c r="AO40" s="707"/>
    </row>
    <row r="41" spans="1:41" x14ac:dyDescent="0.2">
      <c r="A41" s="1608"/>
      <c r="B41" s="455"/>
      <c r="C41" s="790"/>
      <c r="D41" s="798" t="s">
        <v>199</v>
      </c>
      <c r="E41" s="789">
        <v>9872936</v>
      </c>
      <c r="F41" s="792"/>
      <c r="G41" s="792"/>
      <c r="H41" s="792"/>
      <c r="I41" s="792">
        <v>133264522</v>
      </c>
      <c r="J41" s="792"/>
      <c r="K41" s="792"/>
      <c r="L41" s="792">
        <v>386760111</v>
      </c>
      <c r="M41" s="792"/>
      <c r="N41" s="808">
        <v>76101779</v>
      </c>
      <c r="O41" s="792"/>
      <c r="P41" s="792"/>
      <c r="Q41" s="792">
        <v>10373113.935299449</v>
      </c>
      <c r="R41" s="792"/>
      <c r="S41" s="792">
        <v>39189145</v>
      </c>
      <c r="T41" s="792"/>
      <c r="U41" s="793">
        <v>655561606.9352994</v>
      </c>
      <c r="V41" s="740"/>
      <c r="W41" s="379"/>
      <c r="X41" s="379"/>
      <c r="Y41" s="379"/>
      <c r="Z41" s="714">
        <f t="shared" ref="Z41" si="273">IF(E40&gt;0,((E41-E40)/E40),)</f>
        <v>1.5056664610488054E-3</v>
      </c>
      <c r="AA41" s="715">
        <f t="shared" ref="AA41" si="274">IF(F40&gt;0,((F41-F40)/F40),)</f>
        <v>0</v>
      </c>
      <c r="AB41" s="716">
        <f t="shared" ref="AB41" si="275">IF(G40&gt;0,((G41-G40)/G40),)</f>
        <v>0</v>
      </c>
      <c r="AC41" s="716">
        <f t="shared" ref="AC41" si="276">IF(H40&gt;0,((H41-H40)/H40),)</f>
        <v>0</v>
      </c>
      <c r="AD41" s="716">
        <f t="shared" ref="AD41" si="277">IF(I40&gt;0,((I41-I40)/I40),)</f>
        <v>7.8280735419794287E-2</v>
      </c>
      <c r="AE41" s="716">
        <f t="shared" ref="AE41" si="278">IF(J40&gt;0,((J41-J40)/J40),)</f>
        <v>0</v>
      </c>
      <c r="AF41" s="716">
        <f t="shared" ref="AF41" si="279">IF(K40&gt;0,((K41-K40)/K40),)</f>
        <v>0</v>
      </c>
      <c r="AG41" s="716">
        <f t="shared" ref="AG41" si="280">IF(L40&gt;0,((L41-L40)/L40),)</f>
        <v>6.4334409892743468E-3</v>
      </c>
      <c r="AH41" s="716">
        <f t="shared" ref="AH41" si="281">IF(M40&gt;0,((M41-M40)/M40),)</f>
        <v>0</v>
      </c>
      <c r="AI41" s="716">
        <f t="shared" ref="AI41" si="282">IF(N40&gt;0,((N41-N40)/N40),)</f>
        <v>0.16476876038931079</v>
      </c>
      <c r="AJ41" s="716">
        <f t="shared" ref="AJ41" si="283">IF(O40&gt;0,((O41-O40)/O40),)</f>
        <v>0</v>
      </c>
      <c r="AK41" s="716">
        <f t="shared" ref="AK41" si="284">IF(P40&gt;0,((P41-P40)/P40),)</f>
        <v>0</v>
      </c>
      <c r="AL41" s="716">
        <f t="shared" ref="AL41" si="285">IF(Q40&gt;0,((Q41-Q40)/Q40),)</f>
        <v>1.6497402188140769E-3</v>
      </c>
      <c r="AM41" s="716">
        <f t="shared" ref="AM41" si="286">IF(R40&gt;0,((R41-R40)/R40),)</f>
        <v>0</v>
      </c>
      <c r="AN41" s="716">
        <f t="shared" ref="AN41" si="287">IF(S40&gt;0,((S41-S40)/S40),)</f>
        <v>6.0580034917903522E-2</v>
      </c>
      <c r="AO41" s="716">
        <f t="shared" ref="AO41" si="288">IF(T40&gt;0,((T41-T40)/T40),)</f>
        <v>0</v>
      </c>
    </row>
    <row r="42" spans="1:41" x14ac:dyDescent="0.2">
      <c r="A42" s="1608"/>
      <c r="B42" s="456" t="s">
        <v>431</v>
      </c>
      <c r="C42" s="783" t="s">
        <v>303</v>
      </c>
      <c r="D42" s="794" t="s">
        <v>197</v>
      </c>
      <c r="E42" s="795">
        <v>2165888</v>
      </c>
      <c r="F42" s="796">
        <v>350000</v>
      </c>
      <c r="G42" s="796">
        <v>1918000</v>
      </c>
      <c r="H42" s="796">
        <v>0</v>
      </c>
      <c r="I42" s="796">
        <v>54743472</v>
      </c>
      <c r="J42" s="796">
        <v>35401905</v>
      </c>
      <c r="K42" s="796">
        <v>10732110</v>
      </c>
      <c r="L42" s="796">
        <v>6000000</v>
      </c>
      <c r="M42" s="796">
        <v>6888397.7800000003</v>
      </c>
      <c r="N42" s="1529">
        <v>0</v>
      </c>
      <c r="O42" s="796">
        <v>15652609</v>
      </c>
      <c r="P42" s="796">
        <v>3177765</v>
      </c>
      <c r="Q42" s="796">
        <v>394700</v>
      </c>
      <c r="R42" s="796">
        <v>66716</v>
      </c>
      <c r="S42" s="796">
        <v>82927639</v>
      </c>
      <c r="T42" s="796">
        <v>9221163</v>
      </c>
      <c r="U42" s="797">
        <v>229640364.78</v>
      </c>
      <c r="V42" s="708"/>
      <c r="W42" s="710"/>
      <c r="X42" s="710"/>
      <c r="Y42" s="445"/>
      <c r="Z42" s="708"/>
      <c r="AA42" s="706"/>
      <c r="AB42" s="707"/>
      <c r="AC42" s="707"/>
      <c r="AD42" s="707"/>
      <c r="AE42" s="707"/>
      <c r="AF42" s="707"/>
      <c r="AG42" s="707"/>
      <c r="AH42" s="707"/>
      <c r="AI42" s="707"/>
      <c r="AJ42" s="707"/>
      <c r="AK42" s="707"/>
      <c r="AL42" s="707"/>
      <c r="AM42" s="707"/>
      <c r="AN42" s="707"/>
      <c r="AO42" s="707"/>
    </row>
    <row r="43" spans="1:41" x14ac:dyDescent="0.2">
      <c r="A43" s="1608"/>
      <c r="B43" s="712"/>
      <c r="C43" s="790"/>
      <c r="D43" s="798" t="s">
        <v>199</v>
      </c>
      <c r="E43" s="789">
        <v>4194728</v>
      </c>
      <c r="F43" s="792">
        <v>350000</v>
      </c>
      <c r="G43" s="792">
        <v>1918000</v>
      </c>
      <c r="H43" s="792">
        <v>0</v>
      </c>
      <c r="I43" s="792">
        <v>62430406</v>
      </c>
      <c r="J43" s="792">
        <v>35337300</v>
      </c>
      <c r="K43" s="792">
        <v>10946423</v>
      </c>
      <c r="L43" s="792">
        <v>6000000</v>
      </c>
      <c r="M43" s="792">
        <v>6941891.1600000001</v>
      </c>
      <c r="N43" s="814">
        <v>19219504</v>
      </c>
      <c r="O43" s="792">
        <v>15652609</v>
      </c>
      <c r="P43" s="792">
        <v>4495762</v>
      </c>
      <c r="Q43" s="792">
        <v>422000</v>
      </c>
      <c r="R43" s="792">
        <v>0</v>
      </c>
      <c r="S43" s="792">
        <v>92441653</v>
      </c>
      <c r="T43" s="792">
        <v>8779823</v>
      </c>
      <c r="U43" s="793">
        <v>269130099.15999997</v>
      </c>
      <c r="V43" s="742"/>
      <c r="W43" s="379"/>
      <c r="X43" s="379"/>
      <c r="Y43" s="406"/>
      <c r="Z43" s="717">
        <f t="shared" ref="Z43" si="289">IF(E42&gt;0,((E43-E42)/E42),)</f>
        <v>0.93672433662313104</v>
      </c>
      <c r="AA43" s="715">
        <f t="shared" ref="AA43" si="290">IF(F42&gt;0,((F43-F42)/F42),)</f>
        <v>0</v>
      </c>
      <c r="AB43" s="716">
        <f t="shared" ref="AB43" si="291">IF(G42&gt;0,((G43-G42)/G42),)</f>
        <v>0</v>
      </c>
      <c r="AC43" s="716">
        <f t="shared" ref="AC43" si="292">IF(H42&gt;0,((H43-H42)/H42),)</f>
        <v>0</v>
      </c>
      <c r="AD43" s="716">
        <f t="shared" ref="AD43" si="293">IF(I42&gt;0,((I43-I42)/I42),)</f>
        <v>0.14041736337074126</v>
      </c>
      <c r="AE43" s="716">
        <f t="shared" ref="AE43" si="294">IF(J42&gt;0,((J43-J42)/J42),)</f>
        <v>-1.8249017955389688E-3</v>
      </c>
      <c r="AF43" s="716">
        <f t="shared" ref="AF43" si="295">IF(K42&gt;0,((K43-K42)/K42),)</f>
        <v>1.9969325696438073E-2</v>
      </c>
      <c r="AG43" s="716">
        <f t="shared" ref="AG43" si="296">IF(L42&gt;0,((L43-L42)/L42),)</f>
        <v>0</v>
      </c>
      <c r="AH43" s="716">
        <f t="shared" ref="AH43" si="297">IF(M42&gt;0,((M43-M42)/M42),)</f>
        <v>7.7657216828148808E-3</v>
      </c>
      <c r="AI43" s="716">
        <f t="shared" ref="AI43" si="298">IF(N42&gt;0,((N43-N42)/N42),)</f>
        <v>0</v>
      </c>
      <c r="AJ43" s="716">
        <f t="shared" ref="AJ43" si="299">IF(O42&gt;0,((O43-O42)/O42),)</f>
        <v>0</v>
      </c>
      <c r="AK43" s="717">
        <f t="shared" ref="AK43" si="300">IF(P42&gt;0,((P43-P42)/P42),)</f>
        <v>0.41475596842434859</v>
      </c>
      <c r="AL43" s="716">
        <f t="shared" ref="AL43" si="301">IF(Q42&gt;0,((Q43-Q42)/Q42),)</f>
        <v>6.9166455535850019E-2</v>
      </c>
      <c r="AM43" s="717">
        <f t="shared" ref="AM43" si="302">IF(R42&gt;0,((R43-R42)/R42),)</f>
        <v>-1</v>
      </c>
      <c r="AN43" s="716">
        <f t="shared" ref="AN43" si="303">IF(S42&gt;0,((S43-S42)/S42),)</f>
        <v>0.11472669564365627</v>
      </c>
      <c r="AO43" s="716">
        <f t="shared" ref="AO43" si="304">IF(T42&gt;0,((T43-T42)/T42),)</f>
        <v>-4.7861641747358769E-2</v>
      </c>
    </row>
    <row r="44" spans="1:41" x14ac:dyDescent="0.2">
      <c r="A44" s="1608"/>
      <c r="B44" s="456" t="s">
        <v>109</v>
      </c>
      <c r="C44" s="783" t="s">
        <v>281</v>
      </c>
      <c r="D44" s="794" t="s">
        <v>197</v>
      </c>
      <c r="E44" s="795">
        <v>0</v>
      </c>
      <c r="F44" s="796">
        <v>0</v>
      </c>
      <c r="G44" s="796">
        <v>0</v>
      </c>
      <c r="H44" s="796">
        <v>0</v>
      </c>
      <c r="I44" s="796">
        <v>0</v>
      </c>
      <c r="J44" s="796">
        <v>0</v>
      </c>
      <c r="K44" s="796">
        <v>0</v>
      </c>
      <c r="L44" s="796">
        <v>0</v>
      </c>
      <c r="M44" s="796">
        <v>0</v>
      </c>
      <c r="N44" s="1528">
        <v>0</v>
      </c>
      <c r="O44" s="796">
        <v>0</v>
      </c>
      <c r="P44" s="796">
        <v>0</v>
      </c>
      <c r="Q44" s="796">
        <v>0</v>
      </c>
      <c r="R44" s="796">
        <v>0</v>
      </c>
      <c r="S44" s="796">
        <v>0</v>
      </c>
      <c r="T44" s="796">
        <v>0</v>
      </c>
      <c r="U44" s="797">
        <v>0</v>
      </c>
      <c r="V44" s="708"/>
      <c r="W44" s="710"/>
      <c r="X44" s="710"/>
      <c r="Y44" s="379"/>
      <c r="Z44" s="708"/>
      <c r="AA44" s="706"/>
      <c r="AB44" s="707"/>
      <c r="AC44" s="707"/>
      <c r="AD44" s="707"/>
      <c r="AE44" s="707"/>
      <c r="AF44" s="707"/>
      <c r="AG44" s="707"/>
      <c r="AH44" s="707"/>
      <c r="AI44" s="707"/>
      <c r="AJ44" s="707"/>
      <c r="AK44" s="707"/>
      <c r="AL44" s="707"/>
      <c r="AM44" s="707"/>
      <c r="AN44" s="707"/>
      <c r="AO44" s="707"/>
    </row>
    <row r="45" spans="1:41" x14ac:dyDescent="0.2">
      <c r="A45" s="1608"/>
      <c r="B45" s="455"/>
      <c r="C45" s="786"/>
      <c r="D45" s="798" t="s">
        <v>199</v>
      </c>
      <c r="E45" s="789">
        <v>0</v>
      </c>
      <c r="F45" s="792">
        <v>0</v>
      </c>
      <c r="G45" s="792">
        <v>0</v>
      </c>
      <c r="H45" s="792">
        <v>0</v>
      </c>
      <c r="I45" s="792">
        <v>0</v>
      </c>
      <c r="J45" s="792">
        <v>0</v>
      </c>
      <c r="K45" s="792">
        <v>0</v>
      </c>
      <c r="L45" s="792">
        <v>0</v>
      </c>
      <c r="M45" s="792">
        <v>0</v>
      </c>
      <c r="N45" s="808">
        <v>0</v>
      </c>
      <c r="O45" s="792">
        <v>0</v>
      </c>
      <c r="P45" s="792">
        <v>0</v>
      </c>
      <c r="Q45" s="792">
        <v>0</v>
      </c>
      <c r="R45" s="792">
        <v>0</v>
      </c>
      <c r="S45" s="792">
        <v>0</v>
      </c>
      <c r="T45" s="792">
        <v>0</v>
      </c>
      <c r="U45" s="793">
        <v>0</v>
      </c>
      <c r="V45" s="740"/>
      <c r="W45" s="379"/>
      <c r="X45" s="379"/>
      <c r="Y45" s="445"/>
      <c r="Z45" s="714">
        <f t="shared" ref="Z45" si="305">IF(E44&gt;0,((E45-E44)/E44),)</f>
        <v>0</v>
      </c>
      <c r="AA45" s="715">
        <f t="shared" ref="AA45" si="306">IF(F44&gt;0,((F45-F44)/F44),)</f>
        <v>0</v>
      </c>
      <c r="AB45" s="716">
        <f t="shared" ref="AB45" si="307">IF(G44&gt;0,((G45-G44)/G44),)</f>
        <v>0</v>
      </c>
      <c r="AC45" s="716">
        <f t="shared" ref="AC45" si="308">IF(H44&gt;0,((H45-H44)/H44),)</f>
        <v>0</v>
      </c>
      <c r="AD45" s="716">
        <f t="shared" ref="AD45" si="309">IF(I44&gt;0,((I45-I44)/I44),)</f>
        <v>0</v>
      </c>
      <c r="AE45" s="716">
        <f t="shared" ref="AE45" si="310">IF(J44&gt;0,((J45-J44)/J44),)</f>
        <v>0</v>
      </c>
      <c r="AF45" s="716">
        <f t="shared" ref="AF45" si="311">IF(K44&gt;0,((K45-K44)/K44),)</f>
        <v>0</v>
      </c>
      <c r="AG45" s="716">
        <f t="shared" ref="AG45" si="312">IF(L44&gt;0,((L45-L44)/L44),)</f>
        <v>0</v>
      </c>
      <c r="AH45" s="716">
        <f t="shared" ref="AH45" si="313">IF(M44&gt;0,((M45-M44)/M44),)</f>
        <v>0</v>
      </c>
      <c r="AI45" s="716">
        <f t="shared" ref="AI45" si="314">IF(N44&gt;0,((N45-N44)/N44),)</f>
        <v>0</v>
      </c>
      <c r="AJ45" s="716">
        <f t="shared" ref="AJ45" si="315">IF(O44&gt;0,((O45-O44)/O44),)</f>
        <v>0</v>
      </c>
      <c r="AK45" s="716">
        <f t="shared" ref="AK45" si="316">IF(P44&gt;0,((P45-P44)/P44),)</f>
        <v>0</v>
      </c>
      <c r="AL45" s="716">
        <f t="shared" ref="AL45" si="317">IF(Q44&gt;0,((Q45-Q44)/Q44),)</f>
        <v>0</v>
      </c>
      <c r="AM45" s="716">
        <f t="shared" ref="AM45" si="318">IF(R44&gt;0,((R45-R44)/R44),)</f>
        <v>0</v>
      </c>
      <c r="AN45" s="716">
        <f t="shared" ref="AN45" si="319">IF(S44&gt;0,((S45-S44)/S44),)</f>
        <v>0</v>
      </c>
      <c r="AO45" s="716">
        <f t="shared" ref="AO45" si="320">IF(T44&gt;0,((T45-T44)/T44),)</f>
        <v>0</v>
      </c>
    </row>
    <row r="46" spans="1:41" x14ac:dyDescent="0.2">
      <c r="A46" s="1608"/>
      <c r="B46" s="457" t="s">
        <v>140</v>
      </c>
      <c r="C46" s="783" t="s">
        <v>282</v>
      </c>
      <c r="D46" s="794" t="s">
        <v>197</v>
      </c>
      <c r="E46" s="795">
        <v>2702892</v>
      </c>
      <c r="F46" s="796">
        <v>9300530</v>
      </c>
      <c r="G46" s="796">
        <v>887800</v>
      </c>
      <c r="H46" s="796">
        <v>6320950</v>
      </c>
      <c r="I46" s="796">
        <v>6890349</v>
      </c>
      <c r="J46" s="796">
        <v>6618300</v>
      </c>
      <c r="K46" s="796">
        <v>13379085</v>
      </c>
      <c r="L46" s="796">
        <v>12858815</v>
      </c>
      <c r="M46" s="796">
        <v>6968781</v>
      </c>
      <c r="N46" s="796">
        <v>18166571</v>
      </c>
      <c r="O46" s="796">
        <v>10139942</v>
      </c>
      <c r="P46" s="796">
        <v>3469722</v>
      </c>
      <c r="Q46" s="796">
        <v>12214978</v>
      </c>
      <c r="R46" s="796">
        <v>140917516</v>
      </c>
      <c r="S46" s="796">
        <v>3863369</v>
      </c>
      <c r="T46" s="796">
        <v>5059440</v>
      </c>
      <c r="U46" s="797">
        <v>259759040</v>
      </c>
      <c r="V46" s="708"/>
      <c r="W46" s="710"/>
      <c r="X46" s="710"/>
      <c r="Y46" s="406"/>
      <c r="Z46" s="708"/>
      <c r="AA46" s="706"/>
      <c r="AB46" s="707"/>
      <c r="AC46" s="707"/>
      <c r="AD46" s="707"/>
      <c r="AE46" s="707"/>
      <c r="AF46" s="707"/>
      <c r="AG46" s="707"/>
      <c r="AH46" s="707"/>
      <c r="AI46" s="707"/>
      <c r="AJ46" s="707"/>
      <c r="AK46" s="707"/>
      <c r="AL46" s="707"/>
      <c r="AM46" s="707"/>
      <c r="AN46" s="707"/>
      <c r="AO46" s="707"/>
    </row>
    <row r="47" spans="1:41" x14ac:dyDescent="0.2">
      <c r="A47" s="1608"/>
      <c r="B47" s="455"/>
      <c r="C47" s="790"/>
      <c r="D47" s="798" t="s">
        <v>199</v>
      </c>
      <c r="E47" s="789">
        <v>3002892</v>
      </c>
      <c r="F47" s="792">
        <v>9529185</v>
      </c>
      <c r="G47" s="792">
        <v>901000</v>
      </c>
      <c r="H47" s="792">
        <v>6550307</v>
      </c>
      <c r="I47" s="792">
        <v>7190038</v>
      </c>
      <c r="J47" s="792">
        <v>6618300</v>
      </c>
      <c r="K47" s="792">
        <v>44848235</v>
      </c>
      <c r="L47" s="792">
        <v>17082469</v>
      </c>
      <c r="M47" s="792">
        <v>7412934</v>
      </c>
      <c r="N47" s="808">
        <v>21949576</v>
      </c>
      <c r="O47" s="792">
        <v>10139942</v>
      </c>
      <c r="P47" s="792">
        <v>3401825</v>
      </c>
      <c r="Q47" s="792">
        <v>18673660</v>
      </c>
      <c r="R47" s="792">
        <v>106026350</v>
      </c>
      <c r="S47" s="792">
        <v>3869255</v>
      </c>
      <c r="T47" s="792">
        <v>4556942</v>
      </c>
      <c r="U47" s="793">
        <v>271752910</v>
      </c>
      <c r="V47" s="740"/>
      <c r="W47" s="379"/>
      <c r="X47" s="379"/>
      <c r="Y47" s="379"/>
      <c r="Z47" s="716">
        <f t="shared" ref="Z47" si="321">IF(E46&gt;0,((E47-E46)/E46),)</f>
        <v>0.11099222610448364</v>
      </c>
      <c r="AA47" s="715">
        <f t="shared" ref="AA47" si="322">IF(F46&gt;0,((F47-F46)/F46),)</f>
        <v>2.4585158050132627E-2</v>
      </c>
      <c r="AB47" s="716">
        <f t="shared" ref="AB47" si="323">IF(G46&gt;0,((G47-G46)/G46),)</f>
        <v>1.4868213561612977E-2</v>
      </c>
      <c r="AC47" s="716">
        <f t="shared" ref="AC47" si="324">IF(H46&gt;0,((H47-H46)/H46),)</f>
        <v>3.628521029275663E-2</v>
      </c>
      <c r="AD47" s="716">
        <f t="shared" ref="AD47" si="325">IF(I46&gt;0,((I47-I46)/I46),)</f>
        <v>4.3494023307092282E-2</v>
      </c>
      <c r="AE47" s="716">
        <f t="shared" ref="AE47" si="326">IF(J46&gt;0,((J47-J46)/J46),)</f>
        <v>0</v>
      </c>
      <c r="AF47" s="717">
        <f t="shared" ref="AF47" si="327">IF(K46&gt;0,((K47-K46)/K46),)</f>
        <v>2.3521152604980085</v>
      </c>
      <c r="AG47" s="717">
        <f t="shared" ref="AG47" si="328">IF(L46&gt;0,((L47-L46)/L46),)</f>
        <v>0.32846370369275862</v>
      </c>
      <c r="AH47" s="716">
        <f t="shared" ref="AH47" si="329">IF(M46&gt;0,((M47-M46)/M46),)</f>
        <v>6.3734676121978862E-2</v>
      </c>
      <c r="AI47" s="717">
        <f t="shared" ref="AI47" si="330">IF(N46&gt;0,((N47-N46)/N46),)</f>
        <v>0.20823990394224645</v>
      </c>
      <c r="AJ47" s="716">
        <f t="shared" ref="AJ47" si="331">IF(O46&gt;0,((O47-O46)/O46),)</f>
        <v>0</v>
      </c>
      <c r="AK47" s="716">
        <f t="shared" ref="AK47" si="332">IF(P46&gt;0,((P47-P46)/P46),)</f>
        <v>-1.9568426519473318E-2</v>
      </c>
      <c r="AL47" s="717">
        <f t="shared" ref="AL47" si="333">IF(Q46&gt;0,((Q47-Q46)/Q46),)</f>
        <v>0.52875101371447419</v>
      </c>
      <c r="AM47" s="717">
        <f t="shared" ref="AM47" si="334">IF(R46&gt;0,((R47-R46)/R46),)</f>
        <v>-0.24759992221265098</v>
      </c>
      <c r="AN47" s="716">
        <f t="shared" ref="AN47" si="335">IF(S46&gt;0,((S47-S46)/S46),)</f>
        <v>1.5235407231356881E-3</v>
      </c>
      <c r="AO47" s="716">
        <f t="shared" ref="AO47" si="336">IF(T46&gt;0,((T47-T46)/T46),)</f>
        <v>-9.931889695302247E-2</v>
      </c>
    </row>
    <row r="48" spans="1:41" x14ac:dyDescent="0.2">
      <c r="A48" s="1608"/>
      <c r="B48" s="457" t="s">
        <v>139</v>
      </c>
      <c r="C48" s="783" t="s">
        <v>283</v>
      </c>
      <c r="D48" s="783" t="s">
        <v>197</v>
      </c>
      <c r="E48" s="783">
        <v>5985567</v>
      </c>
      <c r="F48" s="788"/>
      <c r="G48" s="788">
        <v>11580800</v>
      </c>
      <c r="H48" s="788">
        <v>1621007.0699999996</v>
      </c>
      <c r="I48" s="788">
        <v>15273286</v>
      </c>
      <c r="J48" s="788">
        <v>22329000</v>
      </c>
      <c r="K48" s="788">
        <v>17059701</v>
      </c>
      <c r="L48" s="788"/>
      <c r="M48" s="788">
        <v>2445396</v>
      </c>
      <c r="N48" s="788">
        <v>24260507</v>
      </c>
      <c r="O48" s="788">
        <v>0</v>
      </c>
      <c r="P48" s="788">
        <v>20081698</v>
      </c>
      <c r="Q48" s="788"/>
      <c r="R48" s="788">
        <v>5603862</v>
      </c>
      <c r="S48" s="788">
        <v>28418389</v>
      </c>
      <c r="T48" s="788">
        <v>863576</v>
      </c>
      <c r="U48" s="787">
        <v>155522789.06999999</v>
      </c>
      <c r="V48" s="708"/>
      <c r="W48" s="710"/>
      <c r="X48" s="710"/>
      <c r="Y48" s="445"/>
      <c r="Z48" s="708"/>
      <c r="AA48" s="706"/>
      <c r="AB48" s="707"/>
      <c r="AC48" s="707"/>
      <c r="AD48" s="707"/>
      <c r="AE48" s="707"/>
      <c r="AF48" s="707"/>
      <c r="AG48" s="707"/>
      <c r="AH48" s="707"/>
      <c r="AI48" s="707"/>
      <c r="AJ48" s="707"/>
      <c r="AK48" s="707"/>
      <c r="AL48" s="707"/>
      <c r="AM48" s="707"/>
      <c r="AN48" s="707"/>
      <c r="AO48" s="707"/>
    </row>
    <row r="49" spans="1:41" x14ac:dyDescent="0.2">
      <c r="A49" s="1608"/>
      <c r="B49" s="712"/>
      <c r="C49" s="786"/>
      <c r="D49" s="789" t="s">
        <v>199</v>
      </c>
      <c r="E49" s="789">
        <v>5985567</v>
      </c>
      <c r="F49" s="792"/>
      <c r="G49" s="792">
        <v>13571700</v>
      </c>
      <c r="H49" s="792">
        <v>2274086</v>
      </c>
      <c r="I49" s="792">
        <v>18309337</v>
      </c>
      <c r="J49" s="792">
        <v>24567300</v>
      </c>
      <c r="K49" s="792">
        <v>27156540</v>
      </c>
      <c r="L49" s="792"/>
      <c r="M49" s="792">
        <v>0</v>
      </c>
      <c r="N49" s="808">
        <v>24555569</v>
      </c>
      <c r="O49" s="792">
        <v>0</v>
      </c>
      <c r="P49" s="792">
        <v>18118467</v>
      </c>
      <c r="Q49" s="792"/>
      <c r="R49" s="792">
        <v>13114523</v>
      </c>
      <c r="S49" s="792">
        <v>29443738</v>
      </c>
      <c r="T49" s="792">
        <v>791013</v>
      </c>
      <c r="U49" s="793">
        <v>177887840</v>
      </c>
      <c r="V49" s="740"/>
      <c r="W49" s="379"/>
      <c r="X49" s="379"/>
      <c r="Y49" s="406"/>
      <c r="Z49" s="714">
        <f t="shared" ref="Z49" si="337">IF(E48&gt;0,((E49-E48)/E48),)</f>
        <v>0</v>
      </c>
      <c r="AA49" s="715">
        <f t="shared" ref="AA49" si="338">IF(F48&gt;0,((F49-F48)/F48),)</f>
        <v>0</v>
      </c>
      <c r="AB49" s="716">
        <f t="shared" ref="AB49" si="339">IF(G48&gt;0,((G49-G48)/G48),)</f>
        <v>0.17191385741917656</v>
      </c>
      <c r="AC49" s="717">
        <f t="shared" ref="AC49" si="340">IF(H48&gt;0,((H49-H48)/H48),)</f>
        <v>0.40288468945419253</v>
      </c>
      <c r="AD49" s="717">
        <f t="shared" ref="AD49" si="341">IF(I48&gt;0,((I49-I48)/I48),)</f>
        <v>0.19878178147125641</v>
      </c>
      <c r="AE49" s="716">
        <f t="shared" ref="AE49" si="342">IF(J48&gt;0,((J49-J48)/J48),)</f>
        <v>0.10024183796856106</v>
      </c>
      <c r="AF49" s="716">
        <f t="shared" ref="AF49" si="343">IF(K48&gt;0,((K49-K48)/K48),)</f>
        <v>0.59185322181203526</v>
      </c>
      <c r="AG49" s="716">
        <f t="shared" ref="AG49" si="344">IF(L48&gt;0,((L49-L48)/L48),)</f>
        <v>0</v>
      </c>
      <c r="AH49" s="717">
        <f t="shared" ref="AH49" si="345">IF(M48&gt;0,((M49-M48)/M48),)</f>
        <v>-1</v>
      </c>
      <c r="AI49" s="716">
        <f t="shared" ref="AI49" si="346">IF(N48&gt;0,((N49-N48)/N48),)</f>
        <v>1.2162235521293929E-2</v>
      </c>
      <c r="AJ49" s="716">
        <f t="shared" ref="AJ49" si="347">IF(O48&gt;0,((O49-O48)/O48),)</f>
        <v>0</v>
      </c>
      <c r="AK49" s="716">
        <f t="shared" ref="AK49" si="348">IF(P48&gt;0,((P49-P48)/P48),)</f>
        <v>-9.7762201184381919E-2</v>
      </c>
      <c r="AL49" s="716">
        <f t="shared" ref="AL49" si="349">IF(Q48&gt;0,((Q49-Q48)/Q48),)</f>
        <v>0</v>
      </c>
      <c r="AM49" s="717">
        <f t="shared" ref="AM49" si="350">IF(R48&gt;0,((R49-R48)/R48),)</f>
        <v>1.3402651599914488</v>
      </c>
      <c r="AN49" s="716">
        <f t="shared" ref="AN49" si="351">IF(S48&gt;0,((S49-S48)/S48),)</f>
        <v>3.6080475920010804E-2</v>
      </c>
      <c r="AO49" s="716">
        <f t="shared" ref="AO49" si="352">IF(T48&gt;0,((T49-T48)/T48),)</f>
        <v>-8.4026188777826152E-2</v>
      </c>
    </row>
    <row r="50" spans="1:41" x14ac:dyDescent="0.2">
      <c r="A50" s="1608"/>
      <c r="B50" s="457" t="s">
        <v>226</v>
      </c>
      <c r="C50" s="783" t="s">
        <v>284</v>
      </c>
      <c r="D50" s="794" t="s">
        <v>197</v>
      </c>
      <c r="E50" s="795">
        <v>260565</v>
      </c>
      <c r="F50" s="796">
        <v>0</v>
      </c>
      <c r="G50" s="796">
        <v>193550</v>
      </c>
      <c r="H50" s="796">
        <v>206550</v>
      </c>
      <c r="I50" s="796">
        <v>693550</v>
      </c>
      <c r="J50" s="796">
        <v>193550</v>
      </c>
      <c r="K50" s="796">
        <v>0</v>
      </c>
      <c r="L50" s="796">
        <v>0</v>
      </c>
      <c r="M50" s="796">
        <v>0</v>
      </c>
      <c r="N50" s="796">
        <v>193550</v>
      </c>
      <c r="O50" s="796">
        <v>0</v>
      </c>
      <c r="P50" s="796">
        <v>9197495</v>
      </c>
      <c r="Q50" s="796">
        <v>0</v>
      </c>
      <c r="R50" s="796"/>
      <c r="S50" s="796">
        <v>0</v>
      </c>
      <c r="T50" s="796">
        <v>0</v>
      </c>
      <c r="U50" s="797">
        <v>10938810</v>
      </c>
      <c r="V50" s="708"/>
      <c r="W50" s="710"/>
      <c r="X50" s="710"/>
      <c r="Y50" s="379"/>
      <c r="Z50" s="708"/>
      <c r="AA50" s="706"/>
      <c r="AB50" s="707"/>
      <c r="AC50" s="707"/>
      <c r="AD50" s="707"/>
      <c r="AE50" s="707"/>
      <c r="AF50" s="707"/>
      <c r="AG50" s="707"/>
      <c r="AH50" s="707"/>
      <c r="AI50" s="707"/>
      <c r="AJ50" s="707"/>
      <c r="AK50" s="707"/>
      <c r="AL50" s="707"/>
      <c r="AM50" s="707"/>
      <c r="AN50" s="707"/>
      <c r="AO50" s="707"/>
    </row>
    <row r="51" spans="1:41" x14ac:dyDescent="0.2">
      <c r="A51" s="1608"/>
      <c r="B51" s="712"/>
      <c r="C51" s="786"/>
      <c r="D51" s="798" t="s">
        <v>199</v>
      </c>
      <c r="E51" s="789">
        <v>276225</v>
      </c>
      <c r="F51" s="808">
        <v>0</v>
      </c>
      <c r="G51" s="808">
        <v>193550</v>
      </c>
      <c r="H51" s="808">
        <v>193550</v>
      </c>
      <c r="I51" s="808">
        <v>691550</v>
      </c>
      <c r="J51" s="808">
        <v>193600</v>
      </c>
      <c r="K51" s="808">
        <v>0</v>
      </c>
      <c r="L51" s="808">
        <v>0</v>
      </c>
      <c r="M51" s="808">
        <v>0</v>
      </c>
      <c r="N51" s="808">
        <v>204997</v>
      </c>
      <c r="O51" s="808">
        <v>0</v>
      </c>
      <c r="P51" s="808">
        <v>9197445</v>
      </c>
      <c r="Q51" s="808">
        <v>0</v>
      </c>
      <c r="R51" s="808"/>
      <c r="S51" s="808">
        <v>0</v>
      </c>
      <c r="T51" s="808">
        <v>0</v>
      </c>
      <c r="U51" s="793">
        <v>10950917</v>
      </c>
      <c r="V51" s="740"/>
      <c r="W51" s="379"/>
      <c r="X51" s="379"/>
      <c r="Y51" s="445"/>
      <c r="Z51" s="714">
        <f t="shared" ref="Z51" si="353">IF(E50&gt;0,((E51-E50)/E50),)</f>
        <v>6.0100166944908183E-2</v>
      </c>
      <c r="AA51" s="715">
        <f t="shared" ref="AA51" si="354">IF(F50&gt;0,((F51-F50)/F50),)</f>
        <v>0</v>
      </c>
      <c r="AB51" s="716">
        <f t="shared" ref="AB51" si="355">IF(G50&gt;0,((G51-G50)/G50),)</f>
        <v>0</v>
      </c>
      <c r="AC51" s="716">
        <f t="shared" ref="AC51" si="356">IF(H50&gt;0,((H51-H50)/H50),)</f>
        <v>-6.293875574921326E-2</v>
      </c>
      <c r="AD51" s="716">
        <f t="shared" ref="AD51" si="357">IF(I50&gt;0,((I51-I50)/I50),)</f>
        <v>-2.8837142239204095E-3</v>
      </c>
      <c r="AE51" s="716">
        <f t="shared" ref="AE51" si="358">IF(J50&gt;0,((J51-J50)/J50),)</f>
        <v>2.5833118057349522E-4</v>
      </c>
      <c r="AF51" s="716">
        <f t="shared" ref="AF51" si="359">IF(K50&gt;0,((K51-K50)/K50),)</f>
        <v>0</v>
      </c>
      <c r="AG51" s="716">
        <f t="shared" ref="AG51" si="360">IF(L50&gt;0,((L51-L50)/L50),)</f>
        <v>0</v>
      </c>
      <c r="AH51" s="716">
        <f t="shared" ref="AH51" si="361">IF(M50&gt;0,((M51-M50)/M50),)</f>
        <v>0</v>
      </c>
      <c r="AI51" s="716">
        <f t="shared" ref="AI51" si="362">IF(N50&gt;0,((N51-N50)/N50),)</f>
        <v>5.9142340480495999E-2</v>
      </c>
      <c r="AJ51" s="716">
        <f t="shared" ref="AJ51" si="363">IF(O50&gt;0,((O51-O50)/O50),)</f>
        <v>0</v>
      </c>
      <c r="AK51" s="716">
        <f t="shared" ref="AK51" si="364">IF(P50&gt;0,((P51-P50)/P50),)</f>
        <v>-5.4362628085147094E-6</v>
      </c>
      <c r="AL51" s="716">
        <f t="shared" ref="AL51" si="365">IF(Q50&gt;0,((Q51-Q50)/Q50),)</f>
        <v>0</v>
      </c>
      <c r="AM51" s="716">
        <f t="shared" ref="AM51" si="366">IF(R50&gt;0,((R51-R50)/R50),)</f>
        <v>0</v>
      </c>
      <c r="AN51" s="716">
        <f t="shared" ref="AN51" si="367">IF(S50&gt;0,((S51-S50)/S50),)</f>
        <v>0</v>
      </c>
      <c r="AO51" s="716">
        <f t="shared" ref="AO51" si="368">IF(T50&gt;0,((T51-T50)/T50),)</f>
        <v>0</v>
      </c>
    </row>
    <row r="52" spans="1:41" x14ac:dyDescent="0.2">
      <c r="A52" s="1608"/>
      <c r="B52" s="457" t="s">
        <v>227</v>
      </c>
      <c r="C52" s="783" t="s">
        <v>285</v>
      </c>
      <c r="D52" s="794" t="s">
        <v>197</v>
      </c>
      <c r="E52" s="795">
        <v>145312</v>
      </c>
      <c r="F52" s="796">
        <v>0</v>
      </c>
      <c r="G52" s="796">
        <v>0</v>
      </c>
      <c r="H52" s="796">
        <v>0</v>
      </c>
      <c r="I52" s="796">
        <v>0</v>
      </c>
      <c r="J52" s="796">
        <v>0</v>
      </c>
      <c r="K52" s="796">
        <v>2228864</v>
      </c>
      <c r="L52" s="796">
        <v>0</v>
      </c>
      <c r="M52" s="796">
        <v>1036941</v>
      </c>
      <c r="N52" s="796">
        <v>0</v>
      </c>
      <c r="O52" s="796">
        <v>0</v>
      </c>
      <c r="P52" s="796">
        <v>8000</v>
      </c>
      <c r="Q52" s="796">
        <v>1251900</v>
      </c>
      <c r="R52" s="796">
        <v>0</v>
      </c>
      <c r="S52" s="796">
        <v>0</v>
      </c>
      <c r="T52" s="796">
        <v>1544258</v>
      </c>
      <c r="U52" s="797">
        <v>6215275</v>
      </c>
      <c r="V52" s="708"/>
      <c r="W52" s="710"/>
      <c r="X52" s="710"/>
      <c r="Y52" s="406"/>
      <c r="Z52" s="708"/>
      <c r="AA52" s="706"/>
      <c r="AB52" s="707"/>
      <c r="AC52" s="707"/>
      <c r="AD52" s="707"/>
      <c r="AE52" s="707"/>
      <c r="AF52" s="707"/>
      <c r="AG52" s="707"/>
      <c r="AH52" s="707"/>
      <c r="AI52" s="707"/>
      <c r="AJ52" s="707"/>
      <c r="AK52" s="707"/>
      <c r="AL52" s="707"/>
      <c r="AM52" s="707"/>
      <c r="AN52" s="707"/>
      <c r="AO52" s="707"/>
    </row>
    <row r="53" spans="1:41" x14ac:dyDescent="0.2">
      <c r="A53" s="1608"/>
      <c r="B53" s="455"/>
      <c r="C53" s="786"/>
      <c r="D53" s="798" t="s">
        <v>199</v>
      </c>
      <c r="E53" s="789">
        <v>183279</v>
      </c>
      <c r="F53" s="792">
        <v>0</v>
      </c>
      <c r="G53" s="792">
        <v>0</v>
      </c>
      <c r="H53" s="792">
        <v>0</v>
      </c>
      <c r="I53" s="792">
        <v>0</v>
      </c>
      <c r="J53" s="792">
        <v>0</v>
      </c>
      <c r="K53" s="792">
        <v>120864</v>
      </c>
      <c r="L53" s="792">
        <v>0</v>
      </c>
      <c r="M53" s="792">
        <v>1106986</v>
      </c>
      <c r="N53" s="808">
        <v>0</v>
      </c>
      <c r="O53" s="792">
        <v>0</v>
      </c>
      <c r="P53" s="792">
        <v>8000</v>
      </c>
      <c r="Q53" s="792">
        <v>1353500</v>
      </c>
      <c r="R53" s="792">
        <v>0</v>
      </c>
      <c r="S53" s="792">
        <v>0</v>
      </c>
      <c r="T53" s="792">
        <v>1653122</v>
      </c>
      <c r="U53" s="793">
        <v>4425751</v>
      </c>
      <c r="V53" s="740"/>
      <c r="W53" s="379"/>
      <c r="X53" s="379"/>
      <c r="Y53" s="379"/>
      <c r="Z53" s="1530">
        <f t="shared" ref="Z53" si="369">IF(E52&gt;0,((E53-E52)/E52),)</f>
        <v>0.26127917859502314</v>
      </c>
      <c r="AA53" s="715">
        <f t="shared" ref="AA53" si="370">IF(F52&gt;0,((F53-F52)/F52),)</f>
        <v>0</v>
      </c>
      <c r="AB53" s="716">
        <f t="shared" ref="AB53" si="371">IF(G52&gt;0,((G53-G52)/G52),)</f>
        <v>0</v>
      </c>
      <c r="AC53" s="716">
        <f t="shared" ref="AC53" si="372">IF(H52&gt;0,((H53-H52)/H52),)</f>
        <v>0</v>
      </c>
      <c r="AD53" s="716">
        <f t="shared" ref="AD53" si="373">IF(I52&gt;0,((I53-I52)/I52),)</f>
        <v>0</v>
      </c>
      <c r="AE53" s="716">
        <f t="shared" ref="AE53" si="374">IF(J52&gt;0,((J53-J52)/J52),)</f>
        <v>0</v>
      </c>
      <c r="AF53" s="716">
        <f t="shared" ref="AF53" si="375">IF(K52&gt;0,((K53-K52)/K52),)</f>
        <v>-0.94577327284212942</v>
      </c>
      <c r="AG53" s="716">
        <f t="shared" ref="AG53" si="376">IF(L52&gt;0,((L53-L52)/L52),)</f>
        <v>0</v>
      </c>
      <c r="AH53" s="716">
        <f t="shared" ref="AH53" si="377">IF(M52&gt;0,((M53-M52)/M52),)</f>
        <v>6.7549648437085621E-2</v>
      </c>
      <c r="AI53" s="716">
        <f t="shared" ref="AI53" si="378">IF(N52&gt;0,((N53-N52)/N52),)</f>
        <v>0</v>
      </c>
      <c r="AJ53" s="716">
        <f t="shared" ref="AJ53" si="379">IF(O52&gt;0,((O53-O52)/O52),)</f>
        <v>0</v>
      </c>
      <c r="AK53" s="716">
        <f t="shared" ref="AK53" si="380">IF(P52&gt;0,((P53-P52)/P52),)</f>
        <v>0</v>
      </c>
      <c r="AL53" s="716">
        <f t="shared" ref="AL53" si="381">IF(Q52&gt;0,((Q53-Q52)/Q52),)</f>
        <v>8.1156641904305452E-2</v>
      </c>
      <c r="AM53" s="716">
        <f t="shared" ref="AM53" si="382">IF(R52&gt;0,((R53-R52)/R52),)</f>
        <v>0</v>
      </c>
      <c r="AN53" s="716">
        <f t="shared" ref="AN53" si="383">IF(S52&gt;0,((S53-S52)/S52),)</f>
        <v>0</v>
      </c>
      <c r="AO53" s="716">
        <f t="shared" ref="AO53" si="384">IF(T52&gt;0,((T53-T52)/T52),)</f>
        <v>7.0495992249999681E-2</v>
      </c>
    </row>
    <row r="54" spans="1:41" x14ac:dyDescent="0.2">
      <c r="A54" s="1608"/>
      <c r="B54" s="456" t="s">
        <v>300</v>
      </c>
      <c r="C54" s="783" t="s">
        <v>286</v>
      </c>
      <c r="D54" s="794" t="s">
        <v>197</v>
      </c>
      <c r="E54" s="795">
        <v>11937285</v>
      </c>
      <c r="F54" s="796">
        <v>0</v>
      </c>
      <c r="G54" s="796">
        <v>0</v>
      </c>
      <c r="H54" s="796">
        <v>10401952</v>
      </c>
      <c r="I54" s="796">
        <v>33911137</v>
      </c>
      <c r="J54" s="796">
        <v>0</v>
      </c>
      <c r="K54" s="796">
        <v>0</v>
      </c>
      <c r="L54" s="796">
        <v>38056175</v>
      </c>
      <c r="M54" s="796">
        <v>0</v>
      </c>
      <c r="N54" s="796">
        <v>0</v>
      </c>
      <c r="O54" s="796">
        <v>0</v>
      </c>
      <c r="P54" s="796">
        <v>3000000</v>
      </c>
      <c r="Q54" s="796">
        <v>0</v>
      </c>
      <c r="R54" s="796">
        <v>45478877</v>
      </c>
      <c r="S54" s="796">
        <v>0</v>
      </c>
      <c r="T54" s="796">
        <v>0</v>
      </c>
      <c r="U54" s="797">
        <v>142785426</v>
      </c>
      <c r="V54" s="708"/>
      <c r="W54" s="710"/>
      <c r="X54" s="710"/>
      <c r="Y54" s="445"/>
      <c r="Z54" s="708"/>
      <c r="AA54" s="706"/>
      <c r="AB54" s="707"/>
      <c r="AC54" s="707"/>
      <c r="AD54" s="707"/>
      <c r="AE54" s="707"/>
      <c r="AF54" s="707"/>
      <c r="AG54" s="707"/>
      <c r="AH54" s="707"/>
      <c r="AI54" s="707"/>
      <c r="AJ54" s="707"/>
      <c r="AK54" s="707"/>
      <c r="AL54" s="707"/>
      <c r="AM54" s="707"/>
      <c r="AN54" s="707"/>
      <c r="AO54" s="707"/>
    </row>
    <row r="55" spans="1:41" x14ac:dyDescent="0.2">
      <c r="A55" s="1608"/>
      <c r="B55" s="455"/>
      <c r="C55" s="786"/>
      <c r="D55" s="798" t="s">
        <v>199</v>
      </c>
      <c r="E55" s="789">
        <v>12312898</v>
      </c>
      <c r="F55" s="792">
        <v>0</v>
      </c>
      <c r="G55" s="792">
        <v>0</v>
      </c>
      <c r="H55" s="792">
        <v>12367290</v>
      </c>
      <c r="I55" s="792">
        <v>34191863</v>
      </c>
      <c r="J55" s="792">
        <v>0</v>
      </c>
      <c r="K55" s="792">
        <v>0</v>
      </c>
      <c r="L55" s="792">
        <v>41291975</v>
      </c>
      <c r="M55" s="792">
        <v>0</v>
      </c>
      <c r="N55" s="808">
        <v>0</v>
      </c>
      <c r="O55" s="792">
        <v>0</v>
      </c>
      <c r="P55" s="792">
        <v>3480797</v>
      </c>
      <c r="Q55" s="792">
        <v>0</v>
      </c>
      <c r="R55" s="792">
        <v>46597936</v>
      </c>
      <c r="S55" s="792">
        <v>0</v>
      </c>
      <c r="T55" s="792">
        <v>0</v>
      </c>
      <c r="U55" s="793">
        <v>150242759</v>
      </c>
      <c r="V55" s="740"/>
      <c r="W55" s="379"/>
      <c r="X55" s="379"/>
      <c r="Y55" s="406"/>
      <c r="Z55" s="714">
        <f t="shared" ref="Z55" si="385">IF(E54&gt;0,((E55-E54)/E54),)</f>
        <v>3.1465530059808407E-2</v>
      </c>
      <c r="AA55" s="715">
        <f t="shared" ref="AA55" si="386">IF(F54&gt;0,((F55-F54)/F54),)</f>
        <v>0</v>
      </c>
      <c r="AB55" s="716">
        <f t="shared" ref="AB55" si="387">IF(G54&gt;0,((G55-G54)/G54),)</f>
        <v>0</v>
      </c>
      <c r="AC55" s="716">
        <f t="shared" ref="AC55" si="388">IF(H54&gt;0,((H55-H54)/H54),)</f>
        <v>0.1889393452305875</v>
      </c>
      <c r="AD55" s="716">
        <f t="shared" ref="AD55" si="389">IF(I54&gt;0,((I55-I54)/I54),)</f>
        <v>8.2782833262122699E-3</v>
      </c>
      <c r="AE55" s="716">
        <f t="shared" ref="AE55" si="390">IF(J54&gt;0,((J55-J54)/J54),)</f>
        <v>0</v>
      </c>
      <c r="AF55" s="716">
        <f t="shared" ref="AF55" si="391">IF(K54&gt;0,((K55-K54)/K54),)</f>
        <v>0</v>
      </c>
      <c r="AG55" s="716">
        <f t="shared" ref="AG55" si="392">IF(L54&gt;0,((L55-L54)/L54),)</f>
        <v>8.5026937152774817E-2</v>
      </c>
      <c r="AH55" s="716">
        <f t="shared" ref="AH55" si="393">IF(M54&gt;0,((M55-M54)/M54),)</f>
        <v>0</v>
      </c>
      <c r="AI55" s="716">
        <f t="shared" ref="AI55" si="394">IF(N54&gt;0,((N55-N54)/N54),)</f>
        <v>0</v>
      </c>
      <c r="AJ55" s="716">
        <f t="shared" ref="AJ55" si="395">IF(O54&gt;0,((O55-O54)/O54),)</f>
        <v>0</v>
      </c>
      <c r="AK55" s="716">
        <f t="shared" ref="AK55" si="396">IF(P54&gt;0,((P55-P54)/P54),)</f>
        <v>0.16026566666666667</v>
      </c>
      <c r="AL55" s="716">
        <f t="shared" ref="AL55" si="397">IF(Q54&gt;0,((Q55-Q54)/Q54),)</f>
        <v>0</v>
      </c>
      <c r="AM55" s="716">
        <f t="shared" ref="AM55" si="398">IF(R54&gt;0,((R55-R54)/R54),)</f>
        <v>2.4606126488127666E-2</v>
      </c>
      <c r="AN55" s="716">
        <f t="shared" ref="AN55" si="399">IF(S54&gt;0,((S55-S54)/S54),)</f>
        <v>0</v>
      </c>
      <c r="AO55" s="716">
        <f t="shared" ref="AO55" si="400">IF(T54&gt;0,((T55-T54)/T54),)</f>
        <v>0</v>
      </c>
    </row>
    <row r="56" spans="1:41" x14ac:dyDescent="0.2">
      <c r="A56" s="1608"/>
      <c r="B56" s="456" t="s">
        <v>188</v>
      </c>
      <c r="C56" s="783" t="s">
        <v>287</v>
      </c>
      <c r="D56" s="794" t="s">
        <v>197</v>
      </c>
      <c r="E56" s="795">
        <v>0</v>
      </c>
      <c r="F56" s="796">
        <v>0</v>
      </c>
      <c r="G56" s="796">
        <v>0</v>
      </c>
      <c r="H56" s="796">
        <v>0</v>
      </c>
      <c r="I56" s="796">
        <v>0</v>
      </c>
      <c r="J56" s="796">
        <v>0</v>
      </c>
      <c r="K56" s="796">
        <v>0</v>
      </c>
      <c r="L56" s="796">
        <v>0</v>
      </c>
      <c r="M56" s="796">
        <v>0</v>
      </c>
      <c r="N56" s="796">
        <v>0</v>
      </c>
      <c r="O56" s="796">
        <v>0</v>
      </c>
      <c r="P56" s="796">
        <v>0</v>
      </c>
      <c r="Q56" s="796">
        <v>0</v>
      </c>
      <c r="R56" s="796"/>
      <c r="S56" s="796">
        <v>0</v>
      </c>
      <c r="T56" s="796">
        <v>0</v>
      </c>
      <c r="U56" s="797">
        <v>0</v>
      </c>
      <c r="V56" s="708"/>
      <c r="W56" s="710"/>
      <c r="X56" s="710"/>
      <c r="Y56" s="379"/>
      <c r="Z56" s="708"/>
      <c r="AA56" s="706"/>
      <c r="AB56" s="707"/>
      <c r="AC56" s="707"/>
      <c r="AD56" s="707"/>
      <c r="AE56" s="707"/>
      <c r="AF56" s="707"/>
      <c r="AG56" s="707"/>
      <c r="AH56" s="707"/>
      <c r="AI56" s="707"/>
      <c r="AJ56" s="707"/>
      <c r="AK56" s="707"/>
      <c r="AL56" s="707"/>
      <c r="AM56" s="707"/>
      <c r="AN56" s="707"/>
      <c r="AO56" s="707"/>
    </row>
    <row r="57" spans="1:41" x14ac:dyDescent="0.2">
      <c r="A57" s="1608"/>
      <c r="B57" s="712"/>
      <c r="C57" s="786"/>
      <c r="D57" s="798" t="s">
        <v>199</v>
      </c>
      <c r="E57" s="789">
        <v>0</v>
      </c>
      <c r="F57" s="792">
        <v>0</v>
      </c>
      <c r="G57" s="792">
        <v>0</v>
      </c>
      <c r="H57" s="792">
        <v>0</v>
      </c>
      <c r="I57" s="792">
        <v>0</v>
      </c>
      <c r="J57" s="792">
        <v>0</v>
      </c>
      <c r="K57" s="792">
        <v>0</v>
      </c>
      <c r="L57" s="792">
        <v>0</v>
      </c>
      <c r="M57" s="792">
        <v>0</v>
      </c>
      <c r="N57" s="808">
        <v>0</v>
      </c>
      <c r="O57" s="792">
        <v>0</v>
      </c>
      <c r="P57" s="792">
        <v>0</v>
      </c>
      <c r="Q57" s="792">
        <v>0</v>
      </c>
      <c r="R57" s="792"/>
      <c r="S57" s="792">
        <v>0</v>
      </c>
      <c r="T57" s="792">
        <v>0</v>
      </c>
      <c r="U57" s="793">
        <v>0</v>
      </c>
      <c r="V57" s="740"/>
      <c r="W57" s="379"/>
      <c r="X57" s="379"/>
      <c r="Y57" s="445"/>
      <c r="Z57" s="714">
        <f t="shared" ref="Z57" si="401">IF(E56&gt;0,((E57-E56)/E56),)</f>
        <v>0</v>
      </c>
      <c r="AA57" s="715">
        <f t="shared" ref="AA57" si="402">IF(F56&gt;0,((F57-F56)/F56),)</f>
        <v>0</v>
      </c>
      <c r="AB57" s="716">
        <f t="shared" ref="AB57" si="403">IF(G56&gt;0,((G57-G56)/G56),)</f>
        <v>0</v>
      </c>
      <c r="AC57" s="716">
        <f t="shared" ref="AC57" si="404">IF(H56&gt;0,((H57-H56)/H56),)</f>
        <v>0</v>
      </c>
      <c r="AD57" s="716">
        <f t="shared" ref="AD57" si="405">IF(I56&gt;0,((I57-I56)/I56),)</f>
        <v>0</v>
      </c>
      <c r="AE57" s="716">
        <f t="shared" ref="AE57" si="406">IF(J56&gt;0,((J57-J56)/J56),)</f>
        <v>0</v>
      </c>
      <c r="AF57" s="716">
        <f t="shared" ref="AF57" si="407">IF(K56&gt;0,((K57-K56)/K56),)</f>
        <v>0</v>
      </c>
      <c r="AG57" s="716">
        <f t="shared" ref="AG57" si="408">IF(L56&gt;0,((L57-L56)/L56),)</f>
        <v>0</v>
      </c>
      <c r="AH57" s="716">
        <f t="shared" ref="AH57" si="409">IF(M56&gt;0,((M57-M56)/M56),)</f>
        <v>0</v>
      </c>
      <c r="AI57" s="716">
        <f t="shared" ref="AI57" si="410">IF(N56&gt;0,((N57-N56)/N56),)</f>
        <v>0</v>
      </c>
      <c r="AJ57" s="716">
        <f t="shared" ref="AJ57" si="411">IF(O56&gt;0,((O57-O56)/O56),)</f>
        <v>0</v>
      </c>
      <c r="AK57" s="716">
        <f t="shared" ref="AK57" si="412">IF(P56&gt;0,((P57-P56)/P56),)</f>
        <v>0</v>
      </c>
      <c r="AL57" s="716">
        <f t="shared" ref="AL57" si="413">IF(Q56&gt;0,((Q57-Q56)/Q56),)</f>
        <v>0</v>
      </c>
      <c r="AM57" s="716">
        <f t="shared" ref="AM57" si="414">IF(R56&gt;0,((R57-R56)/R56),)</f>
        <v>0</v>
      </c>
      <c r="AN57" s="716">
        <f t="shared" ref="AN57" si="415">IF(S56&gt;0,((S57-S56)/S56),)</f>
        <v>0</v>
      </c>
      <c r="AO57" s="716">
        <f t="shared" ref="AO57" si="416">IF(T56&gt;0,((T57-T56)/T56),)</f>
        <v>0</v>
      </c>
    </row>
    <row r="58" spans="1:41" x14ac:dyDescent="0.2">
      <c r="A58" s="1608"/>
      <c r="B58" s="760" t="s">
        <v>228</v>
      </c>
      <c r="C58" s="783" t="s">
        <v>288</v>
      </c>
      <c r="D58" s="794" t="s">
        <v>197</v>
      </c>
      <c r="E58" s="795">
        <v>0</v>
      </c>
      <c r="F58" s="796">
        <v>428900</v>
      </c>
      <c r="G58" s="796">
        <v>2130000</v>
      </c>
      <c r="H58" s="796">
        <v>0</v>
      </c>
      <c r="I58" s="796">
        <v>370200</v>
      </c>
      <c r="J58" s="796">
        <v>605600</v>
      </c>
      <c r="K58" s="796">
        <v>0</v>
      </c>
      <c r="L58" s="796">
        <v>0</v>
      </c>
      <c r="M58" s="796">
        <v>355200</v>
      </c>
      <c r="N58" s="796">
        <v>0</v>
      </c>
      <c r="O58" s="796">
        <v>0</v>
      </c>
      <c r="P58" s="796">
        <v>594200</v>
      </c>
      <c r="Q58" s="796">
        <v>1966400</v>
      </c>
      <c r="R58" s="796"/>
      <c r="S58" s="796">
        <v>20000</v>
      </c>
      <c r="T58" s="796">
        <v>121533</v>
      </c>
      <c r="U58" s="797">
        <v>6592033</v>
      </c>
      <c r="V58" s="708"/>
      <c r="W58" s="710"/>
      <c r="X58" s="710"/>
      <c r="Y58" s="406"/>
      <c r="Z58" s="708"/>
      <c r="AA58" s="706"/>
      <c r="AB58" s="707"/>
      <c r="AC58" s="707"/>
      <c r="AD58" s="707"/>
      <c r="AE58" s="707"/>
      <c r="AF58" s="707"/>
      <c r="AG58" s="707"/>
      <c r="AH58" s="707"/>
      <c r="AI58" s="707"/>
      <c r="AJ58" s="707"/>
      <c r="AK58" s="707"/>
      <c r="AL58" s="707"/>
      <c r="AM58" s="707"/>
      <c r="AN58" s="707"/>
      <c r="AO58" s="707"/>
    </row>
    <row r="59" spans="1:41" x14ac:dyDescent="0.2">
      <c r="A59" s="1608"/>
      <c r="B59" s="759"/>
      <c r="C59" s="786"/>
      <c r="D59" s="798" t="s">
        <v>199</v>
      </c>
      <c r="E59" s="789">
        <v>0</v>
      </c>
      <c r="F59" s="792">
        <v>375400</v>
      </c>
      <c r="G59" s="792">
        <v>2130000</v>
      </c>
      <c r="H59" s="792">
        <v>0</v>
      </c>
      <c r="I59" s="792">
        <v>367200</v>
      </c>
      <c r="J59" s="792">
        <v>625200</v>
      </c>
      <c r="K59" s="792">
        <v>0</v>
      </c>
      <c r="L59" s="792">
        <v>0</v>
      </c>
      <c r="M59" s="792">
        <v>367200</v>
      </c>
      <c r="N59" s="808">
        <v>0</v>
      </c>
      <c r="O59" s="792">
        <v>0</v>
      </c>
      <c r="P59" s="792">
        <v>613200</v>
      </c>
      <c r="Q59" s="792">
        <v>2020900</v>
      </c>
      <c r="R59" s="792"/>
      <c r="S59" s="792">
        <v>20000</v>
      </c>
      <c r="T59" s="792">
        <v>134007</v>
      </c>
      <c r="U59" s="793">
        <v>6653107</v>
      </c>
      <c r="V59" s="740"/>
      <c r="W59" s="379"/>
      <c r="X59" s="379"/>
      <c r="Y59" s="379"/>
      <c r="Z59" s="714">
        <f t="shared" ref="Z59" si="417">IF(E58&gt;0,((E59-E58)/E58),)</f>
        <v>0</v>
      </c>
      <c r="AA59" s="715">
        <f t="shared" ref="AA59" si="418">IF(F58&gt;0,((F59-F58)/F58),)</f>
        <v>-0.12473770109582653</v>
      </c>
      <c r="AB59" s="716">
        <f t="shared" ref="AB59" si="419">IF(G58&gt;0,((G59-G58)/G58),)</f>
        <v>0</v>
      </c>
      <c r="AC59" s="716">
        <f t="shared" ref="AC59" si="420">IF(H58&gt;0,((H59-H58)/H58),)</f>
        <v>0</v>
      </c>
      <c r="AD59" s="716">
        <f t="shared" ref="AD59" si="421">IF(I58&gt;0,((I59-I58)/I58),)</f>
        <v>-8.1037277147487843E-3</v>
      </c>
      <c r="AE59" s="716">
        <f t="shared" ref="AE59" si="422">IF(J58&gt;0,((J59-J58)/J58),)</f>
        <v>3.2364597093791282E-2</v>
      </c>
      <c r="AF59" s="716">
        <f t="shared" ref="AF59" si="423">IF(K58&gt;0,((K59-K58)/K58),)</f>
        <v>0</v>
      </c>
      <c r="AG59" s="716">
        <f t="shared" ref="AG59" si="424">IF(L58&gt;0,((L59-L58)/L58),)</f>
        <v>0</v>
      </c>
      <c r="AH59" s="716">
        <f t="shared" ref="AH59" si="425">IF(M58&gt;0,((M59-M58)/M58),)</f>
        <v>3.3783783783783786E-2</v>
      </c>
      <c r="AI59" s="716">
        <f t="shared" ref="AI59" si="426">IF(N58&gt;0,((N59-N58)/N58),)</f>
        <v>0</v>
      </c>
      <c r="AJ59" s="716">
        <f t="shared" ref="AJ59" si="427">IF(O58&gt;0,((O59-O58)/O58),)</f>
        <v>0</v>
      </c>
      <c r="AK59" s="716">
        <f t="shared" ref="AK59" si="428">IF(P58&gt;0,((P59-P58)/P58),)</f>
        <v>3.1975765735442613E-2</v>
      </c>
      <c r="AL59" s="716">
        <f t="shared" ref="AL59" si="429">IF(Q58&gt;0,((Q59-Q58)/Q58),)</f>
        <v>2.7715622457282343E-2</v>
      </c>
      <c r="AM59" s="716">
        <f t="shared" ref="AM59" si="430">IF(R58&gt;0,((R59-R58)/R58),)</f>
        <v>0</v>
      </c>
      <c r="AN59" s="716">
        <f t="shared" ref="AN59" si="431">IF(S58&gt;0,((S59-S58)/S58),)</f>
        <v>0</v>
      </c>
      <c r="AO59" s="716">
        <f t="shared" ref="AO59" si="432">IF(T58&gt;0,((T59-T58)/T58),)</f>
        <v>0.10263878946458986</v>
      </c>
    </row>
    <row r="60" spans="1:41" x14ac:dyDescent="0.2">
      <c r="A60" s="1608"/>
      <c r="B60" s="457" t="s">
        <v>229</v>
      </c>
      <c r="C60" s="783" t="s">
        <v>289</v>
      </c>
      <c r="D60" s="794" t="s">
        <v>197</v>
      </c>
      <c r="E60" s="795">
        <v>0</v>
      </c>
      <c r="F60" s="796">
        <v>2901300</v>
      </c>
      <c r="G60" s="796">
        <v>824600</v>
      </c>
      <c r="H60" s="796">
        <v>0</v>
      </c>
      <c r="I60" s="796">
        <v>148000</v>
      </c>
      <c r="J60" s="796">
        <v>4099200</v>
      </c>
      <c r="K60" s="796">
        <v>380000</v>
      </c>
      <c r="L60" s="796">
        <v>0</v>
      </c>
      <c r="M60" s="796">
        <v>133200</v>
      </c>
      <c r="N60" s="796">
        <v>0</v>
      </c>
      <c r="O60" s="796">
        <v>0</v>
      </c>
      <c r="P60" s="796">
        <v>2303800</v>
      </c>
      <c r="Q60" s="796">
        <v>0</v>
      </c>
      <c r="R60" s="796"/>
      <c r="S60" s="796">
        <v>0</v>
      </c>
      <c r="T60" s="796">
        <v>1128926</v>
      </c>
      <c r="U60" s="797">
        <v>11919026</v>
      </c>
      <c r="V60" s="708"/>
      <c r="W60" s="710"/>
      <c r="X60" s="710"/>
      <c r="Y60" s="445"/>
      <c r="Z60" s="708"/>
      <c r="AA60" s="706"/>
      <c r="AB60" s="707"/>
      <c r="AC60" s="707"/>
      <c r="AD60" s="707"/>
      <c r="AE60" s="707"/>
      <c r="AF60" s="707"/>
      <c r="AG60" s="707"/>
      <c r="AH60" s="707"/>
      <c r="AI60" s="707"/>
      <c r="AJ60" s="707"/>
      <c r="AK60" s="707"/>
      <c r="AL60" s="707"/>
      <c r="AM60" s="707"/>
      <c r="AN60" s="707"/>
      <c r="AO60" s="707"/>
    </row>
    <row r="61" spans="1:41" x14ac:dyDescent="0.2">
      <c r="A61" s="1608"/>
      <c r="B61" s="458"/>
      <c r="C61" s="786"/>
      <c r="D61" s="798" t="s">
        <v>199</v>
      </c>
      <c r="E61" s="789">
        <v>0</v>
      </c>
      <c r="F61" s="792">
        <v>2973500</v>
      </c>
      <c r="G61" s="792">
        <v>807600</v>
      </c>
      <c r="H61" s="792">
        <v>0</v>
      </c>
      <c r="I61" s="792">
        <v>153000</v>
      </c>
      <c r="J61" s="792">
        <v>4226800</v>
      </c>
      <c r="K61" s="792">
        <v>587495</v>
      </c>
      <c r="L61" s="792">
        <v>0</v>
      </c>
      <c r="M61" s="792">
        <v>168300</v>
      </c>
      <c r="N61" s="808">
        <v>0</v>
      </c>
      <c r="O61" s="792">
        <v>0</v>
      </c>
      <c r="P61" s="792">
        <v>2440250</v>
      </c>
      <c r="Q61" s="792">
        <v>0</v>
      </c>
      <c r="R61" s="792"/>
      <c r="S61" s="792">
        <v>0</v>
      </c>
      <c r="T61" s="792">
        <v>874008</v>
      </c>
      <c r="U61" s="793">
        <v>12230953</v>
      </c>
      <c r="V61" s="740"/>
      <c r="W61" s="379"/>
      <c r="X61" s="379"/>
      <c r="Y61" s="406"/>
      <c r="Z61" s="714">
        <f t="shared" ref="Z61" si="433">IF(E60&gt;0,((E61-E60)/E60),)</f>
        <v>0</v>
      </c>
      <c r="AA61" s="715">
        <f t="shared" ref="AA61" si="434">IF(F60&gt;0,((F61-F60)/F60),)</f>
        <v>2.4885396201702686E-2</v>
      </c>
      <c r="AB61" s="716">
        <f t="shared" ref="AB61" si="435">IF(G60&gt;0,((G61-G60)/G60),)</f>
        <v>-2.0616056269706525E-2</v>
      </c>
      <c r="AC61" s="716">
        <f t="shared" ref="AC61" si="436">IF(H60&gt;0,((H61-H60)/H60),)</f>
        <v>0</v>
      </c>
      <c r="AD61" s="716">
        <f t="shared" ref="AD61" si="437">IF(I60&gt;0,((I61-I60)/I60),)</f>
        <v>3.3783783783783786E-2</v>
      </c>
      <c r="AE61" s="716">
        <f t="shared" ref="AE61" si="438">IF(J60&gt;0,((J61-J60)/J60),)</f>
        <v>3.1128024980483997E-2</v>
      </c>
      <c r="AF61" s="717">
        <f t="shared" ref="AF61" si="439">IF(K60&gt;0,((K61-K60)/K60),)</f>
        <v>0.54603947368421057</v>
      </c>
      <c r="AG61" s="716">
        <f t="shared" ref="AG61" si="440">IF(L60&gt;0,((L61-L60)/L60),)</f>
        <v>0</v>
      </c>
      <c r="AH61" s="717">
        <f t="shared" ref="AH61" si="441">IF(M60&gt;0,((M61-M60)/M60),)</f>
        <v>0.26351351351351349</v>
      </c>
      <c r="AI61" s="716">
        <f t="shared" ref="AI61" si="442">IF(N60&gt;0,((N61-N60)/N60),)</f>
        <v>0</v>
      </c>
      <c r="AJ61" s="716">
        <f t="shared" ref="AJ61" si="443">IF(O60&gt;0,((O61-O60)/O60),)</f>
        <v>0</v>
      </c>
      <c r="AK61" s="716">
        <f t="shared" ref="AK61" si="444">IF(P60&gt;0,((P61-P60)/P60),)</f>
        <v>5.9228231617327896E-2</v>
      </c>
      <c r="AL61" s="716">
        <f t="shared" ref="AL61" si="445">IF(Q60&gt;0,((Q61-Q60)/Q60),)</f>
        <v>0</v>
      </c>
      <c r="AM61" s="716">
        <f t="shared" ref="AM61" si="446">IF(R60&gt;0,((R61-R60)/R60),)</f>
        <v>0</v>
      </c>
      <c r="AN61" s="716">
        <f t="shared" ref="AN61" si="447">IF(S60&gt;0,((S61-S60)/S60),)</f>
        <v>0</v>
      </c>
      <c r="AO61" s="717">
        <f t="shared" ref="AO61" si="448">IF(T60&gt;0,((T61-T60)/T60),)</f>
        <v>-0.22580576583407594</v>
      </c>
    </row>
    <row r="62" spans="1:41" x14ac:dyDescent="0.2">
      <c r="A62" s="1608"/>
      <c r="B62" s="457" t="s">
        <v>137</v>
      </c>
      <c r="C62" s="783" t="s">
        <v>290</v>
      </c>
      <c r="D62" s="794" t="s">
        <v>197</v>
      </c>
      <c r="E62" s="795">
        <v>0</v>
      </c>
      <c r="F62" s="796">
        <v>0</v>
      </c>
      <c r="G62" s="796">
        <v>0</v>
      </c>
      <c r="H62" s="796">
        <v>2680784</v>
      </c>
      <c r="I62" s="796">
        <v>2647228</v>
      </c>
      <c r="J62" s="796">
        <v>151200</v>
      </c>
      <c r="K62" s="796">
        <v>0</v>
      </c>
      <c r="L62" s="796">
        <v>0</v>
      </c>
      <c r="M62" s="796"/>
      <c r="N62" s="796">
        <v>0</v>
      </c>
      <c r="O62" s="796">
        <v>0</v>
      </c>
      <c r="P62" s="796">
        <v>307177</v>
      </c>
      <c r="Q62" s="796">
        <v>0</v>
      </c>
      <c r="R62" s="796"/>
      <c r="S62" s="796">
        <v>170000</v>
      </c>
      <c r="T62" s="796">
        <v>195549</v>
      </c>
      <c r="U62" s="797">
        <v>6151938</v>
      </c>
      <c r="V62" s="708"/>
      <c r="W62" s="710"/>
      <c r="X62" s="710"/>
      <c r="Y62" s="379"/>
      <c r="Z62" s="708"/>
      <c r="AA62" s="706"/>
      <c r="AB62" s="707"/>
      <c r="AC62" s="707"/>
      <c r="AD62" s="707"/>
      <c r="AE62" s="707"/>
      <c r="AF62" s="707"/>
      <c r="AG62" s="707"/>
      <c r="AH62" s="707"/>
      <c r="AI62" s="707"/>
      <c r="AJ62" s="707"/>
      <c r="AK62" s="707"/>
      <c r="AL62" s="707"/>
      <c r="AM62" s="707"/>
      <c r="AN62" s="707"/>
      <c r="AO62" s="707"/>
    </row>
    <row r="63" spans="1:41" x14ac:dyDescent="0.2">
      <c r="A63" s="1608"/>
      <c r="B63" s="712"/>
      <c r="C63" s="790"/>
      <c r="D63" s="798" t="s">
        <v>199</v>
      </c>
      <c r="E63" s="789">
        <v>0</v>
      </c>
      <c r="F63" s="792">
        <v>0</v>
      </c>
      <c r="G63" s="792">
        <v>0</v>
      </c>
      <c r="H63" s="792">
        <v>2935224</v>
      </c>
      <c r="I63" s="792">
        <v>2055432</v>
      </c>
      <c r="J63" s="792">
        <v>156000</v>
      </c>
      <c r="K63" s="792">
        <v>0</v>
      </c>
      <c r="L63" s="792">
        <v>0</v>
      </c>
      <c r="M63" s="792"/>
      <c r="N63" s="808">
        <v>0</v>
      </c>
      <c r="O63" s="792">
        <v>0</v>
      </c>
      <c r="P63" s="792">
        <v>307177</v>
      </c>
      <c r="Q63" s="792">
        <v>0</v>
      </c>
      <c r="R63" s="792"/>
      <c r="S63" s="792">
        <v>170000</v>
      </c>
      <c r="T63" s="792">
        <v>308682</v>
      </c>
      <c r="U63" s="793">
        <v>5932515</v>
      </c>
      <c r="V63" s="742"/>
      <c r="W63" s="379"/>
      <c r="X63" s="379"/>
      <c r="Y63" s="445"/>
      <c r="Z63" s="714">
        <f t="shared" ref="Z63" si="449">IF(E62&gt;0,((E63-E62)/E62),)</f>
        <v>0</v>
      </c>
      <c r="AA63" s="715">
        <f t="shared" ref="AA63" si="450">IF(F62&gt;0,((F63-F62)/F62),)</f>
        <v>0</v>
      </c>
      <c r="AB63" s="716">
        <f t="shared" ref="AB63" si="451">IF(G62&gt;0,((G63-G62)/G62),)</f>
        <v>0</v>
      </c>
      <c r="AC63" s="716">
        <f t="shared" ref="AC63" si="452">IF(H62&gt;0,((H63-H62)/H62),)</f>
        <v>9.4912533050033124E-2</v>
      </c>
      <c r="AD63" s="717">
        <f t="shared" ref="AD63" si="453">IF(I62&gt;0,((I63-I62)/I62),)</f>
        <v>-0.22355309025138748</v>
      </c>
      <c r="AE63" s="716">
        <f t="shared" ref="AE63" si="454">IF(J62&gt;0,((J63-J62)/J62),)</f>
        <v>3.1746031746031744E-2</v>
      </c>
      <c r="AF63" s="716">
        <f t="shared" ref="AF63" si="455">IF(K62&gt;0,((K63-K62)/K62),)</f>
        <v>0</v>
      </c>
      <c r="AG63" s="716">
        <f t="shared" ref="AG63" si="456">IF(L62&gt;0,((L63-L62)/L62),)</f>
        <v>0</v>
      </c>
      <c r="AH63" s="716">
        <f t="shared" ref="AH63" si="457">IF(M62&gt;0,((M63-M62)/M62),)</f>
        <v>0</v>
      </c>
      <c r="AI63" s="716">
        <f t="shared" ref="AI63" si="458">IF(N62&gt;0,((N63-N62)/N62),)</f>
        <v>0</v>
      </c>
      <c r="AJ63" s="716">
        <f t="shared" ref="AJ63" si="459">IF(O62&gt;0,((O63-O62)/O62),)</f>
        <v>0</v>
      </c>
      <c r="AK63" s="716">
        <f t="shared" ref="AK63" si="460">IF(P62&gt;0,((P63-P62)/P62),)</f>
        <v>0</v>
      </c>
      <c r="AL63" s="716">
        <f t="shared" ref="AL63" si="461">IF(Q62&gt;0,((Q63-Q62)/Q62),)</f>
        <v>0</v>
      </c>
      <c r="AM63" s="716">
        <f t="shared" ref="AM63" si="462">IF(R62&gt;0,((R63-R62)/R62),)</f>
        <v>0</v>
      </c>
      <c r="AN63" s="716">
        <f t="shared" ref="AN63" si="463">IF(S62&gt;0,((S63-S62)/S62),)</f>
        <v>0</v>
      </c>
      <c r="AO63" s="717">
        <f t="shared" ref="AO63" si="464">IF(T62&gt;0,((T63-T62)/T62),)</f>
        <v>0.57854041697988734</v>
      </c>
    </row>
    <row r="64" spans="1:41" x14ac:dyDescent="0.2">
      <c r="A64" s="1608"/>
      <c r="B64" s="761" t="s">
        <v>230</v>
      </c>
      <c r="C64" s="783" t="s">
        <v>291</v>
      </c>
      <c r="D64" s="794" t="s">
        <v>197</v>
      </c>
      <c r="E64" s="795">
        <v>0</v>
      </c>
      <c r="F64" s="796">
        <v>0</v>
      </c>
      <c r="G64" s="796">
        <v>0</v>
      </c>
      <c r="H64" s="796">
        <v>0</v>
      </c>
      <c r="I64" s="796">
        <v>0</v>
      </c>
      <c r="J64" s="796">
        <v>0</v>
      </c>
      <c r="K64" s="796">
        <v>0</v>
      </c>
      <c r="L64" s="796">
        <v>0</v>
      </c>
      <c r="M64" s="796">
        <v>0</v>
      </c>
      <c r="N64" s="796">
        <v>0</v>
      </c>
      <c r="O64" s="796">
        <v>0</v>
      </c>
      <c r="P64" s="796">
        <v>0</v>
      </c>
      <c r="Q64" s="796">
        <v>0</v>
      </c>
      <c r="R64" s="796">
        <v>0</v>
      </c>
      <c r="S64" s="796">
        <v>0</v>
      </c>
      <c r="T64" s="796">
        <v>0</v>
      </c>
      <c r="U64" s="797">
        <v>0</v>
      </c>
      <c r="V64" s="708"/>
      <c r="W64" s="710"/>
      <c r="X64" s="710"/>
      <c r="Y64" s="406"/>
      <c r="Z64" s="708"/>
      <c r="AA64" s="706"/>
      <c r="AB64" s="707"/>
      <c r="AC64" s="707"/>
      <c r="AD64" s="707"/>
      <c r="AE64" s="707"/>
      <c r="AF64" s="707"/>
      <c r="AG64" s="707"/>
      <c r="AH64" s="707"/>
      <c r="AI64" s="707"/>
      <c r="AJ64" s="707"/>
      <c r="AK64" s="707"/>
      <c r="AL64" s="707"/>
      <c r="AM64" s="707"/>
      <c r="AN64" s="707"/>
      <c r="AO64" s="707"/>
    </row>
    <row r="65" spans="1:41" x14ac:dyDescent="0.2">
      <c r="A65" s="1608"/>
      <c r="B65" s="455"/>
      <c r="C65" s="786"/>
      <c r="D65" s="798" t="s">
        <v>199</v>
      </c>
      <c r="E65" s="789">
        <v>0</v>
      </c>
      <c r="F65" s="792">
        <v>0</v>
      </c>
      <c r="G65" s="792">
        <v>0</v>
      </c>
      <c r="H65" s="792">
        <v>0</v>
      </c>
      <c r="I65" s="792">
        <v>0</v>
      </c>
      <c r="J65" s="792">
        <v>0</v>
      </c>
      <c r="K65" s="792">
        <v>0</v>
      </c>
      <c r="L65" s="792">
        <v>0</v>
      </c>
      <c r="M65" s="792">
        <v>0</v>
      </c>
      <c r="N65" s="808">
        <v>0</v>
      </c>
      <c r="O65" s="792">
        <v>0</v>
      </c>
      <c r="P65" s="792">
        <v>0</v>
      </c>
      <c r="Q65" s="792">
        <v>0</v>
      </c>
      <c r="R65" s="792">
        <v>0</v>
      </c>
      <c r="S65" s="792">
        <v>0</v>
      </c>
      <c r="T65" s="792">
        <v>0</v>
      </c>
      <c r="U65" s="793">
        <v>0</v>
      </c>
      <c r="V65" s="740"/>
      <c r="W65" s="379"/>
      <c r="X65" s="379"/>
      <c r="Y65" s="379"/>
      <c r="Z65" s="714">
        <f t="shared" ref="Z65" si="465">IF(E64&gt;0,((E65-E64)/E64),)</f>
        <v>0</v>
      </c>
      <c r="AA65" s="715">
        <f t="shared" ref="AA65" si="466">IF(F64&gt;0,((F65-F64)/F64),)</f>
        <v>0</v>
      </c>
      <c r="AB65" s="716">
        <f t="shared" ref="AB65" si="467">IF(G64&gt;0,((G65-G64)/G64),)</f>
        <v>0</v>
      </c>
      <c r="AC65" s="716">
        <f t="shared" ref="AC65" si="468">IF(H64&gt;0,((H65-H64)/H64),)</f>
        <v>0</v>
      </c>
      <c r="AD65" s="716">
        <f t="shared" ref="AD65" si="469">IF(I64&gt;0,((I65-I64)/I64),)</f>
        <v>0</v>
      </c>
      <c r="AE65" s="716">
        <f t="shared" ref="AE65" si="470">IF(J64&gt;0,((J65-J64)/J64),)</f>
        <v>0</v>
      </c>
      <c r="AF65" s="716">
        <f t="shared" ref="AF65" si="471">IF(K64&gt;0,((K65-K64)/K64),)</f>
        <v>0</v>
      </c>
      <c r="AG65" s="716">
        <f t="shared" ref="AG65" si="472">IF(L64&gt;0,((L65-L64)/L64),)</f>
        <v>0</v>
      </c>
      <c r="AH65" s="716">
        <f t="shared" ref="AH65" si="473">IF(M64&gt;0,((M65-M64)/M64),)</f>
        <v>0</v>
      </c>
      <c r="AI65" s="716">
        <f t="shared" ref="AI65" si="474">IF(N64&gt;0,((N65-N64)/N64),)</f>
        <v>0</v>
      </c>
      <c r="AJ65" s="716">
        <f t="shared" ref="AJ65" si="475">IF(O64&gt;0,((O65-O64)/O64),)</f>
        <v>0</v>
      </c>
      <c r="AK65" s="716">
        <f t="shared" ref="AK65" si="476">IF(P64&gt;0,((P65-P64)/P64),)</f>
        <v>0</v>
      </c>
      <c r="AL65" s="716">
        <f t="shared" ref="AL65" si="477">IF(Q64&gt;0,((Q65-Q64)/Q64),)</f>
        <v>0</v>
      </c>
      <c r="AM65" s="716">
        <f t="shared" ref="AM65" si="478">IF(R64&gt;0,((R65-R64)/R64),)</f>
        <v>0</v>
      </c>
      <c r="AN65" s="716">
        <f t="shared" ref="AN65" si="479">IF(S64&gt;0,((S65-S64)/S64),)</f>
        <v>0</v>
      </c>
      <c r="AO65" s="716">
        <f t="shared" ref="AO65" si="480">IF(T64&gt;0,((T65-T64)/T64),)</f>
        <v>0</v>
      </c>
    </row>
    <row r="66" spans="1:41" x14ac:dyDescent="0.2">
      <c r="A66" s="1608"/>
      <c r="B66" s="762" t="s">
        <v>34</v>
      </c>
      <c r="C66" s="783" t="s">
        <v>292</v>
      </c>
      <c r="D66" s="794" t="s">
        <v>197</v>
      </c>
      <c r="E66" s="795">
        <v>0</v>
      </c>
      <c r="F66" s="796">
        <v>0</v>
      </c>
      <c r="G66" s="796">
        <v>1527196</v>
      </c>
      <c r="H66" s="796">
        <v>0</v>
      </c>
      <c r="I66" s="796">
        <v>0</v>
      </c>
      <c r="J66" s="796">
        <v>0</v>
      </c>
      <c r="K66" s="796">
        <v>0</v>
      </c>
      <c r="L66" s="796">
        <v>0</v>
      </c>
      <c r="M66" s="796">
        <v>0</v>
      </c>
      <c r="N66" s="796">
        <v>0</v>
      </c>
      <c r="O66" s="796">
        <v>77232704</v>
      </c>
      <c r="P66" s="796">
        <v>0</v>
      </c>
      <c r="Q66" s="796">
        <v>0</v>
      </c>
      <c r="R66" s="796">
        <v>353148644</v>
      </c>
      <c r="S66" s="796">
        <v>0</v>
      </c>
      <c r="T66" s="796">
        <v>0</v>
      </c>
      <c r="U66" s="797">
        <v>431908544</v>
      </c>
      <c r="V66" s="708"/>
      <c r="W66" s="710"/>
      <c r="X66" s="710"/>
      <c r="Y66" s="445"/>
      <c r="Z66" s="708"/>
      <c r="AA66" s="706"/>
      <c r="AB66" s="707"/>
      <c r="AC66" s="707"/>
      <c r="AD66" s="707"/>
      <c r="AE66" s="707"/>
      <c r="AF66" s="707"/>
      <c r="AG66" s="707"/>
      <c r="AH66" s="707"/>
      <c r="AI66" s="707"/>
      <c r="AJ66" s="707"/>
      <c r="AK66" s="707"/>
      <c r="AL66" s="707"/>
      <c r="AM66" s="707"/>
      <c r="AN66" s="707"/>
      <c r="AO66" s="707"/>
    </row>
    <row r="67" spans="1:41" x14ac:dyDescent="0.2">
      <c r="A67" s="1608"/>
      <c r="B67" s="455"/>
      <c r="C67" s="786"/>
      <c r="D67" s="798" t="s">
        <v>199</v>
      </c>
      <c r="E67" s="789">
        <v>0</v>
      </c>
      <c r="F67" s="792">
        <v>0</v>
      </c>
      <c r="G67" s="792">
        <v>1549955</v>
      </c>
      <c r="H67" s="792">
        <v>0</v>
      </c>
      <c r="I67" s="792">
        <v>0</v>
      </c>
      <c r="J67" s="792">
        <v>0</v>
      </c>
      <c r="K67" s="792">
        <v>0</v>
      </c>
      <c r="L67" s="792">
        <v>0</v>
      </c>
      <c r="M67" s="792">
        <v>0</v>
      </c>
      <c r="N67" s="808">
        <v>0</v>
      </c>
      <c r="O67" s="792">
        <v>77232704</v>
      </c>
      <c r="P67" s="792">
        <v>0</v>
      </c>
      <c r="Q67" s="792">
        <v>0</v>
      </c>
      <c r="R67" s="792">
        <v>538468632</v>
      </c>
      <c r="S67" s="792">
        <v>0</v>
      </c>
      <c r="T67" s="792">
        <v>0</v>
      </c>
      <c r="U67" s="793">
        <v>617251291</v>
      </c>
      <c r="V67" s="740"/>
      <c r="W67" s="379"/>
      <c r="X67" s="379"/>
      <c r="Y67" s="406"/>
      <c r="Z67" s="714">
        <f t="shared" ref="Z67" si="481">IF(E66&gt;0,((E67-E66)/E66),)</f>
        <v>0</v>
      </c>
      <c r="AA67" s="715">
        <f t="shared" ref="AA67" si="482">IF(F66&gt;0,((F67-F66)/F66),)</f>
        <v>0</v>
      </c>
      <c r="AB67" s="716">
        <f t="shared" ref="AB67" si="483">IF(G66&gt;0,((G67-G66)/G66),)</f>
        <v>1.4902474862427613E-2</v>
      </c>
      <c r="AC67" s="716">
        <f t="shared" ref="AC67" si="484">IF(H66&gt;0,((H67-H66)/H66),)</f>
        <v>0</v>
      </c>
      <c r="AD67" s="716">
        <f t="shared" ref="AD67" si="485">IF(I66&gt;0,((I67-I66)/I66),)</f>
        <v>0</v>
      </c>
      <c r="AE67" s="716">
        <f t="shared" ref="AE67" si="486">IF(J66&gt;0,((J67-J66)/J66),)</f>
        <v>0</v>
      </c>
      <c r="AF67" s="716">
        <f t="shared" ref="AF67" si="487">IF(K66&gt;0,((K67-K66)/K66),)</f>
        <v>0</v>
      </c>
      <c r="AG67" s="716">
        <f t="shared" ref="AG67" si="488">IF(L66&gt;0,((L67-L66)/L66),)</f>
        <v>0</v>
      </c>
      <c r="AH67" s="716">
        <f t="shared" ref="AH67" si="489">IF(M66&gt;0,((M67-M66)/M66),)</f>
        <v>0</v>
      </c>
      <c r="AI67" s="716">
        <f t="shared" ref="AI67" si="490">IF(N66&gt;0,((N67-N66)/N66),)</f>
        <v>0</v>
      </c>
      <c r="AJ67" s="716">
        <f t="shared" ref="AJ67" si="491">IF(O66&gt;0,((O67-O66)/O66),)</f>
        <v>0</v>
      </c>
      <c r="AK67" s="716">
        <f t="shared" ref="AK67" si="492">IF(P66&gt;0,((P67-P66)/P66),)</f>
        <v>0</v>
      </c>
      <c r="AL67" s="716">
        <f t="shared" ref="AL67" si="493">IF(Q66&gt;0,((Q67-Q66)/Q66),)</f>
        <v>0</v>
      </c>
      <c r="AM67" s="717">
        <f t="shared" ref="AM67" si="494">IF(R66&gt;0,((R67-R66)/R66),)</f>
        <v>0.52476482962228221</v>
      </c>
      <c r="AN67" s="716">
        <f t="shared" ref="AN67" si="495">IF(S66&gt;0,((S67-S66)/S66),)</f>
        <v>0</v>
      </c>
      <c r="AO67" s="716">
        <f t="shared" ref="AO67" si="496">IF(T66&gt;0,((T67-T66)/T66),)</f>
        <v>0</v>
      </c>
    </row>
    <row r="68" spans="1:41" x14ac:dyDescent="0.2">
      <c r="A68" s="1608"/>
      <c r="B68" s="457" t="s">
        <v>311</v>
      </c>
      <c r="C68" s="783" t="s">
        <v>310</v>
      </c>
      <c r="D68" s="794" t="s">
        <v>197</v>
      </c>
      <c r="E68" s="795">
        <v>10399</v>
      </c>
      <c r="F68" s="796">
        <v>0</v>
      </c>
      <c r="G68" s="796">
        <v>7500</v>
      </c>
      <c r="H68" s="796">
        <v>8619422</v>
      </c>
      <c r="I68" s="796"/>
      <c r="J68" s="796"/>
      <c r="K68" s="796"/>
      <c r="L68" s="796">
        <v>0</v>
      </c>
      <c r="M68" s="796"/>
      <c r="N68" s="796">
        <v>0</v>
      </c>
      <c r="O68" s="796">
        <v>0</v>
      </c>
      <c r="P68" s="796">
        <v>0</v>
      </c>
      <c r="Q68" s="796"/>
      <c r="R68" s="796"/>
      <c r="S68" s="796"/>
      <c r="T68" s="796"/>
      <c r="U68" s="797">
        <v>8637321</v>
      </c>
      <c r="V68" s="708"/>
      <c r="W68" s="710"/>
      <c r="X68" s="710"/>
      <c r="Y68" s="379"/>
      <c r="Z68" s="708"/>
      <c r="AA68" s="706"/>
      <c r="AB68" s="707"/>
      <c r="AC68" s="707"/>
      <c r="AD68" s="707"/>
      <c r="AE68" s="707"/>
      <c r="AF68" s="707"/>
      <c r="AG68" s="707"/>
      <c r="AH68" s="707"/>
      <c r="AI68" s="707"/>
      <c r="AJ68" s="707"/>
      <c r="AK68" s="707"/>
      <c r="AL68" s="707"/>
      <c r="AM68" s="707"/>
      <c r="AN68" s="707"/>
      <c r="AO68" s="707"/>
    </row>
    <row r="69" spans="1:41" x14ac:dyDescent="0.2">
      <c r="A69" s="1608"/>
      <c r="B69" s="712"/>
      <c r="C69" s="786"/>
      <c r="D69" s="798" t="s">
        <v>199</v>
      </c>
      <c r="E69" s="789">
        <v>10399</v>
      </c>
      <c r="F69" s="792">
        <v>0</v>
      </c>
      <c r="G69" s="792">
        <v>7500</v>
      </c>
      <c r="H69" s="792">
        <v>8619922</v>
      </c>
      <c r="I69" s="792"/>
      <c r="J69" s="792"/>
      <c r="K69" s="792"/>
      <c r="L69" s="792">
        <v>0</v>
      </c>
      <c r="M69" s="792"/>
      <c r="N69" s="808">
        <v>0</v>
      </c>
      <c r="O69" s="792">
        <v>0</v>
      </c>
      <c r="P69" s="792">
        <v>0</v>
      </c>
      <c r="Q69" s="792"/>
      <c r="R69" s="792"/>
      <c r="S69" s="792"/>
      <c r="T69" s="792"/>
      <c r="U69" s="793">
        <v>8637821</v>
      </c>
      <c r="V69" s="740"/>
      <c r="W69" s="379"/>
      <c r="X69" s="379"/>
      <c r="Y69" s="445"/>
      <c r="Z69" s="714">
        <f t="shared" ref="Z69" si="497">IF(E68&gt;0,((E69-E68)/E68),)</f>
        <v>0</v>
      </c>
      <c r="AA69" s="715">
        <f t="shared" ref="AA69" si="498">IF(F68&gt;0,((F69-F68)/F68),)</f>
        <v>0</v>
      </c>
      <c r="AB69" s="716">
        <f t="shared" ref="AB69" si="499">IF(G68&gt;0,((G69-G68)/G68),)</f>
        <v>0</v>
      </c>
      <c r="AC69" s="716">
        <f t="shared" ref="AC69" si="500">IF(H68&gt;0,((H69-H68)/H68),)</f>
        <v>5.8008530038325077E-5</v>
      </c>
      <c r="AD69" s="716">
        <f t="shared" ref="AD69" si="501">IF(I68&gt;0,((I69-I68)/I68),)</f>
        <v>0</v>
      </c>
      <c r="AE69" s="716">
        <f t="shared" ref="AE69" si="502">IF(J68&gt;0,((J69-J68)/J68),)</f>
        <v>0</v>
      </c>
      <c r="AF69" s="716">
        <f t="shared" ref="AF69" si="503">IF(K68&gt;0,((K69-K68)/K68),)</f>
        <v>0</v>
      </c>
      <c r="AG69" s="716">
        <f t="shared" ref="AG69" si="504">IF(L68&gt;0,((L69-L68)/L68),)</f>
        <v>0</v>
      </c>
      <c r="AH69" s="716">
        <f t="shared" ref="AH69" si="505">IF(M68&gt;0,((M69-M68)/M68),)</f>
        <v>0</v>
      </c>
      <c r="AI69" s="716">
        <f t="shared" ref="AI69" si="506">IF(N68&gt;0,((N69-N68)/N68),)</f>
        <v>0</v>
      </c>
      <c r="AJ69" s="716">
        <f t="shared" ref="AJ69" si="507">IF(O68&gt;0,((O69-O68)/O68),)</f>
        <v>0</v>
      </c>
      <c r="AK69" s="716">
        <f t="shared" ref="AK69" si="508">IF(P68&gt;0,((P69-P68)/P68),)</f>
        <v>0</v>
      </c>
      <c r="AL69" s="716">
        <f t="shared" ref="AL69" si="509">IF(Q68&gt;0,((Q69-Q68)/Q68),)</f>
        <v>0</v>
      </c>
      <c r="AM69" s="716">
        <f t="shared" ref="AM69" si="510">IF(R68&gt;0,((R69-R68)/R68),)</f>
        <v>0</v>
      </c>
      <c r="AN69" s="716">
        <f t="shared" ref="AN69" si="511">IF(S68&gt;0,((S69-S68)/S68),)</f>
        <v>0</v>
      </c>
      <c r="AO69" s="716">
        <f t="shared" ref="AO69" si="512">IF(T68&gt;0,((T69-T68)/T68),)</f>
        <v>0</v>
      </c>
    </row>
    <row r="70" spans="1:41" x14ac:dyDescent="0.2">
      <c r="A70" s="1608"/>
      <c r="B70" s="457" t="s">
        <v>249</v>
      </c>
      <c r="C70" s="783" t="s">
        <v>251</v>
      </c>
      <c r="D70" s="794" t="s">
        <v>197</v>
      </c>
      <c r="E70" s="795">
        <v>1204489</v>
      </c>
      <c r="F70" s="796">
        <v>200000</v>
      </c>
      <c r="G70" s="796">
        <v>1331924</v>
      </c>
      <c r="H70" s="796">
        <v>332304842</v>
      </c>
      <c r="I70" s="796"/>
      <c r="J70" s="796"/>
      <c r="K70" s="796"/>
      <c r="L70" s="796">
        <v>0</v>
      </c>
      <c r="M70" s="796">
        <v>358376</v>
      </c>
      <c r="N70" s="796">
        <v>22425388</v>
      </c>
      <c r="O70" s="796">
        <v>0</v>
      </c>
      <c r="P70" s="796">
        <v>1700000</v>
      </c>
      <c r="Q70" s="796"/>
      <c r="R70" s="796">
        <v>17664000</v>
      </c>
      <c r="S70" s="796"/>
      <c r="T70" s="796"/>
      <c r="U70" s="797">
        <v>377189019</v>
      </c>
      <c r="V70" s="708"/>
      <c r="W70" s="710"/>
      <c r="X70" s="710"/>
      <c r="Y70" s="406"/>
      <c r="Z70" s="708"/>
      <c r="AA70" s="706"/>
      <c r="AB70" s="707"/>
      <c r="AC70" s="707"/>
      <c r="AD70" s="707"/>
      <c r="AE70" s="707"/>
      <c r="AF70" s="707"/>
      <c r="AG70" s="707"/>
      <c r="AH70" s="707"/>
      <c r="AI70" s="707"/>
      <c r="AJ70" s="707"/>
      <c r="AK70" s="707"/>
      <c r="AL70" s="707"/>
      <c r="AM70" s="707"/>
      <c r="AN70" s="707"/>
      <c r="AO70" s="707"/>
    </row>
    <row r="71" spans="1:41" x14ac:dyDescent="0.2">
      <c r="A71" s="1608"/>
      <c r="B71" s="460"/>
      <c r="C71" s="786"/>
      <c r="D71" s="798" t="s">
        <v>199</v>
      </c>
      <c r="E71" s="789">
        <v>1204489</v>
      </c>
      <c r="F71" s="792">
        <v>175000</v>
      </c>
      <c r="G71" s="792">
        <v>1419500</v>
      </c>
      <c r="H71" s="792">
        <v>312309733</v>
      </c>
      <c r="I71" s="792"/>
      <c r="J71" s="792"/>
      <c r="K71" s="792"/>
      <c r="L71" s="792">
        <v>0</v>
      </c>
      <c r="M71" s="792">
        <v>523530</v>
      </c>
      <c r="N71" s="808">
        <v>22162388</v>
      </c>
      <c r="O71" s="792">
        <v>0</v>
      </c>
      <c r="P71" s="792">
        <v>4545000</v>
      </c>
      <c r="Q71" s="792"/>
      <c r="R71" s="792">
        <v>20864000</v>
      </c>
      <c r="S71" s="792"/>
      <c r="T71" s="792"/>
      <c r="U71" s="793">
        <v>363203640</v>
      </c>
      <c r="V71" s="740"/>
      <c r="W71" s="379"/>
      <c r="X71" s="379"/>
      <c r="Y71" s="379"/>
      <c r="Z71" s="714">
        <f t="shared" ref="Z71" si="513">IF(E70&gt;0,((E71-E70)/E70),)</f>
        <v>0</v>
      </c>
      <c r="AA71" s="715">
        <f t="shared" ref="AA71" si="514">IF(F70&gt;0,((F71-F70)/F70),)</f>
        <v>-0.125</v>
      </c>
      <c r="AB71" s="716">
        <f t="shared" ref="AB71" si="515">IF(G70&gt;0,((G71-G70)/G70),)</f>
        <v>6.5751499334796876E-2</v>
      </c>
      <c r="AC71" s="716">
        <f t="shared" ref="AC71" si="516">IF(H70&gt;0,((H71-H70)/H70),)</f>
        <v>-6.0170983003612087E-2</v>
      </c>
      <c r="AD71" s="716">
        <f t="shared" ref="AD71" si="517">IF(I70&gt;0,((I71-I70)/I70),)</f>
        <v>0</v>
      </c>
      <c r="AE71" s="716">
        <f t="shared" ref="AE71" si="518">IF(J70&gt;0,((J71-J70)/J70),)</f>
        <v>0</v>
      </c>
      <c r="AF71" s="716">
        <f t="shared" ref="AF71" si="519">IF(K70&gt;0,((K71-K70)/K70),)</f>
        <v>0</v>
      </c>
      <c r="AG71" s="716">
        <f t="shared" ref="AG71" si="520">IF(L70&gt;0,((L71-L70)/L70),)</f>
        <v>0</v>
      </c>
      <c r="AH71" s="716">
        <f t="shared" ref="AH71" si="521">IF(M70&gt;0,((M71-M70)/M70),)</f>
        <v>0.46084001160792015</v>
      </c>
      <c r="AI71" s="716">
        <f t="shared" ref="AI71" si="522">IF(N70&gt;0,((N71-N70)/N70),)</f>
        <v>-1.1727779247342342E-2</v>
      </c>
      <c r="AJ71" s="716">
        <f t="shared" ref="AJ71" si="523">IF(O70&gt;0,((O71-O70)/O70),)</f>
        <v>0</v>
      </c>
      <c r="AK71" s="717">
        <f t="shared" ref="AK71" si="524">IF(P70&gt;0,((P71-P70)/P70),)</f>
        <v>1.6735294117647059</v>
      </c>
      <c r="AL71" s="716">
        <f t="shared" ref="AL71" si="525">IF(Q70&gt;0,((Q71-Q70)/Q70),)</f>
        <v>0</v>
      </c>
      <c r="AM71" s="716">
        <f t="shared" ref="AM71" si="526">IF(R70&gt;0,((R71-R70)/R70),)</f>
        <v>0.18115942028985507</v>
      </c>
      <c r="AN71" s="716">
        <f t="shared" ref="AN71" si="527">IF(S70&gt;0,((S71-S70)/S70),)</f>
        <v>0</v>
      </c>
      <c r="AO71" s="716">
        <f t="shared" ref="AO71" si="528">IF(T70&gt;0,((T71-T70)/T70),)</f>
        <v>0</v>
      </c>
    </row>
    <row r="72" spans="1:41" x14ac:dyDescent="0.2">
      <c r="A72" s="1608"/>
      <c r="B72" s="457" t="s">
        <v>250</v>
      </c>
      <c r="C72" s="783" t="s">
        <v>209</v>
      </c>
      <c r="D72" s="794" t="s">
        <v>197</v>
      </c>
      <c r="E72" s="795">
        <v>0</v>
      </c>
      <c r="F72" s="796">
        <v>0</v>
      </c>
      <c r="G72" s="796">
        <v>0</v>
      </c>
      <c r="H72" s="796">
        <v>0</v>
      </c>
      <c r="I72" s="796">
        <v>0</v>
      </c>
      <c r="J72" s="796">
        <v>0</v>
      </c>
      <c r="K72" s="796">
        <v>0</v>
      </c>
      <c r="L72" s="796">
        <v>0</v>
      </c>
      <c r="M72" s="796">
        <v>572679</v>
      </c>
      <c r="N72" s="796">
        <v>0</v>
      </c>
      <c r="O72" s="796">
        <v>0</v>
      </c>
      <c r="P72" s="796">
        <v>0</v>
      </c>
      <c r="Q72" s="796">
        <v>0</v>
      </c>
      <c r="R72" s="796"/>
      <c r="S72" s="796">
        <v>0</v>
      </c>
      <c r="T72" s="796">
        <v>0</v>
      </c>
      <c r="U72" s="797">
        <v>572679</v>
      </c>
      <c r="V72" s="708"/>
      <c r="W72" s="710"/>
      <c r="X72" s="710"/>
      <c r="Y72" s="445"/>
      <c r="Z72" s="708"/>
      <c r="AA72" s="706"/>
      <c r="AB72" s="707"/>
      <c r="AC72" s="707"/>
      <c r="AD72" s="707"/>
      <c r="AE72" s="707"/>
      <c r="AF72" s="707"/>
      <c r="AG72" s="707"/>
      <c r="AH72" s="707"/>
      <c r="AI72" s="707"/>
      <c r="AJ72" s="707"/>
      <c r="AK72" s="707"/>
      <c r="AL72" s="707"/>
      <c r="AM72" s="707"/>
      <c r="AN72" s="707"/>
      <c r="AO72" s="707"/>
    </row>
    <row r="73" spans="1:41" x14ac:dyDescent="0.2">
      <c r="A73" s="1608"/>
      <c r="B73" s="458"/>
      <c r="C73" s="786"/>
      <c r="D73" s="798" t="s">
        <v>199</v>
      </c>
      <c r="E73" s="789">
        <v>0</v>
      </c>
      <c r="F73" s="792">
        <v>1076142</v>
      </c>
      <c r="G73" s="792">
        <v>0</v>
      </c>
      <c r="H73" s="792">
        <v>0</v>
      </c>
      <c r="I73" s="792">
        <v>0</v>
      </c>
      <c r="J73" s="792">
        <v>0</v>
      </c>
      <c r="K73" s="792">
        <v>0</v>
      </c>
      <c r="L73" s="792">
        <v>0</v>
      </c>
      <c r="M73" s="792">
        <v>590749</v>
      </c>
      <c r="N73" s="808">
        <v>0</v>
      </c>
      <c r="O73" s="792">
        <v>0</v>
      </c>
      <c r="P73" s="792">
        <v>0</v>
      </c>
      <c r="Q73" s="792">
        <v>0</v>
      </c>
      <c r="R73" s="792"/>
      <c r="S73" s="792">
        <v>0</v>
      </c>
      <c r="T73" s="792">
        <v>0</v>
      </c>
      <c r="U73" s="793">
        <v>1666891</v>
      </c>
      <c r="V73" s="740"/>
      <c r="W73" s="379"/>
      <c r="X73" s="379"/>
      <c r="Y73" s="406"/>
      <c r="Z73" s="714">
        <f t="shared" ref="Z73" si="529">IF(E72&gt;0,((E73-E72)/E72),)</f>
        <v>0</v>
      </c>
      <c r="AA73" s="715">
        <f t="shared" ref="AA73" si="530">IF(F72&gt;0,((F73-F72)/F72),)</f>
        <v>0</v>
      </c>
      <c r="AB73" s="716">
        <f t="shared" ref="AB73" si="531">IF(G72&gt;0,((G73-G72)/G72),)</f>
        <v>0</v>
      </c>
      <c r="AC73" s="716">
        <f t="shared" ref="AC73" si="532">IF(H72&gt;0,((H73-H72)/H72),)</f>
        <v>0</v>
      </c>
      <c r="AD73" s="716">
        <f t="shared" ref="AD73" si="533">IF(I72&gt;0,((I73-I72)/I72),)</f>
        <v>0</v>
      </c>
      <c r="AE73" s="716">
        <f t="shared" ref="AE73" si="534">IF(J72&gt;0,((J73-J72)/J72),)</f>
        <v>0</v>
      </c>
      <c r="AF73" s="716">
        <f t="shared" ref="AF73" si="535">IF(K72&gt;0,((K73-K72)/K72),)</f>
        <v>0</v>
      </c>
      <c r="AG73" s="716">
        <f t="shared" ref="AG73" si="536">IF(L72&gt;0,((L73-L72)/L72),)</f>
        <v>0</v>
      </c>
      <c r="AH73" s="716">
        <f t="shared" ref="AH73" si="537">IF(M72&gt;0,((M73-M72)/M72),)</f>
        <v>3.1553453156131096E-2</v>
      </c>
      <c r="AI73" s="716">
        <f t="shared" ref="AI73" si="538">IF(N72&gt;0,((N73-N72)/N72),)</f>
        <v>0</v>
      </c>
      <c r="AJ73" s="716">
        <f t="shared" ref="AJ73" si="539">IF(O72&gt;0,((O73-O72)/O72),)</f>
        <v>0</v>
      </c>
      <c r="AK73" s="716">
        <f t="shared" ref="AK73" si="540">IF(P72&gt;0,((P73-P72)/P72),)</f>
        <v>0</v>
      </c>
      <c r="AL73" s="716">
        <f t="shared" ref="AL73" si="541">IF(Q72&gt;0,((Q73-Q72)/Q72),)</f>
        <v>0</v>
      </c>
      <c r="AM73" s="716">
        <f t="shared" ref="AM73" si="542">IF(R72&gt;0,((R73-R72)/R72),)</f>
        <v>0</v>
      </c>
      <c r="AN73" s="716">
        <f t="shared" ref="AN73" si="543">IF(S72&gt;0,((S73-S72)/S72),)</f>
        <v>0</v>
      </c>
      <c r="AO73" s="716">
        <f t="shared" ref="AO73" si="544">IF(T72&gt;0,((T73-T72)/T72),)</f>
        <v>0</v>
      </c>
    </row>
    <row r="74" spans="1:41" x14ac:dyDescent="0.2">
      <c r="A74" s="1608"/>
      <c r="B74" s="457" t="s">
        <v>311</v>
      </c>
      <c r="C74" s="783" t="s">
        <v>210</v>
      </c>
      <c r="D74" s="794" t="s">
        <v>197</v>
      </c>
      <c r="E74" s="795">
        <v>2267538</v>
      </c>
      <c r="F74" s="796">
        <v>9320724</v>
      </c>
      <c r="G74" s="796">
        <v>246042</v>
      </c>
      <c r="H74" s="796">
        <v>0</v>
      </c>
      <c r="I74" s="796">
        <v>0</v>
      </c>
      <c r="J74" s="796">
        <v>41253823</v>
      </c>
      <c r="K74" s="796">
        <v>23823140</v>
      </c>
      <c r="L74" s="796">
        <v>77032959</v>
      </c>
      <c r="M74" s="796">
        <v>6656268</v>
      </c>
      <c r="N74" s="796">
        <v>0</v>
      </c>
      <c r="O74" s="796">
        <v>0</v>
      </c>
      <c r="P74" s="796">
        <v>22965949</v>
      </c>
      <c r="Q74" s="796">
        <v>120677649</v>
      </c>
      <c r="R74" s="796"/>
      <c r="S74" s="796">
        <v>3372105</v>
      </c>
      <c r="T74" s="796">
        <v>37268837</v>
      </c>
      <c r="U74" s="797">
        <v>344885034</v>
      </c>
      <c r="V74" s="708"/>
      <c r="W74" s="710"/>
      <c r="X74" s="710"/>
      <c r="Y74" s="379"/>
      <c r="Z74" s="708"/>
      <c r="AA74" s="706"/>
      <c r="AB74" s="707"/>
      <c r="AC74" s="707"/>
      <c r="AD74" s="707"/>
      <c r="AE74" s="707"/>
      <c r="AF74" s="707"/>
      <c r="AG74" s="707"/>
      <c r="AH74" s="707"/>
      <c r="AI74" s="707"/>
      <c r="AJ74" s="707"/>
      <c r="AK74" s="707"/>
      <c r="AL74" s="707"/>
      <c r="AM74" s="707"/>
      <c r="AN74" s="707"/>
      <c r="AO74" s="707"/>
    </row>
    <row r="75" spans="1:41" x14ac:dyDescent="0.2">
      <c r="A75" s="1608"/>
      <c r="B75" s="712"/>
      <c r="C75" s="790"/>
      <c r="D75" s="798" t="s">
        <v>199</v>
      </c>
      <c r="E75" s="789">
        <v>2354963</v>
      </c>
      <c r="F75" s="792">
        <v>7793247</v>
      </c>
      <c r="G75" s="792">
        <v>216362</v>
      </c>
      <c r="H75" s="792">
        <v>0</v>
      </c>
      <c r="I75" s="792">
        <v>0</v>
      </c>
      <c r="J75" s="792">
        <v>46607653</v>
      </c>
      <c r="K75" s="792">
        <v>23783131</v>
      </c>
      <c r="L75" s="792">
        <v>76152186</v>
      </c>
      <c r="M75" s="792">
        <v>9156583</v>
      </c>
      <c r="N75" s="808">
        <v>0</v>
      </c>
      <c r="O75" s="792">
        <v>0</v>
      </c>
      <c r="P75" s="792">
        <v>20449021.582770318</v>
      </c>
      <c r="Q75" s="792">
        <v>113858091.14</v>
      </c>
      <c r="R75" s="792"/>
      <c r="S75" s="792">
        <v>3372105</v>
      </c>
      <c r="T75" s="792">
        <v>37351621</v>
      </c>
      <c r="U75" s="793">
        <v>341094963.72277033</v>
      </c>
      <c r="V75" s="740"/>
      <c r="W75" s="379"/>
      <c r="X75" s="379"/>
      <c r="Y75" s="445"/>
      <c r="Z75" s="714">
        <f t="shared" ref="Z75" si="545">IF(E74&gt;0,((E75-E74)/E74),)</f>
        <v>3.8555031933312695E-2</v>
      </c>
      <c r="AA75" s="715">
        <f t="shared" ref="AA75" si="546">IF(F74&gt;0,((F75-F74)/F74),)</f>
        <v>-0.16387965140905364</v>
      </c>
      <c r="AB75" s="716">
        <f t="shared" ref="AB75" si="547">IF(G74&gt;0,((G75-G74)/G74),)</f>
        <v>-0.12062981117045057</v>
      </c>
      <c r="AC75" s="716">
        <f t="shared" ref="AC75" si="548">IF(H74&gt;0,((H75-H74)/H74),)</f>
        <v>0</v>
      </c>
      <c r="AD75" s="716">
        <f t="shared" ref="AD75" si="549">IF(I74&gt;0,((I75-I74)/I74),)</f>
        <v>0</v>
      </c>
      <c r="AE75" s="716">
        <f t="shared" ref="AE75" si="550">IF(J74&gt;0,((J75-J74)/J74),)</f>
        <v>0.12977779053349794</v>
      </c>
      <c r="AF75" s="716">
        <f t="shared" ref="AF75" si="551">IF(K74&gt;0,((K75-K74)/K74),)</f>
        <v>-1.6794175746773935E-3</v>
      </c>
      <c r="AG75" s="716">
        <f t="shared" ref="AG75" si="552">IF(L74&gt;0,((L75-L74)/L74),)</f>
        <v>-1.1433716313558719E-2</v>
      </c>
      <c r="AH75" s="716">
        <f t="shared" ref="AH75" si="553">IF(M74&gt;0,((M75-M74)/M74),)</f>
        <v>0.37563316260703444</v>
      </c>
      <c r="AI75" s="716">
        <f t="shared" ref="AI75" si="554">IF(N74&gt;0,((N75-N74)/N74),)</f>
        <v>0</v>
      </c>
      <c r="AJ75" s="716">
        <f t="shared" ref="AJ75" si="555">IF(O74&gt;0,((O75-O74)/O74),)</f>
        <v>0</v>
      </c>
      <c r="AK75" s="716">
        <f t="shared" ref="AK75" si="556">IF(P74&gt;0,((P75-P74)/P74),)</f>
        <v>-0.1095938781902582</v>
      </c>
      <c r="AL75" s="716">
        <f t="shared" ref="AL75" si="557">IF(Q74&gt;0,((Q75-Q74)/Q74),)</f>
        <v>-5.651052963419928E-2</v>
      </c>
      <c r="AM75" s="716">
        <f t="shared" ref="AM75" si="558">IF(R74&gt;0,((R75-R74)/R74),)</f>
        <v>0</v>
      </c>
      <c r="AN75" s="716">
        <f t="shared" ref="AN75" si="559">IF(S74&gt;0,((S75-S74)/S74),)</f>
        <v>0</v>
      </c>
      <c r="AO75" s="716">
        <f t="shared" ref="AO75" si="560">IF(T74&gt;0,((T75-T74)/T74),)</f>
        <v>2.2212659869155563E-3</v>
      </c>
    </row>
    <row r="76" spans="1:41" x14ac:dyDescent="0.2">
      <c r="A76" s="1608"/>
      <c r="B76" s="457" t="s">
        <v>249</v>
      </c>
      <c r="C76" s="783" t="s">
        <v>204</v>
      </c>
      <c r="D76" s="783" t="s">
        <v>197</v>
      </c>
      <c r="E76" s="783">
        <v>46742322</v>
      </c>
      <c r="F76" s="788">
        <v>131461256</v>
      </c>
      <c r="G76" s="788">
        <v>979795</v>
      </c>
      <c r="H76" s="788">
        <v>0</v>
      </c>
      <c r="I76" s="788">
        <v>376761</v>
      </c>
      <c r="J76" s="788">
        <v>83358911</v>
      </c>
      <c r="K76" s="788">
        <v>176903369</v>
      </c>
      <c r="L76" s="788">
        <v>9139068</v>
      </c>
      <c r="M76" s="788">
        <v>12625636</v>
      </c>
      <c r="N76" s="788"/>
      <c r="O76" s="788"/>
      <c r="P76" s="788">
        <v>236168271</v>
      </c>
      <c r="Q76" s="788">
        <v>167356454</v>
      </c>
      <c r="R76" s="788"/>
      <c r="S76" s="788">
        <v>1250000</v>
      </c>
      <c r="T76" s="788">
        <v>43251777</v>
      </c>
      <c r="U76" s="787">
        <v>909613620</v>
      </c>
      <c r="V76" s="708"/>
      <c r="W76" s="710"/>
      <c r="X76" s="710"/>
      <c r="Y76" s="406"/>
      <c r="Z76" s="708"/>
      <c r="AA76" s="706"/>
      <c r="AB76" s="707"/>
      <c r="AC76" s="707"/>
      <c r="AD76" s="707"/>
      <c r="AE76" s="707"/>
      <c r="AF76" s="707"/>
      <c r="AG76" s="707"/>
      <c r="AH76" s="707"/>
      <c r="AI76" s="707"/>
      <c r="AJ76" s="707"/>
      <c r="AK76" s="707"/>
      <c r="AL76" s="707"/>
      <c r="AM76" s="707"/>
      <c r="AN76" s="707"/>
      <c r="AO76" s="707"/>
    </row>
    <row r="77" spans="1:41" x14ac:dyDescent="0.2">
      <c r="A77" s="1608"/>
      <c r="B77" s="455"/>
      <c r="C77" s="786"/>
      <c r="D77" s="789" t="s">
        <v>199</v>
      </c>
      <c r="E77" s="789">
        <v>54217868</v>
      </c>
      <c r="F77" s="792">
        <v>112169037</v>
      </c>
      <c r="G77" s="792">
        <v>877848</v>
      </c>
      <c r="H77" s="792">
        <v>0</v>
      </c>
      <c r="I77" s="792">
        <v>376761</v>
      </c>
      <c r="J77" s="792">
        <v>85956246</v>
      </c>
      <c r="K77" s="792">
        <v>199825710</v>
      </c>
      <c r="L77" s="792">
        <v>8642361</v>
      </c>
      <c r="M77" s="792">
        <v>12814638</v>
      </c>
      <c r="N77" s="808"/>
      <c r="O77" s="792"/>
      <c r="P77" s="792">
        <v>235151754.44716096</v>
      </c>
      <c r="Q77" s="792">
        <v>165956549</v>
      </c>
      <c r="R77" s="792"/>
      <c r="S77" s="792">
        <v>1250000</v>
      </c>
      <c r="T77" s="792">
        <v>42896393</v>
      </c>
      <c r="U77" s="793">
        <v>920135165.44716096</v>
      </c>
      <c r="V77" s="740"/>
      <c r="W77" s="379"/>
      <c r="X77" s="379"/>
      <c r="Y77" s="379"/>
      <c r="Z77" s="714">
        <f t="shared" ref="Z77" si="561">IF(E76&gt;0,((E77-E76)/E76),)</f>
        <v>0.15993099358649748</v>
      </c>
      <c r="AA77" s="715">
        <f t="shared" ref="AA77" si="562">IF(F76&gt;0,((F77-F76)/F76),)</f>
        <v>-0.14675212748613933</v>
      </c>
      <c r="AB77" s="716">
        <f t="shared" ref="AB77" si="563">IF(G76&gt;0,((G77-G76)/G76),)</f>
        <v>-0.10404931643864278</v>
      </c>
      <c r="AC77" s="716">
        <f t="shared" ref="AC77" si="564">IF(H76&gt;0,((H77-H76)/H76),)</f>
        <v>0</v>
      </c>
      <c r="AD77" s="716">
        <f t="shared" ref="AD77" si="565">IF(I76&gt;0,((I77-I76)/I76),)</f>
        <v>0</v>
      </c>
      <c r="AE77" s="716">
        <f t="shared" ref="AE77" si="566">IF(J76&gt;0,((J77-J76)/J76),)</f>
        <v>3.115845647263794E-2</v>
      </c>
      <c r="AF77" s="716">
        <f t="shared" ref="AF77" si="567">IF(K76&gt;0,((K77-K76)/K76),)</f>
        <v>0.12957549157811687</v>
      </c>
      <c r="AG77" s="716">
        <f t="shared" ref="AG77" si="568">IF(L76&gt;0,((L77-L76)/L76),)</f>
        <v>-5.4349852742095806E-2</v>
      </c>
      <c r="AH77" s="716">
        <f t="shared" ref="AH77" si="569">IF(M76&gt;0,((M77-M76)/M76),)</f>
        <v>1.4969701328313283E-2</v>
      </c>
      <c r="AI77" s="716">
        <f t="shared" ref="AI77" si="570">IF(N76&gt;0,((N77-N76)/N76),)</f>
        <v>0</v>
      </c>
      <c r="AJ77" s="716">
        <f t="shared" ref="AJ77" si="571">IF(O76&gt;0,((O77-O76)/O76),)</f>
        <v>0</v>
      </c>
      <c r="AK77" s="716">
        <f t="shared" ref="AK77" si="572">IF(P76&gt;0,((P77-P76)/P76),)</f>
        <v>-4.304204576401547E-3</v>
      </c>
      <c r="AL77" s="716">
        <f t="shared" ref="AL77" si="573">IF(Q76&gt;0,((Q77-Q76)/Q76),)</f>
        <v>-8.3648103586133581E-3</v>
      </c>
      <c r="AM77" s="716">
        <f t="shared" ref="AM77" si="574">IF(R76&gt;0,((R77-R76)/R76),)</f>
        <v>0</v>
      </c>
      <c r="AN77" s="716">
        <f t="shared" ref="AN77" si="575">IF(S76&gt;0,((S77-S76)/S76),)</f>
        <v>0</v>
      </c>
      <c r="AO77" s="716">
        <f t="shared" ref="AO77" si="576">IF(T76&gt;0,((T77-T76)/T76),)</f>
        <v>-8.2166335038673672E-3</v>
      </c>
    </row>
    <row r="78" spans="1:41" x14ac:dyDescent="0.2">
      <c r="A78" s="1608"/>
      <c r="B78" s="457" t="s">
        <v>222</v>
      </c>
      <c r="C78" s="783" t="s">
        <v>205</v>
      </c>
      <c r="D78" s="794" t="s">
        <v>197</v>
      </c>
      <c r="E78" s="795">
        <v>0</v>
      </c>
      <c r="F78" s="796">
        <v>0</v>
      </c>
      <c r="G78" s="796">
        <v>0</v>
      </c>
      <c r="H78" s="796">
        <v>0</v>
      </c>
      <c r="I78" s="796">
        <v>0</v>
      </c>
      <c r="J78" s="796">
        <v>0</v>
      </c>
      <c r="K78" s="796">
        <v>0</v>
      </c>
      <c r="L78" s="796">
        <v>0</v>
      </c>
      <c r="M78" s="796">
        <v>0</v>
      </c>
      <c r="N78" s="796">
        <v>0</v>
      </c>
      <c r="O78" s="796">
        <v>0</v>
      </c>
      <c r="P78" s="796">
        <v>0</v>
      </c>
      <c r="Q78" s="796">
        <v>0</v>
      </c>
      <c r="R78" s="796"/>
      <c r="S78" s="796">
        <v>0</v>
      </c>
      <c r="T78" s="796">
        <v>0</v>
      </c>
      <c r="U78" s="797">
        <v>0</v>
      </c>
      <c r="V78" s="708"/>
      <c r="W78" s="710"/>
      <c r="X78" s="710"/>
      <c r="Y78" s="445"/>
      <c r="Z78" s="708"/>
      <c r="AA78" s="706"/>
      <c r="AB78" s="707"/>
      <c r="AC78" s="707"/>
      <c r="AD78" s="707"/>
      <c r="AE78" s="707"/>
      <c r="AF78" s="707"/>
      <c r="AG78" s="707"/>
      <c r="AH78" s="707"/>
      <c r="AI78" s="707"/>
      <c r="AJ78" s="707"/>
      <c r="AK78" s="707"/>
      <c r="AL78" s="707"/>
      <c r="AM78" s="707"/>
      <c r="AN78" s="707"/>
      <c r="AO78" s="707"/>
    </row>
    <row r="79" spans="1:41" x14ac:dyDescent="0.2">
      <c r="A79" s="1608"/>
      <c r="B79" s="455"/>
      <c r="C79" s="786"/>
      <c r="D79" s="798" t="s">
        <v>199</v>
      </c>
      <c r="E79" s="789">
        <v>0</v>
      </c>
      <c r="F79" s="792">
        <v>0</v>
      </c>
      <c r="G79" s="792">
        <v>0</v>
      </c>
      <c r="H79" s="792">
        <v>0</v>
      </c>
      <c r="I79" s="792">
        <v>0</v>
      </c>
      <c r="J79" s="792">
        <v>0</v>
      </c>
      <c r="K79" s="792">
        <v>0</v>
      </c>
      <c r="L79" s="792">
        <v>0</v>
      </c>
      <c r="M79" s="792">
        <v>0</v>
      </c>
      <c r="N79" s="808">
        <v>0</v>
      </c>
      <c r="O79" s="792">
        <v>0</v>
      </c>
      <c r="P79" s="792">
        <v>0</v>
      </c>
      <c r="Q79" s="792">
        <v>0</v>
      </c>
      <c r="R79" s="792"/>
      <c r="S79" s="792">
        <v>0</v>
      </c>
      <c r="T79" s="792">
        <v>0</v>
      </c>
      <c r="U79" s="793">
        <v>0</v>
      </c>
      <c r="V79" s="740"/>
      <c r="W79" s="379"/>
      <c r="X79" s="379"/>
      <c r="Y79" s="406"/>
      <c r="Z79" s="714">
        <f t="shared" ref="Z79" si="577">IF(E78&gt;0,((E79-E78)/E78),)</f>
        <v>0</v>
      </c>
      <c r="AA79" s="715">
        <f t="shared" ref="AA79" si="578">IF(F78&gt;0,((F79-F78)/F78),)</f>
        <v>0</v>
      </c>
      <c r="AB79" s="716">
        <f t="shared" ref="AB79" si="579">IF(G78&gt;0,((G79-G78)/G78),)</f>
        <v>0</v>
      </c>
      <c r="AC79" s="716">
        <f t="shared" ref="AC79" si="580">IF(H78&gt;0,((H79-H78)/H78),)</f>
        <v>0</v>
      </c>
      <c r="AD79" s="716">
        <f t="shared" ref="AD79" si="581">IF(I78&gt;0,((I79-I78)/I78),)</f>
        <v>0</v>
      </c>
      <c r="AE79" s="716">
        <f t="shared" ref="AE79" si="582">IF(J78&gt;0,((J79-J78)/J78),)</f>
        <v>0</v>
      </c>
      <c r="AF79" s="716">
        <f t="shared" ref="AF79" si="583">IF(K78&gt;0,((K79-K78)/K78),)</f>
        <v>0</v>
      </c>
      <c r="AG79" s="716">
        <f t="shared" ref="AG79" si="584">IF(L78&gt;0,((L79-L78)/L78),)</f>
        <v>0</v>
      </c>
      <c r="AH79" s="716">
        <f t="shared" ref="AH79" si="585">IF(M78&gt;0,((M79-M78)/M78),)</f>
        <v>0</v>
      </c>
      <c r="AI79" s="716">
        <f t="shared" ref="AI79" si="586">IF(N78&gt;0,((N79-N78)/N78),)</f>
        <v>0</v>
      </c>
      <c r="AJ79" s="716">
        <f t="shared" ref="AJ79" si="587">IF(O78&gt;0,((O79-O78)/O78),)</f>
        <v>0</v>
      </c>
      <c r="AK79" s="716">
        <f t="shared" ref="AK79" si="588">IF(P78&gt;0,((P79-P78)/P78),)</f>
        <v>0</v>
      </c>
      <c r="AL79" s="716">
        <f t="shared" ref="AL79" si="589">IF(Q78&gt;0,((Q79-Q78)/Q78),)</f>
        <v>0</v>
      </c>
      <c r="AM79" s="716">
        <f t="shared" ref="AM79" si="590">IF(R78&gt;0,((R79-R78)/R78),)</f>
        <v>0</v>
      </c>
      <c r="AN79" s="716">
        <f t="shared" ref="AN79" si="591">IF(S78&gt;0,((S79-S78)/S78),)</f>
        <v>0</v>
      </c>
      <c r="AO79" s="716">
        <f t="shared" ref="AO79" si="592">IF(T78&gt;0,((T79-T78)/T78),)</f>
        <v>0</v>
      </c>
    </row>
    <row r="80" spans="1:41" x14ac:dyDescent="0.2">
      <c r="A80" s="1608"/>
      <c r="B80" s="457" t="s">
        <v>311</v>
      </c>
      <c r="C80" s="783" t="s">
        <v>218</v>
      </c>
      <c r="D80" s="794" t="s">
        <v>197</v>
      </c>
      <c r="E80" s="795">
        <v>371439</v>
      </c>
      <c r="F80" s="796">
        <v>385000</v>
      </c>
      <c r="G80" s="796">
        <v>387241</v>
      </c>
      <c r="H80" s="796">
        <v>0</v>
      </c>
      <c r="I80" s="796">
        <v>0</v>
      </c>
      <c r="J80" s="796">
        <v>15844234</v>
      </c>
      <c r="K80" s="796">
        <v>2340677</v>
      </c>
      <c r="L80" s="796">
        <v>17095445</v>
      </c>
      <c r="M80" s="796">
        <v>504003</v>
      </c>
      <c r="N80" s="796">
        <v>0</v>
      </c>
      <c r="O80" s="796">
        <v>0</v>
      </c>
      <c r="P80" s="796">
        <v>4665617</v>
      </c>
      <c r="Q80" s="796">
        <v>47269831</v>
      </c>
      <c r="R80" s="796"/>
      <c r="S80" s="796">
        <v>1041645</v>
      </c>
      <c r="T80" s="796">
        <v>5889961</v>
      </c>
      <c r="U80" s="797">
        <v>95795093</v>
      </c>
      <c r="V80" s="708"/>
      <c r="W80" s="710"/>
      <c r="X80" s="710"/>
      <c r="Y80" s="379"/>
      <c r="Z80" s="708"/>
      <c r="AA80" s="706"/>
      <c r="AB80" s="707"/>
      <c r="AC80" s="707"/>
      <c r="AD80" s="707"/>
      <c r="AE80" s="707"/>
      <c r="AF80" s="707"/>
      <c r="AG80" s="707"/>
      <c r="AH80" s="707"/>
      <c r="AI80" s="707"/>
      <c r="AJ80" s="707"/>
      <c r="AK80" s="707"/>
      <c r="AL80" s="707"/>
      <c r="AM80" s="707"/>
      <c r="AN80" s="707"/>
      <c r="AO80" s="707"/>
    </row>
    <row r="81" spans="1:41" x14ac:dyDescent="0.2">
      <c r="A81" s="1608"/>
      <c r="B81" s="712"/>
      <c r="C81" s="790"/>
      <c r="D81" s="798" t="s">
        <v>199</v>
      </c>
      <c r="E81" s="789">
        <v>261662</v>
      </c>
      <c r="F81" s="792">
        <v>489979</v>
      </c>
      <c r="G81" s="792">
        <v>388728</v>
      </c>
      <c r="H81" s="792">
        <v>0</v>
      </c>
      <c r="I81" s="792">
        <v>0</v>
      </c>
      <c r="J81" s="792">
        <v>15684986</v>
      </c>
      <c r="K81" s="792">
        <v>2335638</v>
      </c>
      <c r="L81" s="792">
        <v>16816125</v>
      </c>
      <c r="M81" s="792">
        <v>761222</v>
      </c>
      <c r="N81" s="808">
        <v>0</v>
      </c>
      <c r="O81" s="792">
        <v>0</v>
      </c>
      <c r="P81" s="792">
        <v>4550978.4172296831</v>
      </c>
      <c r="Q81" s="792">
        <v>46943432.5</v>
      </c>
      <c r="R81" s="792"/>
      <c r="S81" s="792">
        <v>1041645</v>
      </c>
      <c r="T81" s="792">
        <v>5759867</v>
      </c>
      <c r="U81" s="793">
        <v>95034262.917229682</v>
      </c>
      <c r="V81" s="740"/>
      <c r="W81" s="379"/>
      <c r="X81" s="379"/>
      <c r="Y81" s="445"/>
      <c r="Z81" s="1530">
        <f t="shared" ref="Z81" si="593">IF(E80&gt;0,((E81-E80)/E80),)</f>
        <v>-0.29554516353963906</v>
      </c>
      <c r="AA81" s="717">
        <f t="shared" ref="AA81" si="594">IF(F80&gt;0,((F81-F80)/F80),)</f>
        <v>0.27267272727272729</v>
      </c>
      <c r="AB81" s="716">
        <f t="shared" ref="AB81" si="595">IF(G80&gt;0,((G81-G80)/G80),)</f>
        <v>3.8399859519007542E-3</v>
      </c>
      <c r="AC81" s="716">
        <f t="shared" ref="AC81" si="596">IF(H80&gt;0,((H81-H80)/H80),)</f>
        <v>0</v>
      </c>
      <c r="AD81" s="716">
        <f t="shared" ref="AD81" si="597">IF(I80&gt;0,((I81-I80)/I80),)</f>
        <v>0</v>
      </c>
      <c r="AE81" s="716">
        <f t="shared" ref="AE81" si="598">IF(J80&gt;0,((J81-J80)/J80),)</f>
        <v>-1.005084878196068E-2</v>
      </c>
      <c r="AF81" s="716">
        <f t="shared" ref="AF81" si="599">IF(K80&gt;0,((K81-K80)/K80),)</f>
        <v>-2.1527959645863139E-3</v>
      </c>
      <c r="AG81" s="716">
        <f t="shared" ref="AG81" si="600">IF(L80&gt;0,((L81-L80)/L80),)</f>
        <v>-1.6338855174580131E-2</v>
      </c>
      <c r="AH81" s="717">
        <f t="shared" ref="AH81" si="601">IF(M80&gt;0,((M81-M80)/M80),)</f>
        <v>0.51035212091991511</v>
      </c>
      <c r="AI81" s="716">
        <f t="shared" ref="AI81" si="602">IF(N80&gt;0,((N81-N80)/N80),)</f>
        <v>0</v>
      </c>
      <c r="AJ81" s="716">
        <f t="shared" ref="AJ81" si="603">IF(O80&gt;0,((O81-O80)/O80),)</f>
        <v>0</v>
      </c>
      <c r="AK81" s="716">
        <f t="shared" ref="AK81" si="604">IF(P80&gt;0,((P81-P80)/P80),)</f>
        <v>-2.4570937299464756E-2</v>
      </c>
      <c r="AL81" s="716">
        <f t="shared" ref="AL81" si="605">IF(Q80&gt;0,((Q81-Q80)/Q80),)</f>
        <v>-6.9050067050165677E-3</v>
      </c>
      <c r="AM81" s="716">
        <f t="shared" ref="AM81" si="606">IF(R80&gt;0,((R81-R80)/R80),)</f>
        <v>0</v>
      </c>
      <c r="AN81" s="716">
        <f t="shared" ref="AN81" si="607">IF(S80&gt;0,((S81-S80)/S80),)</f>
        <v>0</v>
      </c>
      <c r="AO81" s="716">
        <f t="shared" ref="AO81" si="608">IF(T80&gt;0,((T81-T80)/T80),)</f>
        <v>-2.2087412802903109E-2</v>
      </c>
    </row>
    <row r="82" spans="1:41" x14ac:dyDescent="0.2">
      <c r="A82" s="1608"/>
      <c r="B82" s="457" t="s">
        <v>249</v>
      </c>
      <c r="C82" s="783" t="s">
        <v>219</v>
      </c>
      <c r="D82" s="783" t="s">
        <v>197</v>
      </c>
      <c r="E82" s="783">
        <v>83725</v>
      </c>
      <c r="F82" s="788">
        <v>18320000</v>
      </c>
      <c r="G82" s="788">
        <v>591943</v>
      </c>
      <c r="H82" s="788">
        <v>0</v>
      </c>
      <c r="I82" s="788">
        <v>701750</v>
      </c>
      <c r="J82" s="788">
        <v>18512353</v>
      </c>
      <c r="K82" s="788">
        <v>14121895</v>
      </c>
      <c r="L82" s="788">
        <v>2188611</v>
      </c>
      <c r="M82" s="788">
        <v>2920035</v>
      </c>
      <c r="N82" s="788"/>
      <c r="O82" s="788"/>
      <c r="P82" s="788">
        <v>42960264</v>
      </c>
      <c r="Q82" s="788">
        <v>40256143</v>
      </c>
      <c r="R82" s="788"/>
      <c r="S82" s="788">
        <v>0</v>
      </c>
      <c r="T82" s="788">
        <v>4583875</v>
      </c>
      <c r="U82" s="787">
        <v>145240594</v>
      </c>
      <c r="V82" s="708"/>
      <c r="W82" s="710"/>
      <c r="X82" s="710"/>
      <c r="Y82" s="406"/>
      <c r="Z82" s="708"/>
      <c r="AA82" s="706"/>
      <c r="AB82" s="707"/>
      <c r="AC82" s="707"/>
      <c r="AD82" s="707"/>
      <c r="AE82" s="707"/>
      <c r="AF82" s="707"/>
      <c r="AG82" s="707"/>
      <c r="AH82" s="707"/>
      <c r="AI82" s="707"/>
      <c r="AJ82" s="707"/>
      <c r="AK82" s="707"/>
      <c r="AL82" s="707"/>
      <c r="AM82" s="707"/>
      <c r="AN82" s="707"/>
      <c r="AO82" s="707"/>
    </row>
    <row r="83" spans="1:41" x14ac:dyDescent="0.2">
      <c r="A83" s="1608"/>
      <c r="B83" s="455"/>
      <c r="C83" s="786"/>
      <c r="D83" s="789" t="s">
        <v>199</v>
      </c>
      <c r="E83" s="789">
        <v>54242</v>
      </c>
      <c r="F83" s="792">
        <v>15850785</v>
      </c>
      <c r="G83" s="792">
        <v>483473</v>
      </c>
      <c r="H83" s="792">
        <v>0</v>
      </c>
      <c r="I83" s="792">
        <v>785250</v>
      </c>
      <c r="J83" s="792">
        <v>18420585</v>
      </c>
      <c r="K83" s="792">
        <v>14866958</v>
      </c>
      <c r="L83" s="792">
        <v>1913471</v>
      </c>
      <c r="M83" s="792">
        <v>3187345</v>
      </c>
      <c r="N83" s="808"/>
      <c r="O83" s="792"/>
      <c r="P83" s="792">
        <v>42236780.552839026</v>
      </c>
      <c r="Q83" s="792">
        <v>40567472.32</v>
      </c>
      <c r="R83" s="792"/>
      <c r="S83" s="792">
        <v>0</v>
      </c>
      <c r="T83" s="792">
        <v>5041796</v>
      </c>
      <c r="U83" s="793">
        <v>143408157.87283903</v>
      </c>
      <c r="V83" s="740"/>
      <c r="W83" s="379"/>
      <c r="X83" s="379"/>
      <c r="Y83" s="379"/>
      <c r="Z83" s="1530">
        <f t="shared" ref="Z83" si="609">IF(E82&gt;0,((E83-E82)/E82),)</f>
        <v>-0.35214093759331144</v>
      </c>
      <c r="AA83" s="715">
        <f t="shared" ref="AA83" si="610">IF(F82&gt;0,((F83-F82)/F82),)</f>
        <v>-0.13478247816593886</v>
      </c>
      <c r="AB83" s="716">
        <f t="shared" ref="AB83" si="611">IF(G82&gt;0,((G83-G82)/G82),)</f>
        <v>-0.18324399477652409</v>
      </c>
      <c r="AC83" s="716">
        <f t="shared" ref="AC83" si="612">IF(H82&gt;0,((H83-H82)/H82),)</f>
        <v>0</v>
      </c>
      <c r="AD83" s="716">
        <f t="shared" ref="AD83" si="613">IF(I82&gt;0,((I83-I82)/I82),)</f>
        <v>0.11898824367652298</v>
      </c>
      <c r="AE83" s="716">
        <f t="shared" ref="AE83" si="614">IF(J82&gt;0,((J83-J82)/J82),)</f>
        <v>-4.9571224144224126E-3</v>
      </c>
      <c r="AF83" s="716">
        <f t="shared" ref="AF83" si="615">IF(K82&gt;0,((K83-K82)/K82),)</f>
        <v>5.2759420743462543E-2</v>
      </c>
      <c r="AG83" s="716">
        <f t="shared" ref="AG83" si="616">IF(L82&gt;0,((L83-L82)/L82),)</f>
        <v>-0.12571443714757899</v>
      </c>
      <c r="AH83" s="716">
        <f t="shared" ref="AH83" si="617">IF(M82&gt;0,((M83-M82)/M82),)</f>
        <v>9.1543423280885328E-2</v>
      </c>
      <c r="AI83" s="716">
        <f t="shared" ref="AI83" si="618">IF(N82&gt;0,((N83-N82)/N82),)</f>
        <v>0</v>
      </c>
      <c r="AJ83" s="716">
        <f t="shared" ref="AJ83" si="619">IF(O82&gt;0,((O83-O82)/O82),)</f>
        <v>0</v>
      </c>
      <c r="AK83" s="716">
        <f t="shared" ref="AK83" si="620">IF(P82&gt;0,((P83-P82)/P82),)</f>
        <v>-1.6840758873385278E-2</v>
      </c>
      <c r="AL83" s="716">
        <f t="shared" ref="AL83" si="621">IF(Q82&gt;0,((Q83-Q82)/Q82),)</f>
        <v>7.7337096104810711E-3</v>
      </c>
      <c r="AM83" s="716">
        <f t="shared" ref="AM83" si="622">IF(R82&gt;0,((R83-R82)/R82),)</f>
        <v>0</v>
      </c>
      <c r="AN83" s="716">
        <f t="shared" ref="AN83" si="623">IF(S82&gt;0,((S83-S82)/S82),)</f>
        <v>0</v>
      </c>
      <c r="AO83" s="716">
        <f t="shared" ref="AO83" si="624">IF(T82&gt;0,((T83-T82)/T82),)</f>
        <v>9.9898230209157099E-2</v>
      </c>
    </row>
    <row r="84" spans="1:41" x14ac:dyDescent="0.2">
      <c r="A84" s="1608"/>
      <c r="B84" s="459" t="s">
        <v>112</v>
      </c>
      <c r="C84" s="783" t="s">
        <v>293</v>
      </c>
      <c r="D84" s="794" t="s">
        <v>197</v>
      </c>
      <c r="E84" s="795">
        <v>0</v>
      </c>
      <c r="F84" s="796">
        <v>0</v>
      </c>
      <c r="G84" s="796">
        <v>0</v>
      </c>
      <c r="H84" s="796">
        <v>0</v>
      </c>
      <c r="I84" s="796">
        <v>0</v>
      </c>
      <c r="J84" s="796">
        <v>0</v>
      </c>
      <c r="K84" s="796">
        <v>0</v>
      </c>
      <c r="L84" s="796">
        <v>0</v>
      </c>
      <c r="M84" s="796">
        <v>0</v>
      </c>
      <c r="N84" s="796">
        <v>0</v>
      </c>
      <c r="O84" s="796">
        <v>0</v>
      </c>
      <c r="P84" s="796">
        <v>0</v>
      </c>
      <c r="Q84" s="796">
        <v>0</v>
      </c>
      <c r="R84" s="796"/>
      <c r="S84" s="796">
        <v>1650000</v>
      </c>
      <c r="T84" s="796">
        <v>0</v>
      </c>
      <c r="U84" s="797">
        <v>1650000</v>
      </c>
      <c r="V84" s="708"/>
      <c r="W84" s="710"/>
      <c r="X84" s="710"/>
      <c r="Y84" s="445"/>
      <c r="Z84" s="708"/>
      <c r="AA84" s="706"/>
      <c r="AB84" s="707"/>
      <c r="AC84" s="707"/>
      <c r="AD84" s="707"/>
      <c r="AE84" s="707"/>
      <c r="AF84" s="707"/>
      <c r="AG84" s="707"/>
      <c r="AH84" s="707"/>
      <c r="AI84" s="707"/>
      <c r="AJ84" s="707"/>
      <c r="AK84" s="707"/>
      <c r="AL84" s="707"/>
      <c r="AM84" s="707"/>
      <c r="AN84" s="707"/>
      <c r="AO84" s="707"/>
    </row>
    <row r="85" spans="1:41" x14ac:dyDescent="0.2">
      <c r="A85" s="1608"/>
      <c r="B85" s="712"/>
      <c r="C85" s="786"/>
      <c r="D85" s="798" t="s">
        <v>199</v>
      </c>
      <c r="E85" s="789">
        <v>0</v>
      </c>
      <c r="F85" s="792">
        <v>0</v>
      </c>
      <c r="G85" s="792">
        <v>0</v>
      </c>
      <c r="H85" s="792">
        <v>0</v>
      </c>
      <c r="I85" s="792">
        <v>0</v>
      </c>
      <c r="J85" s="792">
        <v>0</v>
      </c>
      <c r="K85" s="792">
        <v>0</v>
      </c>
      <c r="L85" s="792">
        <v>0</v>
      </c>
      <c r="M85" s="792">
        <v>0</v>
      </c>
      <c r="N85" s="808">
        <v>0</v>
      </c>
      <c r="O85" s="792">
        <v>0</v>
      </c>
      <c r="P85" s="792">
        <v>0</v>
      </c>
      <c r="Q85" s="792">
        <v>0</v>
      </c>
      <c r="R85" s="792"/>
      <c r="S85" s="792">
        <v>1650000</v>
      </c>
      <c r="T85" s="792">
        <v>0</v>
      </c>
      <c r="U85" s="793">
        <v>1650000</v>
      </c>
      <c r="V85" s="740"/>
      <c r="W85" s="379"/>
      <c r="X85" s="379"/>
      <c r="Y85" s="406"/>
      <c r="Z85" s="714">
        <f t="shared" ref="Z85" si="625">IF(E84&gt;0,((E85-E84)/E84),)</f>
        <v>0</v>
      </c>
      <c r="AA85" s="715">
        <f t="shared" ref="AA85" si="626">IF(F84&gt;0,((F85-F84)/F84),)</f>
        <v>0</v>
      </c>
      <c r="AB85" s="716">
        <f t="shared" ref="AB85" si="627">IF(G84&gt;0,((G85-G84)/G84),)</f>
        <v>0</v>
      </c>
      <c r="AC85" s="716">
        <f t="shared" ref="AC85" si="628">IF(H84&gt;0,((H85-H84)/H84),)</f>
        <v>0</v>
      </c>
      <c r="AD85" s="716">
        <f t="shared" ref="AD85" si="629">IF(I84&gt;0,((I85-I84)/I84),)</f>
        <v>0</v>
      </c>
      <c r="AE85" s="716">
        <f t="shared" ref="AE85" si="630">IF(J84&gt;0,((J85-J84)/J84),)</f>
        <v>0</v>
      </c>
      <c r="AF85" s="716">
        <f t="shared" ref="AF85" si="631">IF(K84&gt;0,((K85-K84)/K84),)</f>
        <v>0</v>
      </c>
      <c r="AG85" s="716">
        <f t="shared" ref="AG85" si="632">IF(L84&gt;0,((L85-L84)/L84),)</f>
        <v>0</v>
      </c>
      <c r="AH85" s="716">
        <f t="shared" ref="AH85" si="633">IF(M84&gt;0,((M85-M84)/M84),)</f>
        <v>0</v>
      </c>
      <c r="AI85" s="716">
        <f t="shared" ref="AI85" si="634">IF(N84&gt;0,((N85-N84)/N84),)</f>
        <v>0</v>
      </c>
      <c r="AJ85" s="716">
        <f t="shared" ref="AJ85" si="635">IF(O84&gt;0,((O85-O84)/O84),)</f>
        <v>0</v>
      </c>
      <c r="AK85" s="716">
        <f t="shared" ref="AK85" si="636">IF(P84&gt;0,((P85-P84)/P84),)</f>
        <v>0</v>
      </c>
      <c r="AL85" s="716">
        <f t="shared" ref="AL85" si="637">IF(Q84&gt;0,((Q85-Q84)/Q84),)</f>
        <v>0</v>
      </c>
      <c r="AM85" s="716">
        <f t="shared" ref="AM85" si="638">IF(R84&gt;0,((R85-R84)/R84),)</f>
        <v>0</v>
      </c>
      <c r="AN85" s="716">
        <f t="shared" ref="AN85" si="639">IF(S84&gt;0,((S85-S84)/S84),)</f>
        <v>0</v>
      </c>
      <c r="AO85" s="716">
        <f t="shared" ref="AO85" si="640">IF(T84&gt;0,((T85-T84)/T84),)</f>
        <v>0</v>
      </c>
    </row>
    <row r="86" spans="1:41" x14ac:dyDescent="0.2">
      <c r="A86" s="1608"/>
      <c r="B86" s="457" t="s">
        <v>311</v>
      </c>
      <c r="C86" s="783" t="s">
        <v>252</v>
      </c>
      <c r="D86" s="794" t="s">
        <v>197</v>
      </c>
      <c r="E86" s="795">
        <v>0</v>
      </c>
      <c r="F86" s="796">
        <v>0</v>
      </c>
      <c r="G86" s="796">
        <v>0</v>
      </c>
      <c r="H86" s="796">
        <v>104703724</v>
      </c>
      <c r="I86" s="796">
        <v>0</v>
      </c>
      <c r="J86" s="796"/>
      <c r="K86" s="796">
        <v>0</v>
      </c>
      <c r="L86" s="796">
        <v>0</v>
      </c>
      <c r="M86" s="796">
        <v>750000</v>
      </c>
      <c r="N86" s="796">
        <v>144455208</v>
      </c>
      <c r="O86" s="796">
        <v>0</v>
      </c>
      <c r="P86" s="796"/>
      <c r="Q86" s="796">
        <v>0</v>
      </c>
      <c r="R86" s="796"/>
      <c r="S86" s="796">
        <v>154794742</v>
      </c>
      <c r="T86" s="796">
        <v>0</v>
      </c>
      <c r="U86" s="797">
        <v>404703674</v>
      </c>
      <c r="V86" s="708"/>
      <c r="W86" s="710"/>
      <c r="X86" s="710"/>
      <c r="Y86" s="379"/>
      <c r="Z86" s="708"/>
      <c r="AA86" s="706"/>
      <c r="AB86" s="707"/>
      <c r="AC86" s="707"/>
      <c r="AD86" s="707"/>
      <c r="AE86" s="707"/>
      <c r="AF86" s="707"/>
      <c r="AG86" s="707"/>
      <c r="AH86" s="707"/>
      <c r="AI86" s="707"/>
      <c r="AJ86" s="707"/>
      <c r="AK86" s="707"/>
      <c r="AL86" s="707"/>
      <c r="AM86" s="707"/>
      <c r="AN86" s="707"/>
      <c r="AO86" s="707"/>
    </row>
    <row r="87" spans="1:41" x14ac:dyDescent="0.2">
      <c r="A87" s="1608"/>
      <c r="B87" s="455"/>
      <c r="C87" s="786"/>
      <c r="D87" s="798" t="s">
        <v>199</v>
      </c>
      <c r="E87" s="789">
        <v>0</v>
      </c>
      <c r="F87" s="792">
        <v>0</v>
      </c>
      <c r="G87" s="792">
        <v>0</v>
      </c>
      <c r="H87" s="792">
        <v>102964587</v>
      </c>
      <c r="I87" s="792">
        <v>0</v>
      </c>
      <c r="J87" s="792"/>
      <c r="K87" s="792">
        <v>0</v>
      </c>
      <c r="L87" s="792">
        <v>0</v>
      </c>
      <c r="M87" s="792">
        <v>888536</v>
      </c>
      <c r="N87" s="808">
        <v>122372842</v>
      </c>
      <c r="O87" s="792">
        <v>0</v>
      </c>
      <c r="P87" s="792"/>
      <c r="Q87" s="792">
        <v>0</v>
      </c>
      <c r="R87" s="792"/>
      <c r="S87" s="792">
        <v>165133966</v>
      </c>
      <c r="T87" s="792">
        <v>0</v>
      </c>
      <c r="U87" s="793">
        <v>391359931</v>
      </c>
      <c r="V87" s="740"/>
      <c r="W87" s="379"/>
      <c r="X87" s="379"/>
      <c r="Y87" s="445"/>
      <c r="Z87" s="714">
        <f t="shared" ref="Z87" si="641">IF(E86&gt;0,((E87-E86)/E86),)</f>
        <v>0</v>
      </c>
      <c r="AA87" s="715">
        <f t="shared" ref="AA87" si="642">IF(F86&gt;0,((F87-F86)/F86),)</f>
        <v>0</v>
      </c>
      <c r="AB87" s="716">
        <f t="shared" ref="AB87" si="643">IF(G86&gt;0,((G87-G86)/G86),)</f>
        <v>0</v>
      </c>
      <c r="AC87" s="716">
        <f t="shared" ref="AC87" si="644">IF(H86&gt;0,((H87-H86)/H86),)</f>
        <v>-1.66100777848169E-2</v>
      </c>
      <c r="AD87" s="716">
        <f t="shared" ref="AD87" si="645">IF(I86&gt;0,((I87-I86)/I86),)</f>
        <v>0</v>
      </c>
      <c r="AE87" s="716">
        <f t="shared" ref="AE87" si="646">IF(J86&gt;0,((J87-J86)/J86),)</f>
        <v>0</v>
      </c>
      <c r="AF87" s="716">
        <f t="shared" ref="AF87" si="647">IF(K86&gt;0,((K87-K86)/K86),)</f>
        <v>0</v>
      </c>
      <c r="AG87" s="716">
        <f t="shared" ref="AG87" si="648">IF(L86&gt;0,((L87-L86)/L86),)</f>
        <v>0</v>
      </c>
      <c r="AH87" s="716">
        <f t="shared" ref="AH87" si="649">IF(M86&gt;0,((M87-M86)/M86),)</f>
        <v>0.18471466666666667</v>
      </c>
      <c r="AI87" s="716">
        <f t="shared" ref="AI87" si="650">IF(N86&gt;0,((N87-N86)/N86),)</f>
        <v>-0.15286652731828124</v>
      </c>
      <c r="AJ87" s="716">
        <f t="shared" ref="AJ87" si="651">IF(O86&gt;0,((O87-O86)/O86),)</f>
        <v>0</v>
      </c>
      <c r="AK87" s="716">
        <f t="shared" ref="AK87" si="652">IF(P86&gt;0,((P87-P86)/P86),)</f>
        <v>0</v>
      </c>
      <c r="AL87" s="716">
        <f t="shared" ref="AL87" si="653">IF(Q86&gt;0,((Q87-Q86)/Q86),)</f>
        <v>0</v>
      </c>
      <c r="AM87" s="716">
        <f t="shared" ref="AM87" si="654">IF(R86&gt;0,((R87-R86)/R86),)</f>
        <v>0</v>
      </c>
      <c r="AN87" s="716">
        <f t="shared" ref="AN87" si="655">IF(S86&gt;0,((S87-S86)/S86),)</f>
        <v>6.6793121435610517E-2</v>
      </c>
      <c r="AO87" s="716">
        <f t="shared" ref="AO87" si="656">IF(T86&gt;0,((T87-T86)/T86),)</f>
        <v>0</v>
      </c>
    </row>
    <row r="88" spans="1:41" x14ac:dyDescent="0.2">
      <c r="A88" s="1608"/>
      <c r="B88" s="457" t="s">
        <v>249</v>
      </c>
      <c r="C88" s="783" t="s">
        <v>253</v>
      </c>
      <c r="D88" s="794" t="s">
        <v>197</v>
      </c>
      <c r="E88" s="795">
        <v>362500</v>
      </c>
      <c r="F88" s="796">
        <v>276187</v>
      </c>
      <c r="G88" s="796">
        <v>0</v>
      </c>
      <c r="H88" s="796">
        <v>945468</v>
      </c>
      <c r="I88" s="796">
        <v>401800599</v>
      </c>
      <c r="J88" s="796"/>
      <c r="K88" s="796">
        <v>0</v>
      </c>
      <c r="L88" s="796">
        <v>0</v>
      </c>
      <c r="M88" s="796">
        <v>8206842</v>
      </c>
      <c r="N88" s="796">
        <v>5451121</v>
      </c>
      <c r="O88" s="796">
        <v>0</v>
      </c>
      <c r="P88" s="796"/>
      <c r="Q88" s="796">
        <v>0</v>
      </c>
      <c r="R88" s="796"/>
      <c r="S88" s="796">
        <v>12359822</v>
      </c>
      <c r="T88" s="796">
        <v>0</v>
      </c>
      <c r="U88" s="797">
        <v>429402539</v>
      </c>
      <c r="V88" s="708"/>
      <c r="W88" s="710"/>
      <c r="X88" s="710"/>
      <c r="Y88" s="406"/>
      <c r="Z88" s="708"/>
      <c r="AA88" s="706"/>
      <c r="AB88" s="707"/>
      <c r="AC88" s="707"/>
      <c r="AD88" s="707"/>
      <c r="AE88" s="707"/>
      <c r="AF88" s="707"/>
      <c r="AG88" s="707"/>
      <c r="AH88" s="707"/>
      <c r="AI88" s="707"/>
      <c r="AJ88" s="707"/>
      <c r="AK88" s="707"/>
      <c r="AL88" s="707"/>
      <c r="AM88" s="707"/>
      <c r="AN88" s="707"/>
      <c r="AO88" s="707"/>
    </row>
    <row r="89" spans="1:41" x14ac:dyDescent="0.2">
      <c r="A89" s="1608"/>
      <c r="B89" s="455"/>
      <c r="C89" s="786"/>
      <c r="D89" s="798" t="s">
        <v>199</v>
      </c>
      <c r="E89" s="789">
        <v>112500</v>
      </c>
      <c r="F89" s="792">
        <v>252849</v>
      </c>
      <c r="G89" s="792">
        <v>0</v>
      </c>
      <c r="H89" s="792">
        <v>945468</v>
      </c>
      <c r="I89" s="792">
        <v>424345076</v>
      </c>
      <c r="J89" s="792"/>
      <c r="K89" s="792">
        <v>0</v>
      </c>
      <c r="L89" s="792">
        <v>0</v>
      </c>
      <c r="M89" s="792">
        <v>9153100</v>
      </c>
      <c r="N89" s="808">
        <v>4478765</v>
      </c>
      <c r="O89" s="792">
        <v>0</v>
      </c>
      <c r="P89" s="792"/>
      <c r="Q89" s="792">
        <v>0</v>
      </c>
      <c r="R89" s="792"/>
      <c r="S89" s="792">
        <v>12359822</v>
      </c>
      <c r="T89" s="792">
        <v>0</v>
      </c>
      <c r="U89" s="793">
        <v>451647580</v>
      </c>
      <c r="V89" s="740"/>
      <c r="W89" s="379"/>
      <c r="X89" s="379"/>
      <c r="Y89" s="379"/>
      <c r="Z89" s="1530">
        <f t="shared" ref="Z89" si="657">IF(E88&gt;0,((E89-E88)/E88),)</f>
        <v>-0.68965517241379315</v>
      </c>
      <c r="AA89" s="715">
        <f t="shared" ref="AA89" si="658">IF(F88&gt;0,((F89-F88)/F88),)</f>
        <v>-8.4500718715942461E-2</v>
      </c>
      <c r="AB89" s="716">
        <f t="shared" ref="AB89" si="659">IF(G88&gt;0,((G89-G88)/G88),)</f>
        <v>0</v>
      </c>
      <c r="AC89" s="716">
        <f t="shared" ref="AC89" si="660">IF(H88&gt;0,((H89-H88)/H88),)</f>
        <v>0</v>
      </c>
      <c r="AD89" s="716">
        <f t="shared" ref="AD89" si="661">IF(I88&gt;0,((I89-I88)/I88),)</f>
        <v>5.6108619688742672E-2</v>
      </c>
      <c r="AE89" s="716">
        <f t="shared" ref="AE89" si="662">IF(J88&gt;0,((J89-J88)/J88),)</f>
        <v>0</v>
      </c>
      <c r="AF89" s="716">
        <f t="shared" ref="AF89" si="663">IF(K88&gt;0,((K89-K88)/K88),)</f>
        <v>0</v>
      </c>
      <c r="AG89" s="716">
        <f t="shared" ref="AG89" si="664">IF(L88&gt;0,((L89-L88)/L88),)</f>
        <v>0</v>
      </c>
      <c r="AH89" s="716">
        <f t="shared" ref="AH89" si="665">IF(M88&gt;0,((M89-M88)/M88),)</f>
        <v>0.11530111095108203</v>
      </c>
      <c r="AI89" s="716">
        <f t="shared" ref="AI89" si="666">IF(N88&gt;0,((N89-N88)/N88),)</f>
        <v>-0.17837725488023473</v>
      </c>
      <c r="AJ89" s="716">
        <f t="shared" ref="AJ89" si="667">IF(O88&gt;0,((O89-O88)/O88),)</f>
        <v>0</v>
      </c>
      <c r="AK89" s="716">
        <f t="shared" ref="AK89" si="668">IF(P88&gt;0,((P89-P88)/P88),)</f>
        <v>0</v>
      </c>
      <c r="AL89" s="716">
        <f t="shared" ref="AL89" si="669">IF(Q88&gt;0,((Q89-Q88)/Q88),)</f>
        <v>0</v>
      </c>
      <c r="AM89" s="716">
        <f t="shared" ref="AM89" si="670">IF(R88&gt;0,((R89-R88)/R88),)</f>
        <v>0</v>
      </c>
      <c r="AN89" s="716">
        <f t="shared" ref="AN89" si="671">IF(S88&gt;0,((S89-S88)/S88),)</f>
        <v>0</v>
      </c>
      <c r="AO89" s="716">
        <f t="shared" ref="AO89" si="672">IF(T88&gt;0,((T89-T88)/T88),)</f>
        <v>0</v>
      </c>
    </row>
    <row r="90" spans="1:41" x14ac:dyDescent="0.2">
      <c r="A90" s="1608"/>
      <c r="B90" s="459" t="s">
        <v>69</v>
      </c>
      <c r="C90" s="783" t="s">
        <v>294</v>
      </c>
      <c r="D90" s="794" t="s">
        <v>197</v>
      </c>
      <c r="E90" s="795">
        <v>0</v>
      </c>
      <c r="F90" s="796"/>
      <c r="G90" s="796">
        <v>0</v>
      </c>
      <c r="H90" s="796">
        <v>0</v>
      </c>
      <c r="I90" s="796">
        <v>0</v>
      </c>
      <c r="J90" s="796">
        <v>0</v>
      </c>
      <c r="K90" s="796">
        <v>0</v>
      </c>
      <c r="L90" s="796">
        <v>0</v>
      </c>
      <c r="M90" s="796"/>
      <c r="N90" s="796">
        <v>0</v>
      </c>
      <c r="O90" s="796">
        <v>3406848</v>
      </c>
      <c r="P90" s="796">
        <v>0</v>
      </c>
      <c r="Q90" s="796">
        <v>0</v>
      </c>
      <c r="R90" s="796"/>
      <c r="S90" s="796">
        <v>0</v>
      </c>
      <c r="T90" s="796"/>
      <c r="U90" s="797">
        <v>3406848</v>
      </c>
      <c r="V90" s="708"/>
      <c r="W90" s="710"/>
      <c r="X90" s="710"/>
      <c r="Y90" s="445"/>
      <c r="Z90" s="708"/>
      <c r="AA90" s="706"/>
      <c r="AB90" s="707"/>
      <c r="AC90" s="707"/>
      <c r="AD90" s="707"/>
      <c r="AE90" s="707"/>
      <c r="AF90" s="707"/>
      <c r="AG90" s="707"/>
      <c r="AH90" s="707"/>
      <c r="AI90" s="707"/>
      <c r="AJ90" s="707"/>
      <c r="AK90" s="707"/>
      <c r="AL90" s="707"/>
      <c r="AM90" s="707"/>
      <c r="AN90" s="707"/>
      <c r="AO90" s="707"/>
    </row>
    <row r="91" spans="1:41" x14ac:dyDescent="0.2">
      <c r="A91" s="1608"/>
      <c r="B91" s="712"/>
      <c r="C91" s="786"/>
      <c r="D91" s="798" t="s">
        <v>199</v>
      </c>
      <c r="E91" s="789">
        <v>0</v>
      </c>
      <c r="F91" s="792"/>
      <c r="G91" s="792">
        <v>0</v>
      </c>
      <c r="H91" s="792">
        <v>0</v>
      </c>
      <c r="I91" s="792">
        <v>0</v>
      </c>
      <c r="J91" s="792">
        <v>0</v>
      </c>
      <c r="K91" s="792">
        <v>0</v>
      </c>
      <c r="L91" s="792">
        <v>0</v>
      </c>
      <c r="M91" s="792"/>
      <c r="N91" s="808">
        <v>0</v>
      </c>
      <c r="O91" s="792">
        <v>3406848</v>
      </c>
      <c r="P91" s="792">
        <v>0</v>
      </c>
      <c r="Q91" s="792">
        <v>0</v>
      </c>
      <c r="R91" s="792"/>
      <c r="S91" s="792">
        <v>0</v>
      </c>
      <c r="T91" s="792"/>
      <c r="U91" s="793">
        <v>3406848</v>
      </c>
      <c r="V91" s="740"/>
      <c r="W91" s="379"/>
      <c r="X91" s="379"/>
      <c r="Y91" s="406"/>
      <c r="Z91" s="714">
        <f t="shared" ref="Z91" si="673">IF(E90&gt;0,((E91-E90)/E90),)</f>
        <v>0</v>
      </c>
      <c r="AA91" s="715">
        <f t="shared" ref="AA91" si="674">IF(F90&gt;0,((F91-F90)/F90),)</f>
        <v>0</v>
      </c>
      <c r="AB91" s="716">
        <f t="shared" ref="AB91" si="675">IF(G90&gt;0,((G91-G90)/G90),)</f>
        <v>0</v>
      </c>
      <c r="AC91" s="716">
        <f t="shared" ref="AC91" si="676">IF(H90&gt;0,((H91-H90)/H90),)</f>
        <v>0</v>
      </c>
      <c r="AD91" s="716">
        <f t="shared" ref="AD91" si="677">IF(I90&gt;0,((I91-I90)/I90),)</f>
        <v>0</v>
      </c>
      <c r="AE91" s="716">
        <f t="shared" ref="AE91" si="678">IF(J90&gt;0,((J91-J90)/J90),)</f>
        <v>0</v>
      </c>
      <c r="AF91" s="716">
        <f t="shared" ref="AF91" si="679">IF(K90&gt;0,((K91-K90)/K90),)</f>
        <v>0</v>
      </c>
      <c r="AG91" s="716">
        <f t="shared" ref="AG91" si="680">IF(L90&gt;0,((L91-L90)/L90),)</f>
        <v>0</v>
      </c>
      <c r="AH91" s="716">
        <f t="shared" ref="AH91" si="681">IF(M90&gt;0,((M91-M90)/M90),)</f>
        <v>0</v>
      </c>
      <c r="AI91" s="716">
        <f t="shared" ref="AI91" si="682">IF(N90&gt;0,((N91-N90)/N90),)</f>
        <v>0</v>
      </c>
      <c r="AJ91" s="716">
        <f t="shared" ref="AJ91" si="683">IF(O90&gt;0,((O91-O90)/O90),)</f>
        <v>0</v>
      </c>
      <c r="AK91" s="716">
        <f t="shared" ref="AK91" si="684">IF(P90&gt;0,((P91-P90)/P90),)</f>
        <v>0</v>
      </c>
      <c r="AL91" s="716">
        <f t="shared" ref="AL91" si="685">IF(Q90&gt;0,((Q91-Q90)/Q90),)</f>
        <v>0</v>
      </c>
      <c r="AM91" s="716">
        <f t="shared" ref="AM91" si="686">IF(R90&gt;0,((R91-R90)/R90),)</f>
        <v>0</v>
      </c>
      <c r="AN91" s="716">
        <f t="shared" ref="AN91" si="687">IF(S90&gt;0,((S91-S90)/S90),)</f>
        <v>0</v>
      </c>
      <c r="AO91" s="716">
        <f t="shared" ref="AO91" si="688">IF(T90&gt;0,((T91-T90)/T90),)</f>
        <v>0</v>
      </c>
    </row>
    <row r="92" spans="1:41" x14ac:dyDescent="0.2">
      <c r="A92" s="1608"/>
      <c r="B92" s="457" t="s">
        <v>311</v>
      </c>
      <c r="C92" s="783" t="s">
        <v>254</v>
      </c>
      <c r="D92" s="794" t="s">
        <v>197</v>
      </c>
      <c r="E92" s="795">
        <v>0</v>
      </c>
      <c r="F92" s="796"/>
      <c r="G92" s="796">
        <v>0</v>
      </c>
      <c r="H92" s="796">
        <v>22383330</v>
      </c>
      <c r="I92" s="796">
        <v>0</v>
      </c>
      <c r="J92" s="796">
        <v>29735109</v>
      </c>
      <c r="K92" s="796">
        <v>0</v>
      </c>
      <c r="L92" s="796">
        <v>0</v>
      </c>
      <c r="M92" s="796"/>
      <c r="N92" s="796">
        <v>86351547</v>
      </c>
      <c r="O92" s="796">
        <v>0</v>
      </c>
      <c r="P92" s="796">
        <v>29363042</v>
      </c>
      <c r="Q92" s="796">
        <v>0</v>
      </c>
      <c r="R92" s="796"/>
      <c r="S92" s="796">
        <v>0</v>
      </c>
      <c r="T92" s="796"/>
      <c r="U92" s="797">
        <v>167833028</v>
      </c>
      <c r="V92" s="708"/>
      <c r="W92" s="710"/>
      <c r="X92" s="710"/>
      <c r="Y92" s="379"/>
      <c r="Z92" s="708"/>
      <c r="AA92" s="706"/>
      <c r="AB92" s="707"/>
      <c r="AC92" s="707"/>
      <c r="AD92" s="707"/>
      <c r="AE92" s="707"/>
      <c r="AF92" s="707"/>
      <c r="AG92" s="707"/>
      <c r="AH92" s="707"/>
      <c r="AI92" s="707"/>
      <c r="AJ92" s="707"/>
      <c r="AK92" s="707"/>
      <c r="AL92" s="707"/>
      <c r="AM92" s="707"/>
      <c r="AN92" s="707"/>
      <c r="AO92" s="707"/>
    </row>
    <row r="93" spans="1:41" x14ac:dyDescent="0.2">
      <c r="A93" s="1608"/>
      <c r="B93" s="455"/>
      <c r="C93" s="786"/>
      <c r="D93" s="798" t="s">
        <v>199</v>
      </c>
      <c r="E93" s="789">
        <v>0</v>
      </c>
      <c r="F93" s="792"/>
      <c r="G93" s="792">
        <v>0</v>
      </c>
      <c r="H93" s="792">
        <v>28544751</v>
      </c>
      <c r="I93" s="792">
        <v>0</v>
      </c>
      <c r="J93" s="792">
        <v>29982741</v>
      </c>
      <c r="K93" s="792">
        <v>0</v>
      </c>
      <c r="L93" s="792">
        <v>0</v>
      </c>
      <c r="M93" s="792"/>
      <c r="N93" s="808">
        <v>86351588</v>
      </c>
      <c r="O93" s="792">
        <v>0</v>
      </c>
      <c r="P93" s="792">
        <v>31288622</v>
      </c>
      <c r="Q93" s="792">
        <v>0</v>
      </c>
      <c r="R93" s="792"/>
      <c r="S93" s="792">
        <v>0</v>
      </c>
      <c r="T93" s="792"/>
      <c r="U93" s="793">
        <v>176167702</v>
      </c>
      <c r="V93" s="740"/>
      <c r="W93" s="379"/>
      <c r="X93" s="379"/>
      <c r="Y93" s="445"/>
      <c r="Z93" s="714">
        <f t="shared" ref="Z93" si="689">IF(E92&gt;0,((E93-E92)/E92),)</f>
        <v>0</v>
      </c>
      <c r="AA93" s="715">
        <f t="shared" ref="AA93" si="690">IF(F92&gt;0,((F93-F92)/F92),)</f>
        <v>0</v>
      </c>
      <c r="AB93" s="716">
        <f t="shared" ref="AB93" si="691">IF(G92&gt;0,((G93-G92)/G92),)</f>
        <v>0</v>
      </c>
      <c r="AC93" s="717">
        <f t="shared" ref="AC93" si="692">IF(H92&gt;0,((H93-H92)/H92),)</f>
        <v>0.27526829117919449</v>
      </c>
      <c r="AD93" s="716">
        <f t="shared" ref="AD93" si="693">IF(I92&gt;0,((I93-I92)/I92),)</f>
        <v>0</v>
      </c>
      <c r="AE93" s="716">
        <f t="shared" ref="AE93" si="694">IF(J92&gt;0,((J93-J92)/J92),)</f>
        <v>8.3279331513464432E-3</v>
      </c>
      <c r="AF93" s="716">
        <f t="shared" ref="AF93" si="695">IF(K92&gt;0,((K93-K92)/K92),)</f>
        <v>0</v>
      </c>
      <c r="AG93" s="716">
        <f t="shared" ref="AG93" si="696">IF(L92&gt;0,((L93-L92)/L92),)</f>
        <v>0</v>
      </c>
      <c r="AH93" s="716">
        <f t="shared" ref="AH93" si="697">IF(M92&gt;0,((M93-M92)/M92),)</f>
        <v>0</v>
      </c>
      <c r="AI93" s="716">
        <f t="shared" ref="AI93" si="698">IF(N92&gt;0,((N93-N92)/N92),)</f>
        <v>4.7480330607163296E-7</v>
      </c>
      <c r="AJ93" s="716">
        <f t="shared" ref="AJ93" si="699">IF(O92&gt;0,((O93-O92)/O92),)</f>
        <v>0</v>
      </c>
      <c r="AK93" s="716">
        <f t="shared" ref="AK93" si="700">IF(P92&gt;0,((P93-P92)/P92),)</f>
        <v>6.5578355267141605E-2</v>
      </c>
      <c r="AL93" s="716">
        <f t="shared" ref="AL93" si="701">IF(Q92&gt;0,((Q93-Q92)/Q92),)</f>
        <v>0</v>
      </c>
      <c r="AM93" s="716">
        <f t="shared" ref="AM93" si="702">IF(R92&gt;0,((R93-R92)/R92),)</f>
        <v>0</v>
      </c>
      <c r="AN93" s="716">
        <f t="shared" ref="AN93" si="703">IF(S92&gt;0,((S93-S92)/S92),)</f>
        <v>0</v>
      </c>
      <c r="AO93" s="716">
        <f t="shared" ref="AO93" si="704">IF(T92&gt;0,((T93-T92)/T92),)</f>
        <v>0</v>
      </c>
    </row>
    <row r="94" spans="1:41" x14ac:dyDescent="0.2">
      <c r="A94" s="1608"/>
      <c r="B94" s="457" t="s">
        <v>249</v>
      </c>
      <c r="C94" s="783" t="s">
        <v>255</v>
      </c>
      <c r="D94" s="794" t="s">
        <v>197</v>
      </c>
      <c r="E94" s="795">
        <v>1566962</v>
      </c>
      <c r="F94" s="796"/>
      <c r="G94" s="796">
        <v>0</v>
      </c>
      <c r="H94" s="796">
        <v>81268637</v>
      </c>
      <c r="I94" s="796">
        <v>1094862</v>
      </c>
      <c r="J94" s="796">
        <v>660940</v>
      </c>
      <c r="K94" s="796">
        <v>0</v>
      </c>
      <c r="L94" s="796">
        <v>0</v>
      </c>
      <c r="M94" s="796"/>
      <c r="N94" s="796">
        <v>0</v>
      </c>
      <c r="O94" s="796">
        <v>0</v>
      </c>
      <c r="P94" s="796">
        <v>0</v>
      </c>
      <c r="Q94" s="796">
        <v>0</v>
      </c>
      <c r="R94" s="796"/>
      <c r="S94" s="796">
        <v>64952609</v>
      </c>
      <c r="T94" s="796"/>
      <c r="U94" s="797">
        <v>149544010</v>
      </c>
      <c r="V94" s="708"/>
      <c r="W94" s="710"/>
      <c r="X94" s="710"/>
      <c r="Y94" s="406"/>
      <c r="Z94" s="708"/>
      <c r="AA94" s="706"/>
      <c r="AB94" s="707"/>
      <c r="AC94" s="707"/>
      <c r="AD94" s="707"/>
      <c r="AE94" s="707"/>
      <c r="AF94" s="707"/>
      <c r="AG94" s="707"/>
      <c r="AH94" s="707"/>
      <c r="AI94" s="707"/>
      <c r="AJ94" s="707"/>
      <c r="AK94" s="707"/>
      <c r="AL94" s="707"/>
      <c r="AM94" s="707"/>
      <c r="AN94" s="707"/>
      <c r="AO94" s="707"/>
    </row>
    <row r="95" spans="1:41" x14ac:dyDescent="0.2">
      <c r="A95" s="1609"/>
      <c r="B95" s="460"/>
      <c r="C95" s="790"/>
      <c r="D95" s="798" t="s">
        <v>199</v>
      </c>
      <c r="E95" s="789">
        <v>1911842</v>
      </c>
      <c r="F95" s="792"/>
      <c r="G95" s="792">
        <v>0</v>
      </c>
      <c r="H95" s="792">
        <v>92904528</v>
      </c>
      <c r="I95" s="792">
        <v>1094862</v>
      </c>
      <c r="J95" s="792">
        <v>704295</v>
      </c>
      <c r="K95" s="792">
        <v>0</v>
      </c>
      <c r="L95" s="792">
        <v>0</v>
      </c>
      <c r="M95" s="792"/>
      <c r="N95" s="808">
        <v>0</v>
      </c>
      <c r="O95" s="792">
        <v>0</v>
      </c>
      <c r="P95" s="792">
        <v>0</v>
      </c>
      <c r="Q95" s="792">
        <v>0</v>
      </c>
      <c r="R95" s="792"/>
      <c r="S95" s="792">
        <v>64952609</v>
      </c>
      <c r="T95" s="792"/>
      <c r="U95" s="793">
        <v>161568136</v>
      </c>
      <c r="V95" s="742"/>
      <c r="W95" s="379"/>
      <c r="X95" s="379"/>
      <c r="Y95" s="379"/>
      <c r="Z95" s="1530">
        <f t="shared" ref="Z95" si="705">IF(E94&gt;0,((E95-E94)/E94),)</f>
        <v>0.22009468002414864</v>
      </c>
      <c r="AA95" s="715">
        <f t="shared" ref="AA95" si="706">IF(F94&gt;0,((F95-F94)/F94),)</f>
        <v>0</v>
      </c>
      <c r="AB95" s="716">
        <f t="shared" ref="AB95" si="707">IF(G94&gt;0,((G95-G94)/G94),)</f>
        <v>0</v>
      </c>
      <c r="AC95" s="716">
        <f t="shared" ref="AC95" si="708">IF(H94&gt;0,((H95-H94)/H94),)</f>
        <v>0.14317812417599671</v>
      </c>
      <c r="AD95" s="716">
        <f t="shared" ref="AD95" si="709">IF(I94&gt;0,((I95-I94)/I94),)</f>
        <v>0</v>
      </c>
      <c r="AE95" s="716">
        <f t="shared" ref="AE95" si="710">IF(J94&gt;0,((J95-J94)/J94),)</f>
        <v>6.5595969376947977E-2</v>
      </c>
      <c r="AF95" s="716">
        <f t="shared" ref="AF95" si="711">IF(K94&gt;0,((K95-K94)/K94),)</f>
        <v>0</v>
      </c>
      <c r="AG95" s="716">
        <f t="shared" ref="AG95" si="712">IF(L94&gt;0,((L95-L94)/L94),)</f>
        <v>0</v>
      </c>
      <c r="AH95" s="716">
        <f t="shared" ref="AH95" si="713">IF(M94&gt;0,((M95-M94)/M94),)</f>
        <v>0</v>
      </c>
      <c r="AI95" s="716">
        <f t="shared" ref="AI95" si="714">IF(N94&gt;0,((N95-N94)/N94),)</f>
        <v>0</v>
      </c>
      <c r="AJ95" s="716">
        <f t="shared" ref="AJ95" si="715">IF(O94&gt;0,((O95-O94)/O94),)</f>
        <v>0</v>
      </c>
      <c r="AK95" s="716">
        <f t="shared" ref="AK95" si="716">IF(P94&gt;0,((P95-P94)/P94),)</f>
        <v>0</v>
      </c>
      <c r="AL95" s="716">
        <f t="shared" ref="AL95" si="717">IF(Q94&gt;0,((Q95-Q94)/Q94),)</f>
        <v>0</v>
      </c>
      <c r="AM95" s="716">
        <f t="shared" ref="AM95" si="718">IF(R94&gt;0,((R95-R94)/R94),)</f>
        <v>0</v>
      </c>
      <c r="AN95" s="716">
        <f t="shared" ref="AN95" si="719">IF(S94&gt;0,((S95-S94)/S94),)</f>
        <v>0</v>
      </c>
      <c r="AO95" s="716">
        <f t="shared" ref="AO95" si="720">IF(T94&gt;0,((T95-T94)/T94),)</f>
        <v>0</v>
      </c>
    </row>
    <row r="96" spans="1:41" x14ac:dyDescent="0.2">
      <c r="A96" s="1522"/>
      <c r="B96" s="378"/>
      <c r="C96" s="815" t="s">
        <v>198</v>
      </c>
      <c r="D96" s="816"/>
      <c r="E96" s="791">
        <v>3256951342</v>
      </c>
      <c r="F96" s="788">
        <v>1772596387.1400001</v>
      </c>
      <c r="G96" s="788">
        <v>809300118</v>
      </c>
      <c r="H96" s="788">
        <v>5996570048.0699997</v>
      </c>
      <c r="I96" s="788">
        <v>4607860058.2132015</v>
      </c>
      <c r="J96" s="788">
        <v>2674023893.4384093</v>
      </c>
      <c r="K96" s="788">
        <v>2142646725</v>
      </c>
      <c r="L96" s="788">
        <v>3917085398</v>
      </c>
      <c r="M96" s="788">
        <v>1782361722.26</v>
      </c>
      <c r="N96" s="788">
        <v>5547355277.8299999</v>
      </c>
      <c r="O96" s="788">
        <v>2007003116</v>
      </c>
      <c r="P96" s="788">
        <v>2834535012</v>
      </c>
      <c r="Q96" s="788">
        <v>2842131730.9444547</v>
      </c>
      <c r="R96" s="788">
        <v>11931019538</v>
      </c>
      <c r="S96" s="788">
        <v>4497609025</v>
      </c>
      <c r="T96" s="788">
        <v>1181921465</v>
      </c>
      <c r="U96" s="787">
        <v>57800970856.896072</v>
      </c>
      <c r="Y96" s="445"/>
    </row>
    <row r="97" spans="1:25" x14ac:dyDescent="0.2">
      <c r="A97" s="1522"/>
      <c r="B97" s="378"/>
      <c r="C97" s="815" t="s">
        <v>200</v>
      </c>
      <c r="D97" s="816"/>
      <c r="E97" s="811">
        <v>3262071317</v>
      </c>
      <c r="F97" s="812">
        <v>1808758426</v>
      </c>
      <c r="G97" s="812">
        <v>852159235</v>
      </c>
      <c r="H97" s="812">
        <v>6606489144</v>
      </c>
      <c r="I97" s="812">
        <v>4827371450.6695805</v>
      </c>
      <c r="J97" s="812">
        <v>2713592373.9000001</v>
      </c>
      <c r="K97" s="812">
        <v>2190821535</v>
      </c>
      <c r="L97" s="812">
        <v>4093250323</v>
      </c>
      <c r="M97" s="812">
        <v>1867614310.72</v>
      </c>
      <c r="N97" s="812">
        <v>5592585432</v>
      </c>
      <c r="O97" s="812">
        <v>2016619685</v>
      </c>
      <c r="P97" s="812">
        <v>2735283469.9999995</v>
      </c>
      <c r="Q97" s="812">
        <v>2951842566.5344548</v>
      </c>
      <c r="R97" s="812">
        <v>12713923963</v>
      </c>
      <c r="S97" s="812">
        <v>4586136147</v>
      </c>
      <c r="T97" s="812">
        <v>1185135124</v>
      </c>
      <c r="U97" s="819">
        <v>60003654502.824043</v>
      </c>
      <c r="Y97" s="445"/>
    </row>
    <row r="98" spans="1:25" x14ac:dyDescent="0.2">
      <c r="A98" s="1522"/>
      <c r="B98" s="378"/>
      <c r="Y98" s="445"/>
    </row>
    <row r="99" spans="1:25" x14ac:dyDescent="0.2">
      <c r="A99" s="1522"/>
      <c r="B99" s="378"/>
      <c r="Y99" s="445"/>
    </row>
    <row r="100" spans="1:25" x14ac:dyDescent="0.2">
      <c r="A100" s="1522"/>
      <c r="B100" s="378"/>
      <c r="Y100" s="445"/>
    </row>
    <row r="101" spans="1:25" x14ac:dyDescent="0.2">
      <c r="A101" s="1522"/>
      <c r="B101" s="378"/>
      <c r="Y101" s="445"/>
    </row>
    <row r="102" spans="1:25" x14ac:dyDescent="0.2">
      <c r="A102" s="1522"/>
      <c r="B102" s="378"/>
      <c r="Y102" s="445"/>
    </row>
    <row r="103" spans="1:25" x14ac:dyDescent="0.2">
      <c r="A103" s="1522"/>
      <c r="B103" s="378"/>
      <c r="Y103" s="445"/>
    </row>
    <row r="104" spans="1:25" x14ac:dyDescent="0.2">
      <c r="A104" s="1522"/>
      <c r="B104" s="378"/>
      <c r="Y104" s="379"/>
    </row>
    <row r="105" spans="1:25" x14ac:dyDescent="0.2">
      <c r="A105" s="1522"/>
      <c r="B105" s="378"/>
      <c r="Y105" s="445"/>
    </row>
    <row r="106" spans="1:25" x14ac:dyDescent="0.2">
      <c r="A106" s="1522"/>
      <c r="B106" s="378"/>
      <c r="Y106" s="406"/>
    </row>
    <row r="107" spans="1:25" x14ac:dyDescent="0.2">
      <c r="A107" s="1522"/>
      <c r="B107" s="378"/>
      <c r="Y107" s="379"/>
    </row>
    <row r="108" spans="1:25" x14ac:dyDescent="0.2">
      <c r="A108" s="1522"/>
      <c r="B108" s="378"/>
      <c r="Y108" s="445"/>
    </row>
    <row r="109" spans="1:25" x14ac:dyDescent="0.2">
      <c r="A109" s="1522"/>
      <c r="B109" s="378"/>
      <c r="Y109" s="406"/>
    </row>
    <row r="110" spans="1:25" x14ac:dyDescent="0.2">
      <c r="A110" s="1522"/>
      <c r="B110" s="378"/>
      <c r="Y110" s="379"/>
    </row>
    <row r="111" spans="1:25" x14ac:dyDescent="0.2">
      <c r="A111" s="1522"/>
      <c r="B111" s="378"/>
      <c r="Y111" s="445"/>
    </row>
    <row r="112" spans="1:25" x14ac:dyDescent="0.2">
      <c r="A112" s="1522"/>
      <c r="B112" s="378"/>
      <c r="Y112" s="406"/>
    </row>
    <row r="113" spans="1:25" x14ac:dyDescent="0.2">
      <c r="A113" s="1522"/>
      <c r="B113" s="378"/>
      <c r="Y113" s="379"/>
    </row>
    <row r="114" spans="1:25" x14ac:dyDescent="0.2">
      <c r="A114" s="1522"/>
      <c r="B114" s="378"/>
      <c r="Y114" s="445"/>
    </row>
    <row r="115" spans="1:25" x14ac:dyDescent="0.2">
      <c r="A115" s="1522"/>
      <c r="B115" s="378"/>
      <c r="Y115" s="406"/>
    </row>
    <row r="116" spans="1:25" x14ac:dyDescent="0.2">
      <c r="A116" s="1522"/>
      <c r="B116" s="378"/>
      <c r="Y116" s="379"/>
    </row>
    <row r="117" spans="1:25" x14ac:dyDescent="0.2">
      <c r="A117" s="1522"/>
      <c r="B117" s="378"/>
      <c r="Y117" s="445"/>
    </row>
    <row r="118" spans="1:25" x14ac:dyDescent="0.2">
      <c r="A118" s="1522"/>
      <c r="B118" s="378"/>
      <c r="Y118" s="406"/>
    </row>
    <row r="119" spans="1:25" x14ac:dyDescent="0.2">
      <c r="A119" s="1522"/>
      <c r="B119" s="378"/>
      <c r="Y119" s="379"/>
    </row>
    <row r="120" spans="1:25" x14ac:dyDescent="0.2">
      <c r="A120" s="1522"/>
      <c r="B120" s="378"/>
      <c r="Y120" s="445"/>
    </row>
    <row r="121" spans="1:25" x14ac:dyDescent="0.2">
      <c r="A121" s="1522"/>
      <c r="B121" s="378"/>
      <c r="Y121" s="406"/>
    </row>
    <row r="122" spans="1:25" x14ac:dyDescent="0.2">
      <c r="A122" s="1522"/>
      <c r="B122" s="378"/>
      <c r="Y122" s="379"/>
    </row>
    <row r="123" spans="1:25" x14ac:dyDescent="0.2">
      <c r="A123" s="1522"/>
      <c r="B123" s="378"/>
      <c r="Y123" s="445"/>
    </row>
    <row r="124" spans="1:25" x14ac:dyDescent="0.2">
      <c r="A124" s="1522"/>
      <c r="B124" s="378"/>
      <c r="Y124" s="406"/>
    </row>
    <row r="125" spans="1:25" x14ac:dyDescent="0.2">
      <c r="A125" s="1522"/>
      <c r="B125" s="378"/>
      <c r="Y125" s="379"/>
    </row>
    <row r="126" spans="1:25" x14ac:dyDescent="0.2">
      <c r="A126" s="1522"/>
      <c r="B126" s="378"/>
      <c r="Y126" s="445"/>
    </row>
    <row r="127" spans="1:25" x14ac:dyDescent="0.2">
      <c r="A127" s="1522"/>
      <c r="B127" s="378"/>
      <c r="Y127" s="406"/>
    </row>
    <row r="128" spans="1:25" x14ac:dyDescent="0.2">
      <c r="A128" s="1522"/>
      <c r="B128" s="378"/>
      <c r="Y128" s="379"/>
    </row>
    <row r="129" spans="1:25" x14ac:dyDescent="0.2">
      <c r="A129" s="1522"/>
      <c r="B129" s="378"/>
      <c r="Y129" s="445"/>
    </row>
    <row r="130" spans="1:25" x14ac:dyDescent="0.2">
      <c r="A130" s="1522"/>
      <c r="B130" s="378"/>
      <c r="Y130" s="406"/>
    </row>
    <row r="131" spans="1:25" x14ac:dyDescent="0.2">
      <c r="A131" s="1522"/>
      <c r="B131" s="378"/>
      <c r="Y131" s="379"/>
    </row>
    <row r="132" spans="1:25" x14ac:dyDescent="0.2">
      <c r="A132" s="1522"/>
      <c r="B132" s="378"/>
      <c r="Y132" s="445"/>
    </row>
    <row r="133" spans="1:25" x14ac:dyDescent="0.2">
      <c r="A133" s="1522"/>
      <c r="B133" s="378"/>
      <c r="Y133" s="406"/>
    </row>
    <row r="134" spans="1:25" x14ac:dyDescent="0.2">
      <c r="A134" s="1522"/>
      <c r="B134" s="378"/>
      <c r="Y134" s="379"/>
    </row>
    <row r="135" spans="1:25" x14ac:dyDescent="0.2">
      <c r="A135" s="1522"/>
      <c r="B135" s="378"/>
      <c r="Y135" s="445"/>
    </row>
    <row r="136" spans="1:25" x14ac:dyDescent="0.2">
      <c r="A136" s="1522"/>
      <c r="B136" s="378"/>
      <c r="Y136" s="406"/>
    </row>
    <row r="137" spans="1:25" x14ac:dyDescent="0.2">
      <c r="A137" s="1522"/>
      <c r="B137" s="378"/>
      <c r="Y137" s="379"/>
    </row>
    <row r="138" spans="1:25" x14ac:dyDescent="0.2">
      <c r="A138" s="1522"/>
      <c r="B138" s="378"/>
      <c r="Y138" s="445"/>
    </row>
    <row r="139" spans="1:25" x14ac:dyDescent="0.2">
      <c r="A139" s="1522"/>
      <c r="B139" s="378"/>
      <c r="Y139" s="406"/>
    </row>
    <row r="140" spans="1:25" x14ac:dyDescent="0.2">
      <c r="A140" s="1522"/>
      <c r="B140" s="378"/>
      <c r="Y140" s="379"/>
    </row>
    <row r="141" spans="1:25" x14ac:dyDescent="0.2">
      <c r="A141" s="1523"/>
      <c r="B141" s="442"/>
      <c r="Y141" s="445"/>
    </row>
    <row r="142" spans="1:25" x14ac:dyDescent="0.2">
      <c r="B142" s="398"/>
      <c r="Y142" s="406"/>
    </row>
    <row r="143" spans="1:25" x14ac:dyDescent="0.2">
      <c r="A143" s="434"/>
      <c r="B143" s="399"/>
      <c r="Y143" s="379"/>
    </row>
    <row r="144" spans="1:25" x14ac:dyDescent="0.2">
      <c r="A144" s="443"/>
      <c r="B144" s="400"/>
      <c r="Y144" s="445"/>
    </row>
    <row r="145" spans="1:25" x14ac:dyDescent="0.2">
      <c r="B145" s="398"/>
      <c r="C145" s="448"/>
      <c r="D145" s="437"/>
      <c r="E145" s="446"/>
      <c r="F145" s="446"/>
      <c r="G145" s="446"/>
      <c r="H145" s="446"/>
      <c r="I145" s="446"/>
      <c r="J145" s="446"/>
      <c r="K145" s="446"/>
      <c r="L145" s="446"/>
      <c r="M145" s="446"/>
      <c r="N145" s="446"/>
      <c r="O145" s="446"/>
      <c r="P145" s="446"/>
      <c r="Q145" s="446"/>
      <c r="R145" s="446"/>
      <c r="S145" s="446"/>
      <c r="T145" s="446"/>
      <c r="U145" s="446"/>
      <c r="V145" s="446"/>
      <c r="W145" s="406"/>
      <c r="X145" s="406"/>
      <c r="Y145" s="406"/>
    </row>
    <row r="146" spans="1:25" x14ac:dyDescent="0.2">
      <c r="B146" s="398"/>
      <c r="C146" s="449"/>
      <c r="D146" s="405"/>
      <c r="E146" s="379"/>
      <c r="F146" s="379"/>
      <c r="G146" s="379"/>
      <c r="H146" s="379"/>
      <c r="I146" s="379"/>
      <c r="J146" s="379"/>
      <c r="K146" s="379"/>
      <c r="L146" s="379"/>
      <c r="M146" s="379"/>
      <c r="N146" s="379"/>
      <c r="O146" s="379"/>
      <c r="P146" s="379"/>
      <c r="Q146" s="379"/>
      <c r="R146" s="379"/>
      <c r="S146" s="379"/>
      <c r="T146" s="379"/>
      <c r="U146" s="379"/>
      <c r="V146" s="379"/>
      <c r="W146" s="379"/>
      <c r="X146" s="379"/>
      <c r="Y146" s="379"/>
    </row>
    <row r="147" spans="1:25" x14ac:dyDescent="0.2">
      <c r="A147" s="443"/>
      <c r="B147" s="451"/>
      <c r="C147" s="450"/>
      <c r="D147" s="444"/>
      <c r="E147" s="447"/>
      <c r="F147" s="447"/>
      <c r="G147" s="447"/>
      <c r="H147" s="447"/>
      <c r="I147" s="447"/>
      <c r="J147" s="447"/>
      <c r="K147" s="447"/>
      <c r="L147" s="447"/>
      <c r="M147" s="447"/>
      <c r="N147" s="447"/>
      <c r="O147" s="447"/>
      <c r="P147" s="447"/>
      <c r="Q147" s="447"/>
      <c r="R147" s="447"/>
      <c r="S147" s="447"/>
      <c r="T147" s="447"/>
      <c r="U147" s="447"/>
      <c r="V147" s="447"/>
      <c r="W147" s="445"/>
      <c r="X147" s="445"/>
      <c r="Y147" s="445"/>
    </row>
    <row r="148" spans="1:25" x14ac:dyDescent="0.2">
      <c r="B148" s="398"/>
    </row>
    <row r="149" spans="1:25" x14ac:dyDescent="0.2">
      <c r="B149" s="398"/>
    </row>
    <row r="150" spans="1:25" x14ac:dyDescent="0.2">
      <c r="B150" s="398"/>
    </row>
    <row r="161" s="378" customFormat="1" x14ac:dyDescent="0.2"/>
    <row r="162" s="378" customFormat="1" x14ac:dyDescent="0.2"/>
    <row r="163" s="378" customFormat="1" x14ac:dyDescent="0.2"/>
    <row r="164" s="378" customFormat="1" x14ac:dyDescent="0.2"/>
    <row r="165" s="378" customFormat="1" x14ac:dyDescent="0.2"/>
    <row r="166" s="378" customFormat="1" x14ac:dyDescent="0.2"/>
    <row r="167" s="378" customFormat="1" x14ac:dyDescent="0.2"/>
    <row r="168" s="378" customFormat="1" x14ac:dyDescent="0.2"/>
    <row r="169" s="378" customFormat="1" x14ac:dyDescent="0.2"/>
    <row r="170" s="378" customFormat="1" x14ac:dyDescent="0.2"/>
    <row r="171" s="378" customFormat="1" x14ac:dyDescent="0.2"/>
    <row r="172" s="378" customFormat="1" x14ac:dyDescent="0.2"/>
    <row r="173" s="378" customFormat="1" x14ac:dyDescent="0.2"/>
    <row r="174" s="378" customFormat="1" x14ac:dyDescent="0.2"/>
    <row r="175" s="378" customFormat="1" x14ac:dyDescent="0.2"/>
    <row r="176" s="378" customFormat="1" x14ac:dyDescent="0.2"/>
    <row r="177" s="378" customFormat="1" x14ac:dyDescent="0.2"/>
    <row r="178" s="378" customFormat="1" x14ac:dyDescent="0.2"/>
    <row r="179" s="378" customFormat="1" x14ac:dyDescent="0.2"/>
    <row r="180" s="378" customFormat="1" x14ac:dyDescent="0.2"/>
    <row r="181" s="378" customFormat="1" x14ac:dyDescent="0.2"/>
    <row r="182" s="378" customFormat="1" x14ac:dyDescent="0.2"/>
    <row r="183" s="378" customFormat="1" x14ac:dyDescent="0.2"/>
    <row r="184" s="378" customFormat="1" x14ac:dyDescent="0.2"/>
    <row r="185" s="378" customFormat="1" x14ac:dyDescent="0.2"/>
    <row r="186" s="378" customFormat="1" x14ac:dyDescent="0.2"/>
    <row r="187" s="378" customFormat="1" x14ac:dyDescent="0.2"/>
    <row r="188" s="378" customFormat="1" x14ac:dyDescent="0.2"/>
    <row r="189" s="378" customFormat="1" x14ac:dyDescent="0.2"/>
    <row r="190" s="378" customFormat="1" x14ac:dyDescent="0.2"/>
    <row r="191" s="378" customFormat="1" x14ac:dyDescent="0.2"/>
    <row r="192" s="378" customFormat="1" x14ac:dyDescent="0.2"/>
    <row r="193" s="378" customFormat="1" x14ac:dyDescent="0.2"/>
    <row r="194" s="378" customFormat="1" x14ac:dyDescent="0.2"/>
    <row r="195" s="378" customFormat="1" x14ac:dyDescent="0.2"/>
    <row r="196" s="378" customFormat="1" x14ac:dyDescent="0.2"/>
    <row r="197" s="378" customFormat="1" x14ac:dyDescent="0.2"/>
    <row r="198" s="378" customFormat="1" x14ac:dyDescent="0.2"/>
    <row r="199" s="378" customFormat="1" x14ac:dyDescent="0.2"/>
    <row r="200" s="378" customFormat="1" x14ac:dyDescent="0.2"/>
    <row r="201" s="378" customFormat="1" x14ac:dyDescent="0.2"/>
    <row r="202" s="378" customFormat="1" x14ac:dyDescent="0.2"/>
    <row r="203" s="378" customFormat="1" x14ac:dyDescent="0.2"/>
    <row r="204" s="378" customFormat="1" x14ac:dyDescent="0.2"/>
    <row r="205" s="378" customFormat="1" x14ac:dyDescent="0.2"/>
    <row r="206" s="378" customFormat="1" x14ac:dyDescent="0.2"/>
    <row r="207" s="378" customFormat="1" x14ac:dyDescent="0.2"/>
    <row r="208" s="378" customFormat="1" x14ac:dyDescent="0.2"/>
    <row r="209" s="378" customFormat="1" x14ac:dyDescent="0.2"/>
    <row r="210" s="378" customFormat="1" x14ac:dyDescent="0.2"/>
    <row r="211" s="378" customFormat="1" x14ac:dyDescent="0.2"/>
    <row r="212" s="378" customFormat="1" x14ac:dyDescent="0.2"/>
    <row r="213" s="378" customFormat="1" x14ac:dyDescent="0.2"/>
    <row r="214" s="378" customFormat="1" x14ac:dyDescent="0.2"/>
    <row r="215" s="378" customFormat="1" x14ac:dyDescent="0.2"/>
    <row r="216" s="378" customFormat="1" x14ac:dyDescent="0.2"/>
    <row r="217" s="378" customFormat="1" x14ac:dyDescent="0.2"/>
    <row r="218" s="378" customFormat="1" x14ac:dyDescent="0.2"/>
    <row r="219" s="378" customFormat="1" x14ac:dyDescent="0.2"/>
    <row r="220" s="378" customFormat="1" x14ac:dyDescent="0.2"/>
    <row r="221" s="378" customFormat="1" x14ac:dyDescent="0.2"/>
    <row r="222" s="378" customFormat="1" x14ac:dyDescent="0.2"/>
    <row r="223" s="378" customFormat="1" x14ac:dyDescent="0.2"/>
    <row r="224" s="378" customFormat="1" x14ac:dyDescent="0.2"/>
    <row r="225" s="378" customFormat="1" x14ac:dyDescent="0.2"/>
    <row r="226" s="378" customFormat="1" x14ac:dyDescent="0.2"/>
    <row r="227" s="378" customFormat="1" x14ac:dyDescent="0.2"/>
    <row r="228" s="378" customFormat="1" x14ac:dyDescent="0.2"/>
    <row r="229" s="378" customFormat="1" x14ac:dyDescent="0.2"/>
    <row r="230" s="378" customFormat="1" x14ac:dyDescent="0.2"/>
    <row r="231" s="378" customFormat="1" x14ac:dyDescent="0.2"/>
    <row r="232" s="378" customFormat="1" x14ac:dyDescent="0.2"/>
    <row r="233" s="378" customFormat="1" x14ac:dyDescent="0.2"/>
    <row r="234" s="378" customFormat="1" x14ac:dyDescent="0.2"/>
    <row r="235" s="378" customFormat="1" x14ac:dyDescent="0.2"/>
    <row r="236" s="378" customFormat="1" x14ac:dyDescent="0.2"/>
    <row r="237" s="378" customFormat="1" x14ac:dyDescent="0.2"/>
    <row r="238" s="378" customFormat="1" x14ac:dyDescent="0.2"/>
    <row r="239" s="378" customFormat="1" x14ac:dyDescent="0.2"/>
    <row r="240" s="378" customFormat="1" x14ac:dyDescent="0.2"/>
    <row r="241" s="378" customFormat="1" x14ac:dyDescent="0.2"/>
    <row r="242" s="378" customFormat="1" x14ac:dyDescent="0.2"/>
    <row r="243" s="378" customFormat="1" x14ac:dyDescent="0.2"/>
    <row r="244" s="378" customFormat="1" x14ac:dyDescent="0.2"/>
    <row r="245" s="378" customFormat="1" x14ac:dyDescent="0.2"/>
    <row r="246" s="378" customFormat="1" x14ac:dyDescent="0.2"/>
    <row r="247" s="378" customFormat="1" x14ac:dyDescent="0.2"/>
    <row r="248" s="378" customFormat="1" x14ac:dyDescent="0.2"/>
    <row r="249" s="378" customFormat="1" x14ac:dyDescent="0.2"/>
    <row r="250" s="378" customFormat="1" x14ac:dyDescent="0.2"/>
    <row r="251" s="378" customFormat="1" x14ac:dyDescent="0.2"/>
    <row r="252" s="378" customFormat="1" x14ac:dyDescent="0.2"/>
    <row r="253" s="378" customFormat="1" x14ac:dyDescent="0.2"/>
    <row r="254" s="378" customFormat="1" x14ac:dyDescent="0.2"/>
    <row r="255" s="378" customFormat="1" x14ac:dyDescent="0.2"/>
    <row r="256" s="378" customFormat="1" x14ac:dyDescent="0.2"/>
    <row r="257" s="378" customFormat="1" x14ac:dyDescent="0.2"/>
    <row r="258" s="378" customFormat="1" x14ac:dyDescent="0.2"/>
    <row r="259" s="378" customFormat="1" x14ac:dyDescent="0.2"/>
    <row r="260" s="378" customFormat="1" x14ac:dyDescent="0.2"/>
    <row r="261" s="378" customFormat="1" x14ac:dyDescent="0.2"/>
    <row r="262" s="378" customFormat="1" x14ac:dyDescent="0.2"/>
    <row r="263" s="378" customFormat="1" x14ac:dyDescent="0.2"/>
    <row r="264" s="378" customFormat="1" x14ac:dyDescent="0.2"/>
    <row r="265" s="378" customFormat="1" x14ac:dyDescent="0.2"/>
    <row r="266" s="378" customFormat="1" x14ac:dyDescent="0.2"/>
    <row r="267" s="378" customFormat="1" x14ac:dyDescent="0.2"/>
    <row r="268" s="378" customFormat="1" x14ac:dyDescent="0.2"/>
    <row r="269" s="378" customFormat="1" x14ac:dyDescent="0.2"/>
    <row r="270" s="378" customFormat="1" x14ac:dyDescent="0.2"/>
    <row r="271" s="378" customFormat="1" x14ac:dyDescent="0.2"/>
    <row r="272" s="378" customFormat="1" x14ac:dyDescent="0.2"/>
    <row r="273" s="378" customFormat="1" x14ac:dyDescent="0.2"/>
    <row r="274" s="378" customFormat="1" x14ac:dyDescent="0.2"/>
    <row r="275" s="378" customFormat="1" x14ac:dyDescent="0.2"/>
    <row r="276" s="378" customFormat="1" x14ac:dyDescent="0.2"/>
    <row r="277" s="378" customFormat="1" x14ac:dyDescent="0.2"/>
    <row r="278" s="378" customFormat="1" x14ac:dyDescent="0.2"/>
    <row r="279" s="378" customFormat="1" x14ac:dyDescent="0.2"/>
    <row r="280" s="378" customFormat="1" x14ac:dyDescent="0.2"/>
    <row r="281" s="378" customFormat="1" x14ac:dyDescent="0.2"/>
    <row r="282" s="378" customFormat="1" x14ac:dyDescent="0.2"/>
    <row r="283" s="378" customFormat="1" x14ac:dyDescent="0.2"/>
    <row r="284" s="378" customFormat="1" x14ac:dyDescent="0.2"/>
    <row r="285" s="378" customFormat="1" x14ac:dyDescent="0.2"/>
    <row r="286" s="378" customFormat="1" x14ac:dyDescent="0.2"/>
    <row r="287" s="378" customFormat="1" x14ac:dyDescent="0.2"/>
    <row r="288" s="378" customFormat="1" x14ac:dyDescent="0.2"/>
    <row r="289" s="378" customFormat="1" x14ac:dyDescent="0.2"/>
    <row r="290" s="378" customFormat="1" x14ac:dyDescent="0.2"/>
    <row r="291" s="378" customFormat="1" x14ac:dyDescent="0.2"/>
    <row r="292" s="378" customFormat="1" x14ac:dyDescent="0.2"/>
    <row r="293" s="378" customFormat="1" x14ac:dyDescent="0.2"/>
    <row r="294" s="378" customFormat="1" x14ac:dyDescent="0.2"/>
    <row r="295" s="378" customFormat="1" x14ac:dyDescent="0.2"/>
    <row r="296" s="378" customFormat="1" x14ac:dyDescent="0.2"/>
    <row r="297" s="378" customFormat="1" x14ac:dyDescent="0.2"/>
    <row r="298" s="378" customFormat="1" x14ac:dyDescent="0.2"/>
    <row r="299" s="378" customFormat="1" x14ac:dyDescent="0.2"/>
    <row r="300" s="378" customFormat="1" x14ac:dyDescent="0.2"/>
    <row r="301" s="378" customFormat="1" x14ac:dyDescent="0.2"/>
    <row r="302" s="378" customFormat="1" x14ac:dyDescent="0.2"/>
    <row r="303" s="378" customFormat="1" x14ac:dyDescent="0.2"/>
    <row r="304" s="378" customFormat="1" x14ac:dyDescent="0.2"/>
    <row r="305" s="378" customFormat="1" x14ac:dyDescent="0.2"/>
    <row r="306" s="378" customFormat="1" x14ac:dyDescent="0.2"/>
    <row r="307" s="378" customFormat="1" x14ac:dyDescent="0.2"/>
    <row r="308" s="378" customFormat="1" x14ac:dyDescent="0.2"/>
    <row r="309" s="378" customFormat="1" x14ac:dyDescent="0.2"/>
    <row r="310" s="378" customFormat="1" x14ac:dyDescent="0.2"/>
    <row r="311" s="378" customFormat="1" x14ac:dyDescent="0.2"/>
    <row r="312" s="378" customFormat="1" x14ac:dyDescent="0.2"/>
    <row r="313" s="378" customFormat="1" x14ac:dyDescent="0.2"/>
    <row r="314" s="378" customFormat="1" x14ac:dyDescent="0.2"/>
    <row r="315" s="378" customFormat="1" x14ac:dyDescent="0.2"/>
    <row r="316" s="378" customFormat="1" x14ac:dyDescent="0.2"/>
    <row r="317" s="378" customFormat="1" x14ac:dyDescent="0.2"/>
    <row r="318" s="378" customFormat="1" x14ac:dyDescent="0.2"/>
    <row r="319" s="378" customFormat="1" x14ac:dyDescent="0.2"/>
    <row r="320" s="378" customFormat="1" x14ac:dyDescent="0.2"/>
    <row r="321" s="378" customFormat="1" x14ac:dyDescent="0.2"/>
    <row r="322" s="378" customFormat="1" x14ac:dyDescent="0.2"/>
    <row r="323" s="378" customFormat="1" x14ac:dyDescent="0.2"/>
    <row r="324" s="378" customFormat="1" x14ac:dyDescent="0.2"/>
    <row r="325" s="378" customFormat="1" x14ac:dyDescent="0.2"/>
    <row r="326" s="378" customFormat="1" x14ac:dyDescent="0.2"/>
    <row r="327" s="378" customFormat="1" x14ac:dyDescent="0.2"/>
    <row r="328" s="378" customFormat="1" x14ac:dyDescent="0.2"/>
    <row r="329" s="378" customFormat="1" x14ac:dyDescent="0.2"/>
    <row r="330" s="378" customFormat="1" x14ac:dyDescent="0.2"/>
    <row r="331" s="378" customFormat="1" x14ac:dyDescent="0.2"/>
    <row r="332" s="378" customFormat="1" x14ac:dyDescent="0.2"/>
    <row r="333" s="378" customFormat="1" x14ac:dyDescent="0.2"/>
    <row r="334" s="378" customFormat="1" x14ac:dyDescent="0.2"/>
    <row r="335" s="378" customFormat="1" x14ac:dyDescent="0.2"/>
    <row r="336" s="378" customFormat="1" x14ac:dyDescent="0.2"/>
    <row r="337" s="378" customFormat="1" x14ac:dyDescent="0.2"/>
    <row r="338" s="378" customFormat="1" x14ac:dyDescent="0.2"/>
    <row r="339" s="378" customFormat="1" x14ac:dyDescent="0.2"/>
    <row r="340" s="378" customFormat="1" x14ac:dyDescent="0.2"/>
    <row r="341" s="378" customFormat="1" x14ac:dyDescent="0.2"/>
    <row r="342" s="378" customFormat="1" x14ac:dyDescent="0.2"/>
    <row r="343" s="378" customFormat="1" x14ac:dyDescent="0.2"/>
    <row r="344" s="378" customFormat="1" x14ac:dyDescent="0.2"/>
    <row r="345" s="378" customFormat="1" x14ac:dyDescent="0.2"/>
    <row r="346" s="378" customFormat="1" x14ac:dyDescent="0.2"/>
    <row r="347" s="378" customFormat="1" x14ac:dyDescent="0.2"/>
    <row r="348" s="378" customFormat="1" x14ac:dyDescent="0.2"/>
    <row r="349" s="378" customFormat="1" x14ac:dyDescent="0.2"/>
    <row r="350" s="378" customFormat="1" x14ac:dyDescent="0.2"/>
    <row r="351" s="378" customFormat="1" x14ac:dyDescent="0.2"/>
    <row r="352" s="378" customFormat="1" x14ac:dyDescent="0.2"/>
    <row r="353" s="378" customFormat="1" x14ac:dyDescent="0.2"/>
    <row r="354" s="378" customFormat="1" x14ac:dyDescent="0.2"/>
    <row r="355" s="378" customFormat="1" x14ac:dyDescent="0.2"/>
    <row r="356" s="378" customFormat="1" x14ac:dyDescent="0.2"/>
    <row r="357" s="378" customFormat="1" x14ac:dyDescent="0.2"/>
    <row r="358" s="378" customFormat="1" x14ac:dyDescent="0.2"/>
    <row r="359" s="378" customFormat="1" x14ac:dyDescent="0.2"/>
    <row r="360" s="378" customFormat="1" x14ac:dyDescent="0.2"/>
    <row r="361" s="378" customFormat="1" x14ac:dyDescent="0.2"/>
    <row r="362" s="378" customFormat="1" x14ac:dyDescent="0.2"/>
    <row r="363" s="378" customFormat="1" x14ac:dyDescent="0.2"/>
    <row r="364" s="378" customFormat="1" x14ac:dyDescent="0.2"/>
    <row r="365" s="378" customFormat="1" x14ac:dyDescent="0.2"/>
    <row r="366" s="378" customFormat="1" x14ac:dyDescent="0.2"/>
    <row r="367" s="378" customFormat="1" x14ac:dyDescent="0.2"/>
    <row r="368" s="378" customFormat="1" x14ac:dyDescent="0.2"/>
    <row r="369" s="378" customFormat="1" x14ac:dyDescent="0.2"/>
    <row r="370" s="378" customFormat="1" x14ac:dyDescent="0.2"/>
    <row r="371" s="378" customFormat="1" x14ac:dyDescent="0.2"/>
    <row r="372" s="378" customFormat="1" x14ac:dyDescent="0.2"/>
    <row r="373" s="378" customFormat="1" x14ac:dyDescent="0.2"/>
    <row r="374" s="378" customFormat="1" x14ac:dyDescent="0.2"/>
    <row r="375" s="378" customFormat="1" x14ac:dyDescent="0.2"/>
    <row r="376" s="378" customFormat="1" x14ac:dyDescent="0.2"/>
    <row r="377" s="378" customFormat="1" x14ac:dyDescent="0.2"/>
    <row r="378" s="378" customFormat="1" x14ac:dyDescent="0.2"/>
    <row r="379" s="378" customFormat="1" x14ac:dyDescent="0.2"/>
    <row r="380" s="378" customFormat="1" x14ac:dyDescent="0.2"/>
    <row r="381" s="378" customFormat="1" x14ac:dyDescent="0.2"/>
    <row r="382" s="378" customFormat="1" x14ac:dyDescent="0.2"/>
    <row r="383" s="378" customFormat="1" x14ac:dyDescent="0.2"/>
    <row r="384" s="378" customFormat="1" x14ac:dyDescent="0.2"/>
    <row r="385" s="378" customFormat="1" x14ac:dyDescent="0.2"/>
    <row r="386" s="378" customFormat="1" x14ac:dyDescent="0.2"/>
    <row r="387" s="378" customFormat="1" x14ac:dyDescent="0.2"/>
    <row r="388" s="378" customFormat="1" x14ac:dyDescent="0.2"/>
    <row r="389" s="378" customFormat="1" x14ac:dyDescent="0.2"/>
    <row r="390" s="378" customFormat="1" x14ac:dyDescent="0.2"/>
    <row r="391" s="378" customFormat="1" x14ac:dyDescent="0.2"/>
    <row r="392" s="378" customFormat="1" x14ac:dyDescent="0.2"/>
    <row r="393" s="378" customFormat="1" x14ac:dyDescent="0.2"/>
    <row r="394" s="378" customFormat="1" x14ac:dyDescent="0.2"/>
    <row r="395" s="378" customFormat="1" x14ac:dyDescent="0.2"/>
    <row r="396" s="378" customFormat="1" x14ac:dyDescent="0.2"/>
    <row r="397" s="378" customFormat="1" x14ac:dyDescent="0.2"/>
    <row r="398" s="378" customFormat="1" x14ac:dyDescent="0.2"/>
    <row r="399" s="378" customFormat="1" x14ac:dyDescent="0.2"/>
    <row r="400" s="378" customFormat="1" x14ac:dyDescent="0.2"/>
    <row r="401" s="378" customFormat="1" x14ac:dyDescent="0.2"/>
    <row r="402" s="378" customFormat="1" x14ac:dyDescent="0.2"/>
    <row r="403" s="378" customFormat="1" x14ac:dyDescent="0.2"/>
    <row r="404" s="378" customFormat="1" x14ac:dyDescent="0.2"/>
    <row r="405" s="378" customFormat="1" x14ac:dyDescent="0.2"/>
    <row r="406" s="378" customFormat="1" x14ac:dyDescent="0.2"/>
    <row r="407" s="378" customFormat="1" x14ac:dyDescent="0.2"/>
    <row r="408" s="378" customFormat="1" x14ac:dyDescent="0.2"/>
    <row r="409" s="378" customFormat="1" x14ac:dyDescent="0.2"/>
    <row r="410" s="378" customFormat="1" x14ac:dyDescent="0.2"/>
    <row r="411" s="378" customFormat="1" x14ac:dyDescent="0.2"/>
    <row r="412" s="378" customFormat="1" x14ac:dyDescent="0.2"/>
    <row r="413" s="378" customFormat="1" x14ac:dyDescent="0.2"/>
    <row r="414" s="378" customFormat="1" x14ac:dyDescent="0.2"/>
    <row r="415" s="378" customFormat="1" x14ac:dyDescent="0.2"/>
    <row r="416" s="378" customFormat="1" x14ac:dyDescent="0.2"/>
    <row r="417" s="378" customFormat="1" x14ac:dyDescent="0.2"/>
    <row r="418" s="378" customFormat="1" x14ac:dyDescent="0.2"/>
    <row r="419" s="378" customFormat="1" x14ac:dyDescent="0.2"/>
    <row r="420" s="378" customFormat="1" x14ac:dyDescent="0.2"/>
    <row r="421" s="378" customFormat="1" x14ac:dyDescent="0.2"/>
    <row r="422" s="378" customFormat="1" x14ac:dyDescent="0.2"/>
    <row r="423" s="378" customFormat="1" x14ac:dyDescent="0.2"/>
    <row r="424" s="378" customFormat="1" x14ac:dyDescent="0.2"/>
    <row r="425" s="378" customFormat="1" x14ac:dyDescent="0.2"/>
    <row r="426" s="378" customFormat="1" x14ac:dyDescent="0.2"/>
    <row r="427" s="378" customFormat="1" x14ac:dyDescent="0.2"/>
    <row r="428" s="378" customFormat="1" x14ac:dyDescent="0.2"/>
    <row r="429" s="378" customFormat="1" x14ac:dyDescent="0.2"/>
    <row r="430" s="378" customFormat="1" x14ac:dyDescent="0.2"/>
    <row r="431" s="378" customFormat="1" x14ac:dyDescent="0.2"/>
    <row r="432" s="378" customFormat="1" x14ac:dyDescent="0.2"/>
    <row r="433" s="378" customFormat="1" x14ac:dyDescent="0.2"/>
    <row r="434" s="378" customFormat="1" x14ac:dyDescent="0.2"/>
    <row r="435" s="378" customFormat="1" x14ac:dyDescent="0.2"/>
    <row r="436" s="378" customFormat="1" x14ac:dyDescent="0.2"/>
    <row r="437" s="378" customFormat="1" x14ac:dyDescent="0.2"/>
    <row r="438" s="378" customFormat="1" x14ac:dyDescent="0.2"/>
    <row r="439" s="378" customFormat="1" x14ac:dyDescent="0.2"/>
    <row r="440" s="378" customFormat="1" x14ac:dyDescent="0.2"/>
    <row r="441" s="378" customFormat="1" x14ac:dyDescent="0.2"/>
    <row r="442" s="378" customFormat="1" x14ac:dyDescent="0.2"/>
    <row r="443" s="378" customFormat="1" x14ac:dyDescent="0.2"/>
    <row r="444" s="378" customFormat="1" x14ac:dyDescent="0.2"/>
    <row r="445" s="378" customFormat="1" x14ac:dyDescent="0.2"/>
    <row r="446" s="378" customFormat="1" x14ac:dyDescent="0.2"/>
    <row r="447" s="378" customFormat="1" x14ac:dyDescent="0.2"/>
    <row r="448" s="378" customFormat="1" x14ac:dyDescent="0.2"/>
    <row r="449" s="378" customFormat="1" x14ac:dyDescent="0.2"/>
    <row r="450" s="378" customFormat="1" x14ac:dyDescent="0.2"/>
    <row r="451" s="378" customFormat="1" x14ac:dyDescent="0.2"/>
    <row r="452" s="378" customFormat="1" x14ac:dyDescent="0.2"/>
    <row r="453" s="378" customFormat="1" x14ac:dyDescent="0.2"/>
    <row r="454" s="378" customFormat="1" x14ac:dyDescent="0.2"/>
    <row r="455" s="378" customFormat="1" x14ac:dyDescent="0.2"/>
    <row r="456" s="378" customFormat="1" x14ac:dyDescent="0.2"/>
    <row r="457" s="378" customFormat="1" x14ac:dyDescent="0.2"/>
    <row r="458" s="378" customFormat="1" x14ac:dyDescent="0.2"/>
    <row r="459" s="378" customFormat="1" x14ac:dyDescent="0.2"/>
    <row r="460" s="378" customFormat="1" x14ac:dyDescent="0.2"/>
    <row r="461" s="378" customFormat="1" x14ac:dyDescent="0.2"/>
    <row r="462" s="378" customFormat="1" x14ac:dyDescent="0.2"/>
    <row r="463" s="378" customFormat="1" x14ac:dyDescent="0.2"/>
    <row r="464" s="378" customFormat="1" x14ac:dyDescent="0.2"/>
    <row r="465" s="378" customFormat="1" x14ac:dyDescent="0.2"/>
    <row r="466" s="378" customFormat="1" x14ac:dyDescent="0.2"/>
    <row r="467" s="378" customFormat="1" x14ac:dyDescent="0.2"/>
    <row r="468" s="378" customFormat="1" x14ac:dyDescent="0.2"/>
    <row r="469" s="378" customFormat="1" x14ac:dyDescent="0.2"/>
    <row r="470" s="378" customFormat="1" x14ac:dyDescent="0.2"/>
    <row r="471" s="378" customFormat="1" x14ac:dyDescent="0.2"/>
    <row r="472" s="378" customFormat="1" x14ac:dyDescent="0.2"/>
    <row r="473" s="378" customFormat="1" x14ac:dyDescent="0.2"/>
    <row r="474" s="378" customFormat="1" x14ac:dyDescent="0.2"/>
    <row r="475" s="378" customFormat="1" x14ac:dyDescent="0.2"/>
    <row r="476" s="378" customFormat="1" x14ac:dyDescent="0.2"/>
    <row r="477" s="378" customFormat="1" x14ac:dyDescent="0.2"/>
    <row r="478" s="378" customFormat="1" x14ac:dyDescent="0.2"/>
    <row r="479" s="378" customFormat="1" x14ac:dyDescent="0.2"/>
    <row r="480" s="378" customFormat="1" x14ac:dyDescent="0.2"/>
    <row r="481" s="378" customFormat="1" x14ac:dyDescent="0.2"/>
    <row r="482" s="378" customFormat="1" x14ac:dyDescent="0.2"/>
    <row r="483" s="378" customFormat="1" x14ac:dyDescent="0.2"/>
    <row r="484" s="378" customFormat="1" x14ac:dyDescent="0.2"/>
    <row r="485" s="378" customFormat="1" x14ac:dyDescent="0.2"/>
    <row r="486" s="378" customFormat="1" x14ac:dyDescent="0.2"/>
    <row r="487" s="378" customFormat="1" x14ac:dyDescent="0.2"/>
    <row r="488" s="378" customFormat="1" x14ac:dyDescent="0.2"/>
    <row r="489" s="378" customFormat="1" x14ac:dyDescent="0.2"/>
    <row r="490" s="378" customFormat="1" x14ac:dyDescent="0.2"/>
    <row r="491" s="378" customFormat="1" x14ac:dyDescent="0.2"/>
    <row r="492" s="378" customFormat="1" x14ac:dyDescent="0.2"/>
    <row r="493" s="378" customFormat="1" x14ac:dyDescent="0.2"/>
    <row r="494" s="378" customFormat="1" x14ac:dyDescent="0.2"/>
    <row r="495" s="378" customFormat="1" x14ac:dyDescent="0.2"/>
    <row r="496" s="378" customFormat="1" x14ac:dyDescent="0.2"/>
    <row r="497" s="378" customFormat="1" x14ac:dyDescent="0.2"/>
    <row r="498" s="378" customFormat="1" x14ac:dyDescent="0.2"/>
    <row r="499" s="378" customFormat="1" x14ac:dyDescent="0.2"/>
    <row r="500" s="378" customFormat="1" x14ac:dyDescent="0.2"/>
    <row r="501" s="378" customFormat="1" x14ac:dyDescent="0.2"/>
    <row r="502" s="378" customFormat="1" x14ac:dyDescent="0.2"/>
    <row r="503" s="378" customFormat="1" x14ac:dyDescent="0.2"/>
    <row r="504" s="378" customFormat="1" x14ac:dyDescent="0.2"/>
    <row r="505" s="378" customFormat="1" x14ac:dyDescent="0.2"/>
    <row r="506" s="378" customFormat="1" x14ac:dyDescent="0.2"/>
    <row r="507" s="378" customFormat="1" x14ac:dyDescent="0.2"/>
    <row r="508" s="378" customFormat="1" x14ac:dyDescent="0.2"/>
    <row r="509" s="378" customFormat="1" x14ac:dyDescent="0.2"/>
    <row r="510" s="378" customFormat="1" x14ac:dyDescent="0.2"/>
    <row r="511" s="378" customFormat="1" x14ac:dyDescent="0.2"/>
    <row r="512" s="378" customFormat="1" x14ac:dyDescent="0.2"/>
    <row r="513" s="378" customFormat="1" x14ac:dyDescent="0.2"/>
    <row r="514" s="378" customFormat="1" x14ac:dyDescent="0.2"/>
    <row r="515" s="378" customFormat="1" x14ac:dyDescent="0.2"/>
    <row r="516" s="378" customFormat="1" x14ac:dyDescent="0.2"/>
    <row r="517" s="378" customFormat="1" x14ac:dyDescent="0.2"/>
    <row r="518" s="378" customFormat="1" x14ac:dyDescent="0.2"/>
    <row r="519" s="378" customFormat="1" x14ac:dyDescent="0.2"/>
    <row r="520" s="378" customFormat="1" x14ac:dyDescent="0.2"/>
    <row r="521" s="378" customFormat="1" x14ac:dyDescent="0.2"/>
    <row r="522" s="378" customFormat="1" x14ac:dyDescent="0.2"/>
    <row r="523" s="378" customFormat="1" x14ac:dyDescent="0.2"/>
    <row r="524" s="378" customFormat="1" x14ac:dyDescent="0.2"/>
    <row r="525" s="378" customFormat="1" x14ac:dyDescent="0.2"/>
    <row r="526" s="378" customFormat="1" x14ac:dyDescent="0.2"/>
    <row r="527" s="378" customFormat="1" x14ac:dyDescent="0.2"/>
    <row r="528" s="378" customFormat="1" x14ac:dyDescent="0.2"/>
    <row r="529" s="378" customFormat="1" x14ac:dyDescent="0.2"/>
    <row r="530" s="378" customFormat="1" x14ac:dyDescent="0.2"/>
    <row r="531" s="378" customFormat="1" x14ac:dyDescent="0.2"/>
    <row r="532" s="378" customFormat="1" x14ac:dyDescent="0.2"/>
    <row r="533" s="378" customFormat="1" x14ac:dyDescent="0.2"/>
    <row r="534" s="378" customFormat="1" x14ac:dyDescent="0.2"/>
    <row r="535" s="378" customFormat="1" x14ac:dyDescent="0.2"/>
    <row r="536" s="378" customFormat="1" x14ac:dyDescent="0.2"/>
    <row r="537" s="378" customFormat="1" x14ac:dyDescent="0.2"/>
    <row r="538" s="378" customFormat="1" x14ac:dyDescent="0.2"/>
    <row r="539" s="378" customFormat="1" x14ac:dyDescent="0.2"/>
    <row r="540" s="378" customFormat="1" x14ac:dyDescent="0.2"/>
    <row r="541" s="378" customFormat="1" x14ac:dyDescent="0.2"/>
    <row r="542" s="378" customFormat="1" x14ac:dyDescent="0.2"/>
    <row r="543" s="378" customFormat="1" x14ac:dyDescent="0.2"/>
    <row r="544" s="378" customFormat="1" x14ac:dyDescent="0.2"/>
    <row r="545" s="378" customFormat="1" x14ac:dyDescent="0.2"/>
    <row r="546" s="378" customFormat="1" x14ac:dyDescent="0.2"/>
    <row r="547" s="378" customFormat="1" x14ac:dyDescent="0.2"/>
    <row r="548" s="378" customFormat="1" x14ac:dyDescent="0.2"/>
    <row r="549" s="378" customFormat="1" x14ac:dyDescent="0.2"/>
    <row r="550" s="378" customFormat="1" x14ac:dyDescent="0.2"/>
    <row r="551" s="378" customFormat="1" x14ac:dyDescent="0.2"/>
    <row r="552" s="378" customFormat="1" x14ac:dyDescent="0.2"/>
    <row r="553" s="378" customFormat="1" x14ac:dyDescent="0.2"/>
    <row r="554" s="378" customFormat="1" x14ac:dyDescent="0.2"/>
    <row r="555" s="378" customFormat="1" x14ac:dyDescent="0.2"/>
    <row r="556" s="378" customFormat="1" x14ac:dyDescent="0.2"/>
    <row r="557" s="378" customFormat="1" x14ac:dyDescent="0.2"/>
    <row r="558" s="378" customFormat="1" x14ac:dyDescent="0.2"/>
    <row r="559" s="378" customFormat="1" x14ac:dyDescent="0.2"/>
    <row r="560" s="378" customFormat="1" x14ac:dyDescent="0.2"/>
    <row r="561" s="378" customFormat="1" x14ac:dyDescent="0.2"/>
    <row r="562" s="378" customFormat="1" x14ac:dyDescent="0.2"/>
    <row r="563" s="378" customFormat="1" x14ac:dyDescent="0.2"/>
    <row r="564" s="378" customFormat="1" x14ac:dyDescent="0.2"/>
    <row r="565" s="378" customFormat="1" x14ac:dyDescent="0.2"/>
    <row r="566" s="378" customFormat="1" x14ac:dyDescent="0.2"/>
    <row r="567" s="378" customFormat="1" x14ac:dyDescent="0.2"/>
    <row r="568" s="378" customFormat="1" x14ac:dyDescent="0.2"/>
    <row r="569" s="378" customFormat="1" x14ac:dyDescent="0.2"/>
    <row r="570" s="378" customFormat="1" x14ac:dyDescent="0.2"/>
    <row r="571" s="378" customFormat="1" x14ac:dyDescent="0.2"/>
    <row r="572" s="378" customFormat="1" x14ac:dyDescent="0.2"/>
    <row r="573" s="378" customFormat="1" x14ac:dyDescent="0.2"/>
    <row r="574" s="378" customFormat="1" x14ac:dyDescent="0.2"/>
    <row r="575" s="378" customFormat="1" x14ac:dyDescent="0.2"/>
    <row r="576" s="378" customFormat="1" x14ac:dyDescent="0.2"/>
    <row r="577" s="378" customFormat="1" x14ac:dyDescent="0.2"/>
    <row r="578" s="378" customFormat="1" x14ac:dyDescent="0.2"/>
    <row r="579" s="378" customFormat="1" x14ac:dyDescent="0.2"/>
    <row r="580" s="378" customFormat="1" x14ac:dyDescent="0.2"/>
    <row r="581" s="378" customFormat="1" x14ac:dyDescent="0.2"/>
    <row r="582" s="378" customFormat="1" x14ac:dyDescent="0.2"/>
    <row r="583" s="378" customFormat="1" x14ac:dyDescent="0.2"/>
    <row r="584" s="378" customFormat="1" x14ac:dyDescent="0.2"/>
    <row r="585" s="378" customFormat="1" x14ac:dyDescent="0.2"/>
    <row r="586" s="378" customFormat="1" x14ac:dyDescent="0.2"/>
    <row r="587" s="378" customFormat="1" x14ac:dyDescent="0.2"/>
    <row r="588" s="378" customFormat="1" x14ac:dyDescent="0.2"/>
    <row r="589" s="378" customFormat="1" x14ac:dyDescent="0.2"/>
    <row r="590" s="378" customFormat="1" x14ac:dyDescent="0.2"/>
    <row r="591" s="378" customFormat="1" x14ac:dyDescent="0.2"/>
    <row r="592" s="378" customFormat="1" x14ac:dyDescent="0.2"/>
    <row r="593" s="378" customFormat="1" x14ac:dyDescent="0.2"/>
    <row r="594" s="378" customFormat="1" x14ac:dyDescent="0.2"/>
    <row r="595" s="378" customFormat="1" x14ac:dyDescent="0.2"/>
    <row r="596" s="378" customFormat="1" x14ac:dyDescent="0.2"/>
    <row r="597" s="378" customFormat="1" x14ac:dyDescent="0.2"/>
    <row r="598" s="378" customFormat="1" x14ac:dyDescent="0.2"/>
    <row r="599" s="378" customFormat="1" x14ac:dyDescent="0.2"/>
    <row r="600" s="378" customFormat="1" x14ac:dyDescent="0.2"/>
    <row r="601" s="378" customFormat="1" x14ac:dyDescent="0.2"/>
    <row r="602" s="378" customFormat="1" x14ac:dyDescent="0.2"/>
    <row r="603" s="378" customFormat="1" x14ac:dyDescent="0.2"/>
    <row r="604" s="378" customFormat="1" x14ac:dyDescent="0.2"/>
    <row r="605" s="378" customFormat="1" x14ac:dyDescent="0.2"/>
    <row r="606" s="378" customFormat="1" x14ac:dyDescent="0.2"/>
    <row r="607" s="378" customFormat="1" x14ac:dyDescent="0.2"/>
    <row r="608" s="378" customFormat="1" x14ac:dyDescent="0.2"/>
    <row r="609" s="378" customFormat="1" x14ac:dyDescent="0.2"/>
    <row r="610" s="378" customFormat="1" x14ac:dyDescent="0.2"/>
    <row r="611" s="378" customFormat="1" x14ac:dyDescent="0.2"/>
    <row r="612" s="378" customFormat="1" x14ac:dyDescent="0.2"/>
    <row r="613" s="378" customFormat="1" x14ac:dyDescent="0.2"/>
    <row r="614" s="378" customFormat="1" x14ac:dyDescent="0.2"/>
    <row r="615" s="378" customFormat="1" x14ac:dyDescent="0.2"/>
    <row r="616" s="378" customFormat="1" x14ac:dyDescent="0.2"/>
    <row r="617" s="378" customFormat="1" x14ac:dyDescent="0.2"/>
    <row r="618" s="378" customFormat="1" x14ac:dyDescent="0.2"/>
    <row r="619" s="378" customFormat="1" x14ac:dyDescent="0.2"/>
    <row r="620" s="378" customFormat="1" x14ac:dyDescent="0.2"/>
    <row r="621" s="378" customFormat="1" x14ac:dyDescent="0.2"/>
    <row r="622" s="378" customFormat="1" x14ac:dyDescent="0.2"/>
    <row r="623" s="378" customFormat="1" x14ac:dyDescent="0.2"/>
    <row r="624" s="378" customFormat="1" x14ac:dyDescent="0.2"/>
    <row r="625" s="378" customFormat="1" x14ac:dyDescent="0.2"/>
    <row r="626" s="378" customFormat="1" x14ac:dyDescent="0.2"/>
    <row r="627" s="378" customFormat="1" x14ac:dyDescent="0.2"/>
    <row r="628" s="378" customFormat="1" x14ac:dyDescent="0.2"/>
    <row r="629" s="378" customFormat="1" x14ac:dyDescent="0.2"/>
    <row r="630" s="378" customFormat="1" x14ac:dyDescent="0.2"/>
    <row r="631" s="378" customFormat="1" x14ac:dyDescent="0.2"/>
    <row r="632" s="378" customFormat="1" x14ac:dyDescent="0.2"/>
    <row r="633" s="378" customFormat="1" x14ac:dyDescent="0.2"/>
    <row r="634" s="378" customFormat="1" x14ac:dyDescent="0.2"/>
    <row r="635" s="378" customFormat="1" x14ac:dyDescent="0.2"/>
    <row r="636" s="378" customFormat="1" x14ac:dyDescent="0.2"/>
    <row r="637" s="378" customFormat="1" x14ac:dyDescent="0.2"/>
    <row r="638" s="378" customFormat="1" x14ac:dyDescent="0.2"/>
    <row r="639" s="378" customFormat="1" x14ac:dyDescent="0.2"/>
    <row r="640" s="378" customFormat="1" x14ac:dyDescent="0.2"/>
    <row r="641" s="378" customFormat="1" x14ac:dyDescent="0.2"/>
    <row r="642" s="378" customFormat="1" x14ac:dyDescent="0.2"/>
    <row r="643" s="378" customFormat="1" x14ac:dyDescent="0.2"/>
    <row r="644" s="378" customFormat="1" x14ac:dyDescent="0.2"/>
    <row r="645" s="378" customFormat="1" x14ac:dyDescent="0.2"/>
    <row r="646" s="378" customFormat="1" x14ac:dyDescent="0.2"/>
    <row r="647" s="378" customFormat="1" x14ac:dyDescent="0.2"/>
    <row r="648" s="378" customFormat="1" x14ac:dyDescent="0.2"/>
    <row r="649" s="378" customFormat="1" x14ac:dyDescent="0.2"/>
    <row r="650" s="378" customFormat="1" x14ac:dyDescent="0.2"/>
    <row r="651" s="378" customFormat="1" x14ac:dyDescent="0.2"/>
    <row r="652" s="378" customFormat="1" x14ac:dyDescent="0.2"/>
    <row r="653" s="378" customFormat="1" x14ac:dyDescent="0.2"/>
    <row r="654" s="378" customFormat="1" x14ac:dyDescent="0.2"/>
    <row r="655" s="378" customFormat="1" x14ac:dyDescent="0.2"/>
    <row r="656" s="378" customFormat="1" x14ac:dyDescent="0.2"/>
    <row r="657" s="378" customFormat="1" x14ac:dyDescent="0.2"/>
    <row r="658" s="378" customFormat="1" x14ac:dyDescent="0.2"/>
    <row r="659" s="378" customFormat="1" x14ac:dyDescent="0.2"/>
    <row r="660" s="378" customFormat="1" x14ac:dyDescent="0.2"/>
    <row r="661" s="378" customFormat="1" x14ac:dyDescent="0.2"/>
    <row r="662" s="378" customFormat="1" x14ac:dyDescent="0.2"/>
    <row r="663" s="378" customFormat="1" x14ac:dyDescent="0.2"/>
    <row r="664" s="378" customFormat="1" x14ac:dyDescent="0.2"/>
    <row r="665" s="378" customFormat="1" x14ac:dyDescent="0.2"/>
    <row r="666" s="378" customFormat="1" x14ac:dyDescent="0.2"/>
    <row r="667" s="378" customFormat="1" x14ac:dyDescent="0.2"/>
    <row r="668" s="378" customFormat="1" x14ac:dyDescent="0.2"/>
    <row r="669" s="378" customFormat="1" x14ac:dyDescent="0.2"/>
    <row r="670" s="378" customFormat="1" x14ac:dyDescent="0.2"/>
    <row r="671" s="378" customFormat="1" x14ac:dyDescent="0.2"/>
    <row r="672" s="378" customFormat="1" x14ac:dyDescent="0.2"/>
    <row r="673" s="378" customFormat="1" x14ac:dyDescent="0.2"/>
    <row r="674" s="378" customFormat="1" x14ac:dyDescent="0.2"/>
    <row r="675" s="378" customFormat="1" x14ac:dyDescent="0.2"/>
    <row r="676" s="378" customFormat="1" x14ac:dyDescent="0.2"/>
    <row r="677" s="378" customFormat="1" x14ac:dyDescent="0.2"/>
    <row r="678" s="378" customFormat="1" x14ac:dyDescent="0.2"/>
    <row r="679" s="378" customFormat="1" x14ac:dyDescent="0.2"/>
    <row r="680" s="378" customFormat="1" x14ac:dyDescent="0.2"/>
    <row r="681" s="378" customFormat="1" x14ac:dyDescent="0.2"/>
    <row r="682" s="378" customFormat="1" x14ac:dyDescent="0.2"/>
    <row r="683" s="378" customFormat="1" x14ac:dyDescent="0.2"/>
    <row r="684" s="378" customFormat="1" x14ac:dyDescent="0.2"/>
    <row r="685" s="378" customFormat="1" x14ac:dyDescent="0.2"/>
    <row r="686" s="378" customFormat="1" x14ac:dyDescent="0.2"/>
    <row r="687" s="378" customFormat="1" x14ac:dyDescent="0.2"/>
    <row r="688" s="378" customFormat="1" x14ac:dyDescent="0.2"/>
    <row r="689" s="378" customFormat="1" x14ac:dyDescent="0.2"/>
    <row r="690" s="378" customFormat="1" x14ac:dyDescent="0.2"/>
    <row r="691" s="378" customFormat="1" x14ac:dyDescent="0.2"/>
    <row r="692" s="378" customFormat="1" x14ac:dyDescent="0.2"/>
    <row r="693" s="378" customFormat="1" x14ac:dyDescent="0.2"/>
    <row r="694" s="378" customFormat="1" x14ac:dyDescent="0.2"/>
    <row r="695" s="378" customFormat="1" x14ac:dyDescent="0.2"/>
    <row r="696" s="378" customFormat="1" x14ac:dyDescent="0.2"/>
    <row r="697" s="378" customFormat="1" x14ac:dyDescent="0.2"/>
    <row r="698" s="378" customFormat="1" x14ac:dyDescent="0.2"/>
    <row r="699" s="378" customFormat="1" x14ac:dyDescent="0.2"/>
    <row r="700" s="378" customFormat="1" x14ac:dyDescent="0.2"/>
    <row r="701" s="378" customFormat="1" x14ac:dyDescent="0.2"/>
    <row r="702" s="378" customFormat="1" x14ac:dyDescent="0.2"/>
    <row r="703" s="378" customFormat="1" x14ac:dyDescent="0.2"/>
    <row r="704" s="378" customFormat="1" x14ac:dyDescent="0.2"/>
    <row r="705" s="378" customFormat="1" x14ac:dyDescent="0.2"/>
    <row r="706" s="378" customFormat="1" x14ac:dyDescent="0.2"/>
    <row r="707" s="378" customFormat="1" x14ac:dyDescent="0.2"/>
  </sheetData>
  <mergeCells count="2">
    <mergeCell ref="A4:A39"/>
    <mergeCell ref="A40:A95"/>
  </mergeCells>
  <phoneticPr fontId="17" type="noConversion"/>
  <pageMargins left="0.75" right="0.75" top="1" bottom="1" header="0.5" footer="0.5"/>
  <pageSetup scale="85" orientation="portrait" verticalDpi="1200" r:id="rId2"/>
  <headerFooter alignWithMargins="0">
    <oddHeader>&amp;LSREB-State Data Exchange&amp;CPreliminary Tables&amp;RPart 5 - Funding by Function</oddHeader>
    <oddFooter>&amp;LFor Agency Review Only&amp;ROctober 2008</oddFooter>
  </headerFooter>
  <rowBreaks count="2" manualBreakCount="2">
    <brk id="57" min="4" max="19" man="1"/>
    <brk id="96" min="4" max="19" man="1"/>
  </rowBreaks>
  <colBreaks count="15" manualBreakCount="15">
    <brk id="5" min="3" max="143" man="1"/>
    <brk id="6" min="3" max="143" man="1"/>
    <brk id="7" min="3" max="143" man="1"/>
    <brk id="8" min="3" max="143" man="1"/>
    <brk id="9" min="3" max="143" man="1"/>
    <brk id="10" min="3" max="143" man="1"/>
    <brk id="11" min="3" max="143" man="1"/>
    <brk id="12" min="3" max="143" man="1"/>
    <brk id="13" min="3" max="143" man="1"/>
    <brk id="14" min="3" max="143" man="1"/>
    <brk id="15" min="3" max="143" man="1"/>
    <brk id="16" min="3" max="143" man="1"/>
    <brk id="17" min="3" max="143" man="1"/>
    <brk id="18" min="3" max="143" man="1"/>
    <brk id="19" min="3" max="143" man="1"/>
  </colBreak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rgb="FF008000"/>
  </sheetPr>
  <dimension ref="A1:AN138"/>
  <sheetViews>
    <sheetView topLeftCell="A46" workbookViewId="0">
      <selection activeCell="D1" sqref="D1"/>
    </sheetView>
  </sheetViews>
  <sheetFormatPr defaultRowHeight="12.75" x14ac:dyDescent="0.2"/>
  <cols>
    <col min="1" max="1" width="24.5" style="180" customWidth="1"/>
    <col min="2" max="2" width="12" style="180" customWidth="1"/>
    <col min="3" max="3" width="11.75" style="180" bestFit="1" customWidth="1"/>
    <col min="4" max="4" width="11.25" style="180" bestFit="1" customWidth="1"/>
    <col min="5" max="5" width="10.875" style="180" bestFit="1" customWidth="1"/>
    <col min="6" max="6" width="13.5" style="180" customWidth="1"/>
    <col min="7" max="8" width="10.75" style="180" customWidth="1"/>
    <col min="9" max="9" width="11.5" style="180" bestFit="1" customWidth="1"/>
    <col min="10" max="10" width="11.875" style="180" customWidth="1"/>
    <col min="11" max="11" width="12.875" style="180" customWidth="1"/>
    <col min="12" max="12" width="11.375" style="180" bestFit="1" customWidth="1"/>
    <col min="13" max="13" width="12.75" style="180" customWidth="1"/>
    <col min="14" max="14" width="10.625" style="180" customWidth="1"/>
    <col min="15" max="15" width="11.625" style="180" bestFit="1" customWidth="1"/>
    <col min="16" max="16" width="11.5" style="180" customWidth="1"/>
    <col min="17" max="17" width="11.125" style="180" bestFit="1" customWidth="1"/>
    <col min="18" max="18" width="16.75" style="180" customWidth="1"/>
    <col min="19" max="19" width="11.25" style="180" customWidth="1"/>
    <col min="20" max="20" width="13.5" style="6" bestFit="1" customWidth="1"/>
    <col min="21" max="21" width="12.5" style="180" customWidth="1"/>
    <col min="22" max="22" width="10.125" style="180" customWidth="1"/>
    <col min="23" max="23" width="9.875" style="180" customWidth="1"/>
    <col min="24" max="24" width="10.125" style="180" customWidth="1"/>
    <col min="25" max="25" width="11" style="180" customWidth="1"/>
    <col min="26" max="26" width="10.75" style="180" customWidth="1"/>
    <col min="27" max="27" width="10.875" style="180" customWidth="1"/>
    <col min="28" max="28" width="9.5" style="180" bestFit="1" customWidth="1"/>
    <col min="29" max="29" width="9.75" style="180" customWidth="1"/>
    <col min="30" max="30" width="10" style="180" customWidth="1"/>
    <col min="31" max="31" width="11.5" style="180" customWidth="1"/>
    <col min="32" max="32" width="22.5" style="180" customWidth="1"/>
    <col min="33" max="33" width="12" style="180" customWidth="1"/>
    <col min="34" max="34" width="10.5" style="180" customWidth="1"/>
    <col min="35" max="35" width="10.125" style="180" customWidth="1"/>
    <col min="36" max="36" width="9" style="180"/>
    <col min="37" max="37" width="9.75" style="180" customWidth="1"/>
    <col min="38" max="38" width="11" style="180" customWidth="1"/>
    <col min="39" max="39" width="9.75" style="180" customWidth="1"/>
    <col min="40" max="40" width="11.875" style="180" customWidth="1"/>
    <col min="41" max="16384" width="9" style="180"/>
  </cols>
  <sheetData>
    <row r="1" spans="1:20" ht="23.25" x14ac:dyDescent="0.2">
      <c r="A1" s="218" t="s">
        <v>374</v>
      </c>
      <c r="B1" s="92"/>
      <c r="C1" s="92"/>
      <c r="D1" s="92"/>
      <c r="E1" s="387"/>
      <c r="F1" s="92"/>
      <c r="G1" s="92"/>
      <c r="H1" s="92"/>
      <c r="I1" s="92"/>
      <c r="J1" s="92"/>
      <c r="K1" s="92"/>
      <c r="L1" s="92"/>
      <c r="M1" s="92"/>
      <c r="N1" s="92"/>
      <c r="O1" s="92"/>
      <c r="P1" s="92"/>
      <c r="S1" s="92"/>
    </row>
    <row r="2" spans="1:20" x14ac:dyDescent="0.2">
      <c r="A2" s="96"/>
      <c r="B2" s="96"/>
      <c r="C2" s="96"/>
      <c r="D2" s="96"/>
      <c r="E2" s="96"/>
      <c r="F2" s="96"/>
      <c r="G2" s="96"/>
      <c r="H2" s="96"/>
      <c r="I2" s="96"/>
      <c r="J2" s="96"/>
      <c r="K2" s="96"/>
      <c r="L2" s="96"/>
      <c r="M2" s="96"/>
      <c r="N2" s="96"/>
      <c r="O2" s="97"/>
      <c r="P2" s="96"/>
      <c r="S2" s="96"/>
      <c r="T2" s="8"/>
    </row>
    <row r="3" spans="1:20" ht="15.75" x14ac:dyDescent="0.2">
      <c r="A3" s="264"/>
      <c r="B3" s="152" t="s">
        <v>64</v>
      </c>
      <c r="C3" s="152"/>
      <c r="D3" s="152"/>
      <c r="E3" s="152"/>
      <c r="F3" s="152"/>
      <c r="G3" s="152"/>
      <c r="H3" s="152"/>
      <c r="I3" s="152"/>
      <c r="J3" s="152"/>
      <c r="K3" s="152"/>
      <c r="L3" s="152"/>
      <c r="M3" s="156"/>
      <c r="N3" s="239" t="s">
        <v>91</v>
      </c>
      <c r="O3" s="109"/>
      <c r="P3" s="109"/>
      <c r="Q3" s="239" t="s">
        <v>91</v>
      </c>
      <c r="R3" s="109"/>
      <c r="S3" s="109"/>
      <c r="T3" s="260"/>
    </row>
    <row r="4" spans="1:20" ht="22.5" x14ac:dyDescent="0.2">
      <c r="A4" s="95"/>
      <c r="B4" s="234" t="s">
        <v>63</v>
      </c>
      <c r="C4" s="234"/>
      <c r="D4" s="234"/>
      <c r="E4" s="233" t="s">
        <v>65</v>
      </c>
      <c r="F4" s="234"/>
      <c r="G4" s="234"/>
      <c r="H4" s="233" t="s">
        <v>46</v>
      </c>
      <c r="I4" s="235"/>
      <c r="J4" s="240" t="s">
        <v>97</v>
      </c>
      <c r="K4" s="240"/>
      <c r="L4" s="258" t="s">
        <v>91</v>
      </c>
      <c r="M4" s="258" t="s">
        <v>91</v>
      </c>
      <c r="N4" s="237" t="s">
        <v>67</v>
      </c>
      <c r="O4" s="238"/>
      <c r="P4" s="238"/>
      <c r="Q4" s="237" t="s">
        <v>68</v>
      </c>
      <c r="R4" s="238"/>
      <c r="S4" s="238"/>
      <c r="T4" s="256"/>
    </row>
    <row r="5" spans="1:20" ht="58.5" customHeight="1" x14ac:dyDescent="0.2">
      <c r="A5" s="50"/>
      <c r="B5" s="51" t="s">
        <v>61</v>
      </c>
      <c r="C5" s="52" t="s">
        <v>62</v>
      </c>
      <c r="D5" s="52" t="s">
        <v>37</v>
      </c>
      <c r="E5" s="53" t="s">
        <v>61</v>
      </c>
      <c r="F5" s="52" t="s">
        <v>62</v>
      </c>
      <c r="G5" s="52" t="s">
        <v>37</v>
      </c>
      <c r="H5" s="53" t="s">
        <v>61</v>
      </c>
      <c r="I5" s="236" t="s">
        <v>62</v>
      </c>
      <c r="J5" s="241" t="s">
        <v>61</v>
      </c>
      <c r="K5" s="242" t="s">
        <v>62</v>
      </c>
      <c r="L5" s="237" t="s">
        <v>38</v>
      </c>
      <c r="M5" s="257" t="s">
        <v>335</v>
      </c>
      <c r="N5" s="53" t="s">
        <v>61</v>
      </c>
      <c r="O5" s="52" t="s">
        <v>62</v>
      </c>
      <c r="P5" s="52" t="s">
        <v>37</v>
      </c>
      <c r="Q5" s="53" t="s">
        <v>61</v>
      </c>
      <c r="R5" s="52" t="s">
        <v>62</v>
      </c>
      <c r="S5" s="52" t="s">
        <v>37</v>
      </c>
      <c r="T5" s="261" t="s">
        <v>335</v>
      </c>
    </row>
    <row r="6" spans="1:20" x14ac:dyDescent="0.2">
      <c r="A6" s="73" t="s">
        <v>39</v>
      </c>
      <c r="B6" s="626">
        <f>'Distrib pivot table'!U$75</f>
        <v>341094963.72277033</v>
      </c>
      <c r="C6" s="631">
        <f>'Distrib pivot table'!U$77</f>
        <v>920135165.44716096</v>
      </c>
      <c r="D6" s="632">
        <f>'Distrib pivot table'!U$73</f>
        <v>1666891</v>
      </c>
      <c r="E6" s="633">
        <f>'Distrib pivot table'!U$81</f>
        <v>95034262.917229682</v>
      </c>
      <c r="F6" s="631">
        <f>'Distrib pivot table'!U$83</f>
        <v>143408157.87283903</v>
      </c>
      <c r="G6" s="626">
        <f>'Distrib pivot table'!U$79</f>
        <v>0</v>
      </c>
      <c r="H6" s="633">
        <f>'Distrib pivot table'!U$69</f>
        <v>8637821</v>
      </c>
      <c r="I6" s="634">
        <f>'Distrib pivot table'!U$71</f>
        <v>363203640</v>
      </c>
      <c r="J6" s="243">
        <f>+B6+E6+H6</f>
        <v>444767047.63999999</v>
      </c>
      <c r="K6" s="251">
        <f>+C6+F6+I6</f>
        <v>1426746963.3199999</v>
      </c>
      <c r="L6" s="633">
        <f>'Distrib pivot table'!U$67</f>
        <v>617251291</v>
      </c>
      <c r="M6" s="635">
        <f>+D6+G6+J6+K6+L6</f>
        <v>2490432192.96</v>
      </c>
      <c r="N6" s="633">
        <f>'Distrib pivot table'!U$87</f>
        <v>391359931</v>
      </c>
      <c r="O6" s="631">
        <f>'Distrib pivot table'!U$89</f>
        <v>451647580</v>
      </c>
      <c r="P6" s="626">
        <f>'Distrib pivot table'!U$85</f>
        <v>1650000</v>
      </c>
      <c r="Q6" s="633">
        <f>'Distrib pivot table'!U$93</f>
        <v>176167702</v>
      </c>
      <c r="R6" s="631">
        <f>'Distrib pivot table'!U$95</f>
        <v>161568136</v>
      </c>
      <c r="S6" s="626">
        <f>'Distrib pivot table'!U$91</f>
        <v>3406848</v>
      </c>
      <c r="T6" s="267">
        <f>+M6+N6+O6+P6+Q6+R6+S6</f>
        <v>3676232389.96</v>
      </c>
    </row>
    <row r="7" spans="1:20" s="470" customFormat="1" x14ac:dyDescent="0.15">
      <c r="A7" s="627" t="s">
        <v>408</v>
      </c>
      <c r="B7" s="628">
        <v>75</v>
      </c>
      <c r="C7" s="628">
        <v>77</v>
      </c>
      <c r="D7" s="628">
        <v>73</v>
      </c>
      <c r="E7" s="629">
        <v>81</v>
      </c>
      <c r="F7" s="628">
        <v>83</v>
      </c>
      <c r="G7" s="628">
        <v>79</v>
      </c>
      <c r="H7" s="629">
        <v>69</v>
      </c>
      <c r="I7" s="630">
        <v>71</v>
      </c>
      <c r="J7" s="628"/>
      <c r="K7" s="630"/>
      <c r="L7" s="630">
        <v>67</v>
      </c>
      <c r="M7" s="630"/>
      <c r="N7" s="630">
        <v>87</v>
      </c>
      <c r="O7" s="630">
        <v>89</v>
      </c>
      <c r="P7" s="630">
        <v>85</v>
      </c>
      <c r="Q7" s="630">
        <v>93</v>
      </c>
      <c r="R7" s="630">
        <v>95</v>
      </c>
      <c r="S7" s="630">
        <v>91</v>
      </c>
      <c r="T7" s="468"/>
    </row>
    <row r="8" spans="1:20" x14ac:dyDescent="0.2">
      <c r="A8" s="73" t="s">
        <v>320</v>
      </c>
      <c r="B8" s="249">
        <f>'Distrib pivot table'!E$75</f>
        <v>2354963</v>
      </c>
      <c r="C8" s="249">
        <f>'Distrib pivot table'!E$77</f>
        <v>54217868</v>
      </c>
      <c r="D8" s="250">
        <f>'Distrib pivot table'!E$73</f>
        <v>0</v>
      </c>
      <c r="E8" s="244">
        <f>'Distrib pivot table'!E$81</f>
        <v>261662</v>
      </c>
      <c r="F8" s="249">
        <f>'Distrib pivot table'!E$83</f>
        <v>54242</v>
      </c>
      <c r="G8" s="249">
        <f>'Distrib pivot table'!E$79</f>
        <v>0</v>
      </c>
      <c r="H8" s="244">
        <f>'Distrib pivot table'!E$69</f>
        <v>10399</v>
      </c>
      <c r="I8" s="250">
        <f>'Distrib pivot table'!E$71</f>
        <v>1204489</v>
      </c>
      <c r="J8" s="243">
        <f t="shared" ref="J8:J23" si="0">+B8+E8+H8</f>
        <v>2627024</v>
      </c>
      <c r="K8" s="251">
        <f t="shared" ref="K8:K23" si="1">+C8+F8+I8</f>
        <v>55476599</v>
      </c>
      <c r="L8" s="244">
        <f>'Distrib pivot table'!E$67</f>
        <v>0</v>
      </c>
      <c r="M8" s="265">
        <f t="shared" ref="M8:M23" si="2">+D8+G8+J8+K8+L8</f>
        <v>58103623</v>
      </c>
      <c r="N8" s="244">
        <f>'Distrib pivot table'!E$87</f>
        <v>0</v>
      </c>
      <c r="O8" s="249">
        <f>'Distrib pivot table'!E$89</f>
        <v>112500</v>
      </c>
      <c r="P8" s="249">
        <f>'Distrib pivot table'!E$85</f>
        <v>0</v>
      </c>
      <c r="Q8" s="244">
        <f>'Distrib pivot table'!E$93</f>
        <v>0</v>
      </c>
      <c r="R8" s="249">
        <f>'Distrib pivot table'!E$95</f>
        <v>1911842</v>
      </c>
      <c r="S8" s="249">
        <f>'Distrib pivot table'!E$91</f>
        <v>0</v>
      </c>
      <c r="T8" s="268">
        <f t="shared" ref="T8:T23" si="3">+M8+N8+O8+P8+Q8+R8+S8</f>
        <v>60127965</v>
      </c>
    </row>
    <row r="9" spans="1:20" x14ac:dyDescent="0.2">
      <c r="A9" s="73" t="s">
        <v>334</v>
      </c>
      <c r="B9" s="249">
        <f>'Distrib pivot table'!F$75</f>
        <v>7793247</v>
      </c>
      <c r="C9" s="249">
        <f>'Distrib pivot table'!F$77</f>
        <v>112169037</v>
      </c>
      <c r="D9" s="250">
        <f>'Distrib pivot table'!F$73</f>
        <v>1076142</v>
      </c>
      <c r="E9" s="244">
        <f>'Distrib pivot table'!F$81</f>
        <v>489979</v>
      </c>
      <c r="F9" s="249">
        <f>'Distrib pivot table'!F$83</f>
        <v>15850785</v>
      </c>
      <c r="G9" s="249">
        <f>'Distrib pivot table'!F$79</f>
        <v>0</v>
      </c>
      <c r="H9" s="244">
        <f>'Distrib pivot table'!F$69</f>
        <v>0</v>
      </c>
      <c r="I9" s="250">
        <f>'Distrib pivot table'!F$71</f>
        <v>175000</v>
      </c>
      <c r="J9" s="243">
        <f t="shared" si="0"/>
        <v>8283226</v>
      </c>
      <c r="K9" s="251">
        <f t="shared" si="1"/>
        <v>128194822</v>
      </c>
      <c r="L9" s="244">
        <f>'Distrib pivot table'!F$67</f>
        <v>0</v>
      </c>
      <c r="M9" s="265">
        <f t="shared" si="2"/>
        <v>137554190</v>
      </c>
      <c r="N9" s="244">
        <f>'Distrib pivot table'!F$87</f>
        <v>0</v>
      </c>
      <c r="O9" s="249">
        <f>'Distrib pivot table'!F$89</f>
        <v>252849</v>
      </c>
      <c r="P9" s="249">
        <f>'Distrib pivot table'!F$85</f>
        <v>0</v>
      </c>
      <c r="Q9" s="244">
        <f>'Distrib pivot table'!F$93</f>
        <v>0</v>
      </c>
      <c r="R9" s="249">
        <f>'Distrib pivot table'!F$95</f>
        <v>0</v>
      </c>
      <c r="S9" s="249">
        <f>'Distrib pivot table'!F$91</f>
        <v>0</v>
      </c>
      <c r="T9" s="268">
        <f t="shared" si="3"/>
        <v>137807039</v>
      </c>
    </row>
    <row r="10" spans="1:20" x14ac:dyDescent="0.2">
      <c r="A10" s="73" t="s">
        <v>321</v>
      </c>
      <c r="B10" s="248">
        <f>'Distrib pivot table'!G$75</f>
        <v>216362</v>
      </c>
      <c r="C10" s="248">
        <f>'Distrib pivot table'!G$77</f>
        <v>877848</v>
      </c>
      <c r="D10" s="246">
        <f>'Distrib pivot table'!G$73</f>
        <v>0</v>
      </c>
      <c r="E10" s="245">
        <f>'Distrib pivot table'!G$81</f>
        <v>388728</v>
      </c>
      <c r="F10" s="248">
        <f>'Distrib pivot table'!G$83</f>
        <v>483473</v>
      </c>
      <c r="G10" s="249">
        <f>'Distrib pivot table'!G$79</f>
        <v>0</v>
      </c>
      <c r="H10" s="245">
        <f>'Distrib pivot table'!G$69</f>
        <v>7500</v>
      </c>
      <c r="I10" s="246">
        <f>'Distrib pivot table'!G$71</f>
        <v>1419500</v>
      </c>
      <c r="J10" s="247">
        <f t="shared" si="0"/>
        <v>612590</v>
      </c>
      <c r="K10" s="247">
        <f t="shared" si="1"/>
        <v>2780821</v>
      </c>
      <c r="L10" s="245">
        <f>'Distrib pivot table'!G$67</f>
        <v>1549955</v>
      </c>
      <c r="M10" s="265">
        <f t="shared" si="2"/>
        <v>4943366</v>
      </c>
      <c r="N10" s="245">
        <f>'Distrib pivot table'!G$87</f>
        <v>0</v>
      </c>
      <c r="O10" s="248">
        <f>'Distrib pivot table'!G$89</f>
        <v>0</v>
      </c>
      <c r="P10" s="249">
        <f>'Distrib pivot table'!G$85</f>
        <v>0</v>
      </c>
      <c r="Q10" s="256">
        <f>'Distrib pivot table'!G$93</f>
        <v>0</v>
      </c>
      <c r="R10" s="6">
        <f>'Distrib pivot table'!G$95</f>
        <v>0</v>
      </c>
      <c r="S10" s="249">
        <f>'Distrib pivot table'!G$91</f>
        <v>0</v>
      </c>
      <c r="T10" s="268">
        <f t="shared" si="3"/>
        <v>4943366</v>
      </c>
    </row>
    <row r="11" spans="1:20" x14ac:dyDescent="0.2">
      <c r="A11" s="73" t="s">
        <v>328</v>
      </c>
      <c r="B11" s="248">
        <f>'Distrib pivot table'!H$75</f>
        <v>0</v>
      </c>
      <c r="C11" s="248">
        <f>'Distrib pivot table'!H$77</f>
        <v>0</v>
      </c>
      <c r="D11" s="246">
        <f>'Distrib pivot table'!H$73</f>
        <v>0</v>
      </c>
      <c r="E11" s="245">
        <f>'Distrib pivot table'!H$81</f>
        <v>0</v>
      </c>
      <c r="F11" s="248">
        <f>'Distrib pivot table'!H$83</f>
        <v>0</v>
      </c>
      <c r="G11" s="249">
        <f>'Distrib pivot table'!H$79</f>
        <v>0</v>
      </c>
      <c r="H11" s="245">
        <f>'Distrib pivot table'!H$69</f>
        <v>8619922</v>
      </c>
      <c r="I11" s="246">
        <f>'Distrib pivot table'!H$71</f>
        <v>312309733</v>
      </c>
      <c r="J11" s="247">
        <f t="shared" si="0"/>
        <v>8619922</v>
      </c>
      <c r="K11" s="247">
        <f t="shared" si="1"/>
        <v>312309733</v>
      </c>
      <c r="L11" s="245">
        <f>'Distrib pivot table'!H$67</f>
        <v>0</v>
      </c>
      <c r="M11" s="265">
        <f t="shared" si="2"/>
        <v>320929655</v>
      </c>
      <c r="N11" s="245">
        <f>'Distrib pivot table'!H$87</f>
        <v>102964587</v>
      </c>
      <c r="O11" s="248">
        <f>'Distrib pivot table'!H$89</f>
        <v>945468</v>
      </c>
      <c r="P11" s="249">
        <f>'Distrib pivot table'!H$85</f>
        <v>0</v>
      </c>
      <c r="Q11" s="256">
        <f>'Distrib pivot table'!H$93</f>
        <v>28544751</v>
      </c>
      <c r="R11" s="6">
        <f>'Distrib pivot table'!H$95</f>
        <v>92904528</v>
      </c>
      <c r="S11" s="249">
        <f>'Distrib pivot table'!H$91</f>
        <v>0</v>
      </c>
      <c r="T11" s="268">
        <f t="shared" si="3"/>
        <v>546288989</v>
      </c>
    </row>
    <row r="12" spans="1:20" x14ac:dyDescent="0.2">
      <c r="A12" s="73" t="s">
        <v>329</v>
      </c>
      <c r="B12" s="248">
        <f>'Distrib pivot table'!I$75</f>
        <v>0</v>
      </c>
      <c r="C12" s="248">
        <f>'Distrib pivot table'!I$77</f>
        <v>376761</v>
      </c>
      <c r="D12" s="246">
        <f>'Distrib pivot table'!I$73</f>
        <v>0</v>
      </c>
      <c r="E12" s="245">
        <f>'Distrib pivot table'!I$81</f>
        <v>0</v>
      </c>
      <c r="F12" s="248">
        <f>'Distrib pivot table'!I$83</f>
        <v>785250</v>
      </c>
      <c r="G12" s="249">
        <f>'Distrib pivot table'!I$79</f>
        <v>0</v>
      </c>
      <c r="H12" s="245">
        <f>'Distrib pivot table'!I$69</f>
        <v>0</v>
      </c>
      <c r="I12" s="246">
        <f>'Distrib pivot table'!I$71</f>
        <v>0</v>
      </c>
      <c r="J12" s="247">
        <f t="shared" si="0"/>
        <v>0</v>
      </c>
      <c r="K12" s="247">
        <f t="shared" si="1"/>
        <v>1162011</v>
      </c>
      <c r="L12" s="245">
        <f>'Distrib pivot table'!I$67</f>
        <v>0</v>
      </c>
      <c r="M12" s="265">
        <f t="shared" si="2"/>
        <v>1162011</v>
      </c>
      <c r="N12" s="245">
        <f>'Distrib pivot table'!I$87</f>
        <v>0</v>
      </c>
      <c r="O12" s="248">
        <f>'Distrib pivot table'!I$89</f>
        <v>424345076</v>
      </c>
      <c r="P12" s="249">
        <f>'Distrib pivot table'!I$85</f>
        <v>0</v>
      </c>
      <c r="Q12" s="256">
        <f>'Distrib pivot table'!I$93</f>
        <v>0</v>
      </c>
      <c r="R12" s="6">
        <f>'Distrib pivot table'!I$95</f>
        <v>1094862</v>
      </c>
      <c r="S12" s="249">
        <f>'Distrib pivot table'!I$91</f>
        <v>0</v>
      </c>
      <c r="T12" s="268">
        <f t="shared" si="3"/>
        <v>426601949</v>
      </c>
    </row>
    <row r="13" spans="1:20" x14ac:dyDescent="0.2">
      <c r="A13" s="73" t="s">
        <v>322</v>
      </c>
      <c r="B13" s="249">
        <f>'Distrib pivot table'!J$75</f>
        <v>46607653</v>
      </c>
      <c r="C13" s="249">
        <f>'Distrib pivot table'!J$77</f>
        <v>85956246</v>
      </c>
      <c r="D13" s="250">
        <f>'Distrib pivot table'!J$73</f>
        <v>0</v>
      </c>
      <c r="E13" s="244">
        <f>'Distrib pivot table'!J$81</f>
        <v>15684986</v>
      </c>
      <c r="F13" s="249">
        <f>'Distrib pivot table'!J$83</f>
        <v>18420585</v>
      </c>
      <c r="G13" s="249">
        <f>'Distrib pivot table'!J$79</f>
        <v>0</v>
      </c>
      <c r="H13" s="244">
        <f>'Distrib pivot table'!J$69</f>
        <v>0</v>
      </c>
      <c r="I13" s="250">
        <f>'Distrib pivot table'!J$71</f>
        <v>0</v>
      </c>
      <c r="J13" s="251">
        <f t="shared" si="0"/>
        <v>62292639</v>
      </c>
      <c r="K13" s="251">
        <f t="shared" si="1"/>
        <v>104376831</v>
      </c>
      <c r="L13" s="244">
        <f>'Distrib pivot table'!J$67</f>
        <v>0</v>
      </c>
      <c r="M13" s="265">
        <f t="shared" si="2"/>
        <v>166669470</v>
      </c>
      <c r="N13" s="244">
        <f>'Distrib pivot table'!J$87</f>
        <v>0</v>
      </c>
      <c r="O13" s="249">
        <f>'Distrib pivot table'!J$89</f>
        <v>0</v>
      </c>
      <c r="P13" s="249">
        <f>'Distrib pivot table'!J$85</f>
        <v>0</v>
      </c>
      <c r="Q13" s="256">
        <f>'Distrib pivot table'!J$93</f>
        <v>29982741</v>
      </c>
      <c r="R13" s="6">
        <f>'Distrib pivot table'!J$95</f>
        <v>704295</v>
      </c>
      <c r="S13" s="249">
        <f>'Distrib pivot table'!J$91</f>
        <v>0</v>
      </c>
      <c r="T13" s="268">
        <f t="shared" si="3"/>
        <v>197356506</v>
      </c>
    </row>
    <row r="14" spans="1:20" x14ac:dyDescent="0.2">
      <c r="A14" s="73" t="s">
        <v>217</v>
      </c>
      <c r="B14" s="249">
        <f>'Distrib pivot table'!K$75</f>
        <v>23783131</v>
      </c>
      <c r="C14" s="249">
        <f>'Distrib pivot table'!K$77</f>
        <v>199825710</v>
      </c>
      <c r="D14" s="250">
        <f>'Distrib pivot table'!K$73</f>
        <v>0</v>
      </c>
      <c r="E14" s="244">
        <f>'Distrib pivot table'!K$81</f>
        <v>2335638</v>
      </c>
      <c r="F14" s="249">
        <f>'Distrib pivot table'!K$83</f>
        <v>14866958</v>
      </c>
      <c r="G14" s="249">
        <f>'Distrib pivot table'!K$79</f>
        <v>0</v>
      </c>
      <c r="H14" s="244">
        <f>'Distrib pivot table'!K$69</f>
        <v>0</v>
      </c>
      <c r="I14" s="250">
        <f>'Distrib pivot table'!K$71</f>
        <v>0</v>
      </c>
      <c r="J14" s="251">
        <f t="shared" si="0"/>
        <v>26118769</v>
      </c>
      <c r="K14" s="251">
        <f t="shared" si="1"/>
        <v>214692668</v>
      </c>
      <c r="L14" s="244">
        <f>'Distrib pivot table'!K$67</f>
        <v>0</v>
      </c>
      <c r="M14" s="265">
        <f t="shared" si="2"/>
        <v>240811437</v>
      </c>
      <c r="N14" s="244">
        <f>'Distrib pivot table'!K$87</f>
        <v>0</v>
      </c>
      <c r="O14" s="249">
        <f>'Distrib pivot table'!K$89</f>
        <v>0</v>
      </c>
      <c r="P14" s="249">
        <f>'Distrib pivot table'!K$85</f>
        <v>0</v>
      </c>
      <c r="Q14" s="256">
        <f>'Distrib pivot table'!K$93</f>
        <v>0</v>
      </c>
      <c r="R14" s="6">
        <f>'Distrib pivot table'!K$95</f>
        <v>0</v>
      </c>
      <c r="S14" s="249">
        <f>'Distrib pivot table'!K$91</f>
        <v>0</v>
      </c>
      <c r="T14" s="268">
        <f t="shared" si="3"/>
        <v>240811437</v>
      </c>
    </row>
    <row r="15" spans="1:20" x14ac:dyDescent="0.2">
      <c r="A15" s="73" t="s">
        <v>333</v>
      </c>
      <c r="B15" s="249">
        <f>'Distrib pivot table'!L$75</f>
        <v>76152186</v>
      </c>
      <c r="C15" s="249">
        <f>'Distrib pivot table'!L$77</f>
        <v>8642361</v>
      </c>
      <c r="D15" s="250">
        <f>'Distrib pivot table'!L$73</f>
        <v>0</v>
      </c>
      <c r="E15" s="244">
        <f>'Distrib pivot table'!L$81</f>
        <v>16816125</v>
      </c>
      <c r="F15" s="249">
        <f>'Distrib pivot table'!L$83</f>
        <v>1913471</v>
      </c>
      <c r="G15" s="249">
        <f>'Distrib pivot table'!L$79</f>
        <v>0</v>
      </c>
      <c r="H15" s="244">
        <f>'Distrib pivot table'!L$69</f>
        <v>0</v>
      </c>
      <c r="I15" s="250">
        <f>'Distrib pivot table'!L$71</f>
        <v>0</v>
      </c>
      <c r="J15" s="251">
        <f t="shared" si="0"/>
        <v>92968311</v>
      </c>
      <c r="K15" s="251">
        <f t="shared" si="1"/>
        <v>10555832</v>
      </c>
      <c r="L15" s="244">
        <f>'Distrib pivot table'!L$67</f>
        <v>0</v>
      </c>
      <c r="M15" s="265">
        <f t="shared" si="2"/>
        <v>103524143</v>
      </c>
      <c r="N15" s="244">
        <f>'Distrib pivot table'!L$87</f>
        <v>0</v>
      </c>
      <c r="O15" s="249">
        <f>'Distrib pivot table'!L$89</f>
        <v>0</v>
      </c>
      <c r="P15" s="249">
        <f>'Distrib pivot table'!L$85</f>
        <v>0</v>
      </c>
      <c r="Q15" s="256">
        <f>'Distrib pivot table'!L$93</f>
        <v>0</v>
      </c>
      <c r="R15" s="6">
        <f>'Distrib pivot table'!L$95</f>
        <v>0</v>
      </c>
      <c r="S15" s="249">
        <f>'Distrib pivot table'!L$91</f>
        <v>0</v>
      </c>
      <c r="T15" s="268">
        <f t="shared" si="3"/>
        <v>103524143</v>
      </c>
    </row>
    <row r="16" spans="1:20" x14ac:dyDescent="0.2">
      <c r="A16" s="73" t="s">
        <v>323</v>
      </c>
      <c r="B16" s="249">
        <f>'Distrib pivot table'!M$75</f>
        <v>9156583</v>
      </c>
      <c r="C16" s="249">
        <f>'Distrib pivot table'!M$77</f>
        <v>12814638</v>
      </c>
      <c r="D16" s="249">
        <f>'Distrib pivot table'!M$73</f>
        <v>590749</v>
      </c>
      <c r="E16" s="244">
        <f>'Distrib pivot table'!M$81</f>
        <v>761222</v>
      </c>
      <c r="F16" s="249">
        <f>'Distrib pivot table'!M$83</f>
        <v>3187345</v>
      </c>
      <c r="G16" s="249">
        <f>'Distrib pivot table'!M$79</f>
        <v>0</v>
      </c>
      <c r="H16" s="244">
        <f>'Distrib pivot table'!M$69</f>
        <v>0</v>
      </c>
      <c r="I16" s="250">
        <f>'Distrib pivot table'!M$71</f>
        <v>523530</v>
      </c>
      <c r="J16" s="251">
        <f t="shared" si="0"/>
        <v>9917805</v>
      </c>
      <c r="K16" s="251">
        <f t="shared" si="1"/>
        <v>16525513</v>
      </c>
      <c r="L16" s="244">
        <f>'Distrib pivot table'!M$67</f>
        <v>0</v>
      </c>
      <c r="M16" s="265">
        <f t="shared" si="2"/>
        <v>27034067</v>
      </c>
      <c r="N16" s="244">
        <f>'Distrib pivot table'!M$87</f>
        <v>888536</v>
      </c>
      <c r="O16" s="249">
        <f>'Distrib pivot table'!M$89</f>
        <v>9153100</v>
      </c>
      <c r="P16" s="249">
        <f>'Distrib pivot table'!M$85</f>
        <v>0</v>
      </c>
      <c r="Q16" s="256">
        <f>'Distrib pivot table'!M$93</f>
        <v>0</v>
      </c>
      <c r="R16" s="6">
        <f>'Distrib pivot table'!M$95</f>
        <v>0</v>
      </c>
      <c r="S16" s="249">
        <f>'Distrib pivot table'!M$91</f>
        <v>0</v>
      </c>
      <c r="T16" s="268">
        <f t="shared" si="3"/>
        <v>37075703</v>
      </c>
    </row>
    <row r="17" spans="1:40" x14ac:dyDescent="0.2">
      <c r="A17" s="73" t="s">
        <v>324</v>
      </c>
      <c r="B17" s="249">
        <f>'Distrib pivot table'!N$75</f>
        <v>0</v>
      </c>
      <c r="C17" s="249">
        <f>'Distrib pivot table'!N$77</f>
        <v>0</v>
      </c>
      <c r="D17" s="250">
        <f>'Distrib pivot table'!N$73</f>
        <v>0</v>
      </c>
      <c r="E17" s="244">
        <f>'Distrib pivot table'!N$81</f>
        <v>0</v>
      </c>
      <c r="F17" s="249">
        <f>'Distrib pivot table'!N$83</f>
        <v>0</v>
      </c>
      <c r="G17" s="249">
        <f>'Distrib pivot table'!N$79</f>
        <v>0</v>
      </c>
      <c r="H17" s="244">
        <f>'Distrib pivot table'!N$69</f>
        <v>0</v>
      </c>
      <c r="I17" s="250">
        <f>'Distrib pivot table'!N$71</f>
        <v>22162388</v>
      </c>
      <c r="J17" s="251">
        <f t="shared" si="0"/>
        <v>0</v>
      </c>
      <c r="K17" s="251">
        <f t="shared" si="1"/>
        <v>22162388</v>
      </c>
      <c r="L17" s="244">
        <f>'Distrib pivot table'!N$67</f>
        <v>0</v>
      </c>
      <c r="M17" s="265">
        <f t="shared" si="2"/>
        <v>22162388</v>
      </c>
      <c r="N17" s="244">
        <f>'Distrib pivot table'!N$87</f>
        <v>122372842</v>
      </c>
      <c r="O17" s="249">
        <f>'Distrib pivot table'!N$89</f>
        <v>4478765</v>
      </c>
      <c r="P17" s="249">
        <f>'Distrib pivot table'!N$85</f>
        <v>0</v>
      </c>
      <c r="Q17" s="256">
        <f>'Distrib pivot table'!N$93</f>
        <v>86351588</v>
      </c>
      <c r="R17" s="6">
        <f>'Distrib pivot table'!N$95</f>
        <v>0</v>
      </c>
      <c r="S17" s="249">
        <f>'Distrib pivot table'!N$91</f>
        <v>0</v>
      </c>
      <c r="T17" s="268">
        <f t="shared" si="3"/>
        <v>235365583</v>
      </c>
    </row>
    <row r="18" spans="1:40" x14ac:dyDescent="0.2">
      <c r="A18" s="73" t="s">
        <v>331</v>
      </c>
      <c r="B18" s="249">
        <f>'Distrib pivot table'!O$75</f>
        <v>0</v>
      </c>
      <c r="C18" s="249">
        <f>'Distrib pivot table'!O$77</f>
        <v>0</v>
      </c>
      <c r="D18" s="250">
        <f>'Distrib pivot table'!O$73</f>
        <v>0</v>
      </c>
      <c r="E18" s="244">
        <f>'Distrib pivot table'!O$81</f>
        <v>0</v>
      </c>
      <c r="F18" s="249">
        <f>'Distrib pivot table'!O$83</f>
        <v>0</v>
      </c>
      <c r="G18" s="249">
        <f>'Distrib pivot table'!O$79</f>
        <v>0</v>
      </c>
      <c r="H18" s="244">
        <f>'Distrib pivot table'!O$69</f>
        <v>0</v>
      </c>
      <c r="I18" s="250">
        <f>'Distrib pivot table'!O$71</f>
        <v>0</v>
      </c>
      <c r="J18" s="251">
        <f t="shared" si="0"/>
        <v>0</v>
      </c>
      <c r="K18" s="251">
        <f t="shared" si="1"/>
        <v>0</v>
      </c>
      <c r="L18" s="244">
        <f>'Distrib pivot table'!O$67</f>
        <v>77232704</v>
      </c>
      <c r="M18" s="265">
        <f t="shared" si="2"/>
        <v>77232704</v>
      </c>
      <c r="N18" s="244">
        <f>'Distrib pivot table'!O$87</f>
        <v>0</v>
      </c>
      <c r="O18" s="249">
        <f>'Distrib pivot table'!O$89</f>
        <v>0</v>
      </c>
      <c r="P18" s="249">
        <f>'Distrib pivot table'!O$85</f>
        <v>0</v>
      </c>
      <c r="Q18" s="256">
        <f>'Distrib pivot table'!O$93</f>
        <v>0</v>
      </c>
      <c r="R18" s="6">
        <f>'Distrib pivot table'!O$95</f>
        <v>0</v>
      </c>
      <c r="S18" s="249">
        <f>'Distrib pivot table'!O$91</f>
        <v>3406848</v>
      </c>
      <c r="T18" s="268">
        <f t="shared" si="3"/>
        <v>80639552</v>
      </c>
    </row>
    <row r="19" spans="1:40" x14ac:dyDescent="0.2">
      <c r="A19" s="73" t="s">
        <v>325</v>
      </c>
      <c r="B19" s="249">
        <f>'Distrib pivot table'!P$75</f>
        <v>20449021.582770318</v>
      </c>
      <c r="C19" s="249">
        <f>'Distrib pivot table'!P$77</f>
        <v>235151754.44716096</v>
      </c>
      <c r="D19" s="250">
        <f>'Distrib pivot table'!P$73</f>
        <v>0</v>
      </c>
      <c r="E19" s="244">
        <f>'Distrib pivot table'!P$81</f>
        <v>4550978.4172296831</v>
      </c>
      <c r="F19" s="249">
        <f>'Distrib pivot table'!P$83</f>
        <v>42236780.552839026</v>
      </c>
      <c r="G19" s="249">
        <f>'Distrib pivot table'!P$79</f>
        <v>0</v>
      </c>
      <c r="H19" s="244">
        <f>'Distrib pivot table'!P$69</f>
        <v>0</v>
      </c>
      <c r="I19" s="250">
        <f>'Distrib pivot table'!P$71</f>
        <v>4545000</v>
      </c>
      <c r="J19" s="251">
        <f t="shared" si="0"/>
        <v>25000000</v>
      </c>
      <c r="K19" s="251">
        <f t="shared" si="1"/>
        <v>281933535</v>
      </c>
      <c r="L19" s="244">
        <f>'Distrib pivot table'!P$67</f>
        <v>0</v>
      </c>
      <c r="M19" s="265">
        <f t="shared" si="2"/>
        <v>306933535</v>
      </c>
      <c r="N19" s="244">
        <f>'Distrib pivot table'!P$87</f>
        <v>0</v>
      </c>
      <c r="O19" s="249">
        <f>'Distrib pivot table'!P$89</f>
        <v>0</v>
      </c>
      <c r="P19" s="249">
        <f>'Distrib pivot table'!P$85</f>
        <v>0</v>
      </c>
      <c r="Q19" s="256">
        <f>'Distrib pivot table'!P$93</f>
        <v>31288622</v>
      </c>
      <c r="R19" s="6">
        <f>'Distrib pivot table'!P$95</f>
        <v>0</v>
      </c>
      <c r="S19" s="249">
        <f>'Distrib pivot table'!P$91</f>
        <v>0</v>
      </c>
      <c r="T19" s="268">
        <f t="shared" si="3"/>
        <v>338222157</v>
      </c>
    </row>
    <row r="20" spans="1:40" x14ac:dyDescent="0.2">
      <c r="A20" s="73" t="s">
        <v>90</v>
      </c>
      <c r="B20" s="249">
        <f>'Distrib pivot table'!Q$75</f>
        <v>113858091.14</v>
      </c>
      <c r="C20" s="249">
        <f>'Distrib pivot table'!Q$77</f>
        <v>165956549</v>
      </c>
      <c r="D20" s="250">
        <f>'Distrib pivot table'!Q$73</f>
        <v>0</v>
      </c>
      <c r="E20" s="244">
        <f>'Distrib pivot table'!Q$81</f>
        <v>46943432.5</v>
      </c>
      <c r="F20" s="249">
        <f>'Distrib pivot table'!Q$83</f>
        <v>40567472.32</v>
      </c>
      <c r="G20" s="249">
        <f>'Distrib pivot table'!Q$79</f>
        <v>0</v>
      </c>
      <c r="H20" s="244">
        <f>'Distrib pivot table'!Q$69</f>
        <v>0</v>
      </c>
      <c r="I20" s="250">
        <f>'Distrib pivot table'!Q$71</f>
        <v>0</v>
      </c>
      <c r="J20" s="251">
        <f t="shared" si="0"/>
        <v>160801523.63999999</v>
      </c>
      <c r="K20" s="251">
        <f t="shared" si="1"/>
        <v>206524021.31999999</v>
      </c>
      <c r="L20" s="244">
        <f>'Distrib pivot table'!Q$67</f>
        <v>0</v>
      </c>
      <c r="M20" s="265">
        <f t="shared" si="2"/>
        <v>367325544.95999998</v>
      </c>
      <c r="N20" s="244">
        <f>'Distrib pivot table'!Q$87</f>
        <v>0</v>
      </c>
      <c r="O20" s="249">
        <f>'Distrib pivot table'!Q$89</f>
        <v>0</v>
      </c>
      <c r="P20" s="249">
        <f>'Distrib pivot table'!Q$85</f>
        <v>0</v>
      </c>
      <c r="Q20" s="256">
        <f>'Distrib pivot table'!Q$93</f>
        <v>0</v>
      </c>
      <c r="R20" s="6">
        <f>'Distrib pivot table'!Q$95</f>
        <v>0</v>
      </c>
      <c r="S20" s="249">
        <f>'Distrib pivot table'!Q$91</f>
        <v>0</v>
      </c>
      <c r="T20" s="268">
        <f t="shared" si="3"/>
        <v>367325544.95999998</v>
      </c>
    </row>
    <row r="21" spans="1:40" x14ac:dyDescent="0.2">
      <c r="A21" s="73" t="s">
        <v>326</v>
      </c>
      <c r="B21" s="249">
        <f>'Distrib pivot table'!R$75</f>
        <v>0</v>
      </c>
      <c r="C21" s="249">
        <f>'Distrib pivot table'!R$77</f>
        <v>0</v>
      </c>
      <c r="D21" s="250">
        <f>'Distrib pivot table'!R$73</f>
        <v>0</v>
      </c>
      <c r="E21" s="244">
        <f>'Distrib pivot table'!R$81</f>
        <v>0</v>
      </c>
      <c r="F21" s="249">
        <f>'Distrib pivot table'!R$83</f>
        <v>0</v>
      </c>
      <c r="G21" s="249">
        <f>'Distrib pivot table'!R$79</f>
        <v>0</v>
      </c>
      <c r="H21" s="244">
        <f>'Distrib pivot table'!R$69</f>
        <v>0</v>
      </c>
      <c r="I21" s="250">
        <f>'Distrib pivot table'!R$71</f>
        <v>20864000</v>
      </c>
      <c r="J21" s="251">
        <f t="shared" si="0"/>
        <v>0</v>
      </c>
      <c r="K21" s="251">
        <f t="shared" si="1"/>
        <v>20864000</v>
      </c>
      <c r="L21" s="244">
        <f>'Distrib pivot table'!R$67</f>
        <v>538468632</v>
      </c>
      <c r="M21" s="265">
        <f t="shared" si="2"/>
        <v>559332632</v>
      </c>
      <c r="N21" s="244">
        <f>'Distrib pivot table'!R$87</f>
        <v>0</v>
      </c>
      <c r="O21" s="249">
        <f>'Distrib pivot table'!R$89</f>
        <v>0</v>
      </c>
      <c r="P21" s="249">
        <f>'Distrib pivot table'!R$85</f>
        <v>0</v>
      </c>
      <c r="Q21" s="256">
        <f>'Distrib pivot table'!R$93</f>
        <v>0</v>
      </c>
      <c r="R21" s="6">
        <f>'Distrib pivot table'!R$95</f>
        <v>0</v>
      </c>
      <c r="S21" s="262">
        <f>'Distrib pivot table'!R$91</f>
        <v>0</v>
      </c>
      <c r="T21" s="268">
        <f t="shared" si="3"/>
        <v>559332632</v>
      </c>
    </row>
    <row r="22" spans="1:40" x14ac:dyDescent="0.2">
      <c r="A22" s="73" t="s">
        <v>327</v>
      </c>
      <c r="B22" s="249">
        <f>'Distrib pivot table'!S$75</f>
        <v>3372105</v>
      </c>
      <c r="C22" s="249">
        <f>'Distrib pivot table'!S$77</f>
        <v>1250000</v>
      </c>
      <c r="D22" s="250">
        <f>'Distrib pivot table'!S$73</f>
        <v>0</v>
      </c>
      <c r="E22" s="244">
        <f>'Distrib pivot table'!S$81</f>
        <v>1041645</v>
      </c>
      <c r="F22" s="249">
        <f>'Distrib pivot table'!S$83</f>
        <v>0</v>
      </c>
      <c r="G22" s="249">
        <f>'Distrib pivot table'!S$79</f>
        <v>0</v>
      </c>
      <c r="H22" s="244">
        <f>'Distrib pivot table'!S$69</f>
        <v>0</v>
      </c>
      <c r="I22" s="250">
        <f>'Distrib pivot table'!S$71</f>
        <v>0</v>
      </c>
      <c r="J22" s="251">
        <f t="shared" si="0"/>
        <v>4413750</v>
      </c>
      <c r="K22" s="251">
        <f t="shared" si="1"/>
        <v>1250000</v>
      </c>
      <c r="L22" s="244">
        <f>'Distrib pivot table'!S$67</f>
        <v>0</v>
      </c>
      <c r="M22" s="265">
        <f t="shared" si="2"/>
        <v>5663750</v>
      </c>
      <c r="N22" s="244">
        <f>'Distrib pivot table'!S$87</f>
        <v>165133966</v>
      </c>
      <c r="O22" s="249">
        <f>'Distrib pivot table'!S$89</f>
        <v>12359822</v>
      </c>
      <c r="P22" s="249">
        <f>'Distrib pivot table'!S$85</f>
        <v>1650000</v>
      </c>
      <c r="Q22" s="256">
        <f>'Distrib pivot table'!S$93</f>
        <v>0</v>
      </c>
      <c r="R22" s="6">
        <f>'Distrib pivot table'!S$95</f>
        <v>64952609</v>
      </c>
      <c r="S22" s="262">
        <f>'Distrib pivot table'!S$91</f>
        <v>0</v>
      </c>
      <c r="T22" s="268">
        <f t="shared" si="3"/>
        <v>249760147</v>
      </c>
    </row>
    <row r="23" spans="1:40" x14ac:dyDescent="0.2">
      <c r="A23" s="74" t="s">
        <v>332</v>
      </c>
      <c r="B23" s="253">
        <f>'Distrib pivot table'!T$75</f>
        <v>37351621</v>
      </c>
      <c r="C23" s="253">
        <f>'Distrib pivot table'!T$77</f>
        <v>42896393</v>
      </c>
      <c r="D23" s="254">
        <f>'Distrib pivot table'!T$73</f>
        <v>0</v>
      </c>
      <c r="E23" s="252">
        <f>'Distrib pivot table'!T$81</f>
        <v>5759867</v>
      </c>
      <c r="F23" s="253">
        <f>'Distrib pivot table'!T$83</f>
        <v>5041796</v>
      </c>
      <c r="G23" s="253">
        <f>'Distrib pivot table'!T$79</f>
        <v>0</v>
      </c>
      <c r="H23" s="252">
        <f>'Distrib pivot table'!T$69</f>
        <v>0</v>
      </c>
      <c r="I23" s="254">
        <f>'Distrib pivot table'!T$71</f>
        <v>0</v>
      </c>
      <c r="J23" s="255">
        <f t="shared" si="0"/>
        <v>43111488</v>
      </c>
      <c r="K23" s="255">
        <f t="shared" si="1"/>
        <v>47938189</v>
      </c>
      <c r="L23" s="252">
        <f>'Distrib pivot table'!T$67</f>
        <v>0</v>
      </c>
      <c r="M23" s="266">
        <f t="shared" si="2"/>
        <v>91049677</v>
      </c>
      <c r="N23" s="252">
        <f>'Distrib pivot table'!T$87</f>
        <v>0</v>
      </c>
      <c r="O23" s="253">
        <f>'Distrib pivot table'!T$89</f>
        <v>0</v>
      </c>
      <c r="P23" s="253">
        <f>'Distrib pivot table'!T$85</f>
        <v>0</v>
      </c>
      <c r="Q23" s="259">
        <f>'Distrib pivot table'!T$93</f>
        <v>0</v>
      </c>
      <c r="R23" s="8">
        <f>'Distrib pivot table'!T$95</f>
        <v>0</v>
      </c>
      <c r="S23" s="263">
        <f>'Distrib pivot table'!T$138</f>
        <v>0</v>
      </c>
      <c r="T23" s="269">
        <f t="shared" si="3"/>
        <v>91049677</v>
      </c>
    </row>
    <row r="24" spans="1:40" x14ac:dyDescent="0.2">
      <c r="A24" s="99"/>
      <c r="B24" s="75"/>
      <c r="C24" s="75"/>
      <c r="D24" s="75"/>
      <c r="E24" s="75"/>
      <c r="F24" s="75"/>
      <c r="G24" s="75"/>
      <c r="H24" s="75"/>
      <c r="I24" s="75"/>
      <c r="J24" s="75"/>
      <c r="K24" s="75"/>
      <c r="L24" s="75"/>
      <c r="M24" s="75"/>
      <c r="N24" s="107"/>
      <c r="O24" s="107"/>
      <c r="P24" s="107"/>
      <c r="S24" s="107"/>
      <c r="AN24" s="6"/>
    </row>
    <row r="25" spans="1:40" ht="15.75" x14ac:dyDescent="0.2">
      <c r="A25" s="218" t="s">
        <v>375</v>
      </c>
      <c r="B25" s="92"/>
      <c r="C25" s="92"/>
      <c r="D25" s="92"/>
      <c r="E25" s="92"/>
      <c r="F25" s="92"/>
      <c r="G25" s="92"/>
      <c r="H25" s="92"/>
      <c r="I25" s="92"/>
      <c r="J25" s="92"/>
      <c r="K25" s="92"/>
      <c r="L25" s="92"/>
      <c r="M25" s="92"/>
      <c r="N25" s="92"/>
      <c r="O25" s="92"/>
      <c r="P25" s="92"/>
      <c r="S25" s="92"/>
      <c r="AN25" s="6"/>
    </row>
    <row r="26" spans="1:40" x14ac:dyDescent="0.2">
      <c r="A26" s="96"/>
      <c r="B26" s="96"/>
      <c r="C26" s="96"/>
      <c r="D26" s="96"/>
      <c r="E26" s="96"/>
      <c r="F26" s="96"/>
      <c r="G26" s="96"/>
      <c r="H26" s="96"/>
      <c r="I26" s="96"/>
      <c r="J26" s="96"/>
      <c r="K26" s="96"/>
      <c r="L26" s="96"/>
      <c r="M26" s="96"/>
      <c r="N26" s="96"/>
      <c r="O26" s="97"/>
      <c r="P26" s="96"/>
      <c r="S26" s="96"/>
      <c r="T26" s="8"/>
      <c r="AN26" s="6"/>
    </row>
    <row r="27" spans="1:40" ht="15.75" x14ac:dyDescent="0.2">
      <c r="A27" s="264"/>
      <c r="B27" s="152" t="s">
        <v>64</v>
      </c>
      <c r="C27" s="152"/>
      <c r="D27" s="152"/>
      <c r="E27" s="152"/>
      <c r="F27" s="152"/>
      <c r="G27" s="152"/>
      <c r="H27" s="152"/>
      <c r="I27" s="152"/>
      <c r="J27" s="152"/>
      <c r="K27" s="152"/>
      <c r="L27" s="152"/>
      <c r="M27" s="156"/>
      <c r="N27" s="239" t="s">
        <v>91</v>
      </c>
      <c r="O27" s="109"/>
      <c r="P27" s="109"/>
      <c r="Q27" s="239" t="s">
        <v>91</v>
      </c>
      <c r="R27" s="109"/>
      <c r="S27" s="109"/>
      <c r="T27" s="260"/>
      <c r="AN27" s="6"/>
    </row>
    <row r="28" spans="1:40" ht="22.5" x14ac:dyDescent="0.2">
      <c r="A28" s="95"/>
      <c r="B28" s="234" t="s">
        <v>63</v>
      </c>
      <c r="C28" s="234"/>
      <c r="D28" s="234"/>
      <c r="E28" s="233" t="s">
        <v>65</v>
      </c>
      <c r="F28" s="234"/>
      <c r="G28" s="234"/>
      <c r="H28" s="233" t="s">
        <v>46</v>
      </c>
      <c r="I28" s="235"/>
      <c r="J28" s="240" t="s">
        <v>97</v>
      </c>
      <c r="K28" s="240"/>
      <c r="L28" s="258" t="s">
        <v>91</v>
      </c>
      <c r="M28" s="258" t="s">
        <v>91</v>
      </c>
      <c r="N28" s="237" t="s">
        <v>67</v>
      </c>
      <c r="O28" s="238"/>
      <c r="P28" s="238"/>
      <c r="Q28" s="237" t="s">
        <v>68</v>
      </c>
      <c r="R28" s="238"/>
      <c r="S28" s="238"/>
      <c r="T28" s="256"/>
      <c r="AN28" s="6"/>
    </row>
    <row r="29" spans="1:40" ht="45" x14ac:dyDescent="0.2">
      <c r="A29" s="50"/>
      <c r="B29" s="51" t="s">
        <v>61</v>
      </c>
      <c r="C29" s="52" t="s">
        <v>62</v>
      </c>
      <c r="D29" s="52" t="s">
        <v>37</v>
      </c>
      <c r="E29" s="53" t="s">
        <v>61</v>
      </c>
      <c r="F29" s="52" t="s">
        <v>62</v>
      </c>
      <c r="G29" s="52" t="s">
        <v>37</v>
      </c>
      <c r="H29" s="53" t="s">
        <v>61</v>
      </c>
      <c r="I29" s="236" t="s">
        <v>62</v>
      </c>
      <c r="J29" s="241" t="s">
        <v>61</v>
      </c>
      <c r="K29" s="242" t="s">
        <v>62</v>
      </c>
      <c r="L29" s="237" t="s">
        <v>38</v>
      </c>
      <c r="M29" s="257" t="s">
        <v>335</v>
      </c>
      <c r="N29" s="53" t="s">
        <v>61</v>
      </c>
      <c r="O29" s="52" t="s">
        <v>62</v>
      </c>
      <c r="P29" s="52" t="s">
        <v>37</v>
      </c>
      <c r="Q29" s="53" t="s">
        <v>61</v>
      </c>
      <c r="R29" s="52" t="s">
        <v>62</v>
      </c>
      <c r="S29" s="52" t="s">
        <v>37</v>
      </c>
      <c r="T29" s="261" t="s">
        <v>335</v>
      </c>
      <c r="AN29" s="6"/>
    </row>
    <row r="30" spans="1:40" x14ac:dyDescent="0.2">
      <c r="A30" s="73" t="s">
        <v>39</v>
      </c>
      <c r="B30" s="626">
        <f>'Distrib pivot table'!U$74</f>
        <v>344885034</v>
      </c>
      <c r="C30" s="631">
        <f>'Distrib pivot table'!U$76</f>
        <v>909613620</v>
      </c>
      <c r="D30" s="632">
        <f>'Distrib pivot table'!U$72</f>
        <v>572679</v>
      </c>
      <c r="E30" s="633">
        <f>'Distrib pivot table'!U$80</f>
        <v>95795093</v>
      </c>
      <c r="F30" s="631">
        <f>'Distrib pivot table'!U$82</f>
        <v>145240594</v>
      </c>
      <c r="G30" s="626">
        <f>'Distrib pivot table'!U$78</f>
        <v>0</v>
      </c>
      <c r="H30" s="633">
        <f>'Distrib pivot table'!U$68</f>
        <v>8637321</v>
      </c>
      <c r="I30" s="634">
        <f>'Distrib pivot table'!U$70</f>
        <v>377189019</v>
      </c>
      <c r="J30" s="243">
        <f>+B30+E30+H30</f>
        <v>449317448</v>
      </c>
      <c r="K30" s="251">
        <f>+C30+F30+I30</f>
        <v>1432043233</v>
      </c>
      <c r="L30" s="633">
        <f>'Distrib pivot table'!U$66</f>
        <v>431908544</v>
      </c>
      <c r="M30" s="635">
        <f>+D30+G30+J30+K30+L30</f>
        <v>2313841904</v>
      </c>
      <c r="N30" s="633">
        <f>'Distrib pivot table'!U$86</f>
        <v>404703674</v>
      </c>
      <c r="O30" s="631">
        <f>'Distrib pivot table'!U$88</f>
        <v>429402539</v>
      </c>
      <c r="P30" s="626">
        <f>'Distrib pivot table'!U$84</f>
        <v>1650000</v>
      </c>
      <c r="Q30" s="633">
        <f>'Distrib pivot table'!U$92</f>
        <v>167833028</v>
      </c>
      <c r="R30" s="631">
        <f>'Distrib pivot table'!U$94</f>
        <v>149544010</v>
      </c>
      <c r="S30" s="626">
        <f>'Distrib pivot table'!U$90</f>
        <v>3406848</v>
      </c>
      <c r="T30" s="267">
        <f>+M30+N30+O30+P30+Q30+R30+S30</f>
        <v>3470382003</v>
      </c>
      <c r="AN30" s="6"/>
    </row>
    <row r="31" spans="1:40" s="470" customFormat="1" x14ac:dyDescent="0.2">
      <c r="A31" s="627" t="s">
        <v>408</v>
      </c>
      <c r="B31" s="628">
        <v>74</v>
      </c>
      <c r="C31" s="628">
        <v>76</v>
      </c>
      <c r="D31" s="628">
        <v>72</v>
      </c>
      <c r="E31" s="629">
        <v>80</v>
      </c>
      <c r="F31" s="628">
        <v>82</v>
      </c>
      <c r="G31" s="628">
        <v>78</v>
      </c>
      <c r="H31" s="629">
        <v>68</v>
      </c>
      <c r="I31" s="630">
        <v>70</v>
      </c>
      <c r="J31" s="468"/>
      <c r="K31" s="467"/>
      <c r="L31" s="630">
        <v>66</v>
      </c>
      <c r="M31" s="469"/>
      <c r="N31" s="630">
        <v>86</v>
      </c>
      <c r="O31" s="630">
        <v>88</v>
      </c>
      <c r="P31" s="630">
        <v>84</v>
      </c>
      <c r="Q31" s="630">
        <v>92</v>
      </c>
      <c r="R31" s="630">
        <v>94</v>
      </c>
      <c r="S31" s="630">
        <v>90</v>
      </c>
      <c r="T31" s="468"/>
      <c r="AN31" s="471"/>
    </row>
    <row r="32" spans="1:40" x14ac:dyDescent="0.2">
      <c r="A32" s="73" t="s">
        <v>320</v>
      </c>
      <c r="B32" s="249">
        <f>'Distrib pivot table'!E$74</f>
        <v>2267538</v>
      </c>
      <c r="C32" s="249">
        <f>'Distrib pivot table'!E$76</f>
        <v>46742322</v>
      </c>
      <c r="D32" s="250">
        <f>'Distrib pivot table'!E$72</f>
        <v>0</v>
      </c>
      <c r="E32" s="244">
        <f>'Distrib pivot table'!E$80</f>
        <v>371439</v>
      </c>
      <c r="F32" s="249">
        <f>'Distrib pivot table'!E$82</f>
        <v>83725</v>
      </c>
      <c r="G32" s="249">
        <f>'Distrib pivot table'!E$78</f>
        <v>0</v>
      </c>
      <c r="H32" s="244">
        <f>'Distrib pivot table'!E$68</f>
        <v>10399</v>
      </c>
      <c r="I32" s="250">
        <f>'Distrib pivot table'!E$70</f>
        <v>1204489</v>
      </c>
      <c r="J32" s="243">
        <f t="shared" ref="J32:J47" si="4">+B32+E32+H32</f>
        <v>2649376</v>
      </c>
      <c r="K32" s="251">
        <f t="shared" ref="K32:K47" si="5">+C32+F32+I32</f>
        <v>48030536</v>
      </c>
      <c r="L32" s="244">
        <f>'Distrib pivot table'!E$66</f>
        <v>0</v>
      </c>
      <c r="M32" s="265">
        <f t="shared" ref="M32:M47" si="6">+D32+G32+J32+K32+L32</f>
        <v>50679912</v>
      </c>
      <c r="N32" s="244">
        <f>'Distrib pivot table'!E$86</f>
        <v>0</v>
      </c>
      <c r="O32" s="249">
        <f>'Distrib pivot table'!E$88</f>
        <v>362500</v>
      </c>
      <c r="P32" s="249">
        <f>'Distrib pivot table'!E$84</f>
        <v>0</v>
      </c>
      <c r="Q32" s="244">
        <f>'Distrib pivot table'!E$92</f>
        <v>0</v>
      </c>
      <c r="R32" s="249">
        <f>'Distrib pivot table'!E$94</f>
        <v>1566962</v>
      </c>
      <c r="S32" s="249">
        <f>'Distrib pivot table'!E$90</f>
        <v>0</v>
      </c>
      <c r="T32" s="268">
        <f t="shared" ref="T32:T47" si="7">+M32+N32+O32+P32+Q32+R32+S32</f>
        <v>52609374</v>
      </c>
      <c r="AN32" s="6"/>
    </row>
    <row r="33" spans="1:40" x14ac:dyDescent="0.2">
      <c r="A33" s="73" t="s">
        <v>334</v>
      </c>
      <c r="B33" s="249">
        <f>'Distrib pivot table'!F$74</f>
        <v>9320724</v>
      </c>
      <c r="C33" s="249">
        <f>'Distrib pivot table'!F$76</f>
        <v>131461256</v>
      </c>
      <c r="D33" s="250">
        <f>'Distrib pivot table'!F$72</f>
        <v>0</v>
      </c>
      <c r="E33" s="244">
        <f>'Distrib pivot table'!F$80</f>
        <v>385000</v>
      </c>
      <c r="F33" s="249">
        <f>'Distrib pivot table'!F$82</f>
        <v>18320000</v>
      </c>
      <c r="G33" s="249">
        <f>'Distrib pivot table'!F$78</f>
        <v>0</v>
      </c>
      <c r="H33" s="244">
        <f>'Distrib pivot table'!F$68</f>
        <v>0</v>
      </c>
      <c r="I33" s="250">
        <f>'Distrib pivot table'!F$70</f>
        <v>200000</v>
      </c>
      <c r="J33" s="243">
        <f t="shared" si="4"/>
        <v>9705724</v>
      </c>
      <c r="K33" s="251">
        <f t="shared" si="5"/>
        <v>149981256</v>
      </c>
      <c r="L33" s="244">
        <f>'Distrib pivot table'!F$66</f>
        <v>0</v>
      </c>
      <c r="M33" s="265">
        <f t="shared" si="6"/>
        <v>159686980</v>
      </c>
      <c r="N33" s="244">
        <f>'Distrib pivot table'!F$86</f>
        <v>0</v>
      </c>
      <c r="O33" s="249">
        <f>'Distrib pivot table'!F$88</f>
        <v>276187</v>
      </c>
      <c r="P33" s="249">
        <f>'Distrib pivot table'!F$84</f>
        <v>0</v>
      </c>
      <c r="Q33" s="244">
        <f>'Distrib pivot table'!F$92</f>
        <v>0</v>
      </c>
      <c r="R33" s="249">
        <f>'Distrib pivot table'!F$94</f>
        <v>0</v>
      </c>
      <c r="S33" s="249">
        <f>'Distrib pivot table'!F$90</f>
        <v>0</v>
      </c>
      <c r="T33" s="268">
        <f t="shared" si="7"/>
        <v>159963167</v>
      </c>
      <c r="AN33" s="6"/>
    </row>
    <row r="34" spans="1:40" x14ac:dyDescent="0.2">
      <c r="A34" s="73" t="s">
        <v>321</v>
      </c>
      <c r="B34" s="248">
        <f>'Distrib pivot table'!G$74</f>
        <v>246042</v>
      </c>
      <c r="C34" s="248">
        <f>'Distrib pivot table'!G$76</f>
        <v>979795</v>
      </c>
      <c r="D34" s="246">
        <f>'Distrib pivot table'!G$72</f>
        <v>0</v>
      </c>
      <c r="E34" s="245">
        <f>'Distrib pivot table'!G$80</f>
        <v>387241</v>
      </c>
      <c r="F34" s="248">
        <f>'Distrib pivot table'!G$82</f>
        <v>591943</v>
      </c>
      <c r="G34" s="249">
        <f>'Distrib pivot table'!G$78</f>
        <v>0</v>
      </c>
      <c r="H34" s="245">
        <f>'Distrib pivot table'!G$68</f>
        <v>7500</v>
      </c>
      <c r="I34" s="246">
        <f>'Distrib pivot table'!G$70</f>
        <v>1331924</v>
      </c>
      <c r="J34" s="247">
        <f t="shared" si="4"/>
        <v>640783</v>
      </c>
      <c r="K34" s="247">
        <f t="shared" si="5"/>
        <v>2903662</v>
      </c>
      <c r="L34" s="245">
        <f>'Distrib pivot table'!G$66</f>
        <v>1527196</v>
      </c>
      <c r="M34" s="265">
        <f t="shared" si="6"/>
        <v>5071641</v>
      </c>
      <c r="N34" s="245">
        <f>'Distrib pivot table'!G$86</f>
        <v>0</v>
      </c>
      <c r="O34" s="248">
        <f>'Distrib pivot table'!G$88</f>
        <v>0</v>
      </c>
      <c r="P34" s="249">
        <f>'Distrib pivot table'!G$84</f>
        <v>0</v>
      </c>
      <c r="Q34" s="256">
        <f>'Distrib pivot table'!G$92</f>
        <v>0</v>
      </c>
      <c r="R34" s="6">
        <f>'Distrib pivot table'!G$94</f>
        <v>0</v>
      </c>
      <c r="S34" s="249">
        <f>'Distrib pivot table'!G$90</f>
        <v>0</v>
      </c>
      <c r="T34" s="268">
        <f t="shared" si="7"/>
        <v>5071641</v>
      </c>
      <c r="AN34" s="6"/>
    </row>
    <row r="35" spans="1:40" x14ac:dyDescent="0.2">
      <c r="A35" s="73" t="s">
        <v>328</v>
      </c>
      <c r="B35" s="248">
        <f>'Distrib pivot table'!H$74</f>
        <v>0</v>
      </c>
      <c r="C35" s="248">
        <f>'Distrib pivot table'!H$76</f>
        <v>0</v>
      </c>
      <c r="D35" s="246">
        <f>'Distrib pivot table'!H$72</f>
        <v>0</v>
      </c>
      <c r="E35" s="245">
        <f>'Distrib pivot table'!H$80</f>
        <v>0</v>
      </c>
      <c r="F35" s="248">
        <f>'Distrib pivot table'!H$82</f>
        <v>0</v>
      </c>
      <c r="G35" s="249">
        <f>'Distrib pivot table'!H$78</f>
        <v>0</v>
      </c>
      <c r="H35" s="245">
        <f>'Distrib pivot table'!H$68</f>
        <v>8619422</v>
      </c>
      <c r="I35" s="246">
        <f>'Distrib pivot table'!H$70</f>
        <v>332304842</v>
      </c>
      <c r="J35" s="247">
        <f t="shared" si="4"/>
        <v>8619422</v>
      </c>
      <c r="K35" s="247">
        <f t="shared" si="5"/>
        <v>332304842</v>
      </c>
      <c r="L35" s="245">
        <f>'Distrib pivot table'!H$66</f>
        <v>0</v>
      </c>
      <c r="M35" s="265">
        <f t="shared" si="6"/>
        <v>340924264</v>
      </c>
      <c r="N35" s="245">
        <f>'Distrib pivot table'!H$86</f>
        <v>104703724</v>
      </c>
      <c r="O35" s="248">
        <f>'Distrib pivot table'!H$88</f>
        <v>945468</v>
      </c>
      <c r="P35" s="249">
        <f>'Distrib pivot table'!H$84</f>
        <v>0</v>
      </c>
      <c r="Q35" s="256">
        <f>'Distrib pivot table'!H$92</f>
        <v>22383330</v>
      </c>
      <c r="R35" s="6">
        <f>'Distrib pivot table'!H$94</f>
        <v>81268637</v>
      </c>
      <c r="S35" s="249">
        <f>'Distrib pivot table'!H$90</f>
        <v>0</v>
      </c>
      <c r="T35" s="268">
        <f t="shared" si="7"/>
        <v>550225423</v>
      </c>
      <c r="AN35" s="6"/>
    </row>
    <row r="36" spans="1:40" x14ac:dyDescent="0.2">
      <c r="A36" s="73" t="s">
        <v>329</v>
      </c>
      <c r="B36" s="248">
        <f>'Distrib pivot table'!I$74</f>
        <v>0</v>
      </c>
      <c r="C36" s="248">
        <f>'Distrib pivot table'!I$76</f>
        <v>376761</v>
      </c>
      <c r="D36" s="246">
        <f>'Distrib pivot table'!I$72</f>
        <v>0</v>
      </c>
      <c r="E36" s="245">
        <f>'Distrib pivot table'!I$80</f>
        <v>0</v>
      </c>
      <c r="F36" s="248">
        <f>'Distrib pivot table'!I$82</f>
        <v>701750</v>
      </c>
      <c r="G36" s="249">
        <f>'Distrib pivot table'!I$78</f>
        <v>0</v>
      </c>
      <c r="H36" s="245">
        <f>'Distrib pivot table'!I$68</f>
        <v>0</v>
      </c>
      <c r="I36" s="246">
        <f>'Distrib pivot table'!I$70</f>
        <v>0</v>
      </c>
      <c r="J36" s="247">
        <f t="shared" si="4"/>
        <v>0</v>
      </c>
      <c r="K36" s="247">
        <f t="shared" si="5"/>
        <v>1078511</v>
      </c>
      <c r="L36" s="245">
        <f>'Distrib pivot table'!I$66</f>
        <v>0</v>
      </c>
      <c r="M36" s="265">
        <f t="shared" si="6"/>
        <v>1078511</v>
      </c>
      <c r="N36" s="245">
        <f>'Distrib pivot table'!I$86</f>
        <v>0</v>
      </c>
      <c r="O36" s="248">
        <f>'Distrib pivot table'!I$88</f>
        <v>401800599</v>
      </c>
      <c r="P36" s="249">
        <f>'Distrib pivot table'!I$84</f>
        <v>0</v>
      </c>
      <c r="Q36" s="256">
        <f>'Distrib pivot table'!I$92</f>
        <v>0</v>
      </c>
      <c r="R36" s="6">
        <f>'Distrib pivot table'!I$94</f>
        <v>1094862</v>
      </c>
      <c r="S36" s="249">
        <f>'Distrib pivot table'!I$90</f>
        <v>0</v>
      </c>
      <c r="T36" s="268">
        <f t="shared" si="7"/>
        <v>403973972</v>
      </c>
      <c r="AN36" s="6"/>
    </row>
    <row r="37" spans="1:40" x14ac:dyDescent="0.2">
      <c r="A37" s="73" t="s">
        <v>322</v>
      </c>
      <c r="B37" s="249">
        <f>'Distrib pivot table'!J$74</f>
        <v>41253823</v>
      </c>
      <c r="C37" s="249">
        <f>'Distrib pivot table'!J$76</f>
        <v>83358911</v>
      </c>
      <c r="D37" s="250">
        <f>'Distrib pivot table'!J$72</f>
        <v>0</v>
      </c>
      <c r="E37" s="244">
        <f>'Distrib pivot table'!J$80</f>
        <v>15844234</v>
      </c>
      <c r="F37" s="249">
        <f>'Distrib pivot table'!J$82</f>
        <v>18512353</v>
      </c>
      <c r="G37" s="249">
        <f>'Distrib pivot table'!J$78</f>
        <v>0</v>
      </c>
      <c r="H37" s="244">
        <f>'Distrib pivot table'!J$68</f>
        <v>0</v>
      </c>
      <c r="I37" s="250">
        <f>'Distrib pivot table'!J$70</f>
        <v>0</v>
      </c>
      <c r="J37" s="251">
        <f t="shared" si="4"/>
        <v>57098057</v>
      </c>
      <c r="K37" s="251">
        <f t="shared" si="5"/>
        <v>101871264</v>
      </c>
      <c r="L37" s="244">
        <f>'Distrib pivot table'!J$66</f>
        <v>0</v>
      </c>
      <c r="M37" s="265">
        <f t="shared" si="6"/>
        <v>158969321</v>
      </c>
      <c r="N37" s="244">
        <f>'Distrib pivot table'!J$86</f>
        <v>0</v>
      </c>
      <c r="O37" s="249">
        <f>'Distrib pivot table'!J$88</f>
        <v>0</v>
      </c>
      <c r="P37" s="249">
        <f>'Distrib pivot table'!J$84</f>
        <v>0</v>
      </c>
      <c r="Q37" s="256">
        <f>'Distrib pivot table'!J$92</f>
        <v>29735109</v>
      </c>
      <c r="R37" s="6">
        <f>'Distrib pivot table'!J$94</f>
        <v>660940</v>
      </c>
      <c r="S37" s="249">
        <f>'Distrib pivot table'!J$90</f>
        <v>0</v>
      </c>
      <c r="T37" s="268">
        <f t="shared" si="7"/>
        <v>189365370</v>
      </c>
      <c r="AN37" s="6"/>
    </row>
    <row r="38" spans="1:40" x14ac:dyDescent="0.2">
      <c r="A38" s="73" t="s">
        <v>217</v>
      </c>
      <c r="B38" s="249">
        <f>'Distrib pivot table'!K$74</f>
        <v>23823140</v>
      </c>
      <c r="C38" s="249">
        <f>'Distrib pivot table'!K$76</f>
        <v>176903369</v>
      </c>
      <c r="D38" s="250">
        <f>'Distrib pivot table'!K$72</f>
        <v>0</v>
      </c>
      <c r="E38" s="244">
        <f>'Distrib pivot table'!K$80</f>
        <v>2340677</v>
      </c>
      <c r="F38" s="249">
        <f>'Distrib pivot table'!K$82</f>
        <v>14121895</v>
      </c>
      <c r="G38" s="249">
        <f>'Distrib pivot table'!K$78</f>
        <v>0</v>
      </c>
      <c r="H38" s="244">
        <f>'Distrib pivot table'!K$68</f>
        <v>0</v>
      </c>
      <c r="I38" s="250">
        <f>'Distrib pivot table'!K$70</f>
        <v>0</v>
      </c>
      <c r="J38" s="251">
        <f t="shared" si="4"/>
        <v>26163817</v>
      </c>
      <c r="K38" s="251">
        <f t="shared" si="5"/>
        <v>191025264</v>
      </c>
      <c r="L38" s="244">
        <f>'Distrib pivot table'!K$66</f>
        <v>0</v>
      </c>
      <c r="M38" s="265">
        <f t="shared" si="6"/>
        <v>217189081</v>
      </c>
      <c r="N38" s="244">
        <f>'Distrib pivot table'!K$86</f>
        <v>0</v>
      </c>
      <c r="O38" s="249">
        <f>'Distrib pivot table'!K$88</f>
        <v>0</v>
      </c>
      <c r="P38" s="249">
        <f>'Distrib pivot table'!K$84</f>
        <v>0</v>
      </c>
      <c r="Q38" s="256">
        <f>'Distrib pivot table'!K$92</f>
        <v>0</v>
      </c>
      <c r="R38" s="6">
        <f>'Distrib pivot table'!K$94</f>
        <v>0</v>
      </c>
      <c r="S38" s="249">
        <f>'Distrib pivot table'!K$90</f>
        <v>0</v>
      </c>
      <c r="T38" s="268">
        <f t="shared" si="7"/>
        <v>217189081</v>
      </c>
      <c r="AN38" s="6"/>
    </row>
    <row r="39" spans="1:40" x14ac:dyDescent="0.2">
      <c r="A39" s="73" t="s">
        <v>333</v>
      </c>
      <c r="B39" s="249">
        <f>'Distrib pivot table'!L$74</f>
        <v>77032959</v>
      </c>
      <c r="C39" s="249">
        <f>'Distrib pivot table'!L$76</f>
        <v>9139068</v>
      </c>
      <c r="D39" s="250">
        <f>'Distrib pivot table'!L$72</f>
        <v>0</v>
      </c>
      <c r="E39" s="244">
        <f>'Distrib pivot table'!L$80</f>
        <v>17095445</v>
      </c>
      <c r="F39" s="249">
        <f>'Distrib pivot table'!L$82</f>
        <v>2188611</v>
      </c>
      <c r="G39" s="249">
        <f>'Distrib pivot table'!L$78</f>
        <v>0</v>
      </c>
      <c r="H39" s="244">
        <f>'Distrib pivot table'!L$68</f>
        <v>0</v>
      </c>
      <c r="I39" s="250">
        <f>'Distrib pivot table'!L$70</f>
        <v>0</v>
      </c>
      <c r="J39" s="251">
        <f t="shared" si="4"/>
        <v>94128404</v>
      </c>
      <c r="K39" s="251">
        <f t="shared" si="5"/>
        <v>11327679</v>
      </c>
      <c r="L39" s="244">
        <f>'Distrib pivot table'!L$66</f>
        <v>0</v>
      </c>
      <c r="M39" s="265">
        <f t="shared" si="6"/>
        <v>105456083</v>
      </c>
      <c r="N39" s="244">
        <f>'Distrib pivot table'!L$86</f>
        <v>0</v>
      </c>
      <c r="O39" s="249">
        <f>'Distrib pivot table'!L$88</f>
        <v>0</v>
      </c>
      <c r="P39" s="249">
        <f>'Distrib pivot table'!L$84</f>
        <v>0</v>
      </c>
      <c r="Q39" s="256">
        <f>'Distrib pivot table'!L$92</f>
        <v>0</v>
      </c>
      <c r="R39" s="6">
        <f>'Distrib pivot table'!L$94</f>
        <v>0</v>
      </c>
      <c r="S39" s="249">
        <f>'Distrib pivot table'!L$90</f>
        <v>0</v>
      </c>
      <c r="T39" s="268">
        <f t="shared" si="7"/>
        <v>105456083</v>
      </c>
      <c r="AN39" s="6"/>
    </row>
    <row r="40" spans="1:40" x14ac:dyDescent="0.2">
      <c r="A40" s="73" t="s">
        <v>323</v>
      </c>
      <c r="B40" s="249">
        <f>'Distrib pivot table'!M$74</f>
        <v>6656268</v>
      </c>
      <c r="C40" s="249">
        <f>'Distrib pivot table'!M$76</f>
        <v>12625636</v>
      </c>
      <c r="D40" s="249">
        <f>'Distrib pivot table'!M$72</f>
        <v>572679</v>
      </c>
      <c r="E40" s="244">
        <f>'Distrib pivot table'!M$80</f>
        <v>504003</v>
      </c>
      <c r="F40" s="249">
        <f>'Distrib pivot table'!M$82</f>
        <v>2920035</v>
      </c>
      <c r="G40" s="249">
        <f>'Distrib pivot table'!M$78</f>
        <v>0</v>
      </c>
      <c r="H40" s="244">
        <f>'Distrib pivot table'!M$68</f>
        <v>0</v>
      </c>
      <c r="I40" s="250">
        <f>'Distrib pivot table'!M$70</f>
        <v>358376</v>
      </c>
      <c r="J40" s="251">
        <f t="shared" si="4"/>
        <v>7160271</v>
      </c>
      <c r="K40" s="251">
        <f t="shared" si="5"/>
        <v>15904047</v>
      </c>
      <c r="L40" s="244">
        <f>'Distrib pivot table'!M$66</f>
        <v>0</v>
      </c>
      <c r="M40" s="265">
        <f t="shared" si="6"/>
        <v>23636997</v>
      </c>
      <c r="N40" s="244">
        <f>'Distrib pivot table'!M$86</f>
        <v>750000</v>
      </c>
      <c r="O40" s="249">
        <f>'Distrib pivot table'!M$88</f>
        <v>8206842</v>
      </c>
      <c r="P40" s="249">
        <f>'Distrib pivot table'!M$84</f>
        <v>0</v>
      </c>
      <c r="Q40" s="256">
        <f>'Distrib pivot table'!M$92</f>
        <v>0</v>
      </c>
      <c r="R40" s="6">
        <f>'Distrib pivot table'!M$94</f>
        <v>0</v>
      </c>
      <c r="S40" s="249">
        <f>'Distrib pivot table'!M$90</f>
        <v>0</v>
      </c>
      <c r="T40" s="268">
        <f t="shared" si="7"/>
        <v>32593839</v>
      </c>
      <c r="AN40" s="6"/>
    </row>
    <row r="41" spans="1:40" x14ac:dyDescent="0.2">
      <c r="A41" s="73" t="s">
        <v>324</v>
      </c>
      <c r="B41" s="249">
        <f>'Distrib pivot table'!N$74</f>
        <v>0</v>
      </c>
      <c r="C41" s="249">
        <f>'Distrib pivot table'!N$76</f>
        <v>0</v>
      </c>
      <c r="D41" s="250">
        <f>'Distrib pivot table'!N$72</f>
        <v>0</v>
      </c>
      <c r="E41" s="244">
        <f>'Distrib pivot table'!N$80</f>
        <v>0</v>
      </c>
      <c r="F41" s="249">
        <f>'Distrib pivot table'!N$82</f>
        <v>0</v>
      </c>
      <c r="G41" s="249">
        <f>'Distrib pivot table'!N$78</f>
        <v>0</v>
      </c>
      <c r="H41" s="244">
        <f>'Distrib pivot table'!N$68</f>
        <v>0</v>
      </c>
      <c r="I41" s="250">
        <f>'Distrib pivot table'!N$70</f>
        <v>22425388</v>
      </c>
      <c r="J41" s="251">
        <f t="shared" si="4"/>
        <v>0</v>
      </c>
      <c r="K41" s="251">
        <f t="shared" si="5"/>
        <v>22425388</v>
      </c>
      <c r="L41" s="244">
        <f>'Distrib pivot table'!N$66</f>
        <v>0</v>
      </c>
      <c r="M41" s="265">
        <f t="shared" si="6"/>
        <v>22425388</v>
      </c>
      <c r="N41" s="244">
        <f>'Distrib pivot table'!N$86</f>
        <v>144455208</v>
      </c>
      <c r="O41" s="249">
        <f>'Distrib pivot table'!N$88</f>
        <v>5451121</v>
      </c>
      <c r="P41" s="249">
        <f>'Distrib pivot table'!N$84</f>
        <v>0</v>
      </c>
      <c r="Q41" s="256">
        <f>'Distrib pivot table'!N$92</f>
        <v>86351547</v>
      </c>
      <c r="R41" s="6">
        <f>'Distrib pivot table'!N$94</f>
        <v>0</v>
      </c>
      <c r="S41" s="249">
        <f>'Distrib pivot table'!N$90</f>
        <v>0</v>
      </c>
      <c r="T41" s="268">
        <f t="shared" si="7"/>
        <v>258683264</v>
      </c>
      <c r="U41" s="408"/>
      <c r="AN41" s="6"/>
    </row>
    <row r="42" spans="1:40" x14ac:dyDescent="0.2">
      <c r="A42" s="73" t="s">
        <v>331</v>
      </c>
      <c r="B42" s="249">
        <f>'Distrib pivot table'!O$74</f>
        <v>0</v>
      </c>
      <c r="C42" s="249">
        <f>'Distrib pivot table'!O$76</f>
        <v>0</v>
      </c>
      <c r="D42" s="250">
        <f>'Distrib pivot table'!O$72</f>
        <v>0</v>
      </c>
      <c r="E42" s="244">
        <f>'Distrib pivot table'!O$80</f>
        <v>0</v>
      </c>
      <c r="F42" s="249">
        <f>'Distrib pivot table'!O$82</f>
        <v>0</v>
      </c>
      <c r="G42" s="249">
        <f>'Distrib pivot table'!O$78</f>
        <v>0</v>
      </c>
      <c r="H42" s="244">
        <f>'Distrib pivot table'!O$68</f>
        <v>0</v>
      </c>
      <c r="I42" s="250">
        <f>'Distrib pivot table'!O$70</f>
        <v>0</v>
      </c>
      <c r="J42" s="251">
        <f t="shared" si="4"/>
        <v>0</v>
      </c>
      <c r="K42" s="251">
        <f t="shared" si="5"/>
        <v>0</v>
      </c>
      <c r="L42" s="244">
        <f>'Distrib pivot table'!O$66</f>
        <v>77232704</v>
      </c>
      <c r="M42" s="265">
        <f t="shared" si="6"/>
        <v>77232704</v>
      </c>
      <c r="N42" s="244">
        <f>'Distrib pivot table'!O$86</f>
        <v>0</v>
      </c>
      <c r="O42" s="249">
        <f>'Distrib pivot table'!O$88</f>
        <v>0</v>
      </c>
      <c r="P42" s="249">
        <f>'Distrib pivot table'!O$84</f>
        <v>0</v>
      </c>
      <c r="Q42" s="256">
        <f>'Distrib pivot table'!O$92</f>
        <v>0</v>
      </c>
      <c r="R42" s="6">
        <f>'Distrib pivot table'!O$94</f>
        <v>0</v>
      </c>
      <c r="S42" s="249">
        <f>'Distrib pivot table'!O$90</f>
        <v>3406848</v>
      </c>
      <c r="T42" s="268">
        <f t="shared" si="7"/>
        <v>80639552</v>
      </c>
      <c r="AN42" s="6"/>
    </row>
    <row r="43" spans="1:40" x14ac:dyDescent="0.2">
      <c r="A43" s="73" t="s">
        <v>325</v>
      </c>
      <c r="B43" s="249">
        <f>'Distrib pivot table'!P$74</f>
        <v>22965949</v>
      </c>
      <c r="C43" s="249">
        <f>'Distrib pivot table'!P$76</f>
        <v>236168271</v>
      </c>
      <c r="D43" s="250">
        <f>'Distrib pivot table'!P$72</f>
        <v>0</v>
      </c>
      <c r="E43" s="244">
        <f>'Distrib pivot table'!P$80</f>
        <v>4665617</v>
      </c>
      <c r="F43" s="249">
        <f>'Distrib pivot table'!P$82</f>
        <v>42960264</v>
      </c>
      <c r="G43" s="249">
        <f>'Distrib pivot table'!P$78</f>
        <v>0</v>
      </c>
      <c r="H43" s="244">
        <f>'Distrib pivot table'!P$68</f>
        <v>0</v>
      </c>
      <c r="I43" s="250">
        <f>'Distrib pivot table'!P$70</f>
        <v>1700000</v>
      </c>
      <c r="J43" s="251">
        <f t="shared" si="4"/>
        <v>27631566</v>
      </c>
      <c r="K43" s="251">
        <f t="shared" si="5"/>
        <v>280828535</v>
      </c>
      <c r="L43" s="244">
        <f>'Distrib pivot table'!P$66</f>
        <v>0</v>
      </c>
      <c r="M43" s="265">
        <f t="shared" si="6"/>
        <v>308460101</v>
      </c>
      <c r="N43" s="244">
        <f>'Distrib pivot table'!P$86</f>
        <v>0</v>
      </c>
      <c r="O43" s="249">
        <f>'Distrib pivot table'!P$88</f>
        <v>0</v>
      </c>
      <c r="P43" s="249">
        <f>'Distrib pivot table'!P$84</f>
        <v>0</v>
      </c>
      <c r="Q43" s="256">
        <f>'Distrib pivot table'!P$92</f>
        <v>29363042</v>
      </c>
      <c r="R43" s="6">
        <f>'Distrib pivot table'!P$94</f>
        <v>0</v>
      </c>
      <c r="S43" s="249">
        <f>'Distrib pivot table'!P$90</f>
        <v>0</v>
      </c>
      <c r="T43" s="268">
        <f t="shared" si="7"/>
        <v>337823143</v>
      </c>
      <c r="AN43" s="6"/>
    </row>
    <row r="44" spans="1:40" x14ac:dyDescent="0.2">
      <c r="A44" s="73" t="s">
        <v>90</v>
      </c>
      <c r="B44" s="249">
        <f>'Distrib pivot table'!Q$74</f>
        <v>120677649</v>
      </c>
      <c r="C44" s="249">
        <f>'Distrib pivot table'!Q$76</f>
        <v>167356454</v>
      </c>
      <c r="D44" s="250">
        <f>'Distrib pivot table'!Q$72</f>
        <v>0</v>
      </c>
      <c r="E44" s="244">
        <f>'Distrib pivot table'!Q$80</f>
        <v>47269831</v>
      </c>
      <c r="F44" s="249">
        <f>'Distrib pivot table'!Q$82</f>
        <v>40256143</v>
      </c>
      <c r="G44" s="249">
        <f>'Distrib pivot table'!Q$78</f>
        <v>0</v>
      </c>
      <c r="H44" s="244">
        <f>'Distrib pivot table'!Q$68</f>
        <v>0</v>
      </c>
      <c r="I44" s="250">
        <f>'Distrib pivot table'!Q$70</f>
        <v>0</v>
      </c>
      <c r="J44" s="251">
        <f t="shared" si="4"/>
        <v>167947480</v>
      </c>
      <c r="K44" s="251">
        <f t="shared" si="5"/>
        <v>207612597</v>
      </c>
      <c r="L44" s="244">
        <f>'Distrib pivot table'!Q$66</f>
        <v>0</v>
      </c>
      <c r="M44" s="265">
        <f t="shared" si="6"/>
        <v>375560077</v>
      </c>
      <c r="N44" s="244">
        <f>'Distrib pivot table'!Q$86</f>
        <v>0</v>
      </c>
      <c r="O44" s="249">
        <f>'Distrib pivot table'!Q$88</f>
        <v>0</v>
      </c>
      <c r="P44" s="249">
        <f>'Distrib pivot table'!Q$84</f>
        <v>0</v>
      </c>
      <c r="Q44" s="256">
        <f>'Distrib pivot table'!Q$92</f>
        <v>0</v>
      </c>
      <c r="R44" s="6">
        <f>'Distrib pivot table'!Q$94</f>
        <v>0</v>
      </c>
      <c r="S44" s="249">
        <f>'Distrib pivot table'!Q$90</f>
        <v>0</v>
      </c>
      <c r="T44" s="268">
        <f t="shared" si="7"/>
        <v>375560077</v>
      </c>
      <c r="AN44" s="6"/>
    </row>
    <row r="45" spans="1:40" x14ac:dyDescent="0.2">
      <c r="A45" s="73" t="s">
        <v>326</v>
      </c>
      <c r="B45" s="249">
        <f>'Distrib pivot table'!R$74</f>
        <v>0</v>
      </c>
      <c r="C45" s="249">
        <f>'Distrib pivot table'!R$76</f>
        <v>0</v>
      </c>
      <c r="D45" s="250">
        <f>'Distrib pivot table'!R$72</f>
        <v>0</v>
      </c>
      <c r="E45" s="244">
        <f>'Distrib pivot table'!R$80</f>
        <v>0</v>
      </c>
      <c r="F45" s="249">
        <f>'Distrib pivot table'!R$82</f>
        <v>0</v>
      </c>
      <c r="G45" s="249">
        <f>'Distrib pivot table'!R$78</f>
        <v>0</v>
      </c>
      <c r="H45" s="244">
        <f>'Distrib pivot table'!R$68</f>
        <v>0</v>
      </c>
      <c r="I45" s="250">
        <f>'Distrib pivot table'!R$70</f>
        <v>17664000</v>
      </c>
      <c r="J45" s="251">
        <f t="shared" si="4"/>
        <v>0</v>
      </c>
      <c r="K45" s="251">
        <f t="shared" si="5"/>
        <v>17664000</v>
      </c>
      <c r="L45" s="244">
        <f>'Distrib pivot table'!R$66</f>
        <v>353148644</v>
      </c>
      <c r="M45" s="265">
        <f t="shared" si="6"/>
        <v>370812644</v>
      </c>
      <c r="N45" s="244">
        <f>'Distrib pivot table'!R$86</f>
        <v>0</v>
      </c>
      <c r="O45" s="249">
        <f>'Distrib pivot table'!R$88</f>
        <v>0</v>
      </c>
      <c r="P45" s="249">
        <f>'Distrib pivot table'!R$84</f>
        <v>0</v>
      </c>
      <c r="Q45" s="256">
        <f>'Distrib pivot table'!R$92</f>
        <v>0</v>
      </c>
      <c r="R45" s="6">
        <f>'Distrib pivot table'!R$94</f>
        <v>0</v>
      </c>
      <c r="S45" s="262">
        <f>'Distrib pivot table'!R$90</f>
        <v>0</v>
      </c>
      <c r="T45" s="268">
        <f t="shared" si="7"/>
        <v>370812644</v>
      </c>
      <c r="AN45" s="6"/>
    </row>
    <row r="46" spans="1:40" x14ac:dyDescent="0.2">
      <c r="A46" s="73" t="s">
        <v>327</v>
      </c>
      <c r="B46" s="249">
        <f>'Distrib pivot table'!S$74</f>
        <v>3372105</v>
      </c>
      <c r="C46" s="249">
        <f>'Distrib pivot table'!S$76</f>
        <v>1250000</v>
      </c>
      <c r="D46" s="250">
        <f>'Distrib pivot table'!S$72</f>
        <v>0</v>
      </c>
      <c r="E46" s="244">
        <f>'Distrib pivot table'!S$80</f>
        <v>1041645</v>
      </c>
      <c r="F46" s="249">
        <f>'Distrib pivot table'!S$82</f>
        <v>0</v>
      </c>
      <c r="G46" s="249">
        <f>'Distrib pivot table'!S$78</f>
        <v>0</v>
      </c>
      <c r="H46" s="244">
        <f>'Distrib pivot table'!S$68</f>
        <v>0</v>
      </c>
      <c r="I46" s="250">
        <f>'Distrib pivot table'!S$70</f>
        <v>0</v>
      </c>
      <c r="J46" s="251">
        <f t="shared" si="4"/>
        <v>4413750</v>
      </c>
      <c r="K46" s="251">
        <f t="shared" si="5"/>
        <v>1250000</v>
      </c>
      <c r="L46" s="244">
        <f>'Distrib pivot table'!S$66</f>
        <v>0</v>
      </c>
      <c r="M46" s="265">
        <f t="shared" si="6"/>
        <v>5663750</v>
      </c>
      <c r="N46" s="244">
        <f>'Distrib pivot table'!S$86</f>
        <v>154794742</v>
      </c>
      <c r="O46" s="249">
        <f>'Distrib pivot table'!S$88</f>
        <v>12359822</v>
      </c>
      <c r="P46" s="249">
        <f>'Distrib pivot table'!S$84</f>
        <v>1650000</v>
      </c>
      <c r="Q46" s="256">
        <f>'Distrib pivot table'!S$92</f>
        <v>0</v>
      </c>
      <c r="R46" s="6">
        <f>'Distrib pivot table'!S$94</f>
        <v>64952609</v>
      </c>
      <c r="S46" s="262">
        <f>'Distrib pivot table'!S$90</f>
        <v>0</v>
      </c>
      <c r="T46" s="268">
        <f t="shared" si="7"/>
        <v>239420923</v>
      </c>
      <c r="AN46" s="6"/>
    </row>
    <row r="47" spans="1:40" x14ac:dyDescent="0.2">
      <c r="A47" s="74" t="s">
        <v>332</v>
      </c>
      <c r="B47" s="253">
        <f>'Distrib pivot table'!T$74</f>
        <v>37268837</v>
      </c>
      <c r="C47" s="253">
        <f>'Distrib pivot table'!T$76</f>
        <v>43251777</v>
      </c>
      <c r="D47" s="254">
        <f>'Distrib pivot table'!T$72</f>
        <v>0</v>
      </c>
      <c r="E47" s="252">
        <f>'Distrib pivot table'!T$80</f>
        <v>5889961</v>
      </c>
      <c r="F47" s="253">
        <f>'Distrib pivot table'!T$82</f>
        <v>4583875</v>
      </c>
      <c r="G47" s="253">
        <f>'Distrib pivot table'!T$78</f>
        <v>0</v>
      </c>
      <c r="H47" s="252">
        <f>'Distrib pivot table'!T$68</f>
        <v>0</v>
      </c>
      <c r="I47" s="254">
        <f>'Distrib pivot table'!T$70</f>
        <v>0</v>
      </c>
      <c r="J47" s="255">
        <f t="shared" si="4"/>
        <v>43158798</v>
      </c>
      <c r="K47" s="255">
        <f t="shared" si="5"/>
        <v>47835652</v>
      </c>
      <c r="L47" s="252">
        <f>'Distrib pivot table'!T$66</f>
        <v>0</v>
      </c>
      <c r="M47" s="266">
        <f t="shared" si="6"/>
        <v>90994450</v>
      </c>
      <c r="N47" s="252">
        <f>'Distrib pivot table'!T$86</f>
        <v>0</v>
      </c>
      <c r="O47" s="253">
        <f>'Distrib pivot table'!T$88</f>
        <v>0</v>
      </c>
      <c r="P47" s="253">
        <f>'Distrib pivot table'!T$84</f>
        <v>0</v>
      </c>
      <c r="Q47" s="259">
        <f>'Distrib pivot table'!T$92</f>
        <v>0</v>
      </c>
      <c r="R47" s="8">
        <f>'Distrib pivot table'!T$94</f>
        <v>0</v>
      </c>
      <c r="S47" s="263">
        <f>'Distrib pivot table'!T$90</f>
        <v>0</v>
      </c>
      <c r="T47" s="269">
        <f t="shared" si="7"/>
        <v>90994450</v>
      </c>
      <c r="AN47" s="6"/>
    </row>
    <row r="48" spans="1:40" ht="24" customHeight="1" x14ac:dyDescent="0.2">
      <c r="A48" s="99"/>
      <c r="B48" s="75"/>
      <c r="C48" s="75"/>
      <c r="D48" s="75"/>
      <c r="E48" s="75"/>
      <c r="F48" s="75"/>
      <c r="G48" s="75"/>
      <c r="H48" s="75"/>
      <c r="I48" s="75"/>
      <c r="J48" s="75"/>
      <c r="K48" s="75"/>
      <c r="L48" s="75"/>
      <c r="M48" s="75"/>
      <c r="N48" s="107"/>
      <c r="O48" s="107"/>
      <c r="P48" s="107"/>
      <c r="S48" s="107"/>
      <c r="AN48" s="6"/>
    </row>
    <row r="49" spans="1:19" ht="24" customHeight="1" x14ac:dyDescent="0.2">
      <c r="A49" s="295" t="s">
        <v>376</v>
      </c>
      <c r="B49" s="75"/>
      <c r="C49" s="75"/>
      <c r="D49" s="75"/>
      <c r="E49" s="75"/>
      <c r="F49" s="75"/>
      <c r="G49" s="75"/>
      <c r="H49" s="75"/>
      <c r="I49" s="75"/>
      <c r="J49" s="104"/>
      <c r="K49" s="75"/>
      <c r="L49" s="75"/>
      <c r="M49" s="75"/>
      <c r="N49" s="75"/>
      <c r="O49" s="75"/>
      <c r="P49" s="75"/>
      <c r="Q49" s="75"/>
      <c r="R49" s="75"/>
      <c r="S49" s="75"/>
    </row>
    <row r="50" spans="1:19" ht="26.25" customHeight="1" x14ac:dyDescent="0.2">
      <c r="A50" s="95"/>
      <c r="B50" s="234" t="s">
        <v>63</v>
      </c>
      <c r="C50" s="234"/>
      <c r="D50" s="234"/>
      <c r="E50" s="233" t="s">
        <v>65</v>
      </c>
      <c r="F50" s="234"/>
      <c r="G50" s="234"/>
      <c r="H50" s="233" t="s">
        <v>46</v>
      </c>
      <c r="I50" s="235"/>
      <c r="J50" s="258" t="s">
        <v>91</v>
      </c>
      <c r="K50" s="272"/>
      <c r="L50" s="75"/>
      <c r="M50" s="75"/>
      <c r="N50" s="75"/>
      <c r="O50" s="75"/>
      <c r="P50" s="75"/>
      <c r="Q50" s="75"/>
      <c r="R50" s="75"/>
      <c r="S50" s="75"/>
    </row>
    <row r="51" spans="1:19" ht="57" customHeight="1" x14ac:dyDescent="0.2">
      <c r="A51" s="50"/>
      <c r="B51" s="51" t="s">
        <v>61</v>
      </c>
      <c r="C51" s="52" t="s">
        <v>62</v>
      </c>
      <c r="D51" s="52" t="s">
        <v>37</v>
      </c>
      <c r="E51" s="53" t="s">
        <v>61</v>
      </c>
      <c r="F51" s="52" t="s">
        <v>62</v>
      </c>
      <c r="G51" s="52" t="s">
        <v>37</v>
      </c>
      <c r="H51" s="53" t="s">
        <v>61</v>
      </c>
      <c r="I51" s="236" t="s">
        <v>62</v>
      </c>
      <c r="J51" s="278" t="s">
        <v>38</v>
      </c>
      <c r="K51" s="270" t="s">
        <v>335</v>
      </c>
      <c r="L51" s="290"/>
      <c r="M51" s="75"/>
      <c r="N51" s="75"/>
      <c r="O51" s="75"/>
      <c r="P51" s="75"/>
      <c r="Q51" s="75"/>
      <c r="R51" s="75"/>
      <c r="S51" s="75"/>
    </row>
    <row r="52" spans="1:19" ht="24" customHeight="1" x14ac:dyDescent="0.2">
      <c r="A52" s="73" t="s">
        <v>39</v>
      </c>
      <c r="B52" s="274">
        <f t="shared" ref="B52:G52" si="8">+B6+N6</f>
        <v>732454894.72277033</v>
      </c>
      <c r="C52" s="274">
        <f t="shared" si="8"/>
        <v>1371782745.447161</v>
      </c>
      <c r="D52" s="273">
        <f t="shared" si="8"/>
        <v>3316891</v>
      </c>
      <c r="E52" s="274">
        <f t="shared" si="8"/>
        <v>271201964.91722965</v>
      </c>
      <c r="F52" s="274">
        <f t="shared" si="8"/>
        <v>304976293.87283903</v>
      </c>
      <c r="G52" s="273">
        <f t="shared" si="8"/>
        <v>3406848</v>
      </c>
      <c r="H52" s="274">
        <f>+H6</f>
        <v>8637821</v>
      </c>
      <c r="I52" s="273">
        <f>+I6</f>
        <v>363203640</v>
      </c>
      <c r="J52" s="273">
        <f>+L6</f>
        <v>617251291</v>
      </c>
      <c r="K52" s="274">
        <f>SUM(B52:J52)</f>
        <v>3676232389.96</v>
      </c>
      <c r="L52" s="73" t="s">
        <v>39</v>
      </c>
      <c r="M52" s="75"/>
      <c r="N52" s="75"/>
      <c r="O52" s="75"/>
      <c r="P52" s="75"/>
      <c r="Q52" s="75"/>
      <c r="R52" s="75"/>
      <c r="S52" s="75"/>
    </row>
    <row r="53" spans="1:19" ht="9" customHeight="1" x14ac:dyDescent="0.2">
      <c r="A53" s="73"/>
      <c r="B53" s="271"/>
      <c r="C53" s="271"/>
      <c r="D53" s="276"/>
      <c r="E53" s="271"/>
      <c r="F53" s="271"/>
      <c r="G53" s="276"/>
      <c r="H53" s="271"/>
      <c r="I53" s="276"/>
      <c r="J53" s="276"/>
      <c r="K53" s="271"/>
      <c r="L53" s="73"/>
      <c r="M53" s="75"/>
      <c r="N53" s="75"/>
      <c r="O53" s="75"/>
      <c r="P53" s="75"/>
      <c r="Q53" s="75"/>
      <c r="R53" s="75"/>
      <c r="S53" s="75"/>
    </row>
    <row r="54" spans="1:19" x14ac:dyDescent="0.2">
      <c r="A54" s="73" t="s">
        <v>320</v>
      </c>
      <c r="B54" s="271">
        <f t="shared" ref="B54:B69" si="9">+B8+N8</f>
        <v>2354963</v>
      </c>
      <c r="C54" s="271">
        <f t="shared" ref="C54:C69" si="10">+C8+O8</f>
        <v>54330368</v>
      </c>
      <c r="D54" s="276">
        <f t="shared" ref="D54:D69" si="11">+D8+P8</f>
        <v>0</v>
      </c>
      <c r="E54" s="271">
        <f t="shared" ref="E54:E69" si="12">+E8+Q8</f>
        <v>261662</v>
      </c>
      <c r="F54" s="271">
        <f t="shared" ref="F54:F69" si="13">+F8+R8</f>
        <v>1966084</v>
      </c>
      <c r="G54" s="276">
        <f t="shared" ref="G54:G69" si="14">+G8+S8</f>
        <v>0</v>
      </c>
      <c r="H54" s="271">
        <f t="shared" ref="H54:I69" si="15">+H8</f>
        <v>10399</v>
      </c>
      <c r="I54" s="276">
        <f t="shared" si="15"/>
        <v>1204489</v>
      </c>
      <c r="J54" s="276">
        <f t="shared" ref="J54:J69" si="16">+L8</f>
        <v>0</v>
      </c>
      <c r="K54" s="271">
        <f>SUM(B54:J54)</f>
        <v>60127965</v>
      </c>
      <c r="L54" s="73" t="s">
        <v>320</v>
      </c>
    </row>
    <row r="55" spans="1:19" x14ac:dyDescent="0.2">
      <c r="A55" s="73" t="s">
        <v>334</v>
      </c>
      <c r="B55" s="271">
        <f t="shared" si="9"/>
        <v>7793247</v>
      </c>
      <c r="C55" s="271">
        <f t="shared" si="10"/>
        <v>112421886</v>
      </c>
      <c r="D55" s="276">
        <f t="shared" si="11"/>
        <v>1076142</v>
      </c>
      <c r="E55" s="271">
        <f t="shared" si="12"/>
        <v>489979</v>
      </c>
      <c r="F55" s="271">
        <f t="shared" si="13"/>
        <v>15850785</v>
      </c>
      <c r="G55" s="276">
        <f t="shared" si="14"/>
        <v>0</v>
      </c>
      <c r="H55" s="271">
        <f t="shared" si="15"/>
        <v>0</v>
      </c>
      <c r="I55" s="276">
        <f t="shared" si="15"/>
        <v>175000</v>
      </c>
      <c r="J55" s="276">
        <f t="shared" si="16"/>
        <v>0</v>
      </c>
      <c r="K55" s="271">
        <f t="shared" ref="K55:K69" si="17">SUM(B55:J55)</f>
        <v>137807039</v>
      </c>
      <c r="L55" s="73" t="s">
        <v>334</v>
      </c>
    </row>
    <row r="56" spans="1:19" x14ac:dyDescent="0.2">
      <c r="A56" s="73" t="s">
        <v>321</v>
      </c>
      <c r="B56" s="271">
        <f>+B10+N10</f>
        <v>216362</v>
      </c>
      <c r="C56" s="271">
        <f t="shared" si="10"/>
        <v>877848</v>
      </c>
      <c r="D56" s="276">
        <f t="shared" si="11"/>
        <v>0</v>
      </c>
      <c r="E56" s="271">
        <f t="shared" si="12"/>
        <v>388728</v>
      </c>
      <c r="F56" s="271">
        <f t="shared" si="13"/>
        <v>483473</v>
      </c>
      <c r="G56" s="276">
        <f t="shared" si="14"/>
        <v>0</v>
      </c>
      <c r="H56" s="271">
        <f t="shared" si="15"/>
        <v>7500</v>
      </c>
      <c r="I56" s="276">
        <f t="shared" si="15"/>
        <v>1419500</v>
      </c>
      <c r="J56" s="276">
        <f t="shared" si="16"/>
        <v>1549955</v>
      </c>
      <c r="K56" s="271">
        <f t="shared" si="17"/>
        <v>4943366</v>
      </c>
      <c r="L56" s="73" t="s">
        <v>321</v>
      </c>
    </row>
    <row r="57" spans="1:19" x14ac:dyDescent="0.2">
      <c r="A57" s="73" t="s">
        <v>328</v>
      </c>
      <c r="B57" s="271">
        <f t="shared" si="9"/>
        <v>102964587</v>
      </c>
      <c r="C57" s="271">
        <f t="shared" si="10"/>
        <v>945468</v>
      </c>
      <c r="D57" s="276">
        <f t="shared" si="11"/>
        <v>0</v>
      </c>
      <c r="E57" s="271">
        <f t="shared" si="12"/>
        <v>28544751</v>
      </c>
      <c r="F57" s="271">
        <f t="shared" si="13"/>
        <v>92904528</v>
      </c>
      <c r="G57" s="276">
        <f t="shared" si="14"/>
        <v>0</v>
      </c>
      <c r="H57" s="271">
        <f t="shared" si="15"/>
        <v>8619922</v>
      </c>
      <c r="I57" s="276">
        <f t="shared" si="15"/>
        <v>312309733</v>
      </c>
      <c r="J57" s="276">
        <f t="shared" si="16"/>
        <v>0</v>
      </c>
      <c r="K57" s="271">
        <f t="shared" si="17"/>
        <v>546288989</v>
      </c>
      <c r="L57" s="73" t="s">
        <v>328</v>
      </c>
    </row>
    <row r="58" spans="1:19" x14ac:dyDescent="0.2">
      <c r="A58" s="73" t="s">
        <v>329</v>
      </c>
      <c r="B58" s="271">
        <f t="shared" si="9"/>
        <v>0</v>
      </c>
      <c r="C58" s="271">
        <f t="shared" si="10"/>
        <v>424721837</v>
      </c>
      <c r="D58" s="276">
        <f t="shared" si="11"/>
        <v>0</v>
      </c>
      <c r="E58" s="271">
        <f t="shared" si="12"/>
        <v>0</v>
      </c>
      <c r="F58" s="271">
        <f t="shared" si="13"/>
        <v>1880112</v>
      </c>
      <c r="G58" s="276">
        <f t="shared" si="14"/>
        <v>0</v>
      </c>
      <c r="H58" s="271">
        <f t="shared" si="15"/>
        <v>0</v>
      </c>
      <c r="I58" s="276">
        <f t="shared" si="15"/>
        <v>0</v>
      </c>
      <c r="J58" s="276">
        <f t="shared" si="16"/>
        <v>0</v>
      </c>
      <c r="K58" s="271">
        <f t="shared" si="17"/>
        <v>426601949</v>
      </c>
      <c r="L58" s="73" t="s">
        <v>329</v>
      </c>
    </row>
    <row r="59" spans="1:19" x14ac:dyDescent="0.2">
      <c r="A59" s="73" t="s">
        <v>322</v>
      </c>
      <c r="B59" s="271">
        <f t="shared" si="9"/>
        <v>46607653</v>
      </c>
      <c r="C59" s="271">
        <f t="shared" si="10"/>
        <v>85956246</v>
      </c>
      <c r="D59" s="276">
        <f t="shared" si="11"/>
        <v>0</v>
      </c>
      <c r="E59" s="271">
        <f t="shared" si="12"/>
        <v>45667727</v>
      </c>
      <c r="F59" s="271">
        <f t="shared" si="13"/>
        <v>19124880</v>
      </c>
      <c r="G59" s="276">
        <f t="shared" si="14"/>
        <v>0</v>
      </c>
      <c r="H59" s="271">
        <f t="shared" si="15"/>
        <v>0</v>
      </c>
      <c r="I59" s="276">
        <f t="shared" si="15"/>
        <v>0</v>
      </c>
      <c r="J59" s="276">
        <f t="shared" si="16"/>
        <v>0</v>
      </c>
      <c r="K59" s="271">
        <f t="shared" si="17"/>
        <v>197356506</v>
      </c>
      <c r="L59" s="73" t="s">
        <v>322</v>
      </c>
    </row>
    <row r="60" spans="1:19" x14ac:dyDescent="0.2">
      <c r="A60" s="73" t="s">
        <v>217</v>
      </c>
      <c r="B60" s="271">
        <f t="shared" si="9"/>
        <v>23783131</v>
      </c>
      <c r="C60" s="271">
        <f t="shared" si="10"/>
        <v>199825710</v>
      </c>
      <c r="D60" s="276">
        <f t="shared" si="11"/>
        <v>0</v>
      </c>
      <c r="E60" s="271">
        <f t="shared" si="12"/>
        <v>2335638</v>
      </c>
      <c r="F60" s="271">
        <f t="shared" si="13"/>
        <v>14866958</v>
      </c>
      <c r="G60" s="276">
        <f t="shared" si="14"/>
        <v>0</v>
      </c>
      <c r="H60" s="271">
        <f t="shared" si="15"/>
        <v>0</v>
      </c>
      <c r="I60" s="276">
        <f t="shared" si="15"/>
        <v>0</v>
      </c>
      <c r="J60" s="276">
        <f t="shared" si="16"/>
        <v>0</v>
      </c>
      <c r="K60" s="271">
        <f t="shared" si="17"/>
        <v>240811437</v>
      </c>
      <c r="L60" s="73" t="s">
        <v>217</v>
      </c>
    </row>
    <row r="61" spans="1:19" x14ac:dyDescent="0.2">
      <c r="A61" s="73" t="s">
        <v>333</v>
      </c>
      <c r="B61" s="271">
        <f t="shared" si="9"/>
        <v>76152186</v>
      </c>
      <c r="C61" s="271">
        <f t="shared" si="10"/>
        <v>8642361</v>
      </c>
      <c r="D61" s="276">
        <f t="shared" si="11"/>
        <v>0</v>
      </c>
      <c r="E61" s="271">
        <f t="shared" si="12"/>
        <v>16816125</v>
      </c>
      <c r="F61" s="271">
        <f t="shared" si="13"/>
        <v>1913471</v>
      </c>
      <c r="G61" s="276">
        <f t="shared" si="14"/>
        <v>0</v>
      </c>
      <c r="H61" s="271">
        <f t="shared" si="15"/>
        <v>0</v>
      </c>
      <c r="I61" s="276">
        <f t="shared" si="15"/>
        <v>0</v>
      </c>
      <c r="J61" s="276">
        <f t="shared" si="16"/>
        <v>0</v>
      </c>
      <c r="K61" s="271">
        <f t="shared" si="17"/>
        <v>103524143</v>
      </c>
      <c r="L61" s="73" t="s">
        <v>333</v>
      </c>
    </row>
    <row r="62" spans="1:19" x14ac:dyDescent="0.2">
      <c r="A62" s="73" t="s">
        <v>323</v>
      </c>
      <c r="B62" s="271">
        <f t="shared" si="9"/>
        <v>10045119</v>
      </c>
      <c r="C62" s="271">
        <f t="shared" si="10"/>
        <v>21967738</v>
      </c>
      <c r="D62" s="276">
        <f t="shared" si="11"/>
        <v>590749</v>
      </c>
      <c r="E62" s="271">
        <f t="shared" si="12"/>
        <v>761222</v>
      </c>
      <c r="F62" s="271">
        <f t="shared" si="13"/>
        <v>3187345</v>
      </c>
      <c r="G62" s="276">
        <f t="shared" si="14"/>
        <v>0</v>
      </c>
      <c r="H62" s="271">
        <f t="shared" si="15"/>
        <v>0</v>
      </c>
      <c r="I62" s="276">
        <f t="shared" si="15"/>
        <v>523530</v>
      </c>
      <c r="J62" s="276">
        <f t="shared" si="16"/>
        <v>0</v>
      </c>
      <c r="K62" s="271">
        <f t="shared" si="17"/>
        <v>37075703</v>
      </c>
      <c r="L62" s="73" t="s">
        <v>323</v>
      </c>
    </row>
    <row r="63" spans="1:19" x14ac:dyDescent="0.2">
      <c r="A63" s="73" t="s">
        <v>324</v>
      </c>
      <c r="B63" s="271">
        <f t="shared" si="9"/>
        <v>122372842</v>
      </c>
      <c r="C63" s="271">
        <f t="shared" si="10"/>
        <v>4478765</v>
      </c>
      <c r="D63" s="276">
        <f t="shared" si="11"/>
        <v>0</v>
      </c>
      <c r="E63" s="271">
        <f t="shared" si="12"/>
        <v>86351588</v>
      </c>
      <c r="F63" s="271">
        <f t="shared" si="13"/>
        <v>0</v>
      </c>
      <c r="G63" s="276">
        <f t="shared" si="14"/>
        <v>0</v>
      </c>
      <c r="H63" s="271">
        <f t="shared" si="15"/>
        <v>0</v>
      </c>
      <c r="I63" s="276">
        <f t="shared" si="15"/>
        <v>22162388</v>
      </c>
      <c r="J63" s="276">
        <f t="shared" si="16"/>
        <v>0</v>
      </c>
      <c r="K63" s="271">
        <f t="shared" si="17"/>
        <v>235365583</v>
      </c>
      <c r="L63" s="73" t="s">
        <v>324</v>
      </c>
    </row>
    <row r="64" spans="1:19" x14ac:dyDescent="0.2">
      <c r="A64" s="73" t="s">
        <v>331</v>
      </c>
      <c r="B64" s="271">
        <f t="shared" si="9"/>
        <v>0</v>
      </c>
      <c r="C64" s="271">
        <f t="shared" si="10"/>
        <v>0</v>
      </c>
      <c r="D64" s="276">
        <f t="shared" si="11"/>
        <v>0</v>
      </c>
      <c r="E64" s="271">
        <f t="shared" si="12"/>
        <v>0</v>
      </c>
      <c r="F64" s="271">
        <f t="shared" si="13"/>
        <v>0</v>
      </c>
      <c r="G64" s="276">
        <f t="shared" si="14"/>
        <v>3406848</v>
      </c>
      <c r="H64" s="271">
        <f t="shared" si="15"/>
        <v>0</v>
      </c>
      <c r="I64" s="276">
        <f t="shared" si="15"/>
        <v>0</v>
      </c>
      <c r="J64" s="276">
        <f t="shared" si="16"/>
        <v>77232704</v>
      </c>
      <c r="K64" s="271">
        <f t="shared" si="17"/>
        <v>80639552</v>
      </c>
      <c r="L64" s="73" t="s">
        <v>331</v>
      </c>
    </row>
    <row r="65" spans="1:12" x14ac:dyDescent="0.2">
      <c r="A65" s="73" t="s">
        <v>325</v>
      </c>
      <c r="B65" s="271">
        <f t="shared" si="9"/>
        <v>20449021.582770318</v>
      </c>
      <c r="C65" s="271">
        <f t="shared" si="10"/>
        <v>235151754.44716096</v>
      </c>
      <c r="D65" s="276">
        <f t="shared" si="11"/>
        <v>0</v>
      </c>
      <c r="E65" s="271">
        <f t="shared" si="12"/>
        <v>35839600.417229682</v>
      </c>
      <c r="F65" s="271">
        <f t="shared" si="13"/>
        <v>42236780.552839026</v>
      </c>
      <c r="G65" s="276">
        <f t="shared" si="14"/>
        <v>0</v>
      </c>
      <c r="H65" s="271">
        <f t="shared" si="15"/>
        <v>0</v>
      </c>
      <c r="I65" s="276">
        <f t="shared" si="15"/>
        <v>4545000</v>
      </c>
      <c r="J65" s="276">
        <f t="shared" si="16"/>
        <v>0</v>
      </c>
      <c r="K65" s="271">
        <f t="shared" si="17"/>
        <v>338222157</v>
      </c>
      <c r="L65" s="73" t="s">
        <v>325</v>
      </c>
    </row>
    <row r="66" spans="1:12" x14ac:dyDescent="0.2">
      <c r="A66" s="73" t="s">
        <v>90</v>
      </c>
      <c r="B66" s="271">
        <f t="shared" si="9"/>
        <v>113858091.14</v>
      </c>
      <c r="C66" s="271">
        <f t="shared" si="10"/>
        <v>165956549</v>
      </c>
      <c r="D66" s="276">
        <f t="shared" si="11"/>
        <v>0</v>
      </c>
      <c r="E66" s="271">
        <f t="shared" si="12"/>
        <v>46943432.5</v>
      </c>
      <c r="F66" s="271">
        <f t="shared" si="13"/>
        <v>40567472.32</v>
      </c>
      <c r="G66" s="276">
        <f t="shared" si="14"/>
        <v>0</v>
      </c>
      <c r="H66" s="271">
        <f t="shared" si="15"/>
        <v>0</v>
      </c>
      <c r="I66" s="276">
        <f t="shared" si="15"/>
        <v>0</v>
      </c>
      <c r="J66" s="276">
        <f t="shared" si="16"/>
        <v>0</v>
      </c>
      <c r="K66" s="271">
        <f t="shared" si="17"/>
        <v>367325544.95999998</v>
      </c>
      <c r="L66" s="73" t="s">
        <v>90</v>
      </c>
    </row>
    <row r="67" spans="1:12" x14ac:dyDescent="0.2">
      <c r="A67" s="73" t="s">
        <v>326</v>
      </c>
      <c r="B67" s="271">
        <f t="shared" si="9"/>
        <v>0</v>
      </c>
      <c r="C67" s="271">
        <f t="shared" si="10"/>
        <v>0</v>
      </c>
      <c r="D67" s="276">
        <f t="shared" si="11"/>
        <v>0</v>
      </c>
      <c r="E67" s="271">
        <f t="shared" si="12"/>
        <v>0</v>
      </c>
      <c r="F67" s="271">
        <f t="shared" si="13"/>
        <v>0</v>
      </c>
      <c r="G67" s="276">
        <f t="shared" si="14"/>
        <v>0</v>
      </c>
      <c r="H67" s="271">
        <f t="shared" si="15"/>
        <v>0</v>
      </c>
      <c r="I67" s="276">
        <f t="shared" si="15"/>
        <v>20864000</v>
      </c>
      <c r="J67" s="276">
        <f t="shared" si="16"/>
        <v>538468632</v>
      </c>
      <c r="K67" s="271">
        <f t="shared" si="17"/>
        <v>559332632</v>
      </c>
      <c r="L67" s="73" t="s">
        <v>326</v>
      </c>
    </row>
    <row r="68" spans="1:12" x14ac:dyDescent="0.2">
      <c r="A68" s="73" t="s">
        <v>327</v>
      </c>
      <c r="B68" s="271">
        <f t="shared" si="9"/>
        <v>168506071</v>
      </c>
      <c r="C68" s="271">
        <f t="shared" si="10"/>
        <v>13609822</v>
      </c>
      <c r="D68" s="276">
        <f t="shared" si="11"/>
        <v>1650000</v>
      </c>
      <c r="E68" s="271">
        <f t="shared" si="12"/>
        <v>1041645</v>
      </c>
      <c r="F68" s="271">
        <f t="shared" si="13"/>
        <v>64952609</v>
      </c>
      <c r="G68" s="276">
        <f t="shared" si="14"/>
        <v>0</v>
      </c>
      <c r="H68" s="271">
        <f t="shared" si="15"/>
        <v>0</v>
      </c>
      <c r="I68" s="276">
        <f t="shared" si="15"/>
        <v>0</v>
      </c>
      <c r="J68" s="276">
        <f t="shared" si="16"/>
        <v>0</v>
      </c>
      <c r="K68" s="271">
        <f t="shared" si="17"/>
        <v>249760147</v>
      </c>
      <c r="L68" s="73" t="s">
        <v>327</v>
      </c>
    </row>
    <row r="69" spans="1:12" x14ac:dyDescent="0.2">
      <c r="A69" s="74" t="s">
        <v>332</v>
      </c>
      <c r="B69" s="275">
        <f t="shared" si="9"/>
        <v>37351621</v>
      </c>
      <c r="C69" s="275">
        <f t="shared" si="10"/>
        <v>42896393</v>
      </c>
      <c r="D69" s="277">
        <f t="shared" si="11"/>
        <v>0</v>
      </c>
      <c r="E69" s="275">
        <f t="shared" si="12"/>
        <v>5759867</v>
      </c>
      <c r="F69" s="275">
        <f t="shared" si="13"/>
        <v>5041796</v>
      </c>
      <c r="G69" s="277">
        <f t="shared" si="14"/>
        <v>0</v>
      </c>
      <c r="H69" s="275">
        <f t="shared" si="15"/>
        <v>0</v>
      </c>
      <c r="I69" s="277">
        <f t="shared" si="15"/>
        <v>0</v>
      </c>
      <c r="J69" s="277">
        <f t="shared" si="16"/>
        <v>0</v>
      </c>
      <c r="K69" s="275">
        <f t="shared" si="17"/>
        <v>91049677</v>
      </c>
      <c r="L69" s="74" t="s">
        <v>332</v>
      </c>
    </row>
    <row r="71" spans="1:12" ht="15.75" x14ac:dyDescent="0.2">
      <c r="A71" s="295" t="s">
        <v>377</v>
      </c>
    </row>
    <row r="72" spans="1:12" ht="15.75" x14ac:dyDescent="0.2">
      <c r="A72" s="95"/>
      <c r="B72" s="234" t="s">
        <v>63</v>
      </c>
      <c r="C72" s="234"/>
      <c r="D72" s="234"/>
      <c r="E72" s="233" t="s">
        <v>65</v>
      </c>
      <c r="F72" s="234"/>
      <c r="G72" s="234"/>
      <c r="H72" s="233" t="s">
        <v>66</v>
      </c>
      <c r="I72" s="235"/>
      <c r="J72" s="258" t="s">
        <v>91</v>
      </c>
      <c r="K72" s="272"/>
    </row>
    <row r="73" spans="1:12" ht="45" x14ac:dyDescent="0.2">
      <c r="A73" s="50"/>
      <c r="B73" s="51" t="s">
        <v>61</v>
      </c>
      <c r="C73" s="52" t="s">
        <v>62</v>
      </c>
      <c r="D73" s="52" t="s">
        <v>37</v>
      </c>
      <c r="E73" s="53" t="s">
        <v>61</v>
      </c>
      <c r="F73" s="52" t="s">
        <v>62</v>
      </c>
      <c r="G73" s="52" t="s">
        <v>37</v>
      </c>
      <c r="H73" s="53" t="s">
        <v>61</v>
      </c>
      <c r="I73" s="236" t="s">
        <v>62</v>
      </c>
      <c r="J73" s="278" t="s">
        <v>38</v>
      </c>
      <c r="K73" s="270" t="s">
        <v>335</v>
      </c>
    </row>
    <row r="74" spans="1:12" x14ac:dyDescent="0.2">
      <c r="A74" s="73" t="s">
        <v>39</v>
      </c>
      <c r="B74" s="274">
        <f t="shared" ref="B74:G74" si="18">+B30+N30</f>
        <v>749588708</v>
      </c>
      <c r="C74" s="274">
        <f t="shared" si="18"/>
        <v>1339016159</v>
      </c>
      <c r="D74" s="273">
        <f t="shared" si="18"/>
        <v>2222679</v>
      </c>
      <c r="E74" s="274">
        <f t="shared" si="18"/>
        <v>263628121</v>
      </c>
      <c r="F74" s="274">
        <f t="shared" si="18"/>
        <v>294784604</v>
      </c>
      <c r="G74" s="273">
        <f t="shared" si="18"/>
        <v>3406848</v>
      </c>
      <c r="H74" s="274">
        <f>+H30</f>
        <v>8637321</v>
      </c>
      <c r="I74" s="273">
        <f>+I30</f>
        <v>377189019</v>
      </c>
      <c r="J74" s="273">
        <f>+L30</f>
        <v>431908544</v>
      </c>
      <c r="K74" s="274">
        <f>SUM(B74:J74)</f>
        <v>3470382003</v>
      </c>
    </row>
    <row r="75" spans="1:12" x14ac:dyDescent="0.2">
      <c r="A75" s="73"/>
      <c r="B75" s="271"/>
      <c r="C75" s="271"/>
      <c r="D75" s="276"/>
      <c r="E75" s="271"/>
      <c r="F75" s="271"/>
      <c r="G75" s="276"/>
      <c r="H75" s="271"/>
      <c r="I75" s="276"/>
      <c r="J75" s="276"/>
      <c r="K75" s="271"/>
    </row>
    <row r="76" spans="1:12" x14ac:dyDescent="0.2">
      <c r="A76" s="73" t="s">
        <v>320</v>
      </c>
      <c r="B76" s="271">
        <f t="shared" ref="B76:B91" si="19">+B32+N32</f>
        <v>2267538</v>
      </c>
      <c r="C76" s="271">
        <f t="shared" ref="C76:C91" si="20">+C32+O32</f>
        <v>47104822</v>
      </c>
      <c r="D76" s="276">
        <f t="shared" ref="D76:D91" si="21">+D32+P32</f>
        <v>0</v>
      </c>
      <c r="E76" s="271">
        <f t="shared" ref="E76:E91" si="22">+E32+Q32</f>
        <v>371439</v>
      </c>
      <c r="F76" s="271">
        <f t="shared" ref="F76:F91" si="23">+F32+R32</f>
        <v>1650687</v>
      </c>
      <c r="G76" s="276">
        <f t="shared" ref="G76:G91" si="24">+G32+S32</f>
        <v>0</v>
      </c>
      <c r="H76" s="271">
        <f t="shared" ref="H76:I91" si="25">+H32</f>
        <v>10399</v>
      </c>
      <c r="I76" s="276">
        <f t="shared" si="25"/>
        <v>1204489</v>
      </c>
      <c r="J76" s="276">
        <f t="shared" ref="J76:J91" si="26">+L32</f>
        <v>0</v>
      </c>
      <c r="K76" s="271">
        <f t="shared" ref="K76:K91" si="27">SUM(B76:J76)</f>
        <v>52609374</v>
      </c>
    </row>
    <row r="77" spans="1:12" x14ac:dyDescent="0.2">
      <c r="A77" s="73" t="s">
        <v>334</v>
      </c>
      <c r="B77" s="271">
        <f t="shared" si="19"/>
        <v>9320724</v>
      </c>
      <c r="C77" s="271">
        <f t="shared" si="20"/>
        <v>131737443</v>
      </c>
      <c r="D77" s="276">
        <f t="shared" si="21"/>
        <v>0</v>
      </c>
      <c r="E77" s="271">
        <f t="shared" si="22"/>
        <v>385000</v>
      </c>
      <c r="F77" s="271">
        <f t="shared" si="23"/>
        <v>18320000</v>
      </c>
      <c r="G77" s="276">
        <f t="shared" si="24"/>
        <v>0</v>
      </c>
      <c r="H77" s="271">
        <f t="shared" si="25"/>
        <v>0</v>
      </c>
      <c r="I77" s="276">
        <f t="shared" si="25"/>
        <v>200000</v>
      </c>
      <c r="J77" s="276">
        <f t="shared" si="26"/>
        <v>0</v>
      </c>
      <c r="K77" s="271">
        <f t="shared" si="27"/>
        <v>159963167</v>
      </c>
    </row>
    <row r="78" spans="1:12" x14ac:dyDescent="0.2">
      <c r="A78" s="73" t="s">
        <v>321</v>
      </c>
      <c r="B78" s="271">
        <f t="shared" si="19"/>
        <v>246042</v>
      </c>
      <c r="C78" s="271">
        <f t="shared" si="20"/>
        <v>979795</v>
      </c>
      <c r="D78" s="276">
        <f t="shared" si="21"/>
        <v>0</v>
      </c>
      <c r="E78" s="271">
        <f t="shared" si="22"/>
        <v>387241</v>
      </c>
      <c r="F78" s="271">
        <f t="shared" si="23"/>
        <v>591943</v>
      </c>
      <c r="G78" s="276">
        <f t="shared" si="24"/>
        <v>0</v>
      </c>
      <c r="H78" s="271">
        <f t="shared" si="25"/>
        <v>7500</v>
      </c>
      <c r="I78" s="276">
        <f t="shared" si="25"/>
        <v>1331924</v>
      </c>
      <c r="J78" s="276">
        <f t="shared" si="26"/>
        <v>1527196</v>
      </c>
      <c r="K78" s="271">
        <f t="shared" si="27"/>
        <v>5071641</v>
      </c>
    </row>
    <row r="79" spans="1:12" x14ac:dyDescent="0.2">
      <c r="A79" s="73" t="s">
        <v>328</v>
      </c>
      <c r="B79" s="271">
        <f t="shared" si="19"/>
        <v>104703724</v>
      </c>
      <c r="C79" s="271">
        <f t="shared" si="20"/>
        <v>945468</v>
      </c>
      <c r="D79" s="276">
        <f t="shared" si="21"/>
        <v>0</v>
      </c>
      <c r="E79" s="271">
        <f t="shared" si="22"/>
        <v>22383330</v>
      </c>
      <c r="F79" s="271">
        <f t="shared" si="23"/>
        <v>81268637</v>
      </c>
      <c r="G79" s="276">
        <f t="shared" si="24"/>
        <v>0</v>
      </c>
      <c r="H79" s="271">
        <f t="shared" si="25"/>
        <v>8619422</v>
      </c>
      <c r="I79" s="276">
        <f t="shared" si="25"/>
        <v>332304842</v>
      </c>
      <c r="J79" s="276">
        <f t="shared" si="26"/>
        <v>0</v>
      </c>
      <c r="K79" s="271">
        <f t="shared" si="27"/>
        <v>550225423</v>
      </c>
    </row>
    <row r="80" spans="1:12" x14ac:dyDescent="0.2">
      <c r="A80" s="73" t="s">
        <v>329</v>
      </c>
      <c r="B80" s="271">
        <f t="shared" si="19"/>
        <v>0</v>
      </c>
      <c r="C80" s="271">
        <f t="shared" si="20"/>
        <v>402177360</v>
      </c>
      <c r="D80" s="276">
        <f t="shared" si="21"/>
        <v>0</v>
      </c>
      <c r="E80" s="271">
        <f t="shared" si="22"/>
        <v>0</v>
      </c>
      <c r="F80" s="271">
        <f t="shared" si="23"/>
        <v>1796612</v>
      </c>
      <c r="G80" s="276">
        <f t="shared" si="24"/>
        <v>0</v>
      </c>
      <c r="H80" s="271">
        <f t="shared" si="25"/>
        <v>0</v>
      </c>
      <c r="I80" s="276">
        <f t="shared" si="25"/>
        <v>0</v>
      </c>
      <c r="J80" s="276">
        <f t="shared" si="26"/>
        <v>0</v>
      </c>
      <c r="K80" s="271">
        <f t="shared" si="27"/>
        <v>403973972</v>
      </c>
    </row>
    <row r="81" spans="1:12" x14ac:dyDescent="0.2">
      <c r="A81" s="73" t="s">
        <v>322</v>
      </c>
      <c r="B81" s="271">
        <f t="shared" si="19"/>
        <v>41253823</v>
      </c>
      <c r="C81" s="271">
        <f t="shared" si="20"/>
        <v>83358911</v>
      </c>
      <c r="D81" s="276">
        <f t="shared" si="21"/>
        <v>0</v>
      </c>
      <c r="E81" s="271">
        <f t="shared" si="22"/>
        <v>45579343</v>
      </c>
      <c r="F81" s="271">
        <f t="shared" si="23"/>
        <v>19173293</v>
      </c>
      <c r="G81" s="276">
        <f t="shared" si="24"/>
        <v>0</v>
      </c>
      <c r="H81" s="271">
        <f t="shared" si="25"/>
        <v>0</v>
      </c>
      <c r="I81" s="276">
        <f t="shared" si="25"/>
        <v>0</v>
      </c>
      <c r="J81" s="276">
        <f t="shared" si="26"/>
        <v>0</v>
      </c>
      <c r="K81" s="271">
        <f t="shared" si="27"/>
        <v>189365370</v>
      </c>
    </row>
    <row r="82" spans="1:12" x14ac:dyDescent="0.2">
      <c r="A82" s="73" t="s">
        <v>217</v>
      </c>
      <c r="B82" s="271">
        <f t="shared" si="19"/>
        <v>23823140</v>
      </c>
      <c r="C82" s="271">
        <f t="shared" si="20"/>
        <v>176903369</v>
      </c>
      <c r="D82" s="276">
        <f t="shared" si="21"/>
        <v>0</v>
      </c>
      <c r="E82" s="271">
        <f t="shared" si="22"/>
        <v>2340677</v>
      </c>
      <c r="F82" s="271">
        <f t="shared" si="23"/>
        <v>14121895</v>
      </c>
      <c r="G82" s="276">
        <f t="shared" si="24"/>
        <v>0</v>
      </c>
      <c r="H82" s="271">
        <f t="shared" si="25"/>
        <v>0</v>
      </c>
      <c r="I82" s="276">
        <f t="shared" si="25"/>
        <v>0</v>
      </c>
      <c r="J82" s="276">
        <f t="shared" si="26"/>
        <v>0</v>
      </c>
      <c r="K82" s="271">
        <f t="shared" si="27"/>
        <v>217189081</v>
      </c>
    </row>
    <row r="83" spans="1:12" x14ac:dyDescent="0.2">
      <c r="A83" s="73" t="s">
        <v>333</v>
      </c>
      <c r="B83" s="271">
        <f t="shared" si="19"/>
        <v>77032959</v>
      </c>
      <c r="C83" s="271">
        <f t="shared" si="20"/>
        <v>9139068</v>
      </c>
      <c r="D83" s="276">
        <f t="shared" si="21"/>
        <v>0</v>
      </c>
      <c r="E83" s="271">
        <f t="shared" si="22"/>
        <v>17095445</v>
      </c>
      <c r="F83" s="271">
        <f t="shared" si="23"/>
        <v>2188611</v>
      </c>
      <c r="G83" s="276">
        <f t="shared" si="24"/>
        <v>0</v>
      </c>
      <c r="H83" s="271">
        <f t="shared" si="25"/>
        <v>0</v>
      </c>
      <c r="I83" s="276">
        <f t="shared" si="25"/>
        <v>0</v>
      </c>
      <c r="J83" s="276">
        <f t="shared" si="26"/>
        <v>0</v>
      </c>
      <c r="K83" s="271">
        <f t="shared" si="27"/>
        <v>105456083</v>
      </c>
    </row>
    <row r="84" spans="1:12" x14ac:dyDescent="0.2">
      <c r="A84" s="73" t="s">
        <v>323</v>
      </c>
      <c r="B84" s="271">
        <f t="shared" si="19"/>
        <v>7406268</v>
      </c>
      <c r="C84" s="271">
        <f t="shared" si="20"/>
        <v>20832478</v>
      </c>
      <c r="D84" s="276">
        <f t="shared" si="21"/>
        <v>572679</v>
      </c>
      <c r="E84" s="271">
        <f t="shared" si="22"/>
        <v>504003</v>
      </c>
      <c r="F84" s="271">
        <f t="shared" si="23"/>
        <v>2920035</v>
      </c>
      <c r="G84" s="276">
        <f t="shared" si="24"/>
        <v>0</v>
      </c>
      <c r="H84" s="271">
        <f t="shared" si="25"/>
        <v>0</v>
      </c>
      <c r="I84" s="276">
        <f t="shared" si="25"/>
        <v>358376</v>
      </c>
      <c r="J84" s="276">
        <f t="shared" si="26"/>
        <v>0</v>
      </c>
      <c r="K84" s="271">
        <f t="shared" si="27"/>
        <v>32593839</v>
      </c>
    </row>
    <row r="85" spans="1:12" x14ac:dyDescent="0.2">
      <c r="A85" s="73" t="s">
        <v>324</v>
      </c>
      <c r="B85" s="271">
        <f t="shared" si="19"/>
        <v>144455208</v>
      </c>
      <c r="C85" s="271">
        <f t="shared" si="20"/>
        <v>5451121</v>
      </c>
      <c r="D85" s="276">
        <f t="shared" si="21"/>
        <v>0</v>
      </c>
      <c r="E85" s="271">
        <f t="shared" si="22"/>
        <v>86351547</v>
      </c>
      <c r="F85" s="271">
        <f t="shared" si="23"/>
        <v>0</v>
      </c>
      <c r="G85" s="276">
        <f t="shared" si="24"/>
        <v>0</v>
      </c>
      <c r="H85" s="271">
        <f t="shared" si="25"/>
        <v>0</v>
      </c>
      <c r="I85" s="276">
        <f t="shared" si="25"/>
        <v>22425388</v>
      </c>
      <c r="J85" s="276">
        <f t="shared" si="26"/>
        <v>0</v>
      </c>
      <c r="K85" s="271">
        <f t="shared" si="27"/>
        <v>258683264</v>
      </c>
    </row>
    <row r="86" spans="1:12" x14ac:dyDescent="0.2">
      <c r="A86" s="73" t="s">
        <v>331</v>
      </c>
      <c r="B86" s="271">
        <f t="shared" si="19"/>
        <v>0</v>
      </c>
      <c r="C86" s="271">
        <f t="shared" si="20"/>
        <v>0</v>
      </c>
      <c r="D86" s="276">
        <f t="shared" si="21"/>
        <v>0</v>
      </c>
      <c r="E86" s="271">
        <f t="shared" si="22"/>
        <v>0</v>
      </c>
      <c r="F86" s="271">
        <f t="shared" si="23"/>
        <v>0</v>
      </c>
      <c r="G86" s="276">
        <f t="shared" si="24"/>
        <v>3406848</v>
      </c>
      <c r="H86" s="271">
        <f t="shared" si="25"/>
        <v>0</v>
      </c>
      <c r="I86" s="276">
        <f t="shared" si="25"/>
        <v>0</v>
      </c>
      <c r="J86" s="276">
        <f t="shared" si="26"/>
        <v>77232704</v>
      </c>
      <c r="K86" s="271">
        <f t="shared" si="27"/>
        <v>80639552</v>
      </c>
    </row>
    <row r="87" spans="1:12" x14ac:dyDescent="0.2">
      <c r="A87" s="73" t="s">
        <v>325</v>
      </c>
      <c r="B87" s="271">
        <f t="shared" si="19"/>
        <v>22965949</v>
      </c>
      <c r="C87" s="271">
        <f t="shared" si="20"/>
        <v>236168271</v>
      </c>
      <c r="D87" s="276">
        <f t="shared" si="21"/>
        <v>0</v>
      </c>
      <c r="E87" s="271">
        <f t="shared" si="22"/>
        <v>34028659</v>
      </c>
      <c r="F87" s="271">
        <f t="shared" si="23"/>
        <v>42960264</v>
      </c>
      <c r="G87" s="276">
        <f t="shared" si="24"/>
        <v>0</v>
      </c>
      <c r="H87" s="271">
        <f t="shared" si="25"/>
        <v>0</v>
      </c>
      <c r="I87" s="276">
        <f t="shared" si="25"/>
        <v>1700000</v>
      </c>
      <c r="J87" s="276">
        <f t="shared" si="26"/>
        <v>0</v>
      </c>
      <c r="K87" s="271">
        <f t="shared" si="27"/>
        <v>337823143</v>
      </c>
    </row>
    <row r="88" spans="1:12" x14ac:dyDescent="0.2">
      <c r="A88" s="73" t="s">
        <v>90</v>
      </c>
      <c r="B88" s="271">
        <f t="shared" si="19"/>
        <v>120677649</v>
      </c>
      <c r="C88" s="271">
        <f t="shared" si="20"/>
        <v>167356454</v>
      </c>
      <c r="D88" s="276">
        <f t="shared" si="21"/>
        <v>0</v>
      </c>
      <c r="E88" s="271">
        <f t="shared" si="22"/>
        <v>47269831</v>
      </c>
      <c r="F88" s="271">
        <f t="shared" si="23"/>
        <v>40256143</v>
      </c>
      <c r="G88" s="276">
        <f t="shared" si="24"/>
        <v>0</v>
      </c>
      <c r="H88" s="271">
        <f t="shared" si="25"/>
        <v>0</v>
      </c>
      <c r="I88" s="276">
        <f t="shared" si="25"/>
        <v>0</v>
      </c>
      <c r="J88" s="276">
        <f t="shared" si="26"/>
        <v>0</v>
      </c>
      <c r="K88" s="271">
        <f t="shared" si="27"/>
        <v>375560077</v>
      </c>
    </row>
    <row r="89" spans="1:12" x14ac:dyDescent="0.2">
      <c r="A89" s="73" t="s">
        <v>326</v>
      </c>
      <c r="B89" s="271">
        <f t="shared" si="19"/>
        <v>0</v>
      </c>
      <c r="C89" s="271">
        <f t="shared" si="20"/>
        <v>0</v>
      </c>
      <c r="D89" s="276">
        <f t="shared" si="21"/>
        <v>0</v>
      </c>
      <c r="E89" s="271">
        <f t="shared" si="22"/>
        <v>0</v>
      </c>
      <c r="F89" s="271">
        <f t="shared" si="23"/>
        <v>0</v>
      </c>
      <c r="G89" s="276">
        <f t="shared" si="24"/>
        <v>0</v>
      </c>
      <c r="H89" s="271">
        <f t="shared" si="25"/>
        <v>0</v>
      </c>
      <c r="I89" s="276">
        <f t="shared" si="25"/>
        <v>17664000</v>
      </c>
      <c r="J89" s="276">
        <f t="shared" si="26"/>
        <v>353148644</v>
      </c>
      <c r="K89" s="271">
        <f t="shared" si="27"/>
        <v>370812644</v>
      </c>
    </row>
    <row r="90" spans="1:12" x14ac:dyDescent="0.2">
      <c r="A90" s="73" t="s">
        <v>327</v>
      </c>
      <c r="B90" s="271">
        <f t="shared" si="19"/>
        <v>158166847</v>
      </c>
      <c r="C90" s="271">
        <f t="shared" si="20"/>
        <v>13609822</v>
      </c>
      <c r="D90" s="276">
        <f t="shared" si="21"/>
        <v>1650000</v>
      </c>
      <c r="E90" s="271">
        <f t="shared" si="22"/>
        <v>1041645</v>
      </c>
      <c r="F90" s="271">
        <f t="shared" si="23"/>
        <v>64952609</v>
      </c>
      <c r="G90" s="276">
        <f t="shared" si="24"/>
        <v>0</v>
      </c>
      <c r="H90" s="271">
        <f t="shared" si="25"/>
        <v>0</v>
      </c>
      <c r="I90" s="276">
        <f t="shared" si="25"/>
        <v>0</v>
      </c>
      <c r="J90" s="276">
        <f t="shared" si="26"/>
        <v>0</v>
      </c>
      <c r="K90" s="271">
        <f t="shared" si="27"/>
        <v>239420923</v>
      </c>
    </row>
    <row r="91" spans="1:12" x14ac:dyDescent="0.2">
      <c r="A91" s="74" t="s">
        <v>332</v>
      </c>
      <c r="B91" s="275">
        <f t="shared" si="19"/>
        <v>37268837</v>
      </c>
      <c r="C91" s="275">
        <f t="shared" si="20"/>
        <v>43251777</v>
      </c>
      <c r="D91" s="277">
        <f t="shared" si="21"/>
        <v>0</v>
      </c>
      <c r="E91" s="275">
        <f t="shared" si="22"/>
        <v>5889961</v>
      </c>
      <c r="F91" s="275">
        <f t="shared" si="23"/>
        <v>4583875</v>
      </c>
      <c r="G91" s="277">
        <f t="shared" si="24"/>
        <v>0</v>
      </c>
      <c r="H91" s="275">
        <f t="shared" si="25"/>
        <v>0</v>
      </c>
      <c r="I91" s="277">
        <f t="shared" si="25"/>
        <v>0</v>
      </c>
      <c r="J91" s="277">
        <f t="shared" si="26"/>
        <v>0</v>
      </c>
      <c r="K91" s="275">
        <f t="shared" si="27"/>
        <v>90994450</v>
      </c>
    </row>
    <row r="93" spans="1:12" ht="15.75" x14ac:dyDescent="0.2">
      <c r="A93" s="95" t="s">
        <v>406</v>
      </c>
    </row>
    <row r="94" spans="1:12" ht="33.75" x14ac:dyDescent="0.2">
      <c r="A94" s="285"/>
      <c r="B94" s="53" t="s">
        <v>40</v>
      </c>
      <c r="C94" s="52" t="s">
        <v>41</v>
      </c>
      <c r="D94" s="52" t="s">
        <v>42</v>
      </c>
      <c r="E94" s="53" t="s">
        <v>43</v>
      </c>
      <c r="F94" s="52" t="s">
        <v>44</v>
      </c>
      <c r="G94" s="52" t="s">
        <v>45</v>
      </c>
      <c r="H94" s="53" t="s">
        <v>47</v>
      </c>
      <c r="I94" s="51" t="s">
        <v>48</v>
      </c>
      <c r="J94" s="233" t="s">
        <v>49</v>
      </c>
      <c r="K94" s="279" t="s">
        <v>335</v>
      </c>
    </row>
    <row r="95" spans="1:12" x14ac:dyDescent="0.2">
      <c r="A95" s="73" t="s">
        <v>39</v>
      </c>
      <c r="B95" s="288">
        <f t="shared" ref="B95:K95" si="28">IF(B74&gt;0,(B52-B74)/B74,)</f>
        <v>-2.2857619244218481E-2</v>
      </c>
      <c r="C95" s="281">
        <f t="shared" si="28"/>
        <v>2.4470643036624443E-2</v>
      </c>
      <c r="D95" s="281">
        <f t="shared" si="28"/>
        <v>0.49229420892535541</v>
      </c>
      <c r="E95" s="286">
        <f t="shared" si="28"/>
        <v>2.8729271704780131E-2</v>
      </c>
      <c r="F95" s="280">
        <f t="shared" si="28"/>
        <v>3.45733451969528E-2</v>
      </c>
      <c r="G95" s="287">
        <f t="shared" si="28"/>
        <v>0</v>
      </c>
      <c r="H95" s="281">
        <f t="shared" si="28"/>
        <v>5.788831976952113E-5</v>
      </c>
      <c r="I95" s="281">
        <f t="shared" si="28"/>
        <v>-3.7077906024618391E-2</v>
      </c>
      <c r="J95" s="291">
        <f t="shared" si="28"/>
        <v>0.42912498392252224</v>
      </c>
      <c r="K95" s="294">
        <f t="shared" si="28"/>
        <v>5.9316348108666712E-2</v>
      </c>
      <c r="L95" s="73" t="s">
        <v>39</v>
      </c>
    </row>
    <row r="96" spans="1:12" x14ac:dyDescent="0.2">
      <c r="A96" s="73"/>
      <c r="B96" s="288"/>
      <c r="C96" s="281"/>
      <c r="D96" s="282"/>
      <c r="E96" s="281"/>
      <c r="F96" s="281"/>
      <c r="G96" s="282"/>
      <c r="H96" s="281"/>
      <c r="I96" s="282"/>
      <c r="J96" s="292"/>
      <c r="K96" s="294"/>
      <c r="L96" s="73"/>
    </row>
    <row r="97" spans="1:12" x14ac:dyDescent="0.2">
      <c r="A97" s="73" t="s">
        <v>320</v>
      </c>
      <c r="B97" s="288">
        <f t="shared" ref="B97:K97" si="29">IF(B76&gt;0,(B54-B76)/B76,)</f>
        <v>3.8555031933312695E-2</v>
      </c>
      <c r="C97" s="281">
        <f t="shared" si="29"/>
        <v>0.15339291590996779</v>
      </c>
      <c r="D97" s="282">
        <f t="shared" si="29"/>
        <v>0</v>
      </c>
      <c r="E97" s="281">
        <f t="shared" si="29"/>
        <v>-0.29554516353963906</v>
      </c>
      <c r="F97" s="281">
        <f t="shared" si="29"/>
        <v>0.19107014231044409</v>
      </c>
      <c r="G97" s="282">
        <f t="shared" si="29"/>
        <v>0</v>
      </c>
      <c r="H97" s="281">
        <f t="shared" si="29"/>
        <v>0</v>
      </c>
      <c r="I97" s="282">
        <f t="shared" si="29"/>
        <v>0</v>
      </c>
      <c r="J97" s="292">
        <f t="shared" si="29"/>
        <v>0</v>
      </c>
      <c r="K97" s="294">
        <f t="shared" si="29"/>
        <v>0.1429135233580236</v>
      </c>
      <c r="L97" s="73" t="s">
        <v>320</v>
      </c>
    </row>
    <row r="98" spans="1:12" x14ac:dyDescent="0.2">
      <c r="A98" s="73" t="s">
        <v>334</v>
      </c>
      <c r="B98" s="288">
        <f t="shared" ref="B98:K98" si="30">IF(B77&gt;0,(B55-B77)/B77,)</f>
        <v>-0.16387965140905364</v>
      </c>
      <c r="C98" s="281">
        <f t="shared" si="30"/>
        <v>-0.14662161766719581</v>
      </c>
      <c r="D98" s="282">
        <f t="shared" si="30"/>
        <v>0</v>
      </c>
      <c r="E98" s="281">
        <f t="shared" si="30"/>
        <v>0.27267272727272729</v>
      </c>
      <c r="F98" s="281">
        <f t="shared" si="30"/>
        <v>-0.13478247816593886</v>
      </c>
      <c r="G98" s="282">
        <f t="shared" si="30"/>
        <v>0</v>
      </c>
      <c r="H98" s="281">
        <f t="shared" si="30"/>
        <v>0</v>
      </c>
      <c r="I98" s="282">
        <f t="shared" si="30"/>
        <v>-0.125</v>
      </c>
      <c r="J98" s="292">
        <f t="shared" si="30"/>
        <v>0</v>
      </c>
      <c r="K98" s="294">
        <f t="shared" si="30"/>
        <v>-0.13850768533483712</v>
      </c>
      <c r="L98" s="73" t="s">
        <v>334</v>
      </c>
    </row>
    <row r="99" spans="1:12" x14ac:dyDescent="0.2">
      <c r="A99" s="73" t="s">
        <v>321</v>
      </c>
      <c r="B99" s="288">
        <f t="shared" ref="B99:K99" si="31">IF(B78&gt;0,(B56-B78)/B78,)</f>
        <v>-0.12062981117045057</v>
      </c>
      <c r="C99" s="281">
        <f t="shared" si="31"/>
        <v>-0.10404931643864278</v>
      </c>
      <c r="D99" s="282">
        <f t="shared" si="31"/>
        <v>0</v>
      </c>
      <c r="E99" s="281">
        <f t="shared" si="31"/>
        <v>3.8399859519007542E-3</v>
      </c>
      <c r="F99" s="281">
        <f t="shared" si="31"/>
        <v>-0.18324399477652409</v>
      </c>
      <c r="G99" s="282">
        <f t="shared" si="31"/>
        <v>0</v>
      </c>
      <c r="H99" s="281">
        <f t="shared" si="31"/>
        <v>0</v>
      </c>
      <c r="I99" s="282">
        <f t="shared" si="31"/>
        <v>6.5751499334796876E-2</v>
      </c>
      <c r="J99" s="292">
        <f t="shared" si="31"/>
        <v>1.4902474862427613E-2</v>
      </c>
      <c r="K99" s="294">
        <f t="shared" si="31"/>
        <v>-2.5292602532395334E-2</v>
      </c>
      <c r="L99" s="73" t="s">
        <v>321</v>
      </c>
    </row>
    <row r="100" spans="1:12" x14ac:dyDescent="0.2">
      <c r="A100" s="73" t="s">
        <v>328</v>
      </c>
      <c r="B100" s="288">
        <f t="shared" ref="B100:K100" si="32">IF(B79&gt;0,(B57-B79)/B79,)</f>
        <v>-1.66100777848169E-2</v>
      </c>
      <c r="C100" s="281">
        <f t="shared" si="32"/>
        <v>0</v>
      </c>
      <c r="D100" s="282">
        <f t="shared" si="32"/>
        <v>0</v>
      </c>
      <c r="E100" s="281">
        <f t="shared" si="32"/>
        <v>0.27526829117919449</v>
      </c>
      <c r="F100" s="281">
        <f t="shared" si="32"/>
        <v>0.14317812417599671</v>
      </c>
      <c r="G100" s="282">
        <f t="shared" si="32"/>
        <v>0</v>
      </c>
      <c r="H100" s="281">
        <f t="shared" si="32"/>
        <v>5.8008530038325077E-5</v>
      </c>
      <c r="I100" s="282">
        <f t="shared" si="32"/>
        <v>-6.0170983003612087E-2</v>
      </c>
      <c r="J100" s="292">
        <f t="shared" si="32"/>
        <v>0</v>
      </c>
      <c r="K100" s="294">
        <f t="shared" si="32"/>
        <v>-7.154220498459229E-3</v>
      </c>
      <c r="L100" s="73" t="s">
        <v>328</v>
      </c>
    </row>
    <row r="101" spans="1:12" x14ac:dyDescent="0.2">
      <c r="A101" s="73" t="s">
        <v>329</v>
      </c>
      <c r="B101" s="288">
        <f t="shared" ref="B101:K101" si="33">IF(B80&gt;0,(B58-B80)/B80,)</f>
        <v>0</v>
      </c>
      <c r="C101" s="281">
        <f t="shared" si="33"/>
        <v>5.6056056959546408E-2</v>
      </c>
      <c r="D101" s="282">
        <f t="shared" si="33"/>
        <v>0</v>
      </c>
      <c r="E101" s="281">
        <f t="shared" si="33"/>
        <v>0</v>
      </c>
      <c r="F101" s="281">
        <f t="shared" si="33"/>
        <v>4.6476367741059281E-2</v>
      </c>
      <c r="G101" s="282">
        <f t="shared" si="33"/>
        <v>0</v>
      </c>
      <c r="H101" s="281">
        <f t="shared" si="33"/>
        <v>0</v>
      </c>
      <c r="I101" s="282">
        <f t="shared" si="33"/>
        <v>0</v>
      </c>
      <c r="J101" s="292">
        <f t="shared" si="33"/>
        <v>0</v>
      </c>
      <c r="K101" s="294">
        <f t="shared" si="33"/>
        <v>5.6013452767694649E-2</v>
      </c>
      <c r="L101" s="73" t="s">
        <v>329</v>
      </c>
    </row>
    <row r="102" spans="1:12" x14ac:dyDescent="0.2">
      <c r="A102" s="73" t="s">
        <v>322</v>
      </c>
      <c r="B102" s="288">
        <f t="shared" ref="B102:K102" si="34">IF(B81&gt;0,(B59-B81)/B81,)</f>
        <v>0.12977779053349794</v>
      </c>
      <c r="C102" s="281">
        <f t="shared" si="34"/>
        <v>3.115845647263794E-2</v>
      </c>
      <c r="D102" s="282">
        <f t="shared" si="34"/>
        <v>0</v>
      </c>
      <c r="E102" s="281">
        <f t="shared" si="34"/>
        <v>1.9391240457327346E-3</v>
      </c>
      <c r="F102" s="281">
        <f t="shared" si="34"/>
        <v>-2.5250226969357847E-3</v>
      </c>
      <c r="G102" s="282">
        <f t="shared" si="34"/>
        <v>0</v>
      </c>
      <c r="H102" s="281">
        <f t="shared" si="34"/>
        <v>0</v>
      </c>
      <c r="I102" s="282">
        <f t="shared" si="34"/>
        <v>0</v>
      </c>
      <c r="J102" s="292">
        <f t="shared" si="34"/>
        <v>0</v>
      </c>
      <c r="K102" s="294">
        <f t="shared" si="34"/>
        <v>4.2199563732270587E-2</v>
      </c>
      <c r="L102" s="73" t="s">
        <v>322</v>
      </c>
    </row>
    <row r="103" spans="1:12" x14ac:dyDescent="0.2">
      <c r="A103" s="73" t="s">
        <v>217</v>
      </c>
      <c r="B103" s="288">
        <f t="shared" ref="B103:K103" si="35">IF(B82&gt;0,(B60-B82)/B82,)</f>
        <v>-1.6794175746773935E-3</v>
      </c>
      <c r="C103" s="281">
        <f t="shared" si="35"/>
        <v>0.12957549157811687</v>
      </c>
      <c r="D103" s="282">
        <f t="shared" si="35"/>
        <v>0</v>
      </c>
      <c r="E103" s="281">
        <f t="shared" si="35"/>
        <v>-2.1527959645863139E-3</v>
      </c>
      <c r="F103" s="281">
        <f t="shared" si="35"/>
        <v>5.2759420743462543E-2</v>
      </c>
      <c r="G103" s="282">
        <f t="shared" si="35"/>
        <v>0</v>
      </c>
      <c r="H103" s="281">
        <f t="shared" si="35"/>
        <v>0</v>
      </c>
      <c r="I103" s="282">
        <f t="shared" si="35"/>
        <v>0</v>
      </c>
      <c r="J103" s="292">
        <f t="shared" si="35"/>
        <v>0</v>
      </c>
      <c r="K103" s="294">
        <f t="shared" si="35"/>
        <v>0.10876401286490088</v>
      </c>
      <c r="L103" s="73" t="s">
        <v>217</v>
      </c>
    </row>
    <row r="104" spans="1:12" x14ac:dyDescent="0.2">
      <c r="A104" s="73" t="s">
        <v>333</v>
      </c>
      <c r="B104" s="288">
        <f t="shared" ref="B104:K104" si="36">IF(B83&gt;0,(B61-B83)/B83,)</f>
        <v>-1.1433716313558719E-2</v>
      </c>
      <c r="C104" s="281">
        <f t="shared" si="36"/>
        <v>-5.4349852742095806E-2</v>
      </c>
      <c r="D104" s="282">
        <f t="shared" si="36"/>
        <v>0</v>
      </c>
      <c r="E104" s="281">
        <f t="shared" si="36"/>
        <v>-1.6338855174580131E-2</v>
      </c>
      <c r="F104" s="281">
        <f t="shared" si="36"/>
        <v>-0.12571443714757899</v>
      </c>
      <c r="G104" s="282">
        <f t="shared" si="36"/>
        <v>0</v>
      </c>
      <c r="H104" s="281">
        <f t="shared" si="36"/>
        <v>0</v>
      </c>
      <c r="I104" s="282">
        <f t="shared" si="36"/>
        <v>0</v>
      </c>
      <c r="J104" s="292">
        <f t="shared" si="36"/>
        <v>0</v>
      </c>
      <c r="K104" s="294">
        <f t="shared" si="36"/>
        <v>-1.8319853583031336E-2</v>
      </c>
      <c r="L104" s="73" t="s">
        <v>333</v>
      </c>
    </row>
    <row r="105" spans="1:12" x14ac:dyDescent="0.2">
      <c r="A105" s="73" t="s">
        <v>323</v>
      </c>
      <c r="B105" s="288">
        <f t="shared" ref="B105:K105" si="37">IF(B84&gt;0,(B62-B84)/B84,)</f>
        <v>0.35629969101847248</v>
      </c>
      <c r="C105" s="281">
        <f t="shared" si="37"/>
        <v>5.4494717335114913E-2</v>
      </c>
      <c r="D105" s="282">
        <f t="shared" si="37"/>
        <v>3.1553453156131096E-2</v>
      </c>
      <c r="E105" s="281">
        <f t="shared" si="37"/>
        <v>0.51035212091991511</v>
      </c>
      <c r="F105" s="281">
        <f t="shared" si="37"/>
        <v>9.1543423280885328E-2</v>
      </c>
      <c r="G105" s="282">
        <f t="shared" si="37"/>
        <v>0</v>
      </c>
      <c r="H105" s="281">
        <f t="shared" si="37"/>
        <v>0</v>
      </c>
      <c r="I105" s="282">
        <f t="shared" si="37"/>
        <v>0.46084001160792015</v>
      </c>
      <c r="J105" s="292">
        <f t="shared" si="37"/>
        <v>0</v>
      </c>
      <c r="K105" s="294">
        <f t="shared" si="37"/>
        <v>0.13750647783466072</v>
      </c>
      <c r="L105" s="73" t="s">
        <v>323</v>
      </c>
    </row>
    <row r="106" spans="1:12" x14ac:dyDescent="0.2">
      <c r="A106" s="73" t="s">
        <v>324</v>
      </c>
      <c r="B106" s="288">
        <f t="shared" ref="B106:K106" si="38">IF(B85&gt;0,(B63-B85)/B85,)</f>
        <v>-0.15286652731828124</v>
      </c>
      <c r="C106" s="281">
        <f t="shared" si="38"/>
        <v>-0.17837725488023473</v>
      </c>
      <c r="D106" s="282">
        <f t="shared" si="38"/>
        <v>0</v>
      </c>
      <c r="E106" s="281">
        <f t="shared" si="38"/>
        <v>4.7480330607163296E-7</v>
      </c>
      <c r="F106" s="281">
        <f t="shared" si="38"/>
        <v>0</v>
      </c>
      <c r="G106" s="282">
        <f t="shared" si="38"/>
        <v>0</v>
      </c>
      <c r="H106" s="281">
        <f t="shared" si="38"/>
        <v>0</v>
      </c>
      <c r="I106" s="282">
        <f t="shared" si="38"/>
        <v>-1.1727779247342342E-2</v>
      </c>
      <c r="J106" s="292">
        <f t="shared" si="38"/>
        <v>0</v>
      </c>
      <c r="K106" s="294">
        <f t="shared" si="38"/>
        <v>-9.0139890147667226E-2</v>
      </c>
      <c r="L106" s="73" t="s">
        <v>324</v>
      </c>
    </row>
    <row r="107" spans="1:12" x14ac:dyDescent="0.2">
      <c r="A107" s="73" t="s">
        <v>331</v>
      </c>
      <c r="B107" s="288">
        <f t="shared" ref="B107:K107" si="39">IF(B86&gt;0,(B64-B86)/B86,)</f>
        <v>0</v>
      </c>
      <c r="C107" s="281">
        <f t="shared" si="39"/>
        <v>0</v>
      </c>
      <c r="D107" s="282">
        <f t="shared" si="39"/>
        <v>0</v>
      </c>
      <c r="E107" s="281">
        <f t="shared" si="39"/>
        <v>0</v>
      </c>
      <c r="F107" s="281">
        <f t="shared" si="39"/>
        <v>0</v>
      </c>
      <c r="G107" s="282">
        <f t="shared" si="39"/>
        <v>0</v>
      </c>
      <c r="H107" s="281">
        <f t="shared" si="39"/>
        <v>0</v>
      </c>
      <c r="I107" s="282">
        <f t="shared" si="39"/>
        <v>0</v>
      </c>
      <c r="J107" s="292">
        <f t="shared" si="39"/>
        <v>0</v>
      </c>
      <c r="K107" s="294">
        <f t="shared" si="39"/>
        <v>0</v>
      </c>
      <c r="L107" s="73" t="s">
        <v>331</v>
      </c>
    </row>
    <row r="108" spans="1:12" x14ac:dyDescent="0.2">
      <c r="A108" s="73" t="s">
        <v>325</v>
      </c>
      <c r="B108" s="288">
        <f t="shared" ref="B108:K108" si="40">IF(B87&gt;0,(B65-B87)/B87,)</f>
        <v>-0.1095938781902582</v>
      </c>
      <c r="C108" s="281">
        <f t="shared" si="40"/>
        <v>-4.304204576401547E-3</v>
      </c>
      <c r="D108" s="282">
        <f t="shared" si="40"/>
        <v>0</v>
      </c>
      <c r="E108" s="281">
        <f t="shared" si="40"/>
        <v>5.321812467631129E-2</v>
      </c>
      <c r="F108" s="281">
        <f t="shared" si="40"/>
        <v>-1.6840758873385278E-2</v>
      </c>
      <c r="G108" s="282">
        <f t="shared" si="40"/>
        <v>0</v>
      </c>
      <c r="H108" s="281">
        <f t="shared" si="40"/>
        <v>0</v>
      </c>
      <c r="I108" s="282">
        <f t="shared" si="40"/>
        <v>1.6735294117647059</v>
      </c>
      <c r="J108" s="292">
        <f t="shared" si="40"/>
        <v>0</v>
      </c>
      <c r="K108" s="294">
        <f t="shared" si="40"/>
        <v>1.1811328154033543E-3</v>
      </c>
      <c r="L108" s="73" t="s">
        <v>325</v>
      </c>
    </row>
    <row r="109" spans="1:12" x14ac:dyDescent="0.2">
      <c r="A109" s="73" t="s">
        <v>90</v>
      </c>
      <c r="B109" s="288">
        <f t="shared" ref="B109:K109" si="41">IF(B88&gt;0,(B66-B88)/B88,)</f>
        <v>-5.651052963419928E-2</v>
      </c>
      <c r="C109" s="281">
        <f t="shared" si="41"/>
        <v>-8.3648103586133581E-3</v>
      </c>
      <c r="D109" s="282">
        <f t="shared" si="41"/>
        <v>0</v>
      </c>
      <c r="E109" s="281">
        <f t="shared" si="41"/>
        <v>-6.9050067050165677E-3</v>
      </c>
      <c r="F109" s="281">
        <f t="shared" si="41"/>
        <v>7.7337096104810711E-3</v>
      </c>
      <c r="G109" s="282">
        <f t="shared" si="41"/>
        <v>0</v>
      </c>
      <c r="H109" s="281">
        <f t="shared" si="41"/>
        <v>0</v>
      </c>
      <c r="I109" s="282">
        <f t="shared" si="41"/>
        <v>0</v>
      </c>
      <c r="J109" s="292">
        <f t="shared" si="41"/>
        <v>0</v>
      </c>
      <c r="K109" s="294">
        <f t="shared" si="41"/>
        <v>-2.1926004770736113E-2</v>
      </c>
      <c r="L109" s="73" t="s">
        <v>90</v>
      </c>
    </row>
    <row r="110" spans="1:12" x14ac:dyDescent="0.2">
      <c r="A110" s="73" t="s">
        <v>326</v>
      </c>
      <c r="B110" s="288">
        <f t="shared" ref="B110:K110" si="42">IF(B89&gt;0,(B67-B89)/B89,)</f>
        <v>0</v>
      </c>
      <c r="C110" s="281">
        <f t="shared" si="42"/>
        <v>0</v>
      </c>
      <c r="D110" s="282">
        <f t="shared" si="42"/>
        <v>0</v>
      </c>
      <c r="E110" s="281">
        <f t="shared" si="42"/>
        <v>0</v>
      </c>
      <c r="F110" s="281">
        <f t="shared" si="42"/>
        <v>0</v>
      </c>
      <c r="G110" s="282">
        <f t="shared" si="42"/>
        <v>0</v>
      </c>
      <c r="H110" s="281">
        <f t="shared" si="42"/>
        <v>0</v>
      </c>
      <c r="I110" s="282">
        <f t="shared" si="42"/>
        <v>0.18115942028985507</v>
      </c>
      <c r="J110" s="292">
        <f t="shared" si="42"/>
        <v>0.52476482962228221</v>
      </c>
      <c r="K110" s="294">
        <f t="shared" si="42"/>
        <v>0.50839687117033694</v>
      </c>
      <c r="L110" s="73" t="s">
        <v>326</v>
      </c>
    </row>
    <row r="111" spans="1:12" x14ac:dyDescent="0.2">
      <c r="A111" s="73" t="s">
        <v>327</v>
      </c>
      <c r="B111" s="288">
        <f t="shared" ref="B111:K111" si="43">IF(B90&gt;0,(B68-B90)/B90,)</f>
        <v>6.5369097229332776E-2</v>
      </c>
      <c r="C111" s="281">
        <f t="shared" si="43"/>
        <v>0</v>
      </c>
      <c r="D111" s="282">
        <f t="shared" si="43"/>
        <v>0</v>
      </c>
      <c r="E111" s="281">
        <f t="shared" si="43"/>
        <v>0</v>
      </c>
      <c r="F111" s="281">
        <f t="shared" si="43"/>
        <v>0</v>
      </c>
      <c r="G111" s="282">
        <f t="shared" si="43"/>
        <v>0</v>
      </c>
      <c r="H111" s="281">
        <f t="shared" si="43"/>
        <v>0</v>
      </c>
      <c r="I111" s="282">
        <f t="shared" si="43"/>
        <v>0</v>
      </c>
      <c r="J111" s="292">
        <f t="shared" si="43"/>
        <v>0</v>
      </c>
      <c r="K111" s="294">
        <f t="shared" si="43"/>
        <v>4.3184295968986805E-2</v>
      </c>
      <c r="L111" s="73" t="s">
        <v>327</v>
      </c>
    </row>
    <row r="112" spans="1:12" x14ac:dyDescent="0.2">
      <c r="A112" s="74" t="s">
        <v>332</v>
      </c>
      <c r="B112" s="289">
        <f t="shared" ref="B112:K112" si="44">IF(B91&gt;0,(B69-B91)/B91,)</f>
        <v>2.2212659869155563E-3</v>
      </c>
      <c r="C112" s="283">
        <f t="shared" si="44"/>
        <v>-8.2166335038673672E-3</v>
      </c>
      <c r="D112" s="284">
        <f t="shared" si="44"/>
        <v>0</v>
      </c>
      <c r="E112" s="283">
        <f t="shared" si="44"/>
        <v>-2.2087412802903109E-2</v>
      </c>
      <c r="F112" s="283">
        <f t="shared" si="44"/>
        <v>9.9898230209157099E-2</v>
      </c>
      <c r="G112" s="284">
        <f t="shared" si="44"/>
        <v>0</v>
      </c>
      <c r="H112" s="283">
        <f t="shared" si="44"/>
        <v>0</v>
      </c>
      <c r="I112" s="284">
        <f t="shared" si="44"/>
        <v>0</v>
      </c>
      <c r="J112" s="293">
        <f t="shared" si="44"/>
        <v>0</v>
      </c>
      <c r="K112" s="337">
        <f t="shared" si="44"/>
        <v>6.0692712577525333E-4</v>
      </c>
      <c r="L112" s="74" t="s">
        <v>332</v>
      </c>
    </row>
    <row r="114" spans="1:16" ht="13.5" thickBot="1" x14ac:dyDescent="0.25"/>
    <row r="115" spans="1:16" ht="13.5" thickBot="1" x14ac:dyDescent="0.25">
      <c r="A115" s="511" t="s">
        <v>378</v>
      </c>
      <c r="B115" s="512"/>
      <c r="C115" s="512"/>
      <c r="D115" s="513"/>
      <c r="J115" s="73"/>
    </row>
    <row r="116" spans="1:16" x14ac:dyDescent="0.2">
      <c r="A116" s="378"/>
      <c r="B116" s="506" t="s">
        <v>392</v>
      </c>
      <c r="C116" s="378"/>
      <c r="D116" s="378"/>
      <c r="E116" s="378"/>
      <c r="F116" s="378"/>
      <c r="H116" s="378"/>
      <c r="J116" s="73"/>
    </row>
    <row r="117" spans="1:16" ht="13.5" thickBot="1" x14ac:dyDescent="0.25">
      <c r="A117" s="504"/>
      <c r="B117" s="500" t="s">
        <v>379</v>
      </c>
      <c r="C117" s="501" t="s">
        <v>407</v>
      </c>
      <c r="D117" s="378"/>
      <c r="E117" s="378"/>
      <c r="F117" s="378"/>
      <c r="H117" s="378"/>
    </row>
    <row r="118" spans="1:16" x14ac:dyDescent="0.2">
      <c r="A118" s="386" t="str">
        <f>E118&amp;" ("&amp;TEXT(D118,)&amp;")"</f>
        <v>SREB states (3.7 billion)</v>
      </c>
      <c r="B118" s="751">
        <f>+K95</f>
        <v>5.9316348108666712E-2</v>
      </c>
      <c r="C118" s="625">
        <f>ROUND(+K52/1000000000,1)</f>
        <v>3.7</v>
      </c>
      <c r="D118" s="505" t="str">
        <f>C118 &amp; " "&amp;TEXT(F118,)</f>
        <v>3.7 billion</v>
      </c>
      <c r="E118" s="406" t="s">
        <v>39</v>
      </c>
      <c r="F118" s="378" t="s">
        <v>343</v>
      </c>
      <c r="H118" s="378"/>
    </row>
    <row r="119" spans="1:16" x14ac:dyDescent="0.2">
      <c r="A119" s="406"/>
      <c r="B119" s="502"/>
      <c r="C119" s="503"/>
      <c r="D119" s="505"/>
      <c r="E119" s="406"/>
      <c r="F119" s="378"/>
      <c r="H119" s="378"/>
      <c r="P119" s="385"/>
    </row>
    <row r="120" spans="1:16" x14ac:dyDescent="0.2">
      <c r="A120" s="386" t="str">
        <f t="shared" ref="A120:A135" si="45">E120&amp;" ("&amp;TEXT(D120,)&amp;")"</f>
        <v>Alabama (60.1 million)</v>
      </c>
      <c r="B120" s="502">
        <f t="shared" ref="B120:B135" si="46">+K97</f>
        <v>0.1429135233580236</v>
      </c>
      <c r="C120" s="625">
        <f t="shared" ref="C120:C135" si="47">ROUND(+K54/1000000,1)</f>
        <v>60.1</v>
      </c>
      <c r="D120" s="505" t="str">
        <f>C120 &amp; " "&amp;TEXT(F120,)</f>
        <v>60.1 million</v>
      </c>
      <c r="E120" s="406" t="s">
        <v>320</v>
      </c>
      <c r="F120" s="378" t="s">
        <v>344</v>
      </c>
      <c r="H120" s="378"/>
    </row>
    <row r="121" spans="1:16" x14ac:dyDescent="0.2">
      <c r="A121" s="386" t="str">
        <f t="shared" si="45"/>
        <v>Arkansas (137.8 million)</v>
      </c>
      <c r="B121" s="502">
        <f t="shared" si="46"/>
        <v>-0.13850768533483712</v>
      </c>
      <c r="C121" s="625">
        <f t="shared" si="47"/>
        <v>137.80000000000001</v>
      </c>
      <c r="D121" s="505" t="str">
        <f t="shared" ref="D121:D135" si="48">C121 &amp; " "&amp;TEXT(F121,)</f>
        <v>137.8 million</v>
      </c>
      <c r="E121" s="406" t="s">
        <v>334</v>
      </c>
      <c r="F121" s="378" t="s">
        <v>344</v>
      </c>
      <c r="H121" s="378"/>
      <c r="P121" s="385"/>
    </row>
    <row r="122" spans="1:16" x14ac:dyDescent="0.2">
      <c r="A122" s="386" t="str">
        <f t="shared" si="45"/>
        <v>Delaware (4.9 million)</v>
      </c>
      <c r="B122" s="502">
        <f t="shared" si="46"/>
        <v>-2.5292602532395334E-2</v>
      </c>
      <c r="C122" s="625">
        <f t="shared" si="47"/>
        <v>4.9000000000000004</v>
      </c>
      <c r="D122" s="505" t="str">
        <f t="shared" si="48"/>
        <v>4.9 million</v>
      </c>
      <c r="E122" s="406" t="s">
        <v>321</v>
      </c>
      <c r="F122" s="378" t="s">
        <v>344</v>
      </c>
      <c r="H122" s="378"/>
      <c r="P122" s="385"/>
    </row>
    <row r="123" spans="1:16" x14ac:dyDescent="0.2">
      <c r="A123" s="386" t="str">
        <f t="shared" si="45"/>
        <v>Florida (546.3 million)</v>
      </c>
      <c r="B123" s="502">
        <f t="shared" si="46"/>
        <v>-7.154220498459229E-3</v>
      </c>
      <c r="C123" s="625">
        <f t="shared" si="47"/>
        <v>546.29999999999995</v>
      </c>
      <c r="D123" s="505" t="str">
        <f t="shared" si="48"/>
        <v>546.3 million</v>
      </c>
      <c r="E123" s="406" t="s">
        <v>328</v>
      </c>
      <c r="F123" s="378" t="s">
        <v>344</v>
      </c>
      <c r="H123" s="378"/>
      <c r="P123" s="385"/>
    </row>
    <row r="124" spans="1:16" x14ac:dyDescent="0.2">
      <c r="A124" s="386" t="str">
        <f t="shared" si="45"/>
        <v>Georgia (426.6 million)</v>
      </c>
      <c r="B124" s="502">
        <f t="shared" si="46"/>
        <v>5.6013452767694649E-2</v>
      </c>
      <c r="C124" s="625">
        <f t="shared" si="47"/>
        <v>426.6</v>
      </c>
      <c r="D124" s="505" t="str">
        <f t="shared" si="48"/>
        <v>426.6 million</v>
      </c>
      <c r="E124" s="406" t="s">
        <v>329</v>
      </c>
      <c r="F124" s="378" t="s">
        <v>344</v>
      </c>
      <c r="H124" s="378"/>
      <c r="P124" s="385"/>
    </row>
    <row r="125" spans="1:16" x14ac:dyDescent="0.2">
      <c r="A125" s="386" t="str">
        <f t="shared" si="45"/>
        <v>Kentucky (197.4 million)</v>
      </c>
      <c r="B125" s="502">
        <f t="shared" si="46"/>
        <v>4.2199563732270587E-2</v>
      </c>
      <c r="C125" s="625">
        <f t="shared" si="47"/>
        <v>197.4</v>
      </c>
      <c r="D125" s="505" t="str">
        <f t="shared" si="48"/>
        <v>197.4 million</v>
      </c>
      <c r="E125" s="406" t="s">
        <v>322</v>
      </c>
      <c r="F125" s="378" t="s">
        <v>344</v>
      </c>
      <c r="H125" s="378"/>
      <c r="P125" s="385"/>
    </row>
    <row r="126" spans="1:16" x14ac:dyDescent="0.2">
      <c r="A126" s="386" t="str">
        <f t="shared" si="45"/>
        <v>Louisiana (240.8 million)</v>
      </c>
      <c r="B126" s="502">
        <f t="shared" si="46"/>
        <v>0.10876401286490088</v>
      </c>
      <c r="C126" s="625">
        <f t="shared" si="47"/>
        <v>240.8</v>
      </c>
      <c r="D126" s="505" t="str">
        <f t="shared" si="48"/>
        <v>240.8 million</v>
      </c>
      <c r="E126" s="406" t="s">
        <v>330</v>
      </c>
      <c r="F126" s="378" t="s">
        <v>344</v>
      </c>
      <c r="H126" s="378"/>
      <c r="P126" s="385"/>
    </row>
    <row r="127" spans="1:16" x14ac:dyDescent="0.2">
      <c r="A127" s="386" t="str">
        <f t="shared" si="45"/>
        <v>Maryland (103.5 million)</v>
      </c>
      <c r="B127" s="502">
        <f t="shared" si="46"/>
        <v>-1.8319853583031336E-2</v>
      </c>
      <c r="C127" s="625">
        <f t="shared" si="47"/>
        <v>103.5</v>
      </c>
      <c r="D127" s="505" t="str">
        <f t="shared" si="48"/>
        <v>103.5 million</v>
      </c>
      <c r="E127" s="406" t="s">
        <v>333</v>
      </c>
      <c r="F127" s="378" t="s">
        <v>344</v>
      </c>
      <c r="H127" s="378"/>
      <c r="P127" s="385"/>
    </row>
    <row r="128" spans="1:16" x14ac:dyDescent="0.2">
      <c r="A128" s="386" t="str">
        <f t="shared" si="45"/>
        <v>Mississippi (37.1 million)</v>
      </c>
      <c r="B128" s="502">
        <f t="shared" si="46"/>
        <v>0.13750647783466072</v>
      </c>
      <c r="C128" s="625">
        <f t="shared" si="47"/>
        <v>37.1</v>
      </c>
      <c r="D128" s="505" t="str">
        <f t="shared" si="48"/>
        <v>37.1 million</v>
      </c>
      <c r="E128" s="406" t="s">
        <v>323</v>
      </c>
      <c r="F128" s="378" t="s">
        <v>344</v>
      </c>
      <c r="H128" s="378"/>
      <c r="P128" s="385"/>
    </row>
    <row r="129" spans="1:16" x14ac:dyDescent="0.2">
      <c r="A129" s="386" t="str">
        <f t="shared" si="45"/>
        <v>North Carolina (235.4 million)</v>
      </c>
      <c r="B129" s="502">
        <f t="shared" si="46"/>
        <v>-9.0139890147667226E-2</v>
      </c>
      <c r="C129" s="625">
        <f t="shared" si="47"/>
        <v>235.4</v>
      </c>
      <c r="D129" s="505" t="str">
        <f t="shared" si="48"/>
        <v>235.4 million</v>
      </c>
      <c r="E129" s="406" t="s">
        <v>324</v>
      </c>
      <c r="F129" s="378" t="s">
        <v>344</v>
      </c>
      <c r="H129" s="378"/>
      <c r="P129" s="385"/>
    </row>
    <row r="130" spans="1:16" x14ac:dyDescent="0.2">
      <c r="A130" s="386" t="str">
        <f t="shared" si="45"/>
        <v>Oklahoma (80.6 million)</v>
      </c>
      <c r="B130" s="515">
        <f t="shared" si="46"/>
        <v>0</v>
      </c>
      <c r="C130" s="625">
        <f t="shared" si="47"/>
        <v>80.599999999999994</v>
      </c>
      <c r="D130" s="505" t="str">
        <f t="shared" si="48"/>
        <v>80.6 million</v>
      </c>
      <c r="E130" s="406" t="s">
        <v>331</v>
      </c>
      <c r="F130" s="378" t="s">
        <v>344</v>
      </c>
      <c r="H130" s="378"/>
      <c r="P130" s="385"/>
    </row>
    <row r="131" spans="1:16" x14ac:dyDescent="0.2">
      <c r="A131" s="386" t="str">
        <f t="shared" si="45"/>
        <v>South Carolina (338.2 million)</v>
      </c>
      <c r="B131" s="502">
        <f t="shared" si="46"/>
        <v>1.1811328154033543E-3</v>
      </c>
      <c r="C131" s="625">
        <f t="shared" si="47"/>
        <v>338.2</v>
      </c>
      <c r="D131" s="505" t="str">
        <f t="shared" si="48"/>
        <v>338.2 million</v>
      </c>
      <c r="E131" s="406" t="s">
        <v>325</v>
      </c>
      <c r="F131" s="378" t="s">
        <v>344</v>
      </c>
      <c r="H131" s="378"/>
      <c r="P131" s="385"/>
    </row>
    <row r="132" spans="1:16" x14ac:dyDescent="0.2">
      <c r="A132" s="386" t="str">
        <f t="shared" si="45"/>
        <v>Tennessee (367.3 million)</v>
      </c>
      <c r="B132" s="502">
        <f t="shared" si="46"/>
        <v>-2.1926004770736113E-2</v>
      </c>
      <c r="C132" s="625">
        <f t="shared" si="47"/>
        <v>367.3</v>
      </c>
      <c r="D132" s="505" t="str">
        <f t="shared" si="48"/>
        <v>367.3 million</v>
      </c>
      <c r="E132" s="406" t="s">
        <v>90</v>
      </c>
      <c r="F132" s="378" t="s">
        <v>344</v>
      </c>
      <c r="H132" s="378"/>
      <c r="P132" s="385"/>
    </row>
    <row r="133" spans="1:16" x14ac:dyDescent="0.2">
      <c r="A133" s="386" t="str">
        <f t="shared" si="45"/>
        <v>Texas (559.3 million)</v>
      </c>
      <c r="B133" s="502">
        <f t="shared" si="46"/>
        <v>0.50839687117033694</v>
      </c>
      <c r="C133" s="625">
        <f t="shared" si="47"/>
        <v>559.29999999999995</v>
      </c>
      <c r="D133" s="505" t="str">
        <f t="shared" si="48"/>
        <v>559.3 million</v>
      </c>
      <c r="E133" s="406" t="s">
        <v>326</v>
      </c>
      <c r="F133" s="378" t="s">
        <v>344</v>
      </c>
      <c r="H133" s="378"/>
      <c r="P133" s="385"/>
    </row>
    <row r="134" spans="1:16" x14ac:dyDescent="0.2">
      <c r="A134" s="386" t="str">
        <f t="shared" si="45"/>
        <v>Virginia (249.8 million)</v>
      </c>
      <c r="B134" s="502">
        <f t="shared" si="46"/>
        <v>4.3184295968986805E-2</v>
      </c>
      <c r="C134" s="625">
        <f t="shared" si="47"/>
        <v>249.8</v>
      </c>
      <c r="D134" s="505" t="str">
        <f t="shared" si="48"/>
        <v>249.8 million</v>
      </c>
      <c r="E134" s="406" t="s">
        <v>327</v>
      </c>
      <c r="F134" s="378" t="s">
        <v>344</v>
      </c>
      <c r="H134" s="378"/>
      <c r="P134" s="385"/>
    </row>
    <row r="135" spans="1:16" x14ac:dyDescent="0.2">
      <c r="A135" s="386" t="str">
        <f t="shared" si="45"/>
        <v>West Virginia (91 million)</v>
      </c>
      <c r="B135" s="502">
        <f t="shared" si="46"/>
        <v>6.0692712577525333E-4</v>
      </c>
      <c r="C135" s="625">
        <f t="shared" si="47"/>
        <v>91</v>
      </c>
      <c r="D135" s="505" t="str">
        <f t="shared" si="48"/>
        <v>91 million</v>
      </c>
      <c r="E135" s="407" t="s">
        <v>332</v>
      </c>
      <c r="F135" s="378" t="s">
        <v>344</v>
      </c>
      <c r="H135" s="378"/>
      <c r="P135" s="385"/>
    </row>
    <row r="136" spans="1:16" x14ac:dyDescent="0.2">
      <c r="A136" s="378"/>
      <c r="B136" s="378"/>
      <c r="C136" s="378"/>
      <c r="D136" s="378"/>
      <c r="E136" s="378"/>
      <c r="F136" s="378"/>
      <c r="G136" s="378"/>
      <c r="H136" s="378"/>
      <c r="P136" s="385"/>
    </row>
    <row r="138" spans="1:16" x14ac:dyDescent="0.2">
      <c r="I138"/>
    </row>
  </sheetData>
  <sortState ref="A120:F135">
    <sortCondition ref="F121:F136"/>
  </sortState>
  <phoneticPr fontId="17" type="noConversion"/>
  <pageMargins left="0.5" right="0.5" top="0.5" bottom="0.5" header="0.25" footer="0.25"/>
  <pageSetup scale="50" orientation="landscape" r:id="rId1"/>
  <headerFooter alignWithMargins="0"/>
  <rowBreaks count="1" manualBreakCount="1">
    <brk id="48" max="1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A707"/>
  <sheetViews>
    <sheetView workbookViewId="0">
      <selection activeCell="B5" sqref="B5"/>
    </sheetView>
  </sheetViews>
  <sheetFormatPr defaultColWidth="10.25" defaultRowHeight="12.75" x14ac:dyDescent="0.2"/>
  <cols>
    <col min="1" max="1" width="10.75" style="588" customWidth="1"/>
    <col min="2" max="2" width="13.25" style="588" customWidth="1"/>
    <col min="3" max="3" width="12.5" style="589" customWidth="1"/>
    <col min="4" max="5" width="10.875" style="588" customWidth="1"/>
    <col min="6" max="7" width="11.5" style="588" customWidth="1"/>
    <col min="8" max="8" width="12.5" style="588" customWidth="1"/>
    <col min="9" max="9" width="16" style="588" customWidth="1"/>
    <col min="10" max="10" width="10.25" style="588" customWidth="1"/>
    <col min="11" max="11" width="12.25" style="588" customWidth="1"/>
    <col min="12" max="12" width="12.375" style="588" customWidth="1"/>
    <col min="13" max="13" width="11.625" style="588" bestFit="1" customWidth="1"/>
    <col min="14" max="14" width="11.375" style="588" bestFit="1" customWidth="1"/>
    <col min="15" max="15" width="13.75" style="588" customWidth="1"/>
    <col min="16" max="16" width="13.875" style="588" customWidth="1"/>
    <col min="17" max="18" width="10.25" style="588" customWidth="1"/>
    <col min="19" max="19" width="14.625" style="588" customWidth="1"/>
    <col min="20" max="20" width="1.625" style="588" hidden="1" customWidth="1"/>
    <col min="21" max="21" width="15.75" style="588" customWidth="1"/>
    <col min="22" max="22" width="2" style="590" hidden="1" customWidth="1"/>
    <col min="23" max="23" width="12.375" style="588" customWidth="1"/>
    <col min="24" max="24" width="13.875" style="588" customWidth="1"/>
    <col min="25" max="25" width="10.25" style="588"/>
    <col min="26" max="26" width="12" style="588" bestFit="1" customWidth="1"/>
    <col min="27" max="16384" width="10.25" style="588"/>
  </cols>
  <sheetData>
    <row r="1" spans="1:26" x14ac:dyDescent="0.2">
      <c r="A1" s="828" t="s">
        <v>125</v>
      </c>
      <c r="B1" s="825" t="s">
        <v>424</v>
      </c>
      <c r="C1" s="588"/>
      <c r="D1" s="593"/>
      <c r="V1" s="588"/>
    </row>
    <row r="2" spans="1:26" x14ac:dyDescent="0.2">
      <c r="C2" s="588"/>
      <c r="V2" s="588"/>
    </row>
    <row r="3" spans="1:26" s="214" customFormat="1" x14ac:dyDescent="0.2">
      <c r="A3" s="829"/>
      <c r="B3" s="830" t="s">
        <v>118</v>
      </c>
      <c r="C3" s="831"/>
      <c r="D3" s="831"/>
      <c r="E3" s="831"/>
      <c r="F3" s="831"/>
      <c r="G3" s="831"/>
      <c r="H3" s="831"/>
      <c r="I3" s="832"/>
      <c r="J3"/>
      <c r="K3"/>
      <c r="L3" s="594"/>
      <c r="M3" s="594"/>
      <c r="N3" s="594"/>
      <c r="O3" s="594"/>
      <c r="P3" s="594"/>
      <c r="Q3" s="594"/>
      <c r="R3" s="594"/>
      <c r="S3" s="594"/>
      <c r="T3" s="594"/>
      <c r="U3" s="594"/>
      <c r="V3" s="594"/>
      <c r="W3" s="594"/>
      <c r="X3" s="594"/>
      <c r="Y3" s="594"/>
      <c r="Z3" s="594"/>
    </row>
    <row r="4" spans="1:26" s="214" customFormat="1" ht="38.25" x14ac:dyDescent="0.2">
      <c r="A4" s="830" t="s">
        <v>122</v>
      </c>
      <c r="B4" s="833" t="s">
        <v>190</v>
      </c>
      <c r="C4" s="834" t="s">
        <v>4</v>
      </c>
      <c r="D4" s="834" t="s">
        <v>195</v>
      </c>
      <c r="E4" s="834" t="s">
        <v>242</v>
      </c>
      <c r="F4" s="837" t="s">
        <v>5</v>
      </c>
      <c r="G4" s="837" t="s">
        <v>6</v>
      </c>
      <c r="H4" s="834" t="s">
        <v>223</v>
      </c>
      <c r="I4" s="835" t="s">
        <v>14</v>
      </c>
      <c r="J4"/>
      <c r="K4"/>
      <c r="L4" s="594"/>
      <c r="M4" s="594"/>
      <c r="N4" s="594"/>
      <c r="O4" s="594"/>
      <c r="P4" s="594"/>
      <c r="Q4" s="594"/>
      <c r="R4" s="594"/>
      <c r="S4" s="594"/>
      <c r="T4" s="594"/>
      <c r="U4" s="594"/>
      <c r="V4" s="594"/>
      <c r="W4" s="594"/>
      <c r="X4" s="594"/>
      <c r="Y4" s="594"/>
      <c r="Z4" s="594"/>
    </row>
    <row r="5" spans="1:26" s="214" customFormat="1" x14ac:dyDescent="0.2">
      <c r="A5" s="822" t="s">
        <v>142</v>
      </c>
      <c r="B5" s="822">
        <v>292686249</v>
      </c>
      <c r="C5" s="823">
        <v>283300643</v>
      </c>
      <c r="D5" s="823">
        <v>129919873</v>
      </c>
      <c r="E5" s="823">
        <v>86767899</v>
      </c>
      <c r="F5" s="823"/>
      <c r="G5" s="823"/>
      <c r="H5" s="823">
        <v>783248693.35000002</v>
      </c>
      <c r="I5" s="826">
        <v>722060091</v>
      </c>
      <c r="J5"/>
      <c r="K5"/>
      <c r="L5" s="595"/>
      <c r="M5" s="595"/>
      <c r="N5" s="595"/>
      <c r="O5" s="595"/>
      <c r="P5" s="595"/>
      <c r="Q5" s="595"/>
      <c r="R5" s="595"/>
      <c r="S5" s="595"/>
      <c r="T5" s="595"/>
      <c r="U5" s="595"/>
      <c r="V5" s="595"/>
      <c r="W5" s="595"/>
      <c r="X5" s="595"/>
      <c r="Y5" s="595"/>
      <c r="Z5" s="595"/>
    </row>
    <row r="6" spans="1:26" x14ac:dyDescent="0.2">
      <c r="A6" s="824" t="s">
        <v>143</v>
      </c>
      <c r="B6" s="824">
        <v>122747030.43859683</v>
      </c>
      <c r="C6" s="592">
        <v>122375196</v>
      </c>
      <c r="D6" s="592">
        <v>83035005.41125305</v>
      </c>
      <c r="E6" s="592">
        <v>83220445</v>
      </c>
      <c r="F6" s="592"/>
      <c r="G6" s="592"/>
      <c r="H6" s="592">
        <v>180716805</v>
      </c>
      <c r="I6" s="827">
        <v>194389640</v>
      </c>
      <c r="J6"/>
      <c r="K6"/>
      <c r="L6" s="594"/>
      <c r="M6" s="594"/>
      <c r="N6" s="594"/>
      <c r="O6" s="594"/>
      <c r="P6" s="594"/>
      <c r="Q6" s="594"/>
      <c r="R6" s="594"/>
      <c r="S6" s="594"/>
      <c r="T6" s="594"/>
      <c r="U6" s="594"/>
      <c r="V6" s="594"/>
      <c r="W6" s="594"/>
      <c r="X6" s="594"/>
      <c r="Y6" s="594"/>
      <c r="Z6" s="594"/>
    </row>
    <row r="7" spans="1:26" s="203" customFormat="1" x14ac:dyDescent="0.2">
      <c r="A7" s="824" t="s">
        <v>148</v>
      </c>
      <c r="B7" s="824">
        <v>113279900</v>
      </c>
      <c r="C7" s="592">
        <v>114274900</v>
      </c>
      <c r="D7" s="592">
        <v>9818000</v>
      </c>
      <c r="E7" s="592">
        <v>10675100</v>
      </c>
      <c r="F7" s="592"/>
      <c r="G7" s="592"/>
      <c r="H7" s="592">
        <v>461765329</v>
      </c>
      <c r="I7" s="827">
        <v>482645088</v>
      </c>
      <c r="J7"/>
      <c r="K7"/>
      <c r="L7" s="594"/>
      <c r="M7" s="594"/>
      <c r="N7" s="594"/>
      <c r="O7" s="594"/>
      <c r="P7" s="594"/>
      <c r="Q7" s="594"/>
      <c r="R7" s="594"/>
      <c r="S7" s="594"/>
      <c r="T7" s="594"/>
      <c r="U7" s="594"/>
      <c r="V7" s="594"/>
      <c r="W7" s="594"/>
      <c r="X7" s="594"/>
      <c r="Y7" s="594"/>
      <c r="Z7" s="594"/>
    </row>
    <row r="8" spans="1:26" s="202" customFormat="1" ht="13.5" thickBot="1" x14ac:dyDescent="0.25">
      <c r="A8" s="824" t="s">
        <v>149</v>
      </c>
      <c r="B8" s="824">
        <v>1152206957</v>
      </c>
      <c r="C8" s="592">
        <v>865774460</v>
      </c>
      <c r="D8" s="592">
        <v>179619380</v>
      </c>
      <c r="E8" s="592">
        <v>184443679</v>
      </c>
      <c r="F8" s="592"/>
      <c r="G8" s="592"/>
      <c r="H8" s="592">
        <v>1008903072</v>
      </c>
      <c r="I8" s="827">
        <v>1241590874.2751999</v>
      </c>
      <c r="J8"/>
      <c r="K8"/>
      <c r="L8" s="594"/>
      <c r="M8" s="594"/>
      <c r="N8" s="594"/>
      <c r="O8" s="594"/>
      <c r="P8" s="594"/>
      <c r="Q8" s="594"/>
      <c r="R8" s="594"/>
      <c r="S8" s="594"/>
      <c r="T8" s="594"/>
      <c r="U8" s="594"/>
      <c r="V8" s="594"/>
      <c r="W8" s="594"/>
      <c r="X8" s="594"/>
      <c r="Y8" s="594"/>
      <c r="Z8" s="594"/>
    </row>
    <row r="9" spans="1:26" x14ac:dyDescent="0.2">
      <c r="A9" s="824" t="s">
        <v>144</v>
      </c>
      <c r="B9" s="824">
        <v>446187399</v>
      </c>
      <c r="C9" s="592">
        <v>453839524</v>
      </c>
      <c r="D9" s="592">
        <v>121626720</v>
      </c>
      <c r="E9" s="592">
        <v>127144081</v>
      </c>
      <c r="F9" s="592"/>
      <c r="G9" s="592"/>
      <c r="H9" s="592">
        <v>553632247</v>
      </c>
      <c r="I9" s="827">
        <v>588394267</v>
      </c>
      <c r="J9"/>
      <c r="K9"/>
      <c r="L9" s="594"/>
      <c r="M9" s="594"/>
      <c r="N9" s="594"/>
      <c r="O9" s="594"/>
      <c r="P9" s="594"/>
      <c r="Q9" s="594"/>
      <c r="R9" s="594"/>
      <c r="S9" s="594"/>
      <c r="T9" s="594"/>
      <c r="U9" s="594"/>
      <c r="V9" s="594"/>
      <c r="W9" s="594"/>
      <c r="X9" s="594"/>
      <c r="Y9" s="594"/>
      <c r="Z9" s="594"/>
    </row>
    <row r="10" spans="1:26" s="203" customFormat="1" x14ac:dyDescent="0.2">
      <c r="A10" s="824" t="s">
        <v>150</v>
      </c>
      <c r="B10" s="824">
        <v>289028755</v>
      </c>
      <c r="C10" s="592">
        <v>289135629</v>
      </c>
      <c r="D10" s="592">
        <v>122088390</v>
      </c>
      <c r="E10" s="592">
        <v>120441576</v>
      </c>
      <c r="F10" s="592"/>
      <c r="G10" s="592"/>
      <c r="H10" s="592">
        <v>519301891.21450114</v>
      </c>
      <c r="I10" s="827">
        <v>561616654</v>
      </c>
      <c r="J10"/>
      <c r="K10"/>
      <c r="L10" s="594"/>
      <c r="M10" s="594"/>
      <c r="N10" s="594"/>
      <c r="O10" s="594"/>
      <c r="P10" s="594"/>
      <c r="Q10" s="594"/>
      <c r="R10" s="594"/>
      <c r="S10" s="594"/>
      <c r="T10" s="594"/>
      <c r="U10" s="594"/>
      <c r="V10" s="594"/>
      <c r="W10" s="594"/>
      <c r="X10" s="594"/>
      <c r="Y10" s="594"/>
      <c r="Z10" s="594"/>
    </row>
    <row r="11" spans="1:26" s="202" customFormat="1" ht="13.5" thickBot="1" x14ac:dyDescent="0.25">
      <c r="A11" s="824" t="s">
        <v>145</v>
      </c>
      <c r="B11" s="824">
        <v>146882776</v>
      </c>
      <c r="C11" s="592">
        <v>127825095</v>
      </c>
      <c r="D11" s="592">
        <v>104445888</v>
      </c>
      <c r="E11" s="592">
        <v>95722075</v>
      </c>
      <c r="F11" s="592"/>
      <c r="G11" s="592"/>
      <c r="H11" s="592">
        <v>236191315</v>
      </c>
      <c r="I11" s="827">
        <v>277003285</v>
      </c>
      <c r="J11"/>
      <c r="K11"/>
      <c r="L11" s="594"/>
      <c r="M11" s="594"/>
      <c r="N11" s="594"/>
      <c r="O11" s="594"/>
      <c r="P11" s="594"/>
      <c r="Q11" s="594"/>
      <c r="R11" s="594"/>
      <c r="S11" s="594"/>
      <c r="T11" s="594"/>
      <c r="U11" s="594"/>
      <c r="V11" s="594"/>
      <c r="W11" s="594"/>
      <c r="X11" s="594"/>
      <c r="Y11" s="594"/>
      <c r="Z11" s="594"/>
    </row>
    <row r="12" spans="1:26" x14ac:dyDescent="0.2">
      <c r="A12" s="824" t="s">
        <v>151</v>
      </c>
      <c r="B12" s="824">
        <v>413391061</v>
      </c>
      <c r="C12" s="592">
        <v>410197182</v>
      </c>
      <c r="D12" s="592">
        <v>63514437</v>
      </c>
      <c r="E12" s="592">
        <v>63001959</v>
      </c>
      <c r="F12" s="592"/>
      <c r="G12" s="592"/>
      <c r="H12" s="592">
        <v>460070041</v>
      </c>
      <c r="I12" s="827">
        <v>473762537</v>
      </c>
      <c r="J12"/>
      <c r="K12"/>
      <c r="L12" s="594"/>
      <c r="M12" s="594"/>
      <c r="N12" s="594"/>
      <c r="O12" s="594"/>
      <c r="P12" s="594"/>
      <c r="Q12" s="594"/>
      <c r="R12" s="594"/>
      <c r="S12" s="594"/>
      <c r="T12" s="594"/>
      <c r="U12" s="594"/>
      <c r="V12" s="594"/>
      <c r="W12" s="594"/>
      <c r="X12" s="594"/>
      <c r="Y12" s="594"/>
      <c r="Z12" s="594"/>
    </row>
    <row r="13" spans="1:26" s="203" customFormat="1" x14ac:dyDescent="0.2">
      <c r="A13" s="824" t="s">
        <v>152</v>
      </c>
      <c r="B13" s="824">
        <v>165632648</v>
      </c>
      <c r="C13" s="592">
        <v>164398227</v>
      </c>
      <c r="D13" s="592">
        <v>71273900</v>
      </c>
      <c r="E13" s="592">
        <v>71425099.780000001</v>
      </c>
      <c r="F13" s="592"/>
      <c r="G13" s="592"/>
      <c r="H13" s="592">
        <v>242721674</v>
      </c>
      <c r="I13" s="827">
        <v>260245842</v>
      </c>
      <c r="J13"/>
      <c r="K13"/>
      <c r="L13" s="594"/>
      <c r="M13" s="594"/>
      <c r="N13" s="594"/>
      <c r="O13" s="594"/>
      <c r="P13" s="594"/>
      <c r="Q13" s="594"/>
      <c r="R13" s="594"/>
      <c r="S13" s="594"/>
      <c r="T13" s="594"/>
      <c r="U13" s="594"/>
      <c r="V13" s="594"/>
      <c r="W13" s="594"/>
      <c r="X13" s="594"/>
      <c r="Y13" s="594"/>
      <c r="Z13" s="594"/>
    </row>
    <row r="14" spans="1:26" s="202" customFormat="1" ht="13.5" thickBot="1" x14ac:dyDescent="0.25">
      <c r="A14" s="824" t="s">
        <v>153</v>
      </c>
      <c r="B14" s="824">
        <v>753385913.99000001</v>
      </c>
      <c r="C14" s="592">
        <v>777782158.39999998</v>
      </c>
      <c r="D14" s="592">
        <v>130266268.72</v>
      </c>
      <c r="E14" s="592">
        <v>142717924</v>
      </c>
      <c r="F14" s="592"/>
      <c r="G14" s="592"/>
      <c r="H14" s="592">
        <v>574321856</v>
      </c>
      <c r="I14" s="827">
        <v>588373435</v>
      </c>
      <c r="J14"/>
      <c r="K14"/>
      <c r="L14" s="594"/>
      <c r="M14" s="594"/>
      <c r="N14" s="594"/>
      <c r="O14" s="594"/>
      <c r="P14" s="594"/>
      <c r="Q14" s="594"/>
      <c r="R14" s="594"/>
      <c r="S14" s="594"/>
      <c r="T14" s="594"/>
      <c r="U14" s="594"/>
      <c r="V14" s="594"/>
      <c r="W14" s="594"/>
      <c r="X14" s="594"/>
      <c r="Y14" s="594"/>
      <c r="Z14" s="594"/>
    </row>
    <row r="15" spans="1:26" x14ac:dyDescent="0.2">
      <c r="A15" s="824" t="s">
        <v>154</v>
      </c>
      <c r="B15" s="824">
        <v>357003971</v>
      </c>
      <c r="C15" s="592">
        <v>357823649</v>
      </c>
      <c r="D15" s="592">
        <v>70095274</v>
      </c>
      <c r="E15" s="592">
        <v>71100277</v>
      </c>
      <c r="F15" s="592"/>
      <c r="G15" s="592"/>
      <c r="H15" s="592">
        <v>433670729</v>
      </c>
      <c r="I15" s="827">
        <v>463531299</v>
      </c>
      <c r="J15"/>
      <c r="K15"/>
      <c r="L15" s="594"/>
      <c r="M15" s="594"/>
      <c r="N15" s="594"/>
      <c r="O15" s="594"/>
      <c r="P15" s="594"/>
      <c r="Q15" s="594"/>
      <c r="R15" s="594"/>
      <c r="S15" s="594"/>
      <c r="T15" s="594"/>
      <c r="U15" s="594"/>
      <c r="V15" s="594"/>
      <c r="W15" s="594"/>
      <c r="X15" s="594"/>
      <c r="Y15" s="594"/>
      <c r="Z15" s="594"/>
    </row>
    <row r="16" spans="1:26" s="591" customFormat="1" x14ac:dyDescent="0.2">
      <c r="A16" s="824" t="s">
        <v>146</v>
      </c>
      <c r="B16" s="824">
        <v>142673038</v>
      </c>
      <c r="C16" s="592">
        <v>149491430</v>
      </c>
      <c r="D16" s="592">
        <v>32472140</v>
      </c>
      <c r="E16" s="592">
        <v>47947862</v>
      </c>
      <c r="F16" s="592"/>
      <c r="G16" s="592"/>
      <c r="H16" s="592">
        <v>739816910.59438443</v>
      </c>
      <c r="I16" s="827">
        <v>739816910.59438443</v>
      </c>
      <c r="J16"/>
      <c r="K16"/>
      <c r="L16" s="594"/>
      <c r="M16" s="594"/>
      <c r="N16" s="594"/>
      <c r="O16" s="594"/>
      <c r="P16" s="594"/>
      <c r="Q16" s="594"/>
      <c r="R16" s="594"/>
      <c r="S16" s="594"/>
      <c r="T16" s="594"/>
      <c r="U16" s="594"/>
      <c r="V16" s="594"/>
      <c r="W16" s="594"/>
      <c r="X16" s="594"/>
      <c r="Y16" s="594"/>
      <c r="Z16" s="594"/>
    </row>
    <row r="17" spans="1:26" s="202" customFormat="1" ht="13.5" thickBot="1" x14ac:dyDescent="0.25">
      <c r="A17" s="824" t="s">
        <v>155</v>
      </c>
      <c r="B17" s="824">
        <v>301588040</v>
      </c>
      <c r="C17" s="592">
        <v>313271469.79201627</v>
      </c>
      <c r="D17" s="592">
        <v>60287626</v>
      </c>
      <c r="E17" s="592">
        <v>63902686</v>
      </c>
      <c r="F17" s="592"/>
      <c r="G17" s="592"/>
      <c r="H17" s="592">
        <v>414915367</v>
      </c>
      <c r="I17" s="827">
        <v>442815355</v>
      </c>
      <c r="J17"/>
      <c r="K17"/>
      <c r="L17" s="594"/>
      <c r="M17" s="594"/>
      <c r="N17" s="594"/>
      <c r="O17" s="594"/>
      <c r="P17" s="594"/>
      <c r="Q17" s="594"/>
      <c r="R17" s="594"/>
      <c r="S17" s="594"/>
      <c r="T17" s="594"/>
      <c r="U17" s="594"/>
      <c r="V17" s="594"/>
      <c r="W17" s="594"/>
      <c r="X17" s="594"/>
      <c r="Y17" s="594"/>
      <c r="Z17" s="594"/>
    </row>
    <row r="18" spans="1:26" x14ac:dyDescent="0.2">
      <c r="A18" s="824" t="s">
        <v>147</v>
      </c>
      <c r="B18" s="824">
        <v>1527699275</v>
      </c>
      <c r="C18" s="592">
        <v>1506120669</v>
      </c>
      <c r="D18" s="592">
        <v>316468817</v>
      </c>
      <c r="E18" s="592">
        <v>194586568</v>
      </c>
      <c r="F18" s="592"/>
      <c r="G18" s="592"/>
      <c r="H18" s="592">
        <v>2271854714</v>
      </c>
      <c r="I18" s="827">
        <v>2448367616</v>
      </c>
      <c r="J18"/>
      <c r="K18"/>
      <c r="L18" s="594"/>
      <c r="M18" s="594"/>
      <c r="N18" s="594"/>
      <c r="O18" s="594"/>
      <c r="P18" s="594"/>
      <c r="Q18" s="594"/>
      <c r="R18" s="594"/>
      <c r="S18" s="594"/>
      <c r="T18" s="594"/>
      <c r="U18" s="594"/>
      <c r="V18" s="594"/>
      <c r="W18" s="594"/>
      <c r="X18" s="594"/>
      <c r="Y18" s="594"/>
      <c r="Z18" s="594"/>
    </row>
    <row r="19" spans="1:26" s="591" customFormat="1" x14ac:dyDescent="0.2">
      <c r="A19" s="824" t="s">
        <v>156</v>
      </c>
      <c r="B19" s="824">
        <v>416777124</v>
      </c>
      <c r="C19" s="592">
        <v>435805033</v>
      </c>
      <c r="D19" s="592">
        <v>144825119</v>
      </c>
      <c r="E19" s="592">
        <v>154250728</v>
      </c>
      <c r="F19" s="592"/>
      <c r="G19" s="592"/>
      <c r="H19" s="592">
        <v>1153062373</v>
      </c>
      <c r="I19" s="827">
        <v>1247730767</v>
      </c>
      <c r="J19"/>
      <c r="K19"/>
      <c r="L19" s="594"/>
      <c r="M19" s="594"/>
      <c r="N19" s="594"/>
      <c r="O19" s="594"/>
      <c r="P19" s="594"/>
      <c r="Q19" s="594"/>
      <c r="R19" s="594"/>
      <c r="S19" s="594"/>
      <c r="T19" s="594"/>
      <c r="U19" s="594"/>
      <c r="V19" s="594"/>
      <c r="W19" s="594"/>
      <c r="X19" s="594"/>
      <c r="Y19" s="594"/>
      <c r="Z19" s="594"/>
    </row>
    <row r="20" spans="1:26" s="202" customFormat="1" ht="13.5" thickBot="1" x14ac:dyDescent="0.25">
      <c r="A20" s="824" t="s">
        <v>157</v>
      </c>
      <c r="B20" s="824">
        <v>80553201</v>
      </c>
      <c r="C20" s="592">
        <v>78213821</v>
      </c>
      <c r="D20" s="592">
        <v>39103734</v>
      </c>
      <c r="E20" s="592">
        <v>41781086</v>
      </c>
      <c r="F20" s="592"/>
      <c r="G20" s="592"/>
      <c r="H20" s="592">
        <v>258550401</v>
      </c>
      <c r="I20" s="827">
        <v>273315032</v>
      </c>
      <c r="J20"/>
      <c r="K20"/>
      <c r="L20" s="594"/>
      <c r="M20" s="594"/>
      <c r="N20" s="594"/>
      <c r="O20" s="594"/>
      <c r="P20" s="594"/>
      <c r="Q20" s="594"/>
      <c r="R20" s="594"/>
      <c r="S20" s="594"/>
      <c r="T20" s="594"/>
      <c r="U20" s="594"/>
      <c r="V20" s="594"/>
      <c r="W20" s="594"/>
      <c r="X20" s="594"/>
      <c r="Y20" s="594"/>
      <c r="Z20" s="594"/>
    </row>
    <row r="21" spans="1:26" s="214" customFormat="1" x14ac:dyDescent="0.2">
      <c r="A21" s="836" t="s">
        <v>335</v>
      </c>
      <c r="B21" s="836">
        <v>6721723338.4285965</v>
      </c>
      <c r="C21" s="838">
        <v>6449629086.1920166</v>
      </c>
      <c r="D21" s="838">
        <v>1678860572.131253</v>
      </c>
      <c r="E21" s="838">
        <v>1559129044.78</v>
      </c>
      <c r="F21" s="838"/>
      <c r="G21" s="838"/>
      <c r="H21" s="838">
        <v>10292743418.158886</v>
      </c>
      <c r="I21" s="839">
        <v>11005658692.869583</v>
      </c>
      <c r="J21"/>
      <c r="K21"/>
      <c r="L21" s="596"/>
      <c r="M21" s="596"/>
      <c r="N21" s="596"/>
      <c r="O21" s="596"/>
      <c r="P21" s="596"/>
      <c r="Q21" s="596"/>
      <c r="R21" s="596"/>
      <c r="S21" s="596"/>
      <c r="T21" s="596"/>
      <c r="U21" s="596"/>
      <c r="V21" s="596"/>
      <c r="W21" s="596"/>
      <c r="X21" s="596"/>
      <c r="Y21" s="596"/>
      <c r="Z21" s="596"/>
    </row>
    <row r="22" spans="1:26" s="203" customFormat="1" x14ac:dyDescent="0.2">
      <c r="A22"/>
      <c r="B22"/>
      <c r="C22"/>
      <c r="D22"/>
      <c r="E22"/>
      <c r="F22"/>
      <c r="G22"/>
      <c r="H22"/>
      <c r="I22"/>
      <c r="J22"/>
      <c r="K22"/>
      <c r="L22" s="594"/>
      <c r="M22" s="594"/>
      <c r="N22" s="594"/>
      <c r="O22" s="594"/>
      <c r="P22" s="594"/>
      <c r="Q22" s="594"/>
      <c r="R22" s="594"/>
      <c r="S22" s="594"/>
      <c r="T22" s="594"/>
      <c r="U22" s="594"/>
      <c r="V22" s="594"/>
      <c r="W22" s="594"/>
      <c r="X22" s="594"/>
      <c r="Y22" s="594"/>
      <c r="Z22" s="594"/>
    </row>
    <row r="23" spans="1:26" s="202" customFormat="1" ht="13.5" thickBot="1" x14ac:dyDescent="0.25">
      <c r="A23"/>
      <c r="B23"/>
      <c r="C23"/>
      <c r="D23"/>
      <c r="E23"/>
      <c r="F23"/>
      <c r="G23"/>
      <c r="H23"/>
      <c r="I23"/>
      <c r="J23"/>
      <c r="K23"/>
      <c r="L23" s="594"/>
      <c r="M23" s="594"/>
      <c r="N23" s="594"/>
      <c r="O23" s="594"/>
      <c r="P23" s="594"/>
      <c r="Q23" s="594"/>
      <c r="R23" s="594"/>
      <c r="S23" s="594"/>
      <c r="T23" s="594"/>
      <c r="U23" s="594"/>
      <c r="V23" s="594"/>
      <c r="W23" s="594"/>
      <c r="X23" s="594"/>
      <c r="Y23" s="594"/>
      <c r="Z23" s="594"/>
    </row>
    <row r="24" spans="1:26" x14ac:dyDescent="0.2">
      <c r="A24"/>
      <c r="B24"/>
      <c r="C24"/>
      <c r="D24"/>
      <c r="E24"/>
      <c r="F24"/>
      <c r="G24"/>
      <c r="H24"/>
      <c r="I24"/>
      <c r="J24"/>
      <c r="K24"/>
      <c r="L24" s="594"/>
      <c r="M24" s="594"/>
      <c r="N24" s="594"/>
      <c r="O24" s="594"/>
      <c r="P24" s="594"/>
      <c r="Q24" s="594"/>
      <c r="R24" s="594"/>
      <c r="S24" s="594"/>
      <c r="T24" s="594"/>
      <c r="U24" s="594"/>
      <c r="V24" s="594"/>
      <c r="W24" s="594"/>
      <c r="X24" s="594"/>
      <c r="Y24" s="594"/>
      <c r="Z24" s="594"/>
    </row>
    <row r="25" spans="1:26" s="203" customFormat="1" x14ac:dyDescent="0.2">
      <c r="A25"/>
      <c r="B25"/>
      <c r="C25"/>
      <c r="D25"/>
      <c r="E25"/>
      <c r="F25"/>
      <c r="G25"/>
      <c r="H25"/>
      <c r="I25"/>
      <c r="J25"/>
      <c r="K25"/>
      <c r="L25" s="594"/>
      <c r="M25" s="594"/>
      <c r="N25" s="594"/>
      <c r="O25" s="594"/>
      <c r="P25" s="594"/>
      <c r="Q25" s="594"/>
      <c r="R25" s="594"/>
      <c r="S25" s="594"/>
      <c r="T25" s="594"/>
      <c r="U25" s="594"/>
      <c r="V25" s="594"/>
      <c r="W25" s="594"/>
      <c r="X25" s="594"/>
      <c r="Y25" s="594"/>
      <c r="Z25" s="594"/>
    </row>
    <row r="26" spans="1:26" s="202" customFormat="1" ht="13.5" thickBot="1" x14ac:dyDescent="0.25">
      <c r="A26"/>
      <c r="B26"/>
      <c r="C26"/>
      <c r="D26"/>
      <c r="E26"/>
      <c r="F26"/>
      <c r="G26"/>
      <c r="H26"/>
      <c r="I26"/>
      <c r="J26"/>
      <c r="K26"/>
      <c r="L26" s="594"/>
      <c r="M26" s="594"/>
      <c r="N26" s="594"/>
      <c r="O26" s="594"/>
      <c r="P26" s="594"/>
      <c r="Q26" s="594"/>
      <c r="R26" s="594"/>
      <c r="S26" s="594"/>
      <c r="T26" s="594"/>
      <c r="U26" s="594"/>
      <c r="V26" s="594"/>
      <c r="W26" s="594"/>
      <c r="X26" s="594"/>
      <c r="Y26" s="594"/>
      <c r="Z26" s="594"/>
    </row>
    <row r="27" spans="1:26" x14ac:dyDescent="0.2">
      <c r="A27"/>
      <c r="B27"/>
      <c r="C27"/>
      <c r="D27"/>
      <c r="E27"/>
      <c r="F27"/>
      <c r="G27"/>
      <c r="H27"/>
      <c r="I27"/>
      <c r="J27"/>
      <c r="K27"/>
      <c r="L27" s="594"/>
      <c r="M27" s="594"/>
      <c r="N27" s="594"/>
      <c r="O27" s="594"/>
      <c r="P27" s="594"/>
      <c r="Q27" s="594"/>
      <c r="R27" s="594"/>
      <c r="S27" s="594"/>
      <c r="T27" s="594"/>
      <c r="U27" s="594"/>
      <c r="V27" s="594"/>
      <c r="W27" s="594"/>
      <c r="X27" s="594"/>
      <c r="Y27" s="594"/>
      <c r="Z27" s="594"/>
    </row>
    <row r="28" spans="1:26" s="203" customFormat="1" x14ac:dyDescent="0.2">
      <c r="A28"/>
      <c r="B28"/>
      <c r="C28"/>
      <c r="D28"/>
      <c r="E28"/>
      <c r="F28"/>
      <c r="G28"/>
      <c r="H28"/>
      <c r="I28"/>
      <c r="J28"/>
      <c r="K28"/>
      <c r="L28" s="594"/>
      <c r="M28" s="594"/>
      <c r="N28" s="594"/>
      <c r="O28" s="594"/>
      <c r="P28" s="594"/>
      <c r="Q28" s="594"/>
      <c r="R28" s="594"/>
      <c r="S28" s="594"/>
      <c r="T28" s="594"/>
      <c r="U28" s="594"/>
      <c r="V28" s="594"/>
      <c r="W28" s="594"/>
      <c r="X28" s="594"/>
      <c r="Y28" s="594"/>
      <c r="Z28" s="594"/>
    </row>
    <row r="29" spans="1:26" s="202" customFormat="1" x14ac:dyDescent="0.2">
      <c r="A29"/>
      <c r="B29"/>
      <c r="C29"/>
      <c r="D29"/>
      <c r="E29"/>
      <c r="F29"/>
      <c r="G29"/>
      <c r="H29"/>
      <c r="I29"/>
      <c r="J29"/>
      <c r="K29"/>
      <c r="L29" s="594"/>
      <c r="M29" s="594"/>
      <c r="N29" s="594"/>
      <c r="O29" s="594"/>
      <c r="P29" s="594"/>
      <c r="Q29" s="594"/>
      <c r="R29" s="594"/>
      <c r="S29" s="594"/>
      <c r="T29" s="594"/>
      <c r="U29" s="594"/>
      <c r="V29" s="594"/>
      <c r="W29" s="594"/>
      <c r="X29" s="594"/>
      <c r="Y29" s="594"/>
      <c r="Z29" s="594"/>
    </row>
    <row r="30" spans="1:26" x14ac:dyDescent="0.2">
      <c r="A30"/>
      <c r="B30"/>
      <c r="C30"/>
      <c r="D30"/>
      <c r="E30"/>
      <c r="F30"/>
      <c r="G30"/>
      <c r="H30"/>
      <c r="I30"/>
      <c r="J30"/>
      <c r="K30"/>
      <c r="L30" s="594"/>
      <c r="M30" s="594"/>
      <c r="N30" s="594"/>
      <c r="O30" s="594"/>
      <c r="P30" s="594"/>
      <c r="Q30" s="594"/>
      <c r="R30" s="594"/>
      <c r="S30" s="594"/>
      <c r="T30" s="594"/>
      <c r="U30" s="594"/>
      <c r="V30" s="594"/>
      <c r="W30" s="594"/>
      <c r="X30" s="594"/>
      <c r="Y30" s="594"/>
      <c r="Z30" s="594"/>
    </row>
    <row r="31" spans="1:26" s="203" customFormat="1" x14ac:dyDescent="0.2">
      <c r="A31"/>
      <c r="B31"/>
      <c r="C31"/>
      <c r="D31"/>
      <c r="E31"/>
      <c r="F31"/>
      <c r="G31"/>
      <c r="H31"/>
      <c r="I31"/>
      <c r="J31"/>
      <c r="K31"/>
      <c r="L31" s="594"/>
      <c r="M31" s="594"/>
      <c r="N31" s="594"/>
      <c r="O31" s="594"/>
      <c r="P31" s="594"/>
      <c r="Q31" s="594"/>
      <c r="R31" s="594"/>
      <c r="S31" s="594"/>
      <c r="T31" s="594"/>
      <c r="U31" s="594"/>
      <c r="V31" s="594"/>
      <c r="W31" s="594"/>
      <c r="X31" s="594"/>
      <c r="Y31" s="594"/>
      <c r="Z31" s="594"/>
    </row>
    <row r="32" spans="1:26" s="202" customFormat="1" ht="13.5" thickBot="1" x14ac:dyDescent="0.25">
      <c r="A32"/>
      <c r="B32"/>
      <c r="C32"/>
      <c r="D32"/>
      <c r="E32"/>
      <c r="F32"/>
      <c r="G32"/>
      <c r="H32"/>
      <c r="I32"/>
      <c r="J32"/>
      <c r="K32"/>
      <c r="L32" s="594"/>
      <c r="M32" s="594"/>
      <c r="N32" s="594"/>
      <c r="O32" s="594"/>
      <c r="P32" s="594"/>
      <c r="Q32" s="594"/>
      <c r="R32" s="594"/>
      <c r="S32" s="594"/>
      <c r="T32" s="594"/>
      <c r="U32" s="594"/>
      <c r="V32" s="594"/>
      <c r="W32" s="594"/>
      <c r="X32" s="594"/>
      <c r="Y32" s="594"/>
      <c r="Z32" s="594"/>
    </row>
    <row r="33" spans="1:26" x14ac:dyDescent="0.2">
      <c r="A33"/>
      <c r="B33"/>
      <c r="C33"/>
      <c r="D33"/>
      <c r="E33"/>
      <c r="F33"/>
      <c r="G33"/>
      <c r="H33"/>
      <c r="I33"/>
      <c r="J33"/>
      <c r="K33"/>
      <c r="L33" s="594"/>
      <c r="M33" s="594"/>
      <c r="N33" s="594"/>
      <c r="O33" s="594"/>
      <c r="P33" s="594"/>
      <c r="Q33" s="594"/>
      <c r="R33" s="594"/>
      <c r="S33" s="594"/>
      <c r="T33" s="594"/>
      <c r="U33" s="594"/>
      <c r="V33" s="594"/>
      <c r="W33" s="594"/>
      <c r="X33" s="594"/>
      <c r="Y33" s="594"/>
      <c r="Z33" s="594"/>
    </row>
    <row r="34" spans="1:26" s="203" customFormat="1" x14ac:dyDescent="0.2">
      <c r="A34"/>
      <c r="B34"/>
      <c r="C34"/>
      <c r="D34"/>
      <c r="E34"/>
      <c r="F34"/>
      <c r="G34"/>
      <c r="H34"/>
      <c r="I34"/>
      <c r="J34"/>
      <c r="K34"/>
      <c r="L34" s="594"/>
      <c r="M34" s="594"/>
      <c r="N34" s="594"/>
      <c r="O34" s="594"/>
      <c r="P34" s="594"/>
      <c r="Q34" s="594"/>
      <c r="R34" s="594"/>
      <c r="S34" s="594"/>
      <c r="T34" s="594"/>
      <c r="U34" s="594"/>
      <c r="V34" s="594"/>
      <c r="W34" s="594"/>
      <c r="X34" s="594"/>
      <c r="Y34" s="594"/>
      <c r="Z34" s="594"/>
    </row>
    <row r="35" spans="1:26" s="202" customFormat="1" ht="13.5" thickBot="1" x14ac:dyDescent="0.25">
      <c r="A35"/>
      <c r="B35"/>
      <c r="C35"/>
      <c r="D35"/>
      <c r="E35"/>
      <c r="F35"/>
      <c r="G35"/>
      <c r="H35"/>
      <c r="I35"/>
      <c r="J35"/>
      <c r="K35"/>
      <c r="L35" s="594"/>
      <c r="M35" s="594"/>
      <c r="N35" s="594"/>
      <c r="O35" s="594"/>
      <c r="P35" s="594"/>
      <c r="Q35" s="594"/>
      <c r="R35" s="594"/>
      <c r="S35" s="594"/>
      <c r="T35" s="594"/>
      <c r="U35" s="594"/>
      <c r="V35" s="594"/>
      <c r="W35" s="594"/>
      <c r="X35" s="594"/>
      <c r="Y35" s="594"/>
      <c r="Z35" s="594"/>
    </row>
    <row r="36" spans="1:26" x14ac:dyDescent="0.2">
      <c r="A36"/>
      <c r="B36"/>
      <c r="C36"/>
      <c r="D36"/>
      <c r="E36"/>
      <c r="F36"/>
      <c r="G36"/>
      <c r="H36"/>
      <c r="I36"/>
      <c r="J36"/>
      <c r="K36"/>
      <c r="L36" s="594"/>
      <c r="M36" s="594"/>
      <c r="N36" s="594"/>
      <c r="O36" s="594"/>
      <c r="P36" s="594"/>
      <c r="Q36" s="594"/>
      <c r="R36" s="594"/>
      <c r="S36" s="594"/>
      <c r="T36" s="594"/>
      <c r="U36" s="594"/>
      <c r="V36" s="594"/>
      <c r="W36" s="594"/>
      <c r="X36" s="594"/>
      <c r="Y36" s="594"/>
      <c r="Z36" s="594"/>
    </row>
    <row r="37" spans="1:26" s="203" customFormat="1" x14ac:dyDescent="0.2">
      <c r="A37"/>
      <c r="B37"/>
      <c r="C37"/>
      <c r="D37"/>
      <c r="E37"/>
      <c r="F37"/>
      <c r="G37"/>
      <c r="H37"/>
      <c r="I37"/>
      <c r="J37"/>
      <c r="K37"/>
      <c r="L37" s="594"/>
      <c r="M37" s="594"/>
      <c r="N37" s="594"/>
      <c r="O37" s="594"/>
      <c r="P37" s="594"/>
      <c r="Q37" s="594"/>
      <c r="R37" s="594"/>
      <c r="S37" s="594"/>
      <c r="T37" s="594"/>
      <c r="U37" s="594"/>
      <c r="V37" s="594"/>
      <c r="W37" s="594"/>
      <c r="X37" s="594"/>
      <c r="Y37" s="594"/>
      <c r="Z37" s="594"/>
    </row>
    <row r="38" spans="1:26" s="202" customFormat="1" ht="13.5" thickBot="1" x14ac:dyDescent="0.25">
      <c r="A38"/>
      <c r="B38"/>
      <c r="C38"/>
      <c r="D38"/>
      <c r="E38"/>
      <c r="F38"/>
      <c r="G38"/>
      <c r="H38"/>
      <c r="I38"/>
      <c r="J38"/>
      <c r="K38"/>
      <c r="L38" s="594"/>
      <c r="M38" s="594"/>
      <c r="N38" s="594"/>
      <c r="O38" s="594"/>
      <c r="P38" s="594"/>
      <c r="Q38" s="594"/>
      <c r="R38" s="594"/>
      <c r="S38" s="594"/>
      <c r="T38" s="594"/>
      <c r="U38" s="594"/>
      <c r="V38" s="594"/>
      <c r="W38" s="594"/>
      <c r="X38" s="594"/>
      <c r="Y38" s="594"/>
      <c r="Z38" s="594"/>
    </row>
    <row r="39" spans="1:26" x14ac:dyDescent="0.2">
      <c r="A39"/>
      <c r="B39"/>
      <c r="C39"/>
      <c r="D39"/>
      <c r="E39"/>
      <c r="F39"/>
      <c r="G39"/>
      <c r="H39"/>
      <c r="I39"/>
      <c r="J39"/>
      <c r="K39"/>
      <c r="L39" s="594"/>
      <c r="M39" s="594"/>
      <c r="N39" s="594"/>
      <c r="O39" s="594"/>
      <c r="P39" s="594"/>
      <c r="Q39" s="594"/>
      <c r="R39" s="594"/>
      <c r="S39" s="594"/>
      <c r="T39" s="594"/>
      <c r="U39" s="594"/>
      <c r="V39" s="594"/>
      <c r="W39" s="594"/>
      <c r="X39" s="594"/>
      <c r="Y39" s="594"/>
      <c r="Z39" s="594"/>
    </row>
    <row r="40" spans="1:26" s="203" customFormat="1" ht="13.5" thickBot="1" x14ac:dyDescent="0.25">
      <c r="A40"/>
      <c r="B40"/>
      <c r="C40"/>
      <c r="D40"/>
      <c r="E40"/>
      <c r="F40"/>
      <c r="G40"/>
      <c r="H40"/>
      <c r="I40"/>
      <c r="J40"/>
      <c r="K40"/>
      <c r="L40" s="594"/>
      <c r="M40" s="594"/>
      <c r="N40" s="594"/>
      <c r="O40" s="594"/>
      <c r="P40" s="594"/>
      <c r="Q40" s="594"/>
      <c r="R40" s="594"/>
      <c r="S40" s="594"/>
      <c r="T40" s="594"/>
      <c r="U40" s="594"/>
      <c r="V40" s="594"/>
      <c r="W40" s="594"/>
      <c r="X40" s="594"/>
      <c r="Y40" s="594"/>
      <c r="Z40" s="594"/>
    </row>
    <row r="41" spans="1:26" s="202" customFormat="1" x14ac:dyDescent="0.2">
      <c r="A41" s="594"/>
      <c r="B41" s="594"/>
      <c r="C41" s="594"/>
      <c r="D41" s="594"/>
      <c r="E41" s="594"/>
      <c r="F41" s="594"/>
      <c r="G41" s="594"/>
      <c r="H41" s="594"/>
      <c r="I41" s="594"/>
      <c r="J41" s="594"/>
      <c r="K41" s="594"/>
      <c r="L41" s="594"/>
      <c r="M41" s="594"/>
      <c r="N41" s="594"/>
      <c r="O41" s="594"/>
      <c r="P41" s="594"/>
      <c r="Q41" s="594"/>
      <c r="R41" s="594"/>
      <c r="S41" s="594"/>
      <c r="T41" s="594"/>
      <c r="U41" s="594"/>
      <c r="V41" s="594"/>
      <c r="W41" s="594"/>
      <c r="X41" s="594"/>
      <c r="Y41" s="594"/>
      <c r="Z41" s="594"/>
    </row>
    <row r="42" spans="1:26" x14ac:dyDescent="0.2">
      <c r="A42" s="594"/>
      <c r="B42" s="594"/>
      <c r="C42" s="594"/>
      <c r="D42" s="594"/>
      <c r="E42" s="594"/>
      <c r="F42" s="594"/>
      <c r="G42" s="594"/>
      <c r="H42" s="594"/>
      <c r="I42" s="594"/>
      <c r="J42" s="594"/>
      <c r="K42" s="594"/>
      <c r="L42" s="594"/>
      <c r="M42" s="594"/>
      <c r="N42" s="594"/>
      <c r="O42" s="594"/>
      <c r="P42" s="594"/>
      <c r="Q42" s="594"/>
      <c r="R42" s="594"/>
      <c r="S42" s="594"/>
      <c r="T42" s="594"/>
      <c r="U42" s="594"/>
      <c r="V42" s="594"/>
      <c r="W42" s="594"/>
      <c r="X42" s="594"/>
      <c r="Y42" s="594"/>
      <c r="Z42" s="594"/>
    </row>
    <row r="43" spans="1:26" s="203" customFormat="1" ht="13.5" thickBot="1" x14ac:dyDescent="0.25">
      <c r="A43" s="594"/>
      <c r="B43" s="594"/>
      <c r="C43" s="594"/>
      <c r="D43" s="594"/>
      <c r="E43" s="594"/>
      <c r="F43" s="594"/>
      <c r="G43" s="594"/>
      <c r="H43" s="594"/>
      <c r="I43" s="594"/>
      <c r="J43" s="594"/>
      <c r="K43" s="594"/>
      <c r="L43" s="594"/>
      <c r="M43" s="594"/>
      <c r="N43" s="594"/>
      <c r="O43" s="594"/>
      <c r="P43" s="594"/>
      <c r="Q43" s="594"/>
      <c r="R43" s="594"/>
      <c r="S43" s="594"/>
      <c r="T43" s="594"/>
      <c r="U43" s="594"/>
      <c r="V43" s="594"/>
      <c r="W43" s="594"/>
      <c r="X43" s="594"/>
      <c r="Y43" s="594"/>
      <c r="Z43" s="594"/>
    </row>
    <row r="44" spans="1:26" s="215" customFormat="1" x14ac:dyDescent="0.2">
      <c r="A44" s="594"/>
      <c r="B44" s="594"/>
      <c r="C44" s="594"/>
      <c r="D44" s="594"/>
      <c r="E44" s="594"/>
      <c r="F44" s="594"/>
      <c r="G44" s="594"/>
      <c r="H44" s="594"/>
      <c r="I44" s="594"/>
      <c r="J44" s="594"/>
      <c r="K44" s="594"/>
      <c r="L44" s="594"/>
      <c r="M44" s="594"/>
      <c r="N44" s="594"/>
      <c r="O44" s="594"/>
      <c r="P44" s="594"/>
      <c r="Q44" s="594"/>
      <c r="R44" s="594"/>
      <c r="S44" s="594"/>
      <c r="T44" s="594"/>
      <c r="U44" s="594"/>
      <c r="V44" s="594"/>
      <c r="W44" s="594"/>
      <c r="X44" s="594"/>
      <c r="Y44" s="594"/>
      <c r="Z44" s="594"/>
    </row>
    <row r="45" spans="1:26" x14ac:dyDescent="0.2">
      <c r="A45" s="594"/>
      <c r="B45" s="594"/>
      <c r="C45" s="594"/>
      <c r="D45" s="594"/>
      <c r="E45" s="594"/>
      <c r="F45" s="594"/>
      <c r="G45" s="594"/>
      <c r="H45" s="594"/>
      <c r="I45" s="594"/>
      <c r="J45" s="594"/>
      <c r="K45" s="594"/>
      <c r="L45" s="594"/>
      <c r="M45" s="594"/>
      <c r="N45" s="594"/>
      <c r="O45" s="594"/>
      <c r="P45" s="594"/>
      <c r="Q45" s="594"/>
      <c r="R45" s="594"/>
      <c r="S45" s="594"/>
      <c r="T45" s="594"/>
      <c r="U45" s="594"/>
      <c r="V45" s="594"/>
      <c r="W45" s="594"/>
      <c r="X45" s="594"/>
      <c r="Y45" s="594"/>
      <c r="Z45" s="594"/>
    </row>
    <row r="46" spans="1:26" s="203" customFormat="1" ht="13.5" thickBot="1" x14ac:dyDescent="0.25">
      <c r="A46" s="594"/>
      <c r="B46" s="594"/>
      <c r="C46" s="594"/>
      <c r="D46" s="594"/>
      <c r="E46" s="594"/>
      <c r="F46" s="594"/>
      <c r="G46" s="594"/>
      <c r="H46" s="594"/>
      <c r="I46" s="594"/>
      <c r="J46" s="594"/>
      <c r="K46" s="594"/>
      <c r="L46" s="594"/>
      <c r="M46" s="594"/>
      <c r="N46" s="594"/>
      <c r="O46" s="594"/>
      <c r="P46" s="594"/>
      <c r="Q46" s="594"/>
      <c r="R46" s="594"/>
      <c r="S46" s="594"/>
      <c r="T46" s="594"/>
      <c r="U46" s="594"/>
      <c r="V46" s="594"/>
      <c r="W46" s="594"/>
      <c r="X46" s="594"/>
      <c r="Y46" s="594"/>
      <c r="Z46" s="594"/>
    </row>
    <row r="47" spans="1:26" s="202" customFormat="1" x14ac:dyDescent="0.2">
      <c r="A47" s="594"/>
      <c r="B47" s="594"/>
      <c r="C47" s="594"/>
      <c r="D47" s="594"/>
      <c r="E47" s="594"/>
      <c r="F47" s="594"/>
      <c r="G47" s="594"/>
      <c r="H47" s="594"/>
      <c r="I47" s="594"/>
      <c r="J47" s="594"/>
      <c r="K47" s="594"/>
      <c r="L47" s="594"/>
      <c r="M47" s="594"/>
      <c r="N47" s="594"/>
      <c r="O47" s="594"/>
      <c r="P47" s="594"/>
      <c r="Q47" s="594"/>
      <c r="R47" s="594"/>
      <c r="S47" s="594"/>
      <c r="T47" s="594"/>
      <c r="U47" s="594"/>
      <c r="V47" s="594"/>
      <c r="W47" s="594"/>
      <c r="X47" s="594"/>
      <c r="Y47" s="594"/>
      <c r="Z47" s="594"/>
    </row>
    <row r="48" spans="1:26" x14ac:dyDescent="0.2">
      <c r="A48" s="594"/>
      <c r="B48" s="594"/>
      <c r="C48" s="594"/>
      <c r="D48" s="594"/>
      <c r="E48" s="594"/>
      <c r="F48" s="594"/>
      <c r="G48" s="594"/>
      <c r="H48" s="594"/>
      <c r="I48" s="594"/>
      <c r="J48" s="594"/>
      <c r="K48" s="594"/>
      <c r="L48" s="594"/>
      <c r="M48" s="594"/>
      <c r="N48" s="594"/>
      <c r="O48" s="594"/>
      <c r="P48" s="594"/>
      <c r="Q48" s="594"/>
      <c r="R48" s="594"/>
      <c r="S48" s="594"/>
      <c r="T48" s="594"/>
      <c r="U48" s="594"/>
      <c r="V48" s="594"/>
      <c r="W48" s="594"/>
      <c r="X48" s="594"/>
      <c r="Y48" s="594"/>
      <c r="Z48" s="594"/>
    </row>
    <row r="49" spans="1:27" s="203" customFormat="1" ht="13.5" thickBot="1" x14ac:dyDescent="0.25">
      <c r="A49" s="594"/>
      <c r="B49" s="594"/>
      <c r="C49" s="594"/>
      <c r="D49" s="594"/>
      <c r="E49" s="594"/>
      <c r="F49" s="594"/>
      <c r="G49" s="594"/>
      <c r="H49" s="594"/>
      <c r="I49" s="594"/>
      <c r="J49" s="594"/>
      <c r="K49" s="594"/>
      <c r="L49" s="594"/>
      <c r="M49" s="594"/>
      <c r="N49" s="594"/>
      <c r="O49" s="594"/>
      <c r="P49" s="594"/>
      <c r="Q49" s="594"/>
      <c r="R49" s="594"/>
      <c r="S49" s="594"/>
      <c r="T49" s="594"/>
      <c r="U49" s="594"/>
      <c r="V49" s="594"/>
      <c r="W49" s="594"/>
      <c r="X49" s="594"/>
      <c r="Y49" s="594"/>
      <c r="Z49" s="594"/>
    </row>
    <row r="50" spans="1:27" s="202" customFormat="1" x14ac:dyDescent="0.2">
      <c r="A50" s="594"/>
      <c r="B50" s="594"/>
      <c r="C50" s="594"/>
      <c r="D50" s="594"/>
      <c r="E50" s="594"/>
      <c r="F50" s="594"/>
      <c r="G50" s="594"/>
      <c r="H50" s="594"/>
      <c r="I50" s="594"/>
      <c r="J50" s="594"/>
      <c r="K50" s="594"/>
      <c r="L50" s="594"/>
      <c r="M50" s="594"/>
      <c r="N50" s="594"/>
      <c r="O50" s="594"/>
      <c r="P50" s="594"/>
      <c r="Q50" s="594"/>
      <c r="R50" s="594"/>
      <c r="S50" s="594"/>
      <c r="T50" s="594"/>
      <c r="U50" s="594"/>
      <c r="V50" s="594"/>
      <c r="W50" s="594"/>
      <c r="X50" s="594"/>
      <c r="Y50" s="594"/>
      <c r="Z50" s="594"/>
    </row>
    <row r="51" spans="1:27" x14ac:dyDescent="0.2">
      <c r="A51" s="594"/>
      <c r="B51" s="594"/>
      <c r="C51" s="594"/>
      <c r="D51" s="594"/>
      <c r="E51" s="594"/>
      <c r="F51" s="594"/>
      <c r="G51" s="594"/>
      <c r="H51" s="594"/>
      <c r="I51" s="594"/>
      <c r="J51" s="594"/>
      <c r="K51" s="594"/>
      <c r="L51" s="594"/>
      <c r="M51" s="594"/>
      <c r="N51" s="594"/>
      <c r="O51" s="594"/>
      <c r="P51" s="594"/>
      <c r="Q51" s="594"/>
      <c r="R51" s="594"/>
      <c r="S51" s="594"/>
      <c r="T51" s="594"/>
      <c r="U51" s="594"/>
      <c r="V51" s="594"/>
      <c r="W51" s="594"/>
      <c r="X51" s="594"/>
      <c r="Y51" s="594"/>
      <c r="Z51" s="594"/>
    </row>
    <row r="52" spans="1:27" s="203" customFormat="1" ht="13.5" thickBot="1" x14ac:dyDescent="0.25">
      <c r="A52" s="594"/>
      <c r="B52" s="594"/>
      <c r="C52" s="594"/>
      <c r="D52" s="594"/>
      <c r="E52" s="594"/>
      <c r="F52" s="594"/>
      <c r="G52" s="594"/>
      <c r="H52" s="594"/>
      <c r="I52" s="594"/>
      <c r="J52" s="594"/>
      <c r="K52" s="594"/>
      <c r="L52" s="594"/>
      <c r="M52" s="594"/>
      <c r="N52" s="594"/>
      <c r="O52" s="594"/>
      <c r="P52" s="594"/>
      <c r="Q52" s="594"/>
      <c r="R52" s="594"/>
      <c r="S52" s="594"/>
      <c r="T52" s="594"/>
      <c r="U52" s="594"/>
      <c r="V52" s="594"/>
      <c r="W52" s="594"/>
      <c r="X52" s="594"/>
      <c r="Y52" s="594"/>
      <c r="Z52" s="594"/>
    </row>
    <row r="53" spans="1:27" s="202" customFormat="1" x14ac:dyDescent="0.2">
      <c r="A53" s="594"/>
      <c r="B53" s="594"/>
      <c r="C53" s="594"/>
      <c r="D53" s="594"/>
      <c r="E53" s="594"/>
      <c r="F53" s="594"/>
      <c r="G53" s="594"/>
      <c r="H53" s="594"/>
      <c r="I53" s="594"/>
      <c r="J53" s="594"/>
      <c r="K53" s="594"/>
      <c r="L53" s="594"/>
      <c r="M53" s="594"/>
      <c r="N53" s="594"/>
      <c r="O53" s="594"/>
      <c r="P53" s="594"/>
      <c r="Q53" s="594"/>
      <c r="R53" s="594"/>
      <c r="S53" s="594"/>
      <c r="T53" s="594"/>
      <c r="U53" s="594"/>
      <c r="V53" s="594"/>
      <c r="W53" s="594"/>
      <c r="X53" s="594"/>
      <c r="Y53" s="594"/>
      <c r="Z53" s="594"/>
    </row>
    <row r="54" spans="1:27" ht="13.5" hidden="1" thickBot="1" x14ac:dyDescent="0.25">
      <c r="A54" s="594"/>
      <c r="B54" s="594"/>
      <c r="C54" s="594"/>
      <c r="D54" s="594"/>
      <c r="E54" s="594"/>
      <c r="F54" s="594"/>
      <c r="G54" s="594"/>
      <c r="H54" s="594"/>
      <c r="I54" s="594"/>
      <c r="J54" s="594"/>
      <c r="K54" s="594"/>
      <c r="L54" s="594"/>
      <c r="M54" s="594"/>
      <c r="N54" s="594"/>
      <c r="O54" s="594"/>
      <c r="P54" s="594"/>
      <c r="Q54" s="594"/>
      <c r="R54" s="594"/>
      <c r="S54" s="594"/>
      <c r="T54" s="594"/>
      <c r="U54" s="594"/>
      <c r="V54" s="594"/>
      <c r="W54" s="594"/>
      <c r="X54" s="594"/>
      <c r="Y54" s="594"/>
      <c r="Z54" s="594"/>
    </row>
    <row r="55" spans="1:27" s="203" customFormat="1" ht="13.5" hidden="1" thickBot="1" x14ac:dyDescent="0.25">
      <c r="A55" s="594"/>
      <c r="B55" s="594"/>
      <c r="C55" s="594"/>
      <c r="D55" s="594"/>
      <c r="E55" s="594"/>
      <c r="F55" s="594"/>
      <c r="G55" s="594"/>
      <c r="H55" s="594"/>
      <c r="I55" s="594"/>
      <c r="J55" s="594"/>
      <c r="K55" s="594"/>
      <c r="L55" s="594"/>
      <c r="M55" s="594"/>
      <c r="N55" s="594"/>
      <c r="O55" s="594"/>
      <c r="P55" s="594"/>
      <c r="Q55" s="594"/>
      <c r="R55" s="594"/>
      <c r="S55" s="594"/>
      <c r="T55" s="594"/>
      <c r="U55" s="594"/>
      <c r="V55" s="594"/>
      <c r="W55" s="594"/>
      <c r="X55" s="594"/>
      <c r="Y55" s="594"/>
      <c r="Z55" s="594"/>
      <c r="AA55" s="588"/>
    </row>
    <row r="56" spans="1:27" s="202" customFormat="1" hidden="1" x14ac:dyDescent="0.2">
      <c r="A56" s="594"/>
      <c r="B56" s="594"/>
      <c r="C56" s="594"/>
      <c r="D56" s="594"/>
      <c r="E56" s="594"/>
      <c r="F56" s="594"/>
      <c r="G56" s="594"/>
      <c r="H56" s="594"/>
      <c r="I56" s="594"/>
      <c r="J56" s="594"/>
      <c r="K56" s="594"/>
      <c r="L56" s="594"/>
      <c r="M56" s="594"/>
      <c r="N56" s="594"/>
      <c r="O56" s="594"/>
      <c r="P56" s="594"/>
      <c r="Q56" s="594"/>
      <c r="R56" s="594"/>
      <c r="S56" s="594"/>
      <c r="T56" s="594"/>
      <c r="U56" s="594"/>
      <c r="V56" s="594"/>
      <c r="W56" s="594"/>
      <c r="X56" s="594"/>
      <c r="Y56" s="594"/>
      <c r="Z56" s="594"/>
      <c r="AA56" s="588"/>
    </row>
    <row r="57" spans="1:27" hidden="1" x14ac:dyDescent="0.2">
      <c r="A57" s="594"/>
      <c r="B57" s="594"/>
      <c r="C57" s="594"/>
      <c r="D57" s="594"/>
      <c r="E57" s="594"/>
      <c r="F57" s="594"/>
      <c r="G57" s="594"/>
      <c r="H57" s="594"/>
      <c r="I57" s="594"/>
      <c r="J57" s="594"/>
      <c r="K57" s="594"/>
      <c r="L57" s="594"/>
      <c r="M57" s="594"/>
      <c r="N57" s="594"/>
      <c r="O57" s="594"/>
      <c r="P57" s="594"/>
      <c r="Q57" s="594"/>
      <c r="R57" s="594"/>
      <c r="S57" s="594"/>
      <c r="T57" s="594"/>
      <c r="U57" s="594"/>
      <c r="V57" s="594"/>
      <c r="W57" s="594"/>
      <c r="X57" s="594"/>
      <c r="Y57" s="594"/>
      <c r="Z57" s="594"/>
    </row>
    <row r="58" spans="1:27" s="203" customFormat="1" ht="13.5" hidden="1" thickBot="1" x14ac:dyDescent="0.25">
      <c r="A58" s="594"/>
      <c r="B58" s="594"/>
      <c r="C58" s="594"/>
      <c r="D58" s="594"/>
      <c r="E58" s="594"/>
      <c r="F58" s="594"/>
      <c r="G58" s="594"/>
      <c r="H58" s="594"/>
      <c r="I58" s="594"/>
      <c r="J58" s="594"/>
      <c r="K58" s="594"/>
      <c r="L58" s="594"/>
      <c r="M58" s="594"/>
      <c r="N58" s="594"/>
      <c r="O58" s="594"/>
      <c r="P58" s="594"/>
      <c r="Q58" s="594"/>
      <c r="R58" s="594"/>
      <c r="S58" s="594"/>
      <c r="T58" s="594"/>
      <c r="U58" s="594"/>
      <c r="V58" s="594"/>
      <c r="W58" s="594"/>
      <c r="X58" s="594"/>
      <c r="Y58" s="594"/>
      <c r="Z58" s="594"/>
    </row>
    <row r="59" spans="1:27" s="202" customFormat="1" ht="13.5" hidden="1" thickBot="1" x14ac:dyDescent="0.25">
      <c r="A59" s="594"/>
      <c r="B59" s="594"/>
      <c r="C59" s="594"/>
      <c r="D59" s="594"/>
      <c r="E59" s="594"/>
      <c r="F59" s="594"/>
      <c r="G59" s="594"/>
      <c r="H59" s="594"/>
      <c r="I59" s="594"/>
      <c r="J59" s="594"/>
      <c r="K59" s="594"/>
      <c r="L59" s="594"/>
      <c r="M59" s="594"/>
      <c r="N59" s="594"/>
      <c r="O59" s="594"/>
      <c r="P59" s="594"/>
      <c r="Q59" s="594"/>
      <c r="R59" s="594"/>
      <c r="S59" s="594"/>
      <c r="T59" s="594"/>
      <c r="U59" s="594"/>
      <c r="V59" s="594"/>
      <c r="W59" s="594"/>
      <c r="X59" s="594"/>
      <c r="Y59" s="594"/>
      <c r="Z59" s="594"/>
    </row>
    <row r="60" spans="1:27" ht="13.5" hidden="1" thickBot="1" x14ac:dyDescent="0.25">
      <c r="A60" s="594"/>
      <c r="B60" s="594"/>
      <c r="C60" s="594"/>
      <c r="D60" s="594"/>
      <c r="E60" s="594"/>
      <c r="F60" s="594"/>
      <c r="G60" s="594"/>
      <c r="H60" s="594"/>
      <c r="I60" s="594"/>
      <c r="J60" s="594"/>
      <c r="K60" s="594"/>
      <c r="L60" s="594"/>
      <c r="M60" s="594"/>
      <c r="N60" s="594"/>
      <c r="O60" s="594"/>
      <c r="P60" s="594"/>
      <c r="Q60" s="594"/>
      <c r="R60" s="594"/>
      <c r="S60" s="594"/>
      <c r="T60" s="594"/>
      <c r="U60" s="594"/>
      <c r="V60" s="594"/>
      <c r="W60" s="594"/>
      <c r="X60" s="594"/>
      <c r="Y60" s="594"/>
      <c r="Z60" s="594"/>
    </row>
    <row r="61" spans="1:27" s="203" customFormat="1" ht="13.5" hidden="1" thickBot="1" x14ac:dyDescent="0.25">
      <c r="A61" s="594"/>
      <c r="B61" s="594"/>
      <c r="C61" s="594"/>
      <c r="D61" s="594"/>
      <c r="E61" s="594"/>
      <c r="F61" s="594"/>
      <c r="G61" s="594"/>
      <c r="H61" s="594"/>
      <c r="I61" s="594"/>
      <c r="J61" s="594"/>
      <c r="K61" s="594"/>
      <c r="L61" s="594"/>
      <c r="M61" s="594"/>
      <c r="N61" s="594"/>
      <c r="O61" s="594"/>
      <c r="P61" s="594"/>
      <c r="Q61" s="594"/>
      <c r="R61" s="594"/>
      <c r="S61" s="594"/>
      <c r="T61" s="594"/>
      <c r="U61" s="594"/>
      <c r="V61" s="594"/>
      <c r="W61" s="594"/>
      <c r="X61" s="594"/>
      <c r="Y61" s="594"/>
      <c r="Z61" s="594"/>
    </row>
    <row r="62" spans="1:27" s="202" customFormat="1" ht="13.5" hidden="1" thickBot="1" x14ac:dyDescent="0.25">
      <c r="A62" s="594"/>
      <c r="B62" s="594"/>
      <c r="C62" s="594"/>
      <c r="D62" s="594"/>
      <c r="E62" s="594"/>
      <c r="F62" s="594"/>
      <c r="G62" s="594"/>
      <c r="H62" s="594"/>
      <c r="I62" s="594"/>
      <c r="J62" s="594"/>
      <c r="K62" s="594"/>
      <c r="L62" s="594"/>
      <c r="M62" s="594"/>
      <c r="N62" s="594"/>
      <c r="O62" s="594"/>
      <c r="P62" s="594"/>
      <c r="Q62" s="594"/>
      <c r="R62" s="594"/>
      <c r="S62" s="594"/>
      <c r="T62" s="594"/>
      <c r="U62" s="594"/>
      <c r="V62" s="594"/>
      <c r="W62" s="594"/>
      <c r="X62" s="594"/>
      <c r="Y62" s="594"/>
      <c r="Z62" s="594"/>
    </row>
    <row r="63" spans="1:27" hidden="1" x14ac:dyDescent="0.2">
      <c r="A63" s="594"/>
      <c r="B63" s="594"/>
      <c r="C63" s="594"/>
      <c r="D63" s="594"/>
      <c r="E63" s="594"/>
      <c r="F63" s="594"/>
      <c r="G63" s="594"/>
      <c r="H63" s="594"/>
      <c r="I63" s="594"/>
      <c r="J63" s="594"/>
      <c r="K63" s="594"/>
      <c r="L63" s="594"/>
      <c r="M63" s="594"/>
      <c r="N63" s="594"/>
      <c r="O63" s="594"/>
      <c r="P63" s="594"/>
      <c r="Q63" s="594"/>
      <c r="R63" s="594"/>
      <c r="S63" s="594"/>
      <c r="T63" s="594"/>
      <c r="U63" s="594"/>
      <c r="V63" s="594"/>
      <c r="W63" s="594"/>
      <c r="X63" s="594"/>
      <c r="Y63" s="594"/>
      <c r="Z63" s="594"/>
    </row>
    <row r="64" spans="1:27" s="203" customFormat="1" hidden="1" x14ac:dyDescent="0.2">
      <c r="A64" s="594"/>
      <c r="B64" s="594"/>
      <c r="C64" s="594"/>
      <c r="D64" s="594"/>
      <c r="E64" s="594"/>
      <c r="F64" s="594"/>
      <c r="G64" s="594"/>
      <c r="H64" s="594"/>
      <c r="I64" s="594"/>
      <c r="J64" s="594"/>
      <c r="K64" s="594"/>
      <c r="L64" s="594"/>
      <c r="M64" s="594"/>
      <c r="N64" s="594"/>
      <c r="O64" s="594"/>
      <c r="P64" s="594"/>
      <c r="Q64" s="594"/>
      <c r="R64" s="594"/>
      <c r="S64" s="594"/>
      <c r="T64" s="594"/>
      <c r="U64" s="594"/>
      <c r="V64" s="594"/>
      <c r="W64" s="594"/>
      <c r="X64" s="594"/>
      <c r="Y64" s="594"/>
      <c r="Z64" s="594"/>
    </row>
    <row r="65" spans="1:26" s="202" customFormat="1" x14ac:dyDescent="0.2">
      <c r="A65" s="594"/>
      <c r="B65" s="594"/>
      <c r="C65" s="594"/>
      <c r="D65" s="594"/>
      <c r="E65" s="594"/>
      <c r="F65" s="594"/>
      <c r="G65" s="594"/>
      <c r="H65" s="594"/>
      <c r="I65" s="594"/>
      <c r="J65" s="594"/>
      <c r="K65" s="594"/>
      <c r="L65" s="594"/>
      <c r="M65" s="594"/>
      <c r="N65" s="594"/>
      <c r="O65" s="594"/>
      <c r="P65" s="594"/>
      <c r="Q65" s="594"/>
      <c r="R65" s="594"/>
      <c r="S65" s="594"/>
      <c r="T65" s="594"/>
      <c r="U65" s="594"/>
      <c r="V65" s="594"/>
      <c r="W65" s="594"/>
      <c r="X65" s="594"/>
      <c r="Y65" s="594"/>
      <c r="Z65" s="594"/>
    </row>
    <row r="66" spans="1:26" x14ac:dyDescent="0.2">
      <c r="A66" s="594"/>
      <c r="B66" s="594"/>
      <c r="C66" s="594"/>
      <c r="D66" s="594"/>
      <c r="E66" s="594"/>
      <c r="F66" s="594"/>
      <c r="G66" s="594"/>
      <c r="H66" s="594"/>
      <c r="I66" s="594"/>
      <c r="J66" s="594"/>
      <c r="K66" s="594"/>
      <c r="L66" s="594"/>
      <c r="M66" s="594"/>
      <c r="N66" s="594"/>
      <c r="O66" s="594"/>
      <c r="P66" s="594"/>
      <c r="Q66" s="594"/>
      <c r="R66" s="594"/>
      <c r="S66" s="594"/>
      <c r="T66" s="594"/>
      <c r="U66" s="594"/>
      <c r="V66" s="594"/>
      <c r="W66" s="594"/>
      <c r="X66" s="594"/>
      <c r="Y66" s="594"/>
      <c r="Z66" s="594"/>
    </row>
    <row r="67" spans="1:26" s="203" customFormat="1" x14ac:dyDescent="0.2">
      <c r="A67" s="594"/>
      <c r="B67" s="594"/>
      <c r="C67" s="594"/>
      <c r="D67" s="594"/>
      <c r="E67" s="594"/>
      <c r="F67" s="594"/>
      <c r="G67" s="594"/>
      <c r="H67" s="594"/>
      <c r="I67" s="594"/>
      <c r="J67" s="594"/>
      <c r="K67" s="594"/>
      <c r="L67" s="594"/>
      <c r="M67" s="594"/>
      <c r="N67" s="594"/>
      <c r="O67" s="594"/>
      <c r="P67" s="594"/>
      <c r="Q67" s="594"/>
      <c r="R67" s="594"/>
      <c r="S67" s="594"/>
      <c r="T67" s="594"/>
      <c r="U67" s="594"/>
      <c r="V67" s="594"/>
      <c r="W67" s="594"/>
      <c r="X67" s="594"/>
      <c r="Y67" s="594"/>
      <c r="Z67" s="594"/>
    </row>
    <row r="68" spans="1:26" s="202" customFormat="1" x14ac:dyDescent="0.2">
      <c r="A68" s="594"/>
      <c r="B68" s="594"/>
      <c r="C68" s="594"/>
      <c r="D68" s="594"/>
      <c r="E68" s="594"/>
      <c r="F68" s="594"/>
      <c r="G68" s="594"/>
      <c r="H68" s="594"/>
      <c r="I68" s="594"/>
      <c r="J68" s="594"/>
      <c r="K68" s="594"/>
      <c r="L68" s="594"/>
      <c r="M68" s="594"/>
      <c r="N68" s="594"/>
      <c r="O68" s="594"/>
      <c r="P68" s="594"/>
      <c r="Q68" s="594"/>
      <c r="R68" s="594"/>
      <c r="S68" s="594"/>
      <c r="T68" s="594"/>
      <c r="U68" s="594"/>
      <c r="V68" s="594"/>
      <c r="W68" s="594"/>
      <c r="X68" s="594"/>
      <c r="Y68" s="594"/>
      <c r="Z68" s="594"/>
    </row>
    <row r="69" spans="1:26" x14ac:dyDescent="0.2">
      <c r="A69" s="594"/>
      <c r="B69" s="594"/>
      <c r="C69" s="594"/>
      <c r="D69" s="594"/>
      <c r="E69" s="594"/>
      <c r="F69" s="594"/>
      <c r="G69" s="594"/>
      <c r="H69" s="594"/>
      <c r="I69" s="594"/>
      <c r="J69" s="594"/>
      <c r="K69" s="594"/>
      <c r="L69" s="594"/>
      <c r="M69" s="594"/>
      <c r="N69" s="594"/>
      <c r="O69" s="594"/>
      <c r="P69" s="594"/>
      <c r="Q69" s="594"/>
      <c r="R69" s="594"/>
      <c r="S69" s="594"/>
      <c r="T69" s="594"/>
      <c r="U69" s="594"/>
      <c r="V69" s="594"/>
      <c r="W69" s="594"/>
      <c r="X69" s="594"/>
      <c r="Y69" s="594"/>
      <c r="Z69" s="594"/>
    </row>
    <row r="70" spans="1:26" s="203" customFormat="1" ht="13.5" thickBot="1" x14ac:dyDescent="0.25">
      <c r="A70" s="594"/>
      <c r="B70" s="594"/>
      <c r="C70" s="594"/>
      <c r="D70" s="594"/>
      <c r="E70" s="594"/>
      <c r="F70" s="594"/>
      <c r="G70" s="594"/>
      <c r="H70" s="594"/>
      <c r="I70" s="594"/>
      <c r="J70" s="594"/>
      <c r="K70" s="594"/>
      <c r="L70" s="594"/>
      <c r="M70" s="594"/>
      <c r="N70" s="594"/>
      <c r="O70" s="594"/>
      <c r="P70" s="594"/>
      <c r="Q70" s="594"/>
      <c r="R70" s="594"/>
      <c r="S70" s="594"/>
      <c r="T70" s="594"/>
      <c r="U70" s="594"/>
      <c r="V70" s="594"/>
      <c r="W70" s="594"/>
      <c r="X70" s="594"/>
      <c r="Y70" s="594"/>
      <c r="Z70" s="594"/>
    </row>
    <row r="71" spans="1:26" s="202" customFormat="1" x14ac:dyDescent="0.2">
      <c r="A71" s="594"/>
      <c r="B71" s="594"/>
      <c r="C71" s="594"/>
      <c r="D71" s="594"/>
      <c r="E71" s="594"/>
      <c r="F71" s="594"/>
      <c r="G71" s="594"/>
      <c r="H71" s="594"/>
      <c r="I71" s="594"/>
      <c r="J71" s="594"/>
      <c r="K71" s="594"/>
      <c r="L71" s="594"/>
      <c r="M71" s="594"/>
      <c r="N71" s="594"/>
      <c r="O71" s="594"/>
      <c r="P71" s="594"/>
      <c r="Q71" s="594"/>
      <c r="R71" s="594"/>
      <c r="S71" s="594"/>
      <c r="T71" s="594"/>
      <c r="U71" s="594"/>
      <c r="V71" s="594"/>
      <c r="W71" s="594"/>
      <c r="X71" s="594"/>
      <c r="Y71" s="594"/>
      <c r="Z71" s="594"/>
    </row>
    <row r="72" spans="1:26" x14ac:dyDescent="0.2">
      <c r="A72" s="594"/>
      <c r="B72" s="594"/>
      <c r="C72" s="594"/>
      <c r="D72" s="594"/>
      <c r="E72" s="594"/>
      <c r="F72" s="594"/>
      <c r="G72" s="594"/>
      <c r="H72" s="594"/>
      <c r="I72" s="594"/>
      <c r="J72" s="594"/>
      <c r="K72" s="594"/>
      <c r="L72" s="594"/>
      <c r="M72" s="594"/>
      <c r="N72" s="594"/>
      <c r="O72" s="594"/>
      <c r="P72" s="594"/>
      <c r="Q72" s="594"/>
      <c r="R72" s="594"/>
      <c r="S72" s="594"/>
      <c r="T72" s="594"/>
      <c r="U72" s="594"/>
      <c r="V72" s="594"/>
      <c r="W72" s="594"/>
      <c r="X72" s="594"/>
      <c r="Y72" s="594"/>
      <c r="Z72" s="594"/>
    </row>
    <row r="73" spans="1:26" s="203" customFormat="1" ht="13.5" thickBot="1" x14ac:dyDescent="0.25">
      <c r="A73" s="594"/>
      <c r="B73" s="594"/>
      <c r="C73" s="594"/>
      <c r="D73" s="594"/>
      <c r="E73" s="594"/>
      <c r="F73" s="594"/>
      <c r="G73" s="594"/>
      <c r="H73" s="594"/>
      <c r="I73" s="594"/>
      <c r="J73" s="594"/>
      <c r="K73" s="594"/>
      <c r="L73" s="594"/>
      <c r="M73" s="594"/>
      <c r="N73" s="594"/>
      <c r="O73" s="594"/>
      <c r="P73" s="594"/>
      <c r="Q73" s="594"/>
      <c r="R73" s="594"/>
      <c r="S73" s="594"/>
      <c r="T73" s="594"/>
      <c r="U73" s="594"/>
      <c r="V73" s="594"/>
      <c r="W73" s="594"/>
      <c r="X73" s="594"/>
      <c r="Y73" s="594"/>
      <c r="Z73" s="594"/>
    </row>
    <row r="74" spans="1:26" s="202" customFormat="1" x14ac:dyDescent="0.2">
      <c r="A74" s="594"/>
      <c r="B74" s="594"/>
      <c r="C74" s="594"/>
      <c r="D74" s="594"/>
      <c r="E74" s="594"/>
      <c r="F74" s="594"/>
      <c r="G74" s="594"/>
      <c r="H74" s="594"/>
      <c r="I74" s="594"/>
      <c r="J74" s="594"/>
      <c r="K74" s="594"/>
      <c r="L74" s="594"/>
      <c r="M74" s="594"/>
      <c r="N74" s="594"/>
      <c r="O74" s="594"/>
      <c r="P74" s="594"/>
      <c r="Q74" s="594"/>
      <c r="R74" s="594"/>
      <c r="S74" s="594"/>
      <c r="T74" s="594"/>
      <c r="U74" s="594"/>
      <c r="V74" s="594"/>
      <c r="W74" s="594"/>
      <c r="X74" s="594"/>
      <c r="Y74" s="594"/>
      <c r="Z74" s="594"/>
    </row>
    <row r="75" spans="1:26" ht="13.5" thickBot="1" x14ac:dyDescent="0.25">
      <c r="A75" s="594"/>
      <c r="B75" s="594"/>
      <c r="C75" s="594"/>
      <c r="D75" s="594"/>
      <c r="E75" s="594"/>
      <c r="F75" s="594"/>
      <c r="G75" s="594"/>
      <c r="H75" s="594"/>
      <c r="I75" s="594"/>
      <c r="J75" s="594"/>
      <c r="K75" s="594"/>
      <c r="L75" s="594"/>
      <c r="M75" s="594"/>
      <c r="N75" s="594"/>
      <c r="O75" s="594"/>
      <c r="P75" s="594"/>
      <c r="Q75" s="594"/>
      <c r="R75" s="594"/>
      <c r="S75" s="594"/>
      <c r="T75" s="594"/>
      <c r="U75" s="594"/>
      <c r="V75" s="594"/>
      <c r="W75" s="594"/>
      <c r="X75" s="594"/>
      <c r="Y75" s="594"/>
      <c r="Z75" s="594"/>
    </row>
    <row r="76" spans="1:26" s="203" customFormat="1" x14ac:dyDescent="0.2">
      <c r="A76" s="594"/>
      <c r="B76" s="594"/>
      <c r="C76" s="594"/>
      <c r="D76" s="594"/>
      <c r="E76" s="594"/>
      <c r="F76" s="594"/>
      <c r="G76" s="594"/>
      <c r="H76" s="594"/>
      <c r="I76" s="594"/>
      <c r="J76" s="594"/>
      <c r="K76" s="594"/>
      <c r="L76" s="594"/>
      <c r="M76" s="594"/>
      <c r="N76" s="594"/>
      <c r="O76" s="594"/>
      <c r="P76" s="594"/>
      <c r="Q76" s="594"/>
      <c r="R76" s="594"/>
      <c r="S76" s="594"/>
      <c r="T76" s="594"/>
      <c r="U76" s="594"/>
      <c r="V76" s="594"/>
      <c r="W76" s="594"/>
      <c r="X76" s="594"/>
      <c r="Y76" s="594"/>
      <c r="Z76" s="594"/>
    </row>
    <row r="77" spans="1:26" s="202" customFormat="1" ht="13.5" thickBot="1" x14ac:dyDescent="0.25">
      <c r="A77" s="594"/>
      <c r="B77" s="594"/>
      <c r="C77" s="594"/>
      <c r="D77" s="594"/>
      <c r="E77" s="594"/>
      <c r="F77" s="594"/>
      <c r="G77" s="594"/>
      <c r="H77" s="594"/>
      <c r="I77" s="594"/>
      <c r="J77" s="594"/>
      <c r="K77" s="594"/>
      <c r="L77" s="594"/>
      <c r="M77" s="594"/>
      <c r="N77" s="594"/>
      <c r="O77" s="594"/>
      <c r="P77" s="594"/>
      <c r="Q77" s="594"/>
      <c r="R77" s="594"/>
      <c r="S77" s="594"/>
      <c r="T77" s="594"/>
      <c r="U77" s="594"/>
      <c r="V77" s="594"/>
      <c r="W77" s="594"/>
      <c r="X77" s="594"/>
      <c r="Y77" s="594"/>
      <c r="Z77" s="594"/>
    </row>
    <row r="78" spans="1:26" ht="13.5" thickBot="1" x14ac:dyDescent="0.25">
      <c r="A78" s="594"/>
      <c r="B78" s="594"/>
      <c r="C78" s="594"/>
      <c r="D78" s="594"/>
      <c r="E78" s="594"/>
      <c r="F78" s="594"/>
      <c r="G78" s="594"/>
      <c r="H78" s="594"/>
      <c r="I78" s="594"/>
      <c r="J78" s="594"/>
      <c r="K78" s="594"/>
      <c r="L78" s="594"/>
      <c r="M78" s="594"/>
      <c r="N78" s="594"/>
      <c r="O78" s="594"/>
      <c r="P78" s="594"/>
      <c r="Q78" s="594"/>
      <c r="R78" s="594"/>
      <c r="S78" s="594"/>
      <c r="T78" s="594"/>
      <c r="U78" s="594"/>
      <c r="V78" s="594"/>
      <c r="W78" s="594"/>
      <c r="X78" s="594"/>
      <c r="Y78" s="594"/>
      <c r="Z78" s="594"/>
    </row>
    <row r="79" spans="1:26" s="203" customFormat="1" x14ac:dyDescent="0.2">
      <c r="A79" s="594"/>
      <c r="B79" s="594"/>
      <c r="C79" s="594"/>
      <c r="D79" s="594"/>
      <c r="E79" s="594"/>
      <c r="F79" s="594"/>
      <c r="G79" s="594"/>
      <c r="H79" s="594"/>
      <c r="I79" s="594"/>
      <c r="J79" s="594"/>
      <c r="K79" s="594"/>
      <c r="L79" s="594"/>
      <c r="M79" s="594"/>
      <c r="N79" s="594"/>
      <c r="O79" s="594"/>
      <c r="P79" s="594"/>
      <c r="Q79" s="594"/>
      <c r="R79" s="594"/>
      <c r="S79" s="594"/>
      <c r="T79" s="594"/>
      <c r="U79" s="594"/>
      <c r="V79" s="594"/>
      <c r="W79" s="594"/>
      <c r="X79" s="594"/>
      <c r="Y79" s="594"/>
      <c r="Z79" s="594"/>
    </row>
    <row r="80" spans="1:26" s="202" customFormat="1" x14ac:dyDescent="0.2">
      <c r="A80" s="594"/>
      <c r="B80" s="594"/>
      <c r="C80" s="594"/>
      <c r="D80" s="594"/>
      <c r="E80" s="594"/>
      <c r="F80" s="594"/>
      <c r="G80" s="594"/>
      <c r="H80" s="594"/>
      <c r="I80" s="594"/>
      <c r="J80" s="594"/>
      <c r="K80" s="594"/>
      <c r="L80" s="594"/>
      <c r="M80" s="594"/>
      <c r="N80" s="594"/>
      <c r="O80" s="594"/>
      <c r="P80" s="594"/>
      <c r="Q80" s="594"/>
      <c r="R80" s="594"/>
      <c r="S80" s="594"/>
      <c r="T80" s="594"/>
      <c r="U80" s="594"/>
      <c r="V80" s="594"/>
      <c r="W80" s="594"/>
      <c r="X80" s="594"/>
      <c r="Y80" s="594"/>
      <c r="Z80" s="594"/>
    </row>
    <row r="81" spans="1:26" ht="13.5" thickBot="1" x14ac:dyDescent="0.25">
      <c r="A81" s="594"/>
      <c r="B81" s="594"/>
      <c r="C81" s="594"/>
      <c r="D81" s="594"/>
      <c r="E81" s="594"/>
      <c r="F81" s="594"/>
      <c r="G81" s="594"/>
      <c r="H81" s="594"/>
      <c r="I81" s="594"/>
      <c r="J81" s="594"/>
      <c r="K81" s="594"/>
      <c r="L81" s="594"/>
      <c r="M81" s="594"/>
      <c r="N81" s="594"/>
      <c r="O81" s="594"/>
      <c r="P81" s="594"/>
      <c r="Q81" s="594"/>
      <c r="R81" s="594"/>
      <c r="S81" s="594"/>
      <c r="T81" s="594"/>
      <c r="U81" s="594"/>
      <c r="V81" s="594"/>
      <c r="W81" s="594"/>
      <c r="X81" s="594"/>
      <c r="Y81" s="594"/>
      <c r="Z81" s="594"/>
    </row>
    <row r="82" spans="1:26" s="203" customFormat="1" x14ac:dyDescent="0.2">
      <c r="A82" s="594"/>
      <c r="B82" s="594"/>
      <c r="C82" s="594"/>
      <c r="D82" s="594"/>
      <c r="E82" s="594"/>
      <c r="F82" s="594"/>
      <c r="G82" s="594"/>
      <c r="H82" s="594"/>
      <c r="I82" s="594"/>
      <c r="J82" s="594"/>
      <c r="K82" s="594"/>
      <c r="L82" s="594"/>
      <c r="M82" s="594"/>
      <c r="N82" s="594"/>
      <c r="O82" s="594"/>
      <c r="P82" s="594"/>
      <c r="Q82" s="594"/>
      <c r="R82" s="594"/>
      <c r="S82" s="594"/>
      <c r="T82" s="594"/>
      <c r="U82" s="594"/>
      <c r="V82" s="594"/>
      <c r="W82" s="594"/>
      <c r="X82" s="594"/>
      <c r="Y82" s="594"/>
      <c r="Z82" s="594"/>
    </row>
    <row r="83" spans="1:26" s="212" customFormat="1" ht="13.5" thickBot="1" x14ac:dyDescent="0.25">
      <c r="A83" s="594"/>
      <c r="B83" s="594"/>
      <c r="C83" s="594"/>
      <c r="D83" s="594"/>
      <c r="E83" s="594"/>
      <c r="F83" s="594"/>
      <c r="G83" s="594"/>
      <c r="H83" s="594"/>
      <c r="I83" s="594"/>
      <c r="J83" s="594"/>
      <c r="K83" s="594"/>
      <c r="L83" s="594"/>
      <c r="M83" s="594"/>
      <c r="N83" s="594"/>
      <c r="O83" s="594"/>
      <c r="P83" s="594"/>
      <c r="Q83" s="594"/>
      <c r="R83" s="594"/>
      <c r="S83" s="594"/>
      <c r="T83" s="594"/>
      <c r="U83" s="594"/>
      <c r="V83" s="594"/>
      <c r="W83" s="594"/>
      <c r="X83" s="594"/>
      <c r="Y83" s="594"/>
      <c r="Z83" s="594"/>
    </row>
    <row r="84" spans="1:26" ht="13.5" thickBot="1" x14ac:dyDescent="0.25">
      <c r="A84" s="594"/>
      <c r="B84" s="594"/>
      <c r="C84" s="594"/>
      <c r="D84" s="594"/>
      <c r="E84" s="594"/>
      <c r="F84" s="594"/>
      <c r="G84" s="594"/>
      <c r="H84" s="594"/>
      <c r="I84" s="594"/>
      <c r="J84" s="594"/>
      <c r="K84" s="594"/>
      <c r="L84" s="594"/>
      <c r="M84" s="594"/>
      <c r="N84" s="594"/>
      <c r="O84" s="594"/>
      <c r="P84" s="594"/>
      <c r="Q84" s="594"/>
      <c r="R84" s="594"/>
      <c r="S84" s="594"/>
      <c r="T84" s="594"/>
      <c r="U84" s="594"/>
      <c r="V84" s="594"/>
      <c r="W84" s="594"/>
      <c r="X84" s="594"/>
      <c r="Y84" s="594"/>
      <c r="Z84" s="594"/>
    </row>
    <row r="85" spans="1:26" s="203" customFormat="1" x14ac:dyDescent="0.2">
      <c r="A85" s="594"/>
      <c r="B85" s="594"/>
      <c r="C85" s="594"/>
      <c r="D85" s="594"/>
      <c r="E85" s="594"/>
      <c r="F85" s="594"/>
      <c r="G85" s="594"/>
      <c r="H85" s="594"/>
      <c r="I85" s="594"/>
      <c r="J85" s="594"/>
      <c r="K85" s="594"/>
      <c r="L85" s="594"/>
      <c r="M85" s="594"/>
      <c r="N85" s="594"/>
      <c r="O85" s="594"/>
      <c r="P85" s="594"/>
      <c r="Q85" s="594"/>
      <c r="R85" s="594"/>
      <c r="S85" s="594"/>
      <c r="T85" s="594"/>
      <c r="U85" s="594"/>
      <c r="V85" s="594"/>
      <c r="W85" s="594"/>
      <c r="X85" s="594"/>
      <c r="Y85" s="594"/>
      <c r="Z85" s="594"/>
    </row>
    <row r="86" spans="1:26" s="202" customFormat="1" x14ac:dyDescent="0.2">
      <c r="A86" s="594"/>
      <c r="B86" s="594"/>
      <c r="C86" s="594"/>
      <c r="D86" s="594"/>
      <c r="E86" s="594"/>
      <c r="F86" s="594"/>
      <c r="G86" s="594"/>
      <c r="H86" s="594"/>
      <c r="I86" s="594"/>
      <c r="J86" s="594"/>
      <c r="K86" s="594"/>
      <c r="L86" s="594"/>
      <c r="M86" s="594"/>
      <c r="N86" s="594"/>
      <c r="O86" s="594"/>
      <c r="P86" s="594"/>
      <c r="Q86" s="594"/>
      <c r="R86" s="594"/>
      <c r="S86" s="594"/>
      <c r="T86" s="594"/>
      <c r="U86" s="594"/>
      <c r="V86" s="594"/>
      <c r="W86" s="594"/>
      <c r="X86" s="594"/>
      <c r="Y86" s="594"/>
      <c r="Z86" s="594"/>
    </row>
    <row r="87" spans="1:26" ht="13.5" thickBot="1" x14ac:dyDescent="0.25">
      <c r="A87" s="594"/>
      <c r="B87" s="594"/>
      <c r="C87" s="594"/>
      <c r="D87" s="594"/>
      <c r="E87" s="594"/>
      <c r="F87" s="594"/>
      <c r="G87" s="594"/>
      <c r="H87" s="594"/>
      <c r="I87" s="594"/>
      <c r="J87" s="594"/>
      <c r="K87" s="594"/>
      <c r="L87" s="594"/>
      <c r="M87" s="594"/>
      <c r="N87" s="594"/>
      <c r="O87" s="594"/>
      <c r="P87" s="594"/>
      <c r="Q87" s="594"/>
      <c r="R87" s="594"/>
      <c r="S87" s="594"/>
      <c r="T87" s="594"/>
      <c r="U87" s="594"/>
      <c r="V87" s="594"/>
      <c r="W87" s="594"/>
      <c r="X87" s="594"/>
      <c r="Y87" s="594"/>
      <c r="Z87" s="594"/>
    </row>
    <row r="88" spans="1:26" s="203" customFormat="1" x14ac:dyDescent="0.2">
      <c r="A88" s="594"/>
      <c r="B88" s="594"/>
      <c r="C88" s="594"/>
      <c r="D88" s="594"/>
      <c r="E88" s="594"/>
      <c r="F88" s="594"/>
      <c r="G88" s="594"/>
      <c r="H88" s="594"/>
      <c r="I88" s="594"/>
      <c r="J88" s="594"/>
      <c r="K88" s="594"/>
      <c r="L88" s="594"/>
      <c r="M88" s="594"/>
      <c r="N88" s="594"/>
      <c r="O88" s="594"/>
      <c r="P88" s="594"/>
      <c r="Q88" s="594"/>
      <c r="R88" s="594"/>
      <c r="S88" s="594"/>
      <c r="T88" s="594"/>
      <c r="U88" s="594"/>
      <c r="V88" s="594"/>
      <c r="W88" s="594"/>
      <c r="X88" s="594"/>
      <c r="Y88" s="594"/>
      <c r="Z88" s="594"/>
    </row>
    <row r="89" spans="1:26" s="202" customFormat="1" x14ac:dyDescent="0.2">
      <c r="A89" s="594"/>
      <c r="B89" s="594"/>
      <c r="C89" s="594"/>
      <c r="D89" s="594"/>
      <c r="E89" s="594"/>
      <c r="F89" s="594"/>
      <c r="G89" s="594"/>
      <c r="H89" s="594"/>
      <c r="I89" s="594"/>
      <c r="J89" s="594"/>
      <c r="K89" s="594"/>
      <c r="L89" s="594"/>
      <c r="M89" s="594"/>
      <c r="N89" s="594"/>
      <c r="O89" s="594"/>
      <c r="P89" s="594"/>
      <c r="Q89" s="594"/>
      <c r="R89" s="594"/>
      <c r="S89" s="594"/>
      <c r="T89" s="594"/>
      <c r="U89" s="594"/>
      <c r="V89" s="594"/>
      <c r="W89" s="594"/>
      <c r="X89" s="594"/>
      <c r="Y89" s="594"/>
      <c r="Z89" s="594"/>
    </row>
    <row r="90" spans="1:26" ht="13.5" thickBot="1" x14ac:dyDescent="0.25">
      <c r="A90" s="594"/>
      <c r="B90" s="594"/>
      <c r="C90" s="594"/>
      <c r="D90" s="594"/>
      <c r="E90" s="594"/>
      <c r="F90" s="594"/>
      <c r="G90" s="594"/>
      <c r="H90" s="594"/>
      <c r="I90" s="594"/>
      <c r="J90" s="594"/>
      <c r="K90" s="594"/>
      <c r="L90" s="594"/>
      <c r="M90" s="594"/>
      <c r="N90" s="594"/>
      <c r="O90" s="594"/>
      <c r="P90" s="594"/>
      <c r="Q90" s="594"/>
      <c r="R90" s="594"/>
      <c r="S90" s="594"/>
      <c r="T90" s="594"/>
      <c r="U90" s="594"/>
      <c r="V90" s="594"/>
      <c r="W90" s="594"/>
      <c r="X90" s="594"/>
      <c r="Y90" s="594"/>
      <c r="Z90" s="594"/>
    </row>
    <row r="91" spans="1:26" s="203" customFormat="1" x14ac:dyDescent="0.2">
      <c r="A91" s="594"/>
      <c r="B91" s="594"/>
      <c r="C91" s="594"/>
      <c r="D91" s="594"/>
      <c r="E91" s="594"/>
      <c r="F91" s="594"/>
      <c r="G91" s="594"/>
      <c r="H91" s="594"/>
      <c r="I91" s="594"/>
      <c r="J91" s="594"/>
      <c r="K91" s="594"/>
      <c r="L91" s="594"/>
      <c r="M91" s="594"/>
      <c r="N91" s="594"/>
      <c r="O91" s="594"/>
      <c r="P91" s="594"/>
      <c r="Q91" s="594"/>
      <c r="R91" s="594"/>
      <c r="S91" s="594"/>
      <c r="T91" s="594"/>
      <c r="U91" s="594"/>
      <c r="V91" s="594"/>
      <c r="W91" s="594"/>
      <c r="X91" s="594"/>
      <c r="Y91" s="594"/>
      <c r="Z91" s="594"/>
    </row>
    <row r="92" spans="1:26" s="202" customFormat="1" x14ac:dyDescent="0.2">
      <c r="A92" s="594"/>
      <c r="B92" s="594"/>
      <c r="C92" s="594"/>
      <c r="D92" s="594"/>
      <c r="E92" s="594"/>
      <c r="F92" s="594"/>
      <c r="G92" s="594"/>
      <c r="H92" s="594"/>
      <c r="I92" s="594"/>
      <c r="J92" s="594"/>
      <c r="K92" s="594"/>
      <c r="L92" s="594"/>
      <c r="M92" s="594"/>
      <c r="N92" s="594"/>
      <c r="O92" s="594"/>
      <c r="P92" s="594"/>
      <c r="Q92" s="594"/>
      <c r="R92" s="594"/>
      <c r="S92" s="594"/>
      <c r="T92" s="594"/>
      <c r="U92" s="594"/>
      <c r="V92" s="594"/>
      <c r="W92" s="594"/>
      <c r="X92" s="594"/>
      <c r="Y92" s="594"/>
      <c r="Z92" s="594"/>
    </row>
    <row r="93" spans="1:26" ht="13.5" thickBot="1" x14ac:dyDescent="0.25">
      <c r="A93" s="594"/>
      <c r="B93" s="594"/>
      <c r="C93" s="594"/>
      <c r="D93" s="594"/>
      <c r="E93" s="594"/>
      <c r="F93" s="594"/>
      <c r="G93" s="594"/>
      <c r="H93" s="594"/>
      <c r="I93" s="594"/>
      <c r="J93" s="594"/>
      <c r="K93" s="594"/>
      <c r="L93" s="594"/>
      <c r="M93" s="594"/>
      <c r="N93" s="594"/>
      <c r="O93" s="594"/>
      <c r="P93" s="594"/>
      <c r="Q93" s="594"/>
      <c r="R93" s="594"/>
      <c r="S93" s="594"/>
      <c r="T93" s="594"/>
      <c r="U93" s="594"/>
      <c r="V93" s="594"/>
      <c r="W93" s="594"/>
      <c r="X93" s="594"/>
      <c r="Y93" s="594"/>
      <c r="Z93" s="594"/>
    </row>
    <row r="94" spans="1:26" s="203" customFormat="1" x14ac:dyDescent="0.2">
      <c r="A94" s="594"/>
      <c r="B94" s="594"/>
      <c r="C94" s="594"/>
      <c r="D94" s="594"/>
      <c r="E94" s="594"/>
      <c r="F94" s="594"/>
      <c r="G94" s="594"/>
      <c r="H94" s="594"/>
      <c r="I94" s="594"/>
      <c r="J94" s="594"/>
      <c r="K94" s="594"/>
      <c r="L94" s="594"/>
      <c r="M94" s="594"/>
      <c r="N94" s="594"/>
      <c r="O94" s="594"/>
      <c r="P94" s="594"/>
      <c r="Q94" s="594"/>
      <c r="R94" s="594"/>
      <c r="S94" s="594"/>
      <c r="T94" s="594"/>
      <c r="U94" s="594"/>
      <c r="V94" s="594"/>
      <c r="W94" s="594"/>
      <c r="X94" s="594"/>
      <c r="Y94" s="594"/>
      <c r="Z94" s="594"/>
    </row>
    <row r="95" spans="1:26" s="202" customFormat="1" x14ac:dyDescent="0.2">
      <c r="A95" s="594"/>
      <c r="B95" s="594"/>
      <c r="C95" s="594"/>
      <c r="D95" s="594"/>
      <c r="E95" s="594"/>
      <c r="F95" s="594"/>
      <c r="G95" s="594"/>
      <c r="H95" s="594"/>
      <c r="I95" s="594"/>
      <c r="J95" s="594"/>
      <c r="K95" s="594"/>
      <c r="L95" s="594"/>
      <c r="M95" s="594"/>
      <c r="N95" s="594"/>
      <c r="O95" s="594"/>
      <c r="P95" s="594"/>
      <c r="Q95" s="594"/>
      <c r="R95" s="594"/>
      <c r="S95" s="594"/>
      <c r="T95" s="594"/>
      <c r="U95" s="594"/>
      <c r="V95" s="594"/>
      <c r="W95" s="594"/>
      <c r="X95" s="594"/>
      <c r="Y95" s="594"/>
      <c r="Z95" s="594"/>
    </row>
    <row r="96" spans="1:26" ht="13.5" thickBot="1" x14ac:dyDescent="0.25">
      <c r="A96" s="594"/>
      <c r="B96" s="594"/>
      <c r="C96" s="594"/>
      <c r="D96" s="594"/>
      <c r="E96" s="594"/>
      <c r="F96" s="594"/>
      <c r="G96" s="594"/>
      <c r="H96" s="594"/>
      <c r="I96" s="594"/>
      <c r="J96" s="594"/>
      <c r="K96" s="594"/>
      <c r="L96" s="594"/>
      <c r="M96" s="594"/>
      <c r="N96" s="594"/>
      <c r="O96" s="594"/>
      <c r="P96" s="594"/>
      <c r="Q96" s="594"/>
      <c r="R96" s="594"/>
      <c r="S96" s="594"/>
      <c r="T96" s="594"/>
      <c r="U96" s="594"/>
      <c r="V96" s="594"/>
      <c r="W96" s="594"/>
      <c r="X96" s="594"/>
      <c r="Y96" s="594"/>
      <c r="Z96" s="594"/>
    </row>
    <row r="97" spans="1:26" s="203" customFormat="1" x14ac:dyDescent="0.2">
      <c r="A97" s="594"/>
      <c r="B97" s="594"/>
      <c r="C97" s="594"/>
      <c r="D97" s="594"/>
      <c r="E97" s="594"/>
      <c r="F97" s="594"/>
      <c r="G97" s="594"/>
      <c r="H97" s="594"/>
      <c r="I97" s="594"/>
      <c r="J97" s="594"/>
      <c r="K97" s="594"/>
      <c r="L97" s="594"/>
      <c r="M97" s="594"/>
      <c r="N97" s="594"/>
      <c r="O97" s="594"/>
      <c r="P97" s="594"/>
      <c r="Q97" s="594"/>
      <c r="R97" s="594"/>
      <c r="S97" s="594"/>
      <c r="T97" s="594"/>
      <c r="U97" s="594"/>
      <c r="V97" s="594"/>
      <c r="W97" s="594"/>
      <c r="X97" s="594"/>
      <c r="Y97" s="594"/>
      <c r="Z97" s="594"/>
    </row>
    <row r="98" spans="1:26" s="202" customFormat="1" ht="13.5" thickBot="1" x14ac:dyDescent="0.25">
      <c r="A98" s="594"/>
      <c r="B98" s="594"/>
      <c r="C98" s="594"/>
      <c r="D98" s="594"/>
      <c r="E98" s="594"/>
      <c r="F98" s="594"/>
      <c r="G98" s="594"/>
      <c r="H98" s="594"/>
      <c r="I98" s="594"/>
      <c r="J98" s="594"/>
      <c r="K98" s="594"/>
      <c r="L98" s="594"/>
      <c r="M98" s="594"/>
      <c r="N98" s="594"/>
      <c r="O98" s="594"/>
      <c r="P98" s="594"/>
      <c r="Q98" s="594"/>
      <c r="R98" s="594"/>
      <c r="S98" s="594"/>
      <c r="T98" s="594"/>
      <c r="U98" s="594"/>
      <c r="V98" s="594"/>
      <c r="W98" s="594"/>
      <c r="X98" s="594"/>
      <c r="Y98" s="594"/>
      <c r="Z98" s="594"/>
    </row>
    <row r="99" spans="1:26" x14ac:dyDescent="0.2">
      <c r="A99" s="594"/>
      <c r="B99" s="594"/>
      <c r="C99" s="594"/>
      <c r="D99" s="594"/>
      <c r="E99" s="594"/>
      <c r="F99" s="594"/>
      <c r="G99" s="594"/>
      <c r="H99" s="594"/>
      <c r="I99" s="594"/>
      <c r="J99" s="594"/>
      <c r="K99" s="594"/>
      <c r="L99" s="594"/>
      <c r="M99" s="594"/>
      <c r="N99" s="594"/>
      <c r="O99" s="594"/>
      <c r="P99" s="594"/>
      <c r="Q99" s="594"/>
      <c r="R99" s="594"/>
      <c r="S99" s="594"/>
      <c r="T99" s="594"/>
      <c r="U99" s="594"/>
      <c r="V99" s="594"/>
      <c r="W99" s="594"/>
      <c r="X99" s="594"/>
      <c r="Y99" s="594"/>
      <c r="Z99" s="594"/>
    </row>
    <row r="100" spans="1:26" s="203" customFormat="1" ht="13.5" thickBot="1" x14ac:dyDescent="0.25">
      <c r="A100" s="594"/>
      <c r="B100" s="594"/>
      <c r="C100" s="594"/>
      <c r="D100" s="594"/>
      <c r="E100" s="594"/>
      <c r="F100" s="594"/>
      <c r="G100" s="594"/>
      <c r="H100" s="594"/>
      <c r="I100" s="594"/>
      <c r="J100" s="594"/>
      <c r="K100" s="594"/>
      <c r="L100" s="594"/>
      <c r="M100" s="594"/>
      <c r="N100" s="594"/>
      <c r="O100" s="594"/>
      <c r="P100" s="594"/>
      <c r="Q100" s="594"/>
      <c r="R100" s="594"/>
      <c r="S100" s="594"/>
      <c r="T100" s="594"/>
      <c r="U100" s="594"/>
      <c r="V100" s="594"/>
      <c r="W100" s="594"/>
      <c r="X100" s="594"/>
      <c r="Y100" s="594"/>
      <c r="Z100" s="594"/>
    </row>
    <row r="101" spans="1:26" s="202" customFormat="1" x14ac:dyDescent="0.2">
      <c r="A101" s="594"/>
      <c r="B101" s="594"/>
      <c r="C101" s="594"/>
      <c r="D101" s="594"/>
      <c r="E101" s="594"/>
      <c r="F101" s="594"/>
      <c r="G101" s="594"/>
      <c r="H101" s="594"/>
      <c r="I101" s="594"/>
      <c r="J101" s="594"/>
      <c r="K101" s="594"/>
      <c r="L101" s="594"/>
      <c r="M101" s="594"/>
      <c r="N101" s="594"/>
      <c r="O101" s="594"/>
      <c r="P101" s="594"/>
      <c r="Q101" s="594"/>
      <c r="R101" s="594"/>
      <c r="S101" s="594"/>
      <c r="T101" s="594"/>
      <c r="U101" s="594"/>
      <c r="V101" s="594"/>
      <c r="W101" s="594"/>
      <c r="X101" s="594"/>
      <c r="Y101" s="594"/>
      <c r="Z101" s="594"/>
    </row>
    <row r="102" spans="1:26" ht="13.5" thickBot="1" x14ac:dyDescent="0.25">
      <c r="A102" s="594"/>
      <c r="B102" s="594"/>
      <c r="C102" s="594"/>
      <c r="D102" s="594"/>
      <c r="E102" s="594"/>
      <c r="F102" s="594"/>
      <c r="G102" s="594"/>
      <c r="H102" s="594"/>
      <c r="I102" s="594"/>
      <c r="J102" s="594"/>
      <c r="K102" s="594"/>
      <c r="L102" s="594"/>
      <c r="M102" s="594"/>
      <c r="N102" s="594"/>
      <c r="O102" s="594"/>
      <c r="P102" s="594"/>
      <c r="Q102" s="594"/>
      <c r="R102" s="594"/>
      <c r="S102" s="594"/>
      <c r="T102" s="594"/>
      <c r="U102" s="594"/>
      <c r="V102" s="594"/>
      <c r="W102" s="594"/>
      <c r="X102" s="594"/>
      <c r="Y102" s="594"/>
      <c r="Z102" s="594"/>
    </row>
    <row r="103" spans="1:26" s="203" customFormat="1" x14ac:dyDescent="0.2">
      <c r="A103" s="594"/>
      <c r="B103" s="594"/>
      <c r="C103" s="594"/>
      <c r="D103" s="594"/>
      <c r="E103" s="594"/>
      <c r="F103" s="594"/>
      <c r="G103" s="594"/>
      <c r="H103" s="594"/>
      <c r="I103" s="594"/>
      <c r="J103" s="594"/>
      <c r="K103" s="594"/>
      <c r="L103" s="594"/>
      <c r="M103" s="594"/>
      <c r="N103" s="594"/>
      <c r="O103" s="594"/>
      <c r="P103" s="594"/>
      <c r="Q103" s="594"/>
      <c r="R103" s="594"/>
      <c r="S103" s="594"/>
      <c r="T103" s="594"/>
      <c r="U103" s="594"/>
      <c r="V103" s="594"/>
      <c r="W103" s="594"/>
      <c r="X103" s="594"/>
      <c r="Y103" s="594"/>
      <c r="Z103" s="594"/>
    </row>
    <row r="104" spans="1:26" s="202" customFormat="1" ht="13.5" thickBot="1" x14ac:dyDescent="0.25">
      <c r="A104" s="594"/>
      <c r="B104" s="594"/>
      <c r="C104" s="594"/>
      <c r="D104" s="594"/>
      <c r="E104" s="594"/>
      <c r="F104" s="594"/>
      <c r="G104" s="594"/>
      <c r="H104" s="594"/>
      <c r="I104" s="594"/>
      <c r="J104" s="594"/>
      <c r="K104" s="594"/>
      <c r="L104" s="594"/>
      <c r="M104" s="594"/>
      <c r="N104" s="594"/>
      <c r="O104" s="594"/>
      <c r="P104" s="594"/>
      <c r="Q104" s="594"/>
      <c r="R104" s="594"/>
      <c r="S104" s="594"/>
      <c r="T104" s="594"/>
      <c r="U104" s="594"/>
      <c r="V104" s="594"/>
      <c r="W104" s="594"/>
      <c r="X104" s="594"/>
      <c r="Y104" s="594"/>
      <c r="Z104" s="594"/>
    </row>
    <row r="105" spans="1:26" x14ac:dyDescent="0.2">
      <c r="A105" s="594"/>
      <c r="B105" s="594"/>
      <c r="C105" s="594"/>
      <c r="D105" s="594"/>
      <c r="E105" s="594"/>
      <c r="F105" s="594"/>
      <c r="G105" s="594"/>
      <c r="H105" s="594"/>
      <c r="I105" s="594"/>
      <c r="J105" s="594"/>
      <c r="K105" s="594"/>
      <c r="L105" s="594"/>
      <c r="M105" s="594"/>
      <c r="N105" s="594"/>
      <c r="O105" s="594"/>
      <c r="P105" s="594"/>
      <c r="Q105" s="594"/>
      <c r="R105" s="594"/>
      <c r="S105" s="594"/>
      <c r="T105" s="594"/>
      <c r="U105" s="594"/>
      <c r="V105" s="594"/>
      <c r="W105" s="594"/>
      <c r="X105" s="594"/>
      <c r="Y105" s="594"/>
      <c r="Z105" s="594"/>
    </row>
    <row r="106" spans="1:26" s="203" customFormat="1" x14ac:dyDescent="0.2">
      <c r="A106" s="594"/>
      <c r="B106" s="594"/>
      <c r="C106" s="594"/>
      <c r="D106" s="594"/>
      <c r="E106" s="594"/>
      <c r="F106" s="594"/>
      <c r="G106" s="594"/>
      <c r="H106" s="594"/>
      <c r="I106" s="594"/>
      <c r="J106" s="594"/>
      <c r="K106" s="594"/>
      <c r="L106" s="594"/>
      <c r="M106" s="594"/>
      <c r="N106" s="594"/>
      <c r="O106" s="594"/>
      <c r="P106" s="594"/>
      <c r="Q106" s="594"/>
      <c r="R106" s="594"/>
      <c r="S106" s="594"/>
      <c r="T106" s="594"/>
      <c r="U106" s="594"/>
      <c r="V106" s="594"/>
      <c r="W106" s="594"/>
      <c r="X106" s="594"/>
      <c r="Y106" s="594"/>
      <c r="Z106" s="594"/>
    </row>
    <row r="107" spans="1:26" s="202" customFormat="1" x14ac:dyDescent="0.2">
      <c r="A107" s="594"/>
      <c r="B107" s="594"/>
      <c r="C107" s="594"/>
      <c r="D107" s="594"/>
      <c r="E107" s="594"/>
      <c r="F107" s="594"/>
      <c r="G107" s="594"/>
      <c r="H107" s="594"/>
      <c r="I107" s="594"/>
      <c r="J107" s="594"/>
      <c r="K107" s="594"/>
      <c r="L107" s="594"/>
      <c r="M107" s="594"/>
      <c r="N107" s="594"/>
      <c r="O107" s="594"/>
      <c r="P107" s="594"/>
      <c r="Q107" s="594"/>
      <c r="R107" s="594"/>
      <c r="S107" s="594"/>
      <c r="T107" s="594"/>
      <c r="U107" s="594"/>
      <c r="V107" s="594"/>
      <c r="W107" s="594"/>
      <c r="X107" s="594"/>
      <c r="Y107" s="594"/>
      <c r="Z107" s="594"/>
    </row>
    <row r="108" spans="1:26" x14ac:dyDescent="0.2">
      <c r="A108" s="594"/>
      <c r="B108" s="594"/>
      <c r="C108" s="594"/>
      <c r="D108" s="594"/>
      <c r="E108" s="594"/>
      <c r="F108" s="594"/>
      <c r="G108" s="594"/>
      <c r="H108" s="594"/>
      <c r="I108" s="594"/>
      <c r="J108" s="594"/>
      <c r="K108" s="594"/>
      <c r="L108" s="594"/>
      <c r="M108" s="594"/>
      <c r="N108" s="594"/>
      <c r="O108" s="594"/>
      <c r="P108" s="594"/>
      <c r="Q108" s="594"/>
      <c r="R108" s="594"/>
      <c r="S108" s="594"/>
      <c r="T108" s="594"/>
      <c r="U108" s="594"/>
      <c r="V108" s="594"/>
      <c r="W108" s="594"/>
      <c r="X108" s="594"/>
      <c r="Y108" s="594"/>
      <c r="Z108" s="594"/>
    </row>
    <row r="109" spans="1:26" s="203" customFormat="1" x14ac:dyDescent="0.2">
      <c r="A109" s="594"/>
      <c r="B109" s="594"/>
      <c r="C109" s="594"/>
      <c r="D109" s="594"/>
      <c r="E109" s="594"/>
      <c r="F109" s="594"/>
      <c r="G109" s="594"/>
      <c r="H109" s="594"/>
      <c r="I109" s="594"/>
      <c r="J109" s="594"/>
      <c r="K109" s="594"/>
      <c r="L109" s="594"/>
      <c r="M109" s="594"/>
      <c r="N109" s="594"/>
      <c r="O109" s="594"/>
      <c r="P109" s="594"/>
      <c r="Q109" s="594"/>
      <c r="R109" s="594"/>
      <c r="S109" s="594"/>
      <c r="T109" s="594"/>
      <c r="U109" s="594"/>
      <c r="V109" s="594"/>
      <c r="W109" s="594"/>
      <c r="X109" s="594"/>
      <c r="Y109" s="594"/>
      <c r="Z109" s="594"/>
    </row>
    <row r="110" spans="1:26" s="202" customFormat="1" ht="13.5" thickBot="1" x14ac:dyDescent="0.25">
      <c r="A110" s="594"/>
      <c r="B110" s="594"/>
      <c r="C110" s="594"/>
      <c r="D110" s="594"/>
      <c r="E110" s="594"/>
      <c r="F110" s="594"/>
      <c r="G110" s="594"/>
      <c r="H110" s="594"/>
      <c r="I110" s="594"/>
      <c r="J110" s="594"/>
      <c r="K110" s="594"/>
      <c r="L110" s="594"/>
      <c r="M110" s="594"/>
      <c r="N110" s="594"/>
      <c r="O110" s="594"/>
      <c r="P110" s="594"/>
      <c r="Q110" s="594"/>
      <c r="R110" s="594"/>
      <c r="S110" s="594"/>
      <c r="T110" s="594"/>
      <c r="U110" s="594"/>
      <c r="V110" s="594"/>
      <c r="W110" s="594"/>
      <c r="X110" s="594"/>
      <c r="Y110" s="594"/>
      <c r="Z110" s="594"/>
    </row>
    <row r="111" spans="1:26" x14ac:dyDescent="0.2">
      <c r="A111" s="594"/>
      <c r="B111" s="594"/>
      <c r="C111" s="594"/>
      <c r="D111" s="594"/>
      <c r="E111" s="594"/>
      <c r="F111" s="594"/>
      <c r="G111" s="594"/>
      <c r="H111" s="594"/>
      <c r="I111" s="594"/>
      <c r="J111" s="594"/>
      <c r="K111" s="594"/>
      <c r="L111" s="594"/>
      <c r="M111" s="594"/>
      <c r="N111" s="594"/>
      <c r="O111" s="594"/>
      <c r="P111" s="594"/>
      <c r="Q111" s="594"/>
      <c r="R111" s="594"/>
      <c r="S111" s="594"/>
      <c r="T111" s="594"/>
      <c r="U111" s="594"/>
      <c r="V111" s="594"/>
      <c r="W111" s="594"/>
      <c r="X111" s="594"/>
      <c r="Y111" s="594"/>
      <c r="Z111" s="594"/>
    </row>
    <row r="112" spans="1:26" s="203" customFormat="1" x14ac:dyDescent="0.2">
      <c r="A112" s="594"/>
      <c r="B112" s="594"/>
      <c r="C112" s="594"/>
      <c r="D112" s="594"/>
      <c r="E112" s="594"/>
      <c r="F112" s="594"/>
      <c r="G112" s="594"/>
      <c r="H112" s="594"/>
      <c r="I112" s="594"/>
      <c r="J112" s="594"/>
      <c r="K112" s="594"/>
      <c r="L112" s="594"/>
      <c r="M112" s="594"/>
      <c r="N112" s="594"/>
      <c r="O112" s="594"/>
      <c r="P112" s="594"/>
      <c r="Q112" s="594"/>
      <c r="R112" s="594"/>
      <c r="S112" s="594"/>
      <c r="T112" s="594"/>
      <c r="U112" s="594"/>
      <c r="V112" s="594"/>
      <c r="W112" s="594"/>
      <c r="X112" s="594"/>
      <c r="Y112" s="594"/>
      <c r="Z112" s="594"/>
    </row>
    <row r="113" spans="1:26" s="202" customFormat="1" ht="13.5" thickBot="1" x14ac:dyDescent="0.25">
      <c r="A113" s="594"/>
      <c r="B113" s="594"/>
      <c r="C113" s="594"/>
      <c r="D113" s="594"/>
      <c r="E113" s="594"/>
      <c r="F113" s="594"/>
      <c r="G113" s="594"/>
      <c r="H113" s="594"/>
      <c r="I113" s="594"/>
      <c r="J113" s="594"/>
      <c r="K113" s="594"/>
      <c r="L113" s="594"/>
      <c r="M113" s="594"/>
      <c r="N113" s="594"/>
      <c r="O113" s="594"/>
      <c r="P113" s="594"/>
      <c r="Q113" s="594"/>
      <c r="R113" s="594"/>
      <c r="S113" s="594"/>
      <c r="T113" s="594"/>
      <c r="U113" s="594"/>
      <c r="V113" s="594"/>
      <c r="W113" s="594"/>
      <c r="X113" s="594"/>
      <c r="Y113" s="594"/>
      <c r="Z113" s="594"/>
    </row>
    <row r="114" spans="1:26" x14ac:dyDescent="0.2">
      <c r="A114" s="594"/>
      <c r="B114" s="594"/>
      <c r="C114" s="594"/>
      <c r="D114" s="594"/>
      <c r="E114" s="594"/>
      <c r="F114" s="594"/>
      <c r="G114" s="594"/>
      <c r="H114" s="594"/>
      <c r="I114" s="594"/>
      <c r="J114" s="594"/>
      <c r="K114" s="594"/>
      <c r="L114" s="594"/>
      <c r="M114" s="594"/>
      <c r="N114" s="594"/>
      <c r="O114" s="594"/>
      <c r="P114" s="594"/>
      <c r="Q114" s="594"/>
      <c r="R114" s="594"/>
      <c r="S114" s="594"/>
      <c r="T114" s="594"/>
      <c r="U114" s="594"/>
      <c r="V114" s="594"/>
      <c r="W114" s="594"/>
      <c r="X114" s="594"/>
      <c r="Y114" s="594"/>
      <c r="Z114" s="594"/>
    </row>
    <row r="115" spans="1:26" s="203" customFormat="1" x14ac:dyDescent="0.2">
      <c r="A115" s="594"/>
      <c r="B115" s="594"/>
      <c r="C115" s="594"/>
      <c r="D115" s="594"/>
      <c r="E115" s="594"/>
      <c r="F115" s="594"/>
      <c r="G115" s="594"/>
      <c r="H115" s="594"/>
      <c r="I115" s="594"/>
      <c r="J115" s="594"/>
      <c r="K115" s="594"/>
      <c r="L115" s="594"/>
      <c r="M115" s="594"/>
      <c r="N115" s="594"/>
      <c r="O115" s="594"/>
      <c r="P115" s="594"/>
      <c r="Q115" s="594"/>
      <c r="R115" s="594"/>
      <c r="S115" s="594"/>
      <c r="T115" s="594"/>
      <c r="U115" s="594"/>
      <c r="V115" s="594"/>
      <c r="W115" s="594"/>
      <c r="X115" s="594"/>
      <c r="Y115" s="594"/>
      <c r="Z115" s="594"/>
    </row>
    <row r="116" spans="1:26" s="202" customFormat="1" ht="13.5" thickBot="1" x14ac:dyDescent="0.25">
      <c r="A116" s="594"/>
      <c r="B116" s="594"/>
      <c r="C116" s="594"/>
      <c r="D116" s="594"/>
      <c r="E116" s="594"/>
      <c r="F116" s="594"/>
      <c r="G116" s="594"/>
      <c r="H116" s="594"/>
      <c r="I116" s="594"/>
      <c r="J116" s="594"/>
      <c r="K116" s="594"/>
      <c r="L116" s="594"/>
      <c r="M116" s="594"/>
      <c r="N116" s="594"/>
      <c r="O116" s="594"/>
      <c r="P116" s="594"/>
      <c r="Q116" s="594"/>
      <c r="R116" s="594"/>
      <c r="S116" s="594"/>
      <c r="T116" s="594"/>
      <c r="U116" s="594"/>
      <c r="V116" s="594"/>
      <c r="W116" s="594"/>
      <c r="X116" s="594"/>
      <c r="Y116" s="594"/>
      <c r="Z116" s="594"/>
    </row>
    <row r="117" spans="1:26" x14ac:dyDescent="0.2">
      <c r="A117" s="594"/>
      <c r="B117" s="594"/>
      <c r="C117" s="594"/>
      <c r="D117" s="594"/>
      <c r="E117" s="594"/>
      <c r="F117" s="594"/>
      <c r="G117" s="594"/>
      <c r="H117" s="594"/>
      <c r="I117" s="594"/>
      <c r="J117" s="594"/>
      <c r="K117" s="594"/>
      <c r="L117" s="594"/>
      <c r="M117" s="594"/>
      <c r="N117" s="594"/>
      <c r="O117" s="594"/>
      <c r="P117" s="594"/>
      <c r="Q117" s="594"/>
      <c r="R117" s="594"/>
      <c r="S117" s="594"/>
      <c r="T117" s="594"/>
      <c r="U117" s="594"/>
      <c r="V117" s="594"/>
      <c r="W117" s="594"/>
      <c r="X117" s="594"/>
      <c r="Y117" s="594"/>
      <c r="Z117" s="594"/>
    </row>
    <row r="118" spans="1:26" s="203" customFormat="1" x14ac:dyDescent="0.2">
      <c r="A118" s="594"/>
      <c r="B118" s="594"/>
      <c r="C118" s="594"/>
      <c r="D118" s="594"/>
      <c r="E118" s="594"/>
      <c r="F118" s="594"/>
      <c r="G118" s="594"/>
      <c r="H118" s="594"/>
      <c r="I118" s="594"/>
      <c r="J118" s="594"/>
      <c r="K118" s="594"/>
      <c r="L118" s="594"/>
      <c r="M118" s="594"/>
      <c r="N118" s="594"/>
      <c r="O118" s="594"/>
      <c r="P118" s="594"/>
      <c r="Q118" s="594"/>
      <c r="R118" s="594"/>
      <c r="S118" s="594"/>
      <c r="T118" s="594"/>
      <c r="U118" s="594"/>
      <c r="V118" s="594"/>
      <c r="W118" s="594"/>
      <c r="X118" s="594"/>
      <c r="Y118" s="594"/>
      <c r="Z118" s="594"/>
    </row>
    <row r="119" spans="1:26" s="202" customFormat="1" ht="13.5" thickBot="1" x14ac:dyDescent="0.25">
      <c r="A119" s="594"/>
      <c r="B119" s="594"/>
      <c r="C119" s="594"/>
      <c r="D119" s="594"/>
      <c r="E119" s="594"/>
      <c r="F119" s="594"/>
      <c r="G119" s="594"/>
      <c r="H119" s="594"/>
      <c r="I119" s="594"/>
      <c r="J119" s="594"/>
      <c r="K119" s="594"/>
      <c r="L119" s="594"/>
      <c r="M119" s="594"/>
      <c r="N119" s="594"/>
      <c r="O119" s="594"/>
      <c r="P119" s="594"/>
      <c r="Q119" s="594"/>
      <c r="R119" s="594"/>
      <c r="S119" s="594"/>
      <c r="T119" s="594"/>
      <c r="U119" s="594"/>
      <c r="V119" s="594"/>
      <c r="W119" s="594"/>
      <c r="X119" s="594"/>
      <c r="Y119" s="594"/>
      <c r="Z119" s="594"/>
    </row>
    <row r="120" spans="1:26" x14ac:dyDescent="0.2">
      <c r="A120" s="594"/>
      <c r="B120" s="594"/>
      <c r="C120" s="594"/>
      <c r="D120" s="594"/>
      <c r="E120" s="594"/>
      <c r="F120" s="594"/>
      <c r="G120" s="594"/>
      <c r="H120" s="594"/>
      <c r="I120" s="594"/>
      <c r="J120" s="594"/>
      <c r="K120" s="594"/>
      <c r="L120" s="594"/>
      <c r="M120" s="594"/>
      <c r="N120" s="594"/>
      <c r="O120" s="594"/>
      <c r="P120" s="594"/>
      <c r="Q120" s="594"/>
      <c r="R120" s="594"/>
      <c r="S120" s="594"/>
      <c r="T120" s="594"/>
      <c r="U120" s="594"/>
      <c r="V120" s="594"/>
      <c r="W120" s="594"/>
      <c r="X120" s="594"/>
      <c r="Y120" s="594"/>
      <c r="Z120" s="594"/>
    </row>
    <row r="121" spans="1:26" s="203" customFormat="1" x14ac:dyDescent="0.2">
      <c r="A121" s="594"/>
      <c r="B121" s="594"/>
      <c r="C121" s="594"/>
      <c r="D121" s="594"/>
      <c r="E121" s="594"/>
      <c r="F121" s="594"/>
      <c r="G121" s="594"/>
      <c r="H121" s="594"/>
      <c r="I121" s="594"/>
      <c r="J121" s="594"/>
      <c r="K121" s="594"/>
      <c r="L121" s="594"/>
      <c r="M121" s="594"/>
      <c r="N121" s="594"/>
      <c r="O121" s="594"/>
      <c r="P121" s="594"/>
      <c r="Q121" s="594"/>
      <c r="R121" s="594"/>
      <c r="S121" s="594"/>
      <c r="T121" s="594"/>
      <c r="U121" s="594"/>
      <c r="V121" s="594"/>
      <c r="W121" s="594"/>
      <c r="X121" s="594"/>
      <c r="Y121" s="594"/>
      <c r="Z121" s="594"/>
    </row>
    <row r="122" spans="1:26" s="212" customFormat="1" ht="13.5" thickBot="1" x14ac:dyDescent="0.25">
      <c r="A122" s="594"/>
      <c r="B122" s="594"/>
      <c r="C122" s="594"/>
      <c r="D122" s="594"/>
      <c r="E122" s="594"/>
      <c r="F122" s="594"/>
      <c r="G122" s="594"/>
      <c r="H122" s="594"/>
      <c r="I122" s="594"/>
      <c r="J122" s="594"/>
      <c r="K122" s="594"/>
      <c r="L122" s="594"/>
      <c r="M122" s="594"/>
      <c r="N122" s="594"/>
      <c r="O122" s="594"/>
      <c r="P122" s="594"/>
      <c r="Q122" s="594"/>
      <c r="R122" s="594"/>
      <c r="S122" s="594"/>
      <c r="T122" s="594"/>
      <c r="U122" s="594"/>
      <c r="V122" s="594"/>
      <c r="W122" s="594"/>
      <c r="X122" s="594"/>
      <c r="Y122" s="594"/>
      <c r="Z122" s="594"/>
    </row>
    <row r="123" spans="1:26" x14ac:dyDescent="0.2">
      <c r="A123" s="594"/>
      <c r="B123" s="594"/>
      <c r="C123" s="594"/>
      <c r="D123" s="594"/>
      <c r="E123" s="594"/>
      <c r="F123" s="594"/>
      <c r="G123" s="594"/>
      <c r="H123" s="594"/>
      <c r="I123" s="594"/>
      <c r="J123" s="594"/>
      <c r="K123" s="594"/>
      <c r="L123" s="594"/>
      <c r="M123" s="594"/>
      <c r="N123" s="594"/>
      <c r="O123" s="594"/>
      <c r="P123" s="594"/>
      <c r="Q123" s="594"/>
      <c r="R123" s="594"/>
      <c r="S123" s="594"/>
      <c r="T123" s="594"/>
      <c r="U123" s="594"/>
      <c r="V123" s="594"/>
      <c r="W123" s="594"/>
      <c r="X123" s="594"/>
      <c r="Y123" s="594"/>
      <c r="Z123" s="594"/>
    </row>
    <row r="124" spans="1:26" s="203" customFormat="1" x14ac:dyDescent="0.2">
      <c r="A124" s="594"/>
      <c r="B124" s="594"/>
      <c r="C124" s="594"/>
      <c r="D124" s="594"/>
      <c r="E124" s="594"/>
      <c r="F124" s="594"/>
      <c r="G124" s="594"/>
      <c r="H124" s="594"/>
      <c r="I124" s="594"/>
      <c r="J124" s="594"/>
      <c r="K124" s="594"/>
      <c r="L124" s="594"/>
      <c r="M124" s="594"/>
      <c r="N124" s="594"/>
      <c r="O124" s="594"/>
      <c r="P124" s="594"/>
      <c r="Q124" s="594"/>
      <c r="R124" s="594"/>
      <c r="S124" s="594"/>
      <c r="T124" s="594"/>
      <c r="U124" s="594"/>
      <c r="V124" s="594"/>
      <c r="W124" s="594"/>
      <c r="X124" s="594"/>
      <c r="Y124" s="594"/>
      <c r="Z124" s="594"/>
    </row>
    <row r="125" spans="1:26" s="202" customFormat="1" ht="13.5" thickBot="1" x14ac:dyDescent="0.25">
      <c r="A125" s="594"/>
      <c r="B125" s="594"/>
      <c r="C125" s="594"/>
      <c r="D125" s="594"/>
      <c r="E125" s="594"/>
      <c r="F125" s="594"/>
      <c r="G125" s="594"/>
      <c r="H125" s="594"/>
      <c r="I125" s="594"/>
      <c r="J125" s="594"/>
      <c r="K125" s="594"/>
      <c r="L125" s="594"/>
      <c r="M125" s="594"/>
      <c r="N125" s="594"/>
      <c r="O125" s="594"/>
      <c r="P125" s="594"/>
      <c r="Q125" s="594"/>
      <c r="R125" s="594"/>
      <c r="S125" s="594"/>
      <c r="T125" s="594"/>
      <c r="U125" s="594"/>
      <c r="V125" s="594"/>
      <c r="W125" s="594"/>
      <c r="X125" s="594"/>
      <c r="Y125" s="594"/>
      <c r="Z125" s="594"/>
    </row>
    <row r="126" spans="1:26" x14ac:dyDescent="0.2">
      <c r="A126" s="594"/>
      <c r="B126" s="594"/>
      <c r="C126" s="594"/>
      <c r="D126" s="594"/>
      <c r="E126" s="594"/>
      <c r="F126" s="594"/>
      <c r="G126" s="594"/>
      <c r="H126" s="594"/>
      <c r="I126" s="594"/>
      <c r="J126" s="594"/>
      <c r="K126" s="594"/>
      <c r="L126" s="594"/>
      <c r="M126" s="594"/>
      <c r="N126" s="594"/>
      <c r="O126" s="594"/>
      <c r="P126" s="594"/>
      <c r="Q126" s="594"/>
      <c r="R126" s="594"/>
      <c r="S126" s="594"/>
      <c r="T126" s="594"/>
      <c r="U126" s="594"/>
      <c r="V126" s="594"/>
      <c r="W126" s="594"/>
      <c r="X126" s="594"/>
      <c r="Y126" s="594"/>
      <c r="Z126" s="594"/>
    </row>
    <row r="127" spans="1:26" s="203" customFormat="1" x14ac:dyDescent="0.2">
      <c r="A127" s="594"/>
      <c r="B127" s="594"/>
      <c r="C127" s="594"/>
      <c r="D127" s="594"/>
      <c r="E127" s="594"/>
      <c r="F127" s="594"/>
      <c r="G127" s="594"/>
      <c r="H127" s="594"/>
      <c r="I127" s="594"/>
      <c r="J127" s="594"/>
      <c r="K127" s="594"/>
      <c r="L127" s="594"/>
      <c r="M127" s="594"/>
      <c r="N127" s="594"/>
      <c r="O127" s="594"/>
      <c r="P127" s="594"/>
      <c r="Q127" s="594"/>
      <c r="R127" s="594"/>
      <c r="S127" s="594"/>
      <c r="T127" s="594"/>
      <c r="U127" s="594"/>
      <c r="V127" s="594"/>
      <c r="W127" s="594"/>
      <c r="X127" s="594"/>
      <c r="Y127" s="594"/>
      <c r="Z127" s="594"/>
    </row>
    <row r="128" spans="1:26" s="202" customFormat="1" ht="13.5" thickBot="1" x14ac:dyDescent="0.25">
      <c r="A128" s="594"/>
      <c r="B128" s="594"/>
      <c r="C128" s="594"/>
      <c r="D128" s="594"/>
      <c r="E128" s="594"/>
      <c r="F128" s="594"/>
      <c r="G128" s="594"/>
      <c r="H128" s="594"/>
      <c r="I128" s="594"/>
      <c r="J128" s="594"/>
      <c r="K128" s="594"/>
      <c r="L128" s="594"/>
      <c r="M128" s="594"/>
      <c r="N128" s="594"/>
      <c r="O128" s="594"/>
      <c r="P128" s="594"/>
      <c r="Q128" s="594"/>
      <c r="R128" s="594"/>
      <c r="S128" s="594"/>
      <c r="T128" s="594"/>
      <c r="U128" s="594"/>
      <c r="V128" s="594"/>
      <c r="W128" s="594"/>
      <c r="X128" s="594"/>
      <c r="Y128" s="594"/>
      <c r="Z128" s="594"/>
    </row>
    <row r="129" spans="1:26" x14ac:dyDescent="0.2">
      <c r="A129" s="594"/>
      <c r="B129" s="594"/>
      <c r="C129" s="594"/>
      <c r="D129" s="594"/>
      <c r="E129" s="594"/>
      <c r="F129" s="594"/>
      <c r="G129" s="594"/>
      <c r="H129" s="594"/>
      <c r="I129" s="594"/>
      <c r="J129" s="594"/>
      <c r="K129" s="594"/>
      <c r="L129" s="594"/>
      <c r="M129" s="594"/>
      <c r="N129" s="594"/>
      <c r="O129" s="594"/>
      <c r="P129" s="594"/>
      <c r="Q129" s="594"/>
      <c r="R129" s="594"/>
      <c r="S129" s="594"/>
      <c r="T129" s="594"/>
      <c r="U129" s="594"/>
      <c r="V129" s="594"/>
      <c r="W129" s="594"/>
      <c r="X129" s="594"/>
      <c r="Y129" s="594"/>
      <c r="Z129" s="594"/>
    </row>
    <row r="130" spans="1:26" s="203" customFormat="1" x14ac:dyDescent="0.2">
      <c r="A130" s="594"/>
      <c r="B130" s="594"/>
      <c r="C130" s="594"/>
      <c r="D130" s="594"/>
      <c r="E130" s="594"/>
      <c r="F130" s="594"/>
      <c r="G130" s="594"/>
      <c r="H130" s="594"/>
      <c r="I130" s="594"/>
      <c r="J130" s="594"/>
      <c r="K130" s="594"/>
      <c r="L130" s="594"/>
      <c r="M130" s="594"/>
      <c r="N130" s="594"/>
      <c r="O130" s="594"/>
      <c r="P130" s="594"/>
      <c r="Q130" s="594"/>
      <c r="R130" s="594"/>
      <c r="S130" s="594"/>
      <c r="T130" s="594"/>
      <c r="U130" s="594"/>
      <c r="V130" s="594"/>
      <c r="W130" s="594"/>
      <c r="X130" s="594"/>
      <c r="Y130" s="594"/>
      <c r="Z130" s="594"/>
    </row>
    <row r="131" spans="1:26" s="202" customFormat="1" ht="13.5" thickBot="1" x14ac:dyDescent="0.25">
      <c r="A131" s="594"/>
      <c r="B131" s="594"/>
      <c r="C131" s="594"/>
      <c r="D131" s="594"/>
      <c r="E131" s="594"/>
      <c r="F131" s="594"/>
      <c r="G131" s="594"/>
      <c r="H131" s="594"/>
      <c r="I131" s="594"/>
      <c r="J131" s="594"/>
      <c r="K131" s="594"/>
      <c r="L131" s="594"/>
      <c r="M131" s="594"/>
      <c r="N131" s="594"/>
      <c r="O131" s="594"/>
      <c r="P131" s="594"/>
      <c r="Q131" s="594"/>
      <c r="R131" s="594"/>
      <c r="S131" s="594"/>
      <c r="T131" s="594"/>
      <c r="U131" s="594"/>
      <c r="V131" s="594"/>
      <c r="W131" s="594"/>
      <c r="X131" s="594"/>
      <c r="Y131" s="594"/>
      <c r="Z131" s="594"/>
    </row>
    <row r="132" spans="1:26" x14ac:dyDescent="0.2">
      <c r="A132" s="594"/>
      <c r="B132" s="594"/>
      <c r="C132" s="594"/>
      <c r="D132" s="594"/>
      <c r="E132" s="594"/>
      <c r="F132" s="594"/>
      <c r="G132" s="594"/>
      <c r="H132" s="594"/>
      <c r="I132" s="594"/>
      <c r="J132" s="594"/>
      <c r="K132" s="594"/>
      <c r="L132" s="594"/>
      <c r="M132" s="594"/>
      <c r="N132" s="594"/>
      <c r="O132" s="594"/>
      <c r="P132" s="594"/>
      <c r="Q132" s="594"/>
      <c r="R132" s="594"/>
      <c r="S132" s="594"/>
      <c r="T132" s="594"/>
      <c r="U132" s="594"/>
      <c r="V132" s="594"/>
      <c r="W132" s="594"/>
      <c r="X132" s="594"/>
      <c r="Y132" s="594"/>
      <c r="Z132" s="594"/>
    </row>
    <row r="133" spans="1:26" s="203" customFormat="1" x14ac:dyDescent="0.2">
      <c r="A133" s="594"/>
      <c r="B133" s="594"/>
      <c r="C133" s="594"/>
      <c r="D133" s="594"/>
      <c r="E133" s="594"/>
      <c r="F133" s="594"/>
      <c r="G133" s="594"/>
      <c r="H133" s="594"/>
      <c r="I133" s="594"/>
      <c r="J133" s="594"/>
      <c r="K133" s="594"/>
      <c r="L133" s="594"/>
      <c r="M133" s="594"/>
      <c r="N133" s="594"/>
      <c r="O133" s="594"/>
      <c r="P133" s="594"/>
      <c r="Q133" s="594"/>
      <c r="R133" s="594"/>
      <c r="S133" s="594"/>
      <c r="T133" s="594"/>
      <c r="U133" s="594"/>
      <c r="V133" s="594"/>
      <c r="W133" s="594"/>
      <c r="X133" s="594"/>
      <c r="Y133" s="594"/>
      <c r="Z133" s="594"/>
    </row>
    <row r="134" spans="1:26" s="202" customFormat="1" ht="13.5" thickBot="1" x14ac:dyDescent="0.25">
      <c r="A134" s="594"/>
      <c r="B134" s="594"/>
      <c r="C134" s="594"/>
      <c r="D134" s="594"/>
      <c r="E134" s="594"/>
      <c r="F134" s="594"/>
      <c r="G134" s="594"/>
      <c r="H134" s="594"/>
      <c r="I134" s="594"/>
      <c r="J134" s="594"/>
      <c r="K134" s="594"/>
      <c r="L134" s="594"/>
      <c r="M134" s="594"/>
      <c r="N134" s="594"/>
      <c r="O134" s="594"/>
      <c r="P134" s="594"/>
      <c r="Q134" s="594"/>
      <c r="R134" s="594"/>
      <c r="S134" s="594"/>
      <c r="T134" s="594"/>
      <c r="U134" s="594"/>
      <c r="V134" s="594"/>
      <c r="W134" s="594"/>
      <c r="X134" s="594"/>
      <c r="Y134" s="594"/>
      <c r="Z134" s="594"/>
    </row>
    <row r="135" spans="1:26" x14ac:dyDescent="0.2">
      <c r="A135" s="594"/>
      <c r="B135" s="594"/>
      <c r="C135" s="594"/>
      <c r="D135" s="594"/>
      <c r="E135" s="594"/>
      <c r="F135" s="594"/>
      <c r="G135" s="594"/>
      <c r="H135" s="594"/>
      <c r="I135" s="594"/>
      <c r="J135" s="594"/>
      <c r="K135" s="594"/>
      <c r="L135" s="594"/>
      <c r="M135" s="594"/>
      <c r="N135" s="594"/>
      <c r="O135" s="594"/>
      <c r="P135" s="594"/>
      <c r="Q135" s="594"/>
      <c r="R135" s="594"/>
      <c r="S135" s="594"/>
      <c r="T135" s="594"/>
      <c r="U135" s="594"/>
      <c r="V135" s="594"/>
      <c r="W135" s="594"/>
      <c r="X135" s="594"/>
      <c r="Y135" s="594"/>
      <c r="Z135" s="594"/>
    </row>
    <row r="136" spans="1:26" s="203" customFormat="1" x14ac:dyDescent="0.2">
      <c r="A136" s="594"/>
      <c r="B136" s="594"/>
      <c r="C136" s="594"/>
      <c r="D136" s="594"/>
      <c r="E136" s="594"/>
      <c r="F136" s="594"/>
      <c r="G136" s="594"/>
      <c r="H136" s="594"/>
      <c r="I136" s="594"/>
      <c r="J136" s="594"/>
      <c r="K136" s="594"/>
      <c r="L136" s="594"/>
      <c r="M136" s="594"/>
      <c r="N136" s="594"/>
      <c r="O136" s="594"/>
      <c r="P136" s="594"/>
      <c r="Q136" s="594"/>
      <c r="R136" s="594"/>
      <c r="S136" s="594"/>
      <c r="T136" s="594"/>
      <c r="U136" s="594"/>
      <c r="V136" s="594"/>
      <c r="W136" s="594"/>
      <c r="X136" s="594"/>
      <c r="Y136" s="594"/>
      <c r="Z136" s="594"/>
    </row>
    <row r="137" spans="1:26" s="202" customFormat="1" ht="13.5" thickBot="1" x14ac:dyDescent="0.25">
      <c r="A137" s="594"/>
      <c r="B137" s="594"/>
      <c r="C137" s="594"/>
      <c r="D137" s="594"/>
      <c r="E137" s="594"/>
      <c r="F137" s="594"/>
      <c r="G137" s="594"/>
      <c r="H137" s="594"/>
      <c r="I137" s="594"/>
      <c r="J137" s="594"/>
      <c r="K137" s="594"/>
      <c r="L137" s="594"/>
      <c r="M137" s="594"/>
      <c r="N137" s="594"/>
      <c r="O137" s="594"/>
      <c r="P137" s="594"/>
      <c r="Q137" s="594"/>
      <c r="R137" s="594"/>
      <c r="S137" s="594"/>
      <c r="T137" s="594"/>
      <c r="U137" s="594"/>
      <c r="V137" s="594"/>
      <c r="W137" s="594"/>
      <c r="X137" s="594"/>
      <c r="Y137" s="594"/>
      <c r="Z137" s="594"/>
    </row>
    <row r="138" spans="1:26" x14ac:dyDescent="0.2">
      <c r="A138" s="594"/>
      <c r="B138" s="594"/>
      <c r="C138" s="594"/>
      <c r="D138" s="594"/>
      <c r="E138" s="594"/>
      <c r="F138" s="594"/>
      <c r="G138" s="594"/>
      <c r="H138" s="594"/>
      <c r="I138" s="594"/>
      <c r="J138" s="594"/>
      <c r="K138" s="594"/>
      <c r="L138" s="594"/>
      <c r="M138" s="594"/>
      <c r="N138" s="594"/>
      <c r="O138" s="594"/>
      <c r="P138" s="594"/>
      <c r="Q138" s="594"/>
      <c r="R138" s="594"/>
      <c r="S138" s="594"/>
      <c r="T138" s="594"/>
      <c r="U138" s="594"/>
      <c r="V138" s="594"/>
      <c r="W138" s="594"/>
      <c r="X138" s="594"/>
      <c r="Y138" s="594"/>
      <c r="Z138" s="594"/>
    </row>
    <row r="139" spans="1:26" s="203" customFormat="1" x14ac:dyDescent="0.2">
      <c r="A139" s="594"/>
      <c r="B139" s="594"/>
      <c r="C139" s="594"/>
      <c r="D139" s="594"/>
      <c r="E139" s="594"/>
      <c r="F139" s="594"/>
      <c r="G139" s="594"/>
      <c r="H139" s="594"/>
      <c r="I139" s="594"/>
      <c r="J139" s="594"/>
      <c r="K139" s="594"/>
      <c r="L139" s="594"/>
      <c r="M139" s="594"/>
      <c r="N139" s="594"/>
      <c r="O139" s="594"/>
      <c r="P139" s="594"/>
      <c r="Q139" s="594"/>
      <c r="R139" s="594"/>
      <c r="S139" s="594"/>
      <c r="T139" s="594"/>
      <c r="U139" s="594"/>
      <c r="V139" s="594"/>
      <c r="W139" s="594"/>
      <c r="X139" s="594"/>
      <c r="Y139" s="594"/>
      <c r="Z139" s="594"/>
    </row>
    <row r="140" spans="1:26" s="202" customFormat="1" ht="13.5" thickBot="1" x14ac:dyDescent="0.25">
      <c r="A140" s="594"/>
      <c r="B140" s="594"/>
      <c r="C140" s="594"/>
      <c r="D140" s="594"/>
      <c r="E140" s="594"/>
      <c r="F140" s="594"/>
      <c r="G140" s="594"/>
      <c r="H140" s="594"/>
      <c r="I140" s="594"/>
      <c r="J140" s="594"/>
      <c r="K140" s="594"/>
      <c r="L140" s="594"/>
      <c r="M140" s="594"/>
      <c r="N140" s="594"/>
      <c r="O140" s="594"/>
      <c r="P140" s="594"/>
      <c r="Q140" s="594"/>
      <c r="R140" s="594"/>
      <c r="S140" s="594"/>
      <c r="T140" s="594"/>
      <c r="U140" s="594"/>
      <c r="V140" s="594"/>
      <c r="W140" s="594"/>
      <c r="X140" s="594"/>
      <c r="Y140" s="594"/>
      <c r="Z140" s="594"/>
    </row>
    <row r="141" spans="1:26" x14ac:dyDescent="0.2">
      <c r="A141" s="594"/>
      <c r="B141" s="594"/>
      <c r="C141" s="594"/>
      <c r="D141" s="594"/>
      <c r="E141" s="594"/>
      <c r="F141" s="594"/>
      <c r="G141" s="594"/>
      <c r="H141" s="594"/>
      <c r="I141" s="594"/>
      <c r="J141" s="594"/>
      <c r="K141" s="594"/>
      <c r="L141" s="594"/>
      <c r="M141" s="594"/>
      <c r="N141" s="594"/>
      <c r="O141" s="594"/>
      <c r="P141" s="594"/>
      <c r="Q141" s="594"/>
      <c r="R141" s="594"/>
      <c r="S141" s="594"/>
      <c r="T141" s="594"/>
      <c r="U141" s="594"/>
      <c r="V141" s="594"/>
      <c r="W141" s="594"/>
      <c r="X141" s="594"/>
      <c r="Y141" s="594"/>
      <c r="Z141" s="594"/>
    </row>
    <row r="142" spans="1:26" s="203" customFormat="1" x14ac:dyDescent="0.2">
      <c r="A142" s="594"/>
      <c r="B142" s="594"/>
      <c r="C142" s="594"/>
      <c r="D142" s="594"/>
      <c r="E142" s="594"/>
      <c r="F142" s="594"/>
      <c r="G142" s="594"/>
      <c r="H142" s="594"/>
      <c r="I142" s="594"/>
      <c r="J142" s="594"/>
      <c r="K142" s="594"/>
      <c r="L142" s="594"/>
      <c r="M142" s="594"/>
      <c r="N142" s="594"/>
      <c r="O142" s="594"/>
      <c r="P142" s="594"/>
      <c r="Q142" s="594"/>
      <c r="R142" s="594"/>
      <c r="S142" s="594"/>
      <c r="T142" s="594"/>
      <c r="U142" s="594"/>
      <c r="V142" s="594"/>
      <c r="W142" s="594"/>
      <c r="X142" s="594"/>
      <c r="Y142" s="594"/>
      <c r="Z142" s="594"/>
    </row>
    <row r="143" spans="1:26" s="202" customFormat="1" ht="13.5" thickBot="1" x14ac:dyDescent="0.25">
      <c r="A143" s="594"/>
      <c r="B143" s="594"/>
      <c r="C143" s="594"/>
      <c r="D143" s="594"/>
      <c r="E143" s="594"/>
      <c r="F143" s="594"/>
      <c r="G143" s="594"/>
      <c r="H143" s="594"/>
      <c r="I143" s="594"/>
      <c r="J143" s="594"/>
      <c r="K143" s="594"/>
      <c r="L143" s="594"/>
      <c r="M143" s="594"/>
      <c r="N143" s="594"/>
      <c r="O143" s="594"/>
      <c r="P143" s="594"/>
      <c r="Q143" s="594"/>
      <c r="R143" s="594"/>
      <c r="S143" s="594"/>
      <c r="T143" s="594"/>
      <c r="U143" s="594"/>
      <c r="V143" s="594"/>
      <c r="W143" s="594"/>
      <c r="X143" s="594"/>
      <c r="Y143" s="594"/>
      <c r="Z143" s="594"/>
    </row>
    <row r="144" spans="1:26" x14ac:dyDescent="0.2">
      <c r="A144" s="594"/>
      <c r="B144" s="594"/>
      <c r="C144" s="594"/>
      <c r="D144" s="594"/>
      <c r="E144" s="594"/>
      <c r="F144" s="594"/>
      <c r="G144" s="594"/>
      <c r="H144" s="594"/>
      <c r="I144" s="594"/>
      <c r="J144" s="594"/>
      <c r="K144" s="594"/>
      <c r="L144" s="594"/>
      <c r="M144" s="594"/>
      <c r="N144" s="594"/>
      <c r="O144" s="594"/>
      <c r="P144" s="594"/>
      <c r="Q144" s="594"/>
      <c r="R144" s="594"/>
      <c r="S144" s="594"/>
      <c r="T144" s="594"/>
      <c r="U144" s="594"/>
      <c r="V144" s="594"/>
      <c r="W144" s="594"/>
      <c r="X144" s="594"/>
      <c r="Y144" s="594"/>
      <c r="Z144" s="594"/>
    </row>
    <row r="145" spans="1:26" s="203" customFormat="1" ht="13.5" thickBot="1" x14ac:dyDescent="0.25">
      <c r="A145" s="594"/>
      <c r="B145" s="594"/>
      <c r="C145" s="594"/>
      <c r="D145" s="594"/>
      <c r="E145" s="594"/>
      <c r="F145" s="594"/>
      <c r="G145" s="594"/>
      <c r="H145" s="594"/>
      <c r="I145" s="594"/>
      <c r="J145" s="594"/>
      <c r="K145" s="594"/>
      <c r="L145" s="594"/>
      <c r="M145" s="594"/>
      <c r="N145" s="594"/>
      <c r="O145" s="594"/>
      <c r="P145" s="594"/>
      <c r="Q145" s="594"/>
      <c r="R145" s="594"/>
      <c r="S145" s="594"/>
      <c r="T145" s="594"/>
      <c r="U145" s="594"/>
      <c r="V145" s="594"/>
      <c r="W145" s="594"/>
      <c r="X145" s="594"/>
      <c r="Y145" s="594"/>
      <c r="Z145" s="594"/>
    </row>
    <row r="146" spans="1:26" s="202" customFormat="1" x14ac:dyDescent="0.2">
      <c r="A146" s="594"/>
      <c r="B146" s="594"/>
      <c r="C146" s="594"/>
      <c r="D146" s="594"/>
      <c r="E146" s="594"/>
      <c r="F146" s="594"/>
      <c r="G146" s="594"/>
      <c r="H146" s="594"/>
      <c r="I146" s="594"/>
      <c r="J146" s="594"/>
      <c r="K146" s="594"/>
      <c r="L146" s="594"/>
      <c r="M146" s="594"/>
      <c r="N146" s="594"/>
      <c r="O146" s="594"/>
      <c r="P146" s="594"/>
      <c r="Q146" s="594"/>
      <c r="R146" s="594"/>
      <c r="S146" s="594"/>
      <c r="T146" s="594"/>
      <c r="U146" s="594"/>
      <c r="V146" s="594"/>
      <c r="W146" s="594"/>
      <c r="X146" s="594"/>
      <c r="Y146" s="594"/>
      <c r="Z146" s="594"/>
    </row>
    <row r="147" spans="1:26" x14ac:dyDescent="0.2">
      <c r="A147" s="594"/>
      <c r="B147" s="594"/>
      <c r="C147" s="594"/>
      <c r="D147" s="594"/>
      <c r="E147" s="594"/>
      <c r="F147" s="594"/>
      <c r="G147" s="594"/>
      <c r="H147" s="594"/>
      <c r="I147" s="594"/>
      <c r="J147" s="594"/>
      <c r="K147" s="594"/>
      <c r="L147" s="594"/>
      <c r="M147" s="594"/>
      <c r="N147" s="594"/>
      <c r="O147" s="594"/>
      <c r="P147" s="594"/>
      <c r="Q147" s="594"/>
      <c r="R147" s="594"/>
      <c r="S147" s="594"/>
      <c r="T147" s="594"/>
      <c r="U147" s="594"/>
      <c r="V147" s="594"/>
      <c r="W147" s="594"/>
      <c r="X147" s="594"/>
      <c r="Y147" s="594"/>
      <c r="Z147" s="594"/>
    </row>
    <row r="148" spans="1:26" s="203" customFormat="1" ht="13.5" thickBot="1" x14ac:dyDescent="0.25">
      <c r="A148" s="594"/>
      <c r="B148" s="594"/>
      <c r="C148" s="594"/>
      <c r="D148" s="594"/>
      <c r="E148" s="594"/>
      <c r="F148" s="594"/>
      <c r="G148" s="594"/>
      <c r="H148" s="594"/>
      <c r="I148" s="594"/>
      <c r="J148" s="594"/>
      <c r="K148" s="594"/>
      <c r="L148" s="594"/>
      <c r="M148" s="594"/>
      <c r="N148" s="594"/>
      <c r="O148" s="594"/>
      <c r="P148" s="594"/>
      <c r="Q148" s="594"/>
      <c r="R148" s="594"/>
      <c r="S148" s="594"/>
      <c r="T148" s="594"/>
      <c r="U148" s="594"/>
      <c r="V148" s="594"/>
      <c r="W148" s="594"/>
      <c r="X148" s="594"/>
      <c r="Y148" s="594"/>
      <c r="Z148" s="594"/>
    </row>
    <row r="149" spans="1:26" s="202" customFormat="1" x14ac:dyDescent="0.2">
      <c r="A149" s="594"/>
      <c r="B149" s="594"/>
      <c r="C149" s="594"/>
      <c r="D149" s="594"/>
      <c r="E149" s="594"/>
      <c r="F149" s="594"/>
      <c r="G149" s="594"/>
      <c r="H149" s="594"/>
      <c r="I149" s="594"/>
      <c r="J149" s="594"/>
      <c r="K149" s="594"/>
      <c r="L149" s="594"/>
      <c r="M149" s="594"/>
      <c r="N149" s="594"/>
      <c r="O149" s="594"/>
      <c r="P149" s="594"/>
      <c r="Q149" s="594"/>
      <c r="R149" s="594"/>
      <c r="S149" s="594"/>
      <c r="T149" s="594"/>
      <c r="U149" s="594"/>
      <c r="V149" s="594"/>
      <c r="W149" s="594"/>
      <c r="X149" s="594"/>
      <c r="Y149" s="594"/>
      <c r="Z149" s="594"/>
    </row>
    <row r="150" spans="1:26" x14ac:dyDescent="0.2">
      <c r="A150" s="594"/>
      <c r="B150" s="594"/>
      <c r="C150" s="594"/>
      <c r="D150" s="594"/>
      <c r="E150" s="594"/>
      <c r="F150" s="594"/>
      <c r="G150" s="594"/>
      <c r="H150" s="594"/>
      <c r="I150" s="594"/>
      <c r="J150" s="594"/>
      <c r="K150" s="594"/>
      <c r="L150" s="594"/>
      <c r="M150" s="594"/>
      <c r="N150" s="594"/>
      <c r="O150" s="594"/>
      <c r="P150" s="594"/>
      <c r="Q150" s="594"/>
      <c r="R150" s="594"/>
      <c r="S150" s="594"/>
      <c r="T150" s="594"/>
      <c r="U150" s="594"/>
      <c r="V150" s="594"/>
      <c r="W150" s="594"/>
      <c r="X150" s="594"/>
      <c r="Y150" s="594"/>
      <c r="Z150" s="594"/>
    </row>
    <row r="151" spans="1:26" s="203" customFormat="1" ht="13.5" thickBot="1" x14ac:dyDescent="0.25">
      <c r="A151" s="594"/>
      <c r="B151" s="594"/>
      <c r="C151" s="594"/>
      <c r="D151" s="594"/>
      <c r="E151" s="594"/>
      <c r="F151" s="594"/>
      <c r="G151" s="594"/>
      <c r="H151" s="594"/>
      <c r="I151" s="594"/>
      <c r="J151" s="594"/>
      <c r="K151" s="594"/>
      <c r="L151" s="594"/>
      <c r="M151" s="594"/>
      <c r="N151" s="594"/>
      <c r="O151" s="594"/>
      <c r="P151" s="594"/>
      <c r="Q151" s="594"/>
      <c r="R151" s="594"/>
      <c r="S151" s="594"/>
      <c r="T151" s="594"/>
      <c r="U151" s="594"/>
      <c r="V151" s="594"/>
      <c r="W151" s="594"/>
      <c r="X151" s="594"/>
      <c r="Y151" s="594"/>
      <c r="Z151" s="594"/>
    </row>
    <row r="152" spans="1:26" s="202" customFormat="1" x14ac:dyDescent="0.2">
      <c r="A152" s="594"/>
      <c r="B152" s="594"/>
      <c r="C152" s="594"/>
      <c r="D152" s="594"/>
      <c r="E152" s="594"/>
      <c r="F152" s="594"/>
      <c r="G152" s="594"/>
      <c r="H152" s="594"/>
      <c r="I152" s="594"/>
      <c r="J152" s="594"/>
      <c r="K152" s="594"/>
      <c r="L152" s="594"/>
      <c r="M152" s="594"/>
      <c r="N152" s="594"/>
      <c r="O152" s="594"/>
      <c r="P152" s="594"/>
      <c r="Q152" s="594"/>
      <c r="R152" s="594"/>
      <c r="S152" s="594"/>
      <c r="T152" s="594"/>
      <c r="U152" s="594"/>
      <c r="V152" s="594"/>
      <c r="W152" s="594"/>
      <c r="X152" s="594"/>
      <c r="Y152" s="594"/>
      <c r="Z152" s="594"/>
    </row>
    <row r="153" spans="1:26" x14ac:dyDescent="0.2">
      <c r="A153" s="594"/>
      <c r="B153" s="594"/>
      <c r="C153" s="594"/>
      <c r="D153" s="594"/>
      <c r="E153" s="594"/>
      <c r="F153" s="594"/>
      <c r="G153" s="594"/>
      <c r="H153" s="594"/>
      <c r="I153" s="594"/>
      <c r="J153" s="594"/>
      <c r="K153" s="594"/>
      <c r="L153" s="594"/>
      <c r="M153" s="594"/>
      <c r="N153" s="594"/>
      <c r="O153" s="594"/>
      <c r="P153" s="594"/>
      <c r="Q153" s="594"/>
      <c r="R153" s="594"/>
      <c r="S153" s="594"/>
      <c r="T153" s="594"/>
      <c r="U153" s="594"/>
      <c r="V153" s="594"/>
      <c r="W153" s="594"/>
      <c r="X153" s="594"/>
      <c r="Y153" s="594"/>
      <c r="Z153" s="594"/>
    </row>
    <row r="154" spans="1:26" s="203" customFormat="1" ht="13.5" thickBot="1" x14ac:dyDescent="0.25">
      <c r="A154" s="594"/>
      <c r="B154" s="594"/>
      <c r="C154" s="594"/>
      <c r="D154" s="594"/>
      <c r="E154" s="594"/>
      <c r="F154" s="594"/>
      <c r="G154" s="594"/>
      <c r="H154" s="594"/>
      <c r="I154" s="594"/>
      <c r="J154" s="594"/>
      <c r="K154" s="594"/>
      <c r="L154" s="594"/>
      <c r="M154" s="594"/>
      <c r="N154" s="594"/>
      <c r="O154" s="594"/>
      <c r="P154" s="594"/>
      <c r="Q154" s="594"/>
      <c r="R154" s="594"/>
      <c r="S154" s="594"/>
      <c r="T154" s="594"/>
      <c r="U154" s="594"/>
      <c r="V154" s="594"/>
      <c r="W154" s="594"/>
      <c r="X154" s="594"/>
      <c r="Y154" s="594"/>
      <c r="Z154" s="594"/>
    </row>
    <row r="155" spans="1:26" s="202" customFormat="1" x14ac:dyDescent="0.2">
      <c r="A155" s="594"/>
      <c r="B155" s="594"/>
      <c r="C155" s="594"/>
      <c r="D155" s="594"/>
      <c r="E155" s="594"/>
      <c r="F155" s="594"/>
      <c r="G155" s="594"/>
      <c r="H155" s="594"/>
      <c r="I155" s="594"/>
      <c r="J155" s="594"/>
      <c r="K155" s="594"/>
      <c r="L155" s="594"/>
      <c r="M155" s="594"/>
      <c r="N155" s="594"/>
      <c r="O155" s="594"/>
      <c r="P155" s="594"/>
      <c r="Q155" s="594"/>
      <c r="R155" s="594"/>
      <c r="S155" s="594"/>
      <c r="T155" s="594"/>
      <c r="U155" s="594"/>
      <c r="V155" s="594"/>
      <c r="W155" s="594"/>
      <c r="X155" s="594"/>
      <c r="Y155" s="594"/>
      <c r="Z155" s="594"/>
    </row>
    <row r="156" spans="1:26" x14ac:dyDescent="0.2">
      <c r="A156" s="594"/>
      <c r="B156" s="594"/>
      <c r="C156" s="594"/>
      <c r="D156" s="594"/>
      <c r="E156" s="594"/>
      <c r="F156" s="594"/>
      <c r="G156" s="594"/>
      <c r="H156" s="594"/>
      <c r="I156" s="594"/>
      <c r="J156" s="594"/>
      <c r="K156" s="594"/>
      <c r="L156" s="594"/>
      <c r="M156" s="594"/>
      <c r="N156" s="594"/>
      <c r="O156" s="594"/>
      <c r="P156" s="594"/>
      <c r="Q156" s="594"/>
      <c r="R156" s="594"/>
      <c r="S156" s="594"/>
      <c r="T156" s="594"/>
      <c r="U156" s="594"/>
      <c r="V156" s="594"/>
      <c r="W156" s="594"/>
      <c r="X156" s="594"/>
      <c r="Y156" s="594"/>
      <c r="Z156" s="594"/>
    </row>
    <row r="157" spans="1:26" s="203" customFormat="1" ht="13.5" thickBot="1" x14ac:dyDescent="0.25">
      <c r="A157" s="594"/>
      <c r="B157" s="594"/>
      <c r="C157" s="594"/>
      <c r="D157" s="594"/>
      <c r="E157" s="594"/>
      <c r="F157" s="594"/>
      <c r="G157" s="594"/>
      <c r="H157" s="594"/>
      <c r="I157" s="594"/>
      <c r="J157" s="594"/>
      <c r="K157" s="594"/>
      <c r="L157" s="594"/>
      <c r="M157" s="594"/>
      <c r="N157" s="594"/>
      <c r="O157" s="594"/>
      <c r="P157" s="594"/>
      <c r="Q157" s="594"/>
      <c r="R157" s="594"/>
      <c r="S157" s="594"/>
      <c r="T157" s="594"/>
      <c r="U157" s="594"/>
      <c r="V157" s="594"/>
      <c r="W157" s="594"/>
      <c r="X157" s="594"/>
      <c r="Y157" s="594"/>
      <c r="Z157" s="594"/>
    </row>
    <row r="158" spans="1:26" s="202" customFormat="1" x14ac:dyDescent="0.2">
      <c r="A158" s="594"/>
      <c r="B158" s="594"/>
      <c r="C158" s="594"/>
      <c r="D158" s="594"/>
      <c r="E158" s="594"/>
      <c r="F158" s="594"/>
      <c r="G158" s="594"/>
      <c r="H158" s="594"/>
      <c r="I158" s="594"/>
      <c r="J158" s="594"/>
      <c r="K158" s="594"/>
      <c r="L158" s="594"/>
      <c r="M158" s="594"/>
      <c r="N158" s="594"/>
      <c r="O158" s="594"/>
      <c r="P158" s="594"/>
      <c r="Q158" s="594"/>
      <c r="R158" s="594"/>
      <c r="S158" s="594"/>
      <c r="T158" s="594"/>
      <c r="U158" s="594"/>
      <c r="V158" s="594"/>
      <c r="W158" s="594"/>
      <c r="X158" s="594"/>
      <c r="Y158" s="594"/>
      <c r="Z158" s="594"/>
    </row>
    <row r="159" spans="1:26" x14ac:dyDescent="0.2">
      <c r="A159" s="594"/>
      <c r="B159" s="594"/>
      <c r="C159" s="594"/>
      <c r="D159" s="594"/>
      <c r="E159" s="594"/>
      <c r="F159" s="594"/>
      <c r="G159" s="594"/>
      <c r="H159" s="594"/>
      <c r="I159" s="594"/>
      <c r="J159" s="594"/>
      <c r="K159" s="594"/>
      <c r="L159" s="594"/>
      <c r="M159" s="594"/>
      <c r="N159" s="594"/>
      <c r="O159" s="594"/>
      <c r="P159" s="594"/>
      <c r="Q159" s="594"/>
      <c r="R159" s="594"/>
      <c r="S159" s="594"/>
      <c r="T159" s="594"/>
      <c r="U159" s="594"/>
      <c r="V159" s="594"/>
      <c r="W159" s="594"/>
      <c r="X159" s="594"/>
      <c r="Y159" s="594"/>
      <c r="Z159" s="594"/>
    </row>
    <row r="160" spans="1:26" s="203" customFormat="1" x14ac:dyDescent="0.2">
      <c r="A160" s="594"/>
      <c r="B160" s="594"/>
      <c r="C160" s="594"/>
      <c r="D160" s="594"/>
      <c r="E160" s="594"/>
      <c r="F160" s="594"/>
      <c r="G160" s="594"/>
      <c r="H160" s="594"/>
      <c r="I160" s="594"/>
      <c r="J160" s="594"/>
      <c r="K160" s="594"/>
      <c r="L160" s="594"/>
      <c r="M160" s="594"/>
      <c r="N160" s="594"/>
      <c r="O160" s="594"/>
      <c r="P160" s="594"/>
      <c r="Q160" s="594"/>
      <c r="R160" s="594"/>
      <c r="S160" s="594"/>
      <c r="T160" s="594"/>
      <c r="U160" s="594"/>
      <c r="V160" s="594"/>
      <c r="W160" s="594"/>
      <c r="X160" s="594"/>
      <c r="Y160" s="594"/>
      <c r="Z160" s="594"/>
    </row>
    <row r="161" spans="1:26" s="212" customFormat="1" ht="13.5" thickBot="1" x14ac:dyDescent="0.25">
      <c r="A161" s="594"/>
      <c r="B161" s="594"/>
      <c r="C161" s="594"/>
      <c r="D161" s="594"/>
      <c r="E161" s="594"/>
      <c r="F161" s="594"/>
      <c r="G161" s="594"/>
      <c r="H161" s="594"/>
      <c r="I161" s="594"/>
      <c r="J161" s="594"/>
      <c r="K161" s="594"/>
      <c r="L161" s="594"/>
      <c r="M161" s="594"/>
      <c r="N161" s="594"/>
      <c r="O161" s="594"/>
      <c r="P161" s="594"/>
      <c r="Q161" s="594"/>
      <c r="R161" s="594"/>
      <c r="S161" s="594"/>
      <c r="T161" s="594"/>
      <c r="U161" s="594"/>
      <c r="V161" s="594"/>
      <c r="W161" s="594"/>
      <c r="X161" s="594"/>
      <c r="Y161" s="594"/>
      <c r="Z161" s="594"/>
    </row>
    <row r="162" spans="1:26" x14ac:dyDescent="0.2">
      <c r="A162" s="594"/>
      <c r="B162" s="594"/>
      <c r="C162" s="594"/>
      <c r="D162" s="594"/>
      <c r="E162" s="594"/>
      <c r="F162" s="594"/>
      <c r="G162" s="594"/>
      <c r="H162" s="594"/>
      <c r="I162" s="594"/>
      <c r="J162" s="594"/>
      <c r="K162" s="594"/>
      <c r="L162" s="594"/>
      <c r="M162" s="594"/>
      <c r="N162" s="594"/>
      <c r="O162" s="594"/>
      <c r="P162" s="594"/>
      <c r="Q162" s="594"/>
      <c r="R162" s="594"/>
      <c r="S162" s="594"/>
      <c r="T162" s="594"/>
      <c r="U162" s="594"/>
      <c r="V162" s="594"/>
      <c r="W162" s="594"/>
      <c r="X162" s="594"/>
      <c r="Y162" s="594"/>
      <c r="Z162" s="594"/>
    </row>
    <row r="163" spans="1:26" s="203" customFormat="1" ht="13.5" thickBot="1" x14ac:dyDescent="0.25">
      <c r="A163" s="594"/>
      <c r="B163" s="594"/>
      <c r="C163" s="594"/>
      <c r="D163" s="594"/>
      <c r="E163" s="594"/>
      <c r="F163" s="594"/>
      <c r="G163" s="594"/>
      <c r="H163" s="594"/>
      <c r="I163" s="594"/>
      <c r="J163" s="594"/>
      <c r="K163" s="594"/>
      <c r="L163" s="594"/>
      <c r="M163" s="594"/>
      <c r="N163" s="594"/>
      <c r="O163" s="594"/>
      <c r="P163" s="594"/>
      <c r="Q163" s="594"/>
      <c r="R163" s="594"/>
      <c r="S163" s="594"/>
      <c r="T163" s="594"/>
      <c r="U163" s="594"/>
      <c r="V163" s="594"/>
      <c r="W163" s="594"/>
      <c r="X163" s="594"/>
      <c r="Y163" s="594"/>
      <c r="Z163" s="594"/>
    </row>
    <row r="164" spans="1:26" s="202" customFormat="1" x14ac:dyDescent="0.2">
      <c r="A164" s="594"/>
      <c r="B164" s="594"/>
      <c r="C164" s="594"/>
      <c r="D164" s="594"/>
      <c r="E164" s="594"/>
      <c r="F164" s="594"/>
      <c r="G164" s="594"/>
      <c r="H164" s="594"/>
      <c r="I164" s="594"/>
      <c r="J164" s="594"/>
      <c r="K164" s="594"/>
      <c r="L164" s="594"/>
      <c r="M164" s="594"/>
      <c r="N164" s="594"/>
      <c r="O164" s="594"/>
      <c r="P164" s="594"/>
      <c r="Q164" s="594"/>
      <c r="R164" s="594"/>
      <c r="S164" s="594"/>
      <c r="T164" s="594"/>
      <c r="U164" s="594"/>
      <c r="V164" s="594"/>
      <c r="W164" s="594"/>
      <c r="X164" s="594"/>
      <c r="Y164" s="594"/>
      <c r="Z164" s="594"/>
    </row>
    <row r="165" spans="1:26" x14ac:dyDescent="0.2">
      <c r="A165" s="594"/>
      <c r="B165" s="594"/>
      <c r="C165" s="594"/>
      <c r="D165" s="594"/>
      <c r="E165" s="594"/>
      <c r="F165" s="594"/>
      <c r="G165" s="594"/>
      <c r="H165" s="594"/>
      <c r="I165" s="594"/>
      <c r="J165" s="594"/>
      <c r="K165" s="594"/>
      <c r="L165" s="594"/>
      <c r="M165" s="594"/>
      <c r="N165" s="594"/>
      <c r="O165" s="594"/>
      <c r="P165" s="594"/>
      <c r="Q165" s="594"/>
      <c r="R165" s="594"/>
      <c r="S165" s="594"/>
      <c r="T165" s="594"/>
      <c r="U165" s="594"/>
      <c r="V165" s="594"/>
      <c r="W165" s="594"/>
      <c r="X165" s="594"/>
      <c r="Y165" s="594"/>
      <c r="Z165" s="594"/>
    </row>
    <row r="166" spans="1:26" s="203" customFormat="1" ht="13.5" thickBot="1" x14ac:dyDescent="0.25">
      <c r="A166" s="594"/>
      <c r="B166" s="594"/>
      <c r="C166" s="594"/>
      <c r="D166" s="594"/>
      <c r="E166" s="594"/>
      <c r="F166" s="594"/>
      <c r="G166" s="594"/>
      <c r="H166" s="594"/>
      <c r="I166" s="594"/>
      <c r="J166" s="594"/>
      <c r="K166" s="594"/>
      <c r="L166" s="594"/>
      <c r="M166" s="594"/>
      <c r="N166" s="594"/>
      <c r="O166" s="594"/>
      <c r="P166" s="594"/>
      <c r="Q166" s="594"/>
      <c r="R166" s="594"/>
      <c r="S166" s="594"/>
      <c r="T166" s="594"/>
      <c r="U166" s="594"/>
      <c r="V166" s="594"/>
      <c r="W166" s="594"/>
      <c r="X166" s="594"/>
      <c r="Y166" s="594"/>
      <c r="Z166" s="594"/>
    </row>
    <row r="167" spans="1:26" s="202" customFormat="1" x14ac:dyDescent="0.2">
      <c r="A167" s="594"/>
      <c r="B167" s="594"/>
      <c r="C167" s="594"/>
      <c r="D167" s="594"/>
      <c r="E167" s="594"/>
      <c r="F167" s="594"/>
      <c r="G167" s="594"/>
      <c r="H167" s="594"/>
      <c r="I167" s="594"/>
      <c r="J167" s="594"/>
      <c r="K167" s="594"/>
      <c r="L167" s="594"/>
      <c r="M167" s="594"/>
      <c r="N167" s="594"/>
      <c r="O167" s="594"/>
      <c r="P167" s="594"/>
      <c r="Q167" s="594"/>
      <c r="R167" s="594"/>
      <c r="S167" s="594"/>
      <c r="T167" s="594"/>
      <c r="U167" s="594"/>
      <c r="V167" s="594"/>
      <c r="W167" s="594"/>
      <c r="X167" s="594"/>
      <c r="Y167" s="594"/>
      <c r="Z167" s="594"/>
    </row>
    <row r="168" spans="1:26" x14ac:dyDescent="0.2">
      <c r="A168" s="594"/>
      <c r="B168" s="594"/>
      <c r="C168" s="594"/>
      <c r="D168" s="594"/>
      <c r="E168" s="594"/>
      <c r="F168" s="594"/>
      <c r="G168" s="594"/>
      <c r="H168" s="594"/>
      <c r="I168" s="594"/>
      <c r="J168" s="594"/>
      <c r="K168" s="594"/>
      <c r="L168" s="594"/>
      <c r="M168" s="594"/>
      <c r="N168" s="594"/>
      <c r="O168" s="594"/>
      <c r="P168" s="594"/>
      <c r="Q168" s="594"/>
      <c r="R168" s="594"/>
      <c r="S168" s="594"/>
      <c r="T168" s="594"/>
      <c r="U168" s="594"/>
      <c r="V168" s="594"/>
      <c r="W168" s="594"/>
      <c r="X168" s="594"/>
      <c r="Y168" s="594"/>
      <c r="Z168" s="594"/>
    </row>
    <row r="169" spans="1:26" s="203" customFormat="1" x14ac:dyDescent="0.2">
      <c r="A169" s="594"/>
      <c r="B169" s="594"/>
      <c r="C169" s="594"/>
      <c r="D169" s="594"/>
      <c r="E169" s="594"/>
      <c r="F169" s="594"/>
      <c r="G169" s="594"/>
      <c r="H169" s="594"/>
      <c r="I169" s="594"/>
      <c r="J169" s="594"/>
      <c r="K169" s="594"/>
      <c r="L169" s="594"/>
      <c r="M169" s="594"/>
      <c r="N169" s="594"/>
      <c r="O169" s="594"/>
      <c r="P169" s="594"/>
      <c r="Q169" s="594"/>
      <c r="R169" s="594"/>
      <c r="S169" s="594"/>
      <c r="T169" s="594"/>
      <c r="U169" s="594"/>
      <c r="V169" s="594"/>
      <c r="W169" s="594"/>
      <c r="X169" s="594"/>
      <c r="Y169" s="594"/>
      <c r="Z169" s="594"/>
    </row>
    <row r="170" spans="1:26" s="202" customFormat="1" ht="13.5" thickBot="1" x14ac:dyDescent="0.25">
      <c r="A170" s="594"/>
      <c r="B170" s="594"/>
      <c r="C170" s="594"/>
      <c r="D170" s="594"/>
      <c r="E170" s="594"/>
      <c r="F170" s="594"/>
      <c r="G170" s="594"/>
      <c r="H170" s="594"/>
      <c r="I170" s="594"/>
      <c r="J170" s="594"/>
      <c r="K170" s="594"/>
      <c r="L170" s="594"/>
      <c r="M170" s="594"/>
      <c r="N170" s="594"/>
      <c r="O170" s="594"/>
      <c r="P170" s="594"/>
      <c r="Q170" s="594"/>
      <c r="R170" s="594"/>
      <c r="S170" s="594"/>
      <c r="T170" s="594"/>
      <c r="U170" s="594"/>
      <c r="V170" s="594"/>
      <c r="W170" s="594"/>
      <c r="X170" s="594"/>
      <c r="Y170" s="594"/>
      <c r="Z170" s="594"/>
    </row>
    <row r="171" spans="1:26" x14ac:dyDescent="0.2">
      <c r="A171" s="594"/>
      <c r="B171" s="594"/>
      <c r="C171" s="594"/>
      <c r="D171" s="594"/>
      <c r="E171" s="594"/>
      <c r="F171" s="594"/>
      <c r="G171" s="594"/>
      <c r="H171" s="594"/>
      <c r="I171" s="594"/>
      <c r="J171" s="594"/>
      <c r="K171" s="594"/>
      <c r="L171" s="594"/>
      <c r="M171" s="594"/>
      <c r="N171" s="594"/>
      <c r="O171" s="594"/>
      <c r="P171" s="594"/>
      <c r="Q171" s="594"/>
      <c r="R171" s="594"/>
      <c r="S171" s="594"/>
      <c r="T171" s="594"/>
      <c r="U171" s="594"/>
      <c r="V171" s="594"/>
      <c r="W171" s="594"/>
      <c r="X171" s="594"/>
      <c r="Y171" s="594"/>
      <c r="Z171" s="594"/>
    </row>
    <row r="172" spans="1:26" s="203" customFormat="1" x14ac:dyDescent="0.2">
      <c r="A172" s="594"/>
      <c r="B172" s="594"/>
      <c r="C172" s="594"/>
      <c r="D172" s="594"/>
      <c r="E172" s="594"/>
      <c r="F172" s="594"/>
      <c r="G172" s="594"/>
      <c r="H172" s="594"/>
      <c r="I172" s="594"/>
      <c r="J172" s="594"/>
      <c r="K172" s="594"/>
      <c r="L172" s="594"/>
      <c r="M172" s="594"/>
      <c r="N172" s="594"/>
      <c r="O172" s="594"/>
      <c r="P172" s="594"/>
      <c r="Q172" s="594"/>
      <c r="R172" s="594"/>
      <c r="S172" s="594"/>
      <c r="T172" s="594"/>
      <c r="U172" s="594"/>
      <c r="V172" s="594"/>
      <c r="W172" s="594"/>
      <c r="X172" s="594"/>
      <c r="Y172" s="594"/>
      <c r="Z172" s="594"/>
    </row>
    <row r="173" spans="1:26" s="202" customFormat="1" x14ac:dyDescent="0.2">
      <c r="A173" s="594"/>
      <c r="B173" s="594"/>
      <c r="C173" s="594"/>
      <c r="D173" s="594"/>
      <c r="E173" s="594"/>
      <c r="F173" s="594"/>
      <c r="G173" s="594"/>
      <c r="H173" s="594"/>
      <c r="I173" s="594"/>
      <c r="J173" s="594"/>
      <c r="K173" s="594"/>
      <c r="L173" s="594"/>
      <c r="M173" s="594"/>
      <c r="N173" s="594"/>
      <c r="O173" s="594"/>
      <c r="P173" s="594"/>
      <c r="Q173" s="594"/>
      <c r="R173" s="594"/>
      <c r="S173" s="594"/>
      <c r="T173" s="594"/>
      <c r="U173" s="594"/>
      <c r="V173" s="594"/>
      <c r="W173" s="594"/>
      <c r="X173" s="594"/>
      <c r="Y173" s="594"/>
      <c r="Z173" s="594"/>
    </row>
    <row r="174" spans="1:26" ht="13.5" thickBot="1" x14ac:dyDescent="0.25">
      <c r="A174" s="594"/>
      <c r="B174" s="594"/>
      <c r="C174" s="594"/>
      <c r="D174" s="594"/>
      <c r="E174" s="594"/>
      <c r="F174" s="594"/>
      <c r="G174" s="594"/>
      <c r="H174" s="594"/>
      <c r="I174" s="594"/>
      <c r="J174" s="594"/>
      <c r="K174" s="594"/>
      <c r="L174" s="594"/>
      <c r="M174" s="594"/>
      <c r="N174" s="594"/>
      <c r="O174" s="594"/>
      <c r="P174" s="594"/>
      <c r="Q174" s="594"/>
      <c r="R174" s="594"/>
      <c r="S174" s="594"/>
      <c r="T174" s="594"/>
      <c r="U174" s="594"/>
      <c r="V174" s="594"/>
      <c r="W174" s="594"/>
      <c r="X174" s="594"/>
      <c r="Y174" s="594"/>
      <c r="Z174" s="594"/>
    </row>
    <row r="175" spans="1:26" s="203" customFormat="1" ht="13.5" thickBot="1" x14ac:dyDescent="0.25">
      <c r="A175" s="594"/>
      <c r="B175" s="594"/>
      <c r="C175" s="594"/>
      <c r="D175" s="594"/>
      <c r="E175" s="594"/>
      <c r="F175" s="594"/>
      <c r="G175" s="594"/>
      <c r="H175" s="594"/>
      <c r="I175" s="594"/>
      <c r="J175" s="594"/>
      <c r="K175" s="594"/>
      <c r="L175" s="594"/>
      <c r="M175" s="594"/>
      <c r="N175" s="594"/>
      <c r="O175" s="594"/>
      <c r="P175" s="594"/>
      <c r="Q175" s="594"/>
      <c r="R175" s="594"/>
      <c r="S175" s="594"/>
      <c r="T175" s="594"/>
      <c r="U175" s="594"/>
      <c r="V175" s="594"/>
      <c r="W175" s="594"/>
      <c r="X175" s="594"/>
      <c r="Y175" s="594"/>
      <c r="Z175" s="594"/>
    </row>
    <row r="176" spans="1:26" s="202" customFormat="1" x14ac:dyDescent="0.2">
      <c r="A176" s="594"/>
      <c r="B176" s="594"/>
      <c r="C176" s="594"/>
      <c r="D176" s="594"/>
      <c r="E176" s="594"/>
      <c r="F176" s="594"/>
      <c r="G176" s="594"/>
      <c r="H176" s="594"/>
      <c r="I176" s="594"/>
      <c r="J176" s="594"/>
      <c r="K176" s="594"/>
      <c r="L176" s="594"/>
      <c r="M176" s="594"/>
      <c r="N176" s="594"/>
      <c r="O176" s="594"/>
      <c r="P176" s="594"/>
      <c r="Q176" s="594"/>
      <c r="R176" s="594"/>
      <c r="S176" s="594"/>
      <c r="T176" s="594"/>
      <c r="U176" s="594"/>
      <c r="V176" s="594"/>
      <c r="W176" s="594"/>
      <c r="X176" s="594"/>
      <c r="Y176" s="594"/>
      <c r="Z176" s="594"/>
    </row>
    <row r="177" spans="1:26" x14ac:dyDescent="0.2">
      <c r="A177" s="594"/>
      <c r="B177" s="594"/>
      <c r="C177" s="594"/>
      <c r="D177" s="594"/>
      <c r="E177" s="594"/>
      <c r="F177" s="594"/>
      <c r="G177" s="594"/>
      <c r="H177" s="594"/>
      <c r="I177" s="594"/>
      <c r="J177" s="594"/>
      <c r="K177" s="594"/>
      <c r="L177" s="594"/>
      <c r="M177" s="594"/>
      <c r="N177" s="594"/>
      <c r="O177" s="594"/>
      <c r="P177" s="594"/>
      <c r="Q177" s="594"/>
      <c r="R177" s="594"/>
      <c r="S177" s="594"/>
      <c r="T177" s="594"/>
      <c r="U177" s="594"/>
      <c r="V177" s="594"/>
      <c r="W177" s="594"/>
      <c r="X177" s="594"/>
      <c r="Y177" s="594"/>
      <c r="Z177" s="594"/>
    </row>
    <row r="178" spans="1:26" s="203" customFormat="1" ht="13.5" thickBot="1" x14ac:dyDescent="0.25">
      <c r="A178" s="594"/>
      <c r="B178" s="594"/>
      <c r="C178" s="594"/>
      <c r="D178" s="594"/>
      <c r="E178" s="594"/>
      <c r="F178" s="594"/>
      <c r="G178" s="594"/>
      <c r="H178" s="594"/>
      <c r="I178" s="594"/>
      <c r="J178" s="594"/>
      <c r="K178" s="594"/>
      <c r="L178" s="594"/>
      <c r="M178" s="594"/>
      <c r="N178" s="594"/>
      <c r="O178" s="594"/>
      <c r="P178" s="594"/>
      <c r="Q178" s="594"/>
      <c r="R178" s="594"/>
      <c r="S178" s="594"/>
      <c r="T178" s="594"/>
      <c r="U178" s="594"/>
      <c r="V178" s="594"/>
      <c r="W178" s="594"/>
      <c r="X178" s="594"/>
      <c r="Y178" s="594"/>
      <c r="Z178" s="594"/>
    </row>
    <row r="179" spans="1:26" s="202" customFormat="1" x14ac:dyDescent="0.2">
      <c r="A179" s="594"/>
      <c r="B179" s="594"/>
      <c r="C179" s="594"/>
      <c r="D179" s="594"/>
      <c r="E179" s="594"/>
      <c r="F179" s="594"/>
      <c r="G179" s="594"/>
      <c r="H179" s="594"/>
      <c r="I179" s="594"/>
      <c r="J179" s="594"/>
      <c r="K179" s="594"/>
      <c r="L179" s="594"/>
      <c r="M179" s="594"/>
      <c r="N179" s="594"/>
      <c r="O179" s="594"/>
      <c r="P179" s="594"/>
      <c r="Q179" s="594"/>
      <c r="R179" s="594"/>
      <c r="S179" s="594"/>
      <c r="T179" s="594"/>
      <c r="U179" s="594"/>
      <c r="V179" s="594"/>
      <c r="W179" s="594"/>
      <c r="X179" s="594"/>
      <c r="Y179" s="594"/>
      <c r="Z179" s="594"/>
    </row>
    <row r="180" spans="1:26" ht="13.5" thickBot="1" x14ac:dyDescent="0.25">
      <c r="A180" s="594"/>
      <c r="B180" s="594"/>
      <c r="C180" s="594"/>
      <c r="D180" s="594"/>
      <c r="E180" s="594"/>
      <c r="F180" s="594"/>
      <c r="G180" s="594"/>
      <c r="H180" s="594"/>
      <c r="I180" s="594"/>
      <c r="J180" s="594"/>
      <c r="K180" s="594"/>
      <c r="L180" s="594"/>
      <c r="M180" s="594"/>
      <c r="N180" s="594"/>
      <c r="O180" s="594"/>
      <c r="P180" s="594"/>
      <c r="Q180" s="594"/>
      <c r="R180" s="594"/>
      <c r="S180" s="594"/>
      <c r="T180" s="594"/>
      <c r="U180" s="594"/>
      <c r="V180" s="594"/>
      <c r="W180" s="594"/>
      <c r="X180" s="594"/>
      <c r="Y180" s="594"/>
      <c r="Z180" s="594"/>
    </row>
    <row r="181" spans="1:26" s="203" customFormat="1" x14ac:dyDescent="0.2">
      <c r="A181" s="594"/>
      <c r="B181" s="594"/>
      <c r="C181" s="594"/>
      <c r="D181" s="594"/>
      <c r="E181" s="594"/>
      <c r="F181" s="594"/>
      <c r="G181" s="594"/>
      <c r="H181" s="594"/>
      <c r="I181" s="594"/>
      <c r="J181" s="594"/>
      <c r="K181" s="594"/>
      <c r="L181" s="594"/>
      <c r="M181" s="594"/>
      <c r="N181" s="594"/>
      <c r="O181" s="594"/>
      <c r="P181" s="594"/>
      <c r="Q181" s="594"/>
      <c r="R181" s="594"/>
      <c r="S181" s="594"/>
      <c r="T181" s="594"/>
      <c r="U181" s="594"/>
      <c r="V181" s="594"/>
      <c r="W181" s="594"/>
      <c r="X181" s="594"/>
      <c r="Y181" s="594"/>
      <c r="Z181" s="594"/>
    </row>
    <row r="182" spans="1:26" s="202" customFormat="1" x14ac:dyDescent="0.2">
      <c r="A182" s="594"/>
      <c r="B182" s="594"/>
      <c r="C182" s="594"/>
      <c r="D182" s="594"/>
      <c r="E182" s="594"/>
      <c r="F182" s="594"/>
      <c r="G182" s="594"/>
      <c r="H182" s="594"/>
      <c r="I182" s="594"/>
      <c r="J182" s="594"/>
      <c r="K182" s="594"/>
      <c r="L182" s="594"/>
      <c r="M182" s="594"/>
      <c r="N182" s="594"/>
      <c r="O182" s="594"/>
      <c r="P182" s="594"/>
      <c r="Q182" s="594"/>
      <c r="R182" s="594"/>
      <c r="S182" s="594"/>
      <c r="T182" s="594"/>
      <c r="U182" s="594"/>
      <c r="V182" s="594"/>
      <c r="W182" s="594"/>
      <c r="X182" s="594"/>
      <c r="Y182" s="594"/>
      <c r="Z182" s="594"/>
    </row>
    <row r="183" spans="1:26" ht="13.5" thickBot="1" x14ac:dyDescent="0.25">
      <c r="A183" s="594"/>
      <c r="B183" s="594"/>
      <c r="C183" s="594"/>
      <c r="D183" s="594"/>
      <c r="E183" s="594"/>
      <c r="F183" s="594"/>
      <c r="G183" s="594"/>
      <c r="H183" s="594"/>
      <c r="I183" s="594"/>
      <c r="J183" s="594"/>
      <c r="K183" s="594"/>
      <c r="L183" s="594"/>
      <c r="M183" s="594"/>
      <c r="N183" s="594"/>
      <c r="O183" s="594"/>
      <c r="P183" s="594"/>
      <c r="Q183" s="594"/>
      <c r="R183" s="594"/>
      <c r="S183" s="594"/>
      <c r="T183" s="594"/>
      <c r="U183" s="594"/>
      <c r="V183" s="594"/>
      <c r="W183" s="594"/>
      <c r="X183" s="594"/>
      <c r="Y183" s="594"/>
      <c r="Z183" s="594"/>
    </row>
    <row r="184" spans="1:26" s="203" customFormat="1" x14ac:dyDescent="0.2">
      <c r="A184" s="594"/>
      <c r="B184" s="594"/>
      <c r="C184" s="594"/>
      <c r="D184" s="594"/>
      <c r="E184" s="594"/>
      <c r="F184" s="594"/>
      <c r="G184" s="594"/>
      <c r="H184" s="594"/>
      <c r="I184" s="594"/>
      <c r="J184" s="594"/>
      <c r="K184" s="594"/>
      <c r="L184" s="594"/>
      <c r="M184" s="594"/>
      <c r="N184" s="594"/>
      <c r="O184" s="594"/>
      <c r="P184" s="594"/>
      <c r="Q184" s="594"/>
      <c r="R184" s="594"/>
      <c r="S184" s="594"/>
      <c r="T184" s="594"/>
      <c r="U184" s="594"/>
      <c r="V184" s="594"/>
      <c r="W184" s="594"/>
      <c r="X184" s="594"/>
      <c r="Y184" s="594"/>
      <c r="Z184" s="594"/>
    </row>
    <row r="185" spans="1:26" s="202" customFormat="1" x14ac:dyDescent="0.2">
      <c r="A185" s="594"/>
      <c r="B185" s="594"/>
      <c r="C185" s="594"/>
      <c r="D185" s="594"/>
      <c r="E185" s="594"/>
      <c r="F185" s="594"/>
      <c r="G185" s="594"/>
      <c r="H185" s="594"/>
      <c r="I185" s="594"/>
      <c r="J185" s="594"/>
      <c r="K185" s="594"/>
      <c r="L185" s="594"/>
      <c r="M185" s="594"/>
      <c r="N185" s="594"/>
      <c r="O185" s="594"/>
      <c r="P185" s="594"/>
      <c r="Q185" s="594"/>
      <c r="R185" s="594"/>
      <c r="S185" s="594"/>
      <c r="T185" s="594"/>
      <c r="U185" s="594"/>
      <c r="V185" s="594"/>
      <c r="W185" s="594"/>
      <c r="X185" s="594"/>
      <c r="Y185" s="594"/>
      <c r="Z185" s="594"/>
    </row>
    <row r="186" spans="1:26" ht="13.5" thickBot="1" x14ac:dyDescent="0.25">
      <c r="A186" s="594"/>
      <c r="B186" s="594"/>
      <c r="C186" s="594"/>
      <c r="D186" s="594"/>
      <c r="E186" s="594"/>
      <c r="F186" s="594"/>
      <c r="G186" s="594"/>
      <c r="H186" s="594"/>
      <c r="I186" s="594"/>
      <c r="J186" s="594"/>
      <c r="K186" s="594"/>
      <c r="L186" s="594"/>
      <c r="M186" s="594"/>
      <c r="N186" s="594"/>
      <c r="O186" s="594"/>
      <c r="P186" s="594"/>
      <c r="Q186" s="594"/>
      <c r="R186" s="594"/>
      <c r="S186" s="594"/>
      <c r="T186" s="594"/>
      <c r="U186" s="594"/>
      <c r="V186" s="594"/>
      <c r="W186" s="594"/>
      <c r="X186" s="594"/>
      <c r="Y186" s="594"/>
      <c r="Z186" s="594"/>
    </row>
    <row r="187" spans="1:26" s="203" customFormat="1" x14ac:dyDescent="0.2">
      <c r="A187" s="594"/>
      <c r="B187" s="594"/>
      <c r="C187" s="594"/>
      <c r="D187" s="594"/>
      <c r="E187" s="594"/>
      <c r="F187" s="594"/>
      <c r="G187" s="594"/>
      <c r="H187" s="594"/>
      <c r="I187" s="594"/>
      <c r="J187" s="594"/>
      <c r="K187" s="594"/>
      <c r="L187" s="594"/>
      <c r="M187" s="594"/>
      <c r="N187" s="594"/>
      <c r="O187" s="594"/>
      <c r="P187" s="594"/>
      <c r="Q187" s="594"/>
      <c r="R187" s="594"/>
      <c r="S187" s="594"/>
      <c r="T187" s="594"/>
      <c r="U187" s="594"/>
      <c r="V187" s="594"/>
      <c r="W187" s="594"/>
      <c r="X187" s="594"/>
      <c r="Y187" s="594"/>
      <c r="Z187" s="594"/>
    </row>
    <row r="188" spans="1:26" s="202" customFormat="1" ht="13.5" thickBot="1" x14ac:dyDescent="0.25">
      <c r="A188" s="594"/>
      <c r="B188" s="594"/>
      <c r="C188" s="594"/>
      <c r="D188" s="594"/>
      <c r="E188" s="594"/>
      <c r="F188" s="594"/>
      <c r="G188" s="594"/>
      <c r="H188" s="594"/>
      <c r="I188" s="594"/>
      <c r="J188" s="594"/>
      <c r="K188" s="594"/>
      <c r="L188" s="594"/>
      <c r="M188" s="594"/>
      <c r="N188" s="594"/>
      <c r="O188" s="594"/>
      <c r="P188" s="594"/>
      <c r="Q188" s="594"/>
      <c r="R188" s="594"/>
      <c r="S188" s="594"/>
      <c r="T188" s="594"/>
      <c r="U188" s="594"/>
      <c r="V188" s="594"/>
      <c r="W188" s="594"/>
      <c r="X188" s="594"/>
      <c r="Y188" s="594"/>
      <c r="Z188" s="594"/>
    </row>
    <row r="189" spans="1:26" ht="13.5" thickBot="1" x14ac:dyDescent="0.25">
      <c r="A189" s="594"/>
      <c r="B189" s="594"/>
      <c r="C189" s="594"/>
      <c r="D189" s="594"/>
      <c r="E189" s="594"/>
      <c r="F189" s="594"/>
      <c r="G189" s="594"/>
      <c r="H189" s="594"/>
      <c r="I189" s="594"/>
      <c r="J189" s="594"/>
      <c r="K189" s="594"/>
      <c r="L189" s="594"/>
      <c r="M189" s="594"/>
      <c r="N189" s="594"/>
      <c r="O189" s="594"/>
      <c r="P189" s="594"/>
      <c r="Q189" s="594"/>
      <c r="R189" s="594"/>
      <c r="S189" s="594"/>
      <c r="T189" s="594"/>
      <c r="U189" s="594"/>
      <c r="V189" s="594"/>
      <c r="W189" s="594"/>
      <c r="X189" s="594"/>
      <c r="Y189" s="594"/>
      <c r="Z189" s="594"/>
    </row>
    <row r="190" spans="1:26" s="203" customFormat="1" x14ac:dyDescent="0.2">
      <c r="A190" s="594"/>
      <c r="B190" s="594"/>
      <c r="C190" s="594"/>
      <c r="D190" s="594"/>
      <c r="E190" s="594"/>
      <c r="F190" s="594"/>
      <c r="G190" s="594"/>
      <c r="H190" s="594"/>
      <c r="I190" s="594"/>
      <c r="J190" s="594"/>
      <c r="K190" s="594"/>
      <c r="L190" s="594"/>
      <c r="M190" s="594"/>
      <c r="N190" s="594"/>
      <c r="O190" s="594"/>
      <c r="P190" s="594"/>
      <c r="Q190" s="594"/>
      <c r="R190" s="594"/>
      <c r="S190" s="594"/>
      <c r="T190" s="594"/>
      <c r="U190" s="594"/>
      <c r="V190" s="594"/>
      <c r="W190" s="594"/>
      <c r="X190" s="594"/>
      <c r="Y190" s="594"/>
      <c r="Z190" s="594"/>
    </row>
    <row r="191" spans="1:26" s="202" customFormat="1" x14ac:dyDescent="0.2">
      <c r="A191" s="594"/>
      <c r="B191" s="594"/>
      <c r="C191" s="594"/>
      <c r="D191" s="594"/>
      <c r="E191" s="594"/>
      <c r="F191" s="594"/>
      <c r="G191" s="594"/>
      <c r="H191" s="594"/>
      <c r="I191" s="594"/>
      <c r="J191" s="594"/>
      <c r="K191" s="594"/>
      <c r="L191" s="594"/>
      <c r="M191" s="594"/>
      <c r="N191" s="594"/>
      <c r="O191" s="594"/>
      <c r="P191" s="594"/>
      <c r="Q191" s="594"/>
      <c r="R191" s="594"/>
      <c r="S191" s="594"/>
      <c r="T191" s="594"/>
      <c r="U191" s="594"/>
      <c r="V191" s="594"/>
      <c r="W191" s="594"/>
      <c r="X191" s="594"/>
      <c r="Y191" s="594"/>
      <c r="Z191" s="594"/>
    </row>
    <row r="192" spans="1:26" ht="13.5" thickBot="1" x14ac:dyDescent="0.25">
      <c r="A192" s="594"/>
      <c r="B192" s="594"/>
      <c r="C192" s="594"/>
      <c r="D192" s="594"/>
      <c r="E192" s="594"/>
      <c r="F192" s="594"/>
      <c r="G192" s="594"/>
      <c r="H192" s="594"/>
      <c r="I192" s="594"/>
      <c r="J192" s="594"/>
      <c r="K192" s="594"/>
      <c r="L192" s="594"/>
      <c r="M192" s="594"/>
      <c r="N192" s="594"/>
      <c r="O192" s="594"/>
      <c r="P192" s="594"/>
      <c r="Q192" s="594"/>
      <c r="R192" s="594"/>
      <c r="S192" s="594"/>
      <c r="T192" s="594"/>
      <c r="U192" s="594"/>
      <c r="V192" s="594"/>
      <c r="W192" s="594"/>
      <c r="X192" s="594"/>
      <c r="Y192" s="594"/>
      <c r="Z192" s="594"/>
    </row>
    <row r="193" spans="1:26" s="203" customFormat="1" x14ac:dyDescent="0.2">
      <c r="A193" s="594"/>
      <c r="B193" s="594"/>
      <c r="C193" s="594"/>
      <c r="D193" s="594"/>
      <c r="E193" s="594"/>
      <c r="F193" s="594"/>
      <c r="G193" s="594"/>
      <c r="H193" s="594"/>
      <c r="I193" s="594"/>
      <c r="J193" s="594"/>
      <c r="K193" s="594"/>
      <c r="L193" s="594"/>
      <c r="M193" s="594"/>
      <c r="N193" s="594"/>
      <c r="O193" s="594"/>
      <c r="P193" s="594"/>
      <c r="Q193" s="594"/>
      <c r="R193" s="594"/>
      <c r="S193" s="594"/>
      <c r="T193" s="594"/>
      <c r="U193" s="594"/>
      <c r="V193" s="594"/>
      <c r="W193" s="594"/>
      <c r="X193" s="594"/>
      <c r="Y193" s="594"/>
      <c r="Z193" s="594"/>
    </row>
    <row r="194" spans="1:26" s="202" customFormat="1" ht="13.5" thickBot="1" x14ac:dyDescent="0.25">
      <c r="A194" s="594"/>
      <c r="B194" s="594"/>
      <c r="C194" s="594"/>
      <c r="D194" s="594"/>
      <c r="E194" s="594"/>
      <c r="F194" s="594"/>
      <c r="G194" s="594"/>
      <c r="H194" s="594"/>
      <c r="I194" s="594"/>
      <c r="J194" s="594"/>
      <c r="K194" s="594"/>
      <c r="L194" s="594"/>
      <c r="M194" s="594"/>
      <c r="N194" s="594"/>
      <c r="O194" s="594"/>
      <c r="P194" s="594"/>
      <c r="Q194" s="594"/>
      <c r="R194" s="594"/>
      <c r="S194" s="594"/>
      <c r="T194" s="594"/>
      <c r="U194" s="594"/>
      <c r="V194" s="594"/>
      <c r="W194" s="594"/>
      <c r="X194" s="594"/>
      <c r="Y194" s="594"/>
      <c r="Z194" s="594"/>
    </row>
    <row r="195" spans="1:26" x14ac:dyDescent="0.2">
      <c r="A195" s="594"/>
      <c r="B195" s="594"/>
      <c r="C195" s="594"/>
      <c r="D195" s="594"/>
      <c r="E195" s="594"/>
      <c r="F195" s="594"/>
      <c r="G195" s="594"/>
      <c r="H195" s="594"/>
      <c r="I195" s="594"/>
      <c r="J195" s="594"/>
      <c r="K195" s="594"/>
      <c r="L195" s="594"/>
      <c r="M195" s="594"/>
      <c r="N195" s="594"/>
      <c r="O195" s="594"/>
      <c r="P195" s="594"/>
      <c r="Q195" s="594"/>
      <c r="R195" s="594"/>
      <c r="S195" s="594"/>
      <c r="T195" s="594"/>
      <c r="U195" s="594"/>
      <c r="V195" s="594"/>
      <c r="W195" s="594"/>
      <c r="X195" s="594"/>
      <c r="Y195" s="594"/>
      <c r="Z195" s="594"/>
    </row>
    <row r="196" spans="1:26" s="203" customFormat="1" x14ac:dyDescent="0.2">
      <c r="A196" s="594"/>
      <c r="B196" s="594"/>
      <c r="C196" s="594"/>
      <c r="D196" s="594"/>
      <c r="E196" s="594"/>
      <c r="F196" s="594"/>
      <c r="G196" s="594"/>
      <c r="H196" s="594"/>
      <c r="I196" s="594"/>
      <c r="J196" s="594"/>
      <c r="K196" s="594"/>
      <c r="L196" s="594"/>
      <c r="M196" s="594"/>
      <c r="N196" s="594"/>
      <c r="O196" s="594"/>
      <c r="P196" s="594"/>
      <c r="Q196" s="594"/>
      <c r="R196" s="594"/>
      <c r="S196" s="594"/>
      <c r="T196" s="594"/>
      <c r="U196" s="594"/>
      <c r="V196" s="594"/>
      <c r="W196" s="594"/>
      <c r="X196" s="594"/>
      <c r="Y196" s="594"/>
      <c r="Z196" s="594"/>
    </row>
    <row r="197" spans="1:26" s="202" customFormat="1" ht="13.5" thickBot="1" x14ac:dyDescent="0.25">
      <c r="A197" s="594"/>
      <c r="B197" s="594"/>
      <c r="C197" s="594"/>
      <c r="D197" s="594"/>
      <c r="E197" s="594"/>
      <c r="F197" s="594"/>
      <c r="G197" s="594"/>
      <c r="H197" s="594"/>
      <c r="I197" s="594"/>
      <c r="J197" s="594"/>
      <c r="K197" s="594"/>
      <c r="L197" s="594"/>
      <c r="M197" s="594"/>
      <c r="N197" s="594"/>
      <c r="O197" s="594"/>
      <c r="P197" s="594"/>
      <c r="Q197" s="594"/>
      <c r="R197" s="594"/>
      <c r="S197" s="594"/>
      <c r="T197" s="594"/>
      <c r="U197" s="594"/>
      <c r="V197" s="594"/>
      <c r="W197" s="594"/>
      <c r="X197" s="594"/>
      <c r="Y197" s="594"/>
      <c r="Z197" s="594"/>
    </row>
    <row r="198" spans="1:26" ht="13.5" thickBot="1" x14ac:dyDescent="0.25">
      <c r="A198" s="594"/>
      <c r="B198" s="594"/>
      <c r="C198" s="594"/>
      <c r="D198" s="594"/>
      <c r="E198" s="594"/>
      <c r="F198" s="594"/>
      <c r="G198" s="594"/>
      <c r="H198" s="594"/>
      <c r="I198" s="594"/>
      <c r="J198" s="594"/>
      <c r="K198" s="594"/>
      <c r="L198" s="594"/>
      <c r="M198" s="594"/>
      <c r="N198" s="594"/>
      <c r="O198" s="594"/>
      <c r="P198" s="594"/>
      <c r="Q198" s="594"/>
      <c r="R198" s="594"/>
      <c r="S198" s="594"/>
      <c r="T198" s="594"/>
      <c r="U198" s="594"/>
      <c r="V198" s="594"/>
      <c r="W198" s="594"/>
      <c r="X198" s="594"/>
      <c r="Y198" s="594"/>
      <c r="Z198" s="594"/>
    </row>
    <row r="199" spans="1:26" s="203" customFormat="1" x14ac:dyDescent="0.2">
      <c r="A199" s="594"/>
      <c r="B199" s="594"/>
      <c r="C199" s="594"/>
      <c r="D199" s="594"/>
      <c r="E199" s="594"/>
      <c r="F199" s="594"/>
      <c r="G199" s="594"/>
      <c r="H199" s="594"/>
      <c r="I199" s="594"/>
      <c r="J199" s="594"/>
      <c r="K199" s="594"/>
      <c r="L199" s="594"/>
      <c r="M199" s="594"/>
      <c r="N199" s="594"/>
      <c r="O199" s="594"/>
      <c r="P199" s="594"/>
      <c r="Q199" s="594"/>
      <c r="R199" s="594"/>
      <c r="S199" s="594"/>
      <c r="T199" s="594"/>
      <c r="U199" s="594"/>
      <c r="V199" s="594"/>
      <c r="W199" s="594"/>
      <c r="X199" s="594"/>
      <c r="Y199" s="594"/>
      <c r="Z199" s="594"/>
    </row>
    <row r="200" spans="1:26" s="212" customFormat="1" x14ac:dyDescent="0.2">
      <c r="A200" s="594"/>
      <c r="B200" s="594"/>
      <c r="C200" s="594"/>
      <c r="D200" s="594"/>
      <c r="E200" s="594"/>
      <c r="F200" s="594"/>
      <c r="G200" s="594"/>
      <c r="H200" s="594"/>
      <c r="I200" s="594"/>
      <c r="J200" s="594"/>
      <c r="K200" s="594"/>
      <c r="L200" s="594"/>
      <c r="M200" s="594"/>
      <c r="N200" s="594"/>
      <c r="O200" s="594"/>
      <c r="P200" s="594"/>
      <c r="Q200" s="594"/>
      <c r="R200" s="594"/>
      <c r="S200" s="594"/>
      <c r="T200" s="594"/>
      <c r="U200" s="594"/>
      <c r="V200" s="594"/>
      <c r="W200" s="594"/>
      <c r="X200" s="594"/>
      <c r="Y200" s="594"/>
      <c r="Z200" s="594"/>
    </row>
    <row r="201" spans="1:26" ht="13.5" thickBot="1" x14ac:dyDescent="0.25">
      <c r="A201" s="594"/>
      <c r="B201" s="594"/>
      <c r="C201" s="594"/>
      <c r="D201" s="594"/>
      <c r="E201" s="594"/>
      <c r="F201" s="594"/>
      <c r="G201" s="594"/>
      <c r="H201" s="594"/>
      <c r="I201" s="594"/>
      <c r="J201" s="594"/>
      <c r="K201" s="594"/>
      <c r="L201" s="594"/>
      <c r="M201" s="594"/>
      <c r="N201" s="594"/>
      <c r="O201" s="594"/>
      <c r="P201" s="594"/>
      <c r="Q201" s="594"/>
      <c r="R201" s="594"/>
      <c r="S201" s="594"/>
      <c r="T201" s="594"/>
      <c r="U201" s="594"/>
      <c r="V201" s="594"/>
      <c r="W201" s="594"/>
      <c r="X201" s="594"/>
      <c r="Y201" s="594"/>
      <c r="Z201" s="594"/>
    </row>
    <row r="202" spans="1:26" s="203" customFormat="1" x14ac:dyDescent="0.2">
      <c r="A202" s="594"/>
      <c r="B202" s="594"/>
      <c r="C202" s="594"/>
      <c r="D202" s="594"/>
      <c r="E202" s="594"/>
      <c r="F202" s="594"/>
      <c r="G202" s="594"/>
      <c r="H202" s="594"/>
      <c r="I202" s="594"/>
      <c r="J202" s="594"/>
      <c r="K202" s="594"/>
      <c r="L202" s="594"/>
      <c r="M202" s="594"/>
      <c r="N202" s="594"/>
      <c r="O202" s="594"/>
      <c r="P202" s="594"/>
      <c r="Q202" s="594"/>
      <c r="R202" s="594"/>
      <c r="S202" s="594"/>
      <c r="T202" s="594"/>
      <c r="U202" s="594"/>
      <c r="V202" s="594"/>
      <c r="W202" s="594"/>
      <c r="X202" s="594"/>
      <c r="Y202" s="594"/>
      <c r="Z202" s="594"/>
    </row>
    <row r="203" spans="1:26" s="202" customFormat="1" ht="13.5" thickBot="1" x14ac:dyDescent="0.25">
      <c r="A203" s="594"/>
      <c r="B203" s="594"/>
      <c r="C203" s="594"/>
      <c r="D203" s="594"/>
      <c r="E203" s="594"/>
      <c r="F203" s="594"/>
      <c r="G203" s="594"/>
      <c r="H203" s="594"/>
      <c r="I203" s="594"/>
      <c r="J203" s="594"/>
      <c r="K203" s="594"/>
      <c r="L203" s="594"/>
      <c r="M203" s="594"/>
      <c r="N203" s="594"/>
      <c r="O203" s="594"/>
      <c r="P203" s="594"/>
      <c r="Q203" s="594"/>
      <c r="R203" s="594"/>
      <c r="S203" s="594"/>
      <c r="T203" s="594"/>
      <c r="U203" s="594"/>
      <c r="V203" s="594"/>
      <c r="W203" s="594"/>
      <c r="X203" s="594"/>
      <c r="Y203" s="594"/>
      <c r="Z203" s="594"/>
    </row>
    <row r="204" spans="1:26" x14ac:dyDescent="0.2">
      <c r="A204" s="594"/>
      <c r="B204" s="594"/>
      <c r="C204" s="594"/>
      <c r="D204" s="594"/>
      <c r="E204" s="594"/>
      <c r="F204" s="594"/>
      <c r="G204" s="594"/>
      <c r="H204" s="594"/>
      <c r="I204" s="594"/>
      <c r="J204" s="594"/>
      <c r="K204" s="594"/>
      <c r="L204" s="594"/>
      <c r="M204" s="594"/>
      <c r="N204" s="594"/>
      <c r="O204" s="594"/>
      <c r="P204" s="594"/>
      <c r="Q204" s="594"/>
      <c r="R204" s="594"/>
      <c r="S204" s="594"/>
      <c r="T204" s="594"/>
      <c r="U204" s="594"/>
      <c r="V204" s="594"/>
      <c r="W204" s="594"/>
      <c r="X204" s="594"/>
      <c r="Y204" s="594"/>
      <c r="Z204" s="594"/>
    </row>
    <row r="205" spans="1:26" s="203" customFormat="1" x14ac:dyDescent="0.2">
      <c r="A205" s="594"/>
      <c r="B205" s="594"/>
      <c r="C205" s="594"/>
      <c r="D205" s="594"/>
      <c r="E205" s="594"/>
      <c r="F205" s="594"/>
      <c r="G205" s="594"/>
      <c r="H205" s="594"/>
      <c r="I205" s="594"/>
      <c r="J205" s="594"/>
      <c r="K205" s="594"/>
      <c r="L205" s="594"/>
      <c r="M205" s="594"/>
      <c r="N205" s="594"/>
      <c r="O205" s="594"/>
      <c r="P205" s="594"/>
      <c r="Q205" s="594"/>
      <c r="R205" s="594"/>
      <c r="S205" s="594"/>
      <c r="T205" s="594"/>
      <c r="U205" s="594"/>
      <c r="V205" s="594"/>
      <c r="W205" s="594"/>
      <c r="X205" s="594"/>
      <c r="Y205" s="594"/>
      <c r="Z205" s="594"/>
    </row>
    <row r="206" spans="1:26" s="202" customFormat="1" ht="13.5" thickBot="1" x14ac:dyDescent="0.25">
      <c r="A206" s="594"/>
      <c r="B206" s="594"/>
      <c r="C206" s="594"/>
      <c r="D206" s="594"/>
      <c r="E206" s="594"/>
      <c r="F206" s="594"/>
      <c r="G206" s="594"/>
      <c r="H206" s="594"/>
      <c r="I206" s="594"/>
      <c r="J206" s="594"/>
      <c r="K206" s="594"/>
      <c r="L206" s="594"/>
      <c r="M206" s="594"/>
      <c r="N206" s="594"/>
      <c r="O206" s="594"/>
      <c r="P206" s="594"/>
      <c r="Q206" s="594"/>
      <c r="R206" s="594"/>
      <c r="S206" s="594"/>
      <c r="T206" s="594"/>
      <c r="U206" s="594"/>
      <c r="V206" s="594"/>
      <c r="W206" s="594"/>
      <c r="X206" s="594"/>
      <c r="Y206" s="594"/>
      <c r="Z206" s="594"/>
    </row>
    <row r="207" spans="1:26" ht="13.5" thickBot="1" x14ac:dyDescent="0.25">
      <c r="A207" s="594"/>
      <c r="B207" s="594"/>
      <c r="C207" s="594"/>
      <c r="D207" s="594"/>
      <c r="E207" s="594"/>
      <c r="F207" s="594"/>
      <c r="G207" s="594"/>
      <c r="H207" s="594"/>
      <c r="I207" s="594"/>
      <c r="J207" s="594"/>
      <c r="K207" s="594"/>
      <c r="L207" s="594"/>
      <c r="M207" s="594"/>
      <c r="N207" s="594"/>
      <c r="O207" s="594"/>
      <c r="P207" s="594"/>
      <c r="Q207" s="594"/>
      <c r="R207" s="594"/>
      <c r="S207" s="594"/>
      <c r="T207" s="594"/>
      <c r="U207" s="594"/>
      <c r="V207" s="594"/>
      <c r="W207" s="594"/>
      <c r="X207" s="594"/>
      <c r="Y207" s="594"/>
      <c r="Z207" s="594"/>
    </row>
    <row r="208" spans="1:26" s="203" customFormat="1" x14ac:dyDescent="0.2">
      <c r="A208" s="594"/>
      <c r="B208" s="594"/>
      <c r="C208" s="594"/>
      <c r="D208" s="594"/>
      <c r="E208" s="594"/>
      <c r="F208" s="594"/>
      <c r="G208" s="594"/>
      <c r="H208" s="594"/>
      <c r="I208" s="594"/>
      <c r="J208" s="594"/>
      <c r="K208" s="594"/>
      <c r="L208" s="594"/>
      <c r="M208" s="594"/>
      <c r="N208" s="594"/>
      <c r="O208" s="594"/>
      <c r="P208" s="594"/>
      <c r="Q208" s="594"/>
      <c r="R208" s="594"/>
      <c r="S208" s="594"/>
      <c r="T208" s="594"/>
      <c r="U208" s="594"/>
      <c r="V208" s="594"/>
      <c r="W208" s="594"/>
      <c r="X208" s="594"/>
      <c r="Y208" s="594"/>
      <c r="Z208" s="594"/>
    </row>
    <row r="209" spans="1:26" s="202" customFormat="1" x14ac:dyDescent="0.2">
      <c r="A209" s="594"/>
      <c r="B209" s="594"/>
      <c r="C209" s="594"/>
      <c r="D209" s="594"/>
      <c r="E209" s="594"/>
      <c r="F209" s="594"/>
      <c r="G209" s="594"/>
      <c r="H209" s="594"/>
      <c r="I209" s="594"/>
      <c r="J209" s="594"/>
      <c r="K209" s="594"/>
      <c r="L209" s="594"/>
      <c r="M209" s="594"/>
      <c r="N209" s="594"/>
      <c r="O209" s="594"/>
      <c r="P209" s="594"/>
      <c r="Q209" s="594"/>
      <c r="R209" s="594"/>
      <c r="S209" s="594"/>
      <c r="T209" s="594"/>
      <c r="U209" s="594"/>
      <c r="V209" s="594"/>
      <c r="W209" s="594"/>
      <c r="X209" s="594"/>
      <c r="Y209" s="594"/>
      <c r="Z209" s="594"/>
    </row>
    <row r="210" spans="1:26" ht="13.5" thickBot="1" x14ac:dyDescent="0.25">
      <c r="A210" s="594"/>
      <c r="B210" s="594"/>
      <c r="C210" s="594"/>
      <c r="D210" s="594"/>
      <c r="E210" s="594"/>
      <c r="F210" s="594"/>
      <c r="G210" s="594"/>
      <c r="H210" s="594"/>
      <c r="I210" s="594"/>
      <c r="J210" s="594"/>
      <c r="K210" s="594"/>
      <c r="L210" s="594"/>
      <c r="M210" s="594"/>
      <c r="N210" s="594"/>
      <c r="O210" s="594"/>
      <c r="P210" s="594"/>
      <c r="Q210" s="594"/>
      <c r="R210" s="594"/>
      <c r="S210" s="594"/>
      <c r="T210" s="594"/>
      <c r="U210" s="594"/>
      <c r="V210" s="594"/>
      <c r="W210" s="594"/>
      <c r="X210" s="594"/>
      <c r="Y210" s="594"/>
      <c r="Z210" s="594"/>
    </row>
    <row r="211" spans="1:26" s="203" customFormat="1" x14ac:dyDescent="0.2">
      <c r="A211" s="594"/>
      <c r="B211" s="594"/>
      <c r="C211" s="594"/>
      <c r="D211" s="594"/>
      <c r="E211" s="594"/>
      <c r="F211" s="594"/>
      <c r="G211" s="594"/>
      <c r="H211" s="594"/>
      <c r="I211" s="594"/>
      <c r="J211" s="594"/>
      <c r="K211" s="594"/>
      <c r="L211" s="594"/>
      <c r="M211" s="594"/>
      <c r="N211" s="594"/>
      <c r="O211" s="594"/>
      <c r="P211" s="594"/>
      <c r="Q211" s="594"/>
      <c r="R211" s="594"/>
      <c r="S211" s="594"/>
      <c r="T211" s="594"/>
      <c r="U211" s="594"/>
      <c r="V211" s="594"/>
      <c r="W211" s="594"/>
      <c r="X211" s="594"/>
      <c r="Y211" s="594"/>
      <c r="Z211" s="594"/>
    </row>
    <row r="212" spans="1:26" s="202" customFormat="1" x14ac:dyDescent="0.2">
      <c r="A212" s="594"/>
      <c r="B212" s="594"/>
      <c r="C212" s="594"/>
      <c r="D212" s="594"/>
      <c r="E212" s="594"/>
      <c r="F212" s="594"/>
      <c r="G212" s="594"/>
      <c r="H212" s="594"/>
      <c r="I212" s="594"/>
      <c r="J212" s="594"/>
      <c r="K212" s="594"/>
      <c r="L212" s="594"/>
      <c r="M212" s="594"/>
      <c r="N212" s="594"/>
      <c r="O212" s="594"/>
      <c r="P212" s="594"/>
      <c r="Q212" s="594"/>
      <c r="R212" s="594"/>
      <c r="S212" s="594"/>
      <c r="T212" s="594"/>
      <c r="U212" s="594"/>
      <c r="V212" s="594"/>
      <c r="W212" s="594"/>
      <c r="X212" s="594"/>
      <c r="Y212" s="594"/>
      <c r="Z212" s="594"/>
    </row>
    <row r="213" spans="1:26" ht="13.5" thickBot="1" x14ac:dyDescent="0.25">
      <c r="A213" s="594"/>
      <c r="B213" s="594"/>
      <c r="C213" s="594"/>
      <c r="D213" s="594"/>
      <c r="E213" s="594"/>
      <c r="F213" s="594"/>
      <c r="G213" s="594"/>
      <c r="H213" s="594"/>
      <c r="I213" s="594"/>
      <c r="J213" s="594"/>
      <c r="K213" s="594"/>
      <c r="L213" s="594"/>
      <c r="M213" s="594"/>
      <c r="N213" s="594"/>
      <c r="O213" s="594"/>
      <c r="P213" s="594"/>
      <c r="Q213" s="594"/>
      <c r="R213" s="594"/>
      <c r="S213" s="594"/>
      <c r="T213" s="594"/>
      <c r="U213" s="594"/>
      <c r="V213" s="594"/>
      <c r="W213" s="594"/>
      <c r="X213" s="594"/>
      <c r="Y213" s="594"/>
      <c r="Z213" s="594"/>
    </row>
    <row r="214" spans="1:26" s="203" customFormat="1" x14ac:dyDescent="0.2">
      <c r="A214" s="594"/>
      <c r="B214" s="594"/>
      <c r="C214" s="594"/>
      <c r="D214" s="594"/>
      <c r="E214" s="594"/>
      <c r="F214" s="594"/>
      <c r="G214" s="594"/>
      <c r="H214" s="594"/>
      <c r="I214" s="594"/>
      <c r="J214" s="594"/>
      <c r="K214" s="594"/>
      <c r="L214" s="594"/>
      <c r="M214" s="594"/>
      <c r="N214" s="594"/>
      <c r="O214" s="594"/>
      <c r="P214" s="594"/>
      <c r="Q214" s="594"/>
      <c r="R214" s="594"/>
      <c r="S214" s="594"/>
      <c r="T214" s="594"/>
      <c r="U214" s="594"/>
      <c r="V214" s="594"/>
      <c r="W214" s="594"/>
      <c r="X214" s="594"/>
      <c r="Y214" s="594"/>
      <c r="Z214" s="594"/>
    </row>
    <row r="215" spans="1:26" s="202" customFormat="1" ht="13.5" thickBot="1" x14ac:dyDescent="0.25">
      <c r="A215" s="594"/>
      <c r="B215" s="594"/>
      <c r="C215" s="594"/>
      <c r="D215" s="594"/>
      <c r="E215" s="594"/>
      <c r="F215" s="594"/>
      <c r="G215" s="594"/>
      <c r="H215" s="594"/>
      <c r="I215" s="594"/>
      <c r="J215" s="594"/>
      <c r="K215" s="594"/>
      <c r="L215" s="594"/>
      <c r="M215" s="594"/>
      <c r="N215" s="594"/>
      <c r="O215" s="594"/>
      <c r="P215" s="594"/>
      <c r="Q215" s="594"/>
      <c r="R215" s="594"/>
      <c r="S215" s="594"/>
      <c r="T215" s="594"/>
      <c r="U215" s="594"/>
      <c r="V215" s="594"/>
      <c r="W215" s="594"/>
      <c r="X215" s="594"/>
      <c r="Y215" s="594"/>
      <c r="Z215" s="594"/>
    </row>
    <row r="216" spans="1:26" x14ac:dyDescent="0.2">
      <c r="A216" s="594"/>
      <c r="B216" s="594"/>
      <c r="C216" s="594"/>
      <c r="D216" s="594"/>
      <c r="E216" s="594"/>
      <c r="F216" s="594"/>
      <c r="G216" s="594"/>
      <c r="H216" s="594"/>
      <c r="I216" s="594"/>
      <c r="J216" s="594"/>
      <c r="K216" s="594"/>
      <c r="L216" s="594"/>
      <c r="M216" s="594"/>
      <c r="N216" s="594"/>
      <c r="O216" s="594"/>
      <c r="P216" s="594"/>
      <c r="Q216" s="594"/>
      <c r="R216" s="594"/>
      <c r="S216" s="594"/>
      <c r="T216" s="594"/>
      <c r="U216" s="594"/>
      <c r="V216" s="594"/>
      <c r="W216" s="594"/>
      <c r="X216" s="594"/>
      <c r="Y216" s="594"/>
      <c r="Z216" s="594"/>
    </row>
    <row r="217" spans="1:26" s="203" customFormat="1" x14ac:dyDescent="0.2">
      <c r="A217" s="594"/>
      <c r="B217" s="594"/>
      <c r="C217" s="594"/>
      <c r="D217" s="594"/>
      <c r="E217" s="594"/>
      <c r="F217" s="594"/>
      <c r="G217" s="594"/>
      <c r="H217" s="594"/>
      <c r="I217" s="594"/>
      <c r="J217" s="594"/>
      <c r="K217" s="594"/>
      <c r="L217" s="594"/>
      <c r="M217" s="594"/>
      <c r="N217" s="594"/>
      <c r="O217" s="594"/>
      <c r="P217" s="594"/>
      <c r="Q217" s="594"/>
      <c r="R217" s="594"/>
      <c r="S217" s="594"/>
      <c r="T217" s="594"/>
      <c r="U217" s="594"/>
      <c r="V217" s="594"/>
      <c r="W217" s="594"/>
      <c r="X217" s="594"/>
      <c r="Y217" s="594"/>
      <c r="Z217" s="594"/>
    </row>
    <row r="218" spans="1:26" s="202" customFormat="1" ht="13.5" thickBot="1" x14ac:dyDescent="0.25">
      <c r="A218" s="594"/>
      <c r="B218" s="594"/>
      <c r="C218" s="594"/>
      <c r="D218" s="594"/>
      <c r="E218" s="594"/>
      <c r="F218" s="594"/>
      <c r="G218" s="594"/>
      <c r="H218" s="594"/>
      <c r="I218" s="594"/>
      <c r="J218" s="594"/>
      <c r="K218" s="594"/>
      <c r="L218" s="594"/>
      <c r="M218" s="594"/>
      <c r="N218" s="594"/>
      <c r="O218" s="594"/>
      <c r="P218" s="594"/>
      <c r="Q218" s="594"/>
      <c r="R218" s="594"/>
      <c r="S218" s="594"/>
      <c r="T218" s="594"/>
      <c r="U218" s="594"/>
      <c r="V218" s="594"/>
      <c r="W218" s="594"/>
      <c r="X218" s="594"/>
      <c r="Y218" s="594"/>
      <c r="Z218" s="594"/>
    </row>
    <row r="219" spans="1:26" x14ac:dyDescent="0.2">
      <c r="A219" s="594"/>
      <c r="B219" s="594"/>
      <c r="C219" s="594"/>
      <c r="D219" s="594"/>
      <c r="E219" s="594"/>
      <c r="F219" s="594"/>
      <c r="G219" s="594"/>
      <c r="H219" s="594"/>
      <c r="I219" s="594"/>
      <c r="J219" s="594"/>
      <c r="K219" s="594"/>
      <c r="L219" s="594"/>
      <c r="M219" s="594"/>
      <c r="N219" s="594"/>
      <c r="O219" s="594"/>
      <c r="P219" s="594"/>
      <c r="Q219" s="594"/>
      <c r="R219" s="594"/>
      <c r="S219" s="594"/>
      <c r="T219" s="594"/>
      <c r="U219" s="594"/>
      <c r="V219" s="594"/>
      <c r="W219" s="594"/>
      <c r="X219" s="594"/>
      <c r="Y219" s="594"/>
      <c r="Z219" s="594"/>
    </row>
    <row r="220" spans="1:26" s="203" customFormat="1" x14ac:dyDescent="0.2">
      <c r="A220" s="594"/>
      <c r="B220" s="594"/>
      <c r="C220" s="594"/>
      <c r="D220" s="594"/>
      <c r="E220" s="594"/>
      <c r="F220" s="594"/>
      <c r="G220" s="594"/>
      <c r="H220" s="594"/>
      <c r="I220" s="594"/>
      <c r="J220" s="594"/>
      <c r="K220" s="594"/>
      <c r="L220" s="594"/>
      <c r="M220" s="594"/>
      <c r="N220" s="594"/>
      <c r="O220" s="594"/>
      <c r="P220" s="594"/>
      <c r="Q220" s="594"/>
      <c r="R220" s="594"/>
      <c r="S220" s="594"/>
      <c r="T220" s="594"/>
      <c r="U220" s="594"/>
      <c r="V220" s="594"/>
      <c r="W220" s="594"/>
      <c r="X220" s="594"/>
      <c r="Y220" s="594"/>
      <c r="Z220" s="594"/>
    </row>
    <row r="221" spans="1:26" s="202" customFormat="1" ht="13.5" thickBot="1" x14ac:dyDescent="0.25">
      <c r="A221" s="594"/>
      <c r="B221" s="594"/>
      <c r="C221" s="594"/>
      <c r="D221" s="594"/>
      <c r="E221" s="594"/>
      <c r="F221" s="594"/>
      <c r="G221" s="594"/>
      <c r="H221" s="594"/>
      <c r="I221" s="594"/>
      <c r="J221" s="594"/>
      <c r="K221" s="594"/>
      <c r="L221" s="594"/>
      <c r="M221" s="594"/>
      <c r="N221" s="594"/>
      <c r="O221" s="594"/>
      <c r="P221" s="594"/>
      <c r="Q221" s="594"/>
      <c r="R221" s="594"/>
      <c r="S221" s="594"/>
      <c r="T221" s="594"/>
      <c r="U221" s="594"/>
      <c r="V221" s="594"/>
      <c r="W221" s="594"/>
      <c r="X221" s="594"/>
      <c r="Y221" s="594"/>
      <c r="Z221" s="594"/>
    </row>
    <row r="222" spans="1:26" x14ac:dyDescent="0.2">
      <c r="A222" s="594"/>
      <c r="B222" s="594"/>
      <c r="C222" s="594"/>
      <c r="D222" s="594"/>
      <c r="E222" s="594"/>
      <c r="F222" s="594"/>
      <c r="G222" s="594"/>
      <c r="H222" s="594"/>
      <c r="I222" s="594"/>
      <c r="J222" s="594"/>
      <c r="K222" s="594"/>
      <c r="L222" s="594"/>
      <c r="M222" s="594"/>
      <c r="N222" s="594"/>
      <c r="O222" s="594"/>
      <c r="P222" s="594"/>
      <c r="Q222" s="594"/>
      <c r="R222" s="594"/>
      <c r="S222" s="594"/>
      <c r="T222" s="594"/>
      <c r="U222" s="594"/>
      <c r="V222" s="594"/>
      <c r="W222" s="594"/>
      <c r="X222" s="594"/>
      <c r="Y222" s="594"/>
      <c r="Z222" s="594"/>
    </row>
    <row r="223" spans="1:26" s="203" customFormat="1" x14ac:dyDescent="0.2">
      <c r="A223" s="594"/>
      <c r="B223" s="594"/>
      <c r="C223" s="594"/>
      <c r="D223" s="594"/>
      <c r="E223" s="594"/>
      <c r="F223" s="594"/>
      <c r="G223" s="594"/>
      <c r="H223" s="594"/>
      <c r="I223" s="594"/>
      <c r="J223" s="594"/>
      <c r="K223" s="594"/>
      <c r="L223" s="594"/>
      <c r="M223" s="594"/>
      <c r="N223" s="594"/>
      <c r="O223" s="594"/>
      <c r="P223" s="594"/>
      <c r="Q223" s="594"/>
      <c r="R223" s="594"/>
      <c r="S223" s="594"/>
      <c r="T223" s="594"/>
      <c r="U223" s="594"/>
      <c r="V223" s="594"/>
      <c r="W223" s="594"/>
      <c r="X223" s="594"/>
      <c r="Y223" s="594"/>
      <c r="Z223" s="594"/>
    </row>
    <row r="224" spans="1:26" s="202" customFormat="1" ht="13.5" thickBot="1" x14ac:dyDescent="0.25">
      <c r="A224" s="594"/>
      <c r="B224" s="594"/>
      <c r="C224" s="594"/>
      <c r="D224" s="594"/>
      <c r="E224" s="594"/>
      <c r="F224" s="594"/>
      <c r="G224" s="594"/>
      <c r="H224" s="594"/>
      <c r="I224" s="594"/>
      <c r="J224" s="594"/>
      <c r="K224" s="594"/>
      <c r="L224" s="594"/>
      <c r="M224" s="594"/>
      <c r="N224" s="594"/>
      <c r="O224" s="594"/>
      <c r="P224" s="594"/>
      <c r="Q224" s="594"/>
      <c r="R224" s="594"/>
      <c r="S224" s="594"/>
      <c r="T224" s="594"/>
      <c r="U224" s="594"/>
      <c r="V224" s="594"/>
      <c r="W224" s="594"/>
      <c r="X224" s="594"/>
      <c r="Y224" s="594"/>
      <c r="Z224" s="594"/>
    </row>
    <row r="225" spans="1:26" x14ac:dyDescent="0.2">
      <c r="A225" s="594"/>
      <c r="B225" s="594"/>
      <c r="C225" s="594"/>
      <c r="D225" s="594"/>
      <c r="E225" s="594"/>
      <c r="F225" s="594"/>
      <c r="G225" s="594"/>
      <c r="H225" s="594"/>
      <c r="I225" s="594"/>
      <c r="J225" s="594"/>
      <c r="K225" s="594"/>
      <c r="L225" s="594"/>
      <c r="M225" s="594"/>
      <c r="N225" s="594"/>
      <c r="O225" s="594"/>
      <c r="P225" s="594"/>
      <c r="Q225" s="594"/>
      <c r="R225" s="594"/>
      <c r="S225" s="594"/>
      <c r="T225" s="594"/>
      <c r="U225" s="594"/>
      <c r="V225" s="594"/>
      <c r="W225" s="594"/>
      <c r="X225" s="594"/>
      <c r="Y225" s="594"/>
      <c r="Z225" s="594"/>
    </row>
    <row r="226" spans="1:26" s="203" customFormat="1" x14ac:dyDescent="0.2">
      <c r="A226" s="594"/>
      <c r="B226" s="594"/>
      <c r="C226" s="594"/>
      <c r="D226" s="594"/>
      <c r="E226" s="594"/>
      <c r="F226" s="594"/>
      <c r="G226" s="594"/>
      <c r="H226" s="594"/>
      <c r="I226" s="594"/>
      <c r="J226" s="594"/>
      <c r="K226" s="594"/>
      <c r="L226" s="594"/>
      <c r="M226" s="594"/>
      <c r="N226" s="594"/>
      <c r="O226" s="594"/>
      <c r="P226" s="594"/>
      <c r="Q226" s="594"/>
      <c r="R226" s="594"/>
      <c r="S226" s="594"/>
      <c r="T226" s="594"/>
      <c r="U226" s="594"/>
      <c r="V226" s="594"/>
      <c r="W226" s="594"/>
      <c r="X226" s="594"/>
      <c r="Y226" s="594"/>
      <c r="Z226" s="594"/>
    </row>
    <row r="227" spans="1:26" s="202" customFormat="1" ht="13.5" thickBot="1" x14ac:dyDescent="0.25">
      <c r="A227" s="594"/>
      <c r="B227" s="594"/>
      <c r="C227" s="594"/>
      <c r="D227" s="594"/>
      <c r="E227" s="594"/>
      <c r="F227" s="594"/>
      <c r="G227" s="594"/>
      <c r="H227" s="594"/>
      <c r="I227" s="594"/>
      <c r="J227" s="594"/>
      <c r="K227" s="594"/>
      <c r="L227" s="594"/>
      <c r="M227" s="594"/>
      <c r="N227" s="594"/>
      <c r="O227" s="594"/>
      <c r="P227" s="594"/>
      <c r="Q227" s="594"/>
      <c r="R227" s="594"/>
      <c r="S227" s="594"/>
      <c r="T227" s="594"/>
      <c r="U227" s="594"/>
      <c r="V227" s="594"/>
      <c r="W227" s="594"/>
      <c r="X227" s="594"/>
      <c r="Y227" s="594"/>
      <c r="Z227" s="594"/>
    </row>
    <row r="228" spans="1:26" x14ac:dyDescent="0.2">
      <c r="A228" s="594"/>
      <c r="B228" s="594"/>
      <c r="C228" s="594"/>
      <c r="D228" s="594"/>
      <c r="E228" s="594"/>
      <c r="F228" s="594"/>
      <c r="G228" s="594"/>
      <c r="H228" s="594"/>
      <c r="I228" s="594"/>
      <c r="J228" s="594"/>
      <c r="K228" s="594"/>
      <c r="L228" s="594"/>
      <c r="M228" s="594"/>
      <c r="N228" s="594"/>
      <c r="O228" s="594"/>
      <c r="P228" s="594"/>
      <c r="Q228" s="594"/>
      <c r="R228" s="594"/>
      <c r="S228" s="594"/>
      <c r="T228" s="594"/>
      <c r="U228" s="594"/>
      <c r="V228" s="594"/>
      <c r="W228" s="594"/>
      <c r="X228" s="594"/>
      <c r="Y228" s="594"/>
      <c r="Z228" s="594"/>
    </row>
    <row r="229" spans="1:26" s="203" customFormat="1" x14ac:dyDescent="0.2">
      <c r="A229" s="594"/>
      <c r="B229" s="594"/>
      <c r="C229" s="594"/>
      <c r="D229" s="594"/>
      <c r="E229" s="594"/>
      <c r="F229" s="594"/>
      <c r="G229" s="594"/>
      <c r="H229" s="594"/>
      <c r="I229" s="594"/>
      <c r="J229" s="594"/>
      <c r="K229" s="594"/>
      <c r="L229" s="594"/>
      <c r="M229" s="594"/>
      <c r="N229" s="594"/>
      <c r="O229" s="594"/>
      <c r="P229" s="594"/>
      <c r="Q229" s="594"/>
      <c r="R229" s="594"/>
      <c r="S229" s="594"/>
      <c r="T229" s="594"/>
      <c r="U229" s="594"/>
      <c r="V229" s="594"/>
      <c r="W229" s="594"/>
      <c r="X229" s="594"/>
      <c r="Y229" s="594"/>
      <c r="Z229" s="594"/>
    </row>
    <row r="230" spans="1:26" s="202" customFormat="1" ht="13.5" thickBot="1" x14ac:dyDescent="0.25">
      <c r="A230" s="594"/>
      <c r="B230" s="594"/>
      <c r="C230" s="594"/>
      <c r="D230" s="594"/>
      <c r="E230" s="594"/>
      <c r="F230" s="594"/>
      <c r="G230" s="594"/>
      <c r="H230" s="594"/>
      <c r="I230" s="594"/>
      <c r="J230" s="594"/>
      <c r="K230" s="594"/>
      <c r="L230" s="594"/>
      <c r="M230" s="594"/>
      <c r="N230" s="594"/>
      <c r="O230" s="594"/>
      <c r="P230" s="594"/>
      <c r="Q230" s="594"/>
      <c r="R230" s="594"/>
      <c r="S230" s="594"/>
      <c r="T230" s="594"/>
      <c r="U230" s="594"/>
      <c r="V230" s="594"/>
      <c r="W230" s="594"/>
      <c r="X230" s="594"/>
      <c r="Y230" s="594"/>
      <c r="Z230" s="594"/>
    </row>
    <row r="231" spans="1:26" x14ac:dyDescent="0.2">
      <c r="A231" s="594"/>
      <c r="B231" s="594"/>
      <c r="C231" s="594"/>
      <c r="D231" s="594"/>
      <c r="E231" s="594"/>
      <c r="F231" s="594"/>
      <c r="G231" s="594"/>
      <c r="H231" s="594"/>
      <c r="I231" s="594"/>
      <c r="J231" s="594"/>
      <c r="K231" s="594"/>
      <c r="L231" s="594"/>
      <c r="M231" s="594"/>
      <c r="N231" s="594"/>
      <c r="O231" s="594"/>
      <c r="P231" s="594"/>
      <c r="Q231" s="594"/>
      <c r="R231" s="594"/>
      <c r="S231" s="594"/>
      <c r="T231" s="594"/>
      <c r="U231" s="594"/>
      <c r="V231" s="594"/>
      <c r="W231" s="594"/>
      <c r="X231" s="594"/>
      <c r="Y231" s="594"/>
      <c r="Z231" s="594"/>
    </row>
    <row r="232" spans="1:26" s="203" customFormat="1" x14ac:dyDescent="0.2">
      <c r="A232" s="594"/>
      <c r="B232" s="594"/>
      <c r="C232" s="594"/>
      <c r="D232" s="594"/>
      <c r="E232" s="594"/>
      <c r="F232" s="594"/>
      <c r="G232" s="594"/>
      <c r="H232" s="594"/>
      <c r="I232" s="594"/>
      <c r="J232" s="594"/>
      <c r="K232" s="594"/>
      <c r="L232" s="594"/>
      <c r="M232" s="594"/>
      <c r="N232" s="594"/>
      <c r="O232" s="594"/>
      <c r="P232" s="594"/>
      <c r="Q232" s="594"/>
      <c r="R232" s="594"/>
      <c r="S232" s="594"/>
      <c r="T232" s="594"/>
      <c r="U232" s="594"/>
      <c r="V232" s="594"/>
      <c r="W232" s="594"/>
      <c r="X232" s="594"/>
      <c r="Y232" s="594"/>
      <c r="Z232" s="594"/>
    </row>
    <row r="233" spans="1:26" s="202" customFormat="1" ht="13.5" thickBot="1" x14ac:dyDescent="0.25">
      <c r="A233" s="594"/>
      <c r="B233" s="594"/>
      <c r="C233" s="594"/>
      <c r="D233" s="594"/>
      <c r="E233" s="594"/>
      <c r="F233" s="594"/>
      <c r="G233" s="594"/>
      <c r="H233" s="594"/>
      <c r="I233" s="594"/>
      <c r="J233" s="594"/>
      <c r="K233" s="594"/>
      <c r="L233" s="594"/>
      <c r="M233" s="594"/>
      <c r="N233" s="594"/>
      <c r="O233" s="594"/>
      <c r="P233" s="594"/>
      <c r="Q233" s="594"/>
      <c r="R233" s="594"/>
      <c r="S233" s="594"/>
      <c r="T233" s="594"/>
      <c r="U233" s="594"/>
      <c r="V233" s="594"/>
      <c r="W233" s="594"/>
      <c r="X233" s="594"/>
      <c r="Y233" s="594"/>
      <c r="Z233" s="594"/>
    </row>
    <row r="234" spans="1:26" x14ac:dyDescent="0.2">
      <c r="A234" s="594"/>
      <c r="B234" s="594"/>
      <c r="C234" s="594"/>
      <c r="D234" s="594"/>
      <c r="E234" s="594"/>
      <c r="F234" s="594"/>
      <c r="G234" s="594"/>
      <c r="H234" s="594"/>
      <c r="I234" s="594"/>
      <c r="J234" s="594"/>
      <c r="K234" s="594"/>
      <c r="L234" s="594"/>
      <c r="M234" s="594"/>
      <c r="N234" s="594"/>
      <c r="O234" s="594"/>
      <c r="P234" s="594"/>
      <c r="Q234" s="594"/>
      <c r="R234" s="594"/>
      <c r="S234" s="594"/>
      <c r="T234" s="594"/>
      <c r="U234" s="594"/>
      <c r="V234" s="594"/>
      <c r="W234" s="594"/>
      <c r="X234" s="594"/>
      <c r="Y234" s="594"/>
      <c r="Z234" s="594"/>
    </row>
    <row r="235" spans="1:26" s="203" customFormat="1" x14ac:dyDescent="0.2">
      <c r="A235" s="594"/>
      <c r="B235" s="594"/>
      <c r="C235" s="594"/>
      <c r="D235" s="594"/>
      <c r="E235" s="594"/>
      <c r="F235" s="594"/>
      <c r="G235" s="594"/>
      <c r="H235" s="594"/>
      <c r="I235" s="594"/>
      <c r="J235" s="594"/>
      <c r="K235" s="594"/>
      <c r="L235" s="594"/>
      <c r="M235" s="594"/>
      <c r="N235" s="594"/>
      <c r="O235" s="594"/>
      <c r="P235" s="594"/>
      <c r="Q235" s="594"/>
      <c r="R235" s="594"/>
      <c r="S235" s="594"/>
      <c r="T235" s="594"/>
      <c r="U235" s="594"/>
      <c r="V235" s="594"/>
      <c r="W235" s="594"/>
      <c r="X235" s="594"/>
      <c r="Y235" s="594"/>
      <c r="Z235" s="594"/>
    </row>
    <row r="236" spans="1:26" s="202" customFormat="1" ht="13.5" thickBot="1" x14ac:dyDescent="0.25">
      <c r="A236" s="594"/>
      <c r="B236" s="594"/>
      <c r="C236" s="594"/>
      <c r="D236" s="594"/>
      <c r="E236" s="594"/>
      <c r="F236" s="594"/>
      <c r="G236" s="594"/>
      <c r="H236" s="594"/>
      <c r="I236" s="594"/>
      <c r="J236" s="594"/>
      <c r="K236" s="594"/>
      <c r="L236" s="594"/>
      <c r="M236" s="594"/>
      <c r="N236" s="594"/>
      <c r="O236" s="594"/>
      <c r="P236" s="594"/>
      <c r="Q236" s="594"/>
      <c r="R236" s="594"/>
      <c r="S236" s="594"/>
      <c r="T236" s="594"/>
      <c r="U236" s="594"/>
      <c r="V236" s="594"/>
      <c r="W236" s="594"/>
      <c r="X236" s="594"/>
      <c r="Y236" s="594"/>
      <c r="Z236" s="594"/>
    </row>
    <row r="237" spans="1:26" x14ac:dyDescent="0.2">
      <c r="A237" s="594"/>
      <c r="B237" s="594"/>
      <c r="C237" s="594"/>
      <c r="D237" s="594"/>
      <c r="E237" s="594"/>
      <c r="F237" s="594"/>
      <c r="G237" s="594"/>
      <c r="H237" s="594"/>
      <c r="I237" s="594"/>
      <c r="J237" s="594"/>
      <c r="K237" s="594"/>
      <c r="L237" s="594"/>
      <c r="M237" s="594"/>
      <c r="N237" s="594"/>
      <c r="O237" s="594"/>
      <c r="P237" s="594"/>
      <c r="Q237" s="594"/>
      <c r="R237" s="594"/>
      <c r="S237" s="594"/>
      <c r="T237" s="594"/>
      <c r="U237" s="594"/>
      <c r="V237" s="594"/>
      <c r="W237" s="594"/>
      <c r="X237" s="594"/>
      <c r="Y237" s="594"/>
      <c r="Z237" s="594"/>
    </row>
    <row r="238" spans="1:26" s="203" customFormat="1" x14ac:dyDescent="0.2">
      <c r="A238" s="594"/>
      <c r="B238" s="594"/>
      <c r="C238" s="594"/>
      <c r="D238" s="594"/>
      <c r="E238" s="594"/>
      <c r="F238" s="594"/>
      <c r="G238" s="594"/>
      <c r="H238" s="594"/>
      <c r="I238" s="594"/>
      <c r="J238" s="594"/>
      <c r="K238" s="594"/>
      <c r="L238" s="594"/>
      <c r="M238" s="594"/>
      <c r="N238" s="594"/>
      <c r="O238" s="594"/>
      <c r="P238" s="594"/>
      <c r="Q238" s="594"/>
      <c r="R238" s="594"/>
      <c r="S238" s="594"/>
      <c r="T238" s="594"/>
      <c r="U238" s="594"/>
      <c r="V238" s="594"/>
      <c r="W238" s="594"/>
      <c r="X238" s="594"/>
      <c r="Y238" s="594"/>
      <c r="Z238" s="594"/>
    </row>
    <row r="239" spans="1:26" s="212" customFormat="1" ht="13.5" thickBot="1" x14ac:dyDescent="0.25">
      <c r="A239" s="594"/>
      <c r="B239" s="594"/>
      <c r="C239" s="594"/>
      <c r="D239" s="594"/>
      <c r="E239" s="594"/>
      <c r="F239" s="594"/>
      <c r="G239" s="594"/>
      <c r="H239" s="594"/>
      <c r="I239" s="594"/>
      <c r="J239" s="594"/>
      <c r="K239" s="594"/>
      <c r="L239" s="594"/>
      <c r="M239" s="594"/>
      <c r="N239" s="594"/>
      <c r="O239" s="594"/>
      <c r="P239" s="594"/>
      <c r="Q239" s="594"/>
      <c r="R239" s="594"/>
      <c r="S239" s="594"/>
      <c r="T239" s="594"/>
      <c r="U239" s="594"/>
      <c r="V239" s="594"/>
      <c r="W239" s="594"/>
      <c r="X239" s="594"/>
      <c r="Y239" s="594"/>
      <c r="Z239" s="594"/>
    </row>
    <row r="240" spans="1:26" x14ac:dyDescent="0.2">
      <c r="A240" s="594"/>
      <c r="B240" s="594"/>
      <c r="C240" s="594"/>
      <c r="D240" s="594"/>
      <c r="E240" s="594"/>
      <c r="F240" s="594"/>
      <c r="G240" s="594"/>
      <c r="H240" s="594"/>
      <c r="I240" s="594"/>
      <c r="J240" s="594"/>
      <c r="K240" s="594"/>
      <c r="L240" s="594"/>
      <c r="M240" s="594"/>
      <c r="N240" s="594"/>
      <c r="O240" s="594"/>
      <c r="P240" s="594"/>
      <c r="Q240" s="594"/>
      <c r="R240" s="594"/>
      <c r="S240" s="594"/>
      <c r="T240" s="594"/>
      <c r="U240" s="594"/>
      <c r="V240" s="594"/>
      <c r="W240" s="594"/>
      <c r="X240" s="594"/>
      <c r="Y240" s="594"/>
      <c r="Z240" s="594"/>
    </row>
    <row r="241" spans="1:26" s="203" customFormat="1" x14ac:dyDescent="0.2">
      <c r="A241" s="594"/>
      <c r="B241" s="594"/>
      <c r="C241" s="594"/>
      <c r="D241" s="594"/>
      <c r="E241" s="594"/>
      <c r="F241" s="594"/>
      <c r="G241" s="594"/>
      <c r="H241" s="594"/>
      <c r="I241" s="594"/>
      <c r="J241" s="594"/>
      <c r="K241" s="594"/>
      <c r="L241" s="594"/>
      <c r="M241" s="594"/>
      <c r="N241" s="594"/>
      <c r="O241" s="594"/>
      <c r="P241" s="594"/>
      <c r="Q241" s="594"/>
      <c r="R241" s="594"/>
      <c r="S241" s="594"/>
      <c r="T241" s="594"/>
      <c r="U241" s="594"/>
      <c r="V241" s="594"/>
      <c r="W241" s="594"/>
      <c r="X241" s="594"/>
      <c r="Y241" s="594"/>
      <c r="Z241" s="594"/>
    </row>
    <row r="242" spans="1:26" s="202" customFormat="1" ht="13.5" thickBot="1" x14ac:dyDescent="0.25">
      <c r="A242" s="594"/>
      <c r="B242" s="594"/>
      <c r="C242" s="594"/>
      <c r="D242" s="594"/>
      <c r="E242" s="594"/>
      <c r="F242" s="594"/>
      <c r="G242" s="594"/>
      <c r="H242" s="594"/>
      <c r="I242" s="594"/>
      <c r="J242" s="594"/>
      <c r="K242" s="594"/>
      <c r="L242" s="594"/>
      <c r="M242" s="594"/>
      <c r="N242" s="594"/>
      <c r="O242" s="594"/>
      <c r="P242" s="594"/>
      <c r="Q242" s="594"/>
      <c r="R242" s="594"/>
      <c r="S242" s="594"/>
      <c r="T242" s="594"/>
      <c r="U242" s="594"/>
      <c r="V242" s="594"/>
      <c r="W242" s="594"/>
      <c r="X242" s="594"/>
      <c r="Y242" s="594"/>
      <c r="Z242" s="594"/>
    </row>
    <row r="243" spans="1:26" x14ac:dyDescent="0.2">
      <c r="A243" s="594"/>
      <c r="B243" s="594"/>
      <c r="C243" s="594"/>
      <c r="D243" s="594"/>
      <c r="E243" s="594"/>
      <c r="F243" s="594"/>
      <c r="G243" s="594"/>
      <c r="H243" s="594"/>
      <c r="I243" s="594"/>
      <c r="J243" s="594"/>
      <c r="K243" s="594"/>
      <c r="L243" s="594"/>
      <c r="M243" s="594"/>
      <c r="N243" s="594"/>
      <c r="O243" s="594"/>
      <c r="P243" s="594"/>
      <c r="Q243" s="594"/>
      <c r="R243" s="594"/>
      <c r="S243" s="594"/>
      <c r="T243" s="594"/>
      <c r="U243" s="594"/>
      <c r="V243" s="594"/>
      <c r="W243" s="594"/>
      <c r="X243" s="594"/>
      <c r="Y243" s="594"/>
      <c r="Z243" s="594"/>
    </row>
    <row r="244" spans="1:26" s="203" customFormat="1" x14ac:dyDescent="0.2">
      <c r="A244" s="594"/>
      <c r="B244" s="594"/>
      <c r="C244" s="594"/>
      <c r="D244" s="594"/>
      <c r="E244" s="594"/>
      <c r="F244" s="594"/>
      <c r="G244" s="594"/>
      <c r="H244" s="594"/>
      <c r="I244" s="594"/>
      <c r="J244" s="594"/>
      <c r="K244" s="594"/>
      <c r="L244" s="594"/>
      <c r="M244" s="594"/>
      <c r="N244" s="594"/>
      <c r="O244" s="594"/>
      <c r="P244" s="594"/>
      <c r="Q244" s="594"/>
      <c r="R244" s="594"/>
      <c r="S244" s="594"/>
      <c r="T244" s="594"/>
      <c r="U244" s="594"/>
      <c r="V244" s="594"/>
      <c r="W244" s="594"/>
      <c r="X244" s="594"/>
      <c r="Y244" s="594"/>
      <c r="Z244" s="594"/>
    </row>
    <row r="245" spans="1:26" s="202" customFormat="1" ht="13.5" thickBot="1" x14ac:dyDescent="0.25">
      <c r="A245" s="594"/>
      <c r="B245" s="594"/>
      <c r="C245" s="594"/>
      <c r="D245" s="594"/>
      <c r="E245" s="594"/>
      <c r="F245" s="594"/>
      <c r="G245" s="594"/>
      <c r="H245" s="594"/>
      <c r="I245" s="594"/>
      <c r="J245" s="594"/>
      <c r="K245" s="594"/>
      <c r="L245" s="594"/>
      <c r="M245" s="594"/>
      <c r="N245" s="594"/>
      <c r="O245" s="594"/>
      <c r="P245" s="594"/>
      <c r="Q245" s="594"/>
      <c r="R245" s="594"/>
      <c r="S245" s="594"/>
      <c r="T245" s="594"/>
      <c r="U245" s="594"/>
      <c r="V245" s="594"/>
      <c r="W245" s="594"/>
      <c r="X245" s="594"/>
      <c r="Y245" s="594"/>
      <c r="Z245" s="594"/>
    </row>
    <row r="246" spans="1:26" x14ac:dyDescent="0.2">
      <c r="A246" s="594"/>
      <c r="B246" s="594"/>
      <c r="C246" s="594"/>
      <c r="D246" s="594"/>
      <c r="E246" s="594"/>
      <c r="F246" s="594"/>
      <c r="G246" s="594"/>
      <c r="H246" s="594"/>
      <c r="I246" s="594"/>
      <c r="J246" s="594"/>
      <c r="K246" s="594"/>
      <c r="L246" s="594"/>
      <c r="M246" s="594"/>
      <c r="N246" s="594"/>
      <c r="O246" s="594"/>
      <c r="P246" s="594"/>
      <c r="Q246" s="594"/>
      <c r="R246" s="594"/>
      <c r="S246" s="594"/>
      <c r="T246" s="594"/>
      <c r="U246" s="594"/>
      <c r="V246" s="594"/>
      <c r="W246" s="594"/>
      <c r="X246" s="594"/>
      <c r="Y246" s="594"/>
      <c r="Z246" s="594"/>
    </row>
    <row r="247" spans="1:26" s="203" customFormat="1" x14ac:dyDescent="0.2">
      <c r="A247" s="594"/>
      <c r="B247" s="594"/>
      <c r="C247" s="594"/>
      <c r="D247" s="594"/>
      <c r="E247" s="594"/>
      <c r="F247" s="594"/>
      <c r="G247" s="594"/>
      <c r="H247" s="594"/>
      <c r="I247" s="594"/>
      <c r="J247" s="594"/>
      <c r="K247" s="594"/>
      <c r="L247" s="594"/>
      <c r="M247" s="594"/>
      <c r="N247" s="594"/>
      <c r="O247" s="594"/>
      <c r="P247" s="594"/>
      <c r="Q247" s="594"/>
      <c r="R247" s="594"/>
      <c r="S247" s="594"/>
      <c r="T247" s="594"/>
      <c r="U247" s="594"/>
      <c r="V247" s="594"/>
      <c r="W247" s="594"/>
      <c r="X247" s="594"/>
      <c r="Y247" s="594"/>
      <c r="Z247" s="594"/>
    </row>
    <row r="248" spans="1:26" s="202" customFormat="1" ht="13.5" thickBot="1" x14ac:dyDescent="0.25">
      <c r="A248" s="594"/>
      <c r="B248" s="594"/>
      <c r="C248" s="594"/>
      <c r="D248" s="594"/>
      <c r="E248" s="594"/>
      <c r="F248" s="594"/>
      <c r="G248" s="594"/>
      <c r="H248" s="594"/>
      <c r="I248" s="594"/>
      <c r="J248" s="594"/>
      <c r="K248" s="594"/>
      <c r="L248" s="594"/>
      <c r="M248" s="594"/>
      <c r="N248" s="594"/>
      <c r="O248" s="594"/>
      <c r="P248" s="594"/>
      <c r="Q248" s="594"/>
      <c r="R248" s="594"/>
      <c r="S248" s="594"/>
      <c r="T248" s="594"/>
      <c r="U248" s="594"/>
      <c r="V248" s="594"/>
      <c r="W248" s="594"/>
      <c r="X248" s="594"/>
      <c r="Y248" s="594"/>
      <c r="Z248" s="594"/>
    </row>
    <row r="249" spans="1:26" x14ac:dyDescent="0.2">
      <c r="A249" s="594"/>
      <c r="B249" s="594"/>
      <c r="C249" s="594"/>
      <c r="D249" s="594"/>
      <c r="E249" s="594"/>
      <c r="F249" s="594"/>
      <c r="G249" s="594"/>
      <c r="H249" s="594"/>
      <c r="I249" s="594"/>
      <c r="J249" s="594"/>
      <c r="K249" s="594"/>
      <c r="L249" s="594"/>
      <c r="M249" s="594"/>
      <c r="N249" s="594"/>
      <c r="O249" s="594"/>
      <c r="P249" s="594"/>
      <c r="Q249" s="594"/>
      <c r="R249" s="594"/>
      <c r="S249" s="594"/>
      <c r="T249" s="594"/>
      <c r="U249" s="594"/>
      <c r="V249" s="594"/>
      <c r="W249" s="594"/>
      <c r="X249" s="594"/>
      <c r="Y249" s="594"/>
      <c r="Z249" s="594"/>
    </row>
    <row r="250" spans="1:26" s="203" customFormat="1" ht="13.5" thickBot="1" x14ac:dyDescent="0.25">
      <c r="A250" s="594"/>
      <c r="B250" s="594"/>
      <c r="C250" s="594"/>
      <c r="D250" s="594"/>
      <c r="E250" s="594"/>
      <c r="F250" s="594"/>
      <c r="G250" s="594"/>
      <c r="H250" s="594"/>
      <c r="I250" s="594"/>
      <c r="J250" s="594"/>
      <c r="K250" s="594"/>
      <c r="L250" s="594"/>
      <c r="M250" s="594"/>
      <c r="N250" s="594"/>
      <c r="O250" s="594"/>
      <c r="P250" s="594"/>
      <c r="Q250" s="594"/>
      <c r="R250" s="594"/>
      <c r="S250" s="594"/>
      <c r="T250" s="594"/>
      <c r="U250" s="594"/>
      <c r="V250" s="594"/>
      <c r="W250" s="594"/>
      <c r="X250" s="594"/>
      <c r="Y250" s="594"/>
      <c r="Z250" s="594"/>
    </row>
    <row r="251" spans="1:26" s="202" customFormat="1" x14ac:dyDescent="0.2">
      <c r="A251" s="594"/>
      <c r="B251" s="594"/>
      <c r="C251" s="594"/>
      <c r="D251" s="594"/>
      <c r="E251" s="594"/>
      <c r="F251" s="594"/>
      <c r="G251" s="594"/>
      <c r="H251" s="594"/>
      <c r="I251" s="594"/>
      <c r="J251" s="594"/>
      <c r="K251" s="594"/>
      <c r="L251" s="594"/>
      <c r="M251" s="594"/>
      <c r="N251" s="594"/>
      <c r="O251" s="594"/>
      <c r="P251" s="594"/>
      <c r="Q251" s="594"/>
      <c r="R251" s="594"/>
      <c r="S251" s="594"/>
      <c r="T251" s="594"/>
      <c r="U251" s="594"/>
      <c r="V251" s="594"/>
      <c r="W251" s="594"/>
      <c r="X251" s="594"/>
      <c r="Y251" s="594"/>
      <c r="Z251" s="594"/>
    </row>
    <row r="252" spans="1:26" x14ac:dyDescent="0.2">
      <c r="A252" s="594"/>
      <c r="B252" s="594"/>
      <c r="C252" s="594"/>
      <c r="D252" s="594"/>
      <c r="E252" s="594"/>
      <c r="F252" s="594"/>
      <c r="G252" s="594"/>
      <c r="H252" s="594"/>
      <c r="I252" s="594"/>
      <c r="J252" s="594"/>
      <c r="K252" s="594"/>
      <c r="L252" s="594"/>
      <c r="M252" s="594"/>
      <c r="N252" s="594"/>
      <c r="O252" s="594"/>
      <c r="P252" s="594"/>
      <c r="Q252" s="594"/>
      <c r="R252" s="594"/>
      <c r="S252" s="594"/>
      <c r="T252" s="594"/>
      <c r="U252" s="594"/>
      <c r="V252" s="594"/>
      <c r="W252" s="594"/>
      <c r="X252" s="594"/>
      <c r="Y252" s="594"/>
      <c r="Z252" s="594"/>
    </row>
    <row r="253" spans="1:26" s="203" customFormat="1" ht="13.5" thickBot="1" x14ac:dyDescent="0.25">
      <c r="A253" s="594"/>
      <c r="B253" s="594"/>
      <c r="C253" s="594"/>
      <c r="D253" s="594"/>
      <c r="E253" s="594"/>
      <c r="F253" s="594"/>
      <c r="G253" s="594"/>
      <c r="H253" s="594"/>
      <c r="I253" s="594"/>
      <c r="J253" s="594"/>
      <c r="K253" s="594"/>
      <c r="L253" s="594"/>
      <c r="M253" s="594"/>
      <c r="N253" s="594"/>
      <c r="O253" s="594"/>
      <c r="P253" s="594"/>
      <c r="Q253" s="594"/>
      <c r="R253" s="594"/>
      <c r="S253" s="594"/>
      <c r="T253" s="594"/>
      <c r="U253" s="594"/>
      <c r="V253" s="594"/>
      <c r="W253" s="594"/>
      <c r="X253" s="594"/>
      <c r="Y253" s="594"/>
      <c r="Z253" s="594"/>
    </row>
    <row r="254" spans="1:26" s="202" customFormat="1" x14ac:dyDescent="0.2">
      <c r="A254" s="594"/>
      <c r="B254" s="594"/>
      <c r="C254" s="594"/>
      <c r="D254" s="594"/>
      <c r="E254" s="594"/>
      <c r="F254" s="594"/>
      <c r="G254" s="594"/>
      <c r="H254" s="594"/>
      <c r="I254" s="594"/>
      <c r="J254" s="594"/>
      <c r="K254" s="594"/>
      <c r="L254" s="594"/>
      <c r="M254" s="594"/>
      <c r="N254" s="594"/>
      <c r="O254" s="594"/>
      <c r="P254" s="594"/>
      <c r="Q254" s="594"/>
      <c r="R254" s="594"/>
      <c r="S254" s="594"/>
      <c r="T254" s="594"/>
      <c r="U254" s="594"/>
      <c r="V254" s="594"/>
      <c r="W254" s="594"/>
      <c r="X254" s="594"/>
      <c r="Y254" s="594"/>
      <c r="Z254" s="594"/>
    </row>
    <row r="255" spans="1:26" x14ac:dyDescent="0.2">
      <c r="A255" s="594"/>
      <c r="B255" s="594"/>
      <c r="C255" s="594"/>
      <c r="D255" s="594"/>
      <c r="E255" s="594"/>
      <c r="F255" s="594"/>
      <c r="G255" s="594"/>
      <c r="H255" s="594"/>
      <c r="I255" s="594"/>
      <c r="J255" s="594"/>
      <c r="K255" s="594"/>
      <c r="L255" s="594"/>
      <c r="M255" s="594"/>
      <c r="N255" s="594"/>
      <c r="O255" s="594"/>
      <c r="P255" s="594"/>
      <c r="Q255" s="594"/>
      <c r="R255" s="594"/>
      <c r="S255" s="594"/>
      <c r="T255" s="594"/>
      <c r="U255" s="594"/>
      <c r="V255" s="594"/>
      <c r="W255" s="594"/>
      <c r="X255" s="594"/>
      <c r="Y255" s="594"/>
      <c r="Z255" s="594"/>
    </row>
    <row r="256" spans="1:26" s="203" customFormat="1" ht="13.5" thickBot="1" x14ac:dyDescent="0.25">
      <c r="A256" s="594"/>
      <c r="B256" s="594"/>
      <c r="C256" s="594"/>
      <c r="D256" s="594"/>
      <c r="E256" s="594"/>
      <c r="F256" s="594"/>
      <c r="G256" s="594"/>
      <c r="H256" s="594"/>
      <c r="I256" s="594"/>
      <c r="J256" s="594"/>
      <c r="K256" s="594"/>
      <c r="L256" s="594"/>
      <c r="M256" s="594"/>
      <c r="N256" s="594"/>
      <c r="O256" s="594"/>
      <c r="P256" s="594"/>
      <c r="Q256" s="594"/>
      <c r="R256" s="594"/>
      <c r="S256" s="594"/>
      <c r="T256" s="594"/>
      <c r="U256" s="594"/>
      <c r="V256" s="594"/>
      <c r="W256" s="594"/>
      <c r="X256" s="594"/>
      <c r="Y256" s="594"/>
      <c r="Z256" s="594"/>
    </row>
    <row r="257" spans="1:26" s="202" customFormat="1" x14ac:dyDescent="0.2">
      <c r="A257" s="594"/>
      <c r="B257" s="594"/>
      <c r="C257" s="594"/>
      <c r="D257" s="594"/>
      <c r="E257" s="594"/>
      <c r="F257" s="594"/>
      <c r="G257" s="594"/>
      <c r="H257" s="594"/>
      <c r="I257" s="594"/>
      <c r="J257" s="594"/>
      <c r="K257" s="594"/>
      <c r="L257" s="594"/>
      <c r="M257" s="594"/>
      <c r="N257" s="594"/>
      <c r="O257" s="594"/>
      <c r="P257" s="594"/>
      <c r="Q257" s="594"/>
      <c r="R257" s="594"/>
      <c r="S257" s="594"/>
      <c r="T257" s="594"/>
      <c r="U257" s="594"/>
      <c r="V257" s="594"/>
      <c r="W257" s="594"/>
      <c r="X257" s="594"/>
      <c r="Y257" s="594"/>
      <c r="Z257" s="594"/>
    </row>
    <row r="258" spans="1:26" x14ac:dyDescent="0.2">
      <c r="A258" s="594"/>
      <c r="B258" s="594"/>
      <c r="C258" s="594"/>
      <c r="D258" s="594"/>
      <c r="E258" s="594"/>
      <c r="F258" s="594"/>
      <c r="G258" s="594"/>
      <c r="H258" s="594"/>
      <c r="I258" s="594"/>
      <c r="J258" s="594"/>
      <c r="K258" s="594"/>
      <c r="L258" s="594"/>
      <c r="M258" s="594"/>
      <c r="N258" s="594"/>
      <c r="O258" s="594"/>
      <c r="P258" s="594"/>
      <c r="Q258" s="594"/>
      <c r="R258" s="594"/>
      <c r="S258" s="594"/>
      <c r="T258" s="594"/>
      <c r="U258" s="594"/>
      <c r="V258" s="594"/>
      <c r="W258" s="594"/>
      <c r="X258" s="594"/>
      <c r="Y258" s="594"/>
      <c r="Z258" s="594"/>
    </row>
    <row r="259" spans="1:26" s="203" customFormat="1" ht="13.5" thickBot="1" x14ac:dyDescent="0.25">
      <c r="A259" s="594"/>
      <c r="B259" s="594"/>
      <c r="C259" s="594"/>
      <c r="D259" s="594"/>
      <c r="E259" s="594"/>
      <c r="F259" s="594"/>
      <c r="G259" s="594"/>
      <c r="H259" s="594"/>
      <c r="I259" s="594"/>
      <c r="J259" s="594"/>
      <c r="K259" s="594"/>
      <c r="L259" s="594"/>
      <c r="M259" s="594"/>
      <c r="N259" s="594"/>
      <c r="O259" s="594"/>
      <c r="P259" s="594"/>
      <c r="Q259" s="594"/>
      <c r="R259" s="594"/>
      <c r="S259" s="594"/>
      <c r="T259" s="594"/>
      <c r="U259" s="594"/>
      <c r="V259" s="594"/>
      <c r="W259" s="594"/>
      <c r="X259" s="594"/>
      <c r="Y259" s="594"/>
      <c r="Z259" s="594"/>
    </row>
    <row r="260" spans="1:26" s="202" customFormat="1" x14ac:dyDescent="0.2">
      <c r="A260" s="594"/>
      <c r="B260" s="594"/>
      <c r="C260" s="594"/>
      <c r="D260" s="594"/>
      <c r="E260" s="594"/>
      <c r="F260" s="594"/>
      <c r="G260" s="594"/>
      <c r="H260" s="594"/>
      <c r="I260" s="594"/>
      <c r="J260" s="594"/>
      <c r="K260" s="594"/>
      <c r="L260" s="594"/>
      <c r="M260" s="594"/>
      <c r="N260" s="594"/>
      <c r="O260" s="594"/>
      <c r="P260" s="594"/>
      <c r="Q260" s="594"/>
      <c r="R260" s="594"/>
      <c r="S260" s="594"/>
      <c r="T260" s="594"/>
      <c r="U260" s="594"/>
      <c r="V260" s="594"/>
      <c r="W260" s="594"/>
      <c r="X260" s="594"/>
      <c r="Y260" s="594"/>
      <c r="Z260" s="594"/>
    </row>
    <row r="261" spans="1:26" x14ac:dyDescent="0.2">
      <c r="A261" s="594"/>
      <c r="B261" s="594"/>
      <c r="C261" s="594"/>
      <c r="D261" s="594"/>
      <c r="E261" s="594"/>
      <c r="F261" s="594"/>
      <c r="G261" s="594"/>
      <c r="H261" s="594"/>
      <c r="I261" s="594"/>
      <c r="J261" s="594"/>
      <c r="K261" s="594"/>
      <c r="L261" s="594"/>
      <c r="M261" s="594"/>
      <c r="N261" s="594"/>
      <c r="O261" s="594"/>
      <c r="P261" s="594"/>
      <c r="Q261" s="594"/>
      <c r="R261" s="594"/>
      <c r="S261" s="594"/>
      <c r="T261" s="594"/>
      <c r="U261" s="594"/>
      <c r="V261" s="594"/>
      <c r="W261" s="594"/>
      <c r="X261" s="594"/>
      <c r="Y261" s="594"/>
      <c r="Z261" s="594"/>
    </row>
    <row r="262" spans="1:26" s="203" customFormat="1" ht="13.5" thickBot="1" x14ac:dyDescent="0.25">
      <c r="A262" s="594"/>
      <c r="B262" s="594"/>
      <c r="C262" s="594"/>
      <c r="D262" s="594"/>
      <c r="E262" s="594"/>
      <c r="F262" s="594"/>
      <c r="G262" s="594"/>
      <c r="H262" s="594"/>
      <c r="I262" s="594"/>
      <c r="J262" s="594"/>
      <c r="K262" s="594"/>
      <c r="L262" s="594"/>
      <c r="M262" s="594"/>
      <c r="N262" s="594"/>
      <c r="O262" s="594"/>
      <c r="P262" s="594"/>
      <c r="Q262" s="594"/>
      <c r="R262" s="594"/>
      <c r="S262" s="594"/>
      <c r="T262" s="594"/>
      <c r="U262" s="594"/>
      <c r="V262" s="594"/>
      <c r="W262" s="594"/>
      <c r="X262" s="594"/>
      <c r="Y262" s="594"/>
      <c r="Z262" s="594"/>
    </row>
    <row r="263" spans="1:26" s="202" customFormat="1" x14ac:dyDescent="0.2">
      <c r="A263" s="594"/>
      <c r="B263" s="594"/>
      <c r="C263" s="594"/>
      <c r="D263" s="594"/>
      <c r="E263" s="594"/>
      <c r="F263" s="594"/>
      <c r="G263" s="594"/>
      <c r="H263" s="594"/>
      <c r="I263" s="594"/>
      <c r="J263" s="594"/>
      <c r="K263" s="594"/>
      <c r="L263" s="594"/>
      <c r="M263" s="594"/>
      <c r="N263" s="594"/>
      <c r="O263" s="594"/>
      <c r="P263" s="594"/>
      <c r="Q263" s="594"/>
      <c r="R263" s="594"/>
      <c r="S263" s="594"/>
      <c r="T263" s="594"/>
      <c r="U263" s="594"/>
      <c r="V263" s="594"/>
      <c r="W263" s="594"/>
      <c r="X263" s="594"/>
      <c r="Y263" s="594"/>
      <c r="Z263" s="594"/>
    </row>
    <row r="264" spans="1:26" x14ac:dyDescent="0.2">
      <c r="A264" s="594"/>
      <c r="B264" s="594"/>
      <c r="C264" s="594"/>
      <c r="D264" s="594"/>
      <c r="E264" s="594"/>
      <c r="F264" s="594"/>
      <c r="G264" s="594"/>
      <c r="H264" s="594"/>
      <c r="I264" s="594"/>
      <c r="J264" s="594"/>
      <c r="K264" s="594"/>
      <c r="L264" s="594"/>
      <c r="M264" s="594"/>
      <c r="N264" s="594"/>
      <c r="O264" s="594"/>
      <c r="P264" s="594"/>
      <c r="Q264" s="594"/>
      <c r="R264" s="594"/>
      <c r="S264" s="594"/>
      <c r="T264" s="594"/>
      <c r="U264" s="594"/>
      <c r="V264" s="594"/>
      <c r="W264" s="594"/>
      <c r="X264" s="594"/>
      <c r="Y264" s="594"/>
      <c r="Z264" s="594"/>
    </row>
    <row r="265" spans="1:26" s="203" customFormat="1" x14ac:dyDescent="0.2">
      <c r="A265" s="594"/>
      <c r="B265" s="594"/>
      <c r="C265" s="594"/>
      <c r="D265" s="594"/>
      <c r="E265" s="594"/>
      <c r="F265" s="594"/>
      <c r="G265" s="594"/>
      <c r="H265" s="594"/>
      <c r="I265" s="594"/>
      <c r="J265" s="594"/>
      <c r="K265" s="594"/>
      <c r="L265" s="594"/>
      <c r="M265" s="594"/>
      <c r="N265" s="594"/>
      <c r="O265" s="594"/>
      <c r="P265" s="594"/>
      <c r="Q265" s="594"/>
      <c r="R265" s="594"/>
      <c r="S265" s="594"/>
      <c r="T265" s="594"/>
      <c r="U265" s="594"/>
      <c r="V265" s="594"/>
      <c r="W265" s="594"/>
      <c r="X265" s="594"/>
      <c r="Y265" s="594"/>
      <c r="Z265" s="594"/>
    </row>
    <row r="266" spans="1:26" s="202" customFormat="1" ht="13.5" thickBot="1" x14ac:dyDescent="0.25">
      <c r="A266" s="594"/>
      <c r="B266" s="594"/>
      <c r="C266" s="594"/>
      <c r="D266" s="594"/>
      <c r="E266" s="594"/>
      <c r="F266" s="594"/>
      <c r="G266" s="594"/>
      <c r="H266" s="594"/>
      <c r="I266" s="594"/>
      <c r="J266" s="594"/>
      <c r="K266" s="594"/>
      <c r="L266" s="594"/>
      <c r="M266" s="594"/>
      <c r="N266" s="594"/>
      <c r="O266" s="594"/>
      <c r="P266" s="594"/>
      <c r="Q266" s="594"/>
      <c r="R266" s="594"/>
      <c r="S266" s="594"/>
      <c r="T266" s="594"/>
      <c r="U266" s="594"/>
      <c r="V266" s="594"/>
      <c r="W266" s="594"/>
      <c r="X266" s="594"/>
      <c r="Y266" s="594"/>
      <c r="Z266" s="594"/>
    </row>
    <row r="267" spans="1:26" x14ac:dyDescent="0.2">
      <c r="A267" s="594"/>
      <c r="B267" s="594"/>
      <c r="C267" s="594"/>
      <c r="D267" s="594"/>
      <c r="E267" s="594"/>
      <c r="F267" s="594"/>
      <c r="G267" s="594"/>
      <c r="H267" s="594"/>
      <c r="I267" s="594"/>
      <c r="J267" s="594"/>
      <c r="K267" s="594"/>
      <c r="L267" s="594"/>
      <c r="M267" s="594"/>
      <c r="N267" s="594"/>
      <c r="O267" s="594"/>
      <c r="P267" s="594"/>
      <c r="Q267" s="594"/>
      <c r="R267" s="594"/>
      <c r="S267" s="594"/>
      <c r="T267" s="594"/>
      <c r="U267" s="594"/>
      <c r="V267" s="594"/>
      <c r="W267" s="594"/>
      <c r="X267" s="594"/>
      <c r="Y267" s="594"/>
      <c r="Z267" s="594"/>
    </row>
    <row r="268" spans="1:26" s="203" customFormat="1" ht="13.5" thickBot="1" x14ac:dyDescent="0.25">
      <c r="A268" s="594"/>
      <c r="B268" s="594"/>
      <c r="C268" s="594"/>
      <c r="D268" s="594"/>
      <c r="E268" s="594"/>
      <c r="F268" s="594"/>
      <c r="G268" s="594"/>
      <c r="H268" s="594"/>
      <c r="I268" s="594"/>
      <c r="J268" s="594"/>
      <c r="K268" s="594"/>
      <c r="L268" s="594"/>
      <c r="M268" s="594"/>
      <c r="N268" s="594"/>
      <c r="O268" s="594"/>
      <c r="P268" s="594"/>
      <c r="Q268" s="594"/>
      <c r="R268" s="594"/>
      <c r="S268" s="594"/>
      <c r="T268" s="594"/>
      <c r="U268" s="594"/>
      <c r="V268" s="594"/>
      <c r="W268" s="594"/>
      <c r="X268" s="594"/>
      <c r="Y268" s="594"/>
      <c r="Z268" s="594"/>
    </row>
    <row r="269" spans="1:26" s="202" customFormat="1" x14ac:dyDescent="0.2">
      <c r="A269" s="594"/>
      <c r="B269" s="594"/>
      <c r="C269" s="594"/>
      <c r="D269" s="594"/>
      <c r="E269" s="594"/>
      <c r="F269" s="594"/>
      <c r="G269" s="594"/>
      <c r="H269" s="594"/>
      <c r="I269" s="594"/>
      <c r="J269" s="594"/>
      <c r="K269" s="594"/>
      <c r="L269" s="594"/>
      <c r="M269" s="594"/>
      <c r="N269" s="594"/>
      <c r="O269" s="594"/>
      <c r="P269" s="594"/>
      <c r="Q269" s="594"/>
      <c r="R269" s="594"/>
      <c r="S269" s="594"/>
      <c r="T269" s="594"/>
      <c r="U269" s="594"/>
      <c r="V269" s="594"/>
      <c r="W269" s="594"/>
      <c r="X269" s="594"/>
      <c r="Y269" s="594"/>
      <c r="Z269" s="594"/>
    </row>
    <row r="270" spans="1:26" x14ac:dyDescent="0.2">
      <c r="A270" s="594"/>
      <c r="B270" s="594"/>
      <c r="C270" s="594"/>
      <c r="D270" s="594"/>
      <c r="E270" s="594"/>
      <c r="F270" s="594"/>
      <c r="G270" s="594"/>
      <c r="H270" s="594"/>
      <c r="I270" s="594"/>
      <c r="J270" s="594"/>
      <c r="K270" s="594"/>
      <c r="L270" s="594"/>
      <c r="M270" s="594"/>
      <c r="N270" s="594"/>
      <c r="O270" s="594"/>
      <c r="P270" s="594"/>
      <c r="Q270" s="594"/>
      <c r="R270" s="594"/>
      <c r="S270" s="594"/>
      <c r="T270" s="594"/>
      <c r="U270" s="594"/>
      <c r="V270" s="594"/>
      <c r="W270" s="594"/>
      <c r="X270" s="594"/>
      <c r="Y270" s="594"/>
      <c r="Z270" s="594"/>
    </row>
    <row r="271" spans="1:26" s="203" customFormat="1" ht="13.5" thickBot="1" x14ac:dyDescent="0.25">
      <c r="A271" s="594"/>
      <c r="B271" s="594"/>
      <c r="C271" s="594"/>
      <c r="D271" s="594"/>
      <c r="E271" s="594"/>
      <c r="F271" s="594"/>
      <c r="G271" s="594"/>
      <c r="H271" s="594"/>
      <c r="I271" s="594"/>
      <c r="J271" s="594"/>
      <c r="K271" s="594"/>
      <c r="L271" s="594"/>
      <c r="M271" s="594"/>
      <c r="N271" s="594"/>
      <c r="O271" s="594"/>
      <c r="P271" s="594"/>
      <c r="Q271" s="594"/>
      <c r="R271" s="594"/>
      <c r="S271" s="594"/>
      <c r="T271" s="594"/>
      <c r="U271" s="594"/>
      <c r="V271" s="594"/>
      <c r="W271" s="594"/>
      <c r="X271" s="594"/>
      <c r="Y271" s="594"/>
      <c r="Z271" s="594"/>
    </row>
    <row r="272" spans="1:26" s="202" customFormat="1" x14ac:dyDescent="0.2">
      <c r="A272" s="594"/>
      <c r="B272" s="594"/>
      <c r="C272" s="594"/>
      <c r="D272" s="594"/>
      <c r="E272" s="594"/>
      <c r="F272" s="594"/>
      <c r="G272" s="594"/>
      <c r="H272" s="594"/>
      <c r="I272" s="594"/>
      <c r="J272" s="594"/>
      <c r="K272" s="594"/>
      <c r="L272" s="594"/>
      <c r="M272" s="594"/>
      <c r="N272" s="594"/>
      <c r="O272" s="594"/>
      <c r="P272" s="594"/>
      <c r="Q272" s="594"/>
      <c r="R272" s="594"/>
      <c r="S272" s="594"/>
      <c r="T272" s="594"/>
      <c r="U272" s="594"/>
      <c r="V272" s="594"/>
      <c r="W272" s="594"/>
      <c r="X272" s="594"/>
      <c r="Y272" s="594"/>
      <c r="Z272" s="594"/>
    </row>
    <row r="273" spans="1:26" ht="13.5" thickBot="1" x14ac:dyDescent="0.25">
      <c r="A273" s="594"/>
      <c r="B273" s="594"/>
      <c r="C273" s="594"/>
      <c r="D273" s="594"/>
      <c r="E273" s="594"/>
      <c r="F273" s="594"/>
      <c r="G273" s="594"/>
      <c r="H273" s="594"/>
      <c r="I273" s="594"/>
      <c r="J273" s="594"/>
      <c r="K273" s="594"/>
      <c r="L273" s="594"/>
      <c r="M273" s="594"/>
      <c r="N273" s="594"/>
      <c r="O273" s="594"/>
      <c r="P273" s="594"/>
      <c r="Q273" s="594"/>
      <c r="R273" s="594"/>
      <c r="S273" s="594"/>
      <c r="T273" s="594"/>
      <c r="U273" s="594"/>
      <c r="V273" s="594"/>
      <c r="W273" s="594"/>
      <c r="X273" s="594"/>
      <c r="Y273" s="594"/>
      <c r="Z273" s="594"/>
    </row>
    <row r="274" spans="1:26" s="203" customFormat="1" x14ac:dyDescent="0.2">
      <c r="A274" s="594"/>
      <c r="B274" s="594"/>
      <c r="C274" s="594"/>
      <c r="D274" s="594"/>
      <c r="E274" s="594"/>
      <c r="F274" s="594"/>
      <c r="G274" s="594"/>
      <c r="H274" s="594"/>
      <c r="I274" s="594"/>
      <c r="J274" s="594"/>
      <c r="K274" s="594"/>
      <c r="L274" s="594"/>
      <c r="M274" s="594"/>
      <c r="N274" s="594"/>
      <c r="O274" s="594"/>
      <c r="P274" s="594"/>
      <c r="Q274" s="594"/>
      <c r="R274" s="594"/>
      <c r="S274" s="594"/>
      <c r="T274" s="594"/>
      <c r="U274" s="594"/>
      <c r="V274" s="594"/>
      <c r="W274" s="594"/>
      <c r="X274" s="594"/>
      <c r="Y274" s="594"/>
      <c r="Z274" s="594"/>
    </row>
    <row r="275" spans="1:26" s="202" customFormat="1" ht="13.5" thickBot="1" x14ac:dyDescent="0.25">
      <c r="A275" s="594"/>
      <c r="B275" s="594"/>
      <c r="C275" s="594"/>
      <c r="D275" s="594"/>
      <c r="E275" s="594"/>
      <c r="F275" s="594"/>
      <c r="G275" s="594"/>
      <c r="H275" s="594"/>
      <c r="I275" s="594"/>
      <c r="J275" s="594"/>
      <c r="K275" s="594"/>
      <c r="L275" s="594"/>
      <c r="M275" s="594"/>
      <c r="N275" s="594"/>
      <c r="O275" s="594"/>
      <c r="P275" s="594"/>
      <c r="Q275" s="594"/>
      <c r="R275" s="594"/>
      <c r="S275" s="594"/>
      <c r="T275" s="594"/>
      <c r="U275" s="594"/>
      <c r="V275" s="594"/>
      <c r="W275" s="594"/>
      <c r="X275" s="594"/>
      <c r="Y275" s="594"/>
      <c r="Z275" s="594"/>
    </row>
    <row r="276" spans="1:26" x14ac:dyDescent="0.2">
      <c r="A276" s="594"/>
      <c r="B276" s="594"/>
      <c r="C276" s="594"/>
      <c r="D276" s="594"/>
      <c r="E276" s="594"/>
      <c r="F276" s="594"/>
      <c r="G276" s="594"/>
      <c r="H276" s="594"/>
      <c r="I276" s="594"/>
      <c r="J276" s="594"/>
      <c r="K276" s="594"/>
      <c r="L276" s="594"/>
      <c r="M276" s="594"/>
      <c r="N276" s="594"/>
      <c r="O276" s="594"/>
      <c r="P276" s="594"/>
      <c r="Q276" s="594"/>
      <c r="R276" s="594"/>
      <c r="S276" s="594"/>
      <c r="T276" s="594"/>
      <c r="U276" s="594"/>
      <c r="V276" s="594"/>
      <c r="W276" s="594"/>
      <c r="X276" s="594"/>
      <c r="Y276" s="594"/>
      <c r="Z276" s="594"/>
    </row>
    <row r="277" spans="1:26" s="203" customFormat="1" x14ac:dyDescent="0.2">
      <c r="A277" s="594"/>
      <c r="B277" s="594"/>
      <c r="C277" s="594"/>
      <c r="D277" s="594"/>
      <c r="E277" s="594"/>
      <c r="F277" s="594"/>
      <c r="G277" s="594"/>
      <c r="H277" s="594"/>
      <c r="I277" s="594"/>
      <c r="J277" s="594"/>
      <c r="K277" s="594"/>
      <c r="L277" s="594"/>
      <c r="M277" s="594"/>
      <c r="N277" s="594"/>
      <c r="O277" s="594"/>
      <c r="P277" s="594"/>
      <c r="Q277" s="594"/>
      <c r="R277" s="594"/>
      <c r="S277" s="594"/>
      <c r="T277" s="594"/>
      <c r="U277" s="594"/>
      <c r="V277" s="594"/>
      <c r="W277" s="594"/>
      <c r="X277" s="594"/>
      <c r="Y277" s="594"/>
      <c r="Z277" s="594"/>
    </row>
    <row r="278" spans="1:26" s="212" customFormat="1" ht="13.5" thickBot="1" x14ac:dyDescent="0.25">
      <c r="A278" s="594"/>
      <c r="B278" s="594"/>
      <c r="C278" s="594"/>
      <c r="D278" s="594"/>
      <c r="E278" s="594"/>
      <c r="F278" s="594"/>
      <c r="G278" s="594"/>
      <c r="H278" s="594"/>
      <c r="I278" s="594"/>
      <c r="J278" s="594"/>
      <c r="K278" s="594"/>
      <c r="L278" s="594"/>
      <c r="M278" s="594"/>
      <c r="N278" s="594"/>
      <c r="O278" s="594"/>
      <c r="P278" s="594"/>
      <c r="Q278" s="594"/>
      <c r="R278" s="594"/>
      <c r="S278" s="594"/>
      <c r="T278" s="594"/>
      <c r="U278" s="594"/>
      <c r="V278" s="594"/>
      <c r="W278" s="594"/>
      <c r="X278" s="594"/>
      <c r="Y278" s="594"/>
      <c r="Z278" s="594"/>
    </row>
    <row r="279" spans="1:26" x14ac:dyDescent="0.2">
      <c r="A279" s="594"/>
      <c r="B279" s="594"/>
      <c r="C279" s="594"/>
      <c r="D279" s="594"/>
      <c r="E279" s="594"/>
      <c r="F279" s="594"/>
      <c r="G279" s="594"/>
      <c r="H279" s="594"/>
      <c r="I279" s="594"/>
      <c r="J279" s="594"/>
      <c r="K279" s="594"/>
      <c r="L279" s="594"/>
      <c r="M279" s="594"/>
      <c r="N279" s="594"/>
      <c r="O279" s="594"/>
      <c r="P279" s="594"/>
      <c r="Q279" s="594"/>
      <c r="R279" s="594"/>
      <c r="S279" s="594"/>
      <c r="T279" s="594"/>
      <c r="U279" s="594"/>
      <c r="V279" s="594"/>
      <c r="W279" s="594"/>
      <c r="X279" s="594"/>
      <c r="Y279" s="594"/>
      <c r="Z279" s="594"/>
    </row>
    <row r="280" spans="1:26" s="203" customFormat="1" ht="13.5" thickBot="1" x14ac:dyDescent="0.25">
      <c r="A280" s="594"/>
      <c r="B280" s="594"/>
      <c r="C280" s="594"/>
      <c r="D280" s="594"/>
      <c r="E280" s="594"/>
      <c r="F280" s="594"/>
      <c r="G280" s="594"/>
      <c r="H280" s="594"/>
      <c r="I280" s="594"/>
      <c r="J280" s="594"/>
      <c r="K280" s="594"/>
      <c r="L280" s="594"/>
      <c r="M280" s="594"/>
      <c r="N280" s="594"/>
      <c r="O280" s="594"/>
      <c r="P280" s="594"/>
      <c r="Q280" s="594"/>
      <c r="R280" s="594"/>
      <c r="S280" s="594"/>
      <c r="T280" s="594"/>
      <c r="U280" s="594"/>
      <c r="V280" s="594"/>
      <c r="W280" s="594"/>
      <c r="X280" s="594"/>
      <c r="Y280" s="594"/>
      <c r="Z280" s="594"/>
    </row>
    <row r="281" spans="1:26" s="202" customFormat="1" x14ac:dyDescent="0.2">
      <c r="A281" s="594"/>
      <c r="B281" s="594"/>
      <c r="C281" s="594"/>
      <c r="D281" s="594"/>
      <c r="E281" s="594"/>
      <c r="F281" s="594"/>
      <c r="G281" s="594"/>
      <c r="H281" s="594"/>
      <c r="I281" s="594"/>
      <c r="J281" s="594"/>
      <c r="K281" s="594"/>
      <c r="L281" s="594"/>
      <c r="M281" s="594"/>
      <c r="N281" s="594"/>
      <c r="O281" s="594"/>
      <c r="P281" s="594"/>
      <c r="Q281" s="594"/>
      <c r="R281" s="594"/>
      <c r="S281" s="594"/>
      <c r="T281" s="594"/>
      <c r="U281" s="594"/>
      <c r="V281" s="594"/>
      <c r="W281" s="594"/>
      <c r="X281" s="594"/>
      <c r="Y281" s="594"/>
      <c r="Z281" s="594"/>
    </row>
    <row r="282" spans="1:26" ht="13.5" thickBot="1" x14ac:dyDescent="0.25">
      <c r="A282" s="594"/>
      <c r="B282" s="594"/>
      <c r="C282" s="594"/>
      <c r="D282" s="594"/>
      <c r="E282" s="594"/>
      <c r="F282" s="594"/>
      <c r="G282" s="594"/>
      <c r="H282" s="594"/>
      <c r="I282" s="594"/>
      <c r="J282" s="594"/>
      <c r="K282" s="594"/>
      <c r="L282" s="594"/>
      <c r="M282" s="594"/>
      <c r="N282" s="594"/>
      <c r="O282" s="594"/>
      <c r="P282" s="594"/>
      <c r="Q282" s="594"/>
      <c r="R282" s="594"/>
      <c r="S282" s="594"/>
      <c r="T282" s="594"/>
      <c r="U282" s="594"/>
      <c r="V282" s="594"/>
      <c r="W282" s="594"/>
      <c r="X282" s="594"/>
      <c r="Y282" s="594"/>
      <c r="Z282" s="594"/>
    </row>
    <row r="283" spans="1:26" s="203" customFormat="1" x14ac:dyDescent="0.2">
      <c r="A283" s="594"/>
      <c r="B283" s="594"/>
      <c r="C283" s="594"/>
      <c r="D283" s="594"/>
      <c r="E283" s="594"/>
      <c r="F283" s="594"/>
      <c r="G283" s="594"/>
      <c r="H283" s="594"/>
      <c r="I283" s="594"/>
      <c r="J283" s="594"/>
      <c r="K283" s="594"/>
      <c r="L283" s="594"/>
      <c r="M283" s="594"/>
      <c r="N283" s="594"/>
      <c r="O283" s="594"/>
      <c r="P283" s="594"/>
      <c r="Q283" s="594"/>
      <c r="R283" s="594"/>
      <c r="S283" s="594"/>
      <c r="T283" s="594"/>
      <c r="U283" s="594"/>
      <c r="V283" s="594"/>
      <c r="W283" s="594"/>
      <c r="X283" s="594"/>
      <c r="Y283" s="594"/>
      <c r="Z283" s="594"/>
    </row>
    <row r="284" spans="1:26" s="202" customFormat="1" x14ac:dyDescent="0.2">
      <c r="A284" s="594"/>
      <c r="B284" s="594"/>
      <c r="C284" s="594"/>
      <c r="D284" s="594"/>
      <c r="E284" s="594"/>
      <c r="F284" s="594"/>
      <c r="G284" s="594"/>
      <c r="H284" s="594"/>
      <c r="I284" s="594"/>
      <c r="J284" s="594"/>
      <c r="K284" s="594"/>
      <c r="L284" s="594"/>
      <c r="M284" s="594"/>
      <c r="N284" s="594"/>
      <c r="O284" s="594"/>
      <c r="P284" s="594"/>
      <c r="Q284" s="594"/>
      <c r="R284" s="594"/>
      <c r="S284" s="594"/>
      <c r="T284" s="594"/>
      <c r="U284" s="594"/>
      <c r="V284" s="594"/>
      <c r="W284" s="594"/>
      <c r="X284" s="594"/>
      <c r="Y284" s="594"/>
      <c r="Z284" s="594"/>
    </row>
    <row r="285" spans="1:26" ht="13.5" thickBot="1" x14ac:dyDescent="0.25">
      <c r="A285" s="594"/>
      <c r="B285" s="594"/>
      <c r="C285" s="594"/>
      <c r="D285" s="594"/>
      <c r="E285" s="594"/>
      <c r="F285" s="594"/>
      <c r="G285" s="594"/>
      <c r="H285" s="594"/>
      <c r="I285" s="594"/>
      <c r="J285" s="594"/>
      <c r="K285" s="594"/>
      <c r="L285" s="594"/>
      <c r="M285" s="594"/>
      <c r="N285" s="594"/>
      <c r="O285" s="594"/>
      <c r="P285" s="594"/>
      <c r="Q285" s="594"/>
      <c r="R285" s="594"/>
      <c r="S285" s="594"/>
      <c r="T285" s="594"/>
      <c r="U285" s="594"/>
      <c r="V285" s="594"/>
      <c r="W285" s="594"/>
      <c r="X285" s="594"/>
      <c r="Y285" s="594"/>
      <c r="Z285" s="594"/>
    </row>
    <row r="286" spans="1:26" s="203" customFormat="1" x14ac:dyDescent="0.2">
      <c r="A286" s="594"/>
      <c r="B286" s="594"/>
      <c r="C286" s="594"/>
      <c r="D286" s="594"/>
      <c r="E286" s="594"/>
      <c r="F286" s="594"/>
      <c r="G286" s="594"/>
      <c r="H286" s="594"/>
      <c r="I286" s="594"/>
      <c r="J286" s="594"/>
      <c r="K286" s="594"/>
      <c r="L286" s="594"/>
      <c r="M286" s="594"/>
      <c r="N286" s="594"/>
      <c r="O286" s="594"/>
      <c r="P286" s="594"/>
      <c r="Q286" s="594"/>
      <c r="R286" s="594"/>
      <c r="S286" s="594"/>
      <c r="T286" s="594"/>
      <c r="U286" s="594"/>
      <c r="V286" s="594"/>
      <c r="W286" s="594"/>
      <c r="X286" s="594"/>
      <c r="Y286" s="594"/>
      <c r="Z286" s="594"/>
    </row>
    <row r="287" spans="1:26" s="202" customFormat="1" x14ac:dyDescent="0.2">
      <c r="A287" s="594"/>
      <c r="B287" s="594"/>
      <c r="C287" s="594"/>
      <c r="D287" s="594"/>
      <c r="E287" s="594"/>
      <c r="F287" s="594"/>
      <c r="G287" s="594"/>
      <c r="H287" s="594"/>
      <c r="I287" s="594"/>
      <c r="J287" s="594"/>
      <c r="K287" s="594"/>
      <c r="L287" s="594"/>
      <c r="M287" s="594"/>
      <c r="N287" s="594"/>
      <c r="O287" s="594"/>
      <c r="P287" s="594"/>
      <c r="Q287" s="594"/>
      <c r="R287" s="594"/>
      <c r="S287" s="594"/>
      <c r="T287" s="594"/>
      <c r="U287" s="594"/>
      <c r="V287" s="594"/>
      <c r="W287" s="594"/>
      <c r="X287" s="594"/>
      <c r="Y287" s="594"/>
      <c r="Z287" s="594"/>
    </row>
    <row r="288" spans="1:26" ht="13.5" thickBot="1" x14ac:dyDescent="0.25">
      <c r="A288" s="594"/>
      <c r="B288" s="594"/>
      <c r="C288" s="594"/>
      <c r="D288" s="594"/>
      <c r="E288" s="594"/>
      <c r="F288" s="594"/>
      <c r="G288" s="594"/>
      <c r="H288" s="594"/>
      <c r="I288" s="594"/>
      <c r="J288" s="594"/>
      <c r="K288" s="594"/>
      <c r="L288" s="594"/>
      <c r="M288" s="594"/>
      <c r="N288" s="594"/>
      <c r="O288" s="594"/>
      <c r="P288" s="594"/>
      <c r="Q288" s="594"/>
      <c r="R288" s="594"/>
      <c r="S288" s="594"/>
      <c r="T288" s="594"/>
      <c r="U288" s="594"/>
      <c r="V288" s="594"/>
      <c r="W288" s="594"/>
      <c r="X288" s="594"/>
      <c r="Y288" s="594"/>
      <c r="Z288" s="594"/>
    </row>
    <row r="289" spans="1:26" s="203" customFormat="1" x14ac:dyDescent="0.2">
      <c r="A289" s="594"/>
      <c r="B289" s="594"/>
      <c r="C289" s="594"/>
      <c r="D289" s="594"/>
      <c r="E289" s="594"/>
      <c r="F289" s="594"/>
      <c r="G289" s="594"/>
      <c r="H289" s="594"/>
      <c r="I289" s="594"/>
      <c r="J289" s="594"/>
      <c r="K289" s="594"/>
      <c r="L289" s="594"/>
      <c r="M289" s="594"/>
      <c r="N289" s="594"/>
      <c r="O289" s="594"/>
      <c r="P289" s="594"/>
      <c r="Q289" s="594"/>
      <c r="R289" s="594"/>
      <c r="S289" s="594"/>
      <c r="T289" s="594"/>
      <c r="U289" s="594"/>
      <c r="V289" s="594"/>
      <c r="W289" s="594"/>
      <c r="X289" s="594"/>
      <c r="Y289" s="594"/>
      <c r="Z289" s="594"/>
    </row>
    <row r="290" spans="1:26" s="202" customFormat="1" x14ac:dyDescent="0.2">
      <c r="A290" s="594"/>
      <c r="B290" s="594"/>
      <c r="C290" s="594"/>
      <c r="D290" s="594"/>
      <c r="E290" s="594"/>
      <c r="F290" s="594"/>
      <c r="G290" s="594"/>
      <c r="H290" s="594"/>
      <c r="I290" s="594"/>
      <c r="J290" s="594"/>
      <c r="K290" s="594"/>
      <c r="L290" s="594"/>
      <c r="M290" s="594"/>
      <c r="N290" s="594"/>
      <c r="O290" s="594"/>
      <c r="P290" s="594"/>
      <c r="Q290" s="594"/>
      <c r="R290" s="594"/>
      <c r="S290" s="594"/>
      <c r="T290" s="594"/>
      <c r="U290" s="594"/>
      <c r="V290" s="594"/>
      <c r="W290" s="594"/>
      <c r="X290" s="594"/>
      <c r="Y290" s="594"/>
      <c r="Z290" s="594"/>
    </row>
    <row r="291" spans="1:26" ht="13.5" thickBot="1" x14ac:dyDescent="0.25">
      <c r="A291" s="594"/>
      <c r="B291" s="594"/>
      <c r="C291" s="594"/>
      <c r="D291" s="594"/>
      <c r="E291" s="594"/>
      <c r="F291" s="594"/>
      <c r="G291" s="594"/>
      <c r="H291" s="594"/>
      <c r="I291" s="594"/>
      <c r="J291" s="594"/>
      <c r="K291" s="594"/>
      <c r="L291" s="594"/>
      <c r="M291" s="594"/>
      <c r="N291" s="594"/>
      <c r="O291" s="594"/>
      <c r="P291" s="594"/>
      <c r="Q291" s="594"/>
      <c r="R291" s="594"/>
      <c r="S291" s="594"/>
      <c r="T291" s="594"/>
      <c r="U291" s="594"/>
      <c r="V291" s="594"/>
      <c r="W291" s="594"/>
      <c r="X291" s="594"/>
      <c r="Y291" s="594"/>
      <c r="Z291" s="594"/>
    </row>
    <row r="292" spans="1:26" s="203" customFormat="1" x14ac:dyDescent="0.2">
      <c r="A292" s="594"/>
      <c r="B292" s="594"/>
      <c r="C292" s="594"/>
      <c r="D292" s="594"/>
      <c r="E292" s="594"/>
      <c r="F292" s="594"/>
      <c r="G292" s="594"/>
      <c r="H292" s="594"/>
      <c r="I292" s="594"/>
      <c r="J292" s="594"/>
      <c r="K292" s="594"/>
      <c r="L292" s="594"/>
      <c r="M292" s="594"/>
      <c r="N292" s="594"/>
      <c r="O292" s="594"/>
      <c r="P292" s="594"/>
      <c r="Q292" s="594"/>
      <c r="R292" s="594"/>
      <c r="S292" s="594"/>
      <c r="T292" s="594"/>
      <c r="U292" s="594"/>
      <c r="V292" s="594"/>
      <c r="W292" s="594"/>
      <c r="X292" s="594"/>
      <c r="Y292" s="594"/>
      <c r="Z292" s="594"/>
    </row>
    <row r="293" spans="1:26" s="202" customFormat="1" x14ac:dyDescent="0.2">
      <c r="A293" s="594"/>
      <c r="B293" s="594"/>
      <c r="C293" s="594"/>
      <c r="D293" s="594"/>
      <c r="E293" s="594"/>
      <c r="F293" s="594"/>
      <c r="G293" s="594"/>
      <c r="H293" s="594"/>
      <c r="I293" s="594"/>
      <c r="J293" s="594"/>
      <c r="K293" s="594"/>
      <c r="L293" s="594"/>
      <c r="M293" s="594"/>
      <c r="N293" s="594"/>
      <c r="O293" s="594"/>
      <c r="P293" s="594"/>
      <c r="Q293" s="594"/>
      <c r="R293" s="594"/>
      <c r="S293" s="594"/>
      <c r="T293" s="594"/>
      <c r="U293" s="594"/>
      <c r="V293" s="594"/>
      <c r="W293" s="594"/>
      <c r="X293" s="594"/>
      <c r="Y293" s="594"/>
      <c r="Z293" s="594"/>
    </row>
    <row r="294" spans="1:26" ht="13.5" thickBot="1" x14ac:dyDescent="0.25">
      <c r="A294" s="594"/>
      <c r="B294" s="594"/>
      <c r="C294" s="594"/>
      <c r="D294" s="594"/>
      <c r="E294" s="594"/>
      <c r="F294" s="594"/>
      <c r="G294" s="594"/>
      <c r="H294" s="594"/>
      <c r="I294" s="594"/>
      <c r="J294" s="594"/>
      <c r="K294" s="594"/>
      <c r="L294" s="594"/>
      <c r="M294" s="594"/>
      <c r="N294" s="594"/>
      <c r="O294" s="594"/>
      <c r="P294" s="594"/>
      <c r="Q294" s="594"/>
      <c r="R294" s="594"/>
      <c r="S294" s="594"/>
      <c r="T294" s="594"/>
      <c r="U294" s="594"/>
      <c r="V294" s="594"/>
      <c r="W294" s="594"/>
      <c r="X294" s="594"/>
      <c r="Y294" s="594"/>
      <c r="Z294" s="594"/>
    </row>
    <row r="295" spans="1:26" s="203" customFormat="1" x14ac:dyDescent="0.2">
      <c r="A295" s="594"/>
      <c r="B295" s="594"/>
      <c r="C295" s="594"/>
      <c r="D295" s="594"/>
      <c r="E295" s="594"/>
      <c r="F295" s="594"/>
      <c r="G295" s="594"/>
      <c r="H295" s="594"/>
      <c r="I295" s="594"/>
      <c r="J295" s="594"/>
      <c r="K295" s="594"/>
      <c r="L295" s="594"/>
      <c r="M295" s="594"/>
      <c r="N295" s="594"/>
      <c r="O295" s="594"/>
      <c r="P295" s="594"/>
      <c r="Q295" s="594"/>
      <c r="R295" s="594"/>
      <c r="S295" s="594"/>
      <c r="T295" s="594"/>
      <c r="U295" s="594"/>
      <c r="V295" s="594"/>
      <c r="W295" s="594"/>
      <c r="X295" s="594"/>
      <c r="Y295" s="594"/>
      <c r="Z295" s="594"/>
    </row>
    <row r="296" spans="1:26" s="202" customFormat="1" x14ac:dyDescent="0.2">
      <c r="A296" s="594"/>
      <c r="B296" s="594"/>
      <c r="C296" s="594"/>
      <c r="D296" s="594"/>
      <c r="E296" s="594"/>
      <c r="F296" s="594"/>
      <c r="G296" s="594"/>
      <c r="H296" s="594"/>
      <c r="I296" s="594"/>
      <c r="J296" s="594"/>
      <c r="K296" s="594"/>
      <c r="L296" s="594"/>
      <c r="M296" s="594"/>
      <c r="N296" s="594"/>
      <c r="O296" s="594"/>
      <c r="P296" s="594"/>
      <c r="Q296" s="594"/>
      <c r="R296" s="594"/>
      <c r="S296" s="594"/>
      <c r="T296" s="594"/>
      <c r="U296" s="594"/>
      <c r="V296" s="594"/>
      <c r="W296" s="594"/>
      <c r="X296" s="594"/>
      <c r="Y296" s="594"/>
      <c r="Z296" s="594"/>
    </row>
    <row r="297" spans="1:26" ht="13.5" thickBot="1" x14ac:dyDescent="0.25">
      <c r="A297" s="594"/>
      <c r="B297" s="594"/>
      <c r="C297" s="594"/>
      <c r="D297" s="594"/>
      <c r="E297" s="594"/>
      <c r="F297" s="594"/>
      <c r="G297" s="594"/>
      <c r="H297" s="594"/>
      <c r="I297" s="594"/>
      <c r="J297" s="594"/>
      <c r="K297" s="594"/>
      <c r="L297" s="594"/>
      <c r="M297" s="594"/>
      <c r="N297" s="594"/>
      <c r="O297" s="594"/>
      <c r="P297" s="594"/>
      <c r="Q297" s="594"/>
      <c r="R297" s="594"/>
      <c r="S297" s="594"/>
      <c r="T297" s="594"/>
      <c r="U297" s="594"/>
      <c r="V297" s="594"/>
      <c r="W297" s="594"/>
      <c r="X297" s="594"/>
      <c r="Y297" s="594"/>
      <c r="Z297" s="594"/>
    </row>
    <row r="298" spans="1:26" s="203" customFormat="1" x14ac:dyDescent="0.2">
      <c r="A298" s="594"/>
      <c r="B298" s="594"/>
      <c r="C298" s="594"/>
      <c r="D298" s="594"/>
      <c r="E298" s="594"/>
      <c r="F298" s="594"/>
      <c r="G298" s="594"/>
      <c r="H298" s="594"/>
      <c r="I298" s="594"/>
      <c r="J298" s="594"/>
      <c r="K298" s="594"/>
      <c r="L298" s="594"/>
      <c r="M298" s="594"/>
      <c r="N298" s="594"/>
      <c r="O298" s="594"/>
      <c r="P298" s="594"/>
      <c r="Q298" s="594"/>
      <c r="R298" s="594"/>
      <c r="S298" s="594"/>
      <c r="T298" s="594"/>
      <c r="U298" s="594"/>
      <c r="V298" s="594"/>
      <c r="W298" s="594"/>
      <c r="X298" s="594"/>
      <c r="Y298" s="594"/>
      <c r="Z298" s="594"/>
    </row>
    <row r="299" spans="1:26" s="202" customFormat="1" ht="13.5" thickBot="1" x14ac:dyDescent="0.25">
      <c r="A299" s="594"/>
      <c r="B299" s="594"/>
      <c r="C299" s="594"/>
      <c r="D299" s="594"/>
      <c r="E299" s="594"/>
      <c r="F299" s="594"/>
      <c r="G299" s="594"/>
      <c r="H299" s="594"/>
      <c r="I299" s="594"/>
      <c r="J299" s="594"/>
      <c r="K299" s="594"/>
      <c r="L299" s="594"/>
      <c r="M299" s="594"/>
      <c r="N299" s="594"/>
      <c r="O299" s="594"/>
      <c r="P299" s="594"/>
      <c r="Q299" s="594"/>
      <c r="R299" s="594"/>
      <c r="S299" s="594"/>
      <c r="T299" s="594"/>
      <c r="U299" s="594"/>
      <c r="V299" s="594"/>
      <c r="W299" s="594"/>
      <c r="X299" s="594"/>
      <c r="Y299" s="594"/>
      <c r="Z299" s="594"/>
    </row>
    <row r="300" spans="1:26" x14ac:dyDescent="0.2">
      <c r="A300" s="594"/>
      <c r="B300" s="594"/>
      <c r="C300" s="594"/>
      <c r="D300" s="594"/>
      <c r="E300" s="594"/>
      <c r="F300" s="594"/>
      <c r="G300" s="594"/>
      <c r="H300" s="594"/>
      <c r="I300" s="594"/>
      <c r="J300" s="594"/>
      <c r="K300" s="594"/>
      <c r="L300" s="594"/>
      <c r="M300" s="594"/>
      <c r="N300" s="594"/>
      <c r="O300" s="594"/>
      <c r="P300" s="594"/>
      <c r="Q300" s="594"/>
      <c r="R300" s="594"/>
      <c r="S300" s="594"/>
      <c r="T300" s="594"/>
      <c r="U300" s="594"/>
      <c r="V300" s="594"/>
      <c r="W300" s="594"/>
      <c r="X300" s="594"/>
      <c r="Y300" s="594"/>
      <c r="Z300" s="594"/>
    </row>
    <row r="301" spans="1:26" s="203" customFormat="1" x14ac:dyDescent="0.2">
      <c r="A301" s="594"/>
      <c r="B301" s="594"/>
      <c r="C301" s="594"/>
      <c r="D301" s="594"/>
      <c r="E301" s="594"/>
      <c r="F301" s="594"/>
      <c r="G301" s="594"/>
      <c r="H301" s="594"/>
      <c r="I301" s="594"/>
      <c r="J301" s="594"/>
      <c r="K301" s="594"/>
      <c r="L301" s="594"/>
      <c r="M301" s="594"/>
      <c r="N301" s="594"/>
      <c r="O301" s="594"/>
      <c r="P301" s="594"/>
      <c r="Q301" s="594"/>
      <c r="R301" s="594"/>
      <c r="S301" s="594"/>
      <c r="T301" s="594"/>
      <c r="U301" s="594"/>
      <c r="V301" s="594"/>
      <c r="W301" s="594"/>
      <c r="X301" s="594"/>
      <c r="Y301" s="594"/>
      <c r="Z301" s="594"/>
    </row>
    <row r="302" spans="1:26" s="202" customFormat="1" ht="13.5" thickBot="1" x14ac:dyDescent="0.25">
      <c r="A302" s="594"/>
      <c r="B302" s="594"/>
      <c r="C302" s="594"/>
      <c r="D302" s="594"/>
      <c r="E302" s="594"/>
      <c r="F302" s="594"/>
      <c r="G302" s="594"/>
      <c r="H302" s="594"/>
      <c r="I302" s="594"/>
      <c r="J302" s="594"/>
      <c r="K302" s="594"/>
      <c r="L302" s="594"/>
      <c r="M302" s="594"/>
      <c r="N302" s="594"/>
      <c r="O302" s="594"/>
      <c r="P302" s="594"/>
      <c r="Q302" s="594"/>
      <c r="R302" s="594"/>
      <c r="S302" s="594"/>
      <c r="T302" s="594"/>
      <c r="U302" s="594"/>
      <c r="V302" s="594"/>
      <c r="W302" s="594"/>
      <c r="X302" s="594"/>
      <c r="Y302" s="594"/>
      <c r="Z302" s="594"/>
    </row>
    <row r="303" spans="1:26" x14ac:dyDescent="0.2">
      <c r="A303" s="594"/>
      <c r="B303" s="594"/>
      <c r="C303" s="594"/>
      <c r="D303" s="594"/>
      <c r="E303" s="594"/>
      <c r="F303" s="594"/>
      <c r="G303" s="594"/>
      <c r="H303" s="594"/>
      <c r="I303" s="594"/>
      <c r="J303" s="594"/>
      <c r="K303" s="594"/>
      <c r="L303" s="594"/>
      <c r="M303" s="594"/>
      <c r="N303" s="594"/>
      <c r="O303" s="594"/>
      <c r="P303" s="594"/>
      <c r="Q303" s="594"/>
      <c r="R303" s="594"/>
      <c r="S303" s="594"/>
      <c r="T303" s="594"/>
      <c r="U303" s="594"/>
      <c r="V303" s="594"/>
      <c r="W303" s="594"/>
      <c r="X303" s="594"/>
      <c r="Y303" s="594"/>
      <c r="Z303" s="594"/>
    </row>
    <row r="304" spans="1:26" s="203" customFormat="1" x14ac:dyDescent="0.2">
      <c r="A304" s="594"/>
      <c r="B304" s="594"/>
      <c r="C304" s="594"/>
      <c r="D304" s="594"/>
      <c r="E304" s="594"/>
      <c r="F304" s="594"/>
      <c r="G304" s="594"/>
      <c r="H304" s="594"/>
      <c r="I304" s="594"/>
      <c r="J304" s="594"/>
      <c r="K304" s="594"/>
      <c r="L304" s="594"/>
      <c r="M304" s="594"/>
      <c r="N304" s="594"/>
      <c r="O304" s="594"/>
      <c r="P304" s="594"/>
      <c r="Q304" s="594"/>
      <c r="R304" s="594"/>
      <c r="S304" s="594"/>
      <c r="T304" s="594"/>
      <c r="U304" s="594"/>
      <c r="V304" s="594"/>
      <c r="W304" s="594"/>
      <c r="X304" s="594"/>
      <c r="Y304" s="594"/>
      <c r="Z304" s="594"/>
    </row>
    <row r="305" spans="1:26" s="202" customFormat="1" ht="13.5" thickBot="1" x14ac:dyDescent="0.25">
      <c r="A305" s="594"/>
      <c r="B305" s="594"/>
      <c r="C305" s="594"/>
      <c r="D305" s="594"/>
      <c r="E305" s="594"/>
      <c r="F305" s="594"/>
      <c r="G305" s="594"/>
      <c r="H305" s="594"/>
      <c r="I305" s="594"/>
      <c r="J305" s="594"/>
      <c r="K305" s="594"/>
      <c r="L305" s="594"/>
      <c r="M305" s="594"/>
      <c r="N305" s="594"/>
      <c r="O305" s="594"/>
      <c r="P305" s="594"/>
      <c r="Q305" s="594"/>
      <c r="R305" s="594"/>
      <c r="S305" s="594"/>
      <c r="T305" s="594"/>
      <c r="U305" s="594"/>
      <c r="V305" s="594"/>
      <c r="W305" s="594"/>
      <c r="X305" s="594"/>
      <c r="Y305" s="594"/>
      <c r="Z305" s="594"/>
    </row>
    <row r="306" spans="1:26" x14ac:dyDescent="0.2">
      <c r="A306" s="594"/>
      <c r="B306" s="594"/>
      <c r="C306" s="594"/>
      <c r="D306" s="594"/>
      <c r="E306" s="594"/>
      <c r="F306" s="594"/>
      <c r="G306" s="594"/>
      <c r="H306" s="594"/>
      <c r="I306" s="594"/>
      <c r="J306" s="594"/>
      <c r="K306" s="594"/>
      <c r="L306" s="594"/>
      <c r="M306" s="594"/>
      <c r="N306" s="594"/>
      <c r="O306" s="594"/>
      <c r="P306" s="594"/>
      <c r="Q306" s="594"/>
      <c r="R306" s="594"/>
      <c r="S306" s="594"/>
      <c r="T306" s="594"/>
      <c r="U306" s="594"/>
      <c r="V306" s="594"/>
      <c r="W306" s="594"/>
      <c r="X306" s="594"/>
      <c r="Y306" s="594"/>
      <c r="Z306" s="594"/>
    </row>
    <row r="307" spans="1:26" s="203" customFormat="1" ht="13.5" thickBot="1" x14ac:dyDescent="0.25">
      <c r="A307" s="594"/>
      <c r="B307" s="594"/>
      <c r="C307" s="594"/>
      <c r="D307" s="594"/>
      <c r="E307" s="594"/>
      <c r="F307" s="594"/>
      <c r="G307" s="594"/>
      <c r="H307" s="594"/>
      <c r="I307" s="594"/>
      <c r="J307" s="594"/>
      <c r="K307" s="594"/>
      <c r="L307" s="594"/>
      <c r="M307" s="594"/>
      <c r="N307" s="594"/>
      <c r="O307" s="594"/>
      <c r="P307" s="594"/>
      <c r="Q307" s="594"/>
      <c r="R307" s="594"/>
      <c r="S307" s="594"/>
      <c r="T307" s="594"/>
      <c r="U307" s="594"/>
      <c r="V307" s="594"/>
      <c r="W307" s="594"/>
      <c r="X307" s="594"/>
      <c r="Y307" s="594"/>
      <c r="Z307" s="594"/>
    </row>
    <row r="308" spans="1:26" s="202" customFormat="1" x14ac:dyDescent="0.2">
      <c r="A308" s="594"/>
      <c r="B308" s="594"/>
      <c r="C308" s="594"/>
      <c r="D308" s="594"/>
      <c r="E308" s="594"/>
      <c r="F308" s="594"/>
      <c r="G308" s="594"/>
      <c r="H308" s="594"/>
      <c r="I308" s="594"/>
      <c r="J308" s="594"/>
      <c r="K308" s="594"/>
      <c r="L308" s="594"/>
      <c r="M308" s="594"/>
      <c r="N308" s="594"/>
      <c r="O308" s="594"/>
      <c r="P308" s="594"/>
      <c r="Q308" s="594"/>
      <c r="R308" s="594"/>
      <c r="S308" s="594"/>
      <c r="T308" s="594"/>
      <c r="U308" s="594"/>
      <c r="V308" s="594"/>
      <c r="W308" s="594"/>
      <c r="X308" s="594"/>
      <c r="Y308" s="594"/>
      <c r="Z308" s="594"/>
    </row>
    <row r="309" spans="1:26" x14ac:dyDescent="0.2">
      <c r="A309" s="594"/>
      <c r="B309" s="594"/>
      <c r="C309" s="594"/>
      <c r="D309" s="594"/>
      <c r="E309" s="594"/>
      <c r="F309" s="594"/>
      <c r="G309" s="594"/>
      <c r="H309" s="594"/>
      <c r="I309" s="594"/>
      <c r="J309" s="594"/>
      <c r="K309" s="594"/>
      <c r="L309" s="594"/>
      <c r="M309" s="594"/>
      <c r="N309" s="594"/>
      <c r="O309" s="594"/>
      <c r="P309" s="594"/>
      <c r="Q309" s="594"/>
      <c r="R309" s="594"/>
      <c r="S309" s="594"/>
      <c r="T309" s="594"/>
      <c r="U309" s="594"/>
      <c r="V309" s="594"/>
      <c r="W309" s="594"/>
      <c r="X309" s="594"/>
      <c r="Y309" s="594"/>
      <c r="Z309" s="594"/>
    </row>
    <row r="310" spans="1:26" s="203" customFormat="1" ht="13.5" thickBot="1" x14ac:dyDescent="0.25">
      <c r="A310" s="594"/>
      <c r="B310" s="594"/>
      <c r="C310" s="594"/>
      <c r="D310" s="594"/>
      <c r="E310" s="594"/>
      <c r="F310" s="594"/>
      <c r="G310" s="594"/>
      <c r="H310" s="594"/>
      <c r="I310" s="594"/>
      <c r="J310" s="594"/>
      <c r="K310" s="594"/>
      <c r="L310" s="594"/>
      <c r="M310" s="594"/>
      <c r="N310" s="594"/>
      <c r="O310" s="594"/>
      <c r="P310" s="594"/>
      <c r="Q310" s="594"/>
      <c r="R310" s="594"/>
      <c r="S310" s="594"/>
      <c r="T310" s="594"/>
      <c r="U310" s="594"/>
      <c r="V310" s="594"/>
      <c r="W310" s="594"/>
      <c r="X310" s="594"/>
      <c r="Y310" s="594"/>
      <c r="Z310" s="594"/>
    </row>
    <row r="311" spans="1:26" s="202" customFormat="1" x14ac:dyDescent="0.2">
      <c r="A311" s="594"/>
      <c r="B311" s="594"/>
      <c r="C311" s="594"/>
      <c r="D311" s="594"/>
      <c r="E311" s="594"/>
      <c r="F311" s="594"/>
      <c r="G311" s="594"/>
      <c r="H311" s="594"/>
      <c r="I311" s="594"/>
      <c r="J311" s="594"/>
      <c r="K311" s="594"/>
      <c r="L311" s="594"/>
      <c r="M311" s="594"/>
      <c r="N311" s="594"/>
      <c r="O311" s="594"/>
      <c r="P311" s="594"/>
      <c r="Q311" s="594"/>
      <c r="R311" s="594"/>
      <c r="S311" s="594"/>
      <c r="T311" s="594"/>
      <c r="U311" s="594"/>
      <c r="V311" s="594"/>
      <c r="W311" s="594"/>
      <c r="X311" s="594"/>
      <c r="Y311" s="594"/>
      <c r="Z311" s="594"/>
    </row>
    <row r="312" spans="1:26" ht="13.5" thickBot="1" x14ac:dyDescent="0.25">
      <c r="A312" s="594"/>
      <c r="B312" s="594"/>
      <c r="C312" s="594"/>
      <c r="D312" s="594"/>
      <c r="E312" s="594"/>
      <c r="F312" s="594"/>
      <c r="G312" s="594"/>
      <c r="H312" s="594"/>
      <c r="I312" s="594"/>
      <c r="J312" s="594"/>
      <c r="K312" s="594"/>
      <c r="L312" s="594"/>
      <c r="M312" s="594"/>
      <c r="N312" s="594"/>
      <c r="O312" s="594"/>
      <c r="P312" s="594"/>
      <c r="Q312" s="594"/>
      <c r="R312" s="594"/>
      <c r="S312" s="594"/>
      <c r="T312" s="594"/>
      <c r="U312" s="594"/>
      <c r="V312" s="594"/>
      <c r="W312" s="594"/>
      <c r="X312" s="594"/>
      <c r="Y312" s="594"/>
      <c r="Z312" s="594"/>
    </row>
    <row r="313" spans="1:26" s="203" customFormat="1" x14ac:dyDescent="0.2">
      <c r="A313" s="594"/>
      <c r="B313" s="594"/>
      <c r="C313" s="594"/>
      <c r="D313" s="594"/>
      <c r="E313" s="594"/>
      <c r="F313" s="594"/>
      <c r="G313" s="594"/>
      <c r="H313" s="594"/>
      <c r="I313" s="594"/>
      <c r="J313" s="594"/>
      <c r="K313" s="594"/>
      <c r="L313" s="594"/>
      <c r="M313" s="594"/>
      <c r="N313" s="594"/>
      <c r="O313" s="594"/>
      <c r="P313" s="594"/>
      <c r="Q313" s="594"/>
      <c r="R313" s="594"/>
      <c r="S313" s="594"/>
      <c r="T313" s="594"/>
      <c r="U313" s="594"/>
      <c r="V313" s="594"/>
      <c r="W313" s="594"/>
      <c r="X313" s="594"/>
      <c r="Y313" s="594"/>
      <c r="Z313" s="594"/>
    </row>
    <row r="314" spans="1:26" s="202" customFormat="1" x14ac:dyDescent="0.2">
      <c r="A314" s="594"/>
      <c r="B314" s="594"/>
      <c r="C314" s="594"/>
      <c r="D314" s="594"/>
      <c r="E314" s="594"/>
      <c r="F314" s="594"/>
      <c r="G314" s="594"/>
      <c r="H314" s="594"/>
      <c r="I314" s="594"/>
      <c r="J314" s="594"/>
      <c r="K314" s="594"/>
      <c r="L314" s="594"/>
      <c r="M314" s="594"/>
      <c r="N314" s="594"/>
      <c r="O314" s="594"/>
      <c r="P314" s="594"/>
      <c r="Q314" s="594"/>
      <c r="R314" s="594"/>
      <c r="S314" s="594"/>
      <c r="T314" s="594"/>
      <c r="U314" s="594"/>
      <c r="V314" s="594"/>
      <c r="W314" s="594"/>
      <c r="X314" s="594"/>
      <c r="Y314" s="594"/>
      <c r="Z314" s="594"/>
    </row>
    <row r="315" spans="1:26" ht="13.5" thickBot="1" x14ac:dyDescent="0.25">
      <c r="A315" s="594"/>
      <c r="B315" s="594"/>
      <c r="C315" s="594"/>
      <c r="D315" s="594"/>
      <c r="E315" s="594"/>
      <c r="F315" s="594"/>
      <c r="G315" s="594"/>
      <c r="H315" s="594"/>
      <c r="I315" s="594"/>
      <c r="J315" s="594"/>
      <c r="K315" s="594"/>
      <c r="L315" s="594"/>
      <c r="M315" s="594"/>
      <c r="N315" s="594"/>
      <c r="O315" s="594"/>
      <c r="P315" s="594"/>
      <c r="Q315" s="594"/>
      <c r="R315" s="594"/>
      <c r="S315" s="594"/>
      <c r="T315" s="594"/>
      <c r="U315" s="594"/>
      <c r="V315" s="594"/>
      <c r="W315" s="594"/>
      <c r="X315" s="594"/>
      <c r="Y315" s="594"/>
      <c r="Z315" s="594"/>
    </row>
    <row r="316" spans="1:26" s="203" customFormat="1" x14ac:dyDescent="0.2">
      <c r="A316" s="594"/>
      <c r="B316" s="594"/>
      <c r="C316" s="594"/>
      <c r="D316" s="594"/>
      <c r="E316" s="594"/>
      <c r="F316" s="594"/>
      <c r="G316" s="594"/>
      <c r="H316" s="594"/>
      <c r="I316" s="594"/>
      <c r="J316" s="594"/>
      <c r="K316" s="594"/>
      <c r="L316" s="594"/>
      <c r="M316" s="594"/>
      <c r="N316" s="594"/>
      <c r="O316" s="594"/>
      <c r="P316" s="594"/>
      <c r="Q316" s="594"/>
      <c r="R316" s="594"/>
      <c r="S316" s="594"/>
      <c r="T316" s="594"/>
      <c r="U316" s="594"/>
      <c r="V316" s="594"/>
      <c r="W316" s="594"/>
      <c r="X316" s="594"/>
      <c r="Y316" s="594"/>
      <c r="Z316" s="594"/>
    </row>
    <row r="317" spans="1:26" s="212" customFormat="1" x14ac:dyDescent="0.2">
      <c r="A317" s="594"/>
      <c r="B317" s="594"/>
      <c r="C317" s="594"/>
      <c r="D317" s="594"/>
      <c r="E317" s="594"/>
      <c r="F317" s="594"/>
      <c r="G317" s="594"/>
      <c r="H317" s="594"/>
      <c r="I317" s="594"/>
      <c r="J317" s="594"/>
      <c r="K317" s="594"/>
      <c r="L317" s="594"/>
      <c r="M317" s="594"/>
      <c r="N317" s="594"/>
      <c r="O317" s="594"/>
      <c r="P317" s="594"/>
      <c r="Q317" s="594"/>
      <c r="R317" s="594"/>
      <c r="S317" s="594"/>
      <c r="T317" s="594"/>
      <c r="U317" s="594"/>
      <c r="V317" s="594"/>
      <c r="W317" s="594"/>
      <c r="X317" s="594"/>
      <c r="Y317" s="594"/>
      <c r="Z317" s="594"/>
    </row>
    <row r="318" spans="1:26" ht="13.5" thickBot="1" x14ac:dyDescent="0.25">
      <c r="A318" s="594"/>
      <c r="B318" s="594"/>
      <c r="C318" s="594"/>
      <c r="D318" s="594"/>
      <c r="E318" s="594"/>
      <c r="F318" s="594"/>
      <c r="G318" s="594"/>
      <c r="H318" s="594"/>
      <c r="I318" s="594"/>
      <c r="J318" s="594"/>
      <c r="K318" s="594"/>
      <c r="L318" s="594"/>
      <c r="M318" s="594"/>
      <c r="N318" s="594"/>
      <c r="O318" s="594"/>
      <c r="P318" s="594"/>
      <c r="Q318" s="594"/>
      <c r="R318" s="594"/>
      <c r="S318" s="594"/>
      <c r="T318" s="594"/>
      <c r="U318" s="594"/>
      <c r="V318" s="594"/>
      <c r="W318" s="594"/>
      <c r="X318" s="594"/>
      <c r="Y318" s="594"/>
      <c r="Z318" s="594"/>
    </row>
    <row r="319" spans="1:26" s="203" customFormat="1" x14ac:dyDescent="0.2">
      <c r="A319" s="594"/>
      <c r="B319" s="594"/>
      <c r="C319" s="594"/>
      <c r="D319" s="594"/>
      <c r="E319" s="594"/>
      <c r="F319" s="594"/>
      <c r="G319" s="594"/>
      <c r="H319" s="594"/>
      <c r="I319" s="594"/>
      <c r="J319" s="594"/>
      <c r="K319" s="594"/>
      <c r="L319" s="594"/>
      <c r="M319" s="594"/>
      <c r="N319" s="594"/>
      <c r="O319" s="594"/>
      <c r="P319" s="594"/>
      <c r="Q319" s="594"/>
      <c r="R319" s="594"/>
      <c r="S319" s="594"/>
      <c r="T319" s="594"/>
      <c r="U319" s="594"/>
      <c r="V319" s="594"/>
      <c r="W319" s="594"/>
      <c r="X319" s="594"/>
      <c r="Y319" s="594"/>
      <c r="Z319" s="594"/>
    </row>
    <row r="320" spans="1:26" s="202" customFormat="1" ht="13.5" thickBot="1" x14ac:dyDescent="0.25">
      <c r="A320" s="594"/>
      <c r="B320" s="594"/>
      <c r="C320" s="594"/>
      <c r="D320" s="594"/>
      <c r="E320" s="594"/>
      <c r="F320" s="594"/>
      <c r="G320" s="594"/>
      <c r="H320" s="594"/>
      <c r="I320" s="594"/>
      <c r="J320" s="594"/>
      <c r="K320" s="594"/>
      <c r="L320" s="594"/>
      <c r="M320" s="594"/>
      <c r="N320" s="594"/>
      <c r="O320" s="594"/>
      <c r="P320" s="594"/>
      <c r="Q320" s="594"/>
      <c r="R320" s="594"/>
      <c r="S320" s="594"/>
      <c r="T320" s="594"/>
      <c r="U320" s="594"/>
      <c r="V320" s="594"/>
      <c r="W320" s="594"/>
      <c r="X320" s="594"/>
      <c r="Y320" s="594"/>
      <c r="Z320" s="594"/>
    </row>
    <row r="321" spans="1:26" x14ac:dyDescent="0.2">
      <c r="A321" s="594"/>
      <c r="B321" s="594"/>
      <c r="C321" s="594"/>
      <c r="D321" s="594"/>
      <c r="E321" s="594"/>
      <c r="F321" s="594"/>
      <c r="G321" s="594"/>
      <c r="H321" s="594"/>
      <c r="I321" s="594"/>
      <c r="J321" s="594"/>
      <c r="K321" s="594"/>
      <c r="L321" s="594"/>
      <c r="M321" s="594"/>
      <c r="N321" s="594"/>
      <c r="O321" s="594"/>
      <c r="P321" s="594"/>
      <c r="Q321" s="594"/>
      <c r="R321" s="594"/>
      <c r="S321" s="594"/>
      <c r="T321" s="594"/>
      <c r="U321" s="594"/>
      <c r="V321" s="594"/>
      <c r="W321" s="594"/>
      <c r="X321" s="594"/>
      <c r="Y321" s="594"/>
      <c r="Z321" s="594"/>
    </row>
    <row r="322" spans="1:26" s="203" customFormat="1" x14ac:dyDescent="0.2">
      <c r="A322" s="594"/>
      <c r="B322" s="594"/>
      <c r="C322" s="594"/>
      <c r="D322" s="594"/>
      <c r="E322" s="594"/>
      <c r="F322" s="594"/>
      <c r="G322" s="594"/>
      <c r="H322" s="594"/>
      <c r="I322" s="594"/>
      <c r="J322" s="594"/>
      <c r="K322" s="594"/>
      <c r="L322" s="594"/>
      <c r="M322" s="594"/>
      <c r="N322" s="594"/>
      <c r="O322" s="594"/>
      <c r="P322" s="594"/>
      <c r="Q322" s="594"/>
      <c r="R322" s="594"/>
      <c r="S322" s="594"/>
      <c r="T322" s="594"/>
      <c r="U322" s="594"/>
      <c r="V322" s="594"/>
      <c r="W322" s="594"/>
      <c r="X322" s="594"/>
      <c r="Y322" s="594"/>
      <c r="Z322" s="594"/>
    </row>
    <row r="323" spans="1:26" s="202" customFormat="1" ht="13.5" thickBot="1" x14ac:dyDescent="0.25">
      <c r="A323" s="594"/>
      <c r="B323" s="594"/>
      <c r="C323" s="594"/>
      <c r="D323" s="594"/>
      <c r="E323" s="594"/>
      <c r="F323" s="594"/>
      <c r="G323" s="594"/>
      <c r="H323" s="594"/>
      <c r="I323" s="594"/>
      <c r="J323" s="594"/>
      <c r="K323" s="594"/>
      <c r="L323" s="594"/>
      <c r="M323" s="594"/>
      <c r="N323" s="594"/>
      <c r="O323" s="594"/>
      <c r="P323" s="594"/>
      <c r="Q323" s="594"/>
      <c r="R323" s="594"/>
      <c r="S323" s="594"/>
      <c r="T323" s="594"/>
      <c r="U323" s="594"/>
      <c r="V323" s="594"/>
      <c r="W323" s="594"/>
      <c r="X323" s="594"/>
      <c r="Y323" s="594"/>
      <c r="Z323" s="594"/>
    </row>
    <row r="324" spans="1:26" x14ac:dyDescent="0.2">
      <c r="A324" s="594"/>
      <c r="B324" s="594"/>
      <c r="C324" s="594"/>
      <c r="D324" s="594"/>
      <c r="E324" s="594"/>
      <c r="F324" s="594"/>
      <c r="G324" s="594"/>
      <c r="H324" s="594"/>
      <c r="I324" s="594"/>
      <c r="J324" s="594"/>
      <c r="K324" s="594"/>
      <c r="L324" s="594"/>
      <c r="M324" s="594"/>
      <c r="N324" s="594"/>
      <c r="O324" s="594"/>
      <c r="P324" s="594"/>
      <c r="Q324" s="594"/>
      <c r="R324" s="594"/>
      <c r="S324" s="594"/>
      <c r="T324" s="594"/>
      <c r="U324" s="594"/>
      <c r="V324" s="594"/>
      <c r="W324" s="594"/>
      <c r="X324" s="594"/>
      <c r="Y324" s="594"/>
      <c r="Z324" s="594"/>
    </row>
    <row r="325" spans="1:26" s="203" customFormat="1" x14ac:dyDescent="0.2">
      <c r="A325" s="594"/>
      <c r="B325" s="594"/>
      <c r="C325" s="594"/>
      <c r="D325" s="594"/>
      <c r="E325" s="594"/>
      <c r="F325" s="594"/>
      <c r="G325" s="594"/>
      <c r="H325" s="594"/>
      <c r="I325" s="594"/>
      <c r="J325" s="594"/>
      <c r="K325" s="594"/>
      <c r="L325" s="594"/>
      <c r="M325" s="594"/>
      <c r="N325" s="594"/>
      <c r="O325" s="594"/>
      <c r="P325" s="594"/>
      <c r="Q325" s="594"/>
      <c r="R325" s="594"/>
      <c r="S325" s="594"/>
      <c r="T325" s="594"/>
      <c r="U325" s="594"/>
      <c r="V325" s="594"/>
      <c r="W325" s="594"/>
      <c r="X325" s="594"/>
      <c r="Y325" s="594"/>
      <c r="Z325" s="594"/>
    </row>
    <row r="326" spans="1:26" s="202" customFormat="1" ht="13.5" thickBot="1" x14ac:dyDescent="0.25">
      <c r="A326" s="594"/>
      <c r="B326" s="594"/>
      <c r="C326" s="594"/>
      <c r="D326" s="594"/>
      <c r="E326" s="594"/>
      <c r="F326" s="594"/>
      <c r="G326" s="594"/>
      <c r="H326" s="594"/>
      <c r="I326" s="594"/>
      <c r="J326" s="594"/>
      <c r="K326" s="594"/>
      <c r="L326" s="594"/>
      <c r="M326" s="594"/>
      <c r="N326" s="594"/>
      <c r="O326" s="594"/>
      <c r="P326" s="594"/>
      <c r="Q326" s="594"/>
      <c r="R326" s="594"/>
      <c r="S326" s="594"/>
      <c r="T326" s="594"/>
      <c r="U326" s="594"/>
      <c r="V326" s="594"/>
      <c r="W326" s="594"/>
      <c r="X326" s="594"/>
      <c r="Y326" s="594"/>
      <c r="Z326" s="594"/>
    </row>
    <row r="327" spans="1:26" x14ac:dyDescent="0.2">
      <c r="A327" s="594"/>
      <c r="B327" s="594"/>
      <c r="C327" s="594"/>
      <c r="D327" s="594"/>
      <c r="E327" s="594"/>
      <c r="F327" s="594"/>
      <c r="G327" s="594"/>
      <c r="H327" s="594"/>
      <c r="I327" s="594"/>
      <c r="J327" s="594"/>
      <c r="K327" s="594"/>
      <c r="L327" s="594"/>
      <c r="M327" s="594"/>
      <c r="N327" s="594"/>
      <c r="O327" s="594"/>
      <c r="P327" s="594"/>
      <c r="Q327" s="594"/>
      <c r="R327" s="594"/>
      <c r="S327" s="594"/>
      <c r="T327" s="594"/>
      <c r="U327" s="594"/>
      <c r="V327" s="594"/>
      <c r="W327" s="594"/>
      <c r="X327" s="594"/>
      <c r="Y327" s="594"/>
      <c r="Z327" s="594"/>
    </row>
    <row r="328" spans="1:26" s="203" customFormat="1" x14ac:dyDescent="0.2">
      <c r="A328" s="594"/>
      <c r="B328" s="594"/>
      <c r="C328" s="594"/>
      <c r="D328" s="594"/>
      <c r="E328" s="594"/>
      <c r="F328" s="594"/>
      <c r="G328" s="594"/>
      <c r="H328" s="594"/>
      <c r="I328" s="594"/>
      <c r="J328" s="594"/>
      <c r="K328" s="594"/>
      <c r="L328" s="594"/>
      <c r="M328" s="594"/>
      <c r="N328" s="594"/>
      <c r="O328" s="594"/>
      <c r="P328" s="594"/>
      <c r="Q328" s="594"/>
      <c r="R328" s="594"/>
      <c r="S328" s="594"/>
      <c r="T328" s="594"/>
      <c r="U328" s="594"/>
      <c r="V328" s="594"/>
      <c r="W328" s="594"/>
      <c r="X328" s="594"/>
      <c r="Y328" s="594"/>
      <c r="Z328" s="594"/>
    </row>
    <row r="329" spans="1:26" s="202" customFormat="1" ht="13.5" thickBot="1" x14ac:dyDescent="0.25">
      <c r="A329" s="594"/>
      <c r="B329" s="594"/>
      <c r="C329" s="594"/>
      <c r="D329" s="594"/>
      <c r="E329" s="594"/>
      <c r="F329" s="594"/>
      <c r="G329" s="594"/>
      <c r="H329" s="594"/>
      <c r="I329" s="594"/>
      <c r="J329" s="594"/>
      <c r="K329" s="594"/>
      <c r="L329" s="594"/>
      <c r="M329" s="594"/>
      <c r="N329" s="594"/>
      <c r="O329" s="594"/>
      <c r="P329" s="594"/>
      <c r="Q329" s="594"/>
      <c r="R329" s="594"/>
      <c r="S329" s="594"/>
      <c r="T329" s="594"/>
      <c r="U329" s="594"/>
      <c r="V329" s="594"/>
      <c r="W329" s="594"/>
      <c r="X329" s="594"/>
      <c r="Y329" s="594"/>
      <c r="Z329" s="594"/>
    </row>
    <row r="330" spans="1:26" x14ac:dyDescent="0.2">
      <c r="A330" s="594"/>
      <c r="B330" s="594"/>
      <c r="C330" s="594"/>
      <c r="D330" s="594"/>
      <c r="E330" s="594"/>
      <c r="F330" s="594"/>
      <c r="G330" s="594"/>
      <c r="H330" s="594"/>
      <c r="I330" s="594"/>
      <c r="J330" s="594"/>
      <c r="K330" s="594"/>
      <c r="L330" s="594"/>
      <c r="M330" s="594"/>
      <c r="N330" s="594"/>
      <c r="O330" s="594"/>
      <c r="P330" s="594"/>
      <c r="Q330" s="594"/>
      <c r="R330" s="594"/>
      <c r="S330" s="594"/>
      <c r="T330" s="594"/>
      <c r="U330" s="594"/>
      <c r="V330" s="594"/>
      <c r="W330" s="594"/>
      <c r="X330" s="594"/>
      <c r="Y330" s="594"/>
      <c r="Z330" s="594"/>
    </row>
    <row r="331" spans="1:26" s="203" customFormat="1" x14ac:dyDescent="0.2">
      <c r="A331" s="594"/>
      <c r="B331" s="594"/>
      <c r="C331" s="594"/>
      <c r="D331" s="594"/>
      <c r="E331" s="594"/>
      <c r="F331" s="594"/>
      <c r="G331" s="594"/>
      <c r="H331" s="594"/>
      <c r="I331" s="594"/>
      <c r="J331" s="594"/>
      <c r="K331" s="594"/>
      <c r="L331" s="594"/>
      <c r="M331" s="594"/>
      <c r="N331" s="594"/>
      <c r="O331" s="594"/>
      <c r="P331" s="594"/>
      <c r="Q331" s="594"/>
      <c r="R331" s="594"/>
      <c r="S331" s="594"/>
      <c r="T331" s="594"/>
      <c r="U331" s="594"/>
      <c r="V331" s="594"/>
      <c r="W331" s="594"/>
      <c r="X331" s="594"/>
      <c r="Y331" s="594"/>
      <c r="Z331" s="594"/>
    </row>
    <row r="332" spans="1:26" s="202" customFormat="1" ht="13.5" thickBot="1" x14ac:dyDescent="0.25">
      <c r="A332" s="594"/>
      <c r="B332" s="594"/>
      <c r="C332" s="594"/>
      <c r="D332" s="594"/>
      <c r="E332" s="594"/>
      <c r="F332" s="594"/>
      <c r="G332" s="594"/>
      <c r="H332" s="594"/>
      <c r="I332" s="594"/>
      <c r="J332" s="594"/>
      <c r="K332" s="594"/>
      <c r="L332" s="594"/>
      <c r="M332" s="594"/>
      <c r="N332" s="594"/>
      <c r="O332" s="594"/>
      <c r="P332" s="594"/>
      <c r="Q332" s="594"/>
      <c r="R332" s="594"/>
      <c r="S332" s="594"/>
      <c r="T332" s="594"/>
      <c r="U332" s="594"/>
      <c r="V332" s="594"/>
      <c r="W332" s="594"/>
      <c r="X332" s="594"/>
      <c r="Y332" s="594"/>
      <c r="Z332" s="594"/>
    </row>
    <row r="333" spans="1:26" x14ac:dyDescent="0.2">
      <c r="A333" s="594"/>
      <c r="B333" s="594"/>
      <c r="C333" s="594"/>
      <c r="D333" s="594"/>
      <c r="E333" s="594"/>
      <c r="F333" s="594"/>
      <c r="G333" s="594"/>
      <c r="H333" s="594"/>
      <c r="I333" s="594"/>
      <c r="J333" s="594"/>
      <c r="K333" s="594"/>
      <c r="L333" s="594"/>
      <c r="M333" s="594"/>
      <c r="N333" s="594"/>
      <c r="O333" s="594"/>
      <c r="P333" s="594"/>
      <c r="Q333" s="594"/>
      <c r="R333" s="594"/>
      <c r="S333" s="594"/>
      <c r="T333" s="594"/>
      <c r="U333" s="594"/>
      <c r="V333" s="594"/>
      <c r="W333" s="594"/>
      <c r="X333" s="594"/>
      <c r="Y333" s="594"/>
      <c r="Z333" s="594"/>
    </row>
    <row r="334" spans="1:26" s="203" customFormat="1" x14ac:dyDescent="0.2">
      <c r="A334" s="594"/>
      <c r="B334" s="594"/>
      <c r="C334" s="594"/>
      <c r="D334" s="594"/>
      <c r="E334" s="594"/>
      <c r="F334" s="594"/>
      <c r="G334" s="594"/>
      <c r="H334" s="594"/>
      <c r="I334" s="594"/>
      <c r="J334" s="594"/>
      <c r="K334" s="594"/>
      <c r="L334" s="594"/>
      <c r="M334" s="594"/>
      <c r="N334" s="594"/>
      <c r="O334" s="594"/>
      <c r="P334" s="594"/>
      <c r="Q334" s="594"/>
      <c r="R334" s="594"/>
      <c r="S334" s="594"/>
      <c r="T334" s="594"/>
      <c r="U334" s="594"/>
      <c r="V334" s="594"/>
      <c r="W334" s="594"/>
      <c r="X334" s="594"/>
      <c r="Y334" s="594"/>
      <c r="Z334" s="594"/>
    </row>
    <row r="335" spans="1:26" s="202" customFormat="1" ht="13.5" thickBot="1" x14ac:dyDescent="0.25">
      <c r="A335" s="594"/>
      <c r="B335" s="594"/>
      <c r="C335" s="594"/>
      <c r="D335" s="594"/>
      <c r="E335" s="594"/>
      <c r="F335" s="594"/>
      <c r="G335" s="594"/>
      <c r="H335" s="594"/>
      <c r="I335" s="594"/>
      <c r="J335" s="594"/>
      <c r="K335" s="594"/>
      <c r="L335" s="594"/>
      <c r="M335" s="594"/>
      <c r="N335" s="594"/>
      <c r="O335" s="594"/>
      <c r="P335" s="594"/>
      <c r="Q335" s="594"/>
      <c r="R335" s="594"/>
      <c r="S335" s="594"/>
      <c r="T335" s="594"/>
      <c r="U335" s="594"/>
      <c r="V335" s="594"/>
      <c r="W335" s="594"/>
      <c r="X335" s="594"/>
      <c r="Y335" s="594"/>
      <c r="Z335" s="594"/>
    </row>
    <row r="336" spans="1:26" x14ac:dyDescent="0.2">
      <c r="A336" s="594"/>
      <c r="B336" s="594"/>
      <c r="C336" s="594"/>
      <c r="D336" s="594"/>
      <c r="E336" s="594"/>
      <c r="F336" s="594"/>
      <c r="G336" s="594"/>
      <c r="H336" s="594"/>
      <c r="I336" s="594"/>
      <c r="J336" s="594"/>
      <c r="K336" s="594"/>
      <c r="L336" s="594"/>
      <c r="M336" s="594"/>
      <c r="N336" s="594"/>
      <c r="O336" s="594"/>
      <c r="P336" s="594"/>
      <c r="Q336" s="594"/>
      <c r="R336" s="594"/>
      <c r="S336" s="594"/>
      <c r="T336" s="594"/>
      <c r="U336" s="594"/>
      <c r="V336" s="594"/>
      <c r="W336" s="594"/>
      <c r="X336" s="594"/>
      <c r="Y336" s="594"/>
      <c r="Z336" s="594"/>
    </row>
    <row r="337" spans="1:26" s="203" customFormat="1" x14ac:dyDescent="0.2">
      <c r="A337" s="594"/>
      <c r="B337" s="594"/>
      <c r="C337" s="594"/>
      <c r="D337" s="594"/>
      <c r="E337" s="594"/>
      <c r="F337" s="594"/>
      <c r="G337" s="594"/>
      <c r="H337" s="594"/>
      <c r="I337" s="594"/>
      <c r="J337" s="594"/>
      <c r="K337" s="594"/>
      <c r="L337" s="594"/>
      <c r="M337" s="594"/>
      <c r="N337" s="594"/>
      <c r="O337" s="594"/>
      <c r="P337" s="594"/>
      <c r="Q337" s="594"/>
      <c r="R337" s="594"/>
      <c r="S337" s="594"/>
      <c r="T337" s="594"/>
      <c r="U337" s="594"/>
      <c r="V337" s="594"/>
      <c r="W337" s="594"/>
      <c r="X337" s="594"/>
      <c r="Y337" s="594"/>
      <c r="Z337" s="594"/>
    </row>
    <row r="338" spans="1:26" s="202" customFormat="1" ht="13.5" thickBot="1" x14ac:dyDescent="0.25">
      <c r="A338" s="594"/>
      <c r="B338" s="594"/>
      <c r="C338" s="594"/>
      <c r="D338" s="594"/>
      <c r="E338" s="594"/>
      <c r="F338" s="594"/>
      <c r="G338" s="594"/>
      <c r="H338" s="594"/>
      <c r="I338" s="594"/>
      <c r="J338" s="594"/>
      <c r="K338" s="594"/>
      <c r="L338" s="594"/>
      <c r="M338" s="594"/>
      <c r="N338" s="594"/>
      <c r="O338" s="594"/>
      <c r="P338" s="594"/>
      <c r="Q338" s="594"/>
      <c r="R338" s="594"/>
      <c r="S338" s="594"/>
      <c r="T338" s="594"/>
      <c r="U338" s="594"/>
      <c r="V338" s="594"/>
      <c r="W338" s="594"/>
      <c r="X338" s="594"/>
      <c r="Y338" s="594"/>
      <c r="Z338" s="594"/>
    </row>
    <row r="339" spans="1:26" x14ac:dyDescent="0.2">
      <c r="A339" s="594"/>
      <c r="B339" s="594"/>
      <c r="C339" s="594"/>
      <c r="D339" s="594"/>
      <c r="E339" s="594"/>
      <c r="F339" s="594"/>
      <c r="G339" s="594"/>
      <c r="H339" s="594"/>
      <c r="I339" s="594"/>
      <c r="J339" s="594"/>
      <c r="K339" s="594"/>
      <c r="L339" s="594"/>
      <c r="M339" s="594"/>
      <c r="N339" s="594"/>
      <c r="O339" s="594"/>
      <c r="P339" s="594"/>
      <c r="Q339" s="594"/>
      <c r="R339" s="594"/>
      <c r="S339" s="594"/>
      <c r="T339" s="594"/>
      <c r="U339" s="594"/>
      <c r="V339" s="594"/>
      <c r="W339" s="594"/>
      <c r="X339" s="594"/>
      <c r="Y339" s="594"/>
      <c r="Z339" s="594"/>
    </row>
    <row r="340" spans="1:26" s="203" customFormat="1" x14ac:dyDescent="0.2">
      <c r="A340" s="594"/>
      <c r="B340" s="594"/>
      <c r="C340" s="594"/>
      <c r="D340" s="594"/>
      <c r="E340" s="594"/>
      <c r="F340" s="594"/>
      <c r="G340" s="594"/>
      <c r="H340" s="594"/>
      <c r="I340" s="594"/>
      <c r="J340" s="594"/>
      <c r="K340" s="594"/>
      <c r="L340" s="594"/>
      <c r="M340" s="594"/>
      <c r="N340" s="594"/>
      <c r="O340" s="594"/>
      <c r="P340" s="594"/>
      <c r="Q340" s="594"/>
      <c r="R340" s="594"/>
      <c r="S340" s="594"/>
      <c r="T340" s="594"/>
      <c r="U340" s="594"/>
      <c r="V340" s="594"/>
      <c r="W340" s="594"/>
      <c r="X340" s="594"/>
      <c r="Y340" s="594"/>
      <c r="Z340" s="594"/>
    </row>
    <row r="341" spans="1:26" s="202" customFormat="1" ht="13.5" thickBot="1" x14ac:dyDescent="0.25">
      <c r="A341" s="594"/>
      <c r="B341" s="594"/>
      <c r="C341" s="594"/>
      <c r="D341" s="594"/>
      <c r="E341" s="594"/>
      <c r="F341" s="594"/>
      <c r="G341" s="594"/>
      <c r="H341" s="594"/>
      <c r="I341" s="594"/>
      <c r="J341" s="594"/>
      <c r="K341" s="594"/>
      <c r="L341" s="594"/>
      <c r="M341" s="594"/>
      <c r="N341" s="594"/>
      <c r="O341" s="594"/>
      <c r="P341" s="594"/>
      <c r="Q341" s="594"/>
      <c r="R341" s="594"/>
      <c r="S341" s="594"/>
      <c r="T341" s="594"/>
      <c r="U341" s="594"/>
      <c r="V341" s="594"/>
      <c r="W341" s="594"/>
      <c r="X341" s="594"/>
      <c r="Y341" s="594"/>
      <c r="Z341" s="594"/>
    </row>
    <row r="342" spans="1:26" x14ac:dyDescent="0.2">
      <c r="A342" s="594"/>
      <c r="B342" s="594"/>
      <c r="C342" s="594"/>
      <c r="D342" s="594"/>
      <c r="E342" s="594"/>
      <c r="F342" s="594"/>
      <c r="G342" s="594"/>
      <c r="H342" s="594"/>
      <c r="I342" s="594"/>
      <c r="J342" s="594"/>
      <c r="K342" s="594"/>
      <c r="L342" s="594"/>
      <c r="M342" s="594"/>
      <c r="N342" s="594"/>
      <c r="O342" s="594"/>
      <c r="P342" s="594"/>
      <c r="Q342" s="594"/>
      <c r="R342" s="594"/>
      <c r="S342" s="594"/>
      <c r="T342" s="594"/>
      <c r="U342" s="594"/>
      <c r="V342" s="594"/>
      <c r="W342" s="594"/>
      <c r="X342" s="594"/>
      <c r="Y342" s="594"/>
      <c r="Z342" s="594"/>
    </row>
    <row r="343" spans="1:26" s="203" customFormat="1" x14ac:dyDescent="0.2">
      <c r="A343" s="594"/>
      <c r="B343" s="594"/>
      <c r="C343" s="594"/>
      <c r="D343" s="594"/>
      <c r="E343" s="594"/>
      <c r="F343" s="594"/>
      <c r="G343" s="594"/>
      <c r="H343" s="594"/>
      <c r="I343" s="594"/>
      <c r="J343" s="594"/>
      <c r="K343" s="594"/>
      <c r="L343" s="594"/>
      <c r="M343" s="594"/>
      <c r="N343" s="594"/>
      <c r="O343" s="594"/>
      <c r="P343" s="594"/>
      <c r="Q343" s="594"/>
      <c r="R343" s="594"/>
      <c r="S343" s="594"/>
      <c r="T343" s="594"/>
      <c r="U343" s="594"/>
      <c r="V343" s="594"/>
      <c r="W343" s="594"/>
      <c r="X343" s="594"/>
      <c r="Y343" s="594"/>
      <c r="Z343" s="594"/>
    </row>
    <row r="344" spans="1:26" s="202" customFormat="1" ht="13.5" thickBot="1" x14ac:dyDescent="0.25">
      <c r="A344" s="594"/>
      <c r="B344" s="594"/>
      <c r="C344" s="594"/>
      <c r="D344" s="594"/>
      <c r="E344" s="594"/>
      <c r="F344" s="594"/>
      <c r="G344" s="594"/>
      <c r="H344" s="594"/>
      <c r="I344" s="594"/>
      <c r="J344" s="594"/>
      <c r="K344" s="594"/>
      <c r="L344" s="594"/>
      <c r="M344" s="594"/>
      <c r="N344" s="594"/>
      <c r="O344" s="594"/>
      <c r="P344" s="594"/>
      <c r="Q344" s="594"/>
      <c r="R344" s="594"/>
      <c r="S344" s="594"/>
      <c r="T344" s="594"/>
      <c r="U344" s="594"/>
      <c r="V344" s="594"/>
      <c r="W344" s="594"/>
      <c r="X344" s="594"/>
      <c r="Y344" s="594"/>
      <c r="Z344" s="594"/>
    </row>
    <row r="345" spans="1:26" x14ac:dyDescent="0.2">
      <c r="A345" s="594"/>
      <c r="B345" s="594"/>
      <c r="C345" s="594"/>
      <c r="D345" s="594"/>
      <c r="E345" s="594"/>
      <c r="F345" s="594"/>
      <c r="G345" s="594"/>
      <c r="H345" s="594"/>
      <c r="I345" s="594"/>
      <c r="J345" s="594"/>
      <c r="K345" s="594"/>
      <c r="L345" s="594"/>
      <c r="M345" s="594"/>
      <c r="N345" s="594"/>
      <c r="O345" s="594"/>
      <c r="P345" s="594"/>
      <c r="Q345" s="594"/>
      <c r="R345" s="594"/>
      <c r="S345" s="594"/>
      <c r="T345" s="594"/>
      <c r="U345" s="594"/>
      <c r="V345" s="594"/>
      <c r="W345" s="594"/>
      <c r="X345" s="594"/>
      <c r="Y345" s="594"/>
      <c r="Z345" s="594"/>
    </row>
    <row r="346" spans="1:26" s="203" customFormat="1" x14ac:dyDescent="0.2">
      <c r="A346" s="594"/>
      <c r="B346" s="594"/>
      <c r="C346" s="594"/>
      <c r="D346" s="594"/>
      <c r="E346" s="594"/>
      <c r="F346" s="594"/>
      <c r="G346" s="594"/>
      <c r="H346" s="594"/>
      <c r="I346" s="594"/>
      <c r="J346" s="594"/>
      <c r="K346" s="594"/>
      <c r="L346" s="594"/>
      <c r="M346" s="594"/>
      <c r="N346" s="594"/>
      <c r="O346" s="594"/>
      <c r="P346" s="594"/>
      <c r="Q346" s="594"/>
      <c r="R346" s="594"/>
      <c r="S346" s="594"/>
      <c r="T346" s="594"/>
      <c r="U346" s="594"/>
      <c r="V346" s="594"/>
      <c r="W346" s="594"/>
      <c r="X346" s="594"/>
      <c r="Y346" s="594"/>
      <c r="Z346" s="594"/>
    </row>
    <row r="347" spans="1:26" s="202" customFormat="1" ht="13.5" thickBot="1" x14ac:dyDescent="0.25">
      <c r="A347" s="594"/>
      <c r="B347" s="594"/>
      <c r="C347" s="594"/>
      <c r="D347" s="594"/>
      <c r="E347" s="594"/>
      <c r="F347" s="594"/>
      <c r="G347" s="594"/>
      <c r="H347" s="594"/>
      <c r="I347" s="594"/>
      <c r="J347" s="594"/>
      <c r="K347" s="594"/>
      <c r="L347" s="594"/>
      <c r="M347" s="594"/>
      <c r="N347" s="594"/>
      <c r="O347" s="594"/>
      <c r="P347" s="594"/>
      <c r="Q347" s="594"/>
      <c r="R347" s="594"/>
      <c r="S347" s="594"/>
      <c r="T347" s="594"/>
      <c r="U347" s="594"/>
      <c r="V347" s="594"/>
      <c r="W347" s="594"/>
      <c r="X347" s="594"/>
      <c r="Y347" s="594"/>
      <c r="Z347" s="594"/>
    </row>
    <row r="348" spans="1:26" x14ac:dyDescent="0.2">
      <c r="A348" s="594"/>
      <c r="B348" s="594"/>
      <c r="C348" s="594"/>
      <c r="D348" s="594"/>
      <c r="E348" s="594"/>
      <c r="F348" s="594"/>
      <c r="G348" s="594"/>
      <c r="H348" s="594"/>
      <c r="I348" s="594"/>
      <c r="J348" s="594"/>
      <c r="K348" s="594"/>
      <c r="L348" s="594"/>
      <c r="M348" s="594"/>
      <c r="N348" s="594"/>
      <c r="O348" s="594"/>
      <c r="P348" s="594"/>
      <c r="Q348" s="594"/>
      <c r="R348" s="594"/>
      <c r="S348" s="594"/>
      <c r="T348" s="594"/>
      <c r="U348" s="594"/>
      <c r="V348" s="594"/>
      <c r="W348" s="594"/>
      <c r="X348" s="594"/>
      <c r="Y348" s="594"/>
      <c r="Z348" s="594"/>
    </row>
    <row r="349" spans="1:26" s="203" customFormat="1" x14ac:dyDescent="0.2">
      <c r="A349" s="594"/>
      <c r="B349" s="594"/>
      <c r="C349" s="594"/>
      <c r="D349" s="594"/>
      <c r="E349" s="594"/>
      <c r="F349" s="594"/>
      <c r="G349" s="594"/>
      <c r="H349" s="594"/>
      <c r="I349" s="594"/>
      <c r="J349" s="594"/>
      <c r="K349" s="594"/>
      <c r="L349" s="594"/>
      <c r="M349" s="594"/>
      <c r="N349" s="594"/>
      <c r="O349" s="594"/>
      <c r="P349" s="594"/>
      <c r="Q349" s="594"/>
      <c r="R349" s="594"/>
      <c r="S349" s="594"/>
      <c r="T349" s="594"/>
      <c r="U349" s="594"/>
      <c r="V349" s="594"/>
      <c r="W349" s="594"/>
      <c r="X349" s="594"/>
      <c r="Y349" s="594"/>
      <c r="Z349" s="594"/>
    </row>
    <row r="350" spans="1:26" s="202" customFormat="1" x14ac:dyDescent="0.2">
      <c r="A350" s="594"/>
      <c r="B350" s="594"/>
      <c r="C350" s="594"/>
      <c r="D350" s="594"/>
      <c r="E350" s="594"/>
      <c r="F350" s="594"/>
      <c r="G350" s="594"/>
      <c r="H350" s="594"/>
      <c r="I350" s="594"/>
      <c r="J350" s="594"/>
      <c r="K350" s="594"/>
      <c r="L350" s="594"/>
      <c r="M350" s="594"/>
      <c r="N350" s="594"/>
      <c r="O350" s="594"/>
      <c r="P350" s="594"/>
      <c r="Q350" s="594"/>
      <c r="R350" s="594"/>
      <c r="S350" s="594"/>
      <c r="T350" s="594"/>
      <c r="U350" s="594"/>
      <c r="V350" s="594"/>
      <c r="W350" s="594"/>
      <c r="X350" s="594"/>
      <c r="Y350" s="594"/>
      <c r="Z350" s="594"/>
    </row>
    <row r="351" spans="1:26" x14ac:dyDescent="0.2">
      <c r="A351" s="594"/>
      <c r="B351" s="594"/>
      <c r="C351" s="594"/>
      <c r="D351" s="594"/>
      <c r="E351" s="594"/>
      <c r="F351" s="594"/>
      <c r="G351" s="594"/>
      <c r="H351" s="594"/>
      <c r="I351" s="594"/>
      <c r="J351" s="594"/>
      <c r="K351" s="594"/>
      <c r="L351" s="594"/>
      <c r="M351" s="594"/>
      <c r="N351" s="594"/>
      <c r="O351" s="594"/>
      <c r="P351" s="594"/>
      <c r="Q351" s="594"/>
      <c r="R351" s="594"/>
      <c r="S351" s="594"/>
      <c r="T351" s="594"/>
      <c r="U351" s="594"/>
      <c r="V351" s="594"/>
      <c r="W351" s="594"/>
      <c r="X351" s="594"/>
      <c r="Y351" s="594"/>
      <c r="Z351" s="594"/>
    </row>
    <row r="352" spans="1:26" s="203" customFormat="1" x14ac:dyDescent="0.2">
      <c r="A352" s="594"/>
      <c r="B352" s="594"/>
      <c r="C352" s="594"/>
      <c r="D352" s="594"/>
      <c r="E352" s="594"/>
      <c r="F352" s="594"/>
      <c r="G352" s="594"/>
      <c r="H352" s="594"/>
      <c r="I352" s="594"/>
      <c r="J352" s="594"/>
      <c r="K352" s="594"/>
      <c r="L352" s="594"/>
      <c r="M352" s="594"/>
      <c r="N352" s="594"/>
      <c r="O352" s="594"/>
      <c r="P352" s="594"/>
      <c r="Q352" s="594"/>
      <c r="R352" s="594"/>
      <c r="S352" s="594"/>
      <c r="T352" s="594"/>
      <c r="U352" s="594"/>
      <c r="V352" s="594"/>
      <c r="W352" s="594"/>
      <c r="X352" s="594"/>
      <c r="Y352" s="594"/>
      <c r="Z352" s="594"/>
    </row>
    <row r="353" spans="1:26" s="202" customFormat="1" ht="13.5" thickBot="1" x14ac:dyDescent="0.25">
      <c r="A353" s="594"/>
      <c r="B353" s="594"/>
      <c r="C353" s="594"/>
      <c r="D353" s="594"/>
      <c r="E353" s="594"/>
      <c r="F353" s="594"/>
      <c r="G353" s="594"/>
      <c r="H353" s="594"/>
      <c r="I353" s="594"/>
      <c r="J353" s="594"/>
      <c r="K353" s="594"/>
      <c r="L353" s="594"/>
      <c r="M353" s="594"/>
      <c r="N353" s="594"/>
      <c r="O353" s="594"/>
      <c r="P353" s="594"/>
      <c r="Q353" s="594"/>
      <c r="R353" s="594"/>
      <c r="S353" s="594"/>
      <c r="T353" s="594"/>
      <c r="U353" s="594"/>
      <c r="V353" s="594"/>
      <c r="W353" s="594"/>
      <c r="X353" s="594"/>
      <c r="Y353" s="594"/>
      <c r="Z353" s="594"/>
    </row>
    <row r="354" spans="1:26" x14ac:dyDescent="0.2">
      <c r="A354" s="594"/>
      <c r="B354" s="594"/>
      <c r="C354" s="594"/>
      <c r="D354" s="594"/>
      <c r="E354" s="594"/>
      <c r="F354" s="594"/>
      <c r="G354" s="594"/>
      <c r="H354" s="594"/>
      <c r="I354" s="594"/>
      <c r="J354" s="594"/>
      <c r="K354" s="594"/>
      <c r="L354" s="594"/>
      <c r="M354" s="594"/>
      <c r="N354" s="594"/>
      <c r="O354" s="594"/>
      <c r="P354" s="594"/>
      <c r="Q354" s="594"/>
      <c r="R354" s="594"/>
      <c r="S354" s="594"/>
      <c r="T354" s="594"/>
      <c r="U354" s="594"/>
      <c r="V354" s="594"/>
      <c r="W354" s="594"/>
      <c r="X354" s="594"/>
      <c r="Y354" s="594"/>
      <c r="Z354" s="594"/>
    </row>
    <row r="355" spans="1:26" s="203" customFormat="1" ht="13.5" thickBot="1" x14ac:dyDescent="0.25">
      <c r="A355" s="594"/>
      <c r="B355" s="594"/>
      <c r="C355" s="594"/>
      <c r="D355" s="594"/>
      <c r="E355" s="594"/>
      <c r="F355" s="594"/>
      <c r="G355" s="594"/>
      <c r="H355" s="594"/>
      <c r="I355" s="594"/>
      <c r="J355" s="594"/>
      <c r="K355" s="594"/>
      <c r="L355" s="594"/>
      <c r="M355" s="594"/>
      <c r="N355" s="594"/>
      <c r="O355" s="594"/>
      <c r="P355" s="594"/>
      <c r="Q355" s="594"/>
      <c r="R355" s="594"/>
      <c r="S355" s="594"/>
      <c r="T355" s="594"/>
      <c r="U355" s="594"/>
      <c r="V355" s="594"/>
      <c r="W355" s="594"/>
      <c r="X355" s="594"/>
      <c r="Y355" s="594"/>
      <c r="Z355" s="594"/>
    </row>
    <row r="356" spans="1:26" s="212" customFormat="1" x14ac:dyDescent="0.2">
      <c r="A356" s="594"/>
      <c r="B356" s="594"/>
      <c r="C356" s="594"/>
      <c r="D356" s="594"/>
      <c r="E356" s="594"/>
      <c r="F356" s="594"/>
      <c r="G356" s="594"/>
      <c r="H356" s="594"/>
      <c r="I356" s="594"/>
      <c r="J356" s="594"/>
      <c r="K356" s="594"/>
      <c r="L356" s="594"/>
      <c r="M356" s="594"/>
      <c r="N356" s="594"/>
      <c r="O356" s="594"/>
      <c r="P356" s="594"/>
      <c r="Q356" s="594"/>
      <c r="R356" s="594"/>
      <c r="S356" s="594"/>
      <c r="T356" s="594"/>
      <c r="U356" s="594"/>
      <c r="V356" s="594"/>
      <c r="W356" s="594"/>
      <c r="X356" s="594"/>
      <c r="Y356" s="594"/>
      <c r="Z356" s="594"/>
    </row>
    <row r="357" spans="1:26" x14ac:dyDescent="0.2">
      <c r="A357" s="594"/>
      <c r="B357" s="594"/>
      <c r="C357" s="594"/>
      <c r="D357" s="594"/>
      <c r="E357" s="594"/>
      <c r="F357" s="594"/>
      <c r="G357" s="594"/>
      <c r="H357" s="594"/>
      <c r="I357" s="594"/>
      <c r="J357" s="594"/>
      <c r="K357" s="594"/>
      <c r="L357" s="594"/>
      <c r="M357" s="594"/>
      <c r="N357" s="594"/>
      <c r="O357" s="594"/>
      <c r="P357" s="594"/>
      <c r="Q357" s="594"/>
      <c r="R357" s="594"/>
      <c r="S357" s="594"/>
      <c r="T357" s="594"/>
      <c r="U357" s="594"/>
      <c r="V357" s="594"/>
      <c r="W357" s="594"/>
      <c r="X357" s="594"/>
      <c r="Y357" s="594"/>
      <c r="Z357" s="594"/>
    </row>
    <row r="358" spans="1:26" s="203" customFormat="1" ht="13.5" thickBot="1" x14ac:dyDescent="0.25">
      <c r="A358" s="594"/>
      <c r="B358" s="594"/>
      <c r="C358" s="594"/>
      <c r="D358" s="594"/>
      <c r="E358" s="594"/>
      <c r="F358" s="594"/>
      <c r="G358" s="594"/>
      <c r="H358" s="594"/>
      <c r="I358" s="594"/>
      <c r="J358" s="594"/>
      <c r="K358" s="594"/>
      <c r="L358" s="594"/>
      <c r="M358" s="594"/>
      <c r="N358" s="594"/>
      <c r="O358" s="594"/>
      <c r="P358" s="594"/>
      <c r="Q358" s="594"/>
      <c r="R358" s="594"/>
      <c r="S358" s="594"/>
      <c r="T358" s="594"/>
      <c r="U358" s="594"/>
      <c r="V358" s="594"/>
      <c r="W358" s="594"/>
      <c r="X358" s="594"/>
      <c r="Y358" s="594"/>
      <c r="Z358" s="594"/>
    </row>
    <row r="359" spans="1:26" s="202" customFormat="1" x14ac:dyDescent="0.2">
      <c r="A359" s="594"/>
      <c r="B359" s="594"/>
      <c r="C359" s="594"/>
      <c r="D359" s="594"/>
      <c r="E359" s="594"/>
      <c r="F359" s="594"/>
      <c r="G359" s="594"/>
      <c r="H359" s="594"/>
      <c r="I359" s="594"/>
      <c r="J359" s="594"/>
      <c r="K359" s="594"/>
      <c r="L359" s="594"/>
      <c r="M359" s="594"/>
      <c r="N359" s="594"/>
      <c r="O359" s="594"/>
      <c r="P359" s="594"/>
      <c r="Q359" s="594"/>
      <c r="R359" s="594"/>
      <c r="S359" s="594"/>
      <c r="T359" s="594"/>
      <c r="U359" s="594"/>
      <c r="V359" s="594"/>
      <c r="W359" s="594"/>
      <c r="X359" s="594"/>
      <c r="Y359" s="594"/>
      <c r="Z359" s="594"/>
    </row>
    <row r="360" spans="1:26" x14ac:dyDescent="0.2">
      <c r="A360" s="594"/>
      <c r="B360" s="594"/>
      <c r="C360" s="594"/>
      <c r="D360" s="594"/>
      <c r="E360" s="594"/>
      <c r="F360" s="594"/>
      <c r="G360" s="594"/>
      <c r="H360" s="594"/>
      <c r="I360" s="594"/>
      <c r="J360" s="594"/>
      <c r="K360" s="594"/>
      <c r="L360" s="594"/>
      <c r="M360" s="594"/>
      <c r="N360" s="594"/>
      <c r="O360" s="594"/>
      <c r="P360" s="594"/>
      <c r="Q360" s="594"/>
      <c r="R360" s="594"/>
      <c r="S360" s="594"/>
      <c r="T360" s="594"/>
      <c r="U360" s="594"/>
      <c r="V360" s="594"/>
      <c r="W360" s="594"/>
      <c r="X360" s="594"/>
      <c r="Y360" s="594"/>
      <c r="Z360" s="594"/>
    </row>
    <row r="361" spans="1:26" s="203" customFormat="1" ht="13.5" thickBot="1" x14ac:dyDescent="0.25">
      <c r="A361" s="594"/>
      <c r="B361" s="594"/>
      <c r="C361" s="594"/>
      <c r="D361" s="594"/>
      <c r="E361" s="594"/>
      <c r="F361" s="594"/>
      <c r="G361" s="594"/>
      <c r="H361" s="594"/>
      <c r="I361" s="594"/>
      <c r="J361" s="594"/>
      <c r="K361" s="594"/>
      <c r="L361" s="594"/>
      <c r="M361" s="594"/>
      <c r="N361" s="594"/>
      <c r="O361" s="594"/>
      <c r="P361" s="594"/>
      <c r="Q361" s="594"/>
      <c r="R361" s="594"/>
      <c r="S361" s="594"/>
      <c r="T361" s="594"/>
      <c r="U361" s="594"/>
      <c r="V361" s="594"/>
      <c r="W361" s="594"/>
      <c r="X361" s="594"/>
      <c r="Y361" s="594"/>
      <c r="Z361" s="594"/>
    </row>
    <row r="362" spans="1:26" s="202" customFormat="1" x14ac:dyDescent="0.2">
      <c r="A362" s="594"/>
      <c r="B362" s="594"/>
      <c r="C362" s="594"/>
      <c r="D362" s="594"/>
      <c r="E362" s="594"/>
      <c r="F362" s="594"/>
      <c r="G362" s="594"/>
      <c r="H362" s="594"/>
      <c r="I362" s="594"/>
      <c r="J362" s="594"/>
      <c r="K362" s="594"/>
      <c r="L362" s="594"/>
      <c r="M362" s="594"/>
      <c r="N362" s="594"/>
      <c r="O362" s="594"/>
      <c r="P362" s="594"/>
      <c r="Q362" s="594"/>
      <c r="R362" s="594"/>
      <c r="S362" s="594"/>
      <c r="T362" s="594"/>
      <c r="U362" s="594"/>
      <c r="V362" s="594"/>
      <c r="W362" s="594"/>
      <c r="X362" s="594"/>
      <c r="Y362" s="594"/>
      <c r="Z362" s="594"/>
    </row>
    <row r="363" spans="1:26" x14ac:dyDescent="0.2">
      <c r="A363" s="594"/>
      <c r="B363" s="594"/>
      <c r="C363" s="594"/>
      <c r="D363" s="594"/>
      <c r="E363" s="594"/>
      <c r="F363" s="594"/>
      <c r="G363" s="594"/>
      <c r="H363" s="594"/>
      <c r="I363" s="594"/>
      <c r="J363" s="594"/>
      <c r="K363" s="594"/>
      <c r="L363" s="594"/>
      <c r="M363" s="594"/>
      <c r="N363" s="594"/>
      <c r="O363" s="594"/>
      <c r="P363" s="594"/>
      <c r="Q363" s="594"/>
      <c r="R363" s="594"/>
      <c r="S363" s="594"/>
      <c r="T363" s="594"/>
      <c r="U363" s="594"/>
      <c r="V363" s="594"/>
      <c r="W363" s="594"/>
      <c r="X363" s="594"/>
      <c r="Y363" s="594"/>
      <c r="Z363" s="594"/>
    </row>
    <row r="364" spans="1:26" s="203" customFormat="1" ht="13.5" thickBot="1" x14ac:dyDescent="0.25">
      <c r="A364" s="594"/>
      <c r="B364" s="594"/>
      <c r="C364" s="594"/>
      <c r="D364" s="594"/>
      <c r="E364" s="594"/>
      <c r="F364" s="594"/>
      <c r="G364" s="594"/>
      <c r="H364" s="594"/>
      <c r="I364" s="594"/>
      <c r="J364" s="594"/>
      <c r="K364" s="594"/>
      <c r="L364" s="594"/>
      <c r="M364" s="594"/>
      <c r="N364" s="594"/>
      <c r="O364" s="594"/>
      <c r="P364" s="594"/>
      <c r="Q364" s="594"/>
      <c r="R364" s="594"/>
      <c r="S364" s="594"/>
      <c r="T364" s="594"/>
      <c r="U364" s="594"/>
      <c r="V364" s="594"/>
      <c r="W364" s="594"/>
      <c r="X364" s="594"/>
      <c r="Y364" s="594"/>
      <c r="Z364" s="594"/>
    </row>
    <row r="365" spans="1:26" s="202" customFormat="1" x14ac:dyDescent="0.2">
      <c r="A365" s="594"/>
      <c r="B365" s="594"/>
      <c r="C365" s="594"/>
      <c r="D365" s="594"/>
      <c r="E365" s="594"/>
      <c r="F365" s="594"/>
      <c r="G365" s="594"/>
      <c r="H365" s="594"/>
      <c r="I365" s="594"/>
      <c r="J365" s="594"/>
      <c r="K365" s="594"/>
      <c r="L365" s="594"/>
      <c r="M365" s="594"/>
      <c r="N365" s="594"/>
      <c r="O365" s="594"/>
      <c r="P365" s="594"/>
      <c r="Q365" s="594"/>
      <c r="R365" s="594"/>
      <c r="S365" s="594"/>
      <c r="T365" s="594"/>
      <c r="U365" s="594"/>
      <c r="V365" s="594"/>
      <c r="W365" s="594"/>
      <c r="X365" s="594"/>
      <c r="Y365" s="594"/>
      <c r="Z365" s="594"/>
    </row>
    <row r="366" spans="1:26" x14ac:dyDescent="0.2">
      <c r="A366" s="594"/>
      <c r="B366" s="594"/>
      <c r="C366" s="594"/>
      <c r="D366" s="594"/>
      <c r="E366" s="594"/>
      <c r="F366" s="594"/>
      <c r="G366" s="594"/>
      <c r="H366" s="594"/>
      <c r="I366" s="594"/>
      <c r="J366" s="594"/>
      <c r="K366" s="594"/>
      <c r="L366" s="594"/>
      <c r="M366" s="594"/>
      <c r="N366" s="594"/>
      <c r="O366" s="594"/>
      <c r="P366" s="594"/>
      <c r="Q366" s="594"/>
      <c r="R366" s="594"/>
      <c r="S366" s="594"/>
      <c r="T366" s="594"/>
      <c r="U366" s="594"/>
      <c r="V366" s="594"/>
      <c r="W366" s="594"/>
      <c r="X366" s="594"/>
      <c r="Y366" s="594"/>
      <c r="Z366" s="594"/>
    </row>
    <row r="367" spans="1:26" s="203" customFormat="1" ht="13.5" thickBot="1" x14ac:dyDescent="0.25">
      <c r="A367" s="594"/>
      <c r="B367" s="594"/>
      <c r="C367" s="594"/>
      <c r="D367" s="594"/>
      <c r="E367" s="594"/>
      <c r="F367" s="594"/>
      <c r="G367" s="594"/>
      <c r="H367" s="594"/>
      <c r="I367" s="594"/>
      <c r="J367" s="594"/>
      <c r="K367" s="594"/>
      <c r="L367" s="594"/>
      <c r="M367" s="594"/>
      <c r="N367" s="594"/>
      <c r="O367" s="594"/>
      <c r="P367" s="594"/>
      <c r="Q367" s="594"/>
      <c r="R367" s="594"/>
      <c r="S367" s="594"/>
      <c r="T367" s="594"/>
      <c r="U367" s="594"/>
      <c r="V367" s="594"/>
      <c r="W367" s="594"/>
      <c r="X367" s="594"/>
      <c r="Y367" s="594"/>
      <c r="Z367" s="594"/>
    </row>
    <row r="368" spans="1:26" s="202" customFormat="1" x14ac:dyDescent="0.2">
      <c r="A368" s="594"/>
      <c r="B368" s="594"/>
      <c r="C368" s="594"/>
      <c r="D368" s="594"/>
      <c r="E368" s="594"/>
      <c r="F368" s="594"/>
      <c r="G368" s="594"/>
      <c r="H368" s="594"/>
      <c r="I368" s="594"/>
      <c r="J368" s="594"/>
      <c r="K368" s="594"/>
      <c r="L368" s="594"/>
      <c r="M368" s="594"/>
      <c r="N368" s="594"/>
      <c r="O368" s="594"/>
      <c r="P368" s="594"/>
      <c r="Q368" s="594"/>
      <c r="R368" s="594"/>
      <c r="S368" s="594"/>
      <c r="T368" s="594"/>
      <c r="U368" s="594"/>
      <c r="V368" s="594"/>
      <c r="W368" s="594"/>
      <c r="X368" s="594"/>
      <c r="Y368" s="594"/>
      <c r="Z368" s="594"/>
    </row>
    <row r="369" spans="1:26" x14ac:dyDescent="0.2">
      <c r="A369" s="594"/>
      <c r="B369" s="594"/>
      <c r="C369" s="594"/>
      <c r="D369" s="594"/>
      <c r="E369" s="594"/>
      <c r="F369" s="594"/>
      <c r="G369" s="594"/>
      <c r="H369" s="594"/>
      <c r="I369" s="594"/>
      <c r="J369" s="594"/>
      <c r="K369" s="594"/>
      <c r="L369" s="594"/>
      <c r="M369" s="594"/>
      <c r="N369" s="594"/>
      <c r="O369" s="594"/>
      <c r="P369" s="594"/>
      <c r="Q369" s="594"/>
      <c r="R369" s="594"/>
      <c r="S369" s="594"/>
      <c r="T369" s="594"/>
      <c r="U369" s="594"/>
      <c r="V369" s="594"/>
      <c r="W369" s="594"/>
      <c r="X369" s="594"/>
      <c r="Y369" s="594"/>
      <c r="Z369" s="594"/>
    </row>
    <row r="370" spans="1:26" s="203" customFormat="1" ht="13.5" thickBot="1" x14ac:dyDescent="0.25">
      <c r="A370" s="594"/>
      <c r="B370" s="594"/>
      <c r="C370" s="594"/>
      <c r="D370" s="594"/>
      <c r="E370" s="594"/>
      <c r="F370" s="594"/>
      <c r="G370" s="594"/>
      <c r="H370" s="594"/>
      <c r="I370" s="594"/>
      <c r="J370" s="594"/>
      <c r="K370" s="594"/>
      <c r="L370" s="594"/>
      <c r="M370" s="594"/>
      <c r="N370" s="594"/>
      <c r="O370" s="594"/>
      <c r="P370" s="594"/>
      <c r="Q370" s="594"/>
      <c r="R370" s="594"/>
      <c r="S370" s="594"/>
      <c r="T370" s="594"/>
      <c r="U370" s="594"/>
      <c r="V370" s="594"/>
      <c r="W370" s="594"/>
      <c r="X370" s="594"/>
      <c r="Y370" s="594"/>
      <c r="Z370" s="594"/>
    </row>
    <row r="371" spans="1:26" s="202" customFormat="1" x14ac:dyDescent="0.2">
      <c r="A371" s="594"/>
      <c r="B371" s="594"/>
      <c r="C371" s="594"/>
      <c r="D371" s="594"/>
      <c r="E371" s="594"/>
      <c r="F371" s="594"/>
      <c r="G371" s="594"/>
      <c r="H371" s="594"/>
      <c r="I371" s="594"/>
      <c r="J371" s="594"/>
      <c r="K371" s="594"/>
      <c r="L371" s="594"/>
      <c r="M371" s="594"/>
      <c r="N371" s="594"/>
      <c r="O371" s="594"/>
      <c r="P371" s="594"/>
      <c r="Q371" s="594"/>
      <c r="R371" s="594"/>
      <c r="S371" s="594"/>
      <c r="T371" s="594"/>
      <c r="U371" s="594"/>
      <c r="V371" s="594"/>
      <c r="W371" s="594"/>
      <c r="X371" s="594"/>
      <c r="Y371" s="594"/>
      <c r="Z371" s="594"/>
    </row>
    <row r="372" spans="1:26" x14ac:dyDescent="0.2">
      <c r="A372" s="594"/>
      <c r="B372" s="594"/>
      <c r="C372" s="594"/>
      <c r="D372" s="594"/>
      <c r="E372" s="594"/>
      <c r="F372" s="594"/>
      <c r="G372" s="594"/>
      <c r="H372" s="594"/>
      <c r="I372" s="594"/>
      <c r="J372" s="594"/>
      <c r="K372" s="594"/>
      <c r="L372" s="594"/>
      <c r="M372" s="594"/>
      <c r="N372" s="594"/>
      <c r="O372" s="594"/>
      <c r="P372" s="594"/>
      <c r="Q372" s="594"/>
      <c r="R372" s="594"/>
      <c r="S372" s="594"/>
      <c r="T372" s="594"/>
      <c r="U372" s="594"/>
      <c r="V372" s="594"/>
      <c r="W372" s="594"/>
      <c r="X372" s="594"/>
      <c r="Y372" s="594"/>
      <c r="Z372" s="594"/>
    </row>
    <row r="373" spans="1:26" s="203" customFormat="1" ht="13.5" thickBot="1" x14ac:dyDescent="0.25">
      <c r="A373" s="594"/>
      <c r="B373" s="594"/>
      <c r="C373" s="594"/>
      <c r="D373" s="594"/>
      <c r="E373" s="594"/>
      <c r="F373" s="594"/>
      <c r="G373" s="594"/>
      <c r="H373" s="594"/>
      <c r="I373" s="594"/>
      <c r="J373" s="594"/>
      <c r="K373" s="594"/>
      <c r="L373" s="594"/>
      <c r="M373" s="594"/>
      <c r="N373" s="594"/>
      <c r="O373" s="594"/>
      <c r="P373" s="594"/>
      <c r="Q373" s="594"/>
      <c r="R373" s="594"/>
      <c r="S373" s="594"/>
      <c r="T373" s="594"/>
      <c r="U373" s="594"/>
      <c r="V373" s="594"/>
      <c r="W373" s="594"/>
      <c r="X373" s="594"/>
      <c r="Y373" s="594"/>
      <c r="Z373" s="594"/>
    </row>
    <row r="374" spans="1:26" s="202" customFormat="1" x14ac:dyDescent="0.2">
      <c r="A374" s="594"/>
      <c r="B374" s="594"/>
      <c r="C374" s="594"/>
      <c r="D374" s="594"/>
      <c r="E374" s="594"/>
      <c r="F374" s="594"/>
      <c r="G374" s="594"/>
      <c r="H374" s="594"/>
      <c r="I374" s="594"/>
      <c r="J374" s="594"/>
      <c r="K374" s="594"/>
      <c r="L374" s="594"/>
      <c r="M374" s="594"/>
      <c r="N374" s="594"/>
      <c r="O374" s="594"/>
      <c r="P374" s="594"/>
      <c r="Q374" s="594"/>
      <c r="R374" s="594"/>
      <c r="S374" s="594"/>
      <c r="T374" s="594"/>
      <c r="U374" s="594"/>
      <c r="V374" s="594"/>
      <c r="W374" s="594"/>
      <c r="X374" s="594"/>
      <c r="Y374" s="594"/>
      <c r="Z374" s="594"/>
    </row>
    <row r="375" spans="1:26" x14ac:dyDescent="0.2">
      <c r="A375" s="594"/>
      <c r="B375" s="594"/>
      <c r="C375" s="594"/>
      <c r="D375" s="594"/>
      <c r="E375" s="594"/>
      <c r="F375" s="594"/>
      <c r="G375" s="594"/>
      <c r="H375" s="594"/>
      <c r="I375" s="594"/>
      <c r="J375" s="594"/>
      <c r="K375" s="594"/>
      <c r="L375" s="594"/>
      <c r="M375" s="594"/>
      <c r="N375" s="594"/>
      <c r="O375" s="594"/>
      <c r="P375" s="594"/>
      <c r="Q375" s="594"/>
      <c r="R375" s="594"/>
      <c r="S375" s="594"/>
      <c r="T375" s="594"/>
      <c r="U375" s="594"/>
      <c r="V375" s="594"/>
      <c r="W375" s="594"/>
      <c r="X375" s="594"/>
      <c r="Y375" s="594"/>
      <c r="Z375" s="594"/>
    </row>
    <row r="376" spans="1:26" s="203" customFormat="1" x14ac:dyDescent="0.2">
      <c r="A376" s="594"/>
      <c r="B376" s="594"/>
      <c r="C376" s="594"/>
      <c r="D376" s="594"/>
      <c r="E376" s="594"/>
      <c r="F376" s="594"/>
      <c r="G376" s="594"/>
      <c r="H376" s="594"/>
      <c r="I376" s="594"/>
      <c r="J376" s="594"/>
      <c r="K376" s="594"/>
      <c r="L376" s="594"/>
      <c r="M376" s="594"/>
      <c r="N376" s="594"/>
      <c r="O376" s="594"/>
      <c r="P376" s="594"/>
      <c r="Q376" s="594"/>
      <c r="R376" s="594"/>
      <c r="S376" s="594"/>
      <c r="T376" s="594"/>
      <c r="U376" s="594"/>
      <c r="V376" s="594"/>
      <c r="W376" s="594"/>
      <c r="X376" s="594"/>
      <c r="Y376" s="594"/>
      <c r="Z376" s="594"/>
    </row>
    <row r="377" spans="1:26" s="202" customFormat="1" ht="13.5" thickBot="1" x14ac:dyDescent="0.25">
      <c r="A377" s="594"/>
      <c r="B377" s="594"/>
      <c r="C377" s="594"/>
      <c r="D377" s="594"/>
      <c r="E377" s="594"/>
      <c r="F377" s="594"/>
      <c r="G377" s="594"/>
      <c r="H377" s="594"/>
      <c r="I377" s="594"/>
      <c r="J377" s="594"/>
      <c r="K377" s="594"/>
      <c r="L377" s="594"/>
      <c r="M377" s="594"/>
      <c r="N377" s="594"/>
      <c r="O377" s="594"/>
      <c r="P377" s="594"/>
      <c r="Q377" s="594"/>
      <c r="R377" s="594"/>
      <c r="S377" s="594"/>
      <c r="T377" s="594"/>
      <c r="U377" s="594"/>
      <c r="V377" s="594"/>
      <c r="W377" s="594"/>
      <c r="X377" s="594"/>
      <c r="Y377" s="594"/>
      <c r="Z377" s="594"/>
    </row>
    <row r="378" spans="1:26" x14ac:dyDescent="0.2">
      <c r="A378" s="594"/>
      <c r="B378" s="594"/>
      <c r="C378" s="594"/>
      <c r="D378" s="594"/>
      <c r="E378" s="594"/>
      <c r="F378" s="594"/>
      <c r="G378" s="594"/>
      <c r="H378" s="594"/>
      <c r="I378" s="594"/>
      <c r="J378" s="594"/>
      <c r="K378" s="594"/>
      <c r="L378" s="594"/>
      <c r="M378" s="594"/>
      <c r="N378" s="594"/>
      <c r="O378" s="594"/>
      <c r="P378" s="594"/>
      <c r="Q378" s="594"/>
      <c r="R378" s="594"/>
      <c r="S378" s="594"/>
      <c r="T378" s="594"/>
      <c r="U378" s="594"/>
      <c r="V378" s="594"/>
      <c r="W378" s="594"/>
      <c r="X378" s="594"/>
      <c r="Y378" s="594"/>
      <c r="Z378" s="594"/>
    </row>
    <row r="379" spans="1:26" s="203" customFormat="1" x14ac:dyDescent="0.2">
      <c r="A379" s="594"/>
      <c r="B379" s="594"/>
      <c r="C379" s="594"/>
      <c r="D379" s="594"/>
      <c r="E379" s="594"/>
      <c r="F379" s="594"/>
      <c r="G379" s="594"/>
      <c r="H379" s="594"/>
      <c r="I379" s="594"/>
      <c r="J379" s="594"/>
      <c r="K379" s="594"/>
      <c r="L379" s="594"/>
      <c r="M379" s="594"/>
      <c r="N379" s="594"/>
      <c r="O379" s="594"/>
      <c r="P379" s="594"/>
      <c r="Q379" s="594"/>
      <c r="R379" s="594"/>
      <c r="S379" s="594"/>
      <c r="T379" s="594"/>
      <c r="U379" s="594"/>
      <c r="V379" s="594"/>
      <c r="W379" s="594"/>
      <c r="X379" s="594"/>
      <c r="Y379" s="594"/>
      <c r="Z379" s="594"/>
    </row>
    <row r="380" spans="1:26" s="202" customFormat="1" ht="13.5" thickBot="1" x14ac:dyDescent="0.25">
      <c r="A380" s="594"/>
      <c r="B380" s="594"/>
      <c r="C380" s="594"/>
      <c r="D380" s="594"/>
      <c r="E380" s="594"/>
      <c r="F380" s="594"/>
      <c r="G380" s="594"/>
      <c r="H380" s="594"/>
      <c r="I380" s="594"/>
      <c r="J380" s="594"/>
      <c r="K380" s="594"/>
      <c r="L380" s="594"/>
      <c r="M380" s="594"/>
      <c r="N380" s="594"/>
      <c r="O380" s="594"/>
      <c r="P380" s="594"/>
      <c r="Q380" s="594"/>
      <c r="R380" s="594"/>
      <c r="S380" s="594"/>
      <c r="T380" s="594"/>
      <c r="U380" s="594"/>
      <c r="V380" s="594"/>
      <c r="W380" s="594"/>
      <c r="X380" s="594"/>
      <c r="Y380" s="594"/>
      <c r="Z380" s="594"/>
    </row>
    <row r="381" spans="1:26" x14ac:dyDescent="0.2">
      <c r="A381" s="594"/>
      <c r="B381" s="594"/>
      <c r="C381" s="594"/>
      <c r="D381" s="594"/>
      <c r="E381" s="594"/>
      <c r="F381" s="594"/>
      <c r="G381" s="594"/>
      <c r="H381" s="594"/>
      <c r="I381" s="594"/>
      <c r="J381" s="594"/>
      <c r="K381" s="594"/>
      <c r="L381" s="594"/>
      <c r="M381" s="594"/>
      <c r="N381" s="594"/>
      <c r="O381" s="594"/>
      <c r="P381" s="594"/>
      <c r="Q381" s="594"/>
      <c r="R381" s="594"/>
      <c r="S381" s="594"/>
      <c r="T381" s="594"/>
      <c r="U381" s="594"/>
      <c r="V381" s="594"/>
      <c r="W381" s="594"/>
      <c r="X381" s="594"/>
      <c r="Y381" s="594"/>
      <c r="Z381" s="594"/>
    </row>
    <row r="382" spans="1:26" s="203" customFormat="1" x14ac:dyDescent="0.2">
      <c r="A382" s="594"/>
      <c r="B382" s="594"/>
      <c r="C382" s="594"/>
      <c r="D382" s="594"/>
      <c r="E382" s="594"/>
      <c r="F382" s="594"/>
      <c r="G382" s="594"/>
      <c r="H382" s="594"/>
      <c r="I382" s="594"/>
      <c r="J382" s="594"/>
      <c r="K382" s="594"/>
      <c r="L382" s="594"/>
      <c r="M382" s="594"/>
      <c r="N382" s="594"/>
      <c r="O382" s="594"/>
      <c r="P382" s="594"/>
      <c r="Q382" s="594"/>
      <c r="R382" s="594"/>
      <c r="S382" s="594"/>
      <c r="T382" s="594"/>
      <c r="U382" s="594"/>
      <c r="V382" s="594"/>
      <c r="W382" s="594"/>
      <c r="X382" s="594"/>
      <c r="Y382" s="594"/>
      <c r="Z382" s="594"/>
    </row>
    <row r="383" spans="1:26" s="202" customFormat="1" ht="13.5" thickBot="1" x14ac:dyDescent="0.25">
      <c r="A383" s="594"/>
      <c r="B383" s="594"/>
      <c r="C383" s="594"/>
      <c r="D383" s="594"/>
      <c r="E383" s="594"/>
      <c r="F383" s="594"/>
      <c r="G383" s="594"/>
      <c r="H383" s="594"/>
      <c r="I383" s="594"/>
      <c r="J383" s="594"/>
      <c r="K383" s="594"/>
      <c r="L383" s="594"/>
      <c r="M383" s="594"/>
      <c r="N383" s="594"/>
      <c r="O383" s="594"/>
      <c r="P383" s="594"/>
      <c r="Q383" s="594"/>
      <c r="R383" s="594"/>
      <c r="S383" s="594"/>
      <c r="T383" s="594"/>
      <c r="U383" s="594"/>
      <c r="V383" s="594"/>
      <c r="W383" s="594"/>
      <c r="X383" s="594"/>
      <c r="Y383" s="594"/>
      <c r="Z383" s="594"/>
    </row>
    <row r="384" spans="1:26" x14ac:dyDescent="0.2">
      <c r="A384" s="594"/>
      <c r="B384" s="594"/>
      <c r="C384" s="594"/>
      <c r="D384" s="594"/>
      <c r="E384" s="594"/>
      <c r="F384" s="594"/>
      <c r="G384" s="594"/>
      <c r="H384" s="594"/>
      <c r="I384" s="594"/>
      <c r="J384" s="594"/>
      <c r="K384" s="594"/>
      <c r="L384" s="594"/>
      <c r="M384" s="594"/>
      <c r="N384" s="594"/>
      <c r="O384" s="594"/>
      <c r="P384" s="594"/>
      <c r="Q384" s="594"/>
      <c r="R384" s="594"/>
      <c r="S384" s="594"/>
      <c r="T384" s="594"/>
      <c r="U384" s="594"/>
      <c r="V384" s="594"/>
      <c r="W384" s="594"/>
      <c r="X384" s="594"/>
      <c r="Y384" s="594"/>
      <c r="Z384" s="594"/>
    </row>
    <row r="385" spans="1:26" s="203" customFormat="1" x14ac:dyDescent="0.2">
      <c r="A385" s="594"/>
      <c r="B385" s="594"/>
      <c r="C385" s="594"/>
      <c r="D385" s="594"/>
      <c r="E385" s="594"/>
      <c r="F385" s="594"/>
      <c r="G385" s="594"/>
      <c r="H385" s="594"/>
      <c r="I385" s="594"/>
      <c r="J385" s="594"/>
      <c r="K385" s="594"/>
      <c r="L385" s="594"/>
      <c r="M385" s="594"/>
      <c r="N385" s="594"/>
      <c r="O385" s="594"/>
      <c r="P385" s="594"/>
      <c r="Q385" s="594"/>
      <c r="R385" s="594"/>
      <c r="S385" s="594"/>
      <c r="T385" s="594"/>
      <c r="U385" s="594"/>
      <c r="V385" s="594"/>
      <c r="W385" s="594"/>
      <c r="X385" s="594"/>
      <c r="Y385" s="594"/>
      <c r="Z385" s="594"/>
    </row>
    <row r="386" spans="1:26" s="202" customFormat="1" x14ac:dyDescent="0.2">
      <c r="A386" s="594"/>
      <c r="B386" s="594"/>
      <c r="C386" s="594"/>
      <c r="D386" s="594"/>
      <c r="E386" s="594"/>
      <c r="F386" s="594"/>
      <c r="G386" s="594"/>
      <c r="H386" s="594"/>
      <c r="I386" s="594"/>
      <c r="J386" s="594"/>
      <c r="K386" s="594"/>
      <c r="L386" s="594"/>
      <c r="M386" s="594"/>
      <c r="N386" s="594"/>
      <c r="O386" s="594"/>
      <c r="P386" s="594"/>
      <c r="Q386" s="594"/>
      <c r="R386" s="594"/>
      <c r="S386" s="594"/>
      <c r="T386" s="594"/>
      <c r="U386" s="594"/>
      <c r="V386" s="594"/>
      <c r="W386" s="594"/>
      <c r="X386" s="594"/>
      <c r="Y386" s="594"/>
      <c r="Z386" s="594"/>
    </row>
    <row r="387" spans="1:26" ht="13.5" thickBot="1" x14ac:dyDescent="0.25">
      <c r="A387" s="594"/>
      <c r="B387" s="594"/>
      <c r="C387" s="594"/>
      <c r="D387" s="594"/>
      <c r="E387" s="594"/>
      <c r="F387" s="594"/>
      <c r="G387" s="594"/>
      <c r="H387" s="594"/>
      <c r="I387" s="594"/>
      <c r="J387" s="594"/>
      <c r="K387" s="594"/>
      <c r="L387" s="594"/>
      <c r="M387" s="594"/>
      <c r="N387" s="594"/>
      <c r="O387" s="594"/>
      <c r="P387" s="594"/>
      <c r="Q387" s="594"/>
      <c r="R387" s="594"/>
      <c r="S387" s="594"/>
      <c r="T387" s="594"/>
      <c r="U387" s="594"/>
      <c r="V387" s="594"/>
      <c r="W387" s="594"/>
      <c r="X387" s="594"/>
      <c r="Y387" s="594"/>
      <c r="Z387" s="594"/>
    </row>
    <row r="388" spans="1:26" s="203" customFormat="1" x14ac:dyDescent="0.2">
      <c r="A388" s="594"/>
      <c r="B388" s="594"/>
      <c r="C388" s="594"/>
      <c r="D388" s="594"/>
      <c r="E388" s="594"/>
      <c r="F388" s="594"/>
      <c r="G388" s="594"/>
      <c r="H388" s="594"/>
      <c r="I388" s="594"/>
      <c r="J388" s="594"/>
      <c r="K388" s="594"/>
      <c r="L388" s="594"/>
      <c r="M388" s="594"/>
      <c r="N388" s="594"/>
      <c r="O388" s="594"/>
      <c r="P388" s="594"/>
      <c r="Q388" s="594"/>
      <c r="R388" s="594"/>
      <c r="S388" s="594"/>
      <c r="T388" s="594"/>
      <c r="U388" s="594"/>
      <c r="V388" s="594"/>
      <c r="W388" s="594"/>
      <c r="X388" s="594"/>
      <c r="Y388" s="594"/>
      <c r="Z388" s="594"/>
    </row>
    <row r="389" spans="1:26" s="202" customFormat="1" x14ac:dyDescent="0.2">
      <c r="A389" s="594"/>
      <c r="B389" s="594"/>
      <c r="C389" s="594"/>
      <c r="D389" s="594"/>
      <c r="E389" s="594"/>
      <c r="F389" s="594"/>
      <c r="G389" s="594"/>
      <c r="H389" s="594"/>
      <c r="I389" s="594"/>
      <c r="J389" s="594"/>
      <c r="K389" s="594"/>
      <c r="L389" s="594"/>
      <c r="M389" s="594"/>
      <c r="N389" s="594"/>
      <c r="O389" s="594"/>
      <c r="P389" s="594"/>
      <c r="Q389" s="594"/>
      <c r="R389" s="594"/>
      <c r="S389" s="594"/>
      <c r="T389" s="594"/>
      <c r="U389" s="594"/>
      <c r="V389" s="594"/>
      <c r="W389" s="594"/>
      <c r="X389" s="594"/>
      <c r="Y389" s="594"/>
      <c r="Z389" s="594"/>
    </row>
    <row r="390" spans="1:26" ht="13.5" thickBot="1" x14ac:dyDescent="0.25">
      <c r="A390" s="594"/>
      <c r="B390" s="594"/>
      <c r="C390" s="594"/>
      <c r="D390" s="594"/>
      <c r="E390" s="594"/>
      <c r="F390" s="594"/>
      <c r="G390" s="594"/>
      <c r="H390" s="594"/>
      <c r="I390" s="594"/>
      <c r="J390" s="594"/>
      <c r="K390" s="594"/>
      <c r="L390" s="594"/>
      <c r="M390" s="594"/>
      <c r="N390" s="594"/>
      <c r="O390" s="594"/>
      <c r="P390" s="594"/>
      <c r="Q390" s="594"/>
      <c r="R390" s="594"/>
      <c r="S390" s="594"/>
      <c r="T390" s="594"/>
      <c r="U390" s="594"/>
      <c r="V390" s="594"/>
      <c r="W390" s="594"/>
      <c r="X390" s="594"/>
      <c r="Y390" s="594"/>
      <c r="Z390" s="594"/>
    </row>
    <row r="391" spans="1:26" s="203" customFormat="1" x14ac:dyDescent="0.2">
      <c r="A391" s="594"/>
      <c r="B391" s="594"/>
      <c r="C391" s="594"/>
      <c r="D391" s="594"/>
      <c r="E391" s="594"/>
      <c r="F391" s="594"/>
      <c r="G391" s="594"/>
      <c r="H391" s="594"/>
      <c r="I391" s="594"/>
      <c r="J391" s="594"/>
      <c r="K391" s="594"/>
      <c r="L391" s="594"/>
      <c r="M391" s="594"/>
      <c r="N391" s="594"/>
      <c r="O391" s="594"/>
      <c r="P391" s="594"/>
      <c r="Q391" s="594"/>
      <c r="R391" s="594"/>
      <c r="S391" s="594"/>
      <c r="T391" s="594"/>
      <c r="U391" s="594"/>
      <c r="V391" s="594"/>
      <c r="W391" s="594"/>
      <c r="X391" s="594"/>
      <c r="Y391" s="594"/>
      <c r="Z391" s="594"/>
    </row>
    <row r="392" spans="1:26" s="202" customFormat="1" x14ac:dyDescent="0.2">
      <c r="A392" s="594"/>
      <c r="B392" s="594"/>
      <c r="C392" s="594"/>
      <c r="D392" s="594"/>
      <c r="E392" s="594"/>
      <c r="F392" s="594"/>
      <c r="G392" s="594"/>
      <c r="H392" s="594"/>
      <c r="I392" s="594"/>
      <c r="J392" s="594"/>
      <c r="K392" s="594"/>
      <c r="L392" s="594"/>
      <c r="M392" s="594"/>
      <c r="N392" s="594"/>
      <c r="O392" s="594"/>
      <c r="P392" s="594"/>
      <c r="Q392" s="594"/>
      <c r="R392" s="594"/>
      <c r="S392" s="594"/>
      <c r="T392" s="594"/>
      <c r="U392" s="594"/>
      <c r="V392" s="594"/>
      <c r="W392" s="594"/>
      <c r="X392" s="594"/>
      <c r="Y392" s="594"/>
      <c r="Z392" s="594"/>
    </row>
    <row r="393" spans="1:26" ht="13.5" thickBot="1" x14ac:dyDescent="0.25">
      <c r="A393" s="594"/>
      <c r="B393" s="594"/>
      <c r="C393" s="594"/>
      <c r="D393" s="594"/>
      <c r="E393" s="594"/>
      <c r="F393" s="594"/>
      <c r="G393" s="594"/>
      <c r="H393" s="594"/>
      <c r="I393" s="594"/>
      <c r="J393" s="594"/>
      <c r="K393" s="594"/>
      <c r="L393" s="594"/>
      <c r="M393" s="594"/>
      <c r="N393" s="594"/>
      <c r="O393" s="594"/>
      <c r="P393" s="594"/>
      <c r="Q393" s="594"/>
      <c r="R393" s="594"/>
      <c r="S393" s="594"/>
      <c r="T393" s="594"/>
      <c r="U393" s="594"/>
      <c r="V393" s="594"/>
      <c r="W393" s="594"/>
      <c r="X393" s="594"/>
      <c r="Y393" s="594"/>
      <c r="Z393" s="594"/>
    </row>
    <row r="394" spans="1:26" s="203" customFormat="1" x14ac:dyDescent="0.2">
      <c r="A394" s="594"/>
      <c r="B394" s="594"/>
      <c r="C394" s="594"/>
      <c r="D394" s="594"/>
      <c r="E394" s="594"/>
      <c r="F394" s="594"/>
      <c r="G394" s="594"/>
      <c r="H394" s="594"/>
      <c r="I394" s="594"/>
      <c r="J394" s="594"/>
      <c r="K394" s="594"/>
      <c r="L394" s="594"/>
      <c r="M394" s="594"/>
      <c r="N394" s="594"/>
      <c r="O394" s="594"/>
      <c r="P394" s="594"/>
      <c r="Q394" s="594"/>
      <c r="R394" s="594"/>
      <c r="S394" s="594"/>
      <c r="T394" s="594"/>
      <c r="U394" s="594"/>
      <c r="V394" s="594"/>
      <c r="W394" s="594"/>
      <c r="X394" s="594"/>
      <c r="Y394" s="594"/>
      <c r="Z394" s="594"/>
    </row>
    <row r="395" spans="1:26" s="212" customFormat="1" x14ac:dyDescent="0.2">
      <c r="A395" s="594"/>
      <c r="B395" s="594"/>
      <c r="C395" s="594"/>
      <c r="D395" s="594"/>
      <c r="E395" s="594"/>
      <c r="F395" s="594"/>
      <c r="G395" s="594"/>
      <c r="H395" s="594"/>
      <c r="I395" s="594"/>
      <c r="J395" s="594"/>
      <c r="K395" s="594"/>
      <c r="L395" s="594"/>
      <c r="M395" s="594"/>
      <c r="N395" s="594"/>
      <c r="O395" s="594"/>
      <c r="P395" s="594"/>
      <c r="Q395" s="594"/>
      <c r="R395" s="594"/>
      <c r="S395" s="594"/>
      <c r="T395" s="594"/>
      <c r="U395" s="594"/>
      <c r="V395" s="594"/>
      <c r="W395" s="594"/>
      <c r="X395" s="594"/>
      <c r="Y395" s="594"/>
      <c r="Z395" s="594"/>
    </row>
    <row r="396" spans="1:26" ht="13.5" thickBot="1" x14ac:dyDescent="0.25">
      <c r="A396" s="594"/>
      <c r="B396" s="594"/>
      <c r="C396" s="594"/>
      <c r="D396" s="594"/>
      <c r="E396" s="594"/>
      <c r="F396" s="594"/>
      <c r="G396" s="594"/>
      <c r="H396" s="594"/>
      <c r="I396" s="594"/>
      <c r="J396" s="594"/>
      <c r="K396" s="594"/>
      <c r="L396" s="594"/>
      <c r="M396" s="594"/>
      <c r="N396" s="594"/>
      <c r="O396" s="594"/>
      <c r="P396" s="594"/>
      <c r="Q396" s="594"/>
      <c r="R396" s="594"/>
      <c r="S396" s="594"/>
      <c r="T396" s="594"/>
      <c r="U396" s="594"/>
      <c r="V396" s="594"/>
      <c r="W396" s="594"/>
      <c r="X396" s="594"/>
      <c r="Y396" s="594"/>
      <c r="Z396" s="594"/>
    </row>
    <row r="397" spans="1:26" s="203" customFormat="1" x14ac:dyDescent="0.2">
      <c r="A397" s="594"/>
      <c r="B397" s="594"/>
      <c r="C397" s="594"/>
      <c r="D397" s="594"/>
      <c r="E397" s="594"/>
      <c r="F397" s="594"/>
      <c r="G397" s="594"/>
      <c r="H397" s="594"/>
      <c r="I397" s="594"/>
      <c r="J397" s="594"/>
      <c r="K397" s="594"/>
      <c r="L397" s="594"/>
      <c r="M397" s="594"/>
      <c r="N397" s="594"/>
      <c r="O397" s="594"/>
      <c r="P397" s="594"/>
      <c r="Q397" s="594"/>
      <c r="R397" s="594"/>
      <c r="S397" s="594"/>
      <c r="T397" s="594"/>
      <c r="U397" s="594"/>
      <c r="V397" s="594"/>
      <c r="W397" s="594"/>
      <c r="X397" s="594"/>
      <c r="Y397" s="594"/>
      <c r="Z397" s="594"/>
    </row>
    <row r="398" spans="1:26" s="202" customFormat="1" x14ac:dyDescent="0.2">
      <c r="A398" s="594"/>
      <c r="B398" s="594"/>
      <c r="C398" s="594"/>
      <c r="D398" s="594"/>
      <c r="E398" s="594"/>
      <c r="F398" s="594"/>
      <c r="G398" s="594"/>
      <c r="H398" s="594"/>
      <c r="I398" s="594"/>
      <c r="J398" s="594"/>
      <c r="K398" s="594"/>
      <c r="L398" s="594"/>
      <c r="M398" s="594"/>
      <c r="N398" s="594"/>
      <c r="O398" s="594"/>
      <c r="P398" s="594"/>
      <c r="Q398" s="594"/>
      <c r="R398" s="594"/>
      <c r="S398" s="594"/>
      <c r="T398" s="594"/>
      <c r="U398" s="594"/>
      <c r="V398" s="594"/>
      <c r="W398" s="594"/>
      <c r="X398" s="594"/>
      <c r="Y398" s="594"/>
      <c r="Z398" s="594"/>
    </row>
    <row r="399" spans="1:26" ht="13.5" thickBot="1" x14ac:dyDescent="0.25">
      <c r="A399" s="594"/>
      <c r="B399" s="594"/>
      <c r="C399" s="594"/>
      <c r="D399" s="594"/>
      <c r="E399" s="594"/>
      <c r="F399" s="594"/>
      <c r="G399" s="594"/>
      <c r="H399" s="594"/>
      <c r="I399" s="594"/>
      <c r="J399" s="594"/>
      <c r="K399" s="594"/>
      <c r="L399" s="594"/>
      <c r="M399" s="594"/>
      <c r="N399" s="594"/>
      <c r="O399" s="594"/>
      <c r="P399" s="594"/>
      <c r="Q399" s="594"/>
      <c r="R399" s="594"/>
      <c r="S399" s="594"/>
      <c r="T399" s="594"/>
      <c r="U399" s="594"/>
      <c r="V399" s="594"/>
      <c r="W399" s="594"/>
      <c r="X399" s="594"/>
      <c r="Y399" s="594"/>
      <c r="Z399" s="594"/>
    </row>
    <row r="400" spans="1:26" s="203" customFormat="1" x14ac:dyDescent="0.2">
      <c r="A400" s="594"/>
      <c r="B400" s="594"/>
      <c r="C400" s="594"/>
      <c r="D400" s="594"/>
      <c r="E400" s="594"/>
      <c r="F400" s="594"/>
      <c r="G400" s="594"/>
      <c r="H400" s="594"/>
      <c r="I400" s="594"/>
      <c r="J400" s="594"/>
      <c r="K400" s="594"/>
      <c r="L400" s="594"/>
      <c r="M400" s="594"/>
      <c r="N400" s="594"/>
      <c r="O400" s="594"/>
      <c r="P400" s="594"/>
      <c r="Q400" s="594"/>
      <c r="R400" s="594"/>
      <c r="S400" s="594"/>
      <c r="T400" s="594"/>
      <c r="U400" s="594"/>
      <c r="V400" s="594"/>
      <c r="W400" s="594"/>
      <c r="X400" s="594"/>
      <c r="Y400" s="594"/>
      <c r="Z400" s="594"/>
    </row>
    <row r="401" spans="1:26" s="202" customFormat="1" x14ac:dyDescent="0.2">
      <c r="A401" s="594"/>
      <c r="B401" s="594"/>
      <c r="C401" s="594"/>
      <c r="D401" s="594"/>
      <c r="E401" s="594"/>
      <c r="F401" s="594"/>
      <c r="G401" s="594"/>
      <c r="H401" s="594"/>
      <c r="I401" s="594"/>
      <c r="J401" s="594"/>
      <c r="K401" s="594"/>
      <c r="L401" s="594"/>
      <c r="M401" s="594"/>
      <c r="N401" s="594"/>
      <c r="O401" s="594"/>
      <c r="P401" s="594"/>
      <c r="Q401" s="594"/>
      <c r="R401" s="594"/>
      <c r="S401" s="594"/>
      <c r="T401" s="594"/>
      <c r="U401" s="594"/>
      <c r="V401" s="594"/>
      <c r="W401" s="594"/>
      <c r="X401" s="594"/>
      <c r="Y401" s="594"/>
      <c r="Z401" s="594"/>
    </row>
    <row r="402" spans="1:26" ht="13.5" thickBot="1" x14ac:dyDescent="0.25">
      <c r="A402" s="594"/>
      <c r="B402" s="594"/>
      <c r="C402" s="594"/>
      <c r="D402" s="594"/>
      <c r="E402" s="594"/>
      <c r="F402" s="594"/>
      <c r="G402" s="594"/>
      <c r="H402" s="594"/>
      <c r="I402" s="594"/>
      <c r="J402" s="594"/>
      <c r="K402" s="594"/>
      <c r="L402" s="594"/>
      <c r="M402" s="594"/>
      <c r="N402" s="594"/>
      <c r="O402" s="594"/>
      <c r="P402" s="594"/>
      <c r="Q402" s="594"/>
      <c r="R402" s="594"/>
      <c r="S402" s="594"/>
      <c r="T402" s="594"/>
      <c r="U402" s="594"/>
      <c r="V402" s="594"/>
      <c r="W402" s="594"/>
      <c r="X402" s="594"/>
      <c r="Y402" s="594"/>
      <c r="Z402" s="594"/>
    </row>
    <row r="403" spans="1:26" s="203" customFormat="1" x14ac:dyDescent="0.2">
      <c r="A403" s="594"/>
      <c r="B403" s="594"/>
      <c r="C403" s="594"/>
      <c r="D403" s="594"/>
      <c r="E403" s="594"/>
      <c r="F403" s="594"/>
      <c r="G403" s="594"/>
      <c r="H403" s="594"/>
      <c r="I403" s="594"/>
      <c r="J403" s="594"/>
      <c r="K403" s="594"/>
      <c r="L403" s="594"/>
      <c r="M403" s="594"/>
      <c r="N403" s="594"/>
      <c r="O403" s="594"/>
      <c r="P403" s="594"/>
      <c r="Q403" s="594"/>
      <c r="R403" s="594"/>
      <c r="S403" s="594"/>
      <c r="T403" s="594"/>
      <c r="U403" s="594"/>
      <c r="V403" s="594"/>
      <c r="W403" s="594"/>
      <c r="X403" s="594"/>
      <c r="Y403" s="594"/>
      <c r="Z403" s="594"/>
    </row>
    <row r="404" spans="1:26" s="202" customFormat="1" x14ac:dyDescent="0.2">
      <c r="A404" s="594"/>
      <c r="B404" s="594"/>
      <c r="C404" s="594"/>
      <c r="D404" s="594"/>
      <c r="E404" s="594"/>
      <c r="F404" s="594"/>
      <c r="G404" s="594"/>
      <c r="H404" s="594"/>
      <c r="I404" s="594"/>
      <c r="J404" s="594"/>
      <c r="K404" s="594"/>
      <c r="L404" s="594"/>
      <c r="M404" s="594"/>
      <c r="N404" s="594"/>
      <c r="O404" s="594"/>
      <c r="P404" s="594"/>
      <c r="Q404" s="594"/>
      <c r="R404" s="594"/>
      <c r="S404" s="594"/>
      <c r="T404" s="594"/>
      <c r="U404" s="594"/>
      <c r="V404" s="594"/>
      <c r="W404" s="594"/>
      <c r="X404" s="594"/>
      <c r="Y404" s="594"/>
      <c r="Z404" s="594"/>
    </row>
    <row r="405" spans="1:26" ht="13.5" thickBot="1" x14ac:dyDescent="0.25">
      <c r="A405" s="594"/>
      <c r="B405" s="594"/>
      <c r="C405" s="594"/>
      <c r="D405" s="594"/>
      <c r="E405" s="594"/>
      <c r="F405" s="594"/>
      <c r="G405" s="594"/>
      <c r="H405" s="594"/>
      <c r="I405" s="594"/>
      <c r="J405" s="594"/>
      <c r="K405" s="594"/>
      <c r="L405" s="594"/>
      <c r="M405" s="594"/>
      <c r="N405" s="594"/>
      <c r="O405" s="594"/>
      <c r="P405" s="594"/>
      <c r="Q405" s="594"/>
      <c r="R405" s="594"/>
      <c r="S405" s="594"/>
      <c r="T405" s="594"/>
      <c r="U405" s="594"/>
      <c r="V405" s="594"/>
      <c r="W405" s="594"/>
      <c r="X405" s="594"/>
      <c r="Y405" s="594"/>
      <c r="Z405" s="594"/>
    </row>
    <row r="406" spans="1:26" s="203" customFormat="1" x14ac:dyDescent="0.2">
      <c r="A406" s="594"/>
      <c r="B406" s="594"/>
      <c r="C406" s="594"/>
      <c r="D406" s="594"/>
      <c r="E406" s="594"/>
      <c r="F406" s="594"/>
      <c r="G406" s="594"/>
      <c r="H406" s="594"/>
      <c r="I406" s="594"/>
      <c r="J406" s="594"/>
      <c r="K406" s="594"/>
      <c r="L406" s="594"/>
      <c r="M406" s="594"/>
      <c r="N406" s="594"/>
      <c r="O406" s="594"/>
      <c r="P406" s="594"/>
      <c r="Q406" s="594"/>
      <c r="R406" s="594"/>
      <c r="S406" s="594"/>
      <c r="T406" s="594"/>
      <c r="U406" s="594"/>
      <c r="V406" s="594"/>
      <c r="W406" s="594"/>
      <c r="X406" s="594"/>
      <c r="Y406" s="594"/>
      <c r="Z406" s="594"/>
    </row>
    <row r="407" spans="1:26" s="202" customFormat="1" ht="13.5" thickBot="1" x14ac:dyDescent="0.25">
      <c r="A407" s="594"/>
      <c r="B407" s="594"/>
      <c r="C407" s="594"/>
      <c r="D407" s="594"/>
      <c r="E407" s="594"/>
      <c r="F407" s="594"/>
      <c r="G407" s="594"/>
      <c r="H407" s="594"/>
      <c r="I407" s="594"/>
      <c r="J407" s="594"/>
      <c r="K407" s="594"/>
      <c r="L407" s="594"/>
      <c r="M407" s="594"/>
      <c r="N407" s="594"/>
      <c r="O407" s="594"/>
      <c r="P407" s="594"/>
      <c r="Q407" s="594"/>
      <c r="R407" s="594"/>
      <c r="S407" s="594"/>
      <c r="T407" s="594"/>
      <c r="U407" s="594"/>
      <c r="V407" s="594"/>
      <c r="W407" s="594"/>
      <c r="X407" s="594"/>
      <c r="Y407" s="594"/>
      <c r="Z407" s="594"/>
    </row>
    <row r="408" spans="1:26" x14ac:dyDescent="0.2">
      <c r="A408" s="594"/>
      <c r="B408" s="594"/>
      <c r="C408" s="594"/>
      <c r="D408" s="594"/>
      <c r="E408" s="594"/>
      <c r="F408" s="594"/>
      <c r="G408" s="594"/>
      <c r="H408" s="594"/>
      <c r="I408" s="594"/>
      <c r="J408" s="594"/>
      <c r="K408" s="594"/>
      <c r="L408" s="594"/>
      <c r="M408" s="594"/>
      <c r="N408" s="594"/>
      <c r="O408" s="594"/>
      <c r="P408" s="594"/>
      <c r="Q408" s="594"/>
      <c r="R408" s="594"/>
      <c r="S408" s="594"/>
      <c r="T408" s="594"/>
      <c r="U408" s="594"/>
      <c r="V408" s="594"/>
      <c r="W408" s="594"/>
      <c r="X408" s="594"/>
      <c r="Y408" s="594"/>
      <c r="Z408" s="594"/>
    </row>
    <row r="409" spans="1:26" s="203" customFormat="1" x14ac:dyDescent="0.2">
      <c r="A409" s="594"/>
      <c r="B409" s="594"/>
      <c r="C409" s="594"/>
      <c r="D409" s="594"/>
      <c r="E409" s="594"/>
      <c r="F409" s="594"/>
      <c r="G409" s="594"/>
      <c r="H409" s="594"/>
      <c r="I409" s="594"/>
      <c r="J409" s="594"/>
      <c r="K409" s="594"/>
      <c r="L409" s="594"/>
      <c r="M409" s="594"/>
      <c r="N409" s="594"/>
      <c r="O409" s="594"/>
      <c r="P409" s="594"/>
      <c r="Q409" s="594"/>
      <c r="R409" s="594"/>
      <c r="S409" s="594"/>
      <c r="T409" s="594"/>
      <c r="U409" s="594"/>
      <c r="V409" s="594"/>
      <c r="W409" s="594"/>
      <c r="X409" s="594"/>
      <c r="Y409" s="594"/>
      <c r="Z409" s="594"/>
    </row>
    <row r="410" spans="1:26" s="202" customFormat="1" ht="13.5" thickBot="1" x14ac:dyDescent="0.25">
      <c r="A410" s="594"/>
      <c r="B410" s="594"/>
      <c r="C410" s="594"/>
      <c r="D410" s="594"/>
      <c r="E410" s="594"/>
      <c r="F410" s="594"/>
      <c r="G410" s="594"/>
      <c r="H410" s="594"/>
      <c r="I410" s="594"/>
      <c r="J410" s="594"/>
      <c r="K410" s="594"/>
      <c r="L410" s="594"/>
      <c r="M410" s="594"/>
      <c r="N410" s="594"/>
      <c r="O410" s="594"/>
      <c r="P410" s="594"/>
      <c r="Q410" s="594"/>
      <c r="R410" s="594"/>
      <c r="S410" s="594"/>
      <c r="T410" s="594"/>
      <c r="U410" s="594"/>
      <c r="V410" s="594"/>
      <c r="W410" s="594"/>
      <c r="X410" s="594"/>
      <c r="Y410" s="594"/>
      <c r="Z410" s="594"/>
    </row>
    <row r="411" spans="1:26" x14ac:dyDescent="0.2">
      <c r="A411" s="594"/>
      <c r="B411" s="594"/>
      <c r="C411" s="594"/>
      <c r="D411" s="594"/>
      <c r="E411" s="594"/>
      <c r="F411" s="594"/>
      <c r="G411" s="594"/>
      <c r="H411" s="594"/>
      <c r="I411" s="594"/>
      <c r="J411" s="594"/>
      <c r="K411" s="594"/>
      <c r="L411" s="594"/>
      <c r="M411" s="594"/>
      <c r="N411" s="594"/>
      <c r="O411" s="594"/>
      <c r="P411" s="594"/>
      <c r="Q411" s="594"/>
      <c r="R411" s="594"/>
      <c r="S411" s="594"/>
      <c r="T411" s="594"/>
      <c r="U411" s="594"/>
      <c r="V411" s="594"/>
      <c r="W411" s="594"/>
      <c r="X411" s="594"/>
      <c r="Y411" s="594"/>
      <c r="Z411" s="594"/>
    </row>
    <row r="412" spans="1:26" s="203" customFormat="1" x14ac:dyDescent="0.2">
      <c r="A412" s="594"/>
      <c r="B412" s="594"/>
      <c r="C412" s="594"/>
      <c r="D412" s="594"/>
      <c r="E412" s="594"/>
      <c r="F412" s="594"/>
      <c r="G412" s="594"/>
      <c r="H412" s="594"/>
      <c r="I412" s="594"/>
      <c r="J412" s="594"/>
      <c r="K412" s="594"/>
      <c r="L412" s="594"/>
      <c r="M412" s="594"/>
      <c r="N412" s="594"/>
      <c r="O412" s="594"/>
      <c r="P412" s="594"/>
      <c r="Q412" s="594"/>
      <c r="R412" s="594"/>
      <c r="S412" s="594"/>
      <c r="T412" s="594"/>
      <c r="U412" s="594"/>
      <c r="V412" s="594"/>
      <c r="W412" s="594"/>
      <c r="X412" s="594"/>
      <c r="Y412" s="594"/>
      <c r="Z412" s="594"/>
    </row>
    <row r="413" spans="1:26" s="202" customFormat="1" ht="13.5" thickBot="1" x14ac:dyDescent="0.25">
      <c r="A413" s="594"/>
      <c r="B413" s="594"/>
      <c r="C413" s="594"/>
      <c r="D413" s="594"/>
      <c r="E413" s="594"/>
      <c r="F413" s="594"/>
      <c r="G413" s="594"/>
      <c r="H413" s="594"/>
      <c r="I413" s="594"/>
      <c r="J413" s="594"/>
      <c r="K413" s="594"/>
      <c r="L413" s="594"/>
      <c r="M413" s="594"/>
      <c r="N413" s="594"/>
      <c r="O413" s="594"/>
      <c r="P413" s="594"/>
      <c r="Q413" s="594"/>
      <c r="R413" s="594"/>
      <c r="S413" s="594"/>
      <c r="T413" s="594"/>
      <c r="U413" s="594"/>
      <c r="V413" s="594"/>
      <c r="W413" s="594"/>
      <c r="X413" s="594"/>
      <c r="Y413" s="594"/>
      <c r="Z413" s="594"/>
    </row>
    <row r="414" spans="1:26" x14ac:dyDescent="0.2">
      <c r="A414" s="594"/>
      <c r="B414" s="594"/>
      <c r="C414" s="594"/>
      <c r="D414" s="594"/>
      <c r="E414" s="594"/>
      <c r="F414" s="594"/>
      <c r="G414" s="594"/>
      <c r="H414" s="594"/>
      <c r="I414" s="594"/>
      <c r="J414" s="594"/>
      <c r="K414" s="594"/>
      <c r="L414" s="594"/>
      <c r="M414" s="594"/>
      <c r="N414" s="594"/>
      <c r="O414" s="594"/>
      <c r="P414" s="594"/>
      <c r="Q414" s="594"/>
      <c r="R414" s="594"/>
      <c r="S414" s="594"/>
      <c r="T414" s="594"/>
      <c r="U414" s="594"/>
      <c r="V414" s="594"/>
      <c r="W414" s="594"/>
      <c r="X414" s="594"/>
      <c r="Y414" s="594"/>
      <c r="Z414" s="594"/>
    </row>
    <row r="415" spans="1:26" s="203" customFormat="1" x14ac:dyDescent="0.2">
      <c r="A415" s="594"/>
      <c r="B415" s="594"/>
      <c r="C415" s="594"/>
      <c r="D415" s="594"/>
      <c r="E415" s="594"/>
      <c r="F415" s="594"/>
      <c r="G415" s="594"/>
      <c r="H415" s="594"/>
      <c r="I415" s="594"/>
      <c r="J415" s="594"/>
      <c r="K415" s="594"/>
      <c r="L415" s="594"/>
      <c r="M415" s="594"/>
      <c r="N415" s="594"/>
      <c r="O415" s="594"/>
      <c r="P415" s="594"/>
      <c r="Q415" s="594"/>
      <c r="R415" s="594"/>
      <c r="S415" s="594"/>
      <c r="T415" s="594"/>
      <c r="U415" s="594"/>
      <c r="V415" s="594"/>
      <c r="W415" s="594"/>
      <c r="X415" s="594"/>
      <c r="Y415" s="594"/>
      <c r="Z415" s="594"/>
    </row>
    <row r="416" spans="1:26" s="202" customFormat="1" ht="13.5" thickBot="1" x14ac:dyDescent="0.25">
      <c r="A416" s="594"/>
      <c r="B416" s="594"/>
      <c r="C416" s="594"/>
      <c r="D416" s="594"/>
      <c r="E416" s="594"/>
      <c r="F416" s="594"/>
      <c r="G416" s="594"/>
      <c r="H416" s="594"/>
      <c r="I416" s="594"/>
      <c r="J416" s="594"/>
      <c r="K416" s="594"/>
      <c r="L416" s="594"/>
      <c r="M416" s="594"/>
      <c r="N416" s="594"/>
      <c r="O416" s="594"/>
      <c r="P416" s="594"/>
      <c r="Q416" s="594"/>
      <c r="R416" s="594"/>
      <c r="S416" s="594"/>
      <c r="T416" s="594"/>
      <c r="U416" s="594"/>
      <c r="V416" s="594"/>
      <c r="W416" s="594"/>
      <c r="X416" s="594"/>
      <c r="Y416" s="594"/>
      <c r="Z416" s="594"/>
    </row>
    <row r="417" spans="1:26" x14ac:dyDescent="0.2">
      <c r="A417" s="594"/>
      <c r="B417" s="594"/>
      <c r="C417" s="594"/>
      <c r="D417" s="594"/>
      <c r="E417" s="594"/>
      <c r="F417" s="594"/>
      <c r="G417" s="594"/>
      <c r="H417" s="594"/>
      <c r="I417" s="594"/>
      <c r="J417" s="594"/>
      <c r="K417" s="594"/>
      <c r="L417" s="594"/>
      <c r="M417" s="594"/>
      <c r="N417" s="594"/>
      <c r="O417" s="594"/>
      <c r="P417" s="594"/>
      <c r="Q417" s="594"/>
      <c r="R417" s="594"/>
      <c r="S417" s="594"/>
      <c r="T417" s="594"/>
      <c r="U417" s="594"/>
      <c r="V417" s="594"/>
      <c r="W417" s="594"/>
      <c r="X417" s="594"/>
      <c r="Y417" s="594"/>
      <c r="Z417" s="594"/>
    </row>
    <row r="418" spans="1:26" s="203" customFormat="1" ht="13.5" thickBot="1" x14ac:dyDescent="0.25">
      <c r="A418" s="594"/>
      <c r="B418" s="594"/>
      <c r="C418" s="594"/>
      <c r="D418" s="594"/>
      <c r="E418" s="594"/>
      <c r="F418" s="594"/>
      <c r="G418" s="594"/>
      <c r="H418" s="594"/>
      <c r="I418" s="594"/>
      <c r="J418" s="594"/>
      <c r="K418" s="594"/>
      <c r="L418" s="594"/>
      <c r="M418" s="594"/>
      <c r="N418" s="594"/>
      <c r="O418" s="594"/>
      <c r="P418" s="594"/>
      <c r="Q418" s="594"/>
      <c r="R418" s="594"/>
      <c r="S418" s="594"/>
      <c r="T418" s="594"/>
      <c r="U418" s="594"/>
      <c r="V418" s="594"/>
      <c r="W418" s="594"/>
      <c r="X418" s="594"/>
      <c r="Y418" s="594"/>
      <c r="Z418" s="594"/>
    </row>
    <row r="419" spans="1:26" s="202" customFormat="1" x14ac:dyDescent="0.2">
      <c r="A419" s="594"/>
      <c r="B419" s="594"/>
      <c r="C419" s="594"/>
      <c r="D419" s="594"/>
      <c r="E419" s="594"/>
      <c r="F419" s="594"/>
      <c r="G419" s="594"/>
      <c r="H419" s="594"/>
      <c r="I419" s="594"/>
      <c r="J419" s="594"/>
      <c r="K419" s="594"/>
      <c r="L419" s="594"/>
      <c r="M419" s="594"/>
      <c r="N419" s="594"/>
      <c r="O419" s="594"/>
      <c r="P419" s="594"/>
      <c r="Q419" s="594"/>
      <c r="R419" s="594"/>
      <c r="S419" s="594"/>
      <c r="T419" s="594"/>
      <c r="U419" s="594"/>
      <c r="V419" s="594"/>
      <c r="W419" s="594"/>
      <c r="X419" s="594"/>
      <c r="Y419" s="594"/>
      <c r="Z419" s="594"/>
    </row>
    <row r="420" spans="1:26" x14ac:dyDescent="0.2">
      <c r="A420" s="594"/>
      <c r="B420" s="594"/>
      <c r="C420" s="594"/>
      <c r="D420" s="594"/>
      <c r="E420" s="594"/>
      <c r="F420" s="594"/>
      <c r="G420" s="594"/>
      <c r="H420" s="594"/>
      <c r="I420" s="594"/>
      <c r="J420" s="594"/>
      <c r="K420" s="594"/>
      <c r="L420" s="594"/>
      <c r="M420" s="594"/>
      <c r="N420" s="594"/>
      <c r="O420" s="594"/>
      <c r="P420" s="594"/>
      <c r="Q420" s="594"/>
      <c r="R420" s="594"/>
      <c r="S420" s="594"/>
      <c r="T420" s="594"/>
      <c r="U420" s="594"/>
      <c r="V420" s="594"/>
      <c r="W420" s="594"/>
      <c r="X420" s="594"/>
      <c r="Y420" s="594"/>
      <c r="Z420" s="594"/>
    </row>
    <row r="421" spans="1:26" s="203" customFormat="1" ht="13.5" thickBot="1" x14ac:dyDescent="0.25">
      <c r="A421" s="594"/>
      <c r="B421" s="594"/>
      <c r="C421" s="594"/>
      <c r="D421" s="594"/>
      <c r="E421" s="594"/>
      <c r="F421" s="594"/>
      <c r="G421" s="594"/>
      <c r="H421" s="594"/>
      <c r="I421" s="594"/>
      <c r="J421" s="594"/>
      <c r="K421" s="594"/>
      <c r="L421" s="594"/>
      <c r="M421" s="594"/>
      <c r="N421" s="594"/>
      <c r="O421" s="594"/>
      <c r="P421" s="594"/>
      <c r="Q421" s="594"/>
      <c r="R421" s="594"/>
      <c r="S421" s="594"/>
      <c r="T421" s="594"/>
      <c r="U421" s="594"/>
      <c r="V421" s="594"/>
      <c r="W421" s="594"/>
      <c r="X421" s="594"/>
      <c r="Y421" s="594"/>
      <c r="Z421" s="594"/>
    </row>
    <row r="422" spans="1:26" s="202" customFormat="1" x14ac:dyDescent="0.2">
      <c r="A422" s="594"/>
      <c r="B422" s="594"/>
      <c r="C422" s="594"/>
      <c r="D422" s="594"/>
      <c r="E422" s="594"/>
      <c r="F422" s="594"/>
      <c r="G422" s="594"/>
      <c r="H422" s="594"/>
      <c r="I422" s="594"/>
      <c r="J422" s="594"/>
      <c r="K422" s="594"/>
      <c r="L422" s="594"/>
      <c r="M422" s="594"/>
      <c r="N422" s="594"/>
      <c r="O422" s="594"/>
      <c r="P422" s="594"/>
      <c r="Q422" s="594"/>
      <c r="R422" s="594"/>
      <c r="S422" s="594"/>
      <c r="T422" s="594"/>
      <c r="U422" s="594"/>
      <c r="V422" s="594"/>
      <c r="W422" s="594"/>
      <c r="X422" s="594"/>
      <c r="Y422" s="594"/>
      <c r="Z422" s="594"/>
    </row>
    <row r="423" spans="1:26" x14ac:dyDescent="0.2">
      <c r="A423" s="594"/>
      <c r="B423" s="594"/>
      <c r="C423" s="594"/>
      <c r="D423" s="594"/>
      <c r="E423" s="594"/>
      <c r="F423" s="594"/>
      <c r="G423" s="594"/>
      <c r="H423" s="594"/>
      <c r="I423" s="594"/>
      <c r="J423" s="594"/>
      <c r="K423" s="594"/>
      <c r="L423" s="594"/>
      <c r="M423" s="594"/>
      <c r="N423" s="594"/>
      <c r="O423" s="594"/>
      <c r="P423" s="594"/>
      <c r="Q423" s="594"/>
      <c r="R423" s="594"/>
      <c r="S423" s="594"/>
      <c r="T423" s="594"/>
      <c r="U423" s="594"/>
      <c r="V423" s="594"/>
      <c r="W423" s="594"/>
      <c r="X423" s="594"/>
      <c r="Y423" s="594"/>
      <c r="Z423" s="594"/>
    </row>
    <row r="424" spans="1:26" s="203" customFormat="1" ht="13.5" thickBot="1" x14ac:dyDescent="0.25">
      <c r="A424" s="594"/>
      <c r="B424" s="594"/>
      <c r="C424" s="594"/>
      <c r="D424" s="594"/>
      <c r="E424" s="594"/>
      <c r="F424" s="594"/>
      <c r="G424" s="594"/>
      <c r="H424" s="594"/>
      <c r="I424" s="594"/>
      <c r="J424" s="594"/>
      <c r="K424" s="594"/>
      <c r="L424" s="594"/>
      <c r="M424" s="594"/>
      <c r="N424" s="594"/>
      <c r="O424" s="594"/>
      <c r="P424" s="594"/>
      <c r="Q424" s="594"/>
      <c r="R424" s="594"/>
      <c r="S424" s="594"/>
      <c r="T424" s="594"/>
      <c r="U424" s="594"/>
      <c r="V424" s="594"/>
      <c r="W424" s="594"/>
      <c r="X424" s="594"/>
      <c r="Y424" s="594"/>
      <c r="Z424" s="594"/>
    </row>
    <row r="425" spans="1:26" s="202" customFormat="1" x14ac:dyDescent="0.2">
      <c r="A425" s="594"/>
      <c r="B425" s="594"/>
      <c r="C425" s="594"/>
      <c r="D425" s="594"/>
      <c r="E425" s="594"/>
      <c r="F425" s="594"/>
      <c r="G425" s="594"/>
      <c r="H425" s="594"/>
      <c r="I425" s="594"/>
      <c r="J425" s="594"/>
      <c r="K425" s="594"/>
      <c r="L425" s="594"/>
      <c r="M425" s="594"/>
      <c r="N425" s="594"/>
      <c r="O425" s="594"/>
      <c r="P425" s="594"/>
      <c r="Q425" s="594"/>
      <c r="R425" s="594"/>
      <c r="S425" s="594"/>
      <c r="T425" s="594"/>
      <c r="U425" s="594"/>
      <c r="V425" s="594"/>
      <c r="W425" s="594"/>
      <c r="X425" s="594"/>
      <c r="Y425" s="594"/>
      <c r="Z425" s="594"/>
    </row>
    <row r="426" spans="1:26" x14ac:dyDescent="0.2">
      <c r="A426" s="594"/>
      <c r="B426" s="594"/>
      <c r="C426" s="594"/>
      <c r="D426" s="594"/>
      <c r="E426" s="594"/>
      <c r="F426" s="594"/>
      <c r="G426" s="594"/>
      <c r="H426" s="594"/>
      <c r="I426" s="594"/>
      <c r="J426" s="594"/>
      <c r="K426" s="594"/>
      <c r="L426" s="594"/>
      <c r="M426" s="594"/>
      <c r="N426" s="594"/>
      <c r="O426" s="594"/>
      <c r="P426" s="594"/>
      <c r="Q426" s="594"/>
      <c r="R426" s="594"/>
      <c r="S426" s="594"/>
      <c r="T426" s="594"/>
      <c r="U426" s="594"/>
      <c r="V426" s="594"/>
      <c r="W426" s="594"/>
      <c r="X426" s="594"/>
      <c r="Y426" s="594"/>
      <c r="Z426" s="594"/>
    </row>
    <row r="427" spans="1:26" s="203" customFormat="1" ht="13.5" thickBot="1" x14ac:dyDescent="0.25">
      <c r="A427" s="594"/>
      <c r="B427" s="594"/>
      <c r="C427" s="594"/>
      <c r="D427" s="594"/>
      <c r="E427" s="594"/>
      <c r="F427" s="594"/>
      <c r="G427" s="594"/>
      <c r="H427" s="594"/>
      <c r="I427" s="594"/>
      <c r="J427" s="594"/>
      <c r="K427" s="594"/>
      <c r="L427" s="594"/>
      <c r="M427" s="594"/>
      <c r="N427" s="594"/>
      <c r="O427" s="594"/>
      <c r="P427" s="594"/>
      <c r="Q427" s="594"/>
      <c r="R427" s="594"/>
      <c r="S427" s="594"/>
      <c r="T427" s="594"/>
      <c r="U427" s="594"/>
      <c r="V427" s="594"/>
      <c r="W427" s="594"/>
      <c r="X427" s="594"/>
      <c r="Y427" s="594"/>
      <c r="Z427" s="594"/>
    </row>
    <row r="428" spans="1:26" s="202" customFormat="1" x14ac:dyDescent="0.2">
      <c r="A428" s="594"/>
      <c r="B428" s="594"/>
      <c r="C428" s="594"/>
      <c r="D428" s="594"/>
      <c r="E428" s="594"/>
      <c r="F428" s="594"/>
      <c r="G428" s="594"/>
      <c r="H428" s="594"/>
      <c r="I428" s="594"/>
      <c r="J428" s="594"/>
      <c r="K428" s="594"/>
      <c r="L428" s="594"/>
      <c r="M428" s="594"/>
      <c r="N428" s="594"/>
      <c r="O428" s="594"/>
      <c r="P428" s="594"/>
      <c r="Q428" s="594"/>
      <c r="R428" s="594"/>
      <c r="S428" s="594"/>
      <c r="T428" s="594"/>
      <c r="U428" s="594"/>
      <c r="V428" s="594"/>
      <c r="W428" s="594"/>
      <c r="X428" s="594"/>
      <c r="Y428" s="594"/>
      <c r="Z428" s="594"/>
    </row>
    <row r="429" spans="1:26" ht="13.5" thickBot="1" x14ac:dyDescent="0.25">
      <c r="A429" s="594"/>
      <c r="B429" s="594"/>
      <c r="C429" s="594"/>
      <c r="D429" s="594"/>
      <c r="E429" s="594"/>
      <c r="F429" s="594"/>
      <c r="G429" s="594"/>
      <c r="H429" s="594"/>
      <c r="I429" s="594"/>
      <c r="J429" s="594"/>
      <c r="K429" s="594"/>
      <c r="L429" s="594"/>
      <c r="M429" s="594"/>
      <c r="N429" s="594"/>
      <c r="O429" s="594"/>
      <c r="P429" s="594"/>
      <c r="Q429" s="594"/>
      <c r="R429" s="594"/>
      <c r="S429" s="594"/>
      <c r="T429" s="594"/>
      <c r="U429" s="594"/>
      <c r="V429" s="594"/>
      <c r="W429" s="594"/>
      <c r="X429" s="594"/>
      <c r="Y429" s="594"/>
      <c r="Z429" s="594"/>
    </row>
    <row r="430" spans="1:26" s="203" customFormat="1" x14ac:dyDescent="0.2">
      <c r="A430" s="594"/>
      <c r="B430" s="594"/>
      <c r="C430" s="594"/>
      <c r="D430" s="594"/>
      <c r="E430" s="594"/>
      <c r="F430" s="594"/>
      <c r="G430" s="594"/>
      <c r="H430" s="594"/>
      <c r="I430" s="594"/>
      <c r="J430" s="594"/>
      <c r="K430" s="594"/>
      <c r="L430" s="594"/>
      <c r="M430" s="594"/>
      <c r="N430" s="594"/>
      <c r="O430" s="594"/>
      <c r="P430" s="594"/>
      <c r="Q430" s="594"/>
      <c r="R430" s="594"/>
      <c r="S430" s="594"/>
      <c r="T430" s="594"/>
      <c r="U430" s="594"/>
      <c r="V430" s="594"/>
      <c r="W430" s="594"/>
      <c r="X430" s="594"/>
      <c r="Y430" s="594"/>
      <c r="Z430" s="594"/>
    </row>
    <row r="431" spans="1:26" s="202" customFormat="1" x14ac:dyDescent="0.2">
      <c r="A431" s="594"/>
      <c r="B431" s="594"/>
      <c r="C431" s="594"/>
      <c r="D431" s="594"/>
      <c r="E431" s="594"/>
      <c r="F431" s="594"/>
      <c r="G431" s="594"/>
      <c r="H431" s="594"/>
      <c r="I431" s="594"/>
      <c r="J431" s="594"/>
      <c r="K431" s="594"/>
      <c r="L431" s="594"/>
      <c r="M431" s="594"/>
      <c r="N431" s="594"/>
      <c r="O431" s="594"/>
      <c r="P431" s="594"/>
      <c r="Q431" s="594"/>
      <c r="R431" s="594"/>
      <c r="S431" s="594"/>
      <c r="T431" s="594"/>
      <c r="U431" s="594"/>
      <c r="V431" s="594"/>
      <c r="W431" s="594"/>
      <c r="X431" s="594"/>
      <c r="Y431" s="594"/>
      <c r="Z431" s="594"/>
    </row>
    <row r="432" spans="1:26" ht="13.5" thickBot="1" x14ac:dyDescent="0.25">
      <c r="A432" s="594"/>
      <c r="B432" s="594"/>
      <c r="C432" s="594"/>
      <c r="D432" s="594"/>
      <c r="E432" s="594"/>
      <c r="F432" s="594"/>
      <c r="G432" s="594"/>
      <c r="H432" s="594"/>
      <c r="I432" s="594"/>
      <c r="J432" s="594"/>
      <c r="K432" s="594"/>
      <c r="L432" s="594"/>
      <c r="M432" s="594"/>
      <c r="N432" s="594"/>
      <c r="O432" s="594"/>
      <c r="P432" s="594"/>
      <c r="Q432" s="594"/>
      <c r="R432" s="594"/>
      <c r="S432" s="594"/>
      <c r="T432" s="594"/>
      <c r="U432" s="594"/>
      <c r="V432" s="594"/>
      <c r="W432" s="594"/>
      <c r="X432" s="594"/>
      <c r="Y432" s="594"/>
      <c r="Z432" s="594"/>
    </row>
    <row r="433" spans="1:26" s="203" customFormat="1" x14ac:dyDescent="0.2">
      <c r="A433" s="594"/>
      <c r="B433" s="594"/>
      <c r="C433" s="594"/>
      <c r="D433" s="594"/>
      <c r="E433" s="594"/>
      <c r="F433" s="594"/>
      <c r="G433" s="594"/>
      <c r="H433" s="594"/>
      <c r="I433" s="594"/>
      <c r="J433" s="594"/>
      <c r="K433" s="594"/>
      <c r="L433" s="594"/>
      <c r="M433" s="594"/>
      <c r="N433" s="594"/>
      <c r="O433" s="594"/>
      <c r="P433" s="594"/>
      <c r="Q433" s="594"/>
      <c r="R433" s="594"/>
      <c r="S433" s="594"/>
      <c r="T433" s="594"/>
      <c r="U433" s="594"/>
      <c r="V433" s="594"/>
      <c r="W433" s="594"/>
      <c r="X433" s="594"/>
      <c r="Y433" s="594"/>
      <c r="Z433" s="594"/>
    </row>
    <row r="434" spans="1:26" s="212" customFormat="1" ht="13.5" thickBot="1" x14ac:dyDescent="0.25">
      <c r="A434" s="594"/>
      <c r="B434" s="594"/>
      <c r="C434" s="594"/>
      <c r="D434" s="594"/>
      <c r="E434" s="594"/>
      <c r="F434" s="594"/>
      <c r="G434" s="594"/>
      <c r="H434" s="594"/>
      <c r="I434" s="594"/>
      <c r="J434" s="594"/>
      <c r="K434" s="594"/>
      <c r="L434" s="594"/>
      <c r="M434" s="594"/>
      <c r="N434" s="594"/>
      <c r="O434" s="594"/>
      <c r="P434" s="594"/>
      <c r="Q434" s="594"/>
      <c r="R434" s="594"/>
      <c r="S434" s="594"/>
      <c r="T434" s="594"/>
      <c r="U434" s="594"/>
      <c r="V434" s="594"/>
      <c r="W434" s="594"/>
      <c r="X434" s="594"/>
      <c r="Y434" s="594"/>
      <c r="Z434" s="594"/>
    </row>
    <row r="435" spans="1:26" x14ac:dyDescent="0.2">
      <c r="A435" s="594"/>
      <c r="B435" s="594"/>
      <c r="C435" s="594"/>
      <c r="D435" s="594"/>
      <c r="E435" s="594"/>
      <c r="F435" s="594"/>
      <c r="G435" s="594"/>
      <c r="H435" s="594"/>
      <c r="I435" s="594"/>
      <c r="J435" s="594"/>
      <c r="K435" s="594"/>
      <c r="L435" s="594"/>
      <c r="M435" s="594"/>
      <c r="N435" s="594"/>
      <c r="O435" s="594"/>
      <c r="P435" s="594"/>
      <c r="Q435" s="594"/>
      <c r="R435" s="594"/>
      <c r="S435" s="594"/>
      <c r="T435" s="594"/>
      <c r="U435" s="594"/>
      <c r="V435" s="594"/>
      <c r="W435" s="594"/>
      <c r="X435" s="594"/>
      <c r="Y435" s="594"/>
      <c r="Z435" s="594"/>
    </row>
    <row r="436" spans="1:26" s="203" customFormat="1" x14ac:dyDescent="0.2">
      <c r="A436" s="594"/>
      <c r="B436" s="594"/>
      <c r="C436" s="594"/>
      <c r="D436" s="594"/>
      <c r="E436" s="594"/>
      <c r="F436" s="594"/>
      <c r="G436" s="594"/>
      <c r="H436" s="594"/>
      <c r="I436" s="594"/>
      <c r="J436" s="594"/>
      <c r="K436" s="594"/>
      <c r="L436" s="594"/>
      <c r="M436" s="594"/>
      <c r="N436" s="594"/>
      <c r="O436" s="594"/>
      <c r="P436" s="594"/>
      <c r="Q436" s="594"/>
      <c r="R436" s="594"/>
      <c r="S436" s="594"/>
      <c r="T436" s="594"/>
      <c r="U436" s="594"/>
      <c r="V436" s="594"/>
      <c r="W436" s="594"/>
      <c r="X436" s="594"/>
      <c r="Y436" s="594"/>
      <c r="Z436" s="594"/>
    </row>
    <row r="437" spans="1:26" s="202" customFormat="1" ht="13.5" thickBot="1" x14ac:dyDescent="0.25">
      <c r="A437" s="594"/>
      <c r="B437" s="594"/>
      <c r="C437" s="594"/>
      <c r="D437" s="594"/>
      <c r="E437" s="594"/>
      <c r="F437" s="594"/>
      <c r="G437" s="594"/>
      <c r="H437" s="594"/>
      <c r="I437" s="594"/>
      <c r="J437" s="594"/>
      <c r="K437" s="594"/>
      <c r="L437" s="594"/>
      <c r="M437" s="594"/>
      <c r="N437" s="594"/>
      <c r="O437" s="594"/>
      <c r="P437" s="594"/>
      <c r="Q437" s="594"/>
      <c r="R437" s="594"/>
      <c r="S437" s="594"/>
      <c r="T437" s="594"/>
      <c r="U437" s="594"/>
      <c r="V437" s="594"/>
      <c r="W437" s="594"/>
      <c r="X437" s="594"/>
      <c r="Y437" s="594"/>
      <c r="Z437" s="594"/>
    </row>
    <row r="438" spans="1:26" x14ac:dyDescent="0.2">
      <c r="A438" s="594"/>
      <c r="B438" s="594"/>
      <c r="C438" s="594"/>
      <c r="D438" s="594"/>
      <c r="E438" s="594"/>
      <c r="F438" s="594"/>
      <c r="G438" s="594"/>
      <c r="H438" s="594"/>
      <c r="I438" s="594"/>
      <c r="J438" s="594"/>
      <c r="K438" s="594"/>
      <c r="L438" s="594"/>
      <c r="M438" s="594"/>
      <c r="N438" s="594"/>
      <c r="O438" s="594"/>
      <c r="P438" s="594"/>
      <c r="Q438" s="594"/>
      <c r="R438" s="594"/>
      <c r="S438" s="594"/>
      <c r="T438" s="594"/>
      <c r="U438" s="594"/>
      <c r="V438" s="594"/>
      <c r="W438" s="594"/>
      <c r="X438" s="594"/>
      <c r="Y438" s="594"/>
      <c r="Z438" s="594"/>
    </row>
    <row r="439" spans="1:26" s="203" customFormat="1" x14ac:dyDescent="0.2">
      <c r="A439" s="594"/>
      <c r="B439" s="594"/>
      <c r="C439" s="594"/>
      <c r="D439" s="594"/>
      <c r="E439" s="594"/>
      <c r="F439" s="594"/>
      <c r="G439" s="594"/>
      <c r="H439" s="594"/>
      <c r="I439" s="594"/>
      <c r="J439" s="594"/>
      <c r="K439" s="594"/>
      <c r="L439" s="594"/>
      <c r="M439" s="594"/>
      <c r="N439" s="594"/>
      <c r="O439" s="594"/>
      <c r="P439" s="594"/>
      <c r="Q439" s="594"/>
      <c r="R439" s="594"/>
      <c r="S439" s="594"/>
      <c r="T439" s="594"/>
      <c r="U439" s="594"/>
      <c r="V439" s="594"/>
      <c r="W439" s="594"/>
      <c r="X439" s="594"/>
      <c r="Y439" s="594"/>
      <c r="Z439" s="594"/>
    </row>
    <row r="440" spans="1:26" s="202" customFormat="1" ht="13.5" thickBot="1" x14ac:dyDescent="0.25">
      <c r="A440" s="594"/>
      <c r="B440" s="594"/>
      <c r="C440" s="594"/>
      <c r="D440" s="594"/>
      <c r="E440" s="594"/>
      <c r="F440" s="594"/>
      <c r="G440" s="594"/>
      <c r="H440" s="594"/>
      <c r="I440" s="594"/>
      <c r="J440" s="594"/>
      <c r="K440" s="594"/>
      <c r="L440" s="594"/>
      <c r="M440" s="594"/>
      <c r="N440" s="594"/>
      <c r="O440" s="594"/>
      <c r="P440" s="594"/>
      <c r="Q440" s="594"/>
      <c r="R440" s="594"/>
      <c r="S440" s="594"/>
      <c r="T440" s="594"/>
      <c r="U440" s="594"/>
      <c r="V440" s="594"/>
      <c r="W440" s="594"/>
      <c r="X440" s="594"/>
      <c r="Y440" s="594"/>
      <c r="Z440" s="594"/>
    </row>
    <row r="441" spans="1:26" x14ac:dyDescent="0.2">
      <c r="A441" s="594"/>
      <c r="B441" s="594"/>
      <c r="C441" s="594"/>
      <c r="D441" s="594"/>
      <c r="E441" s="594"/>
      <c r="F441" s="594"/>
      <c r="G441" s="594"/>
      <c r="H441" s="594"/>
      <c r="I441" s="594"/>
      <c r="J441" s="594"/>
      <c r="K441" s="594"/>
      <c r="L441" s="594"/>
      <c r="M441" s="594"/>
      <c r="N441" s="594"/>
      <c r="O441" s="594"/>
      <c r="P441" s="594"/>
      <c r="Q441" s="594"/>
      <c r="R441" s="594"/>
      <c r="S441" s="594"/>
      <c r="T441" s="594"/>
      <c r="U441" s="594"/>
      <c r="V441" s="594"/>
      <c r="W441" s="594"/>
      <c r="X441" s="594"/>
      <c r="Y441" s="594"/>
      <c r="Z441" s="594"/>
    </row>
    <row r="442" spans="1:26" s="203" customFormat="1" x14ac:dyDescent="0.2">
      <c r="A442" s="594"/>
      <c r="B442" s="594"/>
      <c r="C442" s="594"/>
      <c r="D442" s="594"/>
      <c r="E442" s="594"/>
      <c r="F442" s="594"/>
      <c r="G442" s="594"/>
      <c r="H442" s="594"/>
      <c r="I442" s="594"/>
      <c r="J442" s="594"/>
      <c r="K442" s="594"/>
      <c r="L442" s="594"/>
      <c r="M442" s="594"/>
      <c r="N442" s="594"/>
      <c r="O442" s="594"/>
      <c r="P442" s="594"/>
      <c r="Q442" s="594"/>
      <c r="R442" s="594"/>
      <c r="S442" s="594"/>
      <c r="T442" s="594"/>
      <c r="U442" s="594"/>
      <c r="V442" s="594"/>
      <c r="W442" s="594"/>
      <c r="X442" s="594"/>
      <c r="Y442" s="594"/>
      <c r="Z442" s="594"/>
    </row>
    <row r="443" spans="1:26" s="202" customFormat="1" ht="13.5" thickBot="1" x14ac:dyDescent="0.25">
      <c r="A443" s="594"/>
      <c r="B443" s="594"/>
      <c r="C443" s="594"/>
      <c r="D443" s="594"/>
      <c r="E443" s="594"/>
      <c r="F443" s="594"/>
      <c r="G443" s="594"/>
      <c r="H443" s="594"/>
      <c r="I443" s="594"/>
      <c r="J443" s="594"/>
      <c r="K443" s="594"/>
      <c r="L443" s="594"/>
      <c r="M443" s="594"/>
      <c r="N443" s="594"/>
      <c r="O443" s="594"/>
      <c r="P443" s="594"/>
      <c r="Q443" s="594"/>
      <c r="R443" s="594"/>
      <c r="S443" s="594"/>
      <c r="T443" s="594"/>
      <c r="U443" s="594"/>
      <c r="V443" s="594"/>
      <c r="W443" s="594"/>
      <c r="X443" s="594"/>
      <c r="Y443" s="594"/>
      <c r="Z443" s="594"/>
    </row>
    <row r="444" spans="1:26" x14ac:dyDescent="0.2">
      <c r="A444" s="594"/>
      <c r="B444" s="594"/>
      <c r="C444" s="594"/>
      <c r="D444" s="594"/>
      <c r="E444" s="594"/>
      <c r="F444" s="594"/>
      <c r="G444" s="594"/>
      <c r="H444" s="594"/>
      <c r="I444" s="594"/>
      <c r="J444" s="594"/>
      <c r="K444" s="594"/>
      <c r="L444" s="594"/>
      <c r="M444" s="594"/>
      <c r="N444" s="594"/>
      <c r="O444" s="594"/>
      <c r="P444" s="594"/>
      <c r="Q444" s="594"/>
      <c r="R444" s="594"/>
      <c r="S444" s="594"/>
      <c r="T444" s="594"/>
      <c r="U444" s="594"/>
      <c r="V444" s="594"/>
      <c r="W444" s="594"/>
      <c r="X444" s="594"/>
      <c r="Y444" s="594"/>
      <c r="Z444" s="594"/>
    </row>
    <row r="445" spans="1:26" s="203" customFormat="1" x14ac:dyDescent="0.2">
      <c r="A445" s="594"/>
      <c r="B445" s="594"/>
      <c r="C445" s="594"/>
      <c r="D445" s="594"/>
      <c r="E445" s="594"/>
      <c r="F445" s="594"/>
      <c r="G445" s="594"/>
      <c r="H445" s="594"/>
      <c r="I445" s="594"/>
      <c r="J445" s="594"/>
      <c r="K445" s="594"/>
      <c r="L445" s="594"/>
      <c r="M445" s="594"/>
      <c r="N445" s="594"/>
      <c r="O445" s="594"/>
      <c r="P445" s="594"/>
      <c r="Q445" s="594"/>
      <c r="R445" s="594"/>
      <c r="S445" s="594"/>
      <c r="T445" s="594"/>
      <c r="U445" s="594"/>
      <c r="V445" s="594"/>
      <c r="W445" s="594"/>
      <c r="X445" s="594"/>
      <c r="Y445" s="594"/>
      <c r="Z445" s="594"/>
    </row>
    <row r="446" spans="1:26" s="202" customFormat="1" ht="13.5" thickBot="1" x14ac:dyDescent="0.25">
      <c r="A446" s="594"/>
      <c r="B446" s="594"/>
      <c r="C446" s="594"/>
      <c r="D446" s="594"/>
      <c r="E446" s="594"/>
      <c r="F446" s="594"/>
      <c r="G446" s="594"/>
      <c r="H446" s="594"/>
      <c r="I446" s="594"/>
      <c r="J446" s="594"/>
      <c r="K446" s="594"/>
      <c r="L446" s="594"/>
      <c r="M446" s="594"/>
      <c r="N446" s="594"/>
      <c r="O446" s="594"/>
      <c r="P446" s="594"/>
      <c r="Q446" s="594"/>
      <c r="R446" s="594"/>
      <c r="S446" s="594"/>
      <c r="T446" s="594"/>
      <c r="U446" s="594"/>
      <c r="V446" s="594"/>
      <c r="W446" s="594"/>
      <c r="X446" s="594"/>
      <c r="Y446" s="594"/>
      <c r="Z446" s="594"/>
    </row>
    <row r="447" spans="1:26" x14ac:dyDescent="0.2">
      <c r="A447" s="594"/>
      <c r="B447" s="594"/>
      <c r="C447" s="594"/>
      <c r="D447" s="594"/>
      <c r="E447" s="594"/>
      <c r="F447" s="594"/>
      <c r="G447" s="594"/>
      <c r="H447" s="594"/>
      <c r="I447" s="594"/>
      <c r="J447" s="594"/>
      <c r="K447" s="594"/>
      <c r="L447" s="594"/>
      <c r="M447" s="594"/>
      <c r="N447" s="594"/>
      <c r="O447" s="594"/>
      <c r="P447" s="594"/>
      <c r="Q447" s="594"/>
      <c r="R447" s="594"/>
      <c r="S447" s="594"/>
      <c r="T447" s="594"/>
      <c r="U447" s="594"/>
      <c r="V447" s="594"/>
      <c r="W447" s="594"/>
      <c r="X447" s="594"/>
      <c r="Y447" s="594"/>
      <c r="Z447" s="594"/>
    </row>
    <row r="448" spans="1:26" s="203" customFormat="1" ht="13.5" thickBot="1" x14ac:dyDescent="0.25">
      <c r="A448" s="594"/>
      <c r="B448" s="594"/>
      <c r="C448" s="594"/>
      <c r="D448" s="594"/>
      <c r="E448" s="594"/>
      <c r="F448" s="594"/>
      <c r="G448" s="594"/>
      <c r="H448" s="594"/>
      <c r="I448" s="594"/>
      <c r="J448" s="594"/>
      <c r="K448" s="594"/>
      <c r="L448" s="594"/>
      <c r="M448" s="594"/>
      <c r="N448" s="594"/>
      <c r="O448" s="594"/>
      <c r="P448" s="594"/>
      <c r="Q448" s="594"/>
      <c r="R448" s="594"/>
      <c r="S448" s="594"/>
      <c r="T448" s="594"/>
      <c r="U448" s="594"/>
      <c r="V448" s="594"/>
      <c r="W448" s="594"/>
      <c r="X448" s="594"/>
      <c r="Y448" s="594"/>
      <c r="Z448" s="594"/>
    </row>
    <row r="449" spans="1:26" s="202" customFormat="1" x14ac:dyDescent="0.2">
      <c r="A449" s="594"/>
      <c r="B449" s="594"/>
      <c r="C449" s="594"/>
      <c r="D449" s="594"/>
      <c r="E449" s="594"/>
      <c r="F449" s="594"/>
      <c r="G449" s="594"/>
      <c r="H449" s="594"/>
      <c r="I449" s="594"/>
      <c r="J449" s="594"/>
      <c r="K449" s="594"/>
      <c r="L449" s="594"/>
      <c r="M449" s="594"/>
      <c r="N449" s="594"/>
      <c r="O449" s="594"/>
      <c r="P449" s="594"/>
      <c r="Q449" s="594"/>
      <c r="R449" s="594"/>
      <c r="S449" s="594"/>
      <c r="T449" s="594"/>
      <c r="U449" s="594"/>
      <c r="V449" s="594"/>
      <c r="W449" s="594"/>
      <c r="X449" s="594"/>
      <c r="Y449" s="594"/>
      <c r="Z449" s="594"/>
    </row>
    <row r="450" spans="1:26" ht="13.5" thickBot="1" x14ac:dyDescent="0.25">
      <c r="A450" s="594"/>
      <c r="B450" s="594"/>
      <c r="C450" s="594"/>
      <c r="D450" s="594"/>
      <c r="E450" s="594"/>
      <c r="F450" s="594"/>
      <c r="G450" s="594"/>
      <c r="H450" s="594"/>
      <c r="I450" s="594"/>
      <c r="J450" s="594"/>
      <c r="K450" s="594"/>
      <c r="L450" s="594"/>
      <c r="M450" s="594"/>
      <c r="N450" s="594"/>
      <c r="O450" s="594"/>
      <c r="P450" s="594"/>
      <c r="Q450" s="594"/>
      <c r="R450" s="594"/>
      <c r="S450" s="594"/>
      <c r="T450" s="594"/>
      <c r="U450" s="594"/>
      <c r="V450" s="594"/>
      <c r="W450" s="594"/>
      <c r="X450" s="594"/>
      <c r="Y450" s="594"/>
      <c r="Z450" s="594"/>
    </row>
    <row r="451" spans="1:26" s="203" customFormat="1" x14ac:dyDescent="0.2">
      <c r="A451" s="594"/>
      <c r="B451" s="594"/>
      <c r="C451" s="594"/>
      <c r="D451" s="594"/>
      <c r="E451" s="594"/>
      <c r="F451" s="594"/>
      <c r="G451" s="594"/>
      <c r="H451" s="594"/>
      <c r="I451" s="594"/>
      <c r="J451" s="594"/>
      <c r="K451" s="594"/>
      <c r="L451" s="594"/>
      <c r="M451" s="594"/>
      <c r="N451" s="594"/>
      <c r="O451" s="594"/>
      <c r="P451" s="594"/>
      <c r="Q451" s="594"/>
      <c r="R451" s="594"/>
      <c r="S451" s="594"/>
      <c r="T451" s="594"/>
      <c r="U451" s="594"/>
      <c r="V451" s="594"/>
      <c r="W451" s="594"/>
      <c r="X451" s="594"/>
      <c r="Y451" s="594"/>
      <c r="Z451" s="594"/>
    </row>
    <row r="452" spans="1:26" s="202" customFormat="1" ht="13.5" thickBot="1" x14ac:dyDescent="0.25">
      <c r="A452" s="594"/>
      <c r="B452" s="594"/>
      <c r="C452" s="594"/>
      <c r="D452" s="594"/>
      <c r="E452" s="594"/>
      <c r="F452" s="594"/>
      <c r="G452" s="594"/>
      <c r="H452" s="594"/>
      <c r="I452" s="594"/>
      <c r="J452" s="594"/>
      <c r="K452" s="594"/>
      <c r="L452" s="594"/>
      <c r="M452" s="594"/>
      <c r="N452" s="594"/>
      <c r="O452" s="594"/>
      <c r="P452" s="594"/>
      <c r="Q452" s="594"/>
      <c r="R452" s="594"/>
      <c r="S452" s="594"/>
      <c r="T452" s="594"/>
      <c r="U452" s="594"/>
      <c r="V452" s="594"/>
      <c r="W452" s="594"/>
      <c r="X452" s="594"/>
      <c r="Y452" s="594"/>
      <c r="Z452" s="594"/>
    </row>
    <row r="453" spans="1:26" x14ac:dyDescent="0.2">
      <c r="A453" s="594"/>
      <c r="B453" s="594"/>
      <c r="C453" s="594"/>
      <c r="D453" s="594"/>
      <c r="E453" s="594"/>
      <c r="F453" s="594"/>
      <c r="G453" s="594"/>
      <c r="H453" s="594"/>
      <c r="I453" s="594"/>
      <c r="J453" s="594"/>
      <c r="K453" s="594"/>
      <c r="L453" s="594"/>
      <c r="M453" s="594"/>
      <c r="N453" s="594"/>
      <c r="O453" s="594"/>
      <c r="P453" s="594"/>
      <c r="Q453" s="594"/>
      <c r="R453" s="594"/>
      <c r="S453" s="594"/>
      <c r="T453" s="594"/>
      <c r="U453" s="594"/>
      <c r="V453" s="594"/>
      <c r="W453" s="594"/>
      <c r="X453" s="594"/>
      <c r="Y453" s="594"/>
      <c r="Z453" s="594"/>
    </row>
    <row r="454" spans="1:26" s="203" customFormat="1" x14ac:dyDescent="0.2">
      <c r="A454" s="594"/>
      <c r="B454" s="594"/>
      <c r="C454" s="594"/>
      <c r="D454" s="594"/>
      <c r="E454" s="594"/>
      <c r="F454" s="594"/>
      <c r="G454" s="594"/>
      <c r="H454" s="594"/>
      <c r="I454" s="594"/>
      <c r="J454" s="594"/>
      <c r="K454" s="594"/>
      <c r="L454" s="594"/>
      <c r="M454" s="594"/>
      <c r="N454" s="594"/>
      <c r="O454" s="594"/>
      <c r="P454" s="594"/>
      <c r="Q454" s="594"/>
      <c r="R454" s="594"/>
      <c r="S454" s="594"/>
      <c r="T454" s="594"/>
      <c r="U454" s="594"/>
      <c r="V454" s="594"/>
      <c r="W454" s="594"/>
      <c r="X454" s="594"/>
      <c r="Y454" s="594"/>
      <c r="Z454" s="594"/>
    </row>
    <row r="455" spans="1:26" s="202" customFormat="1" ht="13.5" thickBot="1" x14ac:dyDescent="0.25">
      <c r="A455" s="594"/>
      <c r="B455" s="594"/>
      <c r="C455" s="594"/>
      <c r="D455" s="594"/>
      <c r="E455" s="594"/>
      <c r="F455" s="594"/>
      <c r="G455" s="594"/>
      <c r="H455" s="594"/>
      <c r="I455" s="594"/>
      <c r="J455" s="594"/>
      <c r="K455" s="594"/>
      <c r="L455" s="594"/>
      <c r="M455" s="594"/>
      <c r="N455" s="594"/>
      <c r="O455" s="594"/>
      <c r="P455" s="594"/>
      <c r="Q455" s="594"/>
      <c r="R455" s="594"/>
      <c r="S455" s="594"/>
      <c r="T455" s="594"/>
      <c r="U455" s="594"/>
      <c r="V455" s="594"/>
      <c r="W455" s="594"/>
      <c r="X455" s="594"/>
      <c r="Y455" s="594"/>
      <c r="Z455" s="594"/>
    </row>
    <row r="456" spans="1:26" x14ac:dyDescent="0.2">
      <c r="A456" s="594"/>
      <c r="B456" s="594"/>
      <c r="C456" s="594"/>
      <c r="D456" s="594"/>
      <c r="E456" s="594"/>
      <c r="F456" s="594"/>
      <c r="G456" s="594"/>
      <c r="H456" s="594"/>
      <c r="I456" s="594"/>
      <c r="J456" s="594"/>
      <c r="K456" s="594"/>
      <c r="L456" s="594"/>
      <c r="M456" s="594"/>
      <c r="N456" s="594"/>
      <c r="O456" s="594"/>
      <c r="P456" s="594"/>
      <c r="Q456" s="594"/>
      <c r="R456" s="594"/>
      <c r="S456" s="594"/>
      <c r="T456" s="594"/>
      <c r="U456" s="594"/>
      <c r="V456" s="594"/>
      <c r="W456" s="594"/>
      <c r="X456" s="594"/>
      <c r="Y456" s="594"/>
      <c r="Z456" s="594"/>
    </row>
    <row r="457" spans="1:26" s="203" customFormat="1" x14ac:dyDescent="0.2">
      <c r="A457" s="594"/>
      <c r="B457" s="594"/>
      <c r="C457" s="594"/>
      <c r="D457" s="594"/>
      <c r="E457" s="594"/>
      <c r="F457" s="594"/>
      <c r="G457" s="594"/>
      <c r="H457" s="594"/>
      <c r="I457" s="594"/>
      <c r="J457" s="594"/>
      <c r="K457" s="594"/>
      <c r="L457" s="594"/>
      <c r="M457" s="594"/>
      <c r="N457" s="594"/>
      <c r="O457" s="594"/>
      <c r="P457" s="594"/>
      <c r="Q457" s="594"/>
      <c r="R457" s="594"/>
      <c r="S457" s="594"/>
      <c r="T457" s="594"/>
      <c r="U457" s="594"/>
      <c r="V457" s="594"/>
      <c r="W457" s="594"/>
      <c r="X457" s="594"/>
      <c r="Y457" s="594"/>
      <c r="Z457" s="594"/>
    </row>
    <row r="458" spans="1:26" s="202" customFormat="1" ht="13.5" thickBot="1" x14ac:dyDescent="0.25">
      <c r="A458" s="594"/>
      <c r="B458" s="594"/>
      <c r="C458" s="594"/>
      <c r="D458" s="594"/>
      <c r="E458" s="594"/>
      <c r="F458" s="594"/>
      <c r="G458" s="594"/>
      <c r="H458" s="594"/>
      <c r="I458" s="594"/>
      <c r="J458" s="594"/>
      <c r="K458" s="594"/>
      <c r="L458" s="594"/>
      <c r="M458" s="594"/>
      <c r="N458" s="594"/>
      <c r="O458" s="594"/>
      <c r="P458" s="594"/>
      <c r="Q458" s="594"/>
      <c r="R458" s="594"/>
      <c r="S458" s="594"/>
      <c r="T458" s="594"/>
      <c r="U458" s="594"/>
      <c r="V458" s="594"/>
      <c r="W458" s="594"/>
      <c r="X458" s="594"/>
      <c r="Y458" s="594"/>
      <c r="Z458" s="594"/>
    </row>
    <row r="459" spans="1:26" x14ac:dyDescent="0.2">
      <c r="A459" s="594"/>
      <c r="B459" s="594"/>
      <c r="C459" s="594"/>
      <c r="D459" s="594"/>
      <c r="E459" s="594"/>
      <c r="F459" s="594"/>
      <c r="G459" s="594"/>
      <c r="H459" s="594"/>
      <c r="I459" s="594"/>
      <c r="J459" s="594"/>
      <c r="K459" s="594"/>
      <c r="L459" s="594"/>
      <c r="M459" s="594"/>
      <c r="N459" s="594"/>
      <c r="O459" s="594"/>
      <c r="P459" s="594"/>
      <c r="Q459" s="594"/>
      <c r="R459" s="594"/>
      <c r="S459" s="594"/>
      <c r="T459" s="594"/>
      <c r="U459" s="594"/>
      <c r="V459" s="594"/>
      <c r="W459" s="594"/>
      <c r="X459" s="594"/>
      <c r="Y459" s="594"/>
      <c r="Z459" s="594"/>
    </row>
    <row r="460" spans="1:26" s="203" customFormat="1" ht="13.5" thickBot="1" x14ac:dyDescent="0.25">
      <c r="A460" s="594"/>
      <c r="B460" s="594"/>
      <c r="C460" s="594"/>
      <c r="D460" s="594"/>
      <c r="E460" s="594"/>
      <c r="F460" s="594"/>
      <c r="G460" s="594"/>
      <c r="H460" s="594"/>
      <c r="I460" s="594"/>
      <c r="J460" s="594"/>
      <c r="K460" s="594"/>
      <c r="L460" s="594"/>
      <c r="M460" s="594"/>
      <c r="N460" s="594"/>
      <c r="O460" s="594"/>
      <c r="P460" s="594"/>
      <c r="Q460" s="594"/>
      <c r="R460" s="594"/>
      <c r="S460" s="594"/>
      <c r="T460" s="594"/>
      <c r="U460" s="594"/>
      <c r="V460" s="594"/>
      <c r="W460" s="594"/>
      <c r="X460" s="594"/>
      <c r="Y460" s="594"/>
      <c r="Z460" s="594"/>
    </row>
    <row r="461" spans="1:26" s="202" customFormat="1" x14ac:dyDescent="0.2">
      <c r="A461" s="594"/>
      <c r="B461" s="594"/>
      <c r="C461" s="594"/>
      <c r="D461" s="594"/>
      <c r="E461" s="594"/>
      <c r="F461" s="594"/>
      <c r="G461" s="594"/>
      <c r="H461" s="594"/>
      <c r="I461" s="594"/>
      <c r="J461" s="594"/>
      <c r="K461" s="594"/>
      <c r="L461" s="594"/>
      <c r="M461" s="594"/>
      <c r="N461" s="594"/>
      <c r="O461" s="594"/>
      <c r="P461" s="594"/>
      <c r="Q461" s="594"/>
      <c r="R461" s="594"/>
      <c r="S461" s="594"/>
      <c r="T461" s="594"/>
      <c r="U461" s="594"/>
      <c r="V461" s="594"/>
      <c r="W461" s="594"/>
      <c r="X461" s="594"/>
      <c r="Y461" s="594"/>
      <c r="Z461" s="594"/>
    </row>
    <row r="462" spans="1:26" x14ac:dyDescent="0.2">
      <c r="A462" s="594"/>
      <c r="B462" s="594"/>
      <c r="C462" s="594"/>
      <c r="D462" s="594"/>
      <c r="E462" s="594"/>
      <c r="F462" s="594"/>
      <c r="G462" s="594"/>
      <c r="H462" s="594"/>
      <c r="I462" s="594"/>
      <c r="J462" s="594"/>
      <c r="K462" s="594"/>
      <c r="L462" s="594"/>
      <c r="M462" s="594"/>
      <c r="N462" s="594"/>
      <c r="O462" s="594"/>
      <c r="P462" s="594"/>
      <c r="Q462" s="594"/>
      <c r="R462" s="594"/>
      <c r="S462" s="594"/>
      <c r="T462" s="594"/>
      <c r="U462" s="594"/>
      <c r="V462" s="594"/>
      <c r="W462" s="594"/>
      <c r="X462" s="594"/>
      <c r="Y462" s="594"/>
      <c r="Z462" s="594"/>
    </row>
    <row r="463" spans="1:26" s="203" customFormat="1" ht="13.5" thickBot="1" x14ac:dyDescent="0.25">
      <c r="A463" s="594"/>
      <c r="B463" s="594"/>
      <c r="C463" s="594"/>
      <c r="D463" s="594"/>
      <c r="E463" s="594"/>
      <c r="F463" s="594"/>
      <c r="G463" s="594"/>
      <c r="H463" s="594"/>
      <c r="I463" s="594"/>
      <c r="J463" s="594"/>
      <c r="K463" s="594"/>
      <c r="L463" s="594"/>
      <c r="M463" s="594"/>
      <c r="N463" s="594"/>
      <c r="O463" s="594"/>
      <c r="P463" s="594"/>
      <c r="Q463" s="594"/>
      <c r="R463" s="594"/>
      <c r="S463" s="594"/>
      <c r="T463" s="594"/>
      <c r="U463" s="594"/>
      <c r="V463" s="594"/>
      <c r="W463" s="594"/>
      <c r="X463" s="594"/>
      <c r="Y463" s="594"/>
      <c r="Z463" s="594"/>
    </row>
    <row r="464" spans="1:26" s="202" customFormat="1" x14ac:dyDescent="0.2">
      <c r="A464" s="594"/>
      <c r="B464" s="594"/>
      <c r="C464" s="594"/>
      <c r="D464" s="594"/>
      <c r="E464" s="594"/>
      <c r="F464" s="594"/>
      <c r="G464" s="594"/>
      <c r="H464" s="594"/>
      <c r="I464" s="594"/>
      <c r="J464" s="594"/>
      <c r="K464" s="594"/>
      <c r="L464" s="594"/>
      <c r="M464" s="594"/>
      <c r="N464" s="594"/>
      <c r="O464" s="594"/>
      <c r="P464" s="594"/>
      <c r="Q464" s="594"/>
      <c r="R464" s="594"/>
      <c r="S464" s="594"/>
      <c r="T464" s="594"/>
      <c r="U464" s="594"/>
      <c r="V464" s="594"/>
      <c r="W464" s="594"/>
      <c r="X464" s="594"/>
      <c r="Y464" s="594"/>
      <c r="Z464" s="594"/>
    </row>
    <row r="465" spans="1:26" x14ac:dyDescent="0.2">
      <c r="A465" s="594"/>
      <c r="B465" s="594"/>
      <c r="C465" s="594"/>
      <c r="D465" s="594"/>
      <c r="E465" s="594"/>
      <c r="F465" s="594"/>
      <c r="G465" s="594"/>
      <c r="H465" s="594"/>
      <c r="I465" s="594"/>
      <c r="J465" s="594"/>
      <c r="K465" s="594"/>
      <c r="L465" s="594"/>
      <c r="M465" s="594"/>
      <c r="N465" s="594"/>
      <c r="O465" s="594"/>
      <c r="P465" s="594"/>
      <c r="Q465" s="594"/>
      <c r="R465" s="594"/>
      <c r="S465" s="594"/>
      <c r="T465" s="594"/>
      <c r="U465" s="594"/>
      <c r="V465" s="594"/>
      <c r="W465" s="594"/>
      <c r="X465" s="594"/>
      <c r="Y465" s="594"/>
      <c r="Z465" s="594"/>
    </row>
    <row r="466" spans="1:26" s="203" customFormat="1" ht="13.5" thickBot="1" x14ac:dyDescent="0.25">
      <c r="A466" s="594"/>
      <c r="B466" s="594"/>
      <c r="C466" s="594"/>
      <c r="D466" s="594"/>
      <c r="E466" s="594"/>
      <c r="F466" s="594"/>
      <c r="G466" s="594"/>
      <c r="H466" s="594"/>
      <c r="I466" s="594"/>
      <c r="J466" s="594"/>
      <c r="K466" s="594"/>
      <c r="L466" s="594"/>
      <c r="M466" s="594"/>
      <c r="N466" s="594"/>
      <c r="O466" s="594"/>
      <c r="P466" s="594"/>
      <c r="Q466" s="594"/>
      <c r="R466" s="594"/>
      <c r="S466" s="594"/>
      <c r="T466" s="594"/>
      <c r="U466" s="594"/>
      <c r="V466" s="594"/>
      <c r="W466" s="594"/>
      <c r="X466" s="594"/>
      <c r="Y466" s="594"/>
      <c r="Z466" s="594"/>
    </row>
    <row r="467" spans="1:26" s="202" customFormat="1" x14ac:dyDescent="0.2">
      <c r="A467" s="594"/>
      <c r="B467" s="594"/>
      <c r="C467" s="594"/>
      <c r="D467" s="594"/>
      <c r="E467" s="594"/>
      <c r="F467" s="594"/>
      <c r="G467" s="594"/>
      <c r="H467" s="594"/>
      <c r="I467" s="594"/>
      <c r="J467" s="594"/>
      <c r="K467" s="594"/>
      <c r="L467" s="594"/>
      <c r="M467" s="594"/>
      <c r="N467" s="594"/>
      <c r="O467" s="594"/>
      <c r="P467" s="594"/>
      <c r="Q467" s="594"/>
      <c r="R467" s="594"/>
      <c r="S467" s="594"/>
      <c r="T467" s="594"/>
      <c r="U467" s="594"/>
      <c r="V467" s="594"/>
      <c r="W467" s="594"/>
      <c r="X467" s="594"/>
      <c r="Y467" s="594"/>
      <c r="Z467" s="594"/>
    </row>
    <row r="468" spans="1:26" x14ac:dyDescent="0.2">
      <c r="A468" s="594"/>
      <c r="B468" s="594"/>
      <c r="C468" s="594"/>
      <c r="D468" s="594"/>
      <c r="E468" s="594"/>
      <c r="F468" s="594"/>
      <c r="G468" s="594"/>
      <c r="H468" s="594"/>
      <c r="I468" s="594"/>
      <c r="J468" s="594"/>
      <c r="K468" s="594"/>
      <c r="L468" s="594"/>
      <c r="M468" s="594"/>
      <c r="N468" s="594"/>
      <c r="O468" s="594"/>
      <c r="P468" s="594"/>
      <c r="Q468" s="594"/>
      <c r="R468" s="594"/>
      <c r="S468" s="594"/>
      <c r="T468" s="594"/>
      <c r="U468" s="594"/>
      <c r="V468" s="594"/>
      <c r="W468" s="594"/>
      <c r="X468" s="594"/>
      <c r="Y468" s="594"/>
      <c r="Z468" s="594"/>
    </row>
    <row r="469" spans="1:26" s="203" customFormat="1" ht="13.5" thickBot="1" x14ac:dyDescent="0.25">
      <c r="A469" s="594"/>
      <c r="B469" s="594"/>
      <c r="C469" s="594"/>
      <c r="D469" s="594"/>
      <c r="E469" s="594"/>
      <c r="F469" s="594"/>
      <c r="G469" s="594"/>
      <c r="H469" s="594"/>
      <c r="I469" s="594"/>
      <c r="J469" s="594"/>
      <c r="K469" s="594"/>
      <c r="L469" s="594"/>
      <c r="M469" s="594"/>
      <c r="N469" s="594"/>
      <c r="O469" s="594"/>
      <c r="P469" s="594"/>
      <c r="Q469" s="594"/>
      <c r="R469" s="594"/>
      <c r="S469" s="594"/>
      <c r="T469" s="594"/>
      <c r="U469" s="594"/>
      <c r="V469" s="594"/>
      <c r="W469" s="594"/>
      <c r="X469" s="594"/>
      <c r="Y469" s="594"/>
      <c r="Z469" s="594"/>
    </row>
    <row r="470" spans="1:26" s="202" customFormat="1" x14ac:dyDescent="0.2">
      <c r="A470" s="594"/>
      <c r="B470" s="594"/>
      <c r="C470" s="594"/>
      <c r="D470" s="594"/>
      <c r="E470" s="594"/>
      <c r="F470" s="594"/>
      <c r="G470" s="594"/>
      <c r="H470" s="594"/>
      <c r="I470" s="594"/>
      <c r="J470" s="594"/>
      <c r="K470" s="594"/>
      <c r="L470" s="594"/>
      <c r="M470" s="594"/>
      <c r="N470" s="594"/>
      <c r="O470" s="594"/>
      <c r="P470" s="594"/>
      <c r="Q470" s="594"/>
      <c r="R470" s="594"/>
      <c r="S470" s="594"/>
      <c r="T470" s="594"/>
      <c r="U470" s="594"/>
      <c r="V470" s="594"/>
      <c r="W470" s="594"/>
      <c r="X470" s="594"/>
      <c r="Y470" s="594"/>
      <c r="Z470" s="594"/>
    </row>
    <row r="471" spans="1:26" x14ac:dyDescent="0.2">
      <c r="A471" s="594"/>
      <c r="B471" s="594"/>
      <c r="C471" s="594"/>
      <c r="D471" s="594"/>
      <c r="E471" s="594"/>
      <c r="F471" s="594"/>
      <c r="G471" s="594"/>
      <c r="H471" s="594"/>
      <c r="I471" s="594"/>
      <c r="J471" s="594"/>
      <c r="K471" s="594"/>
      <c r="L471" s="594"/>
      <c r="M471" s="594"/>
      <c r="N471" s="594"/>
      <c r="O471" s="594"/>
      <c r="P471" s="594"/>
      <c r="Q471" s="594"/>
      <c r="R471" s="594"/>
      <c r="S471" s="594"/>
      <c r="T471" s="594"/>
      <c r="U471" s="594"/>
      <c r="V471" s="594"/>
      <c r="W471" s="594"/>
      <c r="X471" s="594"/>
      <c r="Y471" s="594"/>
      <c r="Z471" s="594"/>
    </row>
    <row r="472" spans="1:26" s="203" customFormat="1" ht="13.5" thickBot="1" x14ac:dyDescent="0.25">
      <c r="A472" s="594"/>
      <c r="B472" s="594"/>
      <c r="C472" s="594"/>
      <c r="D472" s="594"/>
      <c r="E472" s="594"/>
      <c r="F472" s="594"/>
      <c r="G472" s="594"/>
      <c r="H472" s="594"/>
      <c r="I472" s="594"/>
      <c r="J472" s="594"/>
      <c r="K472" s="594"/>
      <c r="L472" s="594"/>
      <c r="M472" s="594"/>
      <c r="N472" s="594"/>
      <c r="O472" s="594"/>
      <c r="P472" s="594"/>
      <c r="Q472" s="594"/>
      <c r="R472" s="594"/>
      <c r="S472" s="594"/>
      <c r="T472" s="594"/>
      <c r="U472" s="594"/>
      <c r="V472" s="594"/>
      <c r="W472" s="594"/>
      <c r="X472" s="594"/>
      <c r="Y472" s="594"/>
      <c r="Z472" s="594"/>
    </row>
    <row r="473" spans="1:26" s="212" customFormat="1" x14ac:dyDescent="0.2">
      <c r="A473" s="594"/>
      <c r="B473" s="594"/>
      <c r="C473" s="594"/>
      <c r="D473" s="594"/>
      <c r="E473" s="594"/>
      <c r="F473" s="594"/>
      <c r="G473" s="594"/>
      <c r="H473" s="594"/>
      <c r="I473" s="594"/>
      <c r="J473" s="594"/>
      <c r="K473" s="594"/>
      <c r="L473" s="594"/>
      <c r="M473" s="594"/>
      <c r="N473" s="594"/>
      <c r="O473" s="594"/>
      <c r="P473" s="594"/>
      <c r="Q473" s="594"/>
      <c r="R473" s="594"/>
      <c r="S473" s="594"/>
      <c r="T473" s="594"/>
      <c r="U473" s="594"/>
      <c r="V473" s="594"/>
      <c r="W473" s="594"/>
      <c r="X473" s="594"/>
      <c r="Y473" s="594"/>
      <c r="Z473" s="594"/>
    </row>
    <row r="474" spans="1:26" x14ac:dyDescent="0.2">
      <c r="A474" s="594"/>
      <c r="B474" s="594"/>
      <c r="C474" s="594"/>
      <c r="D474" s="594"/>
      <c r="E474" s="594"/>
      <c r="F474" s="594"/>
      <c r="G474" s="594"/>
      <c r="H474" s="594"/>
      <c r="I474" s="594"/>
      <c r="J474" s="594"/>
      <c r="K474" s="594"/>
      <c r="L474" s="594"/>
      <c r="M474" s="594"/>
      <c r="N474" s="594"/>
      <c r="O474" s="594"/>
      <c r="P474" s="594"/>
      <c r="Q474" s="594"/>
      <c r="R474" s="594"/>
      <c r="S474" s="594"/>
      <c r="T474" s="594"/>
      <c r="U474" s="594"/>
      <c r="V474" s="594"/>
      <c r="W474" s="594"/>
      <c r="X474" s="594"/>
      <c r="Y474" s="594"/>
      <c r="Z474" s="594"/>
    </row>
    <row r="475" spans="1:26" s="203" customFormat="1" ht="13.5" thickBot="1" x14ac:dyDescent="0.25">
      <c r="A475" s="594"/>
      <c r="B475" s="594"/>
      <c r="C475" s="594"/>
      <c r="D475" s="594"/>
      <c r="E475" s="594"/>
      <c r="F475" s="594"/>
      <c r="G475" s="594"/>
      <c r="H475" s="594"/>
      <c r="I475" s="594"/>
      <c r="J475" s="594"/>
      <c r="K475" s="594"/>
      <c r="L475" s="594"/>
      <c r="M475" s="594"/>
      <c r="N475" s="594"/>
      <c r="O475" s="594"/>
      <c r="P475" s="594"/>
      <c r="Q475" s="594"/>
      <c r="R475" s="594"/>
      <c r="S475" s="594"/>
      <c r="T475" s="594"/>
      <c r="U475" s="594"/>
      <c r="V475" s="594"/>
      <c r="W475" s="594"/>
      <c r="X475" s="594"/>
      <c r="Y475" s="594"/>
      <c r="Z475" s="594"/>
    </row>
    <row r="476" spans="1:26" s="202" customFormat="1" x14ac:dyDescent="0.2">
      <c r="A476" s="594"/>
      <c r="B476" s="594"/>
      <c r="C476" s="594"/>
      <c r="D476" s="594"/>
      <c r="E476" s="594"/>
      <c r="F476" s="594"/>
      <c r="G476" s="594"/>
      <c r="H476" s="594"/>
      <c r="I476" s="594"/>
      <c r="J476" s="594"/>
      <c r="K476" s="594"/>
      <c r="L476" s="594"/>
      <c r="M476" s="594"/>
      <c r="N476" s="594"/>
      <c r="O476" s="594"/>
      <c r="P476" s="594"/>
      <c r="Q476" s="594"/>
      <c r="R476" s="594"/>
      <c r="S476" s="594"/>
      <c r="T476" s="594"/>
      <c r="U476" s="594"/>
      <c r="V476" s="594"/>
      <c r="W476" s="594"/>
      <c r="X476" s="594"/>
      <c r="Y476" s="594"/>
      <c r="Z476" s="594"/>
    </row>
    <row r="477" spans="1:26" x14ac:dyDescent="0.2">
      <c r="A477" s="594"/>
      <c r="B477" s="594"/>
      <c r="C477" s="594"/>
      <c r="D477" s="594"/>
      <c r="E477" s="594"/>
      <c r="F477" s="594"/>
      <c r="G477" s="594"/>
      <c r="H477" s="594"/>
      <c r="I477" s="594"/>
      <c r="J477" s="594"/>
      <c r="K477" s="594"/>
      <c r="L477" s="594"/>
      <c r="M477" s="594"/>
      <c r="N477" s="594"/>
      <c r="O477" s="594"/>
      <c r="P477" s="594"/>
      <c r="Q477" s="594"/>
      <c r="R477" s="594"/>
      <c r="S477" s="594"/>
      <c r="T477" s="594"/>
      <c r="U477" s="594"/>
      <c r="V477" s="594"/>
      <c r="W477" s="594"/>
      <c r="X477" s="594"/>
      <c r="Y477" s="594"/>
      <c r="Z477" s="594"/>
    </row>
    <row r="478" spans="1:26" s="203" customFormat="1" ht="13.5" thickBot="1" x14ac:dyDescent="0.25">
      <c r="A478" s="594"/>
      <c r="B478" s="594"/>
      <c r="C478" s="594"/>
      <c r="D478" s="594"/>
      <c r="E478" s="594"/>
      <c r="F478" s="594"/>
      <c r="G478" s="594"/>
      <c r="H478" s="594"/>
      <c r="I478" s="594"/>
      <c r="J478" s="594"/>
      <c r="K478" s="594"/>
      <c r="L478" s="594"/>
      <c r="M478" s="594"/>
      <c r="N478" s="594"/>
      <c r="O478" s="594"/>
      <c r="P478" s="594"/>
      <c r="Q478" s="594"/>
      <c r="R478" s="594"/>
      <c r="S478" s="594"/>
      <c r="T478" s="594"/>
      <c r="U478" s="594"/>
      <c r="V478" s="594"/>
      <c r="W478" s="594"/>
      <c r="X478" s="594"/>
      <c r="Y478" s="594"/>
      <c r="Z478" s="594"/>
    </row>
    <row r="479" spans="1:26" s="202" customFormat="1" x14ac:dyDescent="0.2">
      <c r="A479" s="594"/>
      <c r="B479" s="594"/>
      <c r="C479" s="594"/>
      <c r="D479" s="594"/>
      <c r="E479" s="594"/>
      <c r="F479" s="594"/>
      <c r="G479" s="594"/>
      <c r="H479" s="594"/>
      <c r="I479" s="594"/>
      <c r="J479" s="594"/>
      <c r="K479" s="594"/>
      <c r="L479" s="594"/>
      <c r="M479" s="594"/>
      <c r="N479" s="594"/>
      <c r="O479" s="594"/>
      <c r="P479" s="594"/>
      <c r="Q479" s="594"/>
      <c r="R479" s="594"/>
      <c r="S479" s="594"/>
      <c r="T479" s="594"/>
      <c r="U479" s="594"/>
      <c r="V479" s="594"/>
      <c r="W479" s="594"/>
      <c r="X479" s="594"/>
      <c r="Y479" s="594"/>
      <c r="Z479" s="594"/>
    </row>
    <row r="480" spans="1:26" x14ac:dyDescent="0.2">
      <c r="A480" s="594"/>
      <c r="B480" s="594"/>
      <c r="C480" s="594"/>
      <c r="D480" s="594"/>
      <c r="E480" s="594"/>
      <c r="F480" s="594"/>
      <c r="G480" s="594"/>
      <c r="H480" s="594"/>
      <c r="I480" s="594"/>
      <c r="J480" s="594"/>
      <c r="K480" s="594"/>
      <c r="L480" s="594"/>
      <c r="M480" s="594"/>
      <c r="N480" s="594"/>
      <c r="O480" s="594"/>
      <c r="P480" s="594"/>
      <c r="Q480" s="594"/>
      <c r="R480" s="594"/>
      <c r="S480" s="594"/>
      <c r="T480" s="594"/>
      <c r="U480" s="594"/>
      <c r="V480" s="594"/>
      <c r="W480" s="594"/>
      <c r="X480" s="594"/>
      <c r="Y480" s="594"/>
      <c r="Z480" s="594"/>
    </row>
    <row r="481" spans="1:26" s="203" customFormat="1" ht="13.5" thickBot="1" x14ac:dyDescent="0.25">
      <c r="A481" s="594"/>
      <c r="B481" s="594"/>
      <c r="C481" s="594"/>
      <c r="D481" s="594"/>
      <c r="E481" s="594"/>
      <c r="F481" s="594"/>
      <c r="G481" s="594"/>
      <c r="H481" s="594"/>
      <c r="I481" s="594"/>
      <c r="J481" s="594"/>
      <c r="K481" s="594"/>
      <c r="L481" s="594"/>
      <c r="M481" s="594"/>
      <c r="N481" s="594"/>
      <c r="O481" s="594"/>
      <c r="P481" s="594"/>
      <c r="Q481" s="594"/>
      <c r="R481" s="594"/>
      <c r="S481" s="594"/>
      <c r="T481" s="594"/>
      <c r="U481" s="594"/>
      <c r="V481" s="594"/>
      <c r="W481" s="594"/>
      <c r="X481" s="594"/>
      <c r="Y481" s="594"/>
      <c r="Z481" s="594"/>
    </row>
    <row r="482" spans="1:26" s="202" customFormat="1" x14ac:dyDescent="0.2">
      <c r="A482" s="594"/>
      <c r="B482" s="594"/>
      <c r="C482" s="594"/>
      <c r="D482" s="594"/>
      <c r="E482" s="594"/>
      <c r="F482" s="594"/>
      <c r="G482" s="594"/>
      <c r="H482" s="594"/>
      <c r="I482" s="594"/>
      <c r="J482" s="594"/>
      <c r="K482" s="594"/>
      <c r="L482" s="594"/>
      <c r="M482" s="594"/>
      <c r="N482" s="594"/>
      <c r="O482" s="594"/>
      <c r="P482" s="594"/>
      <c r="Q482" s="594"/>
      <c r="R482" s="594"/>
      <c r="S482" s="594"/>
      <c r="T482" s="594"/>
      <c r="U482" s="594"/>
      <c r="V482" s="594"/>
      <c r="W482" s="594"/>
      <c r="X482" s="594"/>
      <c r="Y482" s="594"/>
      <c r="Z482" s="594"/>
    </row>
    <row r="483" spans="1:26" x14ac:dyDescent="0.2">
      <c r="A483" s="594"/>
      <c r="B483" s="594"/>
      <c r="C483" s="594"/>
      <c r="D483" s="594"/>
      <c r="E483" s="594"/>
      <c r="F483" s="594"/>
      <c r="G483" s="594"/>
      <c r="H483" s="594"/>
      <c r="I483" s="594"/>
      <c r="J483" s="594"/>
      <c r="K483" s="594"/>
      <c r="L483" s="594"/>
      <c r="M483" s="594"/>
      <c r="N483" s="594"/>
      <c r="O483" s="594"/>
      <c r="P483" s="594"/>
      <c r="Q483" s="594"/>
      <c r="R483" s="594"/>
      <c r="S483" s="594"/>
      <c r="T483" s="594"/>
      <c r="U483" s="594"/>
      <c r="V483" s="594"/>
      <c r="W483" s="594"/>
      <c r="X483" s="594"/>
      <c r="Y483" s="594"/>
      <c r="Z483" s="594"/>
    </row>
    <row r="484" spans="1:26" s="203" customFormat="1" x14ac:dyDescent="0.2">
      <c r="A484" s="594"/>
      <c r="B484" s="594"/>
      <c r="C484" s="594"/>
      <c r="D484" s="594"/>
      <c r="E484" s="594"/>
      <c r="F484" s="594"/>
      <c r="G484" s="594"/>
      <c r="H484" s="594"/>
      <c r="I484" s="594"/>
      <c r="J484" s="594"/>
      <c r="K484" s="594"/>
      <c r="L484" s="594"/>
      <c r="M484" s="594"/>
      <c r="N484" s="594"/>
      <c r="O484" s="594"/>
      <c r="P484" s="594"/>
      <c r="Q484" s="594"/>
      <c r="R484" s="594"/>
      <c r="S484" s="594"/>
      <c r="T484" s="594"/>
      <c r="U484" s="594"/>
      <c r="V484" s="594"/>
      <c r="W484" s="594"/>
      <c r="X484" s="594"/>
      <c r="Y484" s="594"/>
      <c r="Z484" s="594"/>
    </row>
    <row r="485" spans="1:26" s="202" customFormat="1" ht="13.5" thickBot="1" x14ac:dyDescent="0.25">
      <c r="A485" s="594"/>
      <c r="B485" s="594"/>
      <c r="C485" s="594"/>
      <c r="D485" s="594"/>
      <c r="E485" s="594"/>
      <c r="F485" s="594"/>
      <c r="G485" s="594"/>
      <c r="H485" s="594"/>
      <c r="I485" s="594"/>
      <c r="J485" s="594"/>
      <c r="K485" s="594"/>
      <c r="L485" s="594"/>
      <c r="M485" s="594"/>
      <c r="N485" s="594"/>
      <c r="O485" s="594"/>
      <c r="P485" s="594"/>
      <c r="Q485" s="594"/>
      <c r="R485" s="594"/>
      <c r="S485" s="594"/>
      <c r="T485" s="594"/>
      <c r="U485" s="594"/>
      <c r="V485" s="594"/>
      <c r="W485" s="594"/>
      <c r="X485" s="594"/>
      <c r="Y485" s="594"/>
      <c r="Z485" s="594"/>
    </row>
    <row r="486" spans="1:26" x14ac:dyDescent="0.2">
      <c r="A486" s="594"/>
      <c r="B486" s="594"/>
      <c r="C486" s="594"/>
      <c r="D486" s="594"/>
      <c r="E486" s="594"/>
      <c r="F486" s="594"/>
      <c r="G486" s="594"/>
      <c r="H486" s="594"/>
      <c r="I486" s="594"/>
      <c r="J486" s="594"/>
      <c r="K486" s="594"/>
      <c r="L486" s="594"/>
      <c r="M486" s="594"/>
      <c r="N486" s="594"/>
      <c r="O486" s="594"/>
      <c r="P486" s="594"/>
      <c r="Q486" s="594"/>
      <c r="R486" s="594"/>
      <c r="S486" s="594"/>
      <c r="T486" s="594"/>
      <c r="U486" s="594"/>
      <c r="V486" s="594"/>
      <c r="W486" s="594"/>
      <c r="X486" s="594"/>
      <c r="Y486" s="594"/>
      <c r="Z486" s="594"/>
    </row>
    <row r="487" spans="1:26" s="203" customFormat="1" ht="13.5" thickBot="1" x14ac:dyDescent="0.25">
      <c r="A487" s="594"/>
      <c r="B487" s="594"/>
      <c r="C487" s="594"/>
      <c r="D487" s="594"/>
      <c r="E487" s="594"/>
      <c r="F487" s="594"/>
      <c r="G487" s="594"/>
      <c r="H487" s="594"/>
      <c r="I487" s="594"/>
      <c r="J487" s="594"/>
      <c r="K487" s="594"/>
      <c r="L487" s="594"/>
      <c r="M487" s="594"/>
      <c r="N487" s="594"/>
      <c r="O487" s="594"/>
      <c r="P487" s="594"/>
      <c r="Q487" s="594"/>
      <c r="R487" s="594"/>
      <c r="S487" s="594"/>
      <c r="T487" s="594"/>
      <c r="U487" s="594"/>
      <c r="V487" s="594"/>
      <c r="W487" s="594"/>
      <c r="X487" s="594"/>
      <c r="Y487" s="594"/>
      <c r="Z487" s="594"/>
    </row>
    <row r="488" spans="1:26" s="202" customFormat="1" x14ac:dyDescent="0.2">
      <c r="A488" s="594"/>
      <c r="B488" s="594"/>
      <c r="C488" s="594"/>
      <c r="D488" s="594"/>
      <c r="E488" s="594"/>
      <c r="F488" s="594"/>
      <c r="G488" s="594"/>
      <c r="H488" s="594"/>
      <c r="I488" s="594"/>
      <c r="J488" s="594"/>
      <c r="K488" s="594"/>
      <c r="L488" s="594"/>
      <c r="M488" s="594"/>
      <c r="N488" s="594"/>
      <c r="O488" s="594"/>
      <c r="P488" s="594"/>
      <c r="Q488" s="594"/>
      <c r="R488" s="594"/>
      <c r="S488" s="594"/>
      <c r="T488" s="594"/>
      <c r="U488" s="594"/>
      <c r="V488" s="594"/>
      <c r="W488" s="594"/>
      <c r="X488" s="594"/>
      <c r="Y488" s="594"/>
      <c r="Z488" s="594"/>
    </row>
    <row r="489" spans="1:26" x14ac:dyDescent="0.2">
      <c r="A489" s="594"/>
      <c r="B489" s="594"/>
      <c r="C489" s="594"/>
      <c r="D489" s="594"/>
      <c r="E489" s="594"/>
      <c r="F489" s="594"/>
      <c r="G489" s="594"/>
      <c r="H489" s="594"/>
      <c r="I489" s="594"/>
      <c r="J489" s="594"/>
      <c r="K489" s="594"/>
      <c r="L489" s="594"/>
      <c r="M489" s="594"/>
      <c r="N489" s="594"/>
      <c r="O489" s="594"/>
      <c r="P489" s="594"/>
      <c r="Q489" s="594"/>
      <c r="R489" s="594"/>
      <c r="S489" s="594"/>
      <c r="T489" s="594"/>
      <c r="U489" s="594"/>
      <c r="V489" s="594"/>
      <c r="W489" s="594"/>
      <c r="X489" s="594"/>
      <c r="Y489" s="594"/>
      <c r="Z489" s="594"/>
    </row>
    <row r="490" spans="1:26" s="203" customFormat="1" ht="13.5" thickBot="1" x14ac:dyDescent="0.25">
      <c r="A490" s="594"/>
      <c r="B490" s="594"/>
      <c r="C490" s="594"/>
      <c r="D490" s="594"/>
      <c r="E490" s="594"/>
      <c r="F490" s="594"/>
      <c r="G490" s="594"/>
      <c r="H490" s="594"/>
      <c r="I490" s="594"/>
      <c r="J490" s="594"/>
      <c r="K490" s="594"/>
      <c r="L490" s="594"/>
      <c r="M490" s="594"/>
      <c r="N490" s="594"/>
      <c r="O490" s="594"/>
      <c r="P490" s="594"/>
      <c r="Q490" s="594"/>
      <c r="R490" s="594"/>
      <c r="S490" s="594"/>
      <c r="T490" s="594"/>
      <c r="U490" s="594"/>
      <c r="V490" s="594"/>
      <c r="W490" s="594"/>
      <c r="X490" s="594"/>
      <c r="Y490" s="594"/>
      <c r="Z490" s="594"/>
    </row>
    <row r="491" spans="1:26" s="202" customFormat="1" x14ac:dyDescent="0.2">
      <c r="A491" s="594"/>
      <c r="B491" s="594"/>
      <c r="C491" s="594"/>
      <c r="D491" s="594"/>
      <c r="E491" s="594"/>
      <c r="F491" s="594"/>
      <c r="G491" s="594"/>
      <c r="H491" s="594"/>
      <c r="I491" s="594"/>
      <c r="J491" s="594"/>
      <c r="K491" s="594"/>
      <c r="L491" s="594"/>
      <c r="M491" s="594"/>
      <c r="N491" s="594"/>
      <c r="O491" s="594"/>
      <c r="P491" s="594"/>
      <c r="Q491" s="594"/>
      <c r="R491" s="594"/>
      <c r="S491" s="594"/>
      <c r="T491" s="594"/>
      <c r="U491" s="594"/>
      <c r="V491" s="594"/>
      <c r="W491" s="594"/>
      <c r="X491" s="594"/>
      <c r="Y491" s="594"/>
      <c r="Z491" s="594"/>
    </row>
    <row r="492" spans="1:26" x14ac:dyDescent="0.2">
      <c r="A492" s="594"/>
      <c r="B492" s="594"/>
      <c r="C492" s="594"/>
      <c r="D492" s="594"/>
      <c r="E492" s="594"/>
      <c r="F492" s="594"/>
      <c r="G492" s="594"/>
      <c r="H492" s="594"/>
      <c r="I492" s="594"/>
      <c r="J492" s="594"/>
      <c r="K492" s="594"/>
      <c r="L492" s="594"/>
      <c r="M492" s="594"/>
      <c r="N492" s="594"/>
      <c r="O492" s="594"/>
      <c r="P492" s="594"/>
      <c r="Q492" s="594"/>
      <c r="R492" s="594"/>
      <c r="S492" s="594"/>
      <c r="T492" s="594"/>
      <c r="U492" s="594"/>
      <c r="V492" s="594"/>
      <c r="W492" s="594"/>
      <c r="X492" s="594"/>
      <c r="Y492" s="594"/>
      <c r="Z492" s="594"/>
    </row>
    <row r="493" spans="1:26" s="203" customFormat="1" ht="13.5" thickBot="1" x14ac:dyDescent="0.25">
      <c r="A493" s="594"/>
      <c r="B493" s="594"/>
      <c r="C493" s="594"/>
      <c r="D493" s="594"/>
      <c r="E493" s="594"/>
      <c r="F493" s="594"/>
      <c r="G493" s="594"/>
      <c r="H493" s="594"/>
      <c r="I493" s="594"/>
      <c r="J493" s="594"/>
      <c r="K493" s="594"/>
      <c r="L493" s="594"/>
      <c r="M493" s="594"/>
      <c r="N493" s="594"/>
      <c r="O493" s="594"/>
      <c r="P493" s="594"/>
      <c r="Q493" s="594"/>
      <c r="R493" s="594"/>
      <c r="S493" s="594"/>
      <c r="T493" s="594"/>
      <c r="U493" s="594"/>
      <c r="V493" s="594"/>
      <c r="W493" s="594"/>
      <c r="X493" s="594"/>
      <c r="Y493" s="594"/>
      <c r="Z493" s="594"/>
    </row>
    <row r="494" spans="1:26" s="202" customFormat="1" x14ac:dyDescent="0.2">
      <c r="A494" s="594"/>
      <c r="B494" s="594"/>
      <c r="C494" s="594"/>
      <c r="D494" s="594"/>
      <c r="E494" s="594"/>
      <c r="F494" s="594"/>
      <c r="G494" s="594"/>
      <c r="H494" s="594"/>
      <c r="I494" s="594"/>
      <c r="J494" s="594"/>
      <c r="K494" s="594"/>
      <c r="L494" s="594"/>
      <c r="M494" s="594"/>
      <c r="N494" s="594"/>
      <c r="O494" s="594"/>
      <c r="P494" s="594"/>
      <c r="Q494" s="594"/>
      <c r="R494" s="594"/>
      <c r="S494" s="594"/>
      <c r="T494" s="594"/>
      <c r="U494" s="594"/>
      <c r="V494" s="594"/>
      <c r="W494" s="594"/>
      <c r="X494" s="594"/>
      <c r="Y494" s="594"/>
      <c r="Z494" s="594"/>
    </row>
    <row r="495" spans="1:26" x14ac:dyDescent="0.2">
      <c r="A495" s="594"/>
      <c r="B495" s="594"/>
      <c r="C495" s="594"/>
      <c r="D495" s="594"/>
      <c r="E495" s="594"/>
      <c r="F495" s="594"/>
      <c r="G495" s="594"/>
      <c r="H495" s="594"/>
      <c r="I495" s="594"/>
      <c r="J495" s="594"/>
      <c r="K495" s="594"/>
      <c r="L495" s="594"/>
      <c r="M495" s="594"/>
      <c r="N495" s="594"/>
      <c r="O495" s="594"/>
      <c r="P495" s="594"/>
      <c r="Q495" s="594"/>
      <c r="R495" s="594"/>
      <c r="S495" s="594"/>
      <c r="T495" s="594"/>
      <c r="U495" s="594"/>
      <c r="V495" s="594"/>
      <c r="W495" s="594"/>
      <c r="X495" s="594"/>
      <c r="Y495" s="594"/>
      <c r="Z495" s="594"/>
    </row>
    <row r="496" spans="1:26" s="203" customFormat="1" x14ac:dyDescent="0.2">
      <c r="A496" s="594"/>
      <c r="B496" s="594"/>
      <c r="C496" s="594"/>
      <c r="D496" s="594"/>
      <c r="E496" s="594"/>
      <c r="F496" s="594"/>
      <c r="G496" s="594"/>
      <c r="H496" s="594"/>
      <c r="I496" s="594"/>
      <c r="J496" s="594"/>
      <c r="K496" s="594"/>
      <c r="L496" s="594"/>
      <c r="M496" s="594"/>
      <c r="N496" s="594"/>
      <c r="O496" s="594"/>
      <c r="P496" s="594"/>
      <c r="Q496" s="594"/>
      <c r="R496" s="594"/>
      <c r="S496" s="594"/>
      <c r="T496" s="594"/>
      <c r="U496" s="594"/>
      <c r="V496" s="594"/>
      <c r="W496" s="594"/>
      <c r="X496" s="594"/>
      <c r="Y496" s="594"/>
      <c r="Z496" s="594"/>
    </row>
    <row r="497" spans="1:26" s="202" customFormat="1" x14ac:dyDescent="0.2">
      <c r="A497" s="594"/>
      <c r="B497" s="594"/>
      <c r="C497" s="594"/>
      <c r="D497" s="594"/>
      <c r="E497" s="594"/>
      <c r="F497" s="594"/>
      <c r="G497" s="594"/>
      <c r="H497" s="594"/>
      <c r="I497" s="594"/>
      <c r="J497" s="594"/>
      <c r="K497" s="594"/>
      <c r="L497" s="594"/>
      <c r="M497" s="594"/>
      <c r="N497" s="594"/>
      <c r="O497" s="594"/>
      <c r="P497" s="594"/>
      <c r="Q497" s="594"/>
      <c r="R497" s="594"/>
      <c r="S497" s="594"/>
      <c r="T497" s="594"/>
      <c r="U497" s="594"/>
      <c r="V497" s="594"/>
      <c r="W497" s="594"/>
      <c r="X497" s="594"/>
      <c r="Y497" s="594"/>
      <c r="Z497" s="594"/>
    </row>
    <row r="498" spans="1:26" ht="13.5" thickBot="1" x14ac:dyDescent="0.25">
      <c r="A498" s="594"/>
      <c r="B498" s="594"/>
      <c r="C498" s="594"/>
      <c r="D498" s="594"/>
      <c r="E498" s="594"/>
      <c r="F498" s="594"/>
      <c r="G498" s="594"/>
      <c r="H498" s="594"/>
      <c r="I498" s="594"/>
      <c r="J498" s="594"/>
      <c r="K498" s="594"/>
      <c r="L498" s="594"/>
      <c r="M498" s="594"/>
      <c r="N498" s="594"/>
      <c r="O498" s="594"/>
      <c r="P498" s="594"/>
      <c r="Q498" s="594"/>
      <c r="R498" s="594"/>
      <c r="S498" s="594"/>
      <c r="T498" s="594"/>
      <c r="U498" s="594"/>
      <c r="V498" s="594"/>
      <c r="W498" s="594"/>
      <c r="X498" s="594"/>
      <c r="Y498" s="594"/>
      <c r="Z498" s="594"/>
    </row>
    <row r="499" spans="1:26" s="203" customFormat="1" x14ac:dyDescent="0.2">
      <c r="A499" s="594"/>
      <c r="B499" s="594"/>
      <c r="C499" s="594"/>
      <c r="D499" s="594"/>
      <c r="E499" s="594"/>
      <c r="F499" s="594"/>
      <c r="G499" s="594"/>
      <c r="H499" s="594"/>
      <c r="I499" s="594"/>
      <c r="J499" s="594"/>
      <c r="K499" s="594"/>
      <c r="L499" s="594"/>
      <c r="M499" s="594"/>
      <c r="N499" s="594"/>
      <c r="O499" s="594"/>
      <c r="P499" s="594"/>
      <c r="Q499" s="594"/>
      <c r="R499" s="594"/>
      <c r="S499" s="594"/>
      <c r="T499" s="594"/>
      <c r="U499" s="594"/>
      <c r="V499" s="594"/>
      <c r="W499" s="594"/>
      <c r="X499" s="594"/>
      <c r="Y499" s="594"/>
      <c r="Z499" s="594"/>
    </row>
    <row r="500" spans="1:26" s="202" customFormat="1" x14ac:dyDescent="0.2">
      <c r="A500" s="594"/>
      <c r="B500" s="594"/>
      <c r="C500" s="594"/>
      <c r="D500" s="594"/>
      <c r="E500" s="594"/>
      <c r="F500" s="594"/>
      <c r="G500" s="594"/>
      <c r="H500" s="594"/>
      <c r="I500" s="594"/>
      <c r="J500" s="594"/>
      <c r="K500" s="594"/>
      <c r="L500" s="594"/>
      <c r="M500" s="594"/>
      <c r="N500" s="594"/>
      <c r="O500" s="594"/>
      <c r="P500" s="594"/>
      <c r="Q500" s="594"/>
      <c r="R500" s="594"/>
      <c r="S500" s="594"/>
      <c r="T500" s="594"/>
      <c r="U500" s="594"/>
      <c r="V500" s="594"/>
      <c r="W500" s="594"/>
      <c r="X500" s="594"/>
      <c r="Y500" s="594"/>
      <c r="Z500" s="594"/>
    </row>
    <row r="501" spans="1:26" ht="13.5" thickBot="1" x14ac:dyDescent="0.25">
      <c r="A501" s="594"/>
      <c r="B501" s="594"/>
      <c r="C501" s="594"/>
      <c r="D501" s="594"/>
      <c r="E501" s="594"/>
      <c r="F501" s="594"/>
      <c r="G501" s="594"/>
      <c r="H501" s="594"/>
      <c r="I501" s="594"/>
      <c r="J501" s="594"/>
      <c r="K501" s="594"/>
      <c r="L501" s="594"/>
      <c r="M501" s="594"/>
      <c r="N501" s="594"/>
      <c r="O501" s="594"/>
      <c r="P501" s="594"/>
      <c r="Q501" s="594"/>
      <c r="R501" s="594"/>
      <c r="S501" s="594"/>
      <c r="T501" s="594"/>
      <c r="U501" s="594"/>
      <c r="V501" s="594"/>
      <c r="W501" s="594"/>
      <c r="X501" s="594"/>
      <c r="Y501" s="594"/>
      <c r="Z501" s="594"/>
    </row>
    <row r="502" spans="1:26" s="203" customFormat="1" x14ac:dyDescent="0.2">
      <c r="A502" s="594"/>
      <c r="B502" s="594"/>
      <c r="C502" s="594"/>
      <c r="D502" s="594"/>
      <c r="E502" s="594"/>
      <c r="F502" s="594"/>
      <c r="G502" s="594"/>
      <c r="H502" s="594"/>
      <c r="I502" s="594"/>
      <c r="J502" s="594"/>
      <c r="K502" s="594"/>
      <c r="L502" s="594"/>
      <c r="M502" s="594"/>
      <c r="N502" s="594"/>
      <c r="O502" s="594"/>
      <c r="P502" s="594"/>
      <c r="Q502" s="594"/>
      <c r="R502" s="594"/>
      <c r="S502" s="594"/>
      <c r="T502" s="594"/>
      <c r="U502" s="594"/>
      <c r="V502" s="594"/>
      <c r="W502" s="594"/>
      <c r="X502" s="594"/>
      <c r="Y502" s="594"/>
      <c r="Z502" s="594"/>
    </row>
    <row r="503" spans="1:26" s="202" customFormat="1" x14ac:dyDescent="0.2">
      <c r="A503" s="594"/>
      <c r="B503" s="594"/>
      <c r="C503" s="594"/>
      <c r="D503" s="594"/>
      <c r="E503" s="594"/>
      <c r="F503" s="594"/>
      <c r="G503" s="594"/>
      <c r="H503" s="594"/>
      <c r="I503" s="594"/>
      <c r="J503" s="594"/>
      <c r="K503" s="594"/>
      <c r="L503" s="594"/>
      <c r="M503" s="594"/>
      <c r="N503" s="594"/>
      <c r="O503" s="594"/>
      <c r="P503" s="594"/>
      <c r="Q503" s="594"/>
      <c r="R503" s="594"/>
      <c r="S503" s="594"/>
      <c r="T503" s="594"/>
      <c r="U503" s="594"/>
      <c r="V503" s="594"/>
      <c r="W503" s="594"/>
      <c r="X503" s="594"/>
      <c r="Y503" s="594"/>
      <c r="Z503" s="594"/>
    </row>
    <row r="504" spans="1:26" ht="13.5" thickBot="1" x14ac:dyDescent="0.25">
      <c r="A504" s="594"/>
      <c r="B504" s="594"/>
      <c r="C504" s="594"/>
      <c r="D504" s="594"/>
      <c r="E504" s="594"/>
      <c r="F504" s="594"/>
      <c r="G504" s="594"/>
      <c r="H504" s="594"/>
      <c r="I504" s="594"/>
      <c r="J504" s="594"/>
      <c r="K504" s="594"/>
      <c r="L504" s="594"/>
      <c r="M504" s="594"/>
      <c r="N504" s="594"/>
      <c r="O504" s="594"/>
      <c r="P504" s="594"/>
      <c r="Q504" s="594"/>
      <c r="R504" s="594"/>
      <c r="S504" s="594"/>
      <c r="T504" s="594"/>
      <c r="U504" s="594"/>
      <c r="V504" s="594"/>
      <c r="W504" s="594"/>
      <c r="X504" s="594"/>
      <c r="Y504" s="594"/>
      <c r="Z504" s="594"/>
    </row>
    <row r="505" spans="1:26" s="203" customFormat="1" x14ac:dyDescent="0.2">
      <c r="A505" s="594"/>
      <c r="B505" s="594"/>
      <c r="C505" s="594"/>
      <c r="D505" s="594"/>
      <c r="E505" s="594"/>
      <c r="F505" s="594"/>
      <c r="G505" s="594"/>
      <c r="H505" s="594"/>
      <c r="I505" s="594"/>
      <c r="J505" s="594"/>
      <c r="K505" s="594"/>
      <c r="L505" s="594"/>
      <c r="M505" s="594"/>
      <c r="N505" s="594"/>
      <c r="O505" s="594"/>
      <c r="P505" s="594"/>
      <c r="Q505" s="594"/>
      <c r="R505" s="594"/>
      <c r="S505" s="594"/>
      <c r="T505" s="594"/>
      <c r="U505" s="594"/>
      <c r="V505" s="594"/>
      <c r="W505" s="594"/>
      <c r="X505" s="594"/>
      <c r="Y505" s="594"/>
      <c r="Z505" s="594"/>
    </row>
    <row r="506" spans="1:26" s="202" customFormat="1" x14ac:dyDescent="0.2">
      <c r="A506" s="594"/>
      <c r="B506" s="594"/>
      <c r="C506" s="594"/>
      <c r="D506" s="594"/>
      <c r="E506" s="594"/>
      <c r="F506" s="594"/>
      <c r="G506" s="594"/>
      <c r="H506" s="594"/>
      <c r="I506" s="594"/>
      <c r="J506" s="594"/>
      <c r="K506" s="594"/>
      <c r="L506" s="594"/>
      <c r="M506" s="594"/>
      <c r="N506" s="594"/>
      <c r="O506" s="594"/>
      <c r="P506" s="594"/>
      <c r="Q506" s="594"/>
      <c r="R506" s="594"/>
      <c r="S506" s="594"/>
      <c r="T506" s="594"/>
      <c r="U506" s="594"/>
      <c r="V506" s="594"/>
      <c r="W506" s="594"/>
      <c r="X506" s="594"/>
      <c r="Y506" s="594"/>
      <c r="Z506" s="594"/>
    </row>
    <row r="507" spans="1:26" ht="13.5" thickBot="1" x14ac:dyDescent="0.25">
      <c r="A507" s="594"/>
      <c r="B507" s="594"/>
      <c r="C507" s="594"/>
      <c r="D507" s="594"/>
      <c r="E507" s="594"/>
      <c r="F507" s="594"/>
      <c r="G507" s="594"/>
      <c r="H507" s="594"/>
      <c r="I507" s="594"/>
      <c r="J507" s="594"/>
      <c r="K507" s="594"/>
      <c r="L507" s="594"/>
      <c r="M507" s="594"/>
      <c r="N507" s="594"/>
      <c r="O507" s="594"/>
      <c r="P507" s="594"/>
      <c r="Q507" s="594"/>
      <c r="R507" s="594"/>
      <c r="S507" s="594"/>
      <c r="T507" s="594"/>
      <c r="U507" s="594"/>
      <c r="V507" s="594"/>
      <c r="W507" s="594"/>
      <c r="X507" s="594"/>
      <c r="Y507" s="594"/>
      <c r="Z507" s="594"/>
    </row>
    <row r="508" spans="1:26" s="203" customFormat="1" x14ac:dyDescent="0.2">
      <c r="A508" s="594"/>
      <c r="B508" s="594"/>
      <c r="C508" s="594"/>
      <c r="D508" s="594"/>
      <c r="E508" s="594"/>
      <c r="F508" s="594"/>
      <c r="G508" s="594"/>
      <c r="H508" s="594"/>
      <c r="I508" s="594"/>
      <c r="J508" s="594"/>
      <c r="K508" s="594"/>
      <c r="L508" s="594"/>
      <c r="M508" s="594"/>
      <c r="N508" s="594"/>
      <c r="O508" s="594"/>
      <c r="P508" s="594"/>
      <c r="Q508" s="594"/>
      <c r="R508" s="594"/>
      <c r="S508" s="594"/>
      <c r="T508" s="594"/>
      <c r="U508" s="594"/>
      <c r="V508" s="594"/>
      <c r="W508" s="594"/>
      <c r="X508" s="594"/>
      <c r="Y508" s="594"/>
      <c r="Z508" s="594"/>
    </row>
    <row r="509" spans="1:26" s="202" customFormat="1" x14ac:dyDescent="0.2">
      <c r="A509" s="594"/>
      <c r="B509" s="594"/>
      <c r="C509" s="594"/>
      <c r="D509" s="594"/>
      <c r="E509" s="594"/>
      <c r="F509" s="594"/>
      <c r="G509" s="594"/>
      <c r="H509" s="594"/>
      <c r="I509" s="594"/>
      <c r="J509" s="594"/>
      <c r="K509" s="594"/>
      <c r="L509" s="594"/>
      <c r="M509" s="594"/>
      <c r="N509" s="594"/>
      <c r="O509" s="594"/>
      <c r="P509" s="594"/>
      <c r="Q509" s="594"/>
      <c r="R509" s="594"/>
      <c r="S509" s="594"/>
      <c r="T509" s="594"/>
      <c r="U509" s="594"/>
      <c r="V509" s="594"/>
      <c r="W509" s="594"/>
      <c r="X509" s="594"/>
      <c r="Y509" s="594"/>
      <c r="Z509" s="594"/>
    </row>
    <row r="510" spans="1:26" x14ac:dyDescent="0.2">
      <c r="A510" s="594"/>
      <c r="B510" s="594"/>
      <c r="C510" s="594"/>
      <c r="D510" s="594"/>
      <c r="E510" s="594"/>
      <c r="F510" s="594"/>
      <c r="G510" s="594"/>
      <c r="H510" s="594"/>
      <c r="I510" s="594"/>
      <c r="J510" s="594"/>
      <c r="K510" s="594"/>
      <c r="L510" s="594"/>
      <c r="M510" s="594"/>
      <c r="N510" s="594"/>
      <c r="O510" s="594"/>
      <c r="P510" s="594"/>
      <c r="Q510" s="594"/>
      <c r="R510" s="594"/>
      <c r="S510" s="594"/>
      <c r="T510" s="594"/>
      <c r="U510" s="594"/>
      <c r="V510" s="594"/>
      <c r="W510" s="594"/>
      <c r="X510" s="594"/>
      <c r="Y510" s="594"/>
      <c r="Z510" s="594"/>
    </row>
    <row r="511" spans="1:26" s="203" customFormat="1" ht="13.5" thickBot="1" x14ac:dyDescent="0.25">
      <c r="A511" s="594"/>
      <c r="B511" s="594"/>
      <c r="C511" s="594"/>
      <c r="D511" s="594"/>
      <c r="E511" s="594"/>
      <c r="F511" s="594"/>
      <c r="G511" s="594"/>
      <c r="H511" s="594"/>
      <c r="I511" s="594"/>
      <c r="J511" s="594"/>
      <c r="K511" s="594"/>
      <c r="L511" s="594"/>
      <c r="M511" s="594"/>
      <c r="N511" s="594"/>
      <c r="O511" s="594"/>
      <c r="P511" s="594"/>
      <c r="Q511" s="594"/>
      <c r="R511" s="594"/>
      <c r="S511" s="594"/>
      <c r="T511" s="594"/>
      <c r="U511" s="594"/>
      <c r="V511" s="594"/>
      <c r="W511" s="594"/>
      <c r="X511" s="594"/>
      <c r="Y511" s="594"/>
      <c r="Z511" s="594"/>
    </row>
    <row r="512" spans="1:26" s="212" customFormat="1" ht="13.5" thickBot="1" x14ac:dyDescent="0.25">
      <c r="A512" s="594"/>
      <c r="B512" s="594"/>
      <c r="C512" s="594"/>
      <c r="D512" s="594"/>
      <c r="E512" s="594"/>
      <c r="F512" s="594"/>
      <c r="G512" s="594"/>
      <c r="H512" s="594"/>
      <c r="I512" s="594"/>
      <c r="J512" s="594"/>
      <c r="K512" s="594"/>
      <c r="L512" s="594"/>
      <c r="M512" s="594"/>
      <c r="N512" s="594"/>
      <c r="O512" s="594"/>
      <c r="P512" s="594"/>
      <c r="Q512" s="594"/>
      <c r="R512" s="594"/>
      <c r="S512" s="594"/>
      <c r="T512" s="594"/>
      <c r="U512" s="594"/>
      <c r="V512" s="594"/>
      <c r="W512" s="594"/>
      <c r="X512" s="594"/>
      <c r="Y512" s="594"/>
      <c r="Z512" s="594"/>
    </row>
    <row r="513" spans="1:26" x14ac:dyDescent="0.2">
      <c r="A513" s="594"/>
      <c r="B513" s="594"/>
      <c r="C513" s="594"/>
      <c r="D513" s="594"/>
      <c r="E513" s="594"/>
      <c r="F513" s="594"/>
      <c r="G513" s="594"/>
      <c r="H513" s="594"/>
      <c r="I513" s="594"/>
      <c r="J513" s="594"/>
      <c r="K513" s="594"/>
      <c r="L513" s="594"/>
      <c r="M513" s="594"/>
      <c r="N513" s="594"/>
      <c r="O513" s="594"/>
      <c r="P513" s="594"/>
      <c r="Q513" s="594"/>
      <c r="R513" s="594"/>
      <c r="S513" s="594"/>
      <c r="T513" s="594"/>
      <c r="U513" s="594"/>
      <c r="V513" s="594"/>
      <c r="W513" s="594"/>
      <c r="X513" s="594"/>
      <c r="Y513" s="594"/>
      <c r="Z513" s="594"/>
    </row>
    <row r="514" spans="1:26" s="203" customFormat="1" x14ac:dyDescent="0.2">
      <c r="A514" s="594"/>
      <c r="B514" s="594"/>
      <c r="C514" s="594"/>
      <c r="D514" s="594"/>
      <c r="E514" s="594"/>
      <c r="F514" s="594"/>
      <c r="G514" s="594"/>
      <c r="H514" s="594"/>
      <c r="I514" s="594"/>
      <c r="J514" s="594"/>
      <c r="K514" s="594"/>
      <c r="L514" s="594"/>
      <c r="M514" s="594"/>
      <c r="N514" s="594"/>
      <c r="O514" s="594"/>
      <c r="P514" s="594"/>
      <c r="Q514" s="594"/>
      <c r="R514" s="594"/>
      <c r="S514" s="594"/>
      <c r="T514" s="594"/>
      <c r="U514" s="594"/>
      <c r="V514" s="594"/>
      <c r="W514" s="594"/>
      <c r="X514" s="594"/>
      <c r="Y514" s="594"/>
      <c r="Z514" s="594"/>
    </row>
    <row r="515" spans="1:26" s="202" customFormat="1" ht="13.5" thickBot="1" x14ac:dyDescent="0.25">
      <c r="A515" s="594"/>
      <c r="B515" s="594"/>
      <c r="C515" s="594"/>
      <c r="D515" s="594"/>
      <c r="E515" s="594"/>
      <c r="F515" s="594"/>
      <c r="G515" s="594"/>
      <c r="H515" s="594"/>
      <c r="I515" s="594"/>
      <c r="J515" s="594"/>
      <c r="K515" s="594"/>
      <c r="L515" s="594"/>
      <c r="M515" s="594"/>
      <c r="N515" s="594"/>
      <c r="O515" s="594"/>
      <c r="P515" s="594"/>
      <c r="Q515" s="594"/>
      <c r="R515" s="594"/>
      <c r="S515" s="594"/>
      <c r="T515" s="594"/>
      <c r="U515" s="594"/>
      <c r="V515" s="594"/>
      <c r="W515" s="594"/>
      <c r="X515" s="594"/>
      <c r="Y515" s="594"/>
      <c r="Z515" s="594"/>
    </row>
    <row r="516" spans="1:26" x14ac:dyDescent="0.2">
      <c r="A516" s="594"/>
      <c r="B516" s="594"/>
      <c r="C516" s="594"/>
      <c r="D516" s="594"/>
      <c r="E516" s="594"/>
      <c r="F516" s="594"/>
      <c r="G516" s="594"/>
      <c r="H516" s="594"/>
      <c r="I516" s="594"/>
      <c r="J516" s="594"/>
      <c r="K516" s="594"/>
      <c r="L516" s="594"/>
      <c r="M516" s="594"/>
      <c r="N516" s="594"/>
      <c r="O516" s="594"/>
      <c r="P516" s="594"/>
      <c r="Q516" s="594"/>
      <c r="R516" s="594"/>
      <c r="S516" s="594"/>
      <c r="T516" s="594"/>
      <c r="U516" s="594"/>
      <c r="V516" s="594"/>
      <c r="W516" s="594"/>
      <c r="X516" s="594"/>
      <c r="Y516" s="594"/>
      <c r="Z516" s="594"/>
    </row>
    <row r="517" spans="1:26" s="203" customFormat="1" x14ac:dyDescent="0.2">
      <c r="A517" s="594"/>
      <c r="B517" s="594"/>
      <c r="C517" s="594"/>
      <c r="D517" s="594"/>
      <c r="E517" s="594"/>
      <c r="F517" s="594"/>
      <c r="G517" s="594"/>
      <c r="H517" s="594"/>
      <c r="I517" s="594"/>
      <c r="J517" s="594"/>
      <c r="K517" s="594"/>
      <c r="L517" s="594"/>
      <c r="M517" s="594"/>
      <c r="N517" s="594"/>
      <c r="O517" s="594"/>
      <c r="P517" s="594"/>
      <c r="Q517" s="594"/>
      <c r="R517" s="594"/>
      <c r="S517" s="594"/>
      <c r="T517" s="594"/>
      <c r="U517" s="594"/>
      <c r="V517" s="594"/>
      <c r="W517" s="594"/>
      <c r="X517" s="594"/>
      <c r="Y517" s="594"/>
      <c r="Z517" s="594"/>
    </row>
    <row r="518" spans="1:26" s="202" customFormat="1" ht="13.5" thickBot="1" x14ac:dyDescent="0.25">
      <c r="A518" s="594"/>
      <c r="B518" s="594"/>
      <c r="C518" s="594"/>
      <c r="D518" s="594"/>
      <c r="E518" s="594"/>
      <c r="F518" s="594"/>
      <c r="G518" s="594"/>
      <c r="H518" s="594"/>
      <c r="I518" s="594"/>
      <c r="J518" s="594"/>
      <c r="K518" s="594"/>
      <c r="L518" s="594"/>
      <c r="M518" s="594"/>
      <c r="N518" s="594"/>
      <c r="O518" s="594"/>
      <c r="P518" s="594"/>
      <c r="Q518" s="594"/>
      <c r="R518" s="594"/>
      <c r="S518" s="594"/>
      <c r="T518" s="594"/>
      <c r="U518" s="594"/>
      <c r="V518" s="594"/>
      <c r="W518" s="594"/>
      <c r="X518" s="594"/>
      <c r="Y518" s="594"/>
      <c r="Z518" s="594"/>
    </row>
    <row r="519" spans="1:26" x14ac:dyDescent="0.2">
      <c r="A519" s="594"/>
      <c r="B519" s="594"/>
      <c r="C519" s="594"/>
      <c r="D519" s="594"/>
      <c r="E519" s="594"/>
      <c r="F519" s="594"/>
      <c r="G519" s="594"/>
      <c r="H519" s="594"/>
      <c r="I519" s="594"/>
      <c r="J519" s="594"/>
      <c r="K519" s="594"/>
      <c r="L519" s="594"/>
      <c r="M519" s="594"/>
      <c r="N519" s="594"/>
      <c r="O519" s="594"/>
      <c r="P519" s="594"/>
      <c r="Q519" s="594"/>
      <c r="R519" s="594"/>
      <c r="S519" s="594"/>
      <c r="T519" s="594"/>
      <c r="U519" s="594"/>
      <c r="V519" s="594"/>
      <c r="W519" s="594"/>
      <c r="X519" s="594"/>
      <c r="Y519" s="594"/>
      <c r="Z519" s="594"/>
    </row>
    <row r="520" spans="1:26" s="203" customFormat="1" x14ac:dyDescent="0.2">
      <c r="A520" s="594"/>
      <c r="B520" s="594"/>
      <c r="C520" s="594"/>
      <c r="D520" s="594"/>
      <c r="E520" s="594"/>
      <c r="F520" s="594"/>
      <c r="G520" s="594"/>
      <c r="H520" s="594"/>
      <c r="I520" s="594"/>
      <c r="J520" s="594"/>
      <c r="K520" s="594"/>
      <c r="L520" s="594"/>
      <c r="M520" s="594"/>
      <c r="N520" s="594"/>
      <c r="O520" s="594"/>
      <c r="P520" s="594"/>
      <c r="Q520" s="594"/>
      <c r="R520" s="594"/>
      <c r="S520" s="594"/>
      <c r="T520" s="594"/>
      <c r="U520" s="594"/>
      <c r="V520" s="594"/>
      <c r="W520" s="594"/>
      <c r="X520" s="594"/>
      <c r="Y520" s="594"/>
      <c r="Z520" s="594"/>
    </row>
    <row r="521" spans="1:26" s="202" customFormat="1" ht="13.5" thickBot="1" x14ac:dyDescent="0.25">
      <c r="A521" s="594"/>
      <c r="B521" s="594"/>
      <c r="C521" s="594"/>
      <c r="D521" s="594"/>
      <c r="E521" s="594"/>
      <c r="F521" s="594"/>
      <c r="G521" s="594"/>
      <c r="H521" s="594"/>
      <c r="I521" s="594"/>
      <c r="J521" s="594"/>
      <c r="K521" s="594"/>
      <c r="L521" s="594"/>
      <c r="M521" s="594"/>
      <c r="N521" s="594"/>
      <c r="O521" s="594"/>
      <c r="P521" s="594"/>
      <c r="Q521" s="594"/>
      <c r="R521" s="594"/>
      <c r="S521" s="594"/>
      <c r="T521" s="594"/>
      <c r="U521" s="594"/>
      <c r="V521" s="594"/>
      <c r="W521" s="594"/>
      <c r="X521" s="594"/>
      <c r="Y521" s="594"/>
      <c r="Z521" s="594"/>
    </row>
    <row r="522" spans="1:26" ht="13.5" thickBot="1" x14ac:dyDescent="0.25">
      <c r="A522" s="594"/>
      <c r="B522" s="594"/>
      <c r="C522" s="594"/>
      <c r="D522" s="594"/>
      <c r="E522" s="594"/>
      <c r="F522" s="594"/>
      <c r="G522" s="594"/>
      <c r="H522" s="594"/>
      <c r="I522" s="594"/>
      <c r="J522" s="594"/>
      <c r="K522" s="594"/>
      <c r="L522" s="594"/>
      <c r="M522" s="594"/>
      <c r="N522" s="594"/>
      <c r="O522" s="594"/>
      <c r="P522" s="594"/>
      <c r="Q522" s="594"/>
      <c r="R522" s="594"/>
      <c r="S522" s="594"/>
      <c r="T522" s="594"/>
      <c r="U522" s="594"/>
      <c r="V522" s="594"/>
      <c r="W522" s="594"/>
      <c r="X522" s="594"/>
      <c r="Y522" s="594"/>
      <c r="Z522" s="594"/>
    </row>
    <row r="523" spans="1:26" s="203" customFormat="1" x14ac:dyDescent="0.2">
      <c r="A523" s="594"/>
      <c r="B523" s="594"/>
      <c r="C523" s="594"/>
      <c r="D523" s="594"/>
      <c r="E523" s="594"/>
      <c r="F523" s="594"/>
      <c r="G523" s="594"/>
      <c r="H523" s="594"/>
      <c r="I523" s="594"/>
      <c r="J523" s="594"/>
      <c r="K523" s="594"/>
      <c r="L523" s="594"/>
      <c r="M523" s="594"/>
      <c r="N523" s="594"/>
      <c r="O523" s="594"/>
      <c r="P523" s="594"/>
      <c r="Q523" s="594"/>
      <c r="R523" s="594"/>
      <c r="S523" s="594"/>
      <c r="T523" s="594"/>
      <c r="U523" s="594"/>
      <c r="V523" s="594"/>
      <c r="W523" s="594"/>
      <c r="X523" s="594"/>
      <c r="Y523" s="594"/>
      <c r="Z523" s="594"/>
    </row>
    <row r="524" spans="1:26" s="202" customFormat="1" x14ac:dyDescent="0.2">
      <c r="A524" s="594"/>
      <c r="B524" s="594"/>
      <c r="C524" s="594"/>
      <c r="D524" s="594"/>
      <c r="E524" s="594"/>
      <c r="F524" s="594"/>
      <c r="G524" s="594"/>
      <c r="H524" s="594"/>
      <c r="I524" s="594"/>
      <c r="J524" s="594"/>
      <c r="K524" s="594"/>
      <c r="L524" s="594"/>
      <c r="M524" s="594"/>
      <c r="N524" s="594"/>
      <c r="O524" s="594"/>
      <c r="P524" s="594"/>
      <c r="Q524" s="594"/>
      <c r="R524" s="594"/>
      <c r="S524" s="594"/>
      <c r="T524" s="594"/>
      <c r="U524" s="594"/>
      <c r="V524" s="594"/>
      <c r="W524" s="594"/>
      <c r="X524" s="594"/>
      <c r="Y524" s="594"/>
      <c r="Z524" s="594"/>
    </row>
    <row r="525" spans="1:26" ht="13.5" thickBot="1" x14ac:dyDescent="0.25">
      <c r="A525" s="594"/>
      <c r="B525" s="594"/>
      <c r="C525" s="594"/>
      <c r="D525" s="594"/>
      <c r="E525" s="594"/>
      <c r="F525" s="594"/>
      <c r="G525" s="594"/>
      <c r="H525" s="594"/>
      <c r="I525" s="594"/>
      <c r="J525" s="594"/>
      <c r="K525" s="594"/>
      <c r="L525" s="594"/>
      <c r="M525" s="594"/>
      <c r="N525" s="594"/>
      <c r="O525" s="594"/>
      <c r="P525" s="594"/>
      <c r="Q525" s="594"/>
      <c r="R525" s="594"/>
      <c r="S525" s="594"/>
      <c r="T525" s="594"/>
      <c r="U525" s="594"/>
      <c r="V525" s="594"/>
      <c r="W525" s="594"/>
      <c r="X525" s="594"/>
      <c r="Y525" s="594"/>
      <c r="Z525" s="594"/>
    </row>
    <row r="526" spans="1:26" s="203" customFormat="1" x14ac:dyDescent="0.2">
      <c r="A526" s="594"/>
      <c r="B526" s="594"/>
      <c r="C526" s="594"/>
      <c r="D526" s="594"/>
      <c r="E526" s="594"/>
      <c r="F526" s="594"/>
      <c r="G526" s="594"/>
      <c r="H526" s="594"/>
      <c r="I526" s="594"/>
      <c r="J526" s="594"/>
      <c r="K526" s="594"/>
      <c r="L526" s="594"/>
      <c r="M526" s="594"/>
      <c r="N526" s="594"/>
      <c r="O526" s="594"/>
      <c r="P526" s="594"/>
      <c r="Q526" s="594"/>
      <c r="R526" s="594"/>
      <c r="S526" s="594"/>
      <c r="T526" s="594"/>
      <c r="U526" s="594"/>
      <c r="V526" s="594"/>
      <c r="W526" s="594"/>
      <c r="X526" s="594"/>
      <c r="Y526" s="594"/>
      <c r="Z526" s="594"/>
    </row>
    <row r="527" spans="1:26" s="202" customFormat="1" x14ac:dyDescent="0.2">
      <c r="A527" s="594"/>
      <c r="B527" s="594"/>
      <c r="C527" s="594"/>
      <c r="D527" s="594"/>
      <c r="E527" s="594"/>
      <c r="F527" s="594"/>
      <c r="G527" s="594"/>
      <c r="H527" s="594"/>
      <c r="I527" s="594"/>
      <c r="J527" s="594"/>
      <c r="K527" s="594"/>
      <c r="L527" s="594"/>
      <c r="M527" s="594"/>
      <c r="N527" s="594"/>
      <c r="O527" s="594"/>
      <c r="P527" s="594"/>
      <c r="Q527" s="594"/>
      <c r="R527" s="594"/>
      <c r="S527" s="594"/>
      <c r="T527" s="594"/>
      <c r="U527" s="594"/>
      <c r="V527" s="594"/>
      <c r="W527" s="594"/>
      <c r="X527" s="594"/>
      <c r="Y527" s="594"/>
      <c r="Z527" s="594"/>
    </row>
    <row r="528" spans="1:26" x14ac:dyDescent="0.2">
      <c r="A528" s="594"/>
      <c r="B528" s="594"/>
      <c r="C528" s="594"/>
      <c r="D528" s="594"/>
      <c r="E528" s="594"/>
      <c r="F528" s="594"/>
      <c r="G528" s="594"/>
      <c r="H528" s="594"/>
      <c r="I528" s="594"/>
      <c r="J528" s="594"/>
      <c r="K528" s="594"/>
      <c r="L528" s="594"/>
      <c r="M528" s="594"/>
      <c r="N528" s="594"/>
      <c r="O528" s="594"/>
      <c r="P528" s="594"/>
      <c r="Q528" s="594"/>
      <c r="R528" s="594"/>
      <c r="S528" s="594"/>
      <c r="T528" s="594"/>
      <c r="U528" s="594"/>
      <c r="V528" s="594"/>
      <c r="W528" s="594"/>
      <c r="X528" s="594"/>
      <c r="Y528" s="594"/>
      <c r="Z528" s="594"/>
    </row>
    <row r="529" spans="1:26" s="203" customFormat="1" ht="13.5" thickBot="1" x14ac:dyDescent="0.25">
      <c r="A529" s="594"/>
      <c r="B529" s="594"/>
      <c r="C529" s="594"/>
      <c r="D529" s="594"/>
      <c r="E529" s="594"/>
      <c r="F529" s="594"/>
      <c r="G529" s="594"/>
      <c r="H529" s="594"/>
      <c r="I529" s="594"/>
      <c r="J529" s="594"/>
      <c r="K529" s="594"/>
      <c r="L529" s="594"/>
      <c r="M529" s="594"/>
      <c r="N529" s="594"/>
      <c r="O529" s="594"/>
      <c r="P529" s="594"/>
      <c r="Q529" s="594"/>
      <c r="R529" s="594"/>
      <c r="S529" s="594"/>
      <c r="T529" s="594"/>
      <c r="U529" s="594"/>
      <c r="V529" s="594"/>
      <c r="W529" s="594"/>
      <c r="X529" s="594"/>
      <c r="Y529" s="594"/>
      <c r="Z529" s="594"/>
    </row>
    <row r="530" spans="1:26" s="202" customFormat="1" ht="13.5" thickBot="1" x14ac:dyDescent="0.25">
      <c r="A530" s="594"/>
      <c r="B530" s="594"/>
      <c r="C530" s="594"/>
      <c r="D530" s="594"/>
      <c r="E530" s="594"/>
      <c r="F530" s="594"/>
      <c r="G530" s="594"/>
      <c r="H530" s="594"/>
      <c r="I530" s="594"/>
      <c r="J530" s="594"/>
      <c r="K530" s="594"/>
      <c r="L530" s="594"/>
      <c r="M530" s="594"/>
      <c r="N530" s="594"/>
      <c r="O530" s="594"/>
      <c r="P530" s="594"/>
      <c r="Q530" s="594"/>
      <c r="R530" s="594"/>
      <c r="S530" s="594"/>
      <c r="T530" s="594"/>
      <c r="U530" s="594"/>
      <c r="V530" s="594"/>
      <c r="W530" s="594"/>
      <c r="X530" s="594"/>
      <c r="Y530" s="594"/>
      <c r="Z530" s="594"/>
    </row>
    <row r="531" spans="1:26" x14ac:dyDescent="0.2">
      <c r="A531" s="594"/>
      <c r="B531" s="594"/>
      <c r="C531" s="594"/>
      <c r="D531" s="594"/>
      <c r="E531" s="594"/>
      <c r="F531" s="594"/>
      <c r="G531" s="594"/>
      <c r="H531" s="594"/>
      <c r="I531" s="594"/>
      <c r="J531" s="594"/>
      <c r="K531" s="594"/>
      <c r="L531" s="594"/>
      <c r="M531" s="594"/>
      <c r="N531" s="594"/>
      <c r="O531" s="594"/>
      <c r="P531" s="594"/>
      <c r="Q531" s="594"/>
      <c r="R531" s="594"/>
      <c r="S531" s="594"/>
      <c r="T531" s="594"/>
      <c r="U531" s="594"/>
      <c r="V531" s="594"/>
      <c r="W531" s="594"/>
      <c r="X531" s="594"/>
      <c r="Y531" s="594"/>
      <c r="Z531" s="594"/>
    </row>
    <row r="532" spans="1:26" s="203" customFormat="1" x14ac:dyDescent="0.2">
      <c r="A532" s="594"/>
      <c r="B532" s="594"/>
      <c r="C532" s="594"/>
      <c r="D532" s="594"/>
      <c r="E532" s="594"/>
      <c r="F532" s="594"/>
      <c r="G532" s="594"/>
      <c r="H532" s="594"/>
      <c r="I532" s="594"/>
      <c r="J532" s="594"/>
      <c r="K532" s="594"/>
      <c r="L532" s="594"/>
      <c r="M532" s="594"/>
      <c r="N532" s="594"/>
      <c r="O532" s="594"/>
      <c r="P532" s="594"/>
      <c r="Q532" s="594"/>
      <c r="R532" s="594"/>
      <c r="S532" s="594"/>
      <c r="T532" s="594"/>
      <c r="U532" s="594"/>
      <c r="V532" s="594"/>
      <c r="W532" s="594"/>
      <c r="X532" s="594"/>
      <c r="Y532" s="594"/>
      <c r="Z532" s="594"/>
    </row>
    <row r="533" spans="1:26" s="202" customFormat="1" ht="13.5" thickBot="1" x14ac:dyDescent="0.25">
      <c r="A533" s="594"/>
      <c r="B533" s="594"/>
      <c r="C533" s="594"/>
      <c r="D533" s="594"/>
      <c r="E533" s="594"/>
      <c r="F533" s="594"/>
      <c r="G533" s="594"/>
      <c r="H533" s="594"/>
      <c r="I533" s="594"/>
      <c r="J533" s="594"/>
      <c r="K533" s="594"/>
      <c r="L533" s="594"/>
      <c r="M533" s="594"/>
      <c r="N533" s="594"/>
      <c r="O533" s="594"/>
      <c r="P533" s="594"/>
      <c r="Q533" s="594"/>
      <c r="R533" s="594"/>
      <c r="S533" s="594"/>
      <c r="T533" s="594"/>
      <c r="U533" s="594"/>
      <c r="V533" s="594"/>
      <c r="W533" s="594"/>
      <c r="X533" s="594"/>
      <c r="Y533" s="594"/>
      <c r="Z533" s="594"/>
    </row>
    <row r="534" spans="1:26" x14ac:dyDescent="0.2">
      <c r="A534" s="594"/>
      <c r="B534" s="594"/>
      <c r="C534" s="594"/>
      <c r="D534" s="594"/>
      <c r="E534" s="594"/>
      <c r="F534" s="594"/>
      <c r="G534" s="594"/>
      <c r="H534" s="594"/>
      <c r="I534" s="594"/>
      <c r="J534" s="594"/>
      <c r="K534" s="594"/>
      <c r="L534" s="594"/>
      <c r="M534" s="594"/>
      <c r="N534" s="594"/>
      <c r="O534" s="594"/>
      <c r="P534" s="594"/>
      <c r="Q534" s="594"/>
      <c r="R534" s="594"/>
      <c r="S534" s="594"/>
      <c r="T534" s="594"/>
      <c r="U534" s="594"/>
      <c r="V534" s="594"/>
      <c r="W534" s="594"/>
      <c r="X534" s="594"/>
      <c r="Y534" s="594"/>
      <c r="Z534" s="594"/>
    </row>
    <row r="535" spans="1:26" s="203" customFormat="1" x14ac:dyDescent="0.2">
      <c r="A535" s="594"/>
      <c r="B535" s="594"/>
      <c r="C535" s="594"/>
      <c r="D535" s="594"/>
      <c r="E535" s="594"/>
      <c r="F535" s="594"/>
      <c r="G535" s="594"/>
      <c r="H535" s="594"/>
      <c r="I535" s="594"/>
      <c r="J535" s="594"/>
      <c r="K535" s="594"/>
      <c r="L535" s="594"/>
      <c r="M535" s="594"/>
      <c r="N535" s="594"/>
      <c r="O535" s="594"/>
      <c r="P535" s="594"/>
      <c r="Q535" s="594"/>
      <c r="R535" s="594"/>
      <c r="S535" s="594"/>
      <c r="T535" s="594"/>
      <c r="U535" s="594"/>
      <c r="V535" s="594"/>
      <c r="W535" s="594"/>
      <c r="X535" s="594"/>
      <c r="Y535" s="594"/>
      <c r="Z535" s="594"/>
    </row>
    <row r="536" spans="1:26" s="202" customFormat="1" ht="13.5" thickBot="1" x14ac:dyDescent="0.25">
      <c r="A536" s="594"/>
      <c r="B536" s="594"/>
      <c r="C536" s="594"/>
      <c r="D536" s="594"/>
      <c r="E536" s="594"/>
      <c r="F536" s="594"/>
      <c r="G536" s="594"/>
      <c r="H536" s="594"/>
      <c r="I536" s="594"/>
      <c r="J536" s="594"/>
      <c r="K536" s="594"/>
      <c r="L536" s="594"/>
      <c r="M536" s="594"/>
      <c r="N536" s="594"/>
      <c r="O536" s="594"/>
      <c r="P536" s="594"/>
      <c r="Q536" s="594"/>
      <c r="R536" s="594"/>
      <c r="S536" s="594"/>
      <c r="T536" s="594"/>
      <c r="U536" s="594"/>
      <c r="V536" s="594"/>
      <c r="W536" s="594"/>
      <c r="X536" s="594"/>
      <c r="Y536" s="594"/>
      <c r="Z536" s="594"/>
    </row>
    <row r="537" spans="1:26" x14ac:dyDescent="0.2">
      <c r="A537" s="594"/>
      <c r="B537" s="594"/>
      <c r="C537" s="594"/>
      <c r="D537" s="594"/>
      <c r="E537" s="594"/>
      <c r="F537" s="594"/>
      <c r="G537" s="594"/>
      <c r="H537" s="594"/>
      <c r="I537" s="594"/>
      <c r="J537" s="594"/>
      <c r="K537" s="594"/>
      <c r="L537" s="594"/>
      <c r="M537" s="594"/>
      <c r="N537" s="594"/>
      <c r="O537" s="594"/>
      <c r="P537" s="594"/>
      <c r="Q537" s="594"/>
      <c r="R537" s="594"/>
      <c r="S537" s="594"/>
      <c r="T537" s="594"/>
      <c r="U537" s="594"/>
      <c r="V537" s="594"/>
      <c r="W537" s="594"/>
      <c r="X537" s="594"/>
      <c r="Y537" s="594"/>
      <c r="Z537" s="594"/>
    </row>
    <row r="538" spans="1:26" s="203" customFormat="1" x14ac:dyDescent="0.2">
      <c r="A538" s="594"/>
      <c r="B538" s="594"/>
      <c r="C538" s="594"/>
      <c r="D538" s="594"/>
      <c r="E538" s="594"/>
      <c r="F538" s="594"/>
      <c r="G538" s="594"/>
      <c r="H538" s="594"/>
      <c r="I538" s="594"/>
      <c r="J538" s="594"/>
      <c r="K538" s="594"/>
      <c r="L538" s="594"/>
      <c r="M538" s="594"/>
      <c r="N538" s="594"/>
      <c r="O538" s="594"/>
      <c r="P538" s="594"/>
      <c r="Q538" s="594"/>
      <c r="R538" s="594"/>
      <c r="S538" s="594"/>
      <c r="T538" s="594"/>
      <c r="U538" s="594"/>
      <c r="V538" s="594"/>
      <c r="W538" s="594"/>
      <c r="X538" s="594"/>
      <c r="Y538" s="594"/>
      <c r="Z538" s="594"/>
    </row>
    <row r="539" spans="1:26" s="202" customFormat="1" ht="13.5" thickBot="1" x14ac:dyDescent="0.25">
      <c r="A539" s="594"/>
      <c r="B539" s="594"/>
      <c r="C539" s="594"/>
      <c r="D539" s="594"/>
      <c r="E539" s="594"/>
      <c r="F539" s="594"/>
      <c r="G539" s="594"/>
      <c r="H539" s="594"/>
      <c r="I539" s="594"/>
      <c r="J539" s="594"/>
      <c r="K539" s="594"/>
      <c r="L539" s="594"/>
      <c r="M539" s="594"/>
      <c r="N539" s="594"/>
      <c r="O539" s="594"/>
      <c r="P539" s="594"/>
      <c r="Q539" s="594"/>
      <c r="R539" s="594"/>
      <c r="S539" s="594"/>
      <c r="T539" s="594"/>
      <c r="U539" s="594"/>
      <c r="V539" s="594"/>
      <c r="W539" s="594"/>
      <c r="X539" s="594"/>
      <c r="Y539" s="594"/>
      <c r="Z539" s="594"/>
    </row>
    <row r="540" spans="1:26" x14ac:dyDescent="0.2">
      <c r="A540" s="594"/>
      <c r="B540" s="594"/>
      <c r="C540" s="594"/>
      <c r="D540" s="594"/>
      <c r="E540" s="594"/>
      <c r="F540" s="594"/>
      <c r="G540" s="594"/>
      <c r="H540" s="594"/>
      <c r="I540" s="594"/>
      <c r="J540" s="594"/>
      <c r="K540" s="594"/>
      <c r="L540" s="594"/>
      <c r="M540" s="594"/>
      <c r="N540" s="594"/>
      <c r="O540" s="594"/>
      <c r="P540" s="594"/>
      <c r="Q540" s="594"/>
      <c r="R540" s="594"/>
      <c r="S540" s="594"/>
      <c r="T540" s="594"/>
      <c r="U540" s="594"/>
      <c r="V540" s="594"/>
      <c r="W540" s="594"/>
      <c r="X540" s="594"/>
      <c r="Y540" s="594"/>
      <c r="Z540" s="594"/>
    </row>
    <row r="541" spans="1:26" s="203" customFormat="1" x14ac:dyDescent="0.2">
      <c r="A541" s="594"/>
      <c r="B541" s="594"/>
      <c r="C541" s="594"/>
      <c r="D541" s="594"/>
      <c r="E541" s="594"/>
      <c r="F541" s="594"/>
      <c r="G541" s="594"/>
      <c r="H541" s="594"/>
      <c r="I541" s="594"/>
      <c r="J541" s="594"/>
      <c r="K541" s="594"/>
      <c r="L541" s="594"/>
      <c r="M541" s="594"/>
      <c r="N541" s="594"/>
      <c r="O541" s="594"/>
      <c r="P541" s="594"/>
      <c r="Q541" s="594"/>
      <c r="R541" s="594"/>
      <c r="S541" s="594"/>
      <c r="T541" s="594"/>
      <c r="U541" s="594"/>
      <c r="V541" s="594"/>
      <c r="W541" s="594"/>
      <c r="X541" s="594"/>
      <c r="Y541" s="594"/>
      <c r="Z541" s="594"/>
    </row>
    <row r="542" spans="1:26" s="202" customFormat="1" ht="13.5" thickBot="1" x14ac:dyDescent="0.25">
      <c r="A542" s="594"/>
      <c r="B542" s="594"/>
      <c r="C542" s="594"/>
      <c r="D542" s="594"/>
      <c r="E542" s="594"/>
      <c r="F542" s="594"/>
      <c r="G542" s="594"/>
      <c r="H542" s="594"/>
      <c r="I542" s="594"/>
      <c r="J542" s="594"/>
      <c r="K542" s="594"/>
      <c r="L542" s="594"/>
      <c r="M542" s="594"/>
      <c r="N542" s="594"/>
      <c r="O542" s="594"/>
      <c r="P542" s="594"/>
      <c r="Q542" s="594"/>
      <c r="R542" s="594"/>
      <c r="S542" s="594"/>
      <c r="T542" s="594"/>
      <c r="U542" s="594"/>
      <c r="V542" s="594"/>
      <c r="W542" s="594"/>
      <c r="X542" s="594"/>
      <c r="Y542" s="594"/>
      <c r="Z542" s="594"/>
    </row>
    <row r="543" spans="1:26" x14ac:dyDescent="0.2">
      <c r="A543" s="594"/>
      <c r="B543" s="594"/>
      <c r="C543" s="594"/>
      <c r="D543" s="594"/>
      <c r="E543" s="594"/>
      <c r="F543" s="594"/>
      <c r="G543" s="594"/>
      <c r="H543" s="594"/>
      <c r="I543" s="594"/>
      <c r="J543" s="594"/>
      <c r="K543" s="594"/>
      <c r="L543" s="594"/>
      <c r="M543" s="594"/>
      <c r="N543" s="594"/>
      <c r="O543" s="594"/>
      <c r="P543" s="594"/>
      <c r="Q543" s="594"/>
      <c r="R543" s="594"/>
      <c r="S543" s="594"/>
      <c r="T543" s="594"/>
      <c r="U543" s="594"/>
      <c r="V543" s="594"/>
      <c r="W543" s="594"/>
      <c r="X543" s="594"/>
      <c r="Y543" s="594"/>
      <c r="Z543" s="594"/>
    </row>
    <row r="544" spans="1:26" s="203" customFormat="1" x14ac:dyDescent="0.2">
      <c r="A544" s="594"/>
      <c r="B544" s="594"/>
      <c r="C544" s="594"/>
      <c r="D544" s="594"/>
      <c r="E544" s="594"/>
      <c r="F544" s="594"/>
      <c r="G544" s="594"/>
      <c r="H544" s="594"/>
      <c r="I544" s="594"/>
      <c r="J544" s="594"/>
      <c r="K544" s="594"/>
      <c r="L544" s="594"/>
      <c r="M544" s="594"/>
      <c r="N544" s="594"/>
      <c r="O544" s="594"/>
      <c r="P544" s="594"/>
      <c r="Q544" s="594"/>
      <c r="R544" s="594"/>
      <c r="S544" s="594"/>
      <c r="T544" s="594"/>
      <c r="U544" s="594"/>
      <c r="V544" s="594"/>
      <c r="W544" s="594"/>
      <c r="X544" s="594"/>
      <c r="Y544" s="594"/>
      <c r="Z544" s="594"/>
    </row>
    <row r="545" spans="1:26" s="202" customFormat="1" ht="13.5" thickBot="1" x14ac:dyDescent="0.25">
      <c r="A545" s="594"/>
      <c r="B545" s="594"/>
      <c r="C545" s="594"/>
      <c r="D545" s="594"/>
      <c r="E545" s="594"/>
      <c r="F545" s="594"/>
      <c r="G545" s="594"/>
      <c r="H545" s="594"/>
      <c r="I545" s="594"/>
      <c r="J545" s="594"/>
      <c r="K545" s="594"/>
      <c r="L545" s="594"/>
      <c r="M545" s="594"/>
      <c r="N545" s="594"/>
      <c r="O545" s="594"/>
      <c r="P545" s="594"/>
      <c r="Q545" s="594"/>
      <c r="R545" s="594"/>
      <c r="S545" s="594"/>
      <c r="T545" s="594"/>
      <c r="U545" s="594"/>
      <c r="V545" s="594"/>
      <c r="W545" s="594"/>
      <c r="X545" s="594"/>
      <c r="Y545" s="594"/>
      <c r="Z545" s="594"/>
    </row>
    <row r="546" spans="1:26" x14ac:dyDescent="0.2">
      <c r="A546" s="594"/>
      <c r="B546" s="594"/>
      <c r="C546" s="594"/>
      <c r="D546" s="594"/>
      <c r="E546" s="594"/>
      <c r="F546" s="594"/>
      <c r="G546" s="594"/>
      <c r="H546" s="594"/>
      <c r="I546" s="594"/>
      <c r="J546" s="594"/>
      <c r="K546" s="594"/>
      <c r="L546" s="594"/>
      <c r="M546" s="594"/>
      <c r="N546" s="594"/>
      <c r="O546" s="594"/>
      <c r="P546" s="594"/>
      <c r="Q546" s="594"/>
      <c r="R546" s="594"/>
      <c r="S546" s="594"/>
      <c r="T546" s="594"/>
      <c r="U546" s="594"/>
      <c r="V546" s="594"/>
      <c r="W546" s="594"/>
      <c r="X546" s="594"/>
      <c r="Y546" s="594"/>
      <c r="Z546" s="594"/>
    </row>
    <row r="547" spans="1:26" s="203" customFormat="1" x14ac:dyDescent="0.2">
      <c r="A547" s="594"/>
      <c r="B547" s="594"/>
      <c r="C547" s="594"/>
      <c r="D547" s="594"/>
      <c r="E547" s="594"/>
      <c r="F547" s="594"/>
      <c r="G547" s="594"/>
      <c r="H547" s="594"/>
      <c r="I547" s="594"/>
      <c r="J547" s="594"/>
      <c r="K547" s="594"/>
      <c r="L547" s="594"/>
      <c r="M547" s="594"/>
      <c r="N547" s="594"/>
      <c r="O547" s="594"/>
      <c r="P547" s="594"/>
      <c r="Q547" s="594"/>
      <c r="R547" s="594"/>
      <c r="S547" s="594"/>
      <c r="T547" s="594"/>
      <c r="U547" s="594"/>
      <c r="V547" s="594"/>
      <c r="W547" s="594"/>
      <c r="X547" s="594"/>
      <c r="Y547" s="594"/>
      <c r="Z547" s="594"/>
    </row>
    <row r="548" spans="1:26" s="202" customFormat="1" ht="13.5" thickBot="1" x14ac:dyDescent="0.25">
      <c r="A548" s="594"/>
      <c r="B548" s="594"/>
      <c r="C548" s="594"/>
      <c r="D548" s="594"/>
      <c r="E548" s="594"/>
      <c r="F548" s="594"/>
      <c r="G548" s="594"/>
      <c r="H548" s="594"/>
      <c r="I548" s="594"/>
      <c r="J548" s="594"/>
      <c r="K548" s="594"/>
      <c r="L548" s="594"/>
      <c r="M548" s="594"/>
      <c r="N548" s="594"/>
      <c r="O548" s="594"/>
      <c r="P548" s="594"/>
      <c r="Q548" s="594"/>
      <c r="R548" s="594"/>
      <c r="S548" s="594"/>
      <c r="T548" s="594"/>
      <c r="U548" s="594"/>
      <c r="V548" s="594"/>
      <c r="W548" s="594"/>
      <c r="X548" s="594"/>
      <c r="Y548" s="594"/>
      <c r="Z548" s="594"/>
    </row>
    <row r="549" spans="1:26" x14ac:dyDescent="0.2">
      <c r="A549" s="594"/>
      <c r="B549" s="594"/>
      <c r="C549" s="594"/>
      <c r="D549" s="594"/>
      <c r="E549" s="594"/>
      <c r="F549" s="594"/>
      <c r="G549" s="594"/>
      <c r="H549" s="594"/>
      <c r="I549" s="594"/>
      <c r="J549" s="594"/>
      <c r="K549" s="594"/>
      <c r="L549" s="594"/>
      <c r="M549" s="594"/>
      <c r="N549" s="594"/>
      <c r="O549" s="594"/>
      <c r="P549" s="594"/>
      <c r="Q549" s="594"/>
      <c r="R549" s="594"/>
      <c r="S549" s="594"/>
      <c r="T549" s="594"/>
      <c r="U549" s="594"/>
      <c r="V549" s="594"/>
      <c r="W549" s="594"/>
      <c r="X549" s="594"/>
      <c r="Y549" s="594"/>
      <c r="Z549" s="594"/>
    </row>
    <row r="550" spans="1:26" s="203" customFormat="1" x14ac:dyDescent="0.2">
      <c r="A550" s="594"/>
      <c r="B550" s="594"/>
      <c r="C550" s="594"/>
      <c r="D550" s="594"/>
      <c r="E550" s="594"/>
      <c r="F550" s="594"/>
      <c r="G550" s="594"/>
      <c r="H550" s="594"/>
      <c r="I550" s="594"/>
      <c r="J550" s="594"/>
      <c r="K550" s="594"/>
      <c r="L550" s="594"/>
      <c r="M550" s="594"/>
      <c r="N550" s="594"/>
      <c r="O550" s="594"/>
      <c r="P550" s="594"/>
      <c r="Q550" s="594"/>
      <c r="R550" s="594"/>
      <c r="S550" s="594"/>
      <c r="T550" s="594"/>
      <c r="U550" s="594"/>
      <c r="V550" s="594"/>
      <c r="W550" s="594"/>
      <c r="X550" s="594"/>
      <c r="Y550" s="594"/>
      <c r="Z550" s="594"/>
    </row>
    <row r="551" spans="1:26" s="212" customFormat="1" ht="13.5" thickBot="1" x14ac:dyDescent="0.25">
      <c r="A551" s="594"/>
      <c r="B551" s="594"/>
      <c r="C551" s="594"/>
      <c r="D551" s="594"/>
      <c r="E551" s="594"/>
      <c r="F551" s="594"/>
      <c r="G551" s="594"/>
      <c r="H551" s="594"/>
      <c r="I551" s="594"/>
      <c r="J551" s="594"/>
      <c r="K551" s="594"/>
      <c r="L551" s="594"/>
      <c r="M551" s="594"/>
      <c r="N551" s="594"/>
      <c r="O551" s="594"/>
      <c r="P551" s="594"/>
      <c r="Q551" s="594"/>
      <c r="R551" s="594"/>
      <c r="S551" s="594"/>
      <c r="T551" s="594"/>
      <c r="U551" s="594"/>
      <c r="V551" s="594"/>
      <c r="W551" s="594"/>
      <c r="X551" s="594"/>
      <c r="Y551" s="594"/>
      <c r="Z551" s="594"/>
    </row>
    <row r="552" spans="1:26" x14ac:dyDescent="0.2">
      <c r="A552" s="594"/>
      <c r="B552" s="594"/>
      <c r="C552" s="594"/>
      <c r="D552" s="594"/>
      <c r="E552" s="594"/>
      <c r="F552" s="594"/>
      <c r="G552" s="594"/>
      <c r="H552" s="594"/>
      <c r="I552" s="594"/>
      <c r="J552" s="594"/>
      <c r="K552" s="594"/>
      <c r="L552" s="594"/>
      <c r="M552" s="594"/>
      <c r="N552" s="594"/>
      <c r="O552" s="594"/>
      <c r="P552" s="594"/>
      <c r="Q552" s="594"/>
      <c r="R552" s="594"/>
      <c r="S552" s="594"/>
      <c r="T552" s="594"/>
      <c r="U552" s="594"/>
      <c r="V552" s="594"/>
      <c r="W552" s="594"/>
      <c r="X552" s="594"/>
      <c r="Y552" s="594"/>
      <c r="Z552" s="594"/>
    </row>
    <row r="553" spans="1:26" s="203" customFormat="1" x14ac:dyDescent="0.2">
      <c r="A553" s="594"/>
      <c r="B553" s="594"/>
      <c r="C553" s="594"/>
      <c r="D553" s="594"/>
      <c r="E553" s="594"/>
      <c r="F553" s="594"/>
      <c r="G553" s="594"/>
      <c r="H553" s="594"/>
      <c r="I553" s="594"/>
      <c r="J553" s="594"/>
      <c r="K553" s="594"/>
      <c r="L553" s="594"/>
      <c r="M553" s="594"/>
      <c r="N553" s="594"/>
      <c r="O553" s="594"/>
      <c r="P553" s="594"/>
      <c r="Q553" s="594"/>
      <c r="R553" s="594"/>
      <c r="S553" s="594"/>
      <c r="T553" s="594"/>
      <c r="U553" s="594"/>
      <c r="V553" s="594"/>
      <c r="W553" s="594"/>
      <c r="X553" s="594"/>
      <c r="Y553" s="594"/>
      <c r="Z553" s="594"/>
    </row>
    <row r="554" spans="1:26" s="202" customFormat="1" ht="13.5" thickBot="1" x14ac:dyDescent="0.25">
      <c r="A554" s="594"/>
      <c r="B554" s="594"/>
      <c r="C554" s="594"/>
      <c r="D554" s="594"/>
      <c r="E554" s="594"/>
      <c r="F554" s="594"/>
      <c r="G554" s="594"/>
      <c r="H554" s="594"/>
      <c r="I554" s="594"/>
      <c r="J554" s="594"/>
      <c r="K554" s="594"/>
      <c r="L554" s="594"/>
      <c r="M554" s="594"/>
      <c r="N554" s="594"/>
      <c r="O554" s="594"/>
      <c r="P554" s="594"/>
      <c r="Q554" s="594"/>
      <c r="R554" s="594"/>
      <c r="S554" s="594"/>
      <c r="T554" s="594"/>
      <c r="U554" s="594"/>
      <c r="V554" s="594"/>
      <c r="W554" s="594"/>
      <c r="X554" s="594"/>
      <c r="Y554" s="594"/>
      <c r="Z554" s="594"/>
    </row>
    <row r="555" spans="1:26" x14ac:dyDescent="0.2">
      <c r="A555" s="594"/>
      <c r="B555" s="594"/>
      <c r="C555" s="594"/>
      <c r="D555" s="594"/>
      <c r="E555" s="594"/>
      <c r="F555" s="594"/>
      <c r="G555" s="594"/>
      <c r="H555" s="594"/>
      <c r="I555" s="594"/>
      <c r="J555" s="594"/>
      <c r="K555" s="594"/>
      <c r="L555" s="594"/>
      <c r="M555" s="594"/>
      <c r="N555" s="594"/>
      <c r="O555" s="594"/>
      <c r="P555" s="594"/>
      <c r="Q555" s="594"/>
      <c r="R555" s="594"/>
      <c r="S555" s="594"/>
      <c r="T555" s="594"/>
      <c r="U555" s="594"/>
      <c r="V555" s="594"/>
      <c r="W555" s="594"/>
      <c r="X555" s="594"/>
      <c r="Y555" s="594"/>
      <c r="Z555" s="594"/>
    </row>
    <row r="556" spans="1:26" s="203" customFormat="1" x14ac:dyDescent="0.2">
      <c r="A556" s="594"/>
      <c r="B556" s="594"/>
      <c r="C556" s="594"/>
      <c r="D556" s="594"/>
      <c r="E556" s="594"/>
      <c r="F556" s="594"/>
      <c r="G556" s="594"/>
      <c r="H556" s="594"/>
      <c r="I556" s="594"/>
      <c r="J556" s="594"/>
      <c r="K556" s="594"/>
      <c r="L556" s="594"/>
      <c r="M556" s="594"/>
      <c r="N556" s="594"/>
      <c r="O556" s="594"/>
      <c r="P556" s="594"/>
      <c r="Q556" s="594"/>
      <c r="R556" s="594"/>
      <c r="S556" s="594"/>
      <c r="T556" s="594"/>
      <c r="U556" s="594"/>
      <c r="V556" s="594"/>
      <c r="W556" s="594"/>
      <c r="X556" s="594"/>
      <c r="Y556" s="594"/>
      <c r="Z556" s="594"/>
    </row>
    <row r="557" spans="1:26" s="202" customFormat="1" ht="13.5" thickBot="1" x14ac:dyDescent="0.25">
      <c r="A557" s="594"/>
      <c r="B557" s="594"/>
      <c r="C557" s="594"/>
      <c r="D557" s="594"/>
      <c r="E557" s="594"/>
      <c r="F557" s="594"/>
      <c r="G557" s="594"/>
      <c r="H557" s="594"/>
      <c r="I557" s="594"/>
      <c r="J557" s="594"/>
      <c r="K557" s="594"/>
      <c r="L557" s="594"/>
      <c r="M557" s="594"/>
      <c r="N557" s="594"/>
      <c r="O557" s="594"/>
      <c r="P557" s="594"/>
      <c r="Q557" s="594"/>
      <c r="R557" s="594"/>
      <c r="S557" s="594"/>
      <c r="T557" s="594"/>
      <c r="U557" s="594"/>
      <c r="V557" s="594"/>
      <c r="W557" s="594"/>
      <c r="X557" s="594"/>
      <c r="Y557" s="594"/>
      <c r="Z557" s="594"/>
    </row>
    <row r="558" spans="1:26" x14ac:dyDescent="0.2">
      <c r="A558" s="594"/>
      <c r="B558" s="594"/>
      <c r="C558" s="594"/>
      <c r="D558" s="594"/>
      <c r="E558" s="594"/>
      <c r="F558" s="594"/>
      <c r="G558" s="594"/>
      <c r="H558" s="594"/>
      <c r="I558" s="594"/>
      <c r="J558" s="594"/>
      <c r="K558" s="594"/>
      <c r="L558" s="594"/>
      <c r="M558" s="594"/>
      <c r="N558" s="594"/>
      <c r="O558" s="594"/>
      <c r="P558" s="594"/>
      <c r="Q558" s="594"/>
      <c r="R558" s="594"/>
      <c r="S558" s="594"/>
      <c r="T558" s="594"/>
      <c r="U558" s="594"/>
      <c r="V558" s="594"/>
      <c r="W558" s="594"/>
      <c r="X558" s="594"/>
      <c r="Y558" s="594"/>
      <c r="Z558" s="594"/>
    </row>
    <row r="559" spans="1:26" s="203" customFormat="1" x14ac:dyDescent="0.2">
      <c r="A559" s="594"/>
      <c r="B559" s="594"/>
      <c r="C559" s="594"/>
      <c r="D559" s="594"/>
      <c r="E559" s="594"/>
      <c r="F559" s="594"/>
      <c r="G559" s="594"/>
      <c r="H559" s="594"/>
      <c r="I559" s="594"/>
      <c r="J559" s="594"/>
      <c r="K559" s="594"/>
      <c r="L559" s="594"/>
      <c r="M559" s="594"/>
      <c r="N559" s="594"/>
      <c r="O559" s="594"/>
      <c r="P559" s="594"/>
      <c r="Q559" s="594"/>
      <c r="R559" s="594"/>
      <c r="S559" s="594"/>
      <c r="T559" s="594"/>
      <c r="U559" s="594"/>
      <c r="V559" s="594"/>
      <c r="W559" s="594"/>
      <c r="X559" s="594"/>
      <c r="Y559" s="594"/>
      <c r="Z559" s="594"/>
    </row>
    <row r="560" spans="1:26" s="202" customFormat="1" ht="13.5" thickBot="1" x14ac:dyDescent="0.25">
      <c r="A560" s="594"/>
      <c r="B560" s="594"/>
      <c r="C560" s="594"/>
      <c r="D560" s="594"/>
      <c r="E560" s="594"/>
      <c r="F560" s="594"/>
      <c r="G560" s="594"/>
      <c r="H560" s="594"/>
      <c r="I560" s="594"/>
      <c r="J560" s="594"/>
      <c r="K560" s="594"/>
      <c r="L560" s="594"/>
      <c r="M560" s="594"/>
      <c r="N560" s="594"/>
      <c r="O560" s="594"/>
      <c r="P560" s="594"/>
      <c r="Q560" s="594"/>
      <c r="R560" s="594"/>
      <c r="S560" s="594"/>
      <c r="T560" s="594"/>
      <c r="U560" s="594"/>
      <c r="V560" s="594"/>
      <c r="W560" s="594"/>
      <c r="X560" s="594"/>
      <c r="Y560" s="594"/>
      <c r="Z560" s="594"/>
    </row>
    <row r="561" spans="1:26" x14ac:dyDescent="0.2">
      <c r="A561" s="594"/>
      <c r="B561" s="594"/>
      <c r="C561" s="594"/>
      <c r="D561" s="594"/>
      <c r="E561" s="594"/>
      <c r="F561" s="594"/>
      <c r="G561" s="594"/>
      <c r="H561" s="594"/>
      <c r="I561" s="594"/>
      <c r="J561" s="594"/>
      <c r="K561" s="594"/>
      <c r="L561" s="594"/>
      <c r="M561" s="594"/>
      <c r="N561" s="594"/>
      <c r="O561" s="594"/>
      <c r="P561" s="594"/>
      <c r="Q561" s="594"/>
      <c r="R561" s="594"/>
      <c r="S561" s="594"/>
      <c r="T561" s="594"/>
      <c r="U561" s="594"/>
      <c r="V561" s="594"/>
      <c r="W561" s="594"/>
      <c r="X561" s="594"/>
      <c r="Y561" s="594"/>
      <c r="Z561" s="594"/>
    </row>
    <row r="562" spans="1:26" s="203" customFormat="1" x14ac:dyDescent="0.2">
      <c r="A562" s="594"/>
      <c r="B562" s="594"/>
      <c r="C562" s="594"/>
      <c r="D562" s="594"/>
      <c r="E562" s="594"/>
      <c r="F562" s="594"/>
      <c r="G562" s="594"/>
      <c r="H562" s="594"/>
      <c r="I562" s="594"/>
      <c r="J562" s="594"/>
      <c r="K562" s="594"/>
      <c r="L562" s="594"/>
      <c r="M562" s="594"/>
      <c r="N562" s="594"/>
      <c r="O562" s="594"/>
      <c r="P562" s="594"/>
      <c r="Q562" s="594"/>
      <c r="R562" s="594"/>
      <c r="S562" s="594"/>
      <c r="T562" s="594"/>
      <c r="U562" s="594"/>
      <c r="V562" s="594"/>
      <c r="W562" s="594"/>
      <c r="X562" s="594"/>
      <c r="Y562" s="594"/>
      <c r="Z562" s="594"/>
    </row>
    <row r="563" spans="1:26" s="202" customFormat="1" ht="13.5" thickBot="1" x14ac:dyDescent="0.25">
      <c r="A563" s="594"/>
      <c r="B563" s="594"/>
      <c r="C563" s="594"/>
      <c r="D563" s="594"/>
      <c r="E563" s="594"/>
      <c r="F563" s="594"/>
      <c r="G563" s="594"/>
      <c r="H563" s="594"/>
      <c r="I563" s="594"/>
      <c r="J563" s="594"/>
      <c r="K563" s="594"/>
      <c r="L563" s="594"/>
      <c r="M563" s="594"/>
      <c r="N563" s="594"/>
      <c r="O563" s="594"/>
      <c r="P563" s="594"/>
      <c r="Q563" s="594"/>
      <c r="R563" s="594"/>
      <c r="S563" s="594"/>
      <c r="T563" s="594"/>
      <c r="U563" s="594"/>
      <c r="V563" s="594"/>
      <c r="W563" s="594"/>
      <c r="X563" s="594"/>
      <c r="Y563" s="594"/>
      <c r="Z563" s="594"/>
    </row>
    <row r="564" spans="1:26" x14ac:dyDescent="0.2">
      <c r="A564" s="594"/>
      <c r="B564" s="594"/>
      <c r="C564" s="594"/>
      <c r="D564" s="594"/>
      <c r="E564" s="594"/>
      <c r="F564" s="594"/>
      <c r="G564" s="594"/>
      <c r="H564" s="594"/>
      <c r="I564" s="594"/>
      <c r="J564" s="594"/>
      <c r="K564" s="594"/>
      <c r="L564" s="594"/>
      <c r="M564" s="594"/>
      <c r="N564" s="594"/>
      <c r="O564" s="594"/>
      <c r="P564" s="594"/>
      <c r="Q564" s="594"/>
      <c r="R564" s="594"/>
      <c r="S564" s="594"/>
      <c r="T564" s="594"/>
      <c r="U564" s="594"/>
      <c r="V564" s="594"/>
      <c r="W564" s="594"/>
      <c r="X564" s="594"/>
      <c r="Y564" s="594"/>
      <c r="Z564" s="594"/>
    </row>
    <row r="565" spans="1:26" s="203" customFormat="1" x14ac:dyDescent="0.2">
      <c r="A565" s="594"/>
      <c r="B565" s="594"/>
      <c r="C565" s="594"/>
      <c r="D565" s="594"/>
      <c r="E565" s="594"/>
      <c r="F565" s="594"/>
      <c r="G565" s="594"/>
      <c r="H565" s="594"/>
      <c r="I565" s="594"/>
      <c r="J565" s="594"/>
      <c r="K565" s="594"/>
      <c r="L565" s="594"/>
      <c r="M565" s="594"/>
      <c r="N565" s="594"/>
      <c r="O565" s="594"/>
      <c r="P565" s="594"/>
      <c r="Q565" s="594"/>
      <c r="R565" s="594"/>
      <c r="S565" s="594"/>
      <c r="T565" s="594"/>
      <c r="U565" s="594"/>
      <c r="V565" s="594"/>
      <c r="W565" s="594"/>
      <c r="X565" s="594"/>
      <c r="Y565" s="594"/>
      <c r="Z565" s="594"/>
    </row>
    <row r="566" spans="1:26" s="202" customFormat="1" ht="13.5" thickBot="1" x14ac:dyDescent="0.25">
      <c r="A566" s="594"/>
      <c r="B566" s="594"/>
      <c r="C566" s="594"/>
      <c r="D566" s="594"/>
      <c r="E566" s="594"/>
      <c r="F566" s="594"/>
      <c r="G566" s="594"/>
      <c r="H566" s="594"/>
      <c r="I566" s="594"/>
      <c r="J566" s="594"/>
      <c r="K566" s="594"/>
      <c r="L566" s="594"/>
      <c r="M566" s="594"/>
      <c r="N566" s="594"/>
      <c r="O566" s="594"/>
      <c r="P566" s="594"/>
      <c r="Q566" s="594"/>
      <c r="R566" s="594"/>
      <c r="S566" s="594"/>
      <c r="T566" s="594"/>
      <c r="U566" s="594"/>
      <c r="V566" s="594"/>
      <c r="W566" s="594"/>
      <c r="X566" s="594"/>
      <c r="Y566" s="594"/>
      <c r="Z566" s="594"/>
    </row>
    <row r="567" spans="1:26" x14ac:dyDescent="0.2">
      <c r="A567" s="594"/>
      <c r="B567" s="594"/>
      <c r="C567" s="594"/>
      <c r="D567" s="594"/>
      <c r="E567" s="594"/>
      <c r="F567" s="594"/>
      <c r="G567" s="594"/>
      <c r="H567" s="594"/>
      <c r="I567" s="594"/>
      <c r="J567" s="594"/>
      <c r="K567" s="594"/>
      <c r="L567" s="594"/>
      <c r="M567" s="594"/>
      <c r="N567" s="594"/>
      <c r="O567" s="594"/>
      <c r="P567" s="594"/>
      <c r="Q567" s="594"/>
      <c r="R567" s="594"/>
      <c r="S567" s="594"/>
      <c r="T567" s="594"/>
      <c r="U567" s="594"/>
      <c r="V567" s="594"/>
      <c r="W567" s="594"/>
      <c r="X567" s="594"/>
      <c r="Y567" s="594"/>
      <c r="Z567" s="594"/>
    </row>
    <row r="568" spans="1:26" s="203" customFormat="1" x14ac:dyDescent="0.2">
      <c r="A568" s="594"/>
      <c r="B568" s="594"/>
      <c r="C568" s="594"/>
      <c r="D568" s="594"/>
      <c r="E568" s="594"/>
      <c r="F568" s="594"/>
      <c r="G568" s="594"/>
      <c r="H568" s="594"/>
      <c r="I568" s="594"/>
      <c r="J568" s="594"/>
      <c r="K568" s="594"/>
      <c r="L568" s="594"/>
      <c r="M568" s="594"/>
      <c r="N568" s="594"/>
      <c r="O568" s="594"/>
      <c r="P568" s="594"/>
      <c r="Q568" s="594"/>
      <c r="R568" s="594"/>
      <c r="S568" s="594"/>
      <c r="T568" s="594"/>
      <c r="U568" s="594"/>
      <c r="V568" s="594"/>
      <c r="W568" s="594"/>
      <c r="X568" s="594"/>
      <c r="Y568" s="594"/>
      <c r="Z568" s="594"/>
    </row>
    <row r="569" spans="1:26" s="202" customFormat="1" ht="13.5" thickBot="1" x14ac:dyDescent="0.25">
      <c r="A569" s="594"/>
      <c r="B569" s="594"/>
      <c r="C569" s="594"/>
      <c r="D569" s="594"/>
      <c r="E569" s="594"/>
      <c r="F569" s="594"/>
      <c r="G569" s="594"/>
      <c r="H569" s="594"/>
      <c r="I569" s="594"/>
      <c r="J569" s="594"/>
      <c r="K569" s="594"/>
      <c r="L569" s="594"/>
      <c r="M569" s="594"/>
      <c r="N569" s="594"/>
      <c r="O569" s="594"/>
      <c r="P569" s="594"/>
      <c r="Q569" s="594"/>
      <c r="R569" s="594"/>
      <c r="S569" s="594"/>
      <c r="T569" s="594"/>
      <c r="U569" s="594"/>
      <c r="V569" s="594"/>
      <c r="W569" s="594"/>
      <c r="X569" s="594"/>
      <c r="Y569" s="594"/>
      <c r="Z569" s="594"/>
    </row>
    <row r="570" spans="1:26" x14ac:dyDescent="0.2">
      <c r="A570" s="594"/>
      <c r="B570" s="594"/>
      <c r="C570" s="594"/>
      <c r="D570" s="594"/>
      <c r="E570" s="594"/>
      <c r="F570" s="594"/>
      <c r="G570" s="594"/>
      <c r="H570" s="594"/>
      <c r="I570" s="594"/>
      <c r="J570" s="594"/>
      <c r="K570" s="594"/>
      <c r="L570" s="594"/>
      <c r="M570" s="594"/>
      <c r="N570" s="594"/>
      <c r="O570" s="594"/>
      <c r="P570" s="594"/>
      <c r="Q570" s="594"/>
      <c r="R570" s="594"/>
      <c r="S570" s="594"/>
      <c r="T570" s="594"/>
      <c r="U570" s="594"/>
      <c r="V570" s="594"/>
      <c r="W570" s="594"/>
      <c r="X570" s="594"/>
      <c r="Y570" s="594"/>
      <c r="Z570" s="594"/>
    </row>
    <row r="571" spans="1:26" s="203" customFormat="1" x14ac:dyDescent="0.2">
      <c r="A571" s="594"/>
      <c r="B571" s="594"/>
      <c r="C571" s="594"/>
      <c r="D571" s="594"/>
      <c r="E571" s="594"/>
      <c r="F571" s="594"/>
      <c r="G571" s="594"/>
      <c r="H571" s="594"/>
      <c r="I571" s="594"/>
      <c r="J571" s="594"/>
      <c r="K571" s="594"/>
      <c r="L571" s="594"/>
      <c r="M571" s="594"/>
      <c r="N571" s="594"/>
      <c r="O571" s="594"/>
      <c r="P571" s="594"/>
      <c r="Q571" s="594"/>
      <c r="R571" s="594"/>
      <c r="S571" s="594"/>
      <c r="T571" s="594"/>
      <c r="U571" s="594"/>
      <c r="V571" s="594"/>
      <c r="W571" s="594"/>
      <c r="X571" s="594"/>
      <c r="Y571" s="594"/>
      <c r="Z571" s="594"/>
    </row>
    <row r="572" spans="1:26" s="202" customFormat="1" ht="13.5" thickBot="1" x14ac:dyDescent="0.25">
      <c r="A572" s="594"/>
      <c r="B572" s="594"/>
      <c r="C572" s="594"/>
      <c r="D572" s="594"/>
      <c r="E572" s="594"/>
      <c r="F572" s="594"/>
      <c r="G572" s="594"/>
      <c r="H572" s="594"/>
      <c r="I572" s="594"/>
      <c r="J572" s="594"/>
      <c r="K572" s="594"/>
      <c r="L572" s="594"/>
      <c r="M572" s="594"/>
      <c r="N572" s="594"/>
      <c r="O572" s="594"/>
      <c r="P572" s="594"/>
      <c r="Q572" s="594"/>
      <c r="R572" s="594"/>
      <c r="S572" s="594"/>
      <c r="T572" s="594"/>
      <c r="U572" s="594"/>
      <c r="V572" s="594"/>
      <c r="W572" s="594"/>
      <c r="X572" s="594"/>
      <c r="Y572" s="594"/>
      <c r="Z572" s="594"/>
    </row>
    <row r="573" spans="1:26" ht="13.5" thickBot="1" x14ac:dyDescent="0.25">
      <c r="A573" s="594"/>
      <c r="B573" s="594"/>
      <c r="C573" s="594"/>
      <c r="D573" s="594"/>
      <c r="E573" s="594"/>
      <c r="F573" s="594"/>
      <c r="G573" s="594"/>
      <c r="H573" s="594"/>
      <c r="I573" s="594"/>
      <c r="J573" s="594"/>
      <c r="K573" s="594"/>
      <c r="L573" s="594"/>
      <c r="M573" s="594"/>
      <c r="N573" s="594"/>
      <c r="O573" s="594"/>
      <c r="P573" s="594"/>
      <c r="Q573" s="594"/>
      <c r="R573" s="594"/>
      <c r="S573" s="594"/>
      <c r="T573" s="594"/>
      <c r="U573" s="594"/>
      <c r="V573" s="594"/>
      <c r="W573" s="594"/>
      <c r="X573" s="594"/>
      <c r="Y573" s="594"/>
      <c r="Z573" s="594"/>
    </row>
    <row r="574" spans="1:26" s="203" customFormat="1" x14ac:dyDescent="0.2">
      <c r="A574" s="594"/>
      <c r="B574" s="594"/>
      <c r="C574" s="594"/>
      <c r="D574" s="594"/>
      <c r="E574" s="594"/>
      <c r="F574" s="594"/>
      <c r="G574" s="594"/>
      <c r="H574" s="594"/>
      <c r="I574" s="594"/>
      <c r="J574" s="594"/>
      <c r="K574" s="594"/>
      <c r="L574" s="594"/>
      <c r="M574" s="594"/>
      <c r="N574" s="594"/>
      <c r="O574" s="594"/>
      <c r="P574" s="594"/>
      <c r="Q574" s="594"/>
      <c r="R574" s="594"/>
      <c r="S574" s="594"/>
      <c r="T574" s="594"/>
      <c r="U574" s="594"/>
      <c r="V574" s="594"/>
      <c r="W574" s="594"/>
      <c r="X574" s="594"/>
      <c r="Y574" s="594"/>
      <c r="Z574" s="594"/>
    </row>
    <row r="575" spans="1:26" s="202" customFormat="1" x14ac:dyDescent="0.2">
      <c r="A575" s="594"/>
      <c r="B575" s="594"/>
      <c r="C575" s="594"/>
      <c r="D575" s="594"/>
      <c r="E575" s="594"/>
      <c r="F575" s="594"/>
      <c r="G575" s="594"/>
      <c r="H575" s="594"/>
      <c r="I575" s="594"/>
      <c r="J575" s="594"/>
      <c r="K575" s="594"/>
      <c r="L575" s="594"/>
      <c r="M575" s="594"/>
      <c r="N575" s="594"/>
      <c r="O575" s="594"/>
      <c r="P575" s="594"/>
      <c r="Q575" s="594"/>
      <c r="R575" s="594"/>
      <c r="S575" s="594"/>
      <c r="T575" s="594"/>
      <c r="U575" s="594"/>
      <c r="V575" s="594"/>
      <c r="W575" s="594"/>
      <c r="X575" s="594"/>
      <c r="Y575" s="594"/>
      <c r="Z575" s="594"/>
    </row>
    <row r="576" spans="1:26" ht="13.5" thickBot="1" x14ac:dyDescent="0.25">
      <c r="A576" s="594"/>
      <c r="B576" s="594"/>
      <c r="C576" s="594"/>
      <c r="D576" s="594"/>
      <c r="E576" s="594"/>
      <c r="F576" s="594"/>
      <c r="G576" s="594"/>
      <c r="H576" s="594"/>
      <c r="I576" s="594"/>
      <c r="J576" s="594"/>
      <c r="K576" s="594"/>
      <c r="L576" s="594"/>
      <c r="M576" s="594"/>
      <c r="N576" s="594"/>
      <c r="O576" s="594"/>
      <c r="P576" s="594"/>
      <c r="Q576" s="594"/>
      <c r="R576" s="594"/>
      <c r="S576" s="594"/>
      <c r="T576" s="594"/>
      <c r="U576" s="594"/>
      <c r="V576" s="594"/>
      <c r="W576" s="594"/>
      <c r="X576" s="594"/>
      <c r="Y576" s="594"/>
      <c r="Z576" s="594"/>
    </row>
    <row r="577" spans="1:26" s="203" customFormat="1" x14ac:dyDescent="0.2">
      <c r="A577" s="594"/>
      <c r="B577" s="594"/>
      <c r="C577" s="594"/>
      <c r="D577" s="594"/>
      <c r="E577" s="594"/>
      <c r="F577" s="594"/>
      <c r="G577" s="594"/>
      <c r="H577" s="594"/>
      <c r="I577" s="594"/>
      <c r="J577" s="594"/>
      <c r="K577" s="594"/>
      <c r="L577" s="594"/>
      <c r="M577" s="594"/>
      <c r="N577" s="594"/>
      <c r="O577" s="594"/>
      <c r="P577" s="594"/>
      <c r="Q577" s="594"/>
      <c r="R577" s="594"/>
      <c r="S577" s="594"/>
      <c r="T577" s="594"/>
      <c r="U577" s="594"/>
      <c r="V577" s="594"/>
      <c r="W577" s="594"/>
      <c r="X577" s="594"/>
      <c r="Y577" s="594"/>
      <c r="Z577" s="594"/>
    </row>
    <row r="578" spans="1:26" s="202" customFormat="1" x14ac:dyDescent="0.2">
      <c r="A578" s="594"/>
      <c r="B578" s="594"/>
      <c r="C578" s="594"/>
      <c r="D578" s="594"/>
      <c r="E578" s="594"/>
      <c r="F578" s="594"/>
      <c r="G578" s="594"/>
      <c r="H578" s="594"/>
      <c r="I578" s="594"/>
      <c r="J578" s="594"/>
      <c r="K578" s="594"/>
      <c r="L578" s="594"/>
      <c r="M578" s="594"/>
      <c r="N578" s="594"/>
      <c r="O578" s="594"/>
      <c r="P578" s="594"/>
      <c r="Q578" s="594"/>
      <c r="R578" s="594"/>
      <c r="S578" s="594"/>
      <c r="T578" s="594"/>
      <c r="U578" s="594"/>
      <c r="V578" s="594"/>
      <c r="W578" s="594"/>
      <c r="X578" s="594"/>
      <c r="Y578" s="594"/>
      <c r="Z578" s="594"/>
    </row>
    <row r="579" spans="1:26" ht="13.5" thickBot="1" x14ac:dyDescent="0.25">
      <c r="A579" s="594"/>
      <c r="B579" s="594"/>
      <c r="C579" s="594"/>
      <c r="D579" s="594"/>
      <c r="E579" s="594"/>
      <c r="F579" s="594"/>
      <c r="G579" s="594"/>
      <c r="H579" s="594"/>
      <c r="I579" s="594"/>
      <c r="J579" s="594"/>
      <c r="K579" s="594"/>
      <c r="L579" s="594"/>
      <c r="M579" s="594"/>
      <c r="N579" s="594"/>
      <c r="O579" s="594"/>
      <c r="P579" s="594"/>
      <c r="Q579" s="594"/>
      <c r="R579" s="594"/>
      <c r="S579" s="594"/>
      <c r="T579" s="594"/>
      <c r="U579" s="594"/>
      <c r="V579" s="594"/>
      <c r="W579" s="594"/>
      <c r="X579" s="594"/>
      <c r="Y579" s="594"/>
      <c r="Z579" s="594"/>
    </row>
    <row r="580" spans="1:26" s="203" customFormat="1" x14ac:dyDescent="0.2">
      <c r="A580" s="594"/>
      <c r="B580" s="594"/>
      <c r="C580" s="594"/>
      <c r="D580" s="594"/>
      <c r="E580" s="594"/>
      <c r="F580" s="594"/>
      <c r="G580" s="594"/>
      <c r="H580" s="594"/>
      <c r="I580" s="594"/>
      <c r="J580" s="594"/>
      <c r="K580" s="594"/>
      <c r="L580" s="594"/>
      <c r="M580" s="594"/>
      <c r="N580" s="594"/>
      <c r="O580" s="594"/>
      <c r="P580" s="594"/>
      <c r="Q580" s="594"/>
      <c r="R580" s="594"/>
      <c r="S580" s="594"/>
      <c r="T580" s="594"/>
      <c r="U580" s="594"/>
      <c r="V580" s="594"/>
      <c r="W580" s="594"/>
      <c r="X580" s="594"/>
      <c r="Y580" s="594"/>
      <c r="Z580" s="594"/>
    </row>
    <row r="581" spans="1:26" s="202" customFormat="1" ht="13.5" thickBot="1" x14ac:dyDescent="0.25">
      <c r="A581" s="594"/>
      <c r="B581" s="594"/>
      <c r="C581" s="594"/>
      <c r="D581" s="594"/>
      <c r="E581" s="594"/>
      <c r="F581" s="594"/>
      <c r="G581" s="594"/>
      <c r="H581" s="594"/>
      <c r="I581" s="594"/>
      <c r="J581" s="594"/>
      <c r="K581" s="594"/>
      <c r="L581" s="594"/>
      <c r="M581" s="594"/>
      <c r="N581" s="594"/>
      <c r="O581" s="594"/>
      <c r="P581" s="594"/>
      <c r="Q581" s="594"/>
      <c r="R581" s="594"/>
      <c r="S581" s="594"/>
      <c r="T581" s="594"/>
      <c r="U581" s="594"/>
      <c r="V581" s="594"/>
      <c r="W581" s="594"/>
      <c r="X581" s="594"/>
      <c r="Y581" s="594"/>
      <c r="Z581" s="594"/>
    </row>
    <row r="582" spans="1:26" x14ac:dyDescent="0.2">
      <c r="A582" s="594"/>
      <c r="B582" s="594"/>
      <c r="C582" s="594"/>
      <c r="D582" s="594"/>
      <c r="E582" s="594"/>
      <c r="F582" s="594"/>
      <c r="G582" s="594"/>
      <c r="H582" s="594"/>
      <c r="I582" s="594"/>
      <c r="J582" s="594"/>
      <c r="K582" s="594"/>
      <c r="L582" s="594"/>
      <c r="M582" s="594"/>
      <c r="N582" s="594"/>
      <c r="O582" s="594"/>
      <c r="P582" s="594"/>
      <c r="Q582" s="594"/>
      <c r="R582" s="594"/>
      <c r="S582" s="594"/>
      <c r="T582" s="594"/>
      <c r="U582" s="594"/>
      <c r="V582" s="594"/>
      <c r="W582" s="594"/>
      <c r="X582" s="594"/>
      <c r="Y582" s="594"/>
      <c r="Z582" s="594"/>
    </row>
    <row r="583" spans="1:26" s="203" customFormat="1" x14ac:dyDescent="0.2">
      <c r="A583" s="594"/>
      <c r="B583" s="594"/>
      <c r="C583" s="594"/>
      <c r="D583" s="594"/>
      <c r="E583" s="594"/>
      <c r="F583" s="594"/>
      <c r="G583" s="594"/>
      <c r="H583" s="594"/>
      <c r="I583" s="594"/>
      <c r="J583" s="594"/>
      <c r="K583" s="594"/>
      <c r="L583" s="594"/>
      <c r="M583" s="594"/>
      <c r="N583" s="594"/>
      <c r="O583" s="594"/>
      <c r="P583" s="594"/>
      <c r="Q583" s="594"/>
      <c r="R583" s="594"/>
      <c r="S583" s="594"/>
      <c r="T583" s="594"/>
      <c r="U583" s="594"/>
      <c r="V583" s="594"/>
      <c r="W583" s="594"/>
      <c r="X583" s="594"/>
      <c r="Y583" s="594"/>
      <c r="Z583" s="594"/>
    </row>
    <row r="584" spans="1:26" s="202" customFormat="1" ht="13.5" thickBot="1" x14ac:dyDescent="0.25">
      <c r="A584" s="594"/>
      <c r="B584" s="594"/>
      <c r="C584" s="594"/>
      <c r="D584" s="594"/>
      <c r="E584" s="594"/>
      <c r="F584" s="594"/>
      <c r="G584" s="594"/>
      <c r="H584" s="594"/>
      <c r="I584" s="594"/>
      <c r="J584" s="594"/>
      <c r="K584" s="594"/>
      <c r="L584" s="594"/>
      <c r="M584" s="594"/>
      <c r="N584" s="594"/>
      <c r="O584" s="594"/>
      <c r="P584" s="594"/>
      <c r="Q584" s="594"/>
      <c r="R584" s="594"/>
      <c r="S584" s="594"/>
      <c r="T584" s="594"/>
      <c r="U584" s="594"/>
      <c r="V584" s="594"/>
      <c r="W584" s="594"/>
      <c r="X584" s="594"/>
      <c r="Y584" s="594"/>
      <c r="Z584" s="594"/>
    </row>
    <row r="585" spans="1:26" x14ac:dyDescent="0.2">
      <c r="A585" s="594"/>
      <c r="B585" s="594"/>
      <c r="C585" s="594"/>
      <c r="D585" s="594"/>
      <c r="E585" s="594"/>
      <c r="F585" s="594"/>
      <c r="G585" s="594"/>
      <c r="H585" s="594"/>
      <c r="I585" s="594"/>
      <c r="J585" s="594"/>
      <c r="K585" s="594"/>
      <c r="L585" s="594"/>
      <c r="M585" s="594"/>
      <c r="N585" s="594"/>
      <c r="O585" s="594"/>
      <c r="P585" s="594"/>
      <c r="Q585" s="594"/>
      <c r="R585" s="594"/>
      <c r="S585" s="594"/>
      <c r="T585" s="594"/>
      <c r="U585" s="594"/>
      <c r="V585" s="594"/>
      <c r="W585" s="594"/>
      <c r="X585" s="594"/>
      <c r="Y585" s="594"/>
      <c r="Z585" s="594"/>
    </row>
    <row r="586" spans="1:26" s="203" customFormat="1" x14ac:dyDescent="0.2">
      <c r="A586" s="594"/>
      <c r="B586" s="594"/>
      <c r="C586" s="594"/>
      <c r="D586" s="594"/>
      <c r="E586" s="594"/>
      <c r="F586" s="594"/>
      <c r="G586" s="594"/>
      <c r="H586" s="594"/>
      <c r="I586" s="594"/>
      <c r="J586" s="594"/>
      <c r="K586" s="594"/>
      <c r="L586" s="594"/>
      <c r="M586" s="594"/>
      <c r="N586" s="594"/>
      <c r="O586" s="594"/>
      <c r="P586" s="594"/>
      <c r="Q586" s="594"/>
      <c r="R586" s="594"/>
      <c r="S586" s="594"/>
      <c r="T586" s="594"/>
      <c r="U586" s="594"/>
      <c r="V586" s="594"/>
      <c r="W586" s="594"/>
      <c r="X586" s="594"/>
      <c r="Y586" s="594"/>
      <c r="Z586" s="594"/>
    </row>
    <row r="587" spans="1:26" s="202" customFormat="1" ht="13.5" thickBot="1" x14ac:dyDescent="0.25">
      <c r="A587" s="594"/>
      <c r="B587" s="594"/>
      <c r="C587" s="594"/>
      <c r="D587" s="594"/>
      <c r="E587" s="594"/>
      <c r="F587" s="594"/>
      <c r="G587" s="594"/>
      <c r="H587" s="594"/>
      <c r="I587" s="594"/>
      <c r="J587" s="594"/>
      <c r="K587" s="594"/>
      <c r="L587" s="594"/>
      <c r="M587" s="594"/>
      <c r="N587" s="594"/>
      <c r="O587" s="594"/>
      <c r="P587" s="594"/>
      <c r="Q587" s="594"/>
      <c r="R587" s="594"/>
      <c r="S587" s="594"/>
      <c r="T587" s="594"/>
      <c r="U587" s="594"/>
      <c r="V587" s="594"/>
      <c r="W587" s="594"/>
      <c r="X587" s="594"/>
      <c r="Y587" s="594"/>
      <c r="Z587" s="594"/>
    </row>
    <row r="588" spans="1:26" x14ac:dyDescent="0.2">
      <c r="A588" s="594"/>
      <c r="B588" s="594"/>
      <c r="C588" s="594"/>
      <c r="D588" s="594"/>
      <c r="E588" s="594"/>
      <c r="F588" s="594"/>
      <c r="G588" s="594"/>
      <c r="H588" s="594"/>
      <c r="I588" s="594"/>
      <c r="J588" s="594"/>
      <c r="K588" s="594"/>
      <c r="L588" s="594"/>
      <c r="M588" s="594"/>
      <c r="N588" s="594"/>
      <c r="O588" s="594"/>
      <c r="P588" s="594"/>
      <c r="Q588" s="594"/>
      <c r="R588" s="594"/>
      <c r="S588" s="594"/>
      <c r="T588" s="594"/>
      <c r="U588" s="594"/>
      <c r="V588" s="594"/>
      <c r="W588" s="594"/>
      <c r="X588" s="594"/>
      <c r="Y588" s="594"/>
      <c r="Z588" s="594"/>
    </row>
    <row r="589" spans="1:26" s="203" customFormat="1" ht="13.5" thickBot="1" x14ac:dyDescent="0.25">
      <c r="A589" s="594"/>
      <c r="B589" s="594"/>
      <c r="C589" s="594"/>
      <c r="D589" s="594"/>
      <c r="E589" s="594"/>
      <c r="F589" s="594"/>
      <c r="G589" s="594"/>
      <c r="H589" s="594"/>
      <c r="I589" s="594"/>
      <c r="J589" s="594"/>
      <c r="K589" s="594"/>
      <c r="L589" s="594"/>
      <c r="M589" s="594"/>
      <c r="N589" s="594"/>
      <c r="O589" s="594"/>
      <c r="P589" s="594"/>
      <c r="Q589" s="594"/>
      <c r="R589" s="594"/>
      <c r="S589" s="594"/>
      <c r="T589" s="594"/>
      <c r="U589" s="594"/>
      <c r="V589" s="594"/>
      <c r="W589" s="594"/>
      <c r="X589" s="594"/>
      <c r="Y589" s="594"/>
      <c r="Z589" s="594"/>
    </row>
    <row r="590" spans="1:26" s="212" customFormat="1" x14ac:dyDescent="0.2">
      <c r="A590" s="594"/>
      <c r="B590" s="594"/>
      <c r="C590" s="594"/>
      <c r="D590" s="594"/>
      <c r="E590" s="594"/>
      <c r="F590" s="594"/>
      <c r="G590" s="594"/>
      <c r="H590" s="594"/>
      <c r="I590" s="594"/>
      <c r="J590" s="594"/>
      <c r="K590" s="594"/>
      <c r="L590" s="594"/>
      <c r="M590" s="594"/>
      <c r="N590" s="594"/>
      <c r="O590" s="594"/>
      <c r="P590" s="594"/>
      <c r="Q590" s="594"/>
      <c r="R590" s="594"/>
      <c r="S590" s="594"/>
      <c r="T590" s="594"/>
      <c r="U590" s="594"/>
      <c r="V590" s="594"/>
      <c r="W590" s="594"/>
      <c r="X590" s="594"/>
      <c r="Y590" s="594"/>
      <c r="Z590" s="594"/>
    </row>
    <row r="591" spans="1:26" x14ac:dyDescent="0.2">
      <c r="A591" s="594"/>
      <c r="B591" s="594"/>
      <c r="C591" s="594"/>
      <c r="D591" s="594"/>
      <c r="E591" s="594"/>
      <c r="F591" s="594"/>
      <c r="G591" s="594"/>
      <c r="H591" s="594"/>
      <c r="I591" s="594"/>
      <c r="J591" s="594"/>
      <c r="K591" s="594"/>
      <c r="L591" s="594"/>
      <c r="M591" s="594"/>
      <c r="N591" s="594"/>
      <c r="O591" s="594"/>
      <c r="P591" s="594"/>
      <c r="Q591" s="594"/>
      <c r="R591" s="594"/>
      <c r="S591" s="594"/>
      <c r="T591" s="594"/>
      <c r="U591" s="594"/>
      <c r="V591" s="594"/>
      <c r="W591" s="594"/>
      <c r="X591" s="594"/>
      <c r="Y591" s="594"/>
      <c r="Z591" s="594"/>
    </row>
    <row r="592" spans="1:26" s="203" customFormat="1" ht="13.5" thickBot="1" x14ac:dyDescent="0.25">
      <c r="A592" s="594"/>
      <c r="B592" s="594"/>
      <c r="C592" s="594"/>
      <c r="D592" s="594"/>
      <c r="E592" s="594"/>
      <c r="F592" s="594"/>
      <c r="G592" s="594"/>
      <c r="H592" s="594"/>
      <c r="I592" s="594"/>
      <c r="J592" s="594"/>
      <c r="K592" s="594"/>
      <c r="L592" s="594"/>
      <c r="M592" s="594"/>
      <c r="N592" s="594"/>
      <c r="O592" s="594"/>
      <c r="P592" s="594"/>
      <c r="Q592" s="594"/>
      <c r="R592" s="594"/>
      <c r="S592" s="594"/>
      <c r="T592" s="594"/>
      <c r="U592" s="594"/>
      <c r="V592" s="594"/>
      <c r="W592" s="594"/>
      <c r="X592" s="594"/>
      <c r="Y592" s="594"/>
      <c r="Z592" s="594"/>
    </row>
    <row r="593" spans="1:26" s="202" customFormat="1" x14ac:dyDescent="0.2">
      <c r="A593" s="594"/>
      <c r="B593" s="594"/>
      <c r="C593" s="594"/>
      <c r="D593" s="594"/>
      <c r="E593" s="594"/>
      <c r="F593" s="594"/>
      <c r="G593" s="594"/>
      <c r="H593" s="594"/>
      <c r="I593" s="594"/>
      <c r="J593" s="594"/>
      <c r="K593" s="594"/>
      <c r="L593" s="594"/>
      <c r="M593" s="594"/>
      <c r="N593" s="594"/>
      <c r="O593" s="594"/>
      <c r="P593" s="594"/>
      <c r="Q593" s="594"/>
      <c r="R593" s="594"/>
      <c r="S593" s="594"/>
      <c r="T593" s="594"/>
      <c r="U593" s="594"/>
      <c r="V593" s="594"/>
      <c r="W593" s="594"/>
      <c r="X593" s="594"/>
      <c r="Y593" s="594"/>
      <c r="Z593" s="594"/>
    </row>
    <row r="594" spans="1:26" x14ac:dyDescent="0.2">
      <c r="A594" s="594"/>
      <c r="B594" s="594"/>
      <c r="C594" s="594"/>
      <c r="D594" s="594"/>
      <c r="E594" s="594"/>
      <c r="F594" s="594"/>
      <c r="G594" s="594"/>
      <c r="H594" s="594"/>
      <c r="I594" s="594"/>
      <c r="J594" s="594"/>
      <c r="K594" s="594"/>
      <c r="L594" s="594"/>
      <c r="M594" s="594"/>
      <c r="N594" s="594"/>
      <c r="O594" s="594"/>
      <c r="P594" s="594"/>
      <c r="Q594" s="594"/>
      <c r="R594" s="594"/>
      <c r="S594" s="594"/>
      <c r="T594" s="594"/>
      <c r="U594" s="594"/>
      <c r="V594" s="594"/>
      <c r="W594" s="594"/>
      <c r="X594" s="594"/>
      <c r="Y594" s="594"/>
      <c r="Z594" s="594"/>
    </row>
    <row r="595" spans="1:26" s="203" customFormat="1" ht="13.5" thickBot="1" x14ac:dyDescent="0.25">
      <c r="A595" s="594"/>
      <c r="B595" s="594"/>
      <c r="C595" s="594"/>
      <c r="D595" s="594"/>
      <c r="E595" s="594"/>
      <c r="F595" s="594"/>
      <c r="G595" s="594"/>
      <c r="H595" s="594"/>
      <c r="I595" s="594"/>
      <c r="J595" s="594"/>
      <c r="K595" s="594"/>
      <c r="L595" s="594"/>
      <c r="M595" s="594"/>
      <c r="N595" s="594"/>
      <c r="O595" s="594"/>
      <c r="P595" s="594"/>
      <c r="Q595" s="594"/>
      <c r="R595" s="594"/>
      <c r="S595" s="594"/>
      <c r="T595" s="594"/>
      <c r="U595" s="594"/>
      <c r="V595" s="594"/>
      <c r="W595" s="594"/>
      <c r="X595" s="594"/>
      <c r="Y595" s="594"/>
      <c r="Z595" s="594"/>
    </row>
    <row r="596" spans="1:26" s="202" customFormat="1" x14ac:dyDescent="0.2">
      <c r="A596" s="594"/>
      <c r="B596" s="594"/>
      <c r="C596" s="594"/>
      <c r="D596" s="594"/>
      <c r="E596" s="594"/>
      <c r="F596" s="594"/>
      <c r="G596" s="594"/>
      <c r="H596" s="594"/>
      <c r="I596" s="594"/>
      <c r="J596" s="594"/>
      <c r="K596" s="594"/>
      <c r="L596" s="594"/>
      <c r="M596" s="594"/>
      <c r="N596" s="594"/>
      <c r="O596" s="594"/>
      <c r="P596" s="594"/>
      <c r="Q596" s="594"/>
      <c r="R596" s="594"/>
      <c r="S596" s="594"/>
      <c r="T596" s="594"/>
      <c r="U596" s="594"/>
      <c r="V596" s="594"/>
      <c r="W596" s="594"/>
      <c r="X596" s="594"/>
      <c r="Y596" s="594"/>
      <c r="Z596" s="594"/>
    </row>
    <row r="597" spans="1:26" x14ac:dyDescent="0.2">
      <c r="A597" s="594"/>
      <c r="B597" s="594"/>
      <c r="C597" s="594"/>
      <c r="D597" s="594"/>
      <c r="E597" s="594"/>
      <c r="F597" s="594"/>
      <c r="G597" s="594"/>
      <c r="H597" s="594"/>
      <c r="I597" s="594"/>
      <c r="J597" s="594"/>
      <c r="K597" s="594"/>
      <c r="L597" s="594"/>
      <c r="M597" s="594"/>
      <c r="N597" s="594"/>
      <c r="O597" s="594"/>
      <c r="P597" s="594"/>
      <c r="Q597" s="594"/>
      <c r="R597" s="594"/>
      <c r="S597" s="594"/>
      <c r="T597" s="594"/>
      <c r="U597" s="594"/>
      <c r="V597" s="594"/>
      <c r="W597" s="594"/>
      <c r="X597" s="594"/>
      <c r="Y597" s="594"/>
      <c r="Z597" s="594"/>
    </row>
    <row r="598" spans="1:26" s="203" customFormat="1" x14ac:dyDescent="0.2">
      <c r="A598" s="594"/>
      <c r="B598" s="594"/>
      <c r="C598" s="594"/>
      <c r="D598" s="594"/>
      <c r="E598" s="594"/>
      <c r="F598" s="594"/>
      <c r="G598" s="594"/>
      <c r="H598" s="594"/>
      <c r="I598" s="594"/>
      <c r="J598" s="594"/>
      <c r="K598" s="594"/>
      <c r="L598" s="594"/>
      <c r="M598" s="594"/>
      <c r="N598" s="594"/>
      <c r="O598" s="594"/>
      <c r="P598" s="594"/>
      <c r="Q598" s="594"/>
      <c r="R598" s="594"/>
      <c r="S598" s="594"/>
      <c r="T598" s="594"/>
      <c r="U598" s="594"/>
      <c r="V598" s="594"/>
      <c r="W598" s="594"/>
      <c r="X598" s="594"/>
      <c r="Y598" s="594"/>
      <c r="Z598" s="594"/>
    </row>
    <row r="599" spans="1:26" s="202" customFormat="1" ht="13.5" thickBot="1" x14ac:dyDescent="0.25">
      <c r="A599" s="594"/>
      <c r="B599" s="594"/>
      <c r="C599" s="594"/>
      <c r="D599" s="594"/>
      <c r="E599" s="594"/>
      <c r="F599" s="594"/>
      <c r="G599" s="594"/>
      <c r="H599" s="594"/>
      <c r="I599" s="594"/>
      <c r="J599" s="594"/>
      <c r="K599" s="594"/>
      <c r="L599" s="594"/>
      <c r="M599" s="594"/>
      <c r="N599" s="594"/>
      <c r="O599" s="594"/>
      <c r="P599" s="594"/>
      <c r="Q599" s="594"/>
      <c r="R599" s="594"/>
      <c r="S599" s="594"/>
      <c r="T599" s="594"/>
      <c r="U599" s="594"/>
      <c r="V599" s="594"/>
      <c r="W599" s="594"/>
      <c r="X599" s="594"/>
      <c r="Y599" s="594"/>
      <c r="Z599" s="594"/>
    </row>
    <row r="600" spans="1:26" x14ac:dyDescent="0.2">
      <c r="A600" s="594"/>
      <c r="B600" s="594"/>
      <c r="C600" s="594"/>
      <c r="D600" s="594"/>
      <c r="E600" s="594"/>
      <c r="F600" s="594"/>
      <c r="G600" s="594"/>
      <c r="H600" s="594"/>
      <c r="I600" s="594"/>
      <c r="J600" s="594"/>
      <c r="K600" s="594"/>
      <c r="L600" s="594"/>
      <c r="M600" s="594"/>
      <c r="N600" s="594"/>
      <c r="O600" s="594"/>
      <c r="P600" s="594"/>
      <c r="Q600" s="594"/>
      <c r="R600" s="594"/>
      <c r="S600" s="594"/>
      <c r="T600" s="594"/>
      <c r="U600" s="594"/>
      <c r="V600" s="594"/>
      <c r="W600" s="594"/>
      <c r="X600" s="594"/>
      <c r="Y600" s="594"/>
      <c r="Z600" s="594"/>
    </row>
    <row r="601" spans="1:26" s="203" customFormat="1" x14ac:dyDescent="0.2">
      <c r="A601" s="594"/>
      <c r="B601" s="594"/>
      <c r="C601" s="594"/>
      <c r="D601" s="594"/>
      <c r="E601" s="594"/>
      <c r="F601" s="594"/>
      <c r="G601" s="594"/>
      <c r="H601" s="594"/>
      <c r="I601" s="594"/>
      <c r="J601" s="594"/>
      <c r="K601" s="594"/>
      <c r="L601" s="594"/>
      <c r="M601" s="594"/>
      <c r="N601" s="594"/>
      <c r="O601" s="594"/>
      <c r="P601" s="594"/>
      <c r="Q601" s="594"/>
      <c r="R601" s="594"/>
      <c r="S601" s="594"/>
      <c r="T601" s="594"/>
      <c r="U601" s="594"/>
      <c r="V601" s="594"/>
      <c r="W601" s="594"/>
      <c r="X601" s="594"/>
      <c r="Y601" s="594"/>
      <c r="Z601" s="594"/>
    </row>
    <row r="602" spans="1:26" s="202" customFormat="1" ht="13.5" thickBot="1" x14ac:dyDescent="0.25">
      <c r="A602" s="594"/>
      <c r="B602" s="594"/>
      <c r="C602" s="594"/>
      <c r="D602" s="594"/>
      <c r="E602" s="594"/>
      <c r="F602" s="594"/>
      <c r="G602" s="594"/>
      <c r="H602" s="594"/>
      <c r="I602" s="594"/>
      <c r="J602" s="594"/>
      <c r="K602" s="594"/>
      <c r="L602" s="594"/>
      <c r="M602" s="594"/>
      <c r="N602" s="594"/>
      <c r="O602" s="594"/>
      <c r="P602" s="594"/>
      <c r="Q602" s="594"/>
      <c r="R602" s="594"/>
      <c r="S602" s="594"/>
      <c r="T602" s="594"/>
      <c r="U602" s="594"/>
      <c r="V602" s="594"/>
      <c r="W602" s="594"/>
      <c r="X602" s="594"/>
      <c r="Y602" s="594"/>
      <c r="Z602" s="594"/>
    </row>
    <row r="603" spans="1:26" x14ac:dyDescent="0.2">
      <c r="A603" s="594"/>
      <c r="B603" s="594"/>
      <c r="C603" s="594"/>
      <c r="D603" s="594"/>
      <c r="E603" s="594"/>
      <c r="F603" s="594"/>
      <c r="G603" s="594"/>
      <c r="H603" s="594"/>
      <c r="I603" s="594"/>
      <c r="J603" s="594"/>
      <c r="K603" s="594"/>
      <c r="L603" s="594"/>
      <c r="M603" s="594"/>
      <c r="N603" s="594"/>
      <c r="O603" s="594"/>
      <c r="P603" s="594"/>
      <c r="Q603" s="594"/>
      <c r="R603" s="594"/>
      <c r="S603" s="594"/>
      <c r="T603" s="594"/>
      <c r="U603" s="594"/>
      <c r="V603" s="594"/>
      <c r="W603" s="594"/>
      <c r="X603" s="594"/>
      <c r="Y603" s="594"/>
      <c r="Z603" s="594"/>
    </row>
    <row r="604" spans="1:26" s="203" customFormat="1" x14ac:dyDescent="0.2">
      <c r="A604" s="594"/>
      <c r="B604" s="594"/>
      <c r="C604" s="594"/>
      <c r="D604" s="594"/>
      <c r="E604" s="594"/>
      <c r="F604" s="594"/>
      <c r="G604" s="594"/>
      <c r="H604" s="594"/>
      <c r="I604" s="594"/>
      <c r="J604" s="594"/>
      <c r="K604" s="594"/>
      <c r="L604" s="594"/>
      <c r="M604" s="594"/>
      <c r="N604" s="594"/>
      <c r="O604" s="594"/>
      <c r="P604" s="594"/>
      <c r="Q604" s="594"/>
      <c r="R604" s="594"/>
      <c r="S604" s="594"/>
      <c r="T604" s="594"/>
      <c r="U604" s="594"/>
      <c r="V604" s="594"/>
      <c r="W604" s="594"/>
      <c r="X604" s="594"/>
      <c r="Y604" s="594"/>
      <c r="Z604" s="594"/>
    </row>
    <row r="605" spans="1:26" s="202" customFormat="1" ht="13.5" thickBot="1" x14ac:dyDescent="0.25">
      <c r="A605" s="594"/>
      <c r="B605" s="594"/>
      <c r="C605" s="594"/>
      <c r="D605" s="594"/>
      <c r="E605" s="594"/>
      <c r="F605" s="594"/>
      <c r="G605" s="594"/>
      <c r="H605" s="594"/>
      <c r="I605" s="594"/>
      <c r="J605" s="594"/>
      <c r="K605" s="594"/>
      <c r="L605" s="594"/>
      <c r="M605" s="594"/>
      <c r="N605" s="594"/>
      <c r="O605" s="594"/>
      <c r="P605" s="594"/>
      <c r="Q605" s="594"/>
      <c r="R605" s="594"/>
      <c r="S605" s="594"/>
      <c r="T605" s="594"/>
      <c r="U605" s="594"/>
      <c r="V605" s="594"/>
      <c r="W605" s="594"/>
      <c r="X605" s="594"/>
      <c r="Y605" s="594"/>
      <c r="Z605" s="594"/>
    </row>
    <row r="606" spans="1:26" x14ac:dyDescent="0.2">
      <c r="A606" s="594"/>
      <c r="B606" s="594"/>
      <c r="C606" s="594"/>
      <c r="D606" s="594"/>
      <c r="E606" s="594"/>
      <c r="F606" s="594"/>
      <c r="G606" s="594"/>
      <c r="H606" s="594"/>
      <c r="I606" s="594"/>
      <c r="J606" s="594"/>
      <c r="K606" s="594"/>
      <c r="L606" s="594"/>
      <c r="M606" s="594"/>
      <c r="N606" s="594"/>
      <c r="O606" s="594"/>
      <c r="P606" s="594"/>
      <c r="Q606" s="594"/>
      <c r="R606" s="594"/>
      <c r="S606" s="594"/>
      <c r="T606" s="594"/>
      <c r="U606" s="594"/>
      <c r="V606" s="594"/>
      <c r="W606" s="594"/>
      <c r="X606" s="594"/>
      <c r="Y606" s="594"/>
      <c r="Z606" s="594"/>
    </row>
    <row r="607" spans="1:26" s="203" customFormat="1" x14ac:dyDescent="0.2">
      <c r="A607" s="594"/>
      <c r="B607" s="594"/>
      <c r="C607" s="594"/>
      <c r="D607" s="594"/>
      <c r="E607" s="594"/>
      <c r="F607" s="594"/>
      <c r="G607" s="594"/>
      <c r="H607" s="594"/>
      <c r="I607" s="594"/>
      <c r="J607" s="594"/>
      <c r="K607" s="594"/>
      <c r="L607" s="594"/>
      <c r="M607" s="594"/>
      <c r="N607" s="594"/>
      <c r="O607" s="594"/>
      <c r="P607" s="594"/>
      <c r="Q607" s="594"/>
      <c r="R607" s="594"/>
      <c r="S607" s="594"/>
      <c r="T607" s="594"/>
      <c r="U607" s="594"/>
      <c r="V607" s="594"/>
      <c r="W607" s="594"/>
      <c r="X607" s="594"/>
      <c r="Y607" s="594"/>
      <c r="Z607" s="594"/>
    </row>
    <row r="608" spans="1:26" s="202" customFormat="1" ht="13.5" thickBot="1" x14ac:dyDescent="0.25">
      <c r="A608" s="594"/>
      <c r="B608" s="594"/>
      <c r="C608" s="594"/>
      <c r="D608" s="594"/>
      <c r="E608" s="594"/>
      <c r="F608" s="594"/>
      <c r="G608" s="594"/>
      <c r="H608" s="594"/>
      <c r="I608" s="594"/>
      <c r="J608" s="594"/>
      <c r="K608" s="594"/>
      <c r="L608" s="594"/>
      <c r="M608" s="594"/>
      <c r="N608" s="594"/>
      <c r="O608" s="594"/>
      <c r="P608" s="594"/>
      <c r="Q608" s="594"/>
      <c r="R608" s="594"/>
      <c r="S608" s="594"/>
      <c r="T608" s="594"/>
      <c r="U608" s="594"/>
      <c r="V608" s="594"/>
      <c r="W608" s="594"/>
      <c r="X608" s="594"/>
      <c r="Y608" s="594"/>
      <c r="Z608" s="594"/>
    </row>
    <row r="609" spans="1:26" x14ac:dyDescent="0.2">
      <c r="A609" s="594"/>
      <c r="B609" s="594"/>
      <c r="C609" s="594"/>
      <c r="D609" s="594"/>
      <c r="E609" s="594"/>
      <c r="F609" s="594"/>
      <c r="G609" s="594"/>
      <c r="H609" s="594"/>
      <c r="I609" s="594"/>
      <c r="J609" s="594"/>
      <c r="K609" s="594"/>
      <c r="L609" s="594"/>
      <c r="M609" s="594"/>
      <c r="N609" s="594"/>
      <c r="O609" s="594"/>
      <c r="P609" s="594"/>
      <c r="Q609" s="594"/>
      <c r="R609" s="594"/>
      <c r="S609" s="594"/>
      <c r="T609" s="594"/>
      <c r="U609" s="594"/>
      <c r="V609" s="594"/>
      <c r="W609" s="594"/>
      <c r="X609" s="594"/>
      <c r="Y609" s="594"/>
      <c r="Z609" s="594"/>
    </row>
    <row r="610" spans="1:26" s="203" customFormat="1" x14ac:dyDescent="0.2">
      <c r="A610" s="594"/>
      <c r="B610" s="594"/>
      <c r="C610" s="594"/>
      <c r="D610" s="594"/>
      <c r="E610" s="594"/>
      <c r="F610" s="594"/>
      <c r="G610" s="594"/>
      <c r="H610" s="594"/>
      <c r="I610" s="594"/>
      <c r="J610" s="594"/>
      <c r="K610" s="594"/>
      <c r="L610" s="594"/>
      <c r="M610" s="594"/>
      <c r="N610" s="594"/>
      <c r="O610" s="594"/>
      <c r="P610" s="594"/>
      <c r="Q610" s="594"/>
      <c r="R610" s="594"/>
      <c r="S610" s="594"/>
      <c r="T610" s="594"/>
      <c r="U610" s="594"/>
      <c r="V610" s="594"/>
      <c r="W610" s="594"/>
      <c r="X610" s="594"/>
      <c r="Y610" s="594"/>
      <c r="Z610" s="594"/>
    </row>
    <row r="611" spans="1:26" s="202" customFormat="1" ht="13.5" thickBot="1" x14ac:dyDescent="0.25">
      <c r="A611" s="594"/>
      <c r="B611" s="594"/>
      <c r="C611" s="594"/>
      <c r="D611" s="594"/>
      <c r="E611" s="594"/>
      <c r="F611" s="594"/>
      <c r="G611" s="594"/>
      <c r="H611" s="594"/>
      <c r="I611" s="594"/>
      <c r="J611" s="594"/>
      <c r="K611" s="594"/>
      <c r="L611" s="594"/>
      <c r="M611" s="594"/>
      <c r="N611" s="594"/>
      <c r="O611" s="594"/>
      <c r="P611" s="594"/>
      <c r="Q611" s="594"/>
      <c r="R611" s="594"/>
      <c r="S611" s="594"/>
      <c r="T611" s="594"/>
      <c r="U611" s="594"/>
      <c r="V611" s="594"/>
      <c r="W611" s="594"/>
      <c r="X611" s="594"/>
      <c r="Y611" s="594"/>
      <c r="Z611" s="594"/>
    </row>
    <row r="612" spans="1:26" x14ac:dyDescent="0.2">
      <c r="A612" s="594"/>
      <c r="B612" s="594"/>
      <c r="C612" s="594"/>
      <c r="D612" s="594"/>
      <c r="E612" s="594"/>
      <c r="F612" s="594"/>
      <c r="G612" s="594"/>
      <c r="H612" s="594"/>
      <c r="I612" s="594"/>
      <c r="J612" s="594"/>
      <c r="K612" s="594"/>
      <c r="L612" s="594"/>
      <c r="M612" s="594"/>
      <c r="N612" s="594"/>
      <c r="O612" s="594"/>
      <c r="P612" s="594"/>
      <c r="Q612" s="594"/>
      <c r="R612" s="594"/>
      <c r="S612" s="594"/>
      <c r="T612" s="594"/>
      <c r="U612" s="594"/>
      <c r="V612" s="594"/>
      <c r="W612" s="594"/>
      <c r="X612" s="594"/>
      <c r="Y612" s="594"/>
      <c r="Z612" s="594"/>
    </row>
    <row r="613" spans="1:26" s="203" customFormat="1" x14ac:dyDescent="0.2">
      <c r="A613" s="594"/>
      <c r="B613" s="594"/>
      <c r="C613" s="594"/>
      <c r="D613" s="594"/>
      <c r="E613" s="594"/>
      <c r="F613" s="594"/>
      <c r="G613" s="594"/>
      <c r="H613" s="594"/>
      <c r="I613" s="594"/>
      <c r="J613" s="594"/>
      <c r="K613" s="594"/>
      <c r="L613" s="594"/>
      <c r="M613" s="594"/>
      <c r="N613" s="594"/>
      <c r="O613" s="594"/>
      <c r="P613" s="594"/>
      <c r="Q613" s="594"/>
      <c r="R613" s="594"/>
      <c r="S613" s="594"/>
      <c r="T613" s="594"/>
      <c r="U613" s="594"/>
      <c r="V613" s="594"/>
      <c r="W613" s="594"/>
      <c r="X613" s="594"/>
      <c r="Y613" s="594"/>
      <c r="Z613" s="594"/>
    </row>
    <row r="614" spans="1:26" s="202" customFormat="1" x14ac:dyDescent="0.2">
      <c r="A614" s="594"/>
      <c r="B614" s="594"/>
      <c r="C614" s="594"/>
      <c r="D614" s="594"/>
      <c r="E614" s="594"/>
      <c r="F614" s="594"/>
      <c r="G614" s="594"/>
      <c r="H614" s="594"/>
      <c r="I614" s="594"/>
      <c r="J614" s="594"/>
      <c r="K614" s="594"/>
      <c r="L614" s="594"/>
      <c r="M614" s="594"/>
      <c r="N614" s="594"/>
      <c r="O614" s="594"/>
      <c r="P614" s="594"/>
      <c r="Q614" s="594"/>
      <c r="R614" s="594"/>
      <c r="S614" s="594"/>
      <c r="T614" s="594"/>
      <c r="U614" s="594"/>
      <c r="V614" s="594"/>
      <c r="W614" s="594"/>
      <c r="X614" s="594"/>
      <c r="Y614" s="594"/>
      <c r="Z614" s="594"/>
    </row>
    <row r="615" spans="1:26" x14ac:dyDescent="0.2">
      <c r="A615" s="594"/>
      <c r="B615" s="594"/>
      <c r="C615" s="594"/>
      <c r="D615" s="594"/>
      <c r="E615" s="594"/>
      <c r="F615" s="594"/>
      <c r="G615" s="594"/>
      <c r="H615" s="594"/>
      <c r="I615" s="594"/>
      <c r="J615" s="594"/>
      <c r="K615" s="594"/>
      <c r="L615" s="594"/>
      <c r="M615" s="594"/>
      <c r="N615" s="594"/>
      <c r="O615" s="594"/>
      <c r="P615" s="594"/>
      <c r="Q615" s="594"/>
      <c r="R615" s="594"/>
      <c r="S615" s="594"/>
      <c r="T615" s="594"/>
      <c r="U615" s="594"/>
      <c r="V615" s="594"/>
      <c r="W615" s="594"/>
      <c r="X615" s="594"/>
      <c r="Y615" s="594"/>
      <c r="Z615" s="594"/>
    </row>
    <row r="616" spans="1:26" s="203" customFormat="1" x14ac:dyDescent="0.2">
      <c r="A616" s="594"/>
      <c r="B616" s="594"/>
      <c r="C616" s="594"/>
      <c r="D616" s="594"/>
      <c r="E616" s="594"/>
      <c r="F616" s="594"/>
      <c r="G616" s="594"/>
      <c r="H616" s="594"/>
      <c r="I616" s="594"/>
      <c r="J616" s="594"/>
      <c r="K616" s="594"/>
      <c r="L616" s="594"/>
      <c r="M616" s="594"/>
      <c r="N616" s="594"/>
      <c r="O616" s="594"/>
      <c r="P616" s="594"/>
      <c r="Q616" s="594"/>
      <c r="R616" s="594"/>
      <c r="S616" s="594"/>
      <c r="T616" s="594"/>
      <c r="U616" s="594"/>
      <c r="V616" s="594"/>
      <c r="W616" s="594"/>
      <c r="X616" s="594"/>
      <c r="Y616" s="594"/>
      <c r="Z616" s="594"/>
    </row>
    <row r="617" spans="1:26" s="202" customFormat="1" x14ac:dyDescent="0.2">
      <c r="A617" s="594"/>
      <c r="B617" s="594"/>
      <c r="C617" s="594"/>
      <c r="D617" s="594"/>
      <c r="E617" s="594"/>
      <c r="F617" s="594"/>
      <c r="G617" s="594"/>
      <c r="H617" s="594"/>
      <c r="I617" s="594"/>
      <c r="J617" s="594"/>
      <c r="K617" s="594"/>
      <c r="L617" s="594"/>
      <c r="M617" s="594"/>
      <c r="N617" s="594"/>
      <c r="O617" s="594"/>
      <c r="P617" s="594"/>
      <c r="Q617" s="594"/>
      <c r="R617" s="594"/>
      <c r="S617" s="594"/>
      <c r="T617" s="594"/>
      <c r="U617" s="594"/>
      <c r="V617" s="594"/>
      <c r="W617" s="594"/>
      <c r="X617" s="594"/>
      <c r="Y617" s="594"/>
      <c r="Z617" s="594"/>
    </row>
    <row r="618" spans="1:26" x14ac:dyDescent="0.2">
      <c r="A618" s="594"/>
      <c r="B618" s="594"/>
      <c r="C618" s="594"/>
      <c r="D618" s="594"/>
      <c r="E618" s="594"/>
      <c r="F618" s="594"/>
      <c r="G618" s="594"/>
      <c r="H618" s="594"/>
      <c r="I618" s="594"/>
      <c r="J618" s="594"/>
      <c r="K618" s="594"/>
      <c r="L618" s="594"/>
      <c r="M618" s="594"/>
      <c r="N618" s="594"/>
      <c r="O618" s="594"/>
      <c r="P618" s="594"/>
      <c r="Q618" s="594"/>
      <c r="R618" s="594"/>
      <c r="S618" s="594"/>
      <c r="T618" s="594"/>
      <c r="U618" s="594"/>
      <c r="V618" s="594"/>
      <c r="W618" s="594"/>
      <c r="X618" s="594"/>
      <c r="Y618" s="594"/>
      <c r="Z618" s="594"/>
    </row>
    <row r="619" spans="1:26" s="203" customFormat="1" x14ac:dyDescent="0.2">
      <c r="A619" s="594"/>
      <c r="B619" s="594"/>
      <c r="C619" s="594"/>
      <c r="D619" s="594"/>
      <c r="E619" s="594"/>
      <c r="F619" s="594"/>
      <c r="G619" s="594"/>
      <c r="H619" s="594"/>
      <c r="I619" s="594"/>
      <c r="J619" s="594"/>
      <c r="K619" s="594"/>
      <c r="L619" s="594"/>
      <c r="M619" s="594"/>
      <c r="N619" s="594"/>
      <c r="O619" s="594"/>
      <c r="P619" s="594"/>
      <c r="Q619" s="594"/>
      <c r="R619" s="594"/>
      <c r="S619" s="594"/>
      <c r="T619" s="594"/>
      <c r="U619" s="594"/>
      <c r="V619" s="594"/>
      <c r="W619" s="594"/>
      <c r="X619" s="594"/>
      <c r="Y619" s="594"/>
      <c r="Z619" s="594"/>
    </row>
    <row r="620" spans="1:26" s="202" customFormat="1" ht="13.5" thickBot="1" x14ac:dyDescent="0.25">
      <c r="A620" s="594"/>
      <c r="B620" s="594"/>
      <c r="C620" s="594"/>
      <c r="D620" s="594"/>
      <c r="E620" s="594"/>
      <c r="F620" s="594"/>
      <c r="G620" s="594"/>
      <c r="H620" s="594"/>
      <c r="I620" s="594"/>
      <c r="J620" s="594"/>
      <c r="K620" s="594"/>
      <c r="L620" s="594"/>
      <c r="M620" s="594"/>
      <c r="N620" s="594"/>
      <c r="O620" s="594"/>
      <c r="P620" s="594"/>
      <c r="Q620" s="594"/>
      <c r="R620" s="594"/>
      <c r="S620" s="594"/>
      <c r="T620" s="594"/>
      <c r="U620" s="594"/>
      <c r="V620" s="594"/>
      <c r="W620" s="594"/>
      <c r="X620" s="594"/>
      <c r="Y620" s="594"/>
      <c r="Z620" s="594"/>
    </row>
    <row r="621" spans="1:26" x14ac:dyDescent="0.2">
      <c r="A621" s="594"/>
      <c r="B621" s="594"/>
      <c r="C621" s="594"/>
      <c r="D621" s="594"/>
      <c r="E621" s="594"/>
      <c r="F621" s="594"/>
      <c r="G621" s="594"/>
      <c r="H621" s="594"/>
      <c r="I621" s="594"/>
      <c r="J621" s="594"/>
      <c r="K621" s="594"/>
      <c r="L621" s="594"/>
      <c r="M621" s="594"/>
      <c r="N621" s="594"/>
      <c r="O621" s="594"/>
      <c r="P621" s="594"/>
      <c r="Q621" s="594"/>
      <c r="R621" s="594"/>
      <c r="S621" s="594"/>
      <c r="T621" s="594"/>
      <c r="U621" s="594"/>
      <c r="V621" s="594"/>
      <c r="W621" s="594"/>
      <c r="X621" s="594"/>
      <c r="Y621" s="594"/>
      <c r="Z621" s="594"/>
    </row>
    <row r="622" spans="1:26" s="203" customFormat="1" x14ac:dyDescent="0.2">
      <c r="A622" s="594"/>
      <c r="B622" s="594"/>
      <c r="C622" s="594"/>
      <c r="D622" s="594"/>
      <c r="E622" s="594"/>
      <c r="F622" s="594"/>
      <c r="G622" s="594"/>
      <c r="H622" s="594"/>
      <c r="I622" s="594"/>
      <c r="J622" s="594"/>
      <c r="K622" s="594"/>
      <c r="L622" s="594"/>
      <c r="M622" s="594"/>
      <c r="N622" s="594"/>
      <c r="O622" s="594"/>
      <c r="P622" s="594"/>
      <c r="Q622" s="594"/>
      <c r="R622" s="594"/>
      <c r="S622" s="594"/>
      <c r="T622" s="594"/>
      <c r="U622" s="594"/>
      <c r="V622" s="594"/>
      <c r="W622" s="594"/>
      <c r="X622" s="594"/>
      <c r="Y622" s="594"/>
      <c r="Z622" s="594"/>
    </row>
    <row r="623" spans="1:26" s="202" customFormat="1" ht="13.5" thickBot="1" x14ac:dyDescent="0.25">
      <c r="A623" s="594"/>
      <c r="B623" s="594"/>
      <c r="C623" s="594"/>
      <c r="D623" s="594"/>
      <c r="E623" s="594"/>
      <c r="F623" s="594"/>
      <c r="G623" s="594"/>
      <c r="H623" s="594"/>
      <c r="I623" s="594"/>
      <c r="J623" s="594"/>
      <c r="K623" s="594"/>
      <c r="L623" s="594"/>
      <c r="M623" s="594"/>
      <c r="N623" s="594"/>
      <c r="O623" s="594"/>
      <c r="P623" s="594"/>
      <c r="Q623" s="594"/>
      <c r="R623" s="594"/>
      <c r="S623" s="594"/>
      <c r="T623" s="594"/>
      <c r="U623" s="594"/>
      <c r="V623" s="594"/>
      <c r="W623" s="594"/>
      <c r="X623" s="594"/>
      <c r="Y623" s="594"/>
      <c r="Z623" s="594"/>
    </row>
    <row r="624" spans="1:26" x14ac:dyDescent="0.2">
      <c r="A624" s="594"/>
      <c r="B624" s="594"/>
      <c r="C624" s="594"/>
      <c r="D624" s="594"/>
      <c r="E624" s="594"/>
      <c r="F624" s="594"/>
      <c r="G624" s="594"/>
      <c r="H624" s="594"/>
      <c r="I624" s="594"/>
      <c r="J624" s="594"/>
      <c r="K624" s="594"/>
      <c r="L624" s="594"/>
      <c r="M624" s="594"/>
      <c r="N624" s="594"/>
      <c r="O624" s="594"/>
      <c r="P624" s="594"/>
      <c r="Q624" s="594"/>
      <c r="R624" s="594"/>
      <c r="S624" s="594"/>
      <c r="T624" s="594"/>
      <c r="U624" s="594"/>
      <c r="V624" s="594"/>
      <c r="W624" s="594"/>
      <c r="X624" s="594"/>
      <c r="Y624" s="594"/>
      <c r="Z624" s="594"/>
    </row>
    <row r="625" spans="1:26" s="203" customFormat="1" x14ac:dyDescent="0.2">
      <c r="A625" s="594"/>
      <c r="B625" s="594"/>
      <c r="C625" s="594"/>
      <c r="D625" s="594"/>
      <c r="E625" s="594"/>
      <c r="F625" s="594"/>
      <c r="G625" s="594"/>
      <c r="H625" s="594"/>
      <c r="I625" s="594"/>
      <c r="J625" s="594"/>
      <c r="K625" s="594"/>
      <c r="L625" s="594"/>
      <c r="M625" s="594"/>
      <c r="N625" s="594"/>
      <c r="O625" s="594"/>
      <c r="P625" s="594"/>
      <c r="Q625" s="594"/>
      <c r="R625" s="594"/>
      <c r="S625" s="594"/>
      <c r="T625" s="594"/>
      <c r="U625" s="594"/>
      <c r="V625" s="594"/>
      <c r="W625" s="594"/>
      <c r="X625" s="594"/>
      <c r="Y625" s="594"/>
      <c r="Z625" s="594"/>
    </row>
    <row r="626" spans="1:26" s="202" customFormat="1" ht="13.5" thickBot="1" x14ac:dyDescent="0.25">
      <c r="A626" s="594"/>
      <c r="B626" s="594"/>
      <c r="C626" s="594"/>
      <c r="D626" s="594"/>
      <c r="E626" s="594"/>
      <c r="F626" s="594"/>
      <c r="G626" s="594"/>
      <c r="H626" s="594"/>
      <c r="I626" s="594"/>
      <c r="J626" s="594"/>
      <c r="K626" s="594"/>
      <c r="L626" s="594"/>
      <c r="M626" s="594"/>
      <c r="N626" s="594"/>
      <c r="O626" s="594"/>
      <c r="P626" s="594"/>
      <c r="Q626" s="594"/>
      <c r="R626" s="594"/>
      <c r="S626" s="594"/>
      <c r="T626" s="594"/>
      <c r="U626" s="594"/>
      <c r="V626" s="594"/>
      <c r="W626" s="594"/>
      <c r="X626" s="594"/>
      <c r="Y626" s="594"/>
      <c r="Z626" s="594"/>
    </row>
    <row r="627" spans="1:26" x14ac:dyDescent="0.2">
      <c r="A627" s="594"/>
      <c r="B627" s="594"/>
      <c r="C627" s="594"/>
      <c r="D627" s="594"/>
      <c r="E627" s="594"/>
      <c r="F627" s="594"/>
      <c r="G627" s="594"/>
      <c r="H627" s="594"/>
      <c r="I627" s="594"/>
      <c r="J627" s="594"/>
      <c r="K627" s="594"/>
      <c r="L627" s="594"/>
      <c r="M627" s="594"/>
      <c r="N627" s="594"/>
      <c r="O627" s="594"/>
      <c r="P627" s="594"/>
      <c r="Q627" s="594"/>
      <c r="R627" s="594"/>
      <c r="S627" s="594"/>
      <c r="T627" s="594"/>
      <c r="U627" s="594"/>
      <c r="V627" s="594"/>
      <c r="W627" s="594"/>
      <c r="X627" s="594"/>
      <c r="Y627" s="594"/>
      <c r="Z627" s="594"/>
    </row>
    <row r="628" spans="1:26" s="203" customFormat="1" x14ac:dyDescent="0.2">
      <c r="A628" s="594"/>
      <c r="B628" s="594"/>
      <c r="C628" s="594"/>
      <c r="D628" s="594"/>
      <c r="E628" s="594"/>
      <c r="F628" s="594"/>
      <c r="G628" s="594"/>
      <c r="H628" s="594"/>
      <c r="I628" s="594"/>
      <c r="J628" s="594"/>
      <c r="K628" s="594"/>
      <c r="L628" s="594"/>
      <c r="M628" s="594"/>
      <c r="N628" s="594"/>
      <c r="O628" s="594"/>
      <c r="P628" s="594"/>
      <c r="Q628" s="594"/>
      <c r="R628" s="594"/>
      <c r="S628" s="594"/>
      <c r="T628" s="594"/>
      <c r="U628" s="594"/>
      <c r="V628" s="594"/>
      <c r="W628" s="594"/>
      <c r="X628" s="594"/>
      <c r="Y628" s="594"/>
      <c r="Z628" s="594"/>
    </row>
    <row r="629" spans="1:26" s="212" customFormat="1" x14ac:dyDescent="0.2">
      <c r="A629" s="594"/>
      <c r="B629" s="594"/>
      <c r="C629" s="594"/>
      <c r="D629" s="594"/>
      <c r="E629" s="594"/>
      <c r="F629" s="594"/>
      <c r="G629" s="594"/>
      <c r="H629" s="594"/>
      <c r="I629" s="594"/>
      <c r="J629" s="594"/>
      <c r="K629" s="594"/>
      <c r="L629" s="594"/>
      <c r="M629" s="594"/>
      <c r="N629" s="594"/>
      <c r="O629" s="594"/>
      <c r="P629" s="594"/>
      <c r="Q629" s="594"/>
      <c r="R629" s="594"/>
      <c r="S629" s="594"/>
      <c r="T629" s="594"/>
      <c r="U629" s="594"/>
      <c r="V629" s="594"/>
      <c r="W629" s="594"/>
      <c r="X629" s="594"/>
      <c r="Y629" s="594"/>
      <c r="Z629" s="594"/>
    </row>
    <row r="630" spans="1:26" x14ac:dyDescent="0.2">
      <c r="A630" s="594"/>
      <c r="B630" s="594"/>
      <c r="C630" s="594"/>
      <c r="D630" s="594"/>
      <c r="E630" s="594"/>
      <c r="F630" s="594"/>
      <c r="G630" s="594"/>
      <c r="H630" s="594"/>
      <c r="I630" s="594"/>
      <c r="J630" s="594"/>
      <c r="K630" s="594"/>
      <c r="L630" s="594"/>
      <c r="M630" s="594"/>
      <c r="N630" s="594"/>
      <c r="O630" s="594"/>
      <c r="P630" s="594"/>
      <c r="Q630" s="594"/>
      <c r="R630" s="594"/>
      <c r="S630" s="594"/>
      <c r="T630" s="594"/>
      <c r="U630" s="594"/>
      <c r="V630" s="594"/>
      <c r="W630" s="594"/>
      <c r="X630" s="594"/>
      <c r="Y630" s="594"/>
      <c r="Z630" s="594"/>
    </row>
    <row r="631" spans="1:26" x14ac:dyDescent="0.2">
      <c r="A631" s="594"/>
      <c r="B631" s="594"/>
      <c r="C631" s="594"/>
      <c r="D631" s="594"/>
      <c r="E631" s="594"/>
      <c r="F631" s="594"/>
      <c r="G631" s="594"/>
      <c r="H631" s="594"/>
      <c r="I631" s="594"/>
      <c r="J631" s="594"/>
      <c r="K631" s="594"/>
      <c r="L631" s="594"/>
      <c r="M631" s="594"/>
      <c r="N631" s="594"/>
      <c r="O631" s="594"/>
      <c r="P631" s="594"/>
      <c r="Q631" s="594"/>
      <c r="R631" s="594"/>
      <c r="S631" s="594"/>
      <c r="T631" s="594"/>
      <c r="U631" s="594"/>
      <c r="V631" s="594"/>
      <c r="W631" s="594"/>
      <c r="X631" s="594"/>
      <c r="Y631" s="594"/>
      <c r="Z631" s="594"/>
    </row>
    <row r="632" spans="1:26" x14ac:dyDescent="0.2">
      <c r="A632" s="594"/>
      <c r="B632" s="594"/>
      <c r="C632" s="594"/>
      <c r="D632" s="594"/>
      <c r="E632" s="594"/>
      <c r="F632" s="594"/>
      <c r="G632" s="594"/>
      <c r="H632" s="594"/>
      <c r="I632" s="594"/>
      <c r="J632" s="594"/>
      <c r="K632" s="594"/>
      <c r="L632" s="594"/>
      <c r="M632" s="594"/>
      <c r="N632" s="594"/>
      <c r="O632" s="594"/>
      <c r="P632" s="594"/>
      <c r="Q632" s="594"/>
      <c r="R632" s="594"/>
      <c r="S632" s="594"/>
      <c r="T632" s="594"/>
      <c r="U632" s="594"/>
      <c r="V632" s="594"/>
      <c r="W632" s="594"/>
      <c r="X632" s="594"/>
      <c r="Y632" s="594"/>
      <c r="Z632" s="594"/>
    </row>
    <row r="633" spans="1:26" x14ac:dyDescent="0.2">
      <c r="A633" s="594"/>
      <c r="B633" s="594"/>
      <c r="C633" s="594"/>
      <c r="D633" s="594"/>
      <c r="E633" s="594"/>
      <c r="F633" s="594"/>
      <c r="G633" s="594"/>
      <c r="H633" s="594"/>
      <c r="I633" s="594"/>
      <c r="J633" s="594"/>
      <c r="K633" s="594"/>
      <c r="L633" s="594"/>
      <c r="M633" s="594"/>
      <c r="N633" s="594"/>
      <c r="O633" s="594"/>
      <c r="P633" s="594"/>
      <c r="Q633" s="594"/>
      <c r="R633" s="594"/>
      <c r="S633" s="594"/>
      <c r="T633" s="594"/>
      <c r="U633" s="594"/>
      <c r="V633" s="594"/>
      <c r="W633" s="594"/>
      <c r="X633" s="594"/>
      <c r="Y633" s="594"/>
      <c r="Z633" s="594"/>
    </row>
    <row r="634" spans="1:26" x14ac:dyDescent="0.2">
      <c r="A634" s="594"/>
      <c r="B634" s="594"/>
      <c r="C634" s="594"/>
      <c r="D634" s="594"/>
      <c r="E634" s="594"/>
      <c r="F634" s="594"/>
      <c r="G634" s="594"/>
      <c r="H634" s="594"/>
      <c r="I634" s="594"/>
      <c r="J634" s="594"/>
      <c r="K634" s="594"/>
      <c r="L634" s="594"/>
      <c r="M634" s="594"/>
      <c r="N634" s="594"/>
      <c r="O634" s="594"/>
      <c r="P634" s="594"/>
      <c r="Q634" s="594"/>
      <c r="R634" s="594"/>
      <c r="S634" s="594"/>
      <c r="T634" s="594"/>
      <c r="U634" s="594"/>
      <c r="V634" s="594"/>
      <c r="W634" s="594"/>
      <c r="X634" s="594"/>
      <c r="Y634" s="594"/>
      <c r="Z634" s="594"/>
    </row>
    <row r="635" spans="1:26" x14ac:dyDescent="0.2">
      <c r="A635" s="594"/>
      <c r="B635" s="594"/>
      <c r="C635" s="594"/>
      <c r="D635" s="594"/>
      <c r="E635" s="594"/>
      <c r="F635" s="594"/>
      <c r="G635" s="594"/>
      <c r="H635" s="594"/>
      <c r="I635" s="594"/>
      <c r="J635" s="594"/>
      <c r="K635" s="594"/>
      <c r="L635" s="594"/>
      <c r="M635" s="594"/>
      <c r="N635" s="594"/>
      <c r="O635" s="594"/>
      <c r="P635" s="594"/>
      <c r="Q635" s="594"/>
      <c r="R635" s="594"/>
      <c r="S635" s="594"/>
      <c r="T635" s="594"/>
      <c r="U635" s="594"/>
      <c r="V635" s="594"/>
      <c r="W635" s="594"/>
      <c r="X635" s="594"/>
      <c r="Y635" s="594"/>
      <c r="Z635" s="594"/>
    </row>
    <row r="636" spans="1:26" x14ac:dyDescent="0.2">
      <c r="A636" s="594"/>
      <c r="B636" s="594"/>
      <c r="C636" s="594"/>
      <c r="D636" s="594"/>
      <c r="E636" s="594"/>
      <c r="F636" s="594"/>
      <c r="G636" s="594"/>
      <c r="H636" s="594"/>
      <c r="I636" s="594"/>
      <c r="J636" s="594"/>
      <c r="K636" s="594"/>
      <c r="L636" s="594"/>
      <c r="M636" s="594"/>
      <c r="N636" s="594"/>
      <c r="O636" s="594"/>
      <c r="P636" s="594"/>
      <c r="Q636" s="594"/>
      <c r="R636" s="594"/>
      <c r="S636" s="594"/>
      <c r="T636" s="594"/>
      <c r="U636" s="594"/>
      <c r="V636" s="594"/>
      <c r="W636" s="594"/>
      <c r="X636" s="594"/>
      <c r="Y636" s="594"/>
      <c r="Z636" s="594"/>
    </row>
    <row r="637" spans="1:26" x14ac:dyDescent="0.2">
      <c r="A637" s="594"/>
      <c r="B637" s="594"/>
      <c r="C637" s="594"/>
      <c r="D637" s="594"/>
      <c r="E637" s="594"/>
      <c r="F637" s="594"/>
      <c r="G637" s="594"/>
      <c r="H637" s="594"/>
      <c r="I637" s="594"/>
      <c r="J637" s="594"/>
      <c r="K637" s="594"/>
      <c r="L637" s="594"/>
      <c r="M637" s="594"/>
      <c r="N637" s="594"/>
      <c r="O637" s="594"/>
      <c r="P637" s="594"/>
      <c r="Q637" s="594"/>
      <c r="R637" s="594"/>
      <c r="S637" s="594"/>
      <c r="T637" s="594"/>
      <c r="U637" s="594"/>
      <c r="V637" s="594"/>
      <c r="W637" s="594"/>
      <c r="X637" s="594"/>
      <c r="Y637" s="594"/>
      <c r="Z637" s="594"/>
    </row>
    <row r="638" spans="1:26" x14ac:dyDescent="0.2">
      <c r="A638" s="594"/>
      <c r="B638" s="594"/>
      <c r="C638" s="594"/>
      <c r="D638" s="594"/>
      <c r="E638" s="594"/>
      <c r="F638" s="594"/>
      <c r="G638" s="594"/>
      <c r="H638" s="594"/>
      <c r="I638" s="594"/>
      <c r="J638" s="594"/>
      <c r="K638" s="594"/>
      <c r="L638" s="594"/>
      <c r="M638" s="594"/>
      <c r="N638" s="594"/>
      <c r="O638" s="594"/>
      <c r="P638" s="594"/>
      <c r="Q638" s="594"/>
      <c r="R638" s="594"/>
      <c r="S638" s="594"/>
      <c r="T638" s="594"/>
      <c r="U638" s="594"/>
      <c r="V638" s="594"/>
      <c r="W638" s="594"/>
      <c r="X638" s="594"/>
      <c r="Y638" s="594"/>
      <c r="Z638" s="594"/>
    </row>
    <row r="639" spans="1:26" x14ac:dyDescent="0.2">
      <c r="A639" s="594"/>
      <c r="B639" s="594"/>
      <c r="C639" s="594"/>
      <c r="D639" s="594"/>
      <c r="E639" s="594"/>
      <c r="F639" s="594"/>
      <c r="G639" s="594"/>
      <c r="H639" s="594"/>
      <c r="I639" s="594"/>
      <c r="J639" s="594"/>
      <c r="K639" s="594"/>
      <c r="L639" s="594"/>
      <c r="M639" s="594"/>
      <c r="N639" s="594"/>
      <c r="O639" s="594"/>
      <c r="P639" s="594"/>
      <c r="Q639" s="594"/>
      <c r="R639" s="594"/>
      <c r="S639" s="594"/>
      <c r="T639" s="594"/>
      <c r="U639" s="594"/>
      <c r="V639" s="594"/>
      <c r="W639" s="594"/>
      <c r="X639" s="594"/>
      <c r="Y639" s="594"/>
      <c r="Z639" s="594"/>
    </row>
    <row r="640" spans="1:26" x14ac:dyDescent="0.2">
      <c r="A640" s="594"/>
      <c r="B640" s="594"/>
      <c r="C640" s="594"/>
      <c r="D640" s="594"/>
      <c r="E640" s="594"/>
      <c r="F640" s="594"/>
      <c r="G640" s="594"/>
      <c r="H640" s="594"/>
      <c r="I640" s="594"/>
      <c r="J640" s="594"/>
      <c r="K640" s="594"/>
      <c r="L640" s="594"/>
      <c r="M640" s="594"/>
      <c r="N640" s="594"/>
      <c r="O640" s="594"/>
      <c r="P640" s="594"/>
      <c r="Q640" s="594"/>
      <c r="R640" s="594"/>
      <c r="S640" s="594"/>
      <c r="T640" s="594"/>
      <c r="U640" s="594"/>
      <c r="V640" s="594"/>
      <c r="W640" s="594"/>
      <c r="X640" s="594"/>
      <c r="Y640" s="594"/>
      <c r="Z640" s="594"/>
    </row>
    <row r="641" spans="1:26" x14ac:dyDescent="0.2">
      <c r="A641" s="594"/>
      <c r="B641" s="594"/>
      <c r="C641" s="594"/>
      <c r="D641" s="594"/>
      <c r="E641" s="594"/>
      <c r="F641" s="594"/>
      <c r="G641" s="594"/>
      <c r="H641" s="594"/>
      <c r="I641" s="594"/>
      <c r="J641" s="594"/>
      <c r="K641" s="594"/>
      <c r="L641" s="594"/>
      <c r="M641" s="594"/>
      <c r="N641" s="594"/>
      <c r="O641" s="594"/>
      <c r="P641" s="594"/>
      <c r="Q641" s="594"/>
      <c r="R641" s="594"/>
      <c r="S641" s="594"/>
      <c r="T641" s="594"/>
      <c r="U641" s="594"/>
      <c r="V641" s="594"/>
      <c r="W641" s="594"/>
      <c r="X641" s="594"/>
      <c r="Y641" s="594"/>
      <c r="Z641" s="594"/>
    </row>
    <row r="642" spans="1:26" x14ac:dyDescent="0.2">
      <c r="A642" s="594"/>
      <c r="B642" s="594"/>
      <c r="C642" s="594"/>
      <c r="D642" s="594"/>
      <c r="E642" s="594"/>
      <c r="F642" s="594"/>
      <c r="G642" s="594"/>
      <c r="H642" s="594"/>
      <c r="I642" s="594"/>
      <c r="J642" s="594"/>
      <c r="K642" s="594"/>
      <c r="L642" s="594"/>
      <c r="M642" s="594"/>
      <c r="N642" s="594"/>
      <c r="O642" s="594"/>
      <c r="P642" s="594"/>
      <c r="Q642" s="594"/>
      <c r="R642" s="594"/>
      <c r="S642" s="594"/>
      <c r="T642" s="594"/>
      <c r="U642" s="594"/>
      <c r="V642" s="594"/>
      <c r="W642" s="594"/>
      <c r="X642" s="594"/>
      <c r="Y642" s="594"/>
      <c r="Z642" s="594"/>
    </row>
    <row r="643" spans="1:26" x14ac:dyDescent="0.2">
      <c r="A643" s="594"/>
      <c r="B643" s="594"/>
      <c r="C643" s="594"/>
      <c r="D643" s="594"/>
      <c r="E643" s="594"/>
      <c r="F643" s="594"/>
      <c r="G643" s="594"/>
      <c r="H643" s="594"/>
      <c r="I643" s="594"/>
      <c r="J643" s="594"/>
      <c r="K643" s="594"/>
      <c r="L643" s="594"/>
      <c r="M643" s="594"/>
      <c r="N643" s="594"/>
      <c r="O643" s="594"/>
      <c r="P643" s="594"/>
      <c r="Q643" s="594"/>
      <c r="R643" s="594"/>
      <c r="S643" s="594"/>
      <c r="T643" s="594"/>
      <c r="U643" s="594"/>
      <c r="V643" s="594"/>
      <c r="W643" s="594"/>
      <c r="X643" s="594"/>
      <c r="Y643" s="594"/>
      <c r="Z643" s="594"/>
    </row>
    <row r="644" spans="1:26" x14ac:dyDescent="0.2">
      <c r="A644" s="594"/>
      <c r="B644" s="594"/>
      <c r="C644" s="594"/>
      <c r="D644" s="594"/>
      <c r="E644" s="594"/>
      <c r="F644" s="594"/>
      <c r="G644" s="594"/>
      <c r="H644" s="594"/>
      <c r="I644" s="594"/>
      <c r="J644" s="594"/>
      <c r="K644" s="594"/>
      <c r="L644" s="594"/>
      <c r="M644" s="594"/>
      <c r="N644" s="594"/>
      <c r="O644" s="594"/>
      <c r="P644" s="594"/>
      <c r="Q644" s="594"/>
      <c r="R644" s="594"/>
      <c r="S644" s="594"/>
      <c r="T644" s="594"/>
      <c r="U644" s="594"/>
      <c r="V644" s="594"/>
      <c r="W644" s="594"/>
      <c r="X644" s="594"/>
      <c r="Y644" s="594"/>
      <c r="Z644" s="594"/>
    </row>
    <row r="645" spans="1:26" x14ac:dyDescent="0.2">
      <c r="A645" s="594"/>
      <c r="B645" s="594"/>
      <c r="C645" s="594"/>
      <c r="D645" s="594"/>
      <c r="E645" s="594"/>
      <c r="F645" s="594"/>
      <c r="G645" s="594"/>
      <c r="H645" s="594"/>
      <c r="I645" s="594"/>
      <c r="J645" s="594"/>
      <c r="K645" s="594"/>
      <c r="L645" s="594"/>
      <c r="M645" s="594"/>
      <c r="N645" s="594"/>
      <c r="O645" s="594"/>
      <c r="P645" s="594"/>
      <c r="Q645" s="594"/>
      <c r="R645" s="594"/>
      <c r="S645" s="594"/>
      <c r="T645" s="594"/>
      <c r="U645" s="594"/>
      <c r="V645" s="594"/>
      <c r="W645" s="594"/>
      <c r="X645" s="594"/>
      <c r="Y645" s="594"/>
      <c r="Z645" s="594"/>
    </row>
    <row r="646" spans="1:26" x14ac:dyDescent="0.2">
      <c r="A646" s="594"/>
      <c r="B646" s="594"/>
      <c r="C646" s="594"/>
      <c r="D646" s="594"/>
      <c r="E646" s="594"/>
      <c r="F646" s="594"/>
      <c r="G646" s="594"/>
      <c r="H646" s="594"/>
      <c r="I646" s="594"/>
      <c r="J646" s="594"/>
      <c r="K646" s="594"/>
      <c r="L646" s="594"/>
      <c r="M646" s="594"/>
      <c r="N646" s="594"/>
      <c r="O646" s="594"/>
      <c r="P646" s="594"/>
      <c r="Q646" s="594"/>
      <c r="R646" s="594"/>
      <c r="S646" s="594"/>
      <c r="T646" s="594"/>
      <c r="U646" s="594"/>
      <c r="V646" s="594"/>
      <c r="W646" s="594"/>
      <c r="X646" s="594"/>
      <c r="Y646" s="594"/>
      <c r="Z646" s="594"/>
    </row>
    <row r="647" spans="1:26" x14ac:dyDescent="0.2">
      <c r="A647" s="594"/>
      <c r="B647" s="594"/>
      <c r="C647" s="594"/>
      <c r="D647" s="594"/>
      <c r="E647" s="594"/>
      <c r="F647" s="594"/>
      <c r="G647" s="594"/>
      <c r="H647" s="594"/>
      <c r="I647" s="594"/>
      <c r="J647" s="594"/>
      <c r="K647" s="594"/>
      <c r="L647" s="594"/>
      <c r="M647" s="594"/>
      <c r="N647" s="594"/>
      <c r="O647" s="594"/>
      <c r="P647" s="594"/>
      <c r="Q647" s="594"/>
      <c r="R647" s="594"/>
      <c r="S647" s="594"/>
      <c r="T647" s="594"/>
      <c r="U647" s="594"/>
      <c r="V647" s="594"/>
      <c r="W647" s="594"/>
      <c r="X647" s="594"/>
      <c r="Y647" s="594"/>
      <c r="Z647" s="594"/>
    </row>
    <row r="648" spans="1:26" x14ac:dyDescent="0.2">
      <c r="A648" s="594"/>
      <c r="B648" s="594"/>
      <c r="C648" s="594"/>
      <c r="D648" s="594"/>
      <c r="E648" s="594"/>
      <c r="F648" s="594"/>
      <c r="G648" s="594"/>
      <c r="H648" s="594"/>
      <c r="I648" s="594"/>
      <c r="J648" s="594"/>
      <c r="K648" s="594"/>
      <c r="L648" s="594"/>
      <c r="M648" s="594"/>
      <c r="N648" s="594"/>
      <c r="O648" s="594"/>
      <c r="P648" s="594"/>
      <c r="Q648" s="594"/>
      <c r="R648" s="594"/>
      <c r="S648" s="594"/>
      <c r="T648" s="594"/>
      <c r="U648" s="594"/>
      <c r="V648" s="594"/>
      <c r="W648" s="594"/>
      <c r="X648" s="594"/>
      <c r="Y648" s="594"/>
      <c r="Z648" s="594"/>
    </row>
    <row r="649" spans="1:26" x14ac:dyDescent="0.2">
      <c r="A649" s="594"/>
      <c r="B649" s="594"/>
      <c r="C649" s="594"/>
      <c r="D649" s="594"/>
      <c r="E649" s="594"/>
      <c r="F649" s="594"/>
      <c r="G649" s="594"/>
      <c r="H649" s="594"/>
      <c r="I649" s="594"/>
      <c r="J649" s="594"/>
      <c r="K649" s="594"/>
      <c r="L649" s="594"/>
      <c r="M649" s="594"/>
      <c r="N649" s="594"/>
      <c r="O649" s="594"/>
      <c r="P649" s="594"/>
      <c r="Q649" s="594"/>
      <c r="R649" s="594"/>
      <c r="S649" s="594"/>
      <c r="T649" s="594"/>
      <c r="U649" s="594"/>
      <c r="V649" s="594"/>
      <c r="W649" s="594"/>
      <c r="X649" s="594"/>
      <c r="Y649" s="594"/>
      <c r="Z649" s="594"/>
    </row>
    <row r="650" spans="1:26" x14ac:dyDescent="0.2">
      <c r="A650" s="594"/>
      <c r="B650" s="594"/>
      <c r="C650" s="594"/>
      <c r="D650" s="594"/>
      <c r="E650" s="594"/>
      <c r="F650" s="594"/>
      <c r="G650" s="594"/>
      <c r="H650" s="594"/>
      <c r="I650" s="594"/>
      <c r="J650" s="594"/>
      <c r="K650" s="594"/>
      <c r="L650" s="594"/>
      <c r="M650" s="594"/>
      <c r="N650" s="594"/>
      <c r="O650" s="594"/>
      <c r="P650" s="594"/>
      <c r="Q650" s="594"/>
      <c r="R650" s="594"/>
      <c r="S650" s="594"/>
      <c r="T650" s="594"/>
      <c r="U650" s="594"/>
      <c r="V650" s="594"/>
      <c r="W650" s="594"/>
      <c r="X650" s="594"/>
      <c r="Y650" s="594"/>
      <c r="Z650" s="594"/>
    </row>
    <row r="651" spans="1:26" x14ac:dyDescent="0.2">
      <c r="A651" s="594"/>
      <c r="B651" s="594"/>
      <c r="C651" s="594"/>
      <c r="D651" s="594"/>
      <c r="E651" s="594"/>
      <c r="F651" s="594"/>
      <c r="G651" s="594"/>
      <c r="H651" s="594"/>
      <c r="I651" s="594"/>
      <c r="J651" s="594"/>
      <c r="K651" s="594"/>
      <c r="L651" s="594"/>
      <c r="M651" s="594"/>
      <c r="N651" s="594"/>
      <c r="O651" s="594"/>
      <c r="P651" s="594"/>
      <c r="Q651" s="594"/>
      <c r="R651" s="594"/>
      <c r="S651" s="594"/>
      <c r="T651" s="594"/>
      <c r="U651" s="594"/>
      <c r="V651" s="594"/>
      <c r="W651" s="594"/>
      <c r="X651" s="594"/>
      <c r="Y651" s="594"/>
      <c r="Z651" s="594"/>
    </row>
    <row r="652" spans="1:26" x14ac:dyDescent="0.2">
      <c r="A652" s="594"/>
      <c r="B652" s="594"/>
      <c r="C652" s="594"/>
      <c r="D652" s="594"/>
      <c r="E652" s="594"/>
      <c r="F652" s="594"/>
      <c r="G652" s="594"/>
      <c r="H652" s="594"/>
      <c r="I652" s="594"/>
      <c r="J652" s="594"/>
      <c r="K652" s="594"/>
      <c r="L652" s="594"/>
      <c r="M652" s="594"/>
      <c r="N652" s="594"/>
      <c r="O652" s="594"/>
      <c r="P652" s="594"/>
      <c r="Q652" s="594"/>
      <c r="R652" s="594"/>
      <c r="S652" s="594"/>
      <c r="T652" s="594"/>
      <c r="U652" s="594"/>
      <c r="V652" s="594"/>
      <c r="W652" s="594"/>
      <c r="X652" s="594"/>
      <c r="Y652" s="594"/>
      <c r="Z652" s="594"/>
    </row>
    <row r="653" spans="1:26" x14ac:dyDescent="0.2">
      <c r="A653" s="594"/>
      <c r="B653" s="594"/>
      <c r="C653" s="594"/>
      <c r="D653" s="594"/>
      <c r="E653" s="594"/>
      <c r="F653" s="594"/>
      <c r="G653" s="594"/>
      <c r="H653" s="594"/>
      <c r="I653" s="594"/>
      <c r="J653" s="594"/>
      <c r="K653" s="594"/>
      <c r="L653" s="594"/>
      <c r="M653" s="594"/>
      <c r="N653" s="594"/>
      <c r="O653" s="594"/>
      <c r="P653" s="594"/>
      <c r="Q653" s="594"/>
      <c r="R653" s="594"/>
      <c r="S653" s="594"/>
      <c r="T653" s="594"/>
      <c r="U653" s="594"/>
      <c r="V653" s="594"/>
      <c r="W653" s="594"/>
      <c r="X653" s="594"/>
      <c r="Y653" s="594"/>
      <c r="Z653" s="594"/>
    </row>
    <row r="654" spans="1:26" x14ac:dyDescent="0.2">
      <c r="A654" s="594"/>
      <c r="B654" s="594"/>
      <c r="C654" s="594"/>
      <c r="D654" s="594"/>
      <c r="E654" s="594"/>
      <c r="F654" s="594"/>
      <c r="G654" s="594"/>
      <c r="H654" s="594"/>
      <c r="I654" s="594"/>
      <c r="J654" s="594"/>
      <c r="K654" s="594"/>
      <c r="L654" s="594"/>
      <c r="M654" s="594"/>
      <c r="N654" s="594"/>
      <c r="O654" s="594"/>
      <c r="P654" s="594"/>
      <c r="Q654" s="594"/>
      <c r="R654" s="594"/>
      <c r="S654" s="594"/>
      <c r="T654" s="594"/>
      <c r="U654" s="594"/>
      <c r="V654" s="594"/>
      <c r="W654" s="594"/>
      <c r="X654" s="594"/>
      <c r="Y654" s="594"/>
      <c r="Z654" s="594"/>
    </row>
    <row r="655" spans="1:26" x14ac:dyDescent="0.2">
      <c r="A655" s="594"/>
      <c r="B655" s="594"/>
      <c r="C655" s="594"/>
      <c r="D655" s="594"/>
      <c r="E655" s="594"/>
      <c r="F655" s="594"/>
      <c r="G655" s="594"/>
      <c r="H655" s="594"/>
      <c r="I655" s="594"/>
      <c r="J655" s="594"/>
      <c r="K655" s="594"/>
      <c r="L655" s="594"/>
      <c r="M655" s="594"/>
      <c r="N655" s="594"/>
      <c r="O655" s="594"/>
      <c r="P655" s="594"/>
      <c r="Q655" s="594"/>
      <c r="R655" s="594"/>
      <c r="S655" s="594"/>
      <c r="T655" s="594"/>
      <c r="U655" s="594"/>
      <c r="V655" s="594"/>
      <c r="W655" s="594"/>
      <c r="X655" s="594"/>
      <c r="Y655" s="594"/>
      <c r="Z655" s="594"/>
    </row>
    <row r="656" spans="1:26" x14ac:dyDescent="0.2">
      <c r="A656" s="594"/>
      <c r="B656" s="594"/>
      <c r="C656" s="594"/>
      <c r="D656" s="594"/>
      <c r="E656" s="594"/>
      <c r="F656" s="594"/>
      <c r="G656" s="594"/>
      <c r="H656" s="594"/>
      <c r="I656" s="594"/>
      <c r="J656" s="594"/>
      <c r="K656" s="594"/>
      <c r="L656" s="594"/>
      <c r="M656" s="594"/>
      <c r="N656" s="594"/>
      <c r="O656" s="594"/>
      <c r="P656" s="594"/>
      <c r="Q656" s="594"/>
      <c r="R656" s="594"/>
      <c r="S656" s="594"/>
      <c r="T656" s="594"/>
      <c r="U656" s="594"/>
      <c r="V656" s="594"/>
      <c r="W656" s="594"/>
      <c r="X656" s="594"/>
      <c r="Y656" s="594"/>
      <c r="Z656" s="594"/>
    </row>
    <row r="657" spans="1:26" x14ac:dyDescent="0.2">
      <c r="A657" s="594"/>
      <c r="B657" s="594"/>
      <c r="C657" s="594"/>
      <c r="D657" s="594"/>
      <c r="E657" s="594"/>
      <c r="F657" s="594"/>
      <c r="G657" s="594"/>
      <c r="H657" s="594"/>
      <c r="I657" s="594"/>
      <c r="J657" s="594"/>
      <c r="K657" s="594"/>
      <c r="L657" s="594"/>
      <c r="M657" s="594"/>
      <c r="N657" s="594"/>
      <c r="O657" s="594"/>
      <c r="P657" s="594"/>
      <c r="Q657" s="594"/>
      <c r="R657" s="594"/>
      <c r="S657" s="594"/>
      <c r="T657" s="594"/>
      <c r="U657" s="594"/>
      <c r="V657" s="594"/>
      <c r="W657" s="594"/>
      <c r="X657" s="594"/>
      <c r="Y657" s="594"/>
      <c r="Z657" s="594"/>
    </row>
    <row r="658" spans="1:26" x14ac:dyDescent="0.2">
      <c r="A658" s="594"/>
      <c r="B658" s="594"/>
      <c r="C658" s="594"/>
      <c r="D658" s="594"/>
      <c r="E658" s="594"/>
      <c r="F658" s="594"/>
      <c r="G658" s="594"/>
      <c r="H658" s="594"/>
      <c r="I658" s="594"/>
      <c r="J658" s="594"/>
      <c r="K658" s="594"/>
      <c r="L658" s="594"/>
      <c r="M658" s="594"/>
      <c r="N658" s="594"/>
      <c r="O658" s="594"/>
      <c r="P658" s="594"/>
      <c r="Q658" s="594"/>
      <c r="R658" s="594"/>
      <c r="S658" s="594"/>
      <c r="T658" s="594"/>
      <c r="U658" s="594"/>
      <c r="V658" s="594"/>
      <c r="W658" s="594"/>
      <c r="X658" s="594"/>
      <c r="Y658" s="594"/>
      <c r="Z658" s="594"/>
    </row>
    <row r="659" spans="1:26" x14ac:dyDescent="0.2">
      <c r="A659" s="594"/>
      <c r="B659" s="594"/>
      <c r="C659" s="594"/>
      <c r="D659" s="594"/>
      <c r="E659" s="594"/>
      <c r="F659" s="594"/>
      <c r="G659" s="594"/>
      <c r="H659" s="594"/>
      <c r="I659" s="594"/>
      <c r="J659" s="594"/>
      <c r="K659" s="594"/>
      <c r="L659" s="594"/>
      <c r="M659" s="594"/>
      <c r="N659" s="594"/>
      <c r="O659" s="594"/>
      <c r="P659" s="594"/>
      <c r="Q659" s="594"/>
      <c r="R659" s="594"/>
      <c r="S659" s="594"/>
      <c r="T659" s="594"/>
      <c r="U659" s="594"/>
      <c r="V659" s="594"/>
      <c r="W659" s="594"/>
      <c r="X659" s="594"/>
      <c r="Y659" s="594"/>
      <c r="Z659" s="594"/>
    </row>
    <row r="660" spans="1:26" x14ac:dyDescent="0.2">
      <c r="A660" s="594"/>
      <c r="B660" s="594"/>
      <c r="C660" s="594"/>
      <c r="D660" s="594"/>
      <c r="E660" s="594"/>
      <c r="F660" s="594"/>
      <c r="G660" s="594"/>
      <c r="H660" s="594"/>
      <c r="I660" s="594"/>
      <c r="J660" s="594"/>
      <c r="K660" s="594"/>
      <c r="L660" s="594"/>
      <c r="M660" s="594"/>
      <c r="N660" s="594"/>
      <c r="O660" s="594"/>
      <c r="P660" s="594"/>
      <c r="Q660" s="594"/>
      <c r="R660" s="594"/>
      <c r="S660" s="594"/>
      <c r="T660" s="594"/>
      <c r="U660" s="594"/>
      <c r="V660" s="594"/>
      <c r="W660" s="594"/>
      <c r="X660" s="594"/>
      <c r="Y660" s="594"/>
      <c r="Z660" s="594"/>
    </row>
    <row r="661" spans="1:26" x14ac:dyDescent="0.2">
      <c r="A661" s="594"/>
      <c r="B661" s="594"/>
      <c r="C661" s="594"/>
      <c r="D661" s="594"/>
      <c r="E661" s="594"/>
      <c r="F661" s="594"/>
      <c r="G661" s="594"/>
      <c r="H661" s="594"/>
      <c r="I661" s="594"/>
      <c r="J661" s="594"/>
      <c r="K661" s="594"/>
      <c r="L661" s="594"/>
      <c r="M661" s="594"/>
      <c r="N661" s="594"/>
      <c r="O661" s="594"/>
      <c r="P661" s="594"/>
      <c r="Q661" s="594"/>
      <c r="R661" s="594"/>
      <c r="S661" s="594"/>
      <c r="T661" s="594"/>
      <c r="U661" s="594"/>
      <c r="V661" s="594"/>
      <c r="W661" s="594"/>
      <c r="X661" s="594"/>
      <c r="Y661" s="594"/>
      <c r="Z661" s="594"/>
    </row>
    <row r="662" spans="1:26" x14ac:dyDescent="0.2">
      <c r="A662" s="594"/>
      <c r="B662" s="594"/>
      <c r="C662" s="594"/>
      <c r="D662" s="594"/>
      <c r="E662" s="594"/>
      <c r="F662" s="594"/>
      <c r="G662" s="594"/>
      <c r="H662" s="594"/>
      <c r="I662" s="594"/>
      <c r="J662" s="594"/>
      <c r="K662" s="594"/>
      <c r="L662" s="594"/>
      <c r="M662" s="594"/>
      <c r="N662" s="594"/>
      <c r="O662" s="594"/>
      <c r="P662" s="594"/>
      <c r="Q662" s="594"/>
      <c r="R662" s="594"/>
      <c r="S662" s="594"/>
      <c r="T662" s="594"/>
      <c r="U662" s="594"/>
      <c r="V662" s="594"/>
      <c r="W662" s="594"/>
      <c r="X662" s="594"/>
      <c r="Y662" s="594"/>
      <c r="Z662" s="594"/>
    </row>
    <row r="663" spans="1:26" x14ac:dyDescent="0.2">
      <c r="A663" s="594"/>
      <c r="B663" s="594"/>
      <c r="C663" s="594"/>
      <c r="D663" s="594"/>
      <c r="E663" s="594"/>
      <c r="F663" s="594"/>
      <c r="G663" s="594"/>
      <c r="H663" s="594"/>
      <c r="I663" s="594"/>
      <c r="J663" s="594"/>
      <c r="K663" s="594"/>
      <c r="L663" s="594"/>
      <c r="M663" s="594"/>
      <c r="N663" s="594"/>
      <c r="O663" s="594"/>
      <c r="P663" s="594"/>
      <c r="Q663" s="594"/>
      <c r="R663" s="594"/>
      <c r="S663" s="594"/>
      <c r="T663" s="594"/>
      <c r="U663" s="594"/>
      <c r="V663" s="594"/>
      <c r="W663" s="594"/>
      <c r="X663" s="594"/>
      <c r="Y663" s="594"/>
      <c r="Z663" s="594"/>
    </row>
    <row r="664" spans="1:26" x14ac:dyDescent="0.2">
      <c r="A664" s="594"/>
      <c r="B664" s="594"/>
      <c r="C664" s="594"/>
      <c r="D664" s="594"/>
      <c r="E664" s="594"/>
      <c r="F664" s="594"/>
      <c r="G664" s="594"/>
      <c r="H664" s="594"/>
      <c r="I664" s="594"/>
      <c r="J664" s="594"/>
      <c r="K664" s="594"/>
      <c r="L664" s="594"/>
      <c r="M664" s="594"/>
      <c r="N664" s="594"/>
      <c r="O664" s="594"/>
      <c r="P664" s="594"/>
      <c r="Q664" s="594"/>
      <c r="R664" s="594"/>
      <c r="S664" s="594"/>
      <c r="T664" s="594"/>
      <c r="U664" s="594"/>
      <c r="V664" s="594"/>
      <c r="W664" s="594"/>
      <c r="X664" s="594"/>
      <c r="Y664" s="594"/>
      <c r="Z664" s="594"/>
    </row>
    <row r="665" spans="1:26" x14ac:dyDescent="0.2">
      <c r="A665" s="594"/>
      <c r="B665" s="594"/>
      <c r="C665" s="594"/>
      <c r="D665" s="594"/>
      <c r="E665" s="594"/>
      <c r="F665" s="594"/>
      <c r="G665" s="594"/>
      <c r="H665" s="594"/>
      <c r="I665" s="594"/>
      <c r="J665" s="594"/>
      <c r="K665" s="594"/>
      <c r="L665" s="594"/>
      <c r="M665" s="594"/>
      <c r="N665" s="594"/>
      <c r="O665" s="594"/>
      <c r="P665" s="594"/>
      <c r="Q665" s="594"/>
      <c r="R665" s="594"/>
      <c r="S665" s="594"/>
      <c r="T665" s="594"/>
      <c r="U665" s="594"/>
      <c r="V665" s="594"/>
      <c r="W665" s="594"/>
      <c r="X665" s="594"/>
      <c r="Y665" s="594"/>
      <c r="Z665" s="594"/>
    </row>
    <row r="666" spans="1:26" x14ac:dyDescent="0.2">
      <c r="A666" s="594"/>
      <c r="B666" s="594"/>
      <c r="C666" s="594"/>
      <c r="D666" s="594"/>
      <c r="E666" s="594"/>
      <c r="F666" s="594"/>
      <c r="G666" s="594"/>
      <c r="H666" s="594"/>
      <c r="I666" s="594"/>
      <c r="J666" s="594"/>
      <c r="K666" s="594"/>
      <c r="L666" s="594"/>
      <c r="M666" s="594"/>
      <c r="N666" s="594"/>
      <c r="O666" s="594"/>
      <c r="P666" s="594"/>
      <c r="Q666" s="594"/>
      <c r="R666" s="594"/>
      <c r="S666" s="594"/>
      <c r="T666" s="594"/>
      <c r="U666" s="594"/>
      <c r="V666" s="594"/>
      <c r="W666" s="594"/>
      <c r="X666" s="594"/>
      <c r="Y666" s="594"/>
      <c r="Z666" s="594"/>
    </row>
    <row r="667" spans="1:26" x14ac:dyDescent="0.2">
      <c r="A667" s="594"/>
      <c r="B667" s="594"/>
      <c r="C667" s="594"/>
      <c r="D667" s="594"/>
      <c r="E667" s="594"/>
      <c r="F667" s="594"/>
      <c r="G667" s="594"/>
      <c r="H667" s="594"/>
      <c r="I667" s="594"/>
      <c r="J667" s="594"/>
      <c r="K667" s="594"/>
      <c r="L667" s="594"/>
      <c r="M667" s="594"/>
      <c r="N667" s="594"/>
      <c r="O667" s="594"/>
      <c r="P667" s="594"/>
      <c r="Q667" s="594"/>
      <c r="R667" s="594"/>
      <c r="S667" s="594"/>
      <c r="T667" s="594"/>
      <c r="U667" s="594"/>
      <c r="V667" s="594"/>
      <c r="W667" s="594"/>
      <c r="X667" s="594"/>
      <c r="Y667" s="594"/>
      <c r="Z667" s="594"/>
    </row>
    <row r="668" spans="1:26" x14ac:dyDescent="0.2">
      <c r="A668" s="594"/>
      <c r="B668" s="594"/>
      <c r="C668" s="594"/>
      <c r="D668" s="594"/>
      <c r="E668" s="594"/>
      <c r="F668" s="594"/>
      <c r="G668" s="594"/>
      <c r="H668" s="594"/>
      <c r="I668" s="594"/>
      <c r="J668" s="594"/>
      <c r="K668" s="594"/>
      <c r="L668" s="594"/>
      <c r="M668" s="594"/>
      <c r="N668" s="594"/>
      <c r="O668" s="594"/>
      <c r="P668" s="594"/>
      <c r="Q668" s="594"/>
      <c r="R668" s="594"/>
      <c r="S668" s="594"/>
      <c r="T668" s="594"/>
      <c r="U668" s="594"/>
      <c r="V668" s="594"/>
      <c r="W668" s="594"/>
      <c r="X668" s="594"/>
      <c r="Y668" s="594"/>
      <c r="Z668" s="594"/>
    </row>
    <row r="669" spans="1:26" x14ac:dyDescent="0.2">
      <c r="A669" s="592"/>
      <c r="B669" s="592"/>
      <c r="C669" s="592"/>
      <c r="D669" s="592"/>
      <c r="E669" s="592"/>
      <c r="F669" s="592"/>
      <c r="G669" s="592"/>
      <c r="H669" s="592"/>
      <c r="I669" s="592"/>
      <c r="J669" s="592"/>
      <c r="K669" s="592"/>
      <c r="L669" s="592"/>
      <c r="M669" s="592"/>
      <c r="N669" s="592"/>
      <c r="O669" s="592"/>
      <c r="P669" s="592"/>
      <c r="Q669" s="592"/>
      <c r="R669" s="592"/>
      <c r="S669" s="592"/>
      <c r="T669" s="592"/>
      <c r="U669" s="592"/>
      <c r="V669" s="592"/>
      <c r="W669" s="592"/>
      <c r="X669" s="592"/>
    </row>
    <row r="670" spans="1:26" x14ac:dyDescent="0.2">
      <c r="A670" s="592"/>
      <c r="B670" s="592"/>
      <c r="C670" s="592"/>
      <c r="D670" s="592"/>
      <c r="E670" s="592"/>
      <c r="F670" s="592"/>
      <c r="G670" s="592"/>
      <c r="H670" s="592"/>
      <c r="I670" s="592"/>
      <c r="J670" s="592"/>
      <c r="K670" s="592"/>
      <c r="L670" s="592"/>
      <c r="M670" s="592"/>
      <c r="N670" s="592"/>
      <c r="O670" s="592"/>
      <c r="P670" s="592"/>
      <c r="Q670" s="592"/>
      <c r="R670" s="592"/>
      <c r="S670" s="592"/>
      <c r="T670" s="592"/>
      <c r="U670" s="592"/>
      <c r="V670" s="592"/>
      <c r="W670" s="592"/>
      <c r="X670" s="592"/>
    </row>
    <row r="671" spans="1:26" x14ac:dyDescent="0.2">
      <c r="A671" s="592"/>
      <c r="B671" s="592"/>
      <c r="C671" s="592"/>
      <c r="D671" s="592"/>
      <c r="E671" s="592"/>
      <c r="F671" s="592"/>
      <c r="G671" s="592"/>
      <c r="H671" s="592"/>
      <c r="I671" s="592"/>
      <c r="J671" s="592"/>
      <c r="K671" s="592"/>
      <c r="L671" s="592"/>
      <c r="M671" s="592"/>
      <c r="N671" s="592"/>
      <c r="O671" s="592"/>
      <c r="P671" s="592"/>
      <c r="Q671" s="592"/>
      <c r="R671" s="592"/>
      <c r="S671" s="592"/>
      <c r="T671" s="592"/>
      <c r="U671" s="592"/>
      <c r="V671" s="592"/>
      <c r="W671" s="592"/>
      <c r="X671" s="592"/>
    </row>
    <row r="672" spans="1:26" x14ac:dyDescent="0.2">
      <c r="A672" s="592"/>
      <c r="B672" s="592"/>
      <c r="C672" s="592"/>
      <c r="D672" s="592"/>
      <c r="E672" s="592"/>
      <c r="F672" s="592"/>
      <c r="G672" s="592"/>
      <c r="H672" s="592"/>
      <c r="I672" s="592"/>
      <c r="J672" s="592"/>
      <c r="K672" s="592"/>
      <c r="L672" s="592"/>
      <c r="M672" s="592"/>
      <c r="N672" s="592"/>
      <c r="O672" s="592"/>
      <c r="P672" s="592"/>
      <c r="Q672" s="592"/>
      <c r="R672" s="592"/>
      <c r="S672" s="592"/>
      <c r="T672" s="592"/>
      <c r="U672" s="592"/>
      <c r="V672" s="592"/>
      <c r="W672" s="592"/>
      <c r="X672" s="592"/>
    </row>
    <row r="673" spans="1:24" x14ac:dyDescent="0.2">
      <c r="A673" s="592"/>
      <c r="B673" s="592"/>
      <c r="C673" s="592"/>
      <c r="D673" s="592"/>
      <c r="E673" s="592"/>
      <c r="F673" s="592"/>
      <c r="G673" s="592"/>
      <c r="H673" s="592"/>
      <c r="I673" s="592"/>
      <c r="J673" s="592"/>
      <c r="K673" s="592"/>
      <c r="L673" s="592"/>
      <c r="M673" s="592"/>
      <c r="N673" s="592"/>
      <c r="O673" s="592"/>
      <c r="P673" s="592"/>
      <c r="Q673" s="592"/>
      <c r="R673" s="592"/>
      <c r="S673" s="592"/>
      <c r="T673" s="592"/>
      <c r="U673" s="592"/>
      <c r="V673" s="592"/>
      <c r="W673" s="592"/>
      <c r="X673" s="592"/>
    </row>
    <row r="674" spans="1:24" x14ac:dyDescent="0.2">
      <c r="A674" s="592"/>
      <c r="B674" s="592"/>
      <c r="C674" s="592"/>
      <c r="D674" s="592"/>
      <c r="E674" s="592"/>
      <c r="F674" s="592"/>
      <c r="G674" s="592"/>
      <c r="H674" s="592"/>
      <c r="I674" s="592"/>
      <c r="J674" s="592"/>
      <c r="K674" s="592"/>
      <c r="L674" s="592"/>
      <c r="M674" s="592"/>
      <c r="N674" s="592"/>
      <c r="O674" s="592"/>
      <c r="P674" s="592"/>
      <c r="Q674" s="592"/>
      <c r="R674" s="592"/>
      <c r="S674" s="592"/>
      <c r="T674" s="592"/>
      <c r="U674" s="592"/>
      <c r="V674" s="592"/>
      <c r="W674" s="592"/>
      <c r="X674" s="592"/>
    </row>
    <row r="675" spans="1:24" x14ac:dyDescent="0.2">
      <c r="A675" s="592"/>
      <c r="B675" s="592"/>
      <c r="C675" s="592"/>
      <c r="D675" s="592"/>
      <c r="E675" s="592"/>
      <c r="F675" s="592"/>
      <c r="G675" s="592"/>
      <c r="H675" s="592"/>
      <c r="I675" s="592"/>
      <c r="J675" s="592"/>
      <c r="K675" s="592"/>
      <c r="L675" s="592"/>
      <c r="M675" s="592"/>
      <c r="N675" s="592"/>
      <c r="O675" s="592"/>
      <c r="P675" s="592"/>
      <c r="Q675" s="592"/>
      <c r="R675" s="592"/>
      <c r="S675" s="592"/>
      <c r="T675" s="592"/>
      <c r="U675" s="592"/>
      <c r="V675" s="592"/>
      <c r="W675" s="592"/>
      <c r="X675" s="592"/>
    </row>
    <row r="676" spans="1:24" x14ac:dyDescent="0.2">
      <c r="A676" s="592"/>
      <c r="B676" s="592"/>
      <c r="C676" s="592"/>
      <c r="D676" s="592"/>
      <c r="E676" s="592"/>
      <c r="F676" s="592"/>
      <c r="G676" s="592"/>
      <c r="H676" s="592"/>
      <c r="I676" s="592"/>
      <c r="J676" s="592"/>
      <c r="K676" s="592"/>
      <c r="L676" s="592"/>
      <c r="M676" s="592"/>
      <c r="N676" s="592"/>
      <c r="O676" s="592"/>
      <c r="P676" s="592"/>
      <c r="Q676" s="592"/>
      <c r="R676" s="592"/>
      <c r="S676" s="592"/>
      <c r="T676" s="592"/>
      <c r="U676" s="592"/>
      <c r="V676" s="592"/>
      <c r="W676" s="592"/>
      <c r="X676" s="592"/>
    </row>
    <row r="677" spans="1:24" x14ac:dyDescent="0.2">
      <c r="A677" s="592"/>
      <c r="B677" s="592"/>
      <c r="C677" s="592"/>
      <c r="D677" s="592"/>
      <c r="E677" s="592"/>
      <c r="F677" s="592"/>
      <c r="G677" s="592"/>
      <c r="H677" s="592"/>
      <c r="I677" s="592"/>
      <c r="J677" s="592"/>
      <c r="K677" s="592"/>
      <c r="L677" s="592"/>
      <c r="M677" s="592"/>
      <c r="N677" s="592"/>
      <c r="O677" s="592"/>
      <c r="P677" s="592"/>
      <c r="Q677" s="592"/>
      <c r="R677" s="592"/>
      <c r="S677" s="592"/>
      <c r="T677" s="592"/>
      <c r="U677" s="592"/>
      <c r="V677" s="592"/>
      <c r="W677" s="592"/>
      <c r="X677" s="592"/>
    </row>
    <row r="678" spans="1:24" x14ac:dyDescent="0.2">
      <c r="A678" s="592"/>
      <c r="B678" s="592"/>
      <c r="C678" s="592"/>
      <c r="D678" s="592"/>
      <c r="E678" s="592"/>
      <c r="F678" s="592"/>
      <c r="G678" s="592"/>
      <c r="H678" s="592"/>
      <c r="I678" s="592"/>
      <c r="J678" s="592"/>
      <c r="K678" s="592"/>
      <c r="L678" s="592"/>
      <c r="M678" s="592"/>
      <c r="N678" s="592"/>
      <c r="O678" s="592"/>
      <c r="P678" s="592"/>
      <c r="Q678" s="592"/>
      <c r="R678" s="592"/>
      <c r="S678" s="592"/>
      <c r="T678" s="592"/>
      <c r="U678" s="592"/>
      <c r="V678" s="592"/>
      <c r="W678" s="592"/>
      <c r="X678" s="592"/>
    </row>
    <row r="679" spans="1:24" x14ac:dyDescent="0.2">
      <c r="A679" s="592"/>
      <c r="B679" s="592"/>
      <c r="C679" s="592"/>
      <c r="D679" s="592"/>
      <c r="E679" s="592"/>
      <c r="F679" s="592"/>
      <c r="G679" s="592"/>
      <c r="H679" s="592"/>
      <c r="I679" s="592"/>
      <c r="J679" s="592"/>
      <c r="K679" s="592"/>
      <c r="L679" s="592"/>
      <c r="M679" s="592"/>
      <c r="N679" s="592"/>
      <c r="O679" s="592"/>
      <c r="P679" s="592"/>
      <c r="Q679" s="592"/>
      <c r="R679" s="592"/>
      <c r="S679" s="592"/>
      <c r="T679" s="592"/>
      <c r="U679" s="592"/>
      <c r="V679" s="592"/>
      <c r="W679" s="592"/>
      <c r="X679" s="592"/>
    </row>
    <row r="680" spans="1:24" x14ac:dyDescent="0.2">
      <c r="A680" s="592"/>
      <c r="B680" s="592"/>
      <c r="C680" s="592"/>
      <c r="D680" s="592"/>
      <c r="E680" s="592"/>
      <c r="F680" s="592"/>
      <c r="G680" s="592"/>
      <c r="H680" s="592"/>
      <c r="I680" s="592"/>
      <c r="J680" s="592"/>
      <c r="K680" s="592"/>
      <c r="L680" s="592"/>
      <c r="M680" s="592"/>
      <c r="N680" s="592"/>
      <c r="O680" s="592"/>
      <c r="P680" s="592"/>
      <c r="Q680" s="592"/>
      <c r="R680" s="592"/>
      <c r="S680" s="592"/>
      <c r="T680" s="592"/>
      <c r="U680" s="592"/>
      <c r="V680" s="592"/>
      <c r="W680" s="592"/>
      <c r="X680" s="592"/>
    </row>
    <row r="681" spans="1:24" x14ac:dyDescent="0.2">
      <c r="A681" s="592"/>
      <c r="B681" s="592"/>
      <c r="C681" s="592"/>
      <c r="D681" s="592"/>
      <c r="E681" s="592"/>
      <c r="F681" s="592"/>
      <c r="G681" s="592"/>
      <c r="H681" s="592"/>
      <c r="I681" s="592"/>
      <c r="J681" s="592"/>
      <c r="K681" s="592"/>
      <c r="L681" s="592"/>
      <c r="M681" s="592"/>
      <c r="N681" s="592"/>
      <c r="O681" s="592"/>
      <c r="P681" s="592"/>
      <c r="Q681" s="592"/>
      <c r="R681" s="592"/>
      <c r="S681" s="592"/>
      <c r="T681" s="592"/>
      <c r="U681" s="592"/>
      <c r="V681" s="592"/>
      <c r="W681" s="592"/>
      <c r="X681" s="592"/>
    </row>
    <row r="682" spans="1:24" x14ac:dyDescent="0.2">
      <c r="A682" s="592"/>
      <c r="B682" s="592"/>
      <c r="C682" s="592"/>
      <c r="D682" s="592"/>
      <c r="E682" s="592"/>
      <c r="F682" s="592"/>
      <c r="G682" s="592"/>
      <c r="H682" s="592"/>
      <c r="I682" s="592"/>
      <c r="J682" s="592"/>
      <c r="K682" s="592"/>
      <c r="L682" s="592"/>
      <c r="M682" s="592"/>
      <c r="N682" s="592"/>
      <c r="O682" s="592"/>
      <c r="P682" s="592"/>
      <c r="Q682" s="592"/>
      <c r="R682" s="592"/>
      <c r="S682" s="592"/>
      <c r="T682" s="592"/>
      <c r="U682" s="592"/>
      <c r="V682" s="592"/>
      <c r="W682" s="592"/>
      <c r="X682" s="592"/>
    </row>
    <row r="683" spans="1:24" x14ac:dyDescent="0.2">
      <c r="A683" s="592"/>
      <c r="B683" s="592"/>
      <c r="C683" s="592"/>
      <c r="D683" s="592"/>
      <c r="E683" s="592"/>
      <c r="F683" s="592"/>
      <c r="G683" s="592"/>
      <c r="H683" s="592"/>
      <c r="I683" s="592"/>
      <c r="J683" s="592"/>
      <c r="K683" s="592"/>
      <c r="L683" s="592"/>
      <c r="M683" s="592"/>
      <c r="N683" s="592"/>
      <c r="O683" s="592"/>
      <c r="P683" s="592"/>
      <c r="Q683" s="592"/>
      <c r="R683" s="592"/>
      <c r="S683" s="592"/>
      <c r="T683" s="592"/>
      <c r="U683" s="592"/>
      <c r="V683" s="592"/>
      <c r="W683" s="592"/>
      <c r="X683" s="592"/>
    </row>
    <row r="684" spans="1:24" x14ac:dyDescent="0.2">
      <c r="A684" s="592"/>
      <c r="B684" s="592"/>
      <c r="C684" s="592"/>
      <c r="D684" s="592"/>
      <c r="E684" s="592"/>
      <c r="F684" s="592"/>
      <c r="G684" s="592"/>
      <c r="H684" s="592"/>
      <c r="I684" s="592"/>
      <c r="J684" s="592"/>
      <c r="K684" s="592"/>
      <c r="L684" s="592"/>
      <c r="M684" s="592"/>
      <c r="N684" s="592"/>
      <c r="O684" s="592"/>
      <c r="P684" s="592"/>
      <c r="Q684" s="592"/>
      <c r="R684" s="592"/>
      <c r="S684" s="592"/>
      <c r="T684" s="592"/>
      <c r="U684" s="592"/>
      <c r="V684" s="592"/>
      <c r="W684" s="592"/>
      <c r="X684" s="592"/>
    </row>
    <row r="685" spans="1:24" x14ac:dyDescent="0.2">
      <c r="A685" s="592"/>
      <c r="B685" s="592"/>
      <c r="C685" s="592"/>
      <c r="D685" s="592"/>
      <c r="E685" s="592"/>
      <c r="F685" s="592"/>
      <c r="G685" s="592"/>
      <c r="H685" s="592"/>
      <c r="I685" s="592"/>
      <c r="J685" s="592"/>
      <c r="K685" s="592"/>
      <c r="L685" s="592"/>
      <c r="M685" s="592"/>
      <c r="N685" s="592"/>
      <c r="O685" s="592"/>
      <c r="P685" s="592"/>
      <c r="Q685" s="592"/>
      <c r="R685" s="592"/>
      <c r="S685" s="592"/>
      <c r="T685" s="592"/>
      <c r="U685" s="592"/>
      <c r="V685" s="592"/>
      <c r="W685" s="592"/>
      <c r="X685" s="592"/>
    </row>
    <row r="686" spans="1:24" x14ac:dyDescent="0.2">
      <c r="A686" s="592"/>
      <c r="B686" s="592"/>
      <c r="C686" s="592"/>
      <c r="D686" s="592"/>
      <c r="E686" s="592"/>
      <c r="F686" s="592"/>
      <c r="G686" s="592"/>
      <c r="H686" s="592"/>
      <c r="I686" s="592"/>
      <c r="J686" s="592"/>
      <c r="K686" s="592"/>
      <c r="L686" s="592"/>
      <c r="M686" s="592"/>
      <c r="N686" s="592"/>
      <c r="O686" s="592"/>
      <c r="P686" s="592"/>
      <c r="Q686" s="592"/>
      <c r="R686" s="592"/>
      <c r="S686" s="592"/>
      <c r="T686" s="592"/>
      <c r="U686" s="592"/>
      <c r="V686" s="592"/>
      <c r="W686" s="592"/>
      <c r="X686" s="592"/>
    </row>
    <row r="687" spans="1:24" x14ac:dyDescent="0.2">
      <c r="A687" s="592"/>
      <c r="B687" s="592"/>
      <c r="C687" s="592"/>
      <c r="D687" s="592"/>
      <c r="E687" s="592"/>
      <c r="F687" s="592"/>
      <c r="G687" s="592"/>
      <c r="H687" s="592"/>
      <c r="I687" s="592"/>
      <c r="J687" s="592"/>
      <c r="K687" s="592"/>
      <c r="L687" s="592"/>
      <c r="M687" s="592"/>
      <c r="N687" s="592"/>
      <c r="O687" s="592"/>
      <c r="P687" s="592"/>
      <c r="Q687" s="592"/>
      <c r="R687" s="592"/>
      <c r="S687" s="592"/>
      <c r="T687" s="592"/>
      <c r="U687" s="592"/>
      <c r="V687" s="592"/>
      <c r="W687" s="592"/>
      <c r="X687" s="592"/>
    </row>
    <row r="688" spans="1:24" x14ac:dyDescent="0.2">
      <c r="A688" s="592"/>
      <c r="B688" s="592"/>
      <c r="C688" s="592"/>
      <c r="D688" s="592"/>
      <c r="E688" s="592"/>
      <c r="F688" s="592"/>
      <c r="G688" s="592"/>
      <c r="H688" s="592"/>
      <c r="I688" s="592"/>
      <c r="J688" s="592"/>
      <c r="K688" s="592"/>
      <c r="L688" s="592"/>
      <c r="M688" s="592"/>
      <c r="N688" s="592"/>
      <c r="O688" s="592"/>
      <c r="P688" s="592"/>
      <c r="Q688" s="592"/>
      <c r="R688" s="592"/>
      <c r="S688" s="592"/>
      <c r="T688" s="592"/>
      <c r="U688" s="592"/>
      <c r="V688" s="592"/>
      <c r="W688" s="592"/>
      <c r="X688" s="592"/>
    </row>
    <row r="689" spans="1:24" x14ac:dyDescent="0.2">
      <c r="A689" s="592"/>
      <c r="B689" s="592"/>
      <c r="C689" s="592"/>
      <c r="D689" s="592"/>
      <c r="E689" s="592"/>
      <c r="F689" s="592"/>
      <c r="G689" s="592"/>
      <c r="H689" s="592"/>
      <c r="I689" s="592"/>
      <c r="J689" s="592"/>
      <c r="K689" s="592"/>
      <c r="L689" s="592"/>
      <c r="M689" s="592"/>
      <c r="N689" s="592"/>
      <c r="O689" s="592"/>
      <c r="P689" s="592"/>
      <c r="Q689" s="592"/>
      <c r="R689" s="592"/>
      <c r="S689" s="592"/>
      <c r="T689" s="592"/>
      <c r="U689" s="592"/>
      <c r="V689" s="592"/>
      <c r="W689" s="592"/>
      <c r="X689" s="592"/>
    </row>
    <row r="690" spans="1:24" x14ac:dyDescent="0.2">
      <c r="A690" s="592"/>
      <c r="B690" s="592"/>
      <c r="C690" s="592"/>
      <c r="D690" s="592"/>
      <c r="E690" s="592"/>
      <c r="F690" s="592"/>
      <c r="G690" s="592"/>
      <c r="H690" s="592"/>
      <c r="I690" s="592"/>
      <c r="J690" s="592"/>
      <c r="K690" s="592"/>
      <c r="L690" s="592"/>
      <c r="M690" s="592"/>
      <c r="N690" s="592"/>
      <c r="O690" s="592"/>
      <c r="P690" s="592"/>
      <c r="Q690" s="592"/>
      <c r="R690" s="592"/>
      <c r="S690" s="592"/>
      <c r="T690" s="592"/>
      <c r="U690" s="592"/>
      <c r="V690" s="592"/>
      <c r="W690" s="592"/>
      <c r="X690" s="592"/>
    </row>
    <row r="691" spans="1:24" x14ac:dyDescent="0.2">
      <c r="A691" s="592"/>
      <c r="B691" s="592"/>
      <c r="C691" s="592"/>
      <c r="D691" s="592"/>
      <c r="E691" s="592"/>
      <c r="F691" s="592"/>
      <c r="G691" s="592"/>
      <c r="H691" s="592"/>
      <c r="I691" s="592"/>
      <c r="J691" s="592"/>
      <c r="K691" s="592"/>
      <c r="L691" s="592"/>
      <c r="M691" s="592"/>
      <c r="N691" s="592"/>
      <c r="O691" s="592"/>
      <c r="P691" s="592"/>
      <c r="Q691" s="592"/>
      <c r="R691" s="592"/>
      <c r="S691" s="592"/>
      <c r="T691" s="592"/>
      <c r="U691" s="592"/>
      <c r="V691" s="592"/>
      <c r="W691" s="592"/>
      <c r="X691" s="592"/>
    </row>
    <row r="692" spans="1:24" x14ac:dyDescent="0.2">
      <c r="A692" s="592"/>
      <c r="B692" s="592"/>
      <c r="C692" s="592"/>
      <c r="D692" s="592"/>
      <c r="E692" s="592"/>
      <c r="F692" s="592"/>
      <c r="G692" s="592"/>
      <c r="H692" s="592"/>
      <c r="I692" s="592"/>
      <c r="J692" s="592"/>
      <c r="K692" s="592"/>
      <c r="L692" s="592"/>
      <c r="M692" s="592"/>
      <c r="N692" s="592"/>
      <c r="O692" s="592"/>
      <c r="P692" s="592"/>
      <c r="Q692" s="592"/>
      <c r="R692" s="592"/>
      <c r="S692" s="592"/>
      <c r="T692" s="592"/>
      <c r="U692" s="592"/>
      <c r="V692" s="592"/>
      <c r="W692" s="592"/>
      <c r="X692" s="592"/>
    </row>
    <row r="693" spans="1:24" x14ac:dyDescent="0.2">
      <c r="A693" s="592"/>
      <c r="B693" s="592"/>
      <c r="C693" s="592"/>
      <c r="D693" s="592"/>
      <c r="E693" s="592"/>
      <c r="F693" s="592"/>
      <c r="G693" s="592"/>
      <c r="H693" s="592"/>
      <c r="I693" s="592"/>
      <c r="J693" s="592"/>
      <c r="K693" s="592"/>
      <c r="L693" s="592"/>
      <c r="M693" s="592"/>
      <c r="N693" s="592"/>
      <c r="O693" s="592"/>
      <c r="P693" s="592"/>
      <c r="Q693" s="592"/>
      <c r="R693" s="592"/>
      <c r="S693" s="592"/>
      <c r="T693" s="592"/>
      <c r="U693" s="592"/>
      <c r="V693" s="592"/>
      <c r="W693" s="592"/>
      <c r="X693" s="592"/>
    </row>
    <row r="694" spans="1:24" x14ac:dyDescent="0.2">
      <c r="A694" s="592"/>
      <c r="B694" s="592"/>
      <c r="C694" s="592"/>
      <c r="D694" s="592"/>
      <c r="E694" s="592"/>
      <c r="F694" s="592"/>
      <c r="G694" s="592"/>
      <c r="H694" s="592"/>
      <c r="I694" s="592"/>
      <c r="J694" s="592"/>
      <c r="K694" s="592"/>
      <c r="L694" s="592"/>
      <c r="M694" s="592"/>
      <c r="N694" s="592"/>
      <c r="O694" s="592"/>
      <c r="P694" s="592"/>
      <c r="Q694" s="592"/>
      <c r="R694" s="592"/>
      <c r="S694" s="592"/>
      <c r="T694" s="592"/>
      <c r="U694" s="592"/>
      <c r="V694" s="592"/>
      <c r="W694" s="592"/>
      <c r="X694" s="592"/>
    </row>
    <row r="695" spans="1:24" x14ac:dyDescent="0.2">
      <c r="A695" s="592"/>
      <c r="B695" s="592"/>
      <c r="C695" s="592"/>
      <c r="D695" s="592"/>
      <c r="E695" s="592"/>
      <c r="F695" s="592"/>
      <c r="G695" s="592"/>
      <c r="H695" s="592"/>
      <c r="I695" s="592"/>
      <c r="J695" s="592"/>
      <c r="K695" s="592"/>
      <c r="L695" s="592"/>
      <c r="M695" s="592"/>
      <c r="N695" s="592"/>
      <c r="O695" s="592"/>
      <c r="P695" s="592"/>
      <c r="Q695" s="592"/>
      <c r="R695" s="592"/>
      <c r="S695" s="592"/>
      <c r="T695" s="592"/>
      <c r="U695" s="592"/>
      <c r="V695" s="592"/>
      <c r="W695" s="592"/>
      <c r="X695" s="592"/>
    </row>
    <row r="696" spans="1:24" x14ac:dyDescent="0.2">
      <c r="A696" s="592"/>
      <c r="B696" s="592"/>
      <c r="C696" s="592"/>
      <c r="D696" s="592"/>
      <c r="E696" s="592"/>
      <c r="F696" s="592"/>
      <c r="G696" s="592"/>
      <c r="H696" s="592"/>
      <c r="I696" s="592"/>
      <c r="J696" s="592"/>
      <c r="K696" s="592"/>
      <c r="L696" s="592"/>
      <c r="M696" s="592"/>
      <c r="N696" s="592"/>
      <c r="O696" s="592"/>
      <c r="P696" s="592"/>
      <c r="Q696" s="592"/>
      <c r="R696" s="592"/>
      <c r="S696" s="592"/>
      <c r="T696" s="592"/>
      <c r="U696" s="592"/>
      <c r="V696" s="592"/>
      <c r="W696" s="592"/>
      <c r="X696" s="592"/>
    </row>
    <row r="697" spans="1:24" x14ac:dyDescent="0.2">
      <c r="A697" s="592"/>
      <c r="B697" s="592"/>
      <c r="C697" s="592"/>
      <c r="D697" s="592"/>
      <c r="E697" s="592"/>
      <c r="F697" s="592"/>
      <c r="G697" s="592"/>
      <c r="H697" s="592"/>
      <c r="I697" s="592"/>
      <c r="J697" s="592"/>
      <c r="K697" s="592"/>
      <c r="L697" s="592"/>
      <c r="M697" s="592"/>
      <c r="N697" s="592"/>
      <c r="O697" s="592"/>
      <c r="P697" s="592"/>
      <c r="Q697" s="592"/>
      <c r="R697" s="592"/>
      <c r="S697" s="592"/>
      <c r="T697" s="592"/>
      <c r="U697" s="592"/>
      <c r="V697" s="592"/>
      <c r="W697" s="592"/>
      <c r="X697" s="592"/>
    </row>
    <row r="698" spans="1:24" x14ac:dyDescent="0.2">
      <c r="A698" s="592"/>
      <c r="B698" s="592"/>
      <c r="C698" s="592"/>
      <c r="D698" s="592"/>
      <c r="E698" s="592"/>
      <c r="F698" s="592"/>
      <c r="G698" s="592"/>
      <c r="H698" s="592"/>
      <c r="I698" s="592"/>
      <c r="J698" s="592"/>
      <c r="K698" s="592"/>
      <c r="L698" s="592"/>
      <c r="M698" s="592"/>
      <c r="N698" s="592"/>
      <c r="O698" s="592"/>
      <c r="P698" s="592"/>
      <c r="Q698" s="592"/>
      <c r="R698" s="592"/>
      <c r="S698" s="592"/>
      <c r="T698" s="592"/>
      <c r="U698" s="592"/>
      <c r="V698" s="592"/>
      <c r="W698" s="592"/>
      <c r="X698" s="592"/>
    </row>
    <row r="699" spans="1:24" x14ac:dyDescent="0.2">
      <c r="A699" s="592"/>
      <c r="B699" s="592"/>
      <c r="C699" s="592"/>
      <c r="D699" s="592"/>
      <c r="E699" s="592"/>
      <c r="F699" s="592"/>
      <c r="G699" s="592"/>
      <c r="H699" s="592"/>
      <c r="I699" s="592"/>
      <c r="J699" s="592"/>
      <c r="K699" s="592"/>
      <c r="L699" s="592"/>
      <c r="M699" s="592"/>
      <c r="N699" s="592"/>
      <c r="O699" s="592"/>
      <c r="P699" s="592"/>
      <c r="Q699" s="592"/>
      <c r="R699" s="592"/>
      <c r="S699" s="592"/>
      <c r="T699" s="592"/>
      <c r="U699" s="592"/>
      <c r="V699" s="592"/>
      <c r="W699" s="592"/>
      <c r="X699" s="592"/>
    </row>
    <row r="700" spans="1:24" x14ac:dyDescent="0.2">
      <c r="A700" s="592"/>
      <c r="B700" s="592"/>
      <c r="C700" s="592"/>
      <c r="D700" s="592"/>
      <c r="E700" s="592"/>
      <c r="F700" s="592"/>
      <c r="G700" s="592"/>
      <c r="H700" s="592"/>
      <c r="I700" s="592"/>
      <c r="J700" s="592"/>
      <c r="K700" s="592"/>
      <c r="L700" s="592"/>
      <c r="M700" s="592"/>
      <c r="N700" s="592"/>
      <c r="O700" s="592"/>
      <c r="P700" s="592"/>
      <c r="Q700" s="592"/>
      <c r="R700" s="592"/>
      <c r="S700" s="592"/>
      <c r="T700" s="592"/>
      <c r="U700" s="592"/>
      <c r="V700" s="592"/>
      <c r="W700" s="592"/>
      <c r="X700" s="592"/>
    </row>
    <row r="701" spans="1:24" x14ac:dyDescent="0.2">
      <c r="A701" s="592"/>
      <c r="B701" s="592"/>
      <c r="C701" s="592"/>
      <c r="D701" s="592"/>
      <c r="E701" s="592"/>
      <c r="F701" s="592"/>
      <c r="G701" s="592"/>
      <c r="H701" s="592"/>
      <c r="I701" s="592"/>
      <c r="J701" s="592"/>
      <c r="K701" s="592"/>
      <c r="L701" s="592"/>
      <c r="M701" s="592"/>
      <c r="N701" s="592"/>
      <c r="O701" s="592"/>
      <c r="P701" s="592"/>
      <c r="Q701" s="592"/>
      <c r="R701" s="592"/>
      <c r="S701" s="592"/>
      <c r="T701" s="592"/>
      <c r="U701" s="592"/>
      <c r="V701" s="592"/>
      <c r="W701" s="592"/>
      <c r="X701" s="592"/>
    </row>
    <row r="702" spans="1:24" x14ac:dyDescent="0.2">
      <c r="A702" s="592"/>
      <c r="B702" s="592"/>
      <c r="C702" s="592"/>
      <c r="D702" s="592"/>
      <c r="E702" s="592"/>
      <c r="F702" s="592"/>
      <c r="G702" s="592"/>
      <c r="H702" s="592"/>
      <c r="I702" s="592"/>
      <c r="J702" s="592"/>
      <c r="K702" s="592"/>
      <c r="L702" s="592"/>
      <c r="M702" s="592"/>
      <c r="N702" s="592"/>
      <c r="O702" s="592"/>
      <c r="P702" s="592"/>
      <c r="Q702" s="592"/>
      <c r="R702" s="592"/>
      <c r="S702" s="592"/>
      <c r="T702" s="592"/>
      <c r="U702" s="592"/>
      <c r="V702" s="592"/>
      <c r="W702" s="592"/>
      <c r="X702" s="592"/>
    </row>
    <row r="703" spans="1:24" x14ac:dyDescent="0.2">
      <c r="A703" s="592"/>
      <c r="B703" s="592"/>
      <c r="C703" s="592"/>
      <c r="D703" s="592"/>
      <c r="E703" s="592"/>
      <c r="F703" s="592"/>
      <c r="G703" s="592"/>
      <c r="H703" s="592"/>
      <c r="I703" s="592"/>
      <c r="J703" s="592"/>
      <c r="K703" s="592"/>
      <c r="L703" s="592"/>
      <c r="M703" s="592"/>
      <c r="N703" s="592"/>
      <c r="O703" s="592"/>
      <c r="P703" s="592"/>
      <c r="Q703" s="592"/>
      <c r="R703" s="592"/>
      <c r="S703" s="592"/>
      <c r="T703" s="592"/>
      <c r="U703" s="592"/>
      <c r="V703" s="592"/>
      <c r="W703" s="592"/>
      <c r="X703" s="592"/>
    </row>
    <row r="704" spans="1:24" x14ac:dyDescent="0.2">
      <c r="A704" s="592"/>
      <c r="B704" s="592"/>
      <c r="C704" s="592"/>
      <c r="D704" s="592"/>
      <c r="E704" s="592"/>
      <c r="F704" s="592"/>
      <c r="G704" s="592"/>
      <c r="H704" s="592"/>
      <c r="I704" s="592"/>
      <c r="J704" s="592"/>
      <c r="K704" s="592"/>
      <c r="L704" s="592"/>
      <c r="M704" s="592"/>
      <c r="N704" s="592"/>
      <c r="O704" s="592"/>
      <c r="P704" s="592"/>
      <c r="Q704" s="592"/>
      <c r="R704" s="592"/>
      <c r="S704" s="592"/>
      <c r="T704" s="592"/>
      <c r="U704" s="592"/>
      <c r="V704" s="592"/>
      <c r="W704" s="592"/>
      <c r="X704" s="592"/>
    </row>
    <row r="705" spans="1:24" x14ac:dyDescent="0.2">
      <c r="A705" s="592"/>
      <c r="B705" s="592"/>
      <c r="C705" s="592"/>
      <c r="D705" s="592"/>
      <c r="E705" s="592"/>
      <c r="F705" s="592"/>
      <c r="G705" s="592"/>
      <c r="H705" s="592"/>
      <c r="I705" s="592"/>
      <c r="J705" s="592"/>
      <c r="K705" s="592"/>
      <c r="L705" s="592"/>
      <c r="M705" s="592"/>
      <c r="N705" s="592"/>
      <c r="O705" s="592"/>
      <c r="P705" s="592"/>
      <c r="Q705" s="592"/>
      <c r="R705" s="592"/>
      <c r="S705" s="592"/>
      <c r="T705" s="592"/>
      <c r="U705" s="592"/>
      <c r="V705" s="592"/>
      <c r="W705" s="592"/>
      <c r="X705" s="592"/>
    </row>
    <row r="706" spans="1:24" x14ac:dyDescent="0.2">
      <c r="A706" s="592"/>
      <c r="B706" s="592"/>
      <c r="C706" s="592"/>
      <c r="D706" s="592"/>
      <c r="E706" s="592"/>
      <c r="F706" s="592"/>
      <c r="G706" s="592"/>
      <c r="H706" s="592"/>
      <c r="I706" s="592"/>
      <c r="J706" s="592"/>
      <c r="K706" s="592"/>
      <c r="L706" s="592"/>
      <c r="M706" s="592"/>
      <c r="N706" s="592"/>
      <c r="O706" s="592"/>
      <c r="P706" s="592"/>
      <c r="Q706" s="592"/>
      <c r="R706" s="592"/>
      <c r="S706" s="592"/>
      <c r="T706" s="592"/>
      <c r="U706" s="592"/>
      <c r="V706" s="592"/>
      <c r="W706" s="592"/>
      <c r="X706" s="592"/>
    </row>
    <row r="707" spans="1:24" x14ac:dyDescent="0.2">
      <c r="A707" s="592"/>
      <c r="B707" s="592"/>
      <c r="C707" s="592"/>
      <c r="D707" s="592"/>
      <c r="E707" s="592"/>
      <c r="F707" s="592"/>
      <c r="G707" s="592"/>
      <c r="H707" s="592"/>
      <c r="I707" s="592"/>
      <c r="J707" s="592"/>
      <c r="K707" s="592"/>
      <c r="L707" s="592"/>
      <c r="M707" s="592"/>
      <c r="N707" s="592"/>
      <c r="O707" s="592"/>
      <c r="P707" s="592"/>
      <c r="Q707" s="592"/>
      <c r="R707" s="592"/>
      <c r="S707" s="592"/>
      <c r="T707" s="592"/>
      <c r="U707" s="592"/>
      <c r="V707" s="592"/>
      <c r="W707" s="592"/>
      <c r="X707" s="592"/>
    </row>
  </sheetData>
  <pageMargins left="0.7" right="0.7" top="0.75" bottom="0.75" header="0.3" footer="0.3"/>
  <pageSetup orientation="portrait"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enableFormatConditionsCalculation="0">
    <tabColor indexed="18"/>
  </sheetPr>
  <dimension ref="A1:AJ4810"/>
  <sheetViews>
    <sheetView topLeftCell="A2" workbookViewId="0">
      <pane xSplit="6" ySplit="8" topLeftCell="G559" activePane="bottomRight" state="frozen"/>
      <selection activeCell="A2" sqref="A2"/>
      <selection pane="topRight" activeCell="G2" sqref="G2"/>
      <selection pane="bottomLeft" activeCell="A10" sqref="A10"/>
      <selection pane="bottomRight" activeCell="C3148" sqref="C3148"/>
    </sheetView>
  </sheetViews>
  <sheetFormatPr defaultRowHeight="12.75" x14ac:dyDescent="0.2"/>
  <cols>
    <col min="1" max="1" width="3.75" style="352" customWidth="1"/>
    <col min="2" max="2" width="5.875" style="353" bestFit="1" customWidth="1"/>
    <col min="3" max="3" width="35.75" style="354" customWidth="1"/>
    <col min="4" max="4" width="13.125" style="354" customWidth="1"/>
    <col min="5" max="5" width="7.375" style="355" customWidth="1"/>
    <col min="6" max="6" width="8" style="356" customWidth="1"/>
    <col min="7" max="7" width="12.5" style="352" customWidth="1"/>
    <col min="8" max="8" width="12.625" style="339" customWidth="1"/>
    <col min="9" max="9" width="12.5" style="352" customWidth="1"/>
    <col min="10" max="10" width="12.5" style="339" customWidth="1"/>
    <col min="11" max="11" width="12.5" style="352" customWidth="1"/>
    <col min="12" max="12" width="12.5" style="339" customWidth="1"/>
    <col min="13" max="15" width="12.5" style="357" customWidth="1"/>
    <col min="16" max="16" width="15.125" style="339" customWidth="1"/>
    <col min="17" max="17" width="12.5" style="339" customWidth="1"/>
    <col min="18" max="18" width="13.375" style="340" customWidth="1"/>
    <col min="19" max="19" width="12.5" style="358" customWidth="1"/>
    <col min="20" max="20" width="12.5" style="340" customWidth="1"/>
    <col min="21" max="21" width="13" style="358" customWidth="1"/>
    <col min="22" max="28" width="10.75" style="339" customWidth="1"/>
    <col min="29" max="29" width="10.75" style="358" customWidth="1"/>
    <col min="30" max="30" width="10.75" style="339" customWidth="1"/>
    <col min="31" max="32" width="10.75" style="358" customWidth="1"/>
    <col min="33" max="34" width="10.75" style="339" customWidth="1"/>
    <col min="35" max="35" width="12.5" style="358" customWidth="1"/>
    <col min="36" max="36" width="12.5" style="339" customWidth="1"/>
    <col min="37" max="16384" width="9" style="352"/>
  </cols>
  <sheetData>
    <row r="1" spans="1:36" s="611" customFormat="1" hidden="1" x14ac:dyDescent="0.2">
      <c r="A1" s="677"/>
      <c r="B1" s="677"/>
      <c r="C1" s="677"/>
      <c r="D1" s="677"/>
      <c r="E1" s="677"/>
      <c r="F1" s="677"/>
      <c r="G1" s="677"/>
      <c r="H1" s="677"/>
      <c r="I1" s="677"/>
      <c r="J1" s="677"/>
      <c r="K1" s="677"/>
      <c r="L1" s="677"/>
      <c r="M1" s="677"/>
      <c r="N1" s="677"/>
      <c r="O1" s="609">
        <f>SUM(M1:N1)</f>
        <v>0</v>
      </c>
      <c r="P1" s="677"/>
      <c r="Q1" s="677"/>
      <c r="R1" s="608">
        <f>SUM(P1:Q1)</f>
        <v>0</v>
      </c>
      <c r="S1" s="609">
        <f t="shared" ref="S1" si="0">SUM(G1,I1,K1,M1)</f>
        <v>0</v>
      </c>
      <c r="T1" s="699">
        <f>SUM(H1,J1,L1,P1)</f>
        <v>0</v>
      </c>
      <c r="U1" s="677"/>
      <c r="V1" s="677"/>
      <c r="W1" s="677"/>
      <c r="X1" s="677"/>
      <c r="Y1" s="700">
        <f>SUM(W1:X1)</f>
        <v>0</v>
      </c>
      <c r="Z1" s="677"/>
      <c r="AA1" s="677"/>
      <c r="AB1" s="610">
        <f>SUM(Z1:AA1)</f>
        <v>0</v>
      </c>
      <c r="AC1" s="677"/>
      <c r="AD1" s="677"/>
      <c r="AE1" s="677"/>
      <c r="AF1" s="677"/>
      <c r="AG1" s="677"/>
      <c r="AH1" s="677"/>
      <c r="AI1" s="701">
        <f t="shared" ref="AI1" si="1">SUM(S1,U1,W1,AC1,AE1)</f>
        <v>0</v>
      </c>
      <c r="AJ1" s="702">
        <f>SUM(T1,V1,Z1,AD1,AG1)</f>
        <v>0</v>
      </c>
    </row>
    <row r="2" spans="1:36" s="345" customFormat="1" ht="15" thickBot="1" x14ac:dyDescent="0.25">
      <c r="A2" s="747" t="s">
        <v>451</v>
      </c>
      <c r="B2" s="747"/>
      <c r="C2" s="747"/>
      <c r="D2" s="747"/>
      <c r="E2" s="747"/>
      <c r="F2" s="747"/>
      <c r="G2" s="341"/>
      <c r="H2" s="228"/>
      <c r="I2" s="341"/>
      <c r="J2" s="228"/>
      <c r="K2" s="341"/>
      <c r="L2" s="228"/>
      <c r="M2" s="342"/>
      <c r="N2" s="342"/>
      <c r="O2" s="342"/>
      <c r="P2" s="228"/>
      <c r="Q2" s="228"/>
      <c r="R2" s="229"/>
      <c r="S2" s="343"/>
      <c r="T2" s="229"/>
      <c r="U2" s="344"/>
      <c r="V2" s="228"/>
      <c r="W2" s="342"/>
      <c r="X2" s="342"/>
      <c r="Y2" s="342"/>
      <c r="Z2" s="228"/>
      <c r="AA2" s="228"/>
      <c r="AB2" s="229"/>
      <c r="AC2" s="344"/>
      <c r="AD2" s="228"/>
      <c r="AE2" s="344"/>
      <c r="AF2" s="344"/>
      <c r="AG2" s="228"/>
      <c r="AH2" s="228"/>
      <c r="AI2" s="343"/>
      <c r="AJ2" s="229"/>
    </row>
    <row r="3" spans="1:36" s="345" customFormat="1" ht="15" thickTop="1" x14ac:dyDescent="0.2">
      <c r="A3" s="748" t="s">
        <v>418</v>
      </c>
      <c r="B3" s="199"/>
      <c r="C3" s="346"/>
      <c r="D3" s="346"/>
      <c r="E3" s="678"/>
      <c r="F3" s="217"/>
      <c r="G3" s="199"/>
      <c r="H3" s="200"/>
      <c r="I3" s="199"/>
      <c r="J3" s="200"/>
      <c r="K3" s="199"/>
      <c r="L3" s="200"/>
      <c r="M3" s="347"/>
      <c r="N3" s="347"/>
      <c r="O3" s="347"/>
      <c r="P3" s="200"/>
      <c r="Q3" s="200"/>
      <c r="R3" s="201"/>
      <c r="S3" s="348"/>
      <c r="T3" s="201"/>
      <c r="U3" s="348"/>
      <c r="V3" s="200"/>
      <c r="W3" s="347"/>
      <c r="X3" s="347"/>
      <c r="Y3" s="347"/>
      <c r="Z3" s="200"/>
      <c r="AA3" s="200"/>
      <c r="AB3" s="201"/>
      <c r="AC3" s="348"/>
      <c r="AD3" s="200"/>
      <c r="AE3" s="348"/>
      <c r="AF3" s="348"/>
      <c r="AG3" s="200"/>
      <c r="AH3" s="200"/>
      <c r="AI3" s="348"/>
      <c r="AJ3" s="201"/>
    </row>
    <row r="4" spans="1:36" s="345" customFormat="1" ht="27.75" customHeight="1" x14ac:dyDescent="0.2">
      <c r="A4" s="679" t="s">
        <v>412</v>
      </c>
      <c r="B4" s="680"/>
      <c r="C4" s="681"/>
      <c r="D4" s="681"/>
      <c r="E4" s="682"/>
      <c r="F4" s="683"/>
      <c r="G4" s="684" t="s">
        <v>336</v>
      </c>
      <c r="H4" s="685"/>
      <c r="I4" s="224"/>
      <c r="J4" s="200"/>
      <c r="K4" s="224"/>
      <c r="L4" s="200"/>
      <c r="M4" s="349"/>
      <c r="N4" s="349"/>
      <c r="O4" s="349"/>
      <c r="P4" s="200"/>
      <c r="Q4" s="200"/>
      <c r="R4" s="225"/>
      <c r="S4" s="508"/>
      <c r="T4" s="507"/>
      <c r="U4" s="226" t="s">
        <v>422</v>
      </c>
      <c r="V4" s="200"/>
      <c r="W4" s="349"/>
      <c r="X4" s="349"/>
      <c r="Y4" s="349"/>
      <c r="Z4" s="200"/>
      <c r="AA4" s="200"/>
      <c r="AB4" s="225"/>
      <c r="AC4" s="431"/>
      <c r="AD4" s="200"/>
      <c r="AE4" s="431"/>
      <c r="AF4" s="431"/>
      <c r="AG4" s="200"/>
      <c r="AH4" s="200"/>
      <c r="AI4" s="607" t="s">
        <v>98</v>
      </c>
      <c r="AJ4" s="612"/>
    </row>
    <row r="5" spans="1:36" s="345" customFormat="1" ht="41.25" customHeight="1" x14ac:dyDescent="0.2">
      <c r="A5" s="1625" t="s">
        <v>413</v>
      </c>
      <c r="B5" s="1626"/>
      <c r="C5" s="1626"/>
      <c r="D5" s="1626"/>
      <c r="E5" s="1626"/>
      <c r="F5" s="686"/>
      <c r="G5" s="1627" t="s">
        <v>87</v>
      </c>
      <c r="H5" s="1628"/>
      <c r="I5" s="1629" t="s">
        <v>89</v>
      </c>
      <c r="J5" s="1629"/>
      <c r="K5" s="1627" t="s">
        <v>88</v>
      </c>
      <c r="L5" s="1628"/>
      <c r="M5" s="227" t="s">
        <v>51</v>
      </c>
      <c r="N5" s="350"/>
      <c r="O5" s="350"/>
      <c r="P5" s="227" t="s">
        <v>51</v>
      </c>
      <c r="Q5" s="350"/>
      <c r="R5" s="350"/>
      <c r="S5" s="1623" t="s">
        <v>400</v>
      </c>
      <c r="T5" s="1624"/>
      <c r="U5" s="1612" t="s">
        <v>420</v>
      </c>
      <c r="V5" s="1613"/>
      <c r="W5" s="1613"/>
      <c r="X5" s="1613"/>
      <c r="Y5" s="1613"/>
      <c r="Z5" s="1613"/>
      <c r="AA5" s="1613"/>
      <c r="AB5" s="1613"/>
      <c r="AC5" s="603" t="s">
        <v>421</v>
      </c>
      <c r="AD5" s="338"/>
      <c r="AE5" s="432"/>
      <c r="AF5" s="432"/>
      <c r="AG5" s="604"/>
      <c r="AH5" s="605"/>
      <c r="AI5" s="749" t="s">
        <v>403</v>
      </c>
      <c r="AJ5" s="613"/>
    </row>
    <row r="6" spans="1:36" s="345" customFormat="1" ht="13.5" customHeight="1" x14ac:dyDescent="0.2">
      <c r="A6" s="687"/>
      <c r="B6" s="688"/>
      <c r="C6" s="689"/>
      <c r="D6" s="689"/>
      <c r="E6" s="690"/>
      <c r="F6" s="686"/>
      <c r="G6" s="1629"/>
      <c r="H6" s="1614"/>
      <c r="I6" s="1629"/>
      <c r="J6" s="1629"/>
      <c r="K6" s="1629"/>
      <c r="L6" s="1614"/>
      <c r="M6" s="1630" t="s">
        <v>220</v>
      </c>
      <c r="N6" s="1610" t="s">
        <v>221</v>
      </c>
      <c r="O6" s="1617" t="s">
        <v>399</v>
      </c>
      <c r="P6" s="1619" t="s">
        <v>220</v>
      </c>
      <c r="Q6" s="1619" t="s">
        <v>221</v>
      </c>
      <c r="R6" s="1621" t="s">
        <v>399</v>
      </c>
      <c r="S6" s="1623"/>
      <c r="T6" s="1624"/>
      <c r="U6" s="624"/>
      <c r="V6" s="691"/>
      <c r="W6" s="692" t="s">
        <v>401</v>
      </c>
      <c r="X6" s="600"/>
      <c r="Y6" s="600"/>
      <c r="Z6" s="600"/>
      <c r="AA6" s="600"/>
      <c r="AB6" s="600"/>
      <c r="AC6" s="601"/>
      <c r="AD6" s="693"/>
      <c r="AE6" s="1614" t="s">
        <v>402</v>
      </c>
      <c r="AF6" s="1615"/>
      <c r="AG6" s="1615"/>
      <c r="AH6" s="1616"/>
      <c r="AI6" s="606"/>
      <c r="AJ6" s="614"/>
    </row>
    <row r="7" spans="1:36" s="345" customFormat="1" ht="39" customHeight="1" x14ac:dyDescent="0.2">
      <c r="A7" s="687"/>
      <c r="B7" s="694" t="s">
        <v>262</v>
      </c>
      <c r="C7" s="689"/>
      <c r="D7" s="689"/>
      <c r="E7" s="695"/>
      <c r="F7" s="696"/>
      <c r="G7" s="1629"/>
      <c r="H7" s="1614"/>
      <c r="I7" s="1629"/>
      <c r="J7" s="1629"/>
      <c r="K7" s="1629"/>
      <c r="L7" s="1614"/>
      <c r="M7" s="1631"/>
      <c r="N7" s="1611"/>
      <c r="O7" s="1618"/>
      <c r="P7" s="1620"/>
      <c r="Q7" s="1620"/>
      <c r="R7" s="1622"/>
      <c r="S7" s="1623"/>
      <c r="T7" s="1624"/>
      <c r="U7" s="597" t="s">
        <v>11</v>
      </c>
      <c r="V7" s="598" t="s">
        <v>11</v>
      </c>
      <c r="W7" s="745" t="s">
        <v>220</v>
      </c>
      <c r="X7" s="745" t="s">
        <v>221</v>
      </c>
      <c r="Y7" s="599" t="s">
        <v>399</v>
      </c>
      <c r="Z7" s="746" t="s">
        <v>220</v>
      </c>
      <c r="AA7" s="746" t="s">
        <v>221</v>
      </c>
      <c r="AB7" s="750" t="s">
        <v>399</v>
      </c>
      <c r="AC7" s="602" t="s">
        <v>11</v>
      </c>
      <c r="AD7" s="697"/>
      <c r="AE7" s="745" t="s">
        <v>220</v>
      </c>
      <c r="AF7" s="745" t="s">
        <v>221</v>
      </c>
      <c r="AG7" s="746" t="s">
        <v>220</v>
      </c>
      <c r="AH7" s="746" t="s">
        <v>221</v>
      </c>
      <c r="AI7" s="606"/>
      <c r="AJ7" s="614"/>
    </row>
    <row r="8" spans="1:36" s="345" customFormat="1" ht="15" customHeight="1" x14ac:dyDescent="0.2">
      <c r="A8" s="720" t="s">
        <v>11</v>
      </c>
      <c r="B8" s="698"/>
      <c r="C8" s="721" t="s">
        <v>414</v>
      </c>
      <c r="D8" s="721" t="s">
        <v>415</v>
      </c>
      <c r="E8" s="722" t="s">
        <v>416</v>
      </c>
      <c r="F8" s="723" t="s">
        <v>417</v>
      </c>
      <c r="G8" s="724" t="s">
        <v>423</v>
      </c>
      <c r="H8" s="725" t="s">
        <v>450</v>
      </c>
      <c r="I8" s="724" t="s">
        <v>423</v>
      </c>
      <c r="J8" s="725" t="s">
        <v>450</v>
      </c>
      <c r="K8" s="726" t="s">
        <v>423</v>
      </c>
      <c r="L8" s="725" t="s">
        <v>450</v>
      </c>
      <c r="M8" s="724" t="s">
        <v>423</v>
      </c>
      <c r="N8" s="727" t="s">
        <v>423</v>
      </c>
      <c r="O8" s="728" t="s">
        <v>423</v>
      </c>
      <c r="P8" s="744" t="s">
        <v>450</v>
      </c>
      <c r="Q8" s="729" t="s">
        <v>450</v>
      </c>
      <c r="R8" s="730" t="s">
        <v>450</v>
      </c>
      <c r="S8" s="738" t="s">
        <v>423</v>
      </c>
      <c r="T8" s="731" t="s">
        <v>450</v>
      </c>
      <c r="U8" s="732" t="s">
        <v>423</v>
      </c>
      <c r="V8" s="725" t="s">
        <v>450</v>
      </c>
      <c r="W8" s="733" t="s">
        <v>423</v>
      </c>
      <c r="X8" s="724" t="s">
        <v>423</v>
      </c>
      <c r="Y8" s="734" t="s">
        <v>423</v>
      </c>
      <c r="Z8" s="729" t="s">
        <v>450</v>
      </c>
      <c r="AA8" s="729" t="s">
        <v>450</v>
      </c>
      <c r="AB8" s="730" t="s">
        <v>450</v>
      </c>
      <c r="AC8" s="724" t="s">
        <v>423</v>
      </c>
      <c r="AD8" s="725" t="s">
        <v>450</v>
      </c>
      <c r="AE8" s="724" t="s">
        <v>423</v>
      </c>
      <c r="AF8" s="732" t="s">
        <v>423</v>
      </c>
      <c r="AG8" s="729" t="s">
        <v>450</v>
      </c>
      <c r="AH8" s="729" t="s">
        <v>450</v>
      </c>
      <c r="AI8" s="735" t="s">
        <v>423</v>
      </c>
      <c r="AJ8" s="736" t="s">
        <v>450</v>
      </c>
    </row>
    <row r="9" spans="1:36" s="351" customFormat="1" ht="38.25" hidden="1" x14ac:dyDescent="0.2">
      <c r="A9" s="615" t="s">
        <v>122</v>
      </c>
      <c r="B9" s="616" t="s">
        <v>124</v>
      </c>
      <c r="C9" s="615" t="s">
        <v>123</v>
      </c>
      <c r="D9" s="615" t="s">
        <v>404</v>
      </c>
      <c r="E9" s="617" t="s">
        <v>126</v>
      </c>
      <c r="F9" s="703" t="s">
        <v>125</v>
      </c>
      <c r="G9" s="618" t="s">
        <v>127</v>
      </c>
      <c r="H9" s="618" t="s">
        <v>128</v>
      </c>
      <c r="I9" s="618" t="s">
        <v>113</v>
      </c>
      <c r="J9" s="618" t="s">
        <v>114</v>
      </c>
      <c r="K9" s="618" t="s">
        <v>129</v>
      </c>
      <c r="L9" s="618" t="s">
        <v>130</v>
      </c>
      <c r="M9" s="618" t="s">
        <v>105</v>
      </c>
      <c r="N9" s="618" t="s">
        <v>106</v>
      </c>
      <c r="O9" s="737" t="s">
        <v>115</v>
      </c>
      <c r="P9" s="618" t="s">
        <v>107</v>
      </c>
      <c r="Q9" s="618" t="s">
        <v>108</v>
      </c>
      <c r="R9" s="619" t="s">
        <v>13</v>
      </c>
      <c r="S9" s="739" t="s">
        <v>202</v>
      </c>
      <c r="T9" s="620" t="s">
        <v>203</v>
      </c>
      <c r="U9" s="621" t="s">
        <v>135</v>
      </c>
      <c r="V9" s="618" t="s">
        <v>136</v>
      </c>
      <c r="W9" s="618" t="s">
        <v>170</v>
      </c>
      <c r="X9" s="618" t="s">
        <v>171</v>
      </c>
      <c r="Y9" s="619" t="s">
        <v>172</v>
      </c>
      <c r="Z9" s="618" t="s">
        <v>173</v>
      </c>
      <c r="AA9" s="618" t="s">
        <v>174</v>
      </c>
      <c r="AB9" s="619" t="s">
        <v>206</v>
      </c>
      <c r="AC9" s="622" t="s">
        <v>131</v>
      </c>
      <c r="AD9" s="618" t="s">
        <v>132</v>
      </c>
      <c r="AE9" s="618" t="s">
        <v>133</v>
      </c>
      <c r="AF9" s="618" t="s">
        <v>350</v>
      </c>
      <c r="AG9" s="618" t="s">
        <v>134</v>
      </c>
      <c r="AH9" s="618" t="s">
        <v>351</v>
      </c>
      <c r="AI9" s="615" t="s">
        <v>193</v>
      </c>
      <c r="AJ9" s="623" t="s">
        <v>194</v>
      </c>
    </row>
    <row r="10" spans="1:36" x14ac:dyDescent="0.2">
      <c r="A10" s="843" t="s">
        <v>142</v>
      </c>
      <c r="B10" s="844" t="s">
        <v>264</v>
      </c>
      <c r="C10" s="844" t="s">
        <v>452</v>
      </c>
      <c r="D10" s="845"/>
      <c r="E10" s="846">
        <v>100858</v>
      </c>
      <c r="F10" s="847">
        <v>1</v>
      </c>
      <c r="G10" s="848">
        <v>137938695</v>
      </c>
      <c r="H10" s="849">
        <v>139723512</v>
      </c>
      <c r="I10" s="850"/>
      <c r="J10" s="851"/>
      <c r="K10" s="848"/>
      <c r="L10" s="852"/>
      <c r="M10" s="853">
        <v>339871063</v>
      </c>
      <c r="N10" s="853">
        <v>27295936</v>
      </c>
      <c r="O10" s="752">
        <f t="shared" ref="O10:O73" si="2">SUM(M10:N10)</f>
        <v>367166999</v>
      </c>
      <c r="P10" s="854">
        <v>302333378</v>
      </c>
      <c r="Q10" s="855">
        <v>27891960</v>
      </c>
      <c r="R10" s="753">
        <f t="shared" ref="R10:R73" si="3">SUM(P10:Q10)</f>
        <v>330225338</v>
      </c>
      <c r="S10" s="752">
        <f t="shared" ref="S10:S73" si="4">SUM(G10,I10,K10,M10)</f>
        <v>477809758</v>
      </c>
      <c r="T10" s="754">
        <f t="shared" ref="T10:T73" si="5">SUM(H10,J10,L10,P10)</f>
        <v>442056890</v>
      </c>
      <c r="U10" s="848"/>
      <c r="V10" s="852"/>
      <c r="W10" s="848"/>
      <c r="X10" s="848"/>
      <c r="Y10" s="755">
        <f t="shared" ref="Y10:Y73" si="6">SUM(W10:X10)</f>
        <v>0</v>
      </c>
      <c r="Z10" s="856"/>
      <c r="AA10" s="852"/>
      <c r="AB10" s="756">
        <f t="shared" ref="AB10:AB73" si="7">SUM(Z10:AA10)</f>
        <v>0</v>
      </c>
      <c r="AC10" s="848"/>
      <c r="AD10" s="852"/>
      <c r="AE10" s="848"/>
      <c r="AF10" s="848"/>
      <c r="AG10" s="856"/>
      <c r="AH10" s="857"/>
      <c r="AI10" s="757">
        <f t="shared" ref="AI10:AI73" si="8">SUM(S10,U10,W10,AC10,AE10)</f>
        <v>477809758</v>
      </c>
      <c r="AJ10" s="758">
        <f t="shared" ref="AJ10:AJ73" si="9">SUM(T10,V10,Z10,AD10,AG10)</f>
        <v>442056890</v>
      </c>
    </row>
    <row r="11" spans="1:36" x14ac:dyDescent="0.2">
      <c r="A11" s="843" t="s">
        <v>142</v>
      </c>
      <c r="B11" s="844" t="s">
        <v>280</v>
      </c>
      <c r="C11" s="858" t="s">
        <v>30</v>
      </c>
      <c r="D11" s="845"/>
      <c r="E11" s="846">
        <v>100858</v>
      </c>
      <c r="F11" s="847">
        <v>1</v>
      </c>
      <c r="G11" s="859"/>
      <c r="H11" s="860"/>
      <c r="I11" s="861"/>
      <c r="J11" s="862"/>
      <c r="K11" s="859"/>
      <c r="L11" s="863"/>
      <c r="M11" s="859"/>
      <c r="N11" s="859"/>
      <c r="O11" s="752">
        <f t="shared" si="2"/>
        <v>0</v>
      </c>
      <c r="P11" s="862"/>
      <c r="Q11" s="860"/>
      <c r="R11" s="753">
        <f t="shared" si="3"/>
        <v>0</v>
      </c>
      <c r="S11" s="752">
        <f t="shared" si="4"/>
        <v>0</v>
      </c>
      <c r="T11" s="754">
        <f t="shared" si="5"/>
        <v>0</v>
      </c>
      <c r="U11" s="859"/>
      <c r="V11" s="863"/>
      <c r="W11" s="859"/>
      <c r="X11" s="859"/>
      <c r="Y11" s="755">
        <f t="shared" si="6"/>
        <v>0</v>
      </c>
      <c r="Z11" s="864"/>
      <c r="AA11" s="863"/>
      <c r="AB11" s="756">
        <f t="shared" si="7"/>
        <v>0</v>
      </c>
      <c r="AC11" s="859"/>
      <c r="AD11" s="863"/>
      <c r="AE11" s="859"/>
      <c r="AF11" s="859"/>
      <c r="AG11" s="864"/>
      <c r="AH11" s="865"/>
      <c r="AI11" s="757">
        <f t="shared" si="8"/>
        <v>0</v>
      </c>
      <c r="AJ11" s="758">
        <f t="shared" si="9"/>
        <v>0</v>
      </c>
    </row>
    <row r="12" spans="1:36" x14ac:dyDescent="0.2">
      <c r="A12" s="843" t="s">
        <v>142</v>
      </c>
      <c r="B12" s="844" t="s">
        <v>280</v>
      </c>
      <c r="C12" s="866" t="s">
        <v>453</v>
      </c>
      <c r="D12" s="845"/>
      <c r="E12" s="846">
        <v>100858</v>
      </c>
      <c r="F12" s="847">
        <v>1</v>
      </c>
      <c r="G12" s="859"/>
      <c r="H12" s="860"/>
      <c r="I12" s="861"/>
      <c r="J12" s="862"/>
      <c r="K12" s="859"/>
      <c r="L12" s="863"/>
      <c r="M12" s="859"/>
      <c r="N12" s="859"/>
      <c r="O12" s="752">
        <f t="shared" si="2"/>
        <v>0</v>
      </c>
      <c r="P12" s="862"/>
      <c r="Q12" s="860"/>
      <c r="R12" s="753">
        <f t="shared" si="3"/>
        <v>0</v>
      </c>
      <c r="S12" s="752">
        <f t="shared" si="4"/>
        <v>0</v>
      </c>
      <c r="T12" s="754">
        <f t="shared" si="5"/>
        <v>0</v>
      </c>
      <c r="U12" s="859"/>
      <c r="V12" s="863"/>
      <c r="W12" s="859"/>
      <c r="X12" s="859"/>
      <c r="Y12" s="755">
        <f t="shared" si="6"/>
        <v>0</v>
      </c>
      <c r="Z12" s="864"/>
      <c r="AA12" s="863"/>
      <c r="AB12" s="756">
        <f t="shared" si="7"/>
        <v>0</v>
      </c>
      <c r="AC12" s="859">
        <v>17318610</v>
      </c>
      <c r="AD12" s="863">
        <v>18233022</v>
      </c>
      <c r="AE12" s="867">
        <v>21068591</v>
      </c>
      <c r="AF12" s="859"/>
      <c r="AG12" s="864">
        <v>22750000</v>
      </c>
      <c r="AH12" s="865"/>
      <c r="AI12" s="757">
        <f t="shared" si="8"/>
        <v>38387201</v>
      </c>
      <c r="AJ12" s="758">
        <f t="shared" si="9"/>
        <v>40983022</v>
      </c>
    </row>
    <row r="13" spans="1:36" x14ac:dyDescent="0.2">
      <c r="A13" s="843" t="s">
        <v>142</v>
      </c>
      <c r="B13" s="844" t="s">
        <v>265</v>
      </c>
      <c r="C13" s="866" t="s">
        <v>454</v>
      </c>
      <c r="D13" s="845"/>
      <c r="E13" s="846">
        <v>100858</v>
      </c>
      <c r="F13" s="847">
        <v>1</v>
      </c>
      <c r="G13" s="859"/>
      <c r="H13" s="860"/>
      <c r="I13" s="861"/>
      <c r="J13" s="862"/>
      <c r="K13" s="859"/>
      <c r="L13" s="863"/>
      <c r="M13" s="859"/>
      <c r="N13" s="859"/>
      <c r="O13" s="752">
        <f t="shared" si="2"/>
        <v>0</v>
      </c>
      <c r="P13" s="862"/>
      <c r="Q13" s="860"/>
      <c r="R13" s="753">
        <f t="shared" si="3"/>
        <v>0</v>
      </c>
      <c r="S13" s="752">
        <f t="shared" si="4"/>
        <v>0</v>
      </c>
      <c r="T13" s="754">
        <f t="shared" si="5"/>
        <v>0</v>
      </c>
      <c r="U13" s="859"/>
      <c r="V13" s="863"/>
      <c r="W13" s="859"/>
      <c r="X13" s="859"/>
      <c r="Y13" s="755">
        <f t="shared" si="6"/>
        <v>0</v>
      </c>
      <c r="Z13" s="864"/>
      <c r="AA13" s="863"/>
      <c r="AB13" s="756">
        <f t="shared" si="7"/>
        <v>0</v>
      </c>
      <c r="AC13" s="859"/>
      <c r="AD13" s="863"/>
      <c r="AE13" s="859"/>
      <c r="AF13" s="859"/>
      <c r="AG13" s="864"/>
      <c r="AH13" s="865"/>
      <c r="AI13" s="757">
        <f t="shared" si="8"/>
        <v>0</v>
      </c>
      <c r="AJ13" s="758">
        <f t="shared" si="9"/>
        <v>0</v>
      </c>
    </row>
    <row r="14" spans="1:36" x14ac:dyDescent="0.2">
      <c r="A14" s="843" t="s">
        <v>142</v>
      </c>
      <c r="B14" s="844" t="s">
        <v>266</v>
      </c>
      <c r="C14" s="858" t="s">
        <v>319</v>
      </c>
      <c r="D14" s="845"/>
      <c r="E14" s="846">
        <v>100858</v>
      </c>
      <c r="F14" s="847">
        <v>1</v>
      </c>
      <c r="G14" s="859"/>
      <c r="H14" s="860"/>
      <c r="I14" s="861"/>
      <c r="J14" s="862"/>
      <c r="K14" s="859"/>
      <c r="L14" s="863"/>
      <c r="M14" s="859"/>
      <c r="N14" s="859"/>
      <c r="O14" s="752">
        <f t="shared" si="2"/>
        <v>0</v>
      </c>
      <c r="P14" s="862"/>
      <c r="Q14" s="860"/>
      <c r="R14" s="753">
        <f t="shared" si="3"/>
        <v>0</v>
      </c>
      <c r="S14" s="752">
        <f t="shared" si="4"/>
        <v>0</v>
      </c>
      <c r="T14" s="754">
        <f t="shared" si="5"/>
        <v>0</v>
      </c>
      <c r="U14" s="859"/>
      <c r="V14" s="863"/>
      <c r="W14" s="859"/>
      <c r="X14" s="859"/>
      <c r="Y14" s="755">
        <f t="shared" si="6"/>
        <v>0</v>
      </c>
      <c r="Z14" s="864"/>
      <c r="AA14" s="863"/>
      <c r="AB14" s="756">
        <f t="shared" si="7"/>
        <v>0</v>
      </c>
      <c r="AC14" s="859"/>
      <c r="AD14" s="863"/>
      <c r="AE14" s="859"/>
      <c r="AF14" s="859"/>
      <c r="AG14" s="864"/>
      <c r="AH14" s="865"/>
      <c r="AI14" s="757">
        <f t="shared" si="8"/>
        <v>0</v>
      </c>
      <c r="AJ14" s="758">
        <f t="shared" si="9"/>
        <v>0</v>
      </c>
    </row>
    <row r="15" spans="1:36" x14ac:dyDescent="0.2">
      <c r="A15" s="843" t="s">
        <v>142</v>
      </c>
      <c r="B15" s="844" t="s">
        <v>266</v>
      </c>
      <c r="C15" s="866" t="s">
        <v>455</v>
      </c>
      <c r="D15" s="845"/>
      <c r="E15" s="846">
        <v>100858</v>
      </c>
      <c r="F15" s="847">
        <v>1</v>
      </c>
      <c r="G15" s="859"/>
      <c r="H15" s="860"/>
      <c r="I15" s="861"/>
      <c r="J15" s="862"/>
      <c r="K15" s="859"/>
      <c r="L15" s="863"/>
      <c r="M15" s="859"/>
      <c r="N15" s="859"/>
      <c r="O15" s="752">
        <f t="shared" si="2"/>
        <v>0</v>
      </c>
      <c r="P15" s="862"/>
      <c r="Q15" s="860"/>
      <c r="R15" s="753">
        <f t="shared" si="3"/>
        <v>0</v>
      </c>
      <c r="S15" s="752">
        <f t="shared" si="4"/>
        <v>0</v>
      </c>
      <c r="T15" s="754">
        <f t="shared" si="5"/>
        <v>0</v>
      </c>
      <c r="U15" s="859"/>
      <c r="V15" s="863"/>
      <c r="W15" s="859"/>
      <c r="X15" s="859"/>
      <c r="Y15" s="755">
        <f t="shared" si="6"/>
        <v>0</v>
      </c>
      <c r="Z15" s="864"/>
      <c r="AA15" s="863"/>
      <c r="AB15" s="756">
        <f t="shared" si="7"/>
        <v>0</v>
      </c>
      <c r="AC15" s="859"/>
      <c r="AD15" s="863"/>
      <c r="AE15" s="859"/>
      <c r="AF15" s="859"/>
      <c r="AG15" s="864"/>
      <c r="AH15" s="865"/>
      <c r="AI15" s="757">
        <f t="shared" si="8"/>
        <v>0</v>
      </c>
      <c r="AJ15" s="758">
        <f t="shared" si="9"/>
        <v>0</v>
      </c>
    </row>
    <row r="16" spans="1:36" x14ac:dyDescent="0.2">
      <c r="A16" s="843" t="s">
        <v>142</v>
      </c>
      <c r="B16" s="844" t="s">
        <v>266</v>
      </c>
      <c r="C16" s="866" t="s">
        <v>456</v>
      </c>
      <c r="D16" s="845"/>
      <c r="E16" s="846">
        <v>100858</v>
      </c>
      <c r="F16" s="847">
        <v>1</v>
      </c>
      <c r="G16" s="859"/>
      <c r="H16" s="860"/>
      <c r="I16" s="861"/>
      <c r="J16" s="862"/>
      <c r="K16" s="859"/>
      <c r="L16" s="863"/>
      <c r="M16" s="859"/>
      <c r="N16" s="859"/>
      <c r="O16" s="752">
        <f t="shared" si="2"/>
        <v>0</v>
      </c>
      <c r="P16" s="862"/>
      <c r="Q16" s="860"/>
      <c r="R16" s="753">
        <f t="shared" si="3"/>
        <v>0</v>
      </c>
      <c r="S16" s="752">
        <f t="shared" si="4"/>
        <v>0</v>
      </c>
      <c r="T16" s="754">
        <f t="shared" si="5"/>
        <v>0</v>
      </c>
      <c r="U16" s="859"/>
      <c r="V16" s="863"/>
      <c r="W16" s="859"/>
      <c r="X16" s="859"/>
      <c r="Y16" s="755">
        <f t="shared" si="6"/>
        <v>0</v>
      </c>
      <c r="Z16" s="864"/>
      <c r="AA16" s="863"/>
      <c r="AB16" s="756">
        <f t="shared" si="7"/>
        <v>0</v>
      </c>
      <c r="AC16" s="859"/>
      <c r="AD16" s="863"/>
      <c r="AE16" s="859"/>
      <c r="AF16" s="859"/>
      <c r="AG16" s="863"/>
      <c r="AH16" s="865"/>
      <c r="AI16" s="757">
        <f t="shared" si="8"/>
        <v>0</v>
      </c>
      <c r="AJ16" s="758">
        <f t="shared" si="9"/>
        <v>0</v>
      </c>
    </row>
    <row r="17" spans="1:36" x14ac:dyDescent="0.2">
      <c r="A17" s="843" t="s">
        <v>142</v>
      </c>
      <c r="B17" s="844" t="s">
        <v>266</v>
      </c>
      <c r="C17" s="866" t="s">
        <v>457</v>
      </c>
      <c r="D17" s="845"/>
      <c r="E17" s="846">
        <v>100858</v>
      </c>
      <c r="F17" s="847">
        <v>1</v>
      </c>
      <c r="G17" s="859"/>
      <c r="H17" s="860"/>
      <c r="I17" s="861"/>
      <c r="J17" s="862"/>
      <c r="K17" s="859"/>
      <c r="L17" s="863"/>
      <c r="M17" s="859"/>
      <c r="N17" s="859"/>
      <c r="O17" s="752">
        <f t="shared" si="2"/>
        <v>0</v>
      </c>
      <c r="P17" s="862"/>
      <c r="Q17" s="860"/>
      <c r="R17" s="753">
        <f t="shared" si="3"/>
        <v>0</v>
      </c>
      <c r="S17" s="752">
        <f t="shared" si="4"/>
        <v>0</v>
      </c>
      <c r="T17" s="754">
        <f t="shared" si="5"/>
        <v>0</v>
      </c>
      <c r="U17" s="859"/>
      <c r="V17" s="863"/>
      <c r="W17" s="859"/>
      <c r="X17" s="859"/>
      <c r="Y17" s="755">
        <f t="shared" si="6"/>
        <v>0</v>
      </c>
      <c r="Z17" s="864"/>
      <c r="AA17" s="863"/>
      <c r="AB17" s="756">
        <f t="shared" si="7"/>
        <v>0</v>
      </c>
      <c r="AC17" s="859"/>
      <c r="AD17" s="863"/>
      <c r="AE17" s="859"/>
      <c r="AF17" s="859"/>
      <c r="AG17" s="864"/>
      <c r="AH17" s="865"/>
      <c r="AI17" s="757">
        <f t="shared" si="8"/>
        <v>0</v>
      </c>
      <c r="AJ17" s="758">
        <f t="shared" si="9"/>
        <v>0</v>
      </c>
    </row>
    <row r="18" spans="1:36" x14ac:dyDescent="0.2">
      <c r="A18" s="843" t="s">
        <v>142</v>
      </c>
      <c r="B18" s="844" t="s">
        <v>267</v>
      </c>
      <c r="C18" s="858" t="s">
        <v>258</v>
      </c>
      <c r="D18" s="845"/>
      <c r="E18" s="846">
        <v>100858</v>
      </c>
      <c r="F18" s="847">
        <v>1</v>
      </c>
      <c r="G18" s="859"/>
      <c r="H18" s="860"/>
      <c r="I18" s="861"/>
      <c r="J18" s="862"/>
      <c r="K18" s="859"/>
      <c r="L18" s="863"/>
      <c r="M18" s="859"/>
      <c r="N18" s="859"/>
      <c r="O18" s="752">
        <f t="shared" si="2"/>
        <v>0</v>
      </c>
      <c r="P18" s="862"/>
      <c r="Q18" s="860"/>
      <c r="R18" s="753">
        <f t="shared" si="3"/>
        <v>0</v>
      </c>
      <c r="S18" s="752">
        <f t="shared" si="4"/>
        <v>0</v>
      </c>
      <c r="T18" s="754">
        <f t="shared" si="5"/>
        <v>0</v>
      </c>
      <c r="U18" s="859"/>
      <c r="V18" s="863"/>
      <c r="W18" s="859"/>
      <c r="X18" s="859"/>
      <c r="Y18" s="755">
        <f t="shared" si="6"/>
        <v>0</v>
      </c>
      <c r="Z18" s="864"/>
      <c r="AA18" s="863"/>
      <c r="AB18" s="756">
        <f t="shared" si="7"/>
        <v>0</v>
      </c>
      <c r="AC18" s="859"/>
      <c r="AD18" s="863"/>
      <c r="AE18" s="859"/>
      <c r="AF18" s="859"/>
      <c r="AG18" s="864"/>
      <c r="AH18" s="865"/>
      <c r="AI18" s="757">
        <f t="shared" si="8"/>
        <v>0</v>
      </c>
      <c r="AJ18" s="758">
        <f t="shared" si="9"/>
        <v>0</v>
      </c>
    </row>
    <row r="19" spans="1:36" x14ac:dyDescent="0.2">
      <c r="A19" s="843" t="s">
        <v>142</v>
      </c>
      <c r="B19" s="844" t="s">
        <v>267</v>
      </c>
      <c r="C19" s="866" t="s">
        <v>458</v>
      </c>
      <c r="D19" s="845"/>
      <c r="E19" s="846">
        <v>100858</v>
      </c>
      <c r="F19" s="847">
        <v>1</v>
      </c>
      <c r="G19" s="859"/>
      <c r="H19" s="860"/>
      <c r="I19" s="861">
        <v>223264</v>
      </c>
      <c r="J19" s="862">
        <v>223264</v>
      </c>
      <c r="K19" s="859"/>
      <c r="L19" s="863"/>
      <c r="M19" s="859"/>
      <c r="N19" s="859"/>
      <c r="O19" s="752">
        <f t="shared" si="2"/>
        <v>0</v>
      </c>
      <c r="P19" s="862"/>
      <c r="Q19" s="860"/>
      <c r="R19" s="753">
        <f t="shared" si="3"/>
        <v>0</v>
      </c>
      <c r="S19" s="752">
        <f t="shared" si="4"/>
        <v>223264</v>
      </c>
      <c r="T19" s="754">
        <f t="shared" si="5"/>
        <v>223264</v>
      </c>
      <c r="U19" s="859"/>
      <c r="V19" s="863"/>
      <c r="W19" s="859"/>
      <c r="X19" s="859"/>
      <c r="Y19" s="755">
        <f t="shared" si="6"/>
        <v>0</v>
      </c>
      <c r="Z19" s="864"/>
      <c r="AA19" s="863"/>
      <c r="AB19" s="756">
        <f t="shared" si="7"/>
        <v>0</v>
      </c>
      <c r="AC19" s="859"/>
      <c r="AD19" s="863"/>
      <c r="AE19" s="859"/>
      <c r="AF19" s="859"/>
      <c r="AG19" s="864"/>
      <c r="AH19" s="865"/>
      <c r="AI19" s="757">
        <f t="shared" si="8"/>
        <v>223264</v>
      </c>
      <c r="AJ19" s="758">
        <f t="shared" si="9"/>
        <v>223264</v>
      </c>
    </row>
    <row r="20" spans="1:36" x14ac:dyDescent="0.2">
      <c r="A20" s="843" t="s">
        <v>142</v>
      </c>
      <c r="B20" s="844" t="s">
        <v>268</v>
      </c>
      <c r="C20" s="858" t="s">
        <v>257</v>
      </c>
      <c r="D20" s="845"/>
      <c r="E20" s="846">
        <v>100858</v>
      </c>
      <c r="F20" s="847">
        <v>1</v>
      </c>
      <c r="G20" s="859"/>
      <c r="H20" s="860"/>
      <c r="I20" s="861">
        <v>31177353</v>
      </c>
      <c r="J20" s="862">
        <v>31621552</v>
      </c>
      <c r="K20" s="859"/>
      <c r="L20" s="863"/>
      <c r="M20" s="859"/>
      <c r="N20" s="859"/>
      <c r="O20" s="752">
        <f t="shared" si="2"/>
        <v>0</v>
      </c>
      <c r="P20" s="862"/>
      <c r="Q20" s="860"/>
      <c r="R20" s="753">
        <f t="shared" si="3"/>
        <v>0</v>
      </c>
      <c r="S20" s="752">
        <f t="shared" si="4"/>
        <v>31177353</v>
      </c>
      <c r="T20" s="754">
        <f t="shared" si="5"/>
        <v>31621552</v>
      </c>
      <c r="U20" s="859"/>
      <c r="V20" s="863"/>
      <c r="W20" s="859"/>
      <c r="X20" s="859"/>
      <c r="Y20" s="755">
        <f t="shared" si="6"/>
        <v>0</v>
      </c>
      <c r="Z20" s="864"/>
      <c r="AA20" s="863"/>
      <c r="AB20" s="756">
        <f t="shared" si="7"/>
        <v>0</v>
      </c>
      <c r="AC20" s="859"/>
      <c r="AD20" s="863"/>
      <c r="AE20" s="859"/>
      <c r="AF20" s="859"/>
      <c r="AG20" s="864"/>
      <c r="AH20" s="865"/>
      <c r="AI20" s="757">
        <f t="shared" si="8"/>
        <v>31177353</v>
      </c>
      <c r="AJ20" s="758">
        <f t="shared" si="9"/>
        <v>31621552</v>
      </c>
    </row>
    <row r="21" spans="1:36" x14ac:dyDescent="0.2">
      <c r="A21" s="843" t="s">
        <v>142</v>
      </c>
      <c r="B21" s="844" t="s">
        <v>269</v>
      </c>
      <c r="C21" s="858" t="s">
        <v>256</v>
      </c>
      <c r="D21" s="845"/>
      <c r="E21" s="846">
        <v>100858</v>
      </c>
      <c r="F21" s="847">
        <v>1</v>
      </c>
      <c r="G21" s="859"/>
      <c r="H21" s="860"/>
      <c r="I21" s="861">
        <v>29995593</v>
      </c>
      <c r="J21" s="862">
        <v>30622954</v>
      </c>
      <c r="K21" s="859"/>
      <c r="L21" s="863"/>
      <c r="M21" s="859"/>
      <c r="N21" s="859"/>
      <c r="O21" s="752">
        <f t="shared" si="2"/>
        <v>0</v>
      </c>
      <c r="P21" s="862"/>
      <c r="Q21" s="860"/>
      <c r="R21" s="753">
        <f t="shared" si="3"/>
        <v>0</v>
      </c>
      <c r="S21" s="752">
        <f t="shared" si="4"/>
        <v>29995593</v>
      </c>
      <c r="T21" s="754">
        <f t="shared" si="5"/>
        <v>30622954</v>
      </c>
      <c r="U21" s="859"/>
      <c r="V21" s="863"/>
      <c r="W21" s="859"/>
      <c r="X21" s="859"/>
      <c r="Y21" s="755">
        <f t="shared" si="6"/>
        <v>0</v>
      </c>
      <c r="Z21" s="864"/>
      <c r="AA21" s="863"/>
      <c r="AB21" s="756">
        <f t="shared" si="7"/>
        <v>0</v>
      </c>
      <c r="AC21" s="859"/>
      <c r="AD21" s="863"/>
      <c r="AE21" s="859"/>
      <c r="AF21" s="859"/>
      <c r="AG21" s="863"/>
      <c r="AH21" s="865"/>
      <c r="AI21" s="757">
        <f t="shared" si="8"/>
        <v>29995593</v>
      </c>
      <c r="AJ21" s="758">
        <f t="shared" si="9"/>
        <v>30622954</v>
      </c>
    </row>
    <row r="22" spans="1:36" x14ac:dyDescent="0.2">
      <c r="A22" s="843" t="s">
        <v>142</v>
      </c>
      <c r="B22" s="844" t="s">
        <v>271</v>
      </c>
      <c r="C22" s="858" t="s">
        <v>309</v>
      </c>
      <c r="D22" s="845"/>
      <c r="E22" s="846">
        <v>100858</v>
      </c>
      <c r="F22" s="847">
        <v>1</v>
      </c>
      <c r="G22" s="859"/>
      <c r="H22" s="860"/>
      <c r="I22" s="861"/>
      <c r="J22" s="862"/>
      <c r="K22" s="859"/>
      <c r="L22" s="863"/>
      <c r="M22" s="859"/>
      <c r="N22" s="859"/>
      <c r="O22" s="752">
        <f t="shared" si="2"/>
        <v>0</v>
      </c>
      <c r="P22" s="862"/>
      <c r="Q22" s="860"/>
      <c r="R22" s="753">
        <f t="shared" si="3"/>
        <v>0</v>
      </c>
      <c r="S22" s="752">
        <f t="shared" si="4"/>
        <v>0</v>
      </c>
      <c r="T22" s="754">
        <f t="shared" si="5"/>
        <v>0</v>
      </c>
      <c r="U22" s="859"/>
      <c r="V22" s="863"/>
      <c r="W22" s="859"/>
      <c r="X22" s="859"/>
      <c r="Y22" s="755">
        <f t="shared" si="6"/>
        <v>0</v>
      </c>
      <c r="Z22" s="864"/>
      <c r="AA22" s="863"/>
      <c r="AB22" s="756">
        <f t="shared" si="7"/>
        <v>0</v>
      </c>
      <c r="AC22" s="859"/>
      <c r="AD22" s="863"/>
      <c r="AE22" s="859"/>
      <c r="AF22" s="859"/>
      <c r="AG22" s="864"/>
      <c r="AH22" s="865"/>
      <c r="AI22" s="757">
        <f t="shared" si="8"/>
        <v>0</v>
      </c>
      <c r="AJ22" s="758">
        <f t="shared" si="9"/>
        <v>0</v>
      </c>
    </row>
    <row r="23" spans="1:36" x14ac:dyDescent="0.2">
      <c r="A23" s="843" t="s">
        <v>142</v>
      </c>
      <c r="B23" s="844" t="s">
        <v>264</v>
      </c>
      <c r="C23" s="868" t="s">
        <v>459</v>
      </c>
      <c r="D23" s="869"/>
      <c r="E23" s="846">
        <v>100751</v>
      </c>
      <c r="F23" s="847">
        <v>1</v>
      </c>
      <c r="G23" s="859">
        <v>130069985</v>
      </c>
      <c r="H23" s="860">
        <v>132149947</v>
      </c>
      <c r="I23" s="861"/>
      <c r="J23" s="862"/>
      <c r="K23" s="859"/>
      <c r="L23" s="863"/>
      <c r="M23" s="867">
        <v>509866389</v>
      </c>
      <c r="N23" s="859">
        <v>3029139</v>
      </c>
      <c r="O23" s="752">
        <f t="shared" si="2"/>
        <v>512895528</v>
      </c>
      <c r="P23" s="862">
        <v>468922651</v>
      </c>
      <c r="Q23" s="860">
        <v>3029139</v>
      </c>
      <c r="R23" s="753">
        <f t="shared" si="3"/>
        <v>471951790</v>
      </c>
      <c r="S23" s="752">
        <f t="shared" si="4"/>
        <v>639936374</v>
      </c>
      <c r="T23" s="754">
        <f t="shared" si="5"/>
        <v>601072598</v>
      </c>
      <c r="U23" s="859"/>
      <c r="V23" s="863"/>
      <c r="W23" s="859"/>
      <c r="X23" s="859"/>
      <c r="Y23" s="755">
        <f t="shared" si="6"/>
        <v>0</v>
      </c>
      <c r="Z23" s="864"/>
      <c r="AA23" s="863"/>
      <c r="AB23" s="756">
        <f t="shared" si="7"/>
        <v>0</v>
      </c>
      <c r="AC23" s="859"/>
      <c r="AD23" s="863"/>
      <c r="AE23" s="859"/>
      <c r="AF23" s="859"/>
      <c r="AG23" s="864"/>
      <c r="AH23" s="865"/>
      <c r="AI23" s="757">
        <f t="shared" si="8"/>
        <v>639936374</v>
      </c>
      <c r="AJ23" s="758">
        <f t="shared" si="9"/>
        <v>601072598</v>
      </c>
    </row>
    <row r="24" spans="1:36" x14ac:dyDescent="0.2">
      <c r="A24" s="843" t="s">
        <v>142</v>
      </c>
      <c r="B24" s="844" t="s">
        <v>280</v>
      </c>
      <c r="C24" s="858" t="s">
        <v>460</v>
      </c>
      <c r="D24" s="845"/>
      <c r="E24" s="846">
        <v>100751</v>
      </c>
      <c r="F24" s="847">
        <v>1</v>
      </c>
      <c r="G24" s="859"/>
      <c r="H24" s="860"/>
      <c r="I24" s="861"/>
      <c r="J24" s="862"/>
      <c r="K24" s="859"/>
      <c r="L24" s="863"/>
      <c r="M24" s="859"/>
      <c r="N24" s="859"/>
      <c r="O24" s="752">
        <f t="shared" si="2"/>
        <v>0</v>
      </c>
      <c r="P24" s="862"/>
      <c r="Q24" s="860"/>
      <c r="R24" s="753">
        <f t="shared" si="3"/>
        <v>0</v>
      </c>
      <c r="S24" s="752">
        <f t="shared" si="4"/>
        <v>0</v>
      </c>
      <c r="T24" s="754">
        <f t="shared" si="5"/>
        <v>0</v>
      </c>
      <c r="U24" s="859"/>
      <c r="V24" s="863"/>
      <c r="W24" s="859"/>
      <c r="X24" s="859"/>
      <c r="Y24" s="755">
        <f t="shared" si="6"/>
        <v>0</v>
      </c>
      <c r="Z24" s="864"/>
      <c r="AA24" s="863"/>
      <c r="AB24" s="756">
        <f t="shared" si="7"/>
        <v>0</v>
      </c>
      <c r="AC24" s="859">
        <v>9343325</v>
      </c>
      <c r="AD24" s="863">
        <v>9453297</v>
      </c>
      <c r="AE24" s="859">
        <v>1475021</v>
      </c>
      <c r="AF24" s="859"/>
      <c r="AG24" s="864">
        <v>1606920</v>
      </c>
      <c r="AH24" s="865"/>
      <c r="AI24" s="757">
        <f t="shared" si="8"/>
        <v>10818346</v>
      </c>
      <c r="AJ24" s="758">
        <f t="shared" si="9"/>
        <v>11060217</v>
      </c>
    </row>
    <row r="25" spans="1:36" x14ac:dyDescent="0.2">
      <c r="A25" s="843" t="s">
        <v>142</v>
      </c>
      <c r="B25" s="844" t="s">
        <v>266</v>
      </c>
      <c r="C25" s="858" t="s">
        <v>319</v>
      </c>
      <c r="D25" s="845"/>
      <c r="E25" s="846">
        <v>100751</v>
      </c>
      <c r="F25" s="847">
        <v>1</v>
      </c>
      <c r="G25" s="859"/>
      <c r="H25" s="860"/>
      <c r="I25" s="861"/>
      <c r="J25" s="862"/>
      <c r="K25" s="859"/>
      <c r="L25" s="863"/>
      <c r="M25" s="859"/>
      <c r="N25" s="859"/>
      <c r="O25" s="752">
        <f t="shared" si="2"/>
        <v>0</v>
      </c>
      <c r="P25" s="862"/>
      <c r="Q25" s="860"/>
      <c r="R25" s="753">
        <f t="shared" si="3"/>
        <v>0</v>
      </c>
      <c r="S25" s="752">
        <f t="shared" si="4"/>
        <v>0</v>
      </c>
      <c r="T25" s="754">
        <f t="shared" si="5"/>
        <v>0</v>
      </c>
      <c r="U25" s="859"/>
      <c r="V25" s="863"/>
      <c r="W25" s="859"/>
      <c r="X25" s="859"/>
      <c r="Y25" s="755">
        <f t="shared" si="6"/>
        <v>0</v>
      </c>
      <c r="Z25" s="864"/>
      <c r="AA25" s="863"/>
      <c r="AB25" s="756">
        <f t="shared" si="7"/>
        <v>0</v>
      </c>
      <c r="AC25" s="859"/>
      <c r="AD25" s="863"/>
      <c r="AE25" s="859"/>
      <c r="AF25" s="859"/>
      <c r="AG25" s="864"/>
      <c r="AH25" s="865"/>
      <c r="AI25" s="757">
        <f t="shared" si="8"/>
        <v>0</v>
      </c>
      <c r="AJ25" s="758">
        <f t="shared" si="9"/>
        <v>0</v>
      </c>
    </row>
    <row r="26" spans="1:36" x14ac:dyDescent="0.2">
      <c r="A26" s="843" t="s">
        <v>142</v>
      </c>
      <c r="B26" s="844" t="s">
        <v>266</v>
      </c>
      <c r="C26" s="866" t="s">
        <v>461</v>
      </c>
      <c r="D26" s="845"/>
      <c r="E26" s="846">
        <v>100751</v>
      </c>
      <c r="F26" s="847">
        <v>1</v>
      </c>
      <c r="G26" s="859"/>
      <c r="H26" s="860"/>
      <c r="I26" s="861">
        <v>95000</v>
      </c>
      <c r="J26" s="862">
        <v>95000</v>
      </c>
      <c r="K26" s="859"/>
      <c r="L26" s="863"/>
      <c r="M26" s="859"/>
      <c r="N26" s="859"/>
      <c r="O26" s="752">
        <f t="shared" si="2"/>
        <v>0</v>
      </c>
      <c r="P26" s="862"/>
      <c r="Q26" s="860"/>
      <c r="R26" s="753">
        <f t="shared" si="3"/>
        <v>0</v>
      </c>
      <c r="S26" s="752">
        <f t="shared" si="4"/>
        <v>95000</v>
      </c>
      <c r="T26" s="754">
        <f t="shared" si="5"/>
        <v>95000</v>
      </c>
      <c r="U26" s="859"/>
      <c r="V26" s="863"/>
      <c r="W26" s="859"/>
      <c r="X26" s="859"/>
      <c r="Y26" s="755">
        <f t="shared" si="6"/>
        <v>0</v>
      </c>
      <c r="Z26" s="864"/>
      <c r="AA26" s="863"/>
      <c r="AB26" s="756">
        <f t="shared" si="7"/>
        <v>0</v>
      </c>
      <c r="AC26" s="859"/>
      <c r="AD26" s="863"/>
      <c r="AE26" s="859"/>
      <c r="AF26" s="859"/>
      <c r="AG26" s="864"/>
      <c r="AH26" s="865"/>
      <c r="AI26" s="757">
        <f t="shared" si="8"/>
        <v>95000</v>
      </c>
      <c r="AJ26" s="758">
        <f t="shared" si="9"/>
        <v>95000</v>
      </c>
    </row>
    <row r="27" spans="1:36" x14ac:dyDescent="0.2">
      <c r="A27" s="843" t="s">
        <v>142</v>
      </c>
      <c r="B27" s="844" t="s">
        <v>266</v>
      </c>
      <c r="C27" s="866" t="s">
        <v>462</v>
      </c>
      <c r="D27" s="845"/>
      <c r="E27" s="846">
        <v>100751</v>
      </c>
      <c r="F27" s="847">
        <v>1</v>
      </c>
      <c r="G27" s="859"/>
      <c r="H27" s="860"/>
      <c r="I27" s="861">
        <v>596600</v>
      </c>
      <c r="J27" s="862">
        <v>596600</v>
      </c>
      <c r="K27" s="859"/>
      <c r="L27" s="863"/>
      <c r="M27" s="859"/>
      <c r="N27" s="859"/>
      <c r="O27" s="752">
        <f t="shared" si="2"/>
        <v>0</v>
      </c>
      <c r="P27" s="862"/>
      <c r="Q27" s="860"/>
      <c r="R27" s="753">
        <f t="shared" si="3"/>
        <v>0</v>
      </c>
      <c r="S27" s="752">
        <f t="shared" si="4"/>
        <v>596600</v>
      </c>
      <c r="T27" s="754">
        <f t="shared" si="5"/>
        <v>596600</v>
      </c>
      <c r="U27" s="859"/>
      <c r="V27" s="863"/>
      <c r="W27" s="859"/>
      <c r="X27" s="859"/>
      <c r="Y27" s="755">
        <f t="shared" si="6"/>
        <v>0</v>
      </c>
      <c r="Z27" s="864"/>
      <c r="AA27" s="863"/>
      <c r="AB27" s="756">
        <f t="shared" si="7"/>
        <v>0</v>
      </c>
      <c r="AC27" s="859"/>
      <c r="AD27" s="863"/>
      <c r="AE27" s="859"/>
      <c r="AF27" s="859"/>
      <c r="AG27" s="864"/>
      <c r="AH27" s="865"/>
      <c r="AI27" s="757">
        <f t="shared" si="8"/>
        <v>596600</v>
      </c>
      <c r="AJ27" s="758">
        <f t="shared" si="9"/>
        <v>596600</v>
      </c>
    </row>
    <row r="28" spans="1:36" x14ac:dyDescent="0.2">
      <c r="A28" s="843" t="s">
        <v>142</v>
      </c>
      <c r="B28" s="844" t="s">
        <v>266</v>
      </c>
      <c r="C28" s="866" t="s">
        <v>457</v>
      </c>
      <c r="D28" s="845"/>
      <c r="E28" s="846">
        <v>100751</v>
      </c>
      <c r="F28" s="847">
        <v>1</v>
      </c>
      <c r="G28" s="859"/>
      <c r="H28" s="860"/>
      <c r="I28" s="861">
        <v>95000</v>
      </c>
      <c r="J28" s="862">
        <v>95000</v>
      </c>
      <c r="K28" s="859"/>
      <c r="L28" s="863"/>
      <c r="M28" s="859"/>
      <c r="N28" s="859"/>
      <c r="O28" s="752">
        <f t="shared" si="2"/>
        <v>0</v>
      </c>
      <c r="P28" s="862"/>
      <c r="Q28" s="860"/>
      <c r="R28" s="753">
        <f t="shared" si="3"/>
        <v>0</v>
      </c>
      <c r="S28" s="752">
        <f t="shared" si="4"/>
        <v>95000</v>
      </c>
      <c r="T28" s="754">
        <f t="shared" si="5"/>
        <v>95000</v>
      </c>
      <c r="U28" s="859"/>
      <c r="V28" s="863"/>
      <c r="W28" s="859"/>
      <c r="X28" s="859"/>
      <c r="Y28" s="755">
        <f t="shared" si="6"/>
        <v>0</v>
      </c>
      <c r="Z28" s="864"/>
      <c r="AA28" s="863"/>
      <c r="AB28" s="756">
        <f t="shared" si="7"/>
        <v>0</v>
      </c>
      <c r="AC28" s="859"/>
      <c r="AD28" s="863"/>
      <c r="AE28" s="859"/>
      <c r="AF28" s="859"/>
      <c r="AG28" s="864"/>
      <c r="AH28" s="865"/>
      <c r="AI28" s="757">
        <f t="shared" si="8"/>
        <v>95000</v>
      </c>
      <c r="AJ28" s="758">
        <f t="shared" si="9"/>
        <v>95000</v>
      </c>
    </row>
    <row r="29" spans="1:36" x14ac:dyDescent="0.2">
      <c r="A29" s="843" t="s">
        <v>142</v>
      </c>
      <c r="B29" s="844" t="s">
        <v>266</v>
      </c>
      <c r="C29" s="866" t="s">
        <v>463</v>
      </c>
      <c r="D29" s="845"/>
      <c r="E29" s="846">
        <v>100751</v>
      </c>
      <c r="F29" s="847">
        <v>1</v>
      </c>
      <c r="G29" s="859"/>
      <c r="H29" s="860"/>
      <c r="I29" s="861">
        <v>500000</v>
      </c>
      <c r="J29" s="862">
        <v>500000</v>
      </c>
      <c r="K29" s="859"/>
      <c r="L29" s="863"/>
      <c r="M29" s="859"/>
      <c r="N29" s="859"/>
      <c r="O29" s="752">
        <f t="shared" si="2"/>
        <v>0</v>
      </c>
      <c r="P29" s="862"/>
      <c r="Q29" s="860"/>
      <c r="R29" s="753">
        <f t="shared" si="3"/>
        <v>0</v>
      </c>
      <c r="S29" s="752">
        <f t="shared" si="4"/>
        <v>500000</v>
      </c>
      <c r="T29" s="754">
        <f t="shared" si="5"/>
        <v>500000</v>
      </c>
      <c r="U29" s="859"/>
      <c r="V29" s="863"/>
      <c r="W29" s="859"/>
      <c r="X29" s="859"/>
      <c r="Y29" s="755">
        <f t="shared" si="6"/>
        <v>0</v>
      </c>
      <c r="Z29" s="864"/>
      <c r="AA29" s="863"/>
      <c r="AB29" s="756">
        <f t="shared" si="7"/>
        <v>0</v>
      </c>
      <c r="AC29" s="859"/>
      <c r="AD29" s="863"/>
      <c r="AE29" s="859"/>
      <c r="AF29" s="859"/>
      <c r="AG29" s="864"/>
      <c r="AH29" s="865"/>
      <c r="AI29" s="757">
        <f t="shared" si="8"/>
        <v>500000</v>
      </c>
      <c r="AJ29" s="758">
        <f t="shared" si="9"/>
        <v>500000</v>
      </c>
    </row>
    <row r="30" spans="1:36" x14ac:dyDescent="0.2">
      <c r="A30" s="843" t="s">
        <v>142</v>
      </c>
      <c r="B30" s="844" t="s">
        <v>266</v>
      </c>
      <c r="C30" s="866" t="s">
        <v>464</v>
      </c>
      <c r="D30" s="845"/>
      <c r="E30" s="846">
        <v>100751</v>
      </c>
      <c r="F30" s="847">
        <v>1</v>
      </c>
      <c r="G30" s="859"/>
      <c r="H30" s="860"/>
      <c r="I30" s="861"/>
      <c r="J30" s="862">
        <v>95000</v>
      </c>
      <c r="K30" s="859"/>
      <c r="L30" s="863"/>
      <c r="M30" s="859"/>
      <c r="N30" s="859"/>
      <c r="O30" s="752">
        <f t="shared" si="2"/>
        <v>0</v>
      </c>
      <c r="P30" s="862"/>
      <c r="Q30" s="860"/>
      <c r="R30" s="753">
        <f t="shared" si="3"/>
        <v>0</v>
      </c>
      <c r="S30" s="752">
        <f t="shared" si="4"/>
        <v>0</v>
      </c>
      <c r="T30" s="754">
        <f t="shared" si="5"/>
        <v>95000</v>
      </c>
      <c r="U30" s="859"/>
      <c r="V30" s="863"/>
      <c r="W30" s="859"/>
      <c r="X30" s="859"/>
      <c r="Y30" s="755">
        <f t="shared" si="6"/>
        <v>0</v>
      </c>
      <c r="Z30" s="864"/>
      <c r="AA30" s="863"/>
      <c r="AB30" s="756">
        <f t="shared" si="7"/>
        <v>0</v>
      </c>
      <c r="AC30" s="859"/>
      <c r="AD30" s="863"/>
      <c r="AE30" s="859"/>
      <c r="AF30" s="859"/>
      <c r="AG30" s="864"/>
      <c r="AH30" s="865"/>
      <c r="AI30" s="757">
        <f t="shared" si="8"/>
        <v>0</v>
      </c>
      <c r="AJ30" s="758">
        <f t="shared" si="9"/>
        <v>95000</v>
      </c>
    </row>
    <row r="31" spans="1:36" x14ac:dyDescent="0.2">
      <c r="A31" s="843" t="s">
        <v>142</v>
      </c>
      <c r="B31" s="844" t="s">
        <v>266</v>
      </c>
      <c r="C31" s="866" t="s">
        <v>465</v>
      </c>
      <c r="D31" s="845"/>
      <c r="E31" s="846">
        <v>100751</v>
      </c>
      <c r="F31" s="847">
        <v>1</v>
      </c>
      <c r="G31" s="859"/>
      <c r="H31" s="860"/>
      <c r="I31" s="861"/>
      <c r="J31" s="862">
        <v>1000000</v>
      </c>
      <c r="K31" s="859"/>
      <c r="L31" s="863"/>
      <c r="M31" s="859"/>
      <c r="N31" s="859"/>
      <c r="O31" s="752">
        <f t="shared" si="2"/>
        <v>0</v>
      </c>
      <c r="P31" s="862"/>
      <c r="Q31" s="860"/>
      <c r="R31" s="753">
        <f t="shared" si="3"/>
        <v>0</v>
      </c>
      <c r="S31" s="752">
        <f t="shared" si="4"/>
        <v>0</v>
      </c>
      <c r="T31" s="754">
        <f t="shared" si="5"/>
        <v>1000000</v>
      </c>
      <c r="U31" s="859"/>
      <c r="V31" s="863"/>
      <c r="W31" s="859"/>
      <c r="X31" s="859"/>
      <c r="Y31" s="755">
        <f t="shared" si="6"/>
        <v>0</v>
      </c>
      <c r="Z31" s="864"/>
      <c r="AA31" s="863"/>
      <c r="AB31" s="756">
        <f t="shared" si="7"/>
        <v>0</v>
      </c>
      <c r="AC31" s="859"/>
      <c r="AD31" s="863"/>
      <c r="AE31" s="859"/>
      <c r="AF31" s="859"/>
      <c r="AG31" s="864"/>
      <c r="AH31" s="865"/>
      <c r="AI31" s="757">
        <f t="shared" si="8"/>
        <v>0</v>
      </c>
      <c r="AJ31" s="758">
        <f t="shared" si="9"/>
        <v>1000000</v>
      </c>
    </row>
    <row r="32" spans="1:36" x14ac:dyDescent="0.2">
      <c r="A32" s="843" t="s">
        <v>142</v>
      </c>
      <c r="B32" s="844" t="s">
        <v>266</v>
      </c>
      <c r="C32" s="866" t="s">
        <v>466</v>
      </c>
      <c r="D32" s="845"/>
      <c r="E32" s="846">
        <v>100751</v>
      </c>
      <c r="F32" s="847">
        <v>1</v>
      </c>
      <c r="G32" s="859"/>
      <c r="H32" s="860"/>
      <c r="I32" s="861"/>
      <c r="J32" s="862">
        <v>250000</v>
      </c>
      <c r="K32" s="859"/>
      <c r="L32" s="863"/>
      <c r="M32" s="859"/>
      <c r="N32" s="859"/>
      <c r="O32" s="752">
        <f t="shared" si="2"/>
        <v>0</v>
      </c>
      <c r="P32" s="862"/>
      <c r="Q32" s="860"/>
      <c r="R32" s="753">
        <f t="shared" si="3"/>
        <v>0</v>
      </c>
      <c r="S32" s="752">
        <f t="shared" si="4"/>
        <v>0</v>
      </c>
      <c r="T32" s="754">
        <f t="shared" si="5"/>
        <v>250000</v>
      </c>
      <c r="U32" s="859"/>
      <c r="V32" s="863"/>
      <c r="W32" s="859"/>
      <c r="X32" s="859"/>
      <c r="Y32" s="755">
        <f t="shared" si="6"/>
        <v>0</v>
      </c>
      <c r="Z32" s="864"/>
      <c r="AA32" s="863"/>
      <c r="AB32" s="756">
        <f t="shared" si="7"/>
        <v>0</v>
      </c>
      <c r="AC32" s="859"/>
      <c r="AD32" s="863"/>
      <c r="AE32" s="859"/>
      <c r="AF32" s="859"/>
      <c r="AG32" s="864"/>
      <c r="AH32" s="865"/>
      <c r="AI32" s="757">
        <f t="shared" si="8"/>
        <v>0</v>
      </c>
      <c r="AJ32" s="758">
        <f t="shared" si="9"/>
        <v>250000</v>
      </c>
    </row>
    <row r="33" spans="1:36" x14ac:dyDescent="0.2">
      <c r="A33" s="843" t="s">
        <v>142</v>
      </c>
      <c r="B33" s="844" t="s">
        <v>267</v>
      </c>
      <c r="C33" s="858" t="s">
        <v>258</v>
      </c>
      <c r="D33" s="845"/>
      <c r="E33" s="846">
        <v>100751</v>
      </c>
      <c r="F33" s="847">
        <v>1</v>
      </c>
      <c r="G33" s="859"/>
      <c r="H33" s="860"/>
      <c r="I33" s="861"/>
      <c r="J33" s="862"/>
      <c r="K33" s="859"/>
      <c r="L33" s="863"/>
      <c r="M33" s="859"/>
      <c r="N33" s="859"/>
      <c r="O33" s="752">
        <f t="shared" si="2"/>
        <v>0</v>
      </c>
      <c r="P33" s="862"/>
      <c r="Q33" s="860"/>
      <c r="R33" s="753">
        <f t="shared" si="3"/>
        <v>0</v>
      </c>
      <c r="S33" s="752">
        <f t="shared" si="4"/>
        <v>0</v>
      </c>
      <c r="T33" s="754">
        <f t="shared" si="5"/>
        <v>0</v>
      </c>
      <c r="U33" s="859"/>
      <c r="V33" s="863"/>
      <c r="W33" s="859"/>
      <c r="X33" s="859"/>
      <c r="Y33" s="755">
        <f t="shared" si="6"/>
        <v>0</v>
      </c>
      <c r="Z33" s="864"/>
      <c r="AA33" s="863"/>
      <c r="AB33" s="756">
        <f t="shared" si="7"/>
        <v>0</v>
      </c>
      <c r="AC33" s="859"/>
      <c r="AD33" s="863"/>
      <c r="AE33" s="859"/>
      <c r="AF33" s="859"/>
      <c r="AG33" s="864"/>
      <c r="AH33" s="865"/>
      <c r="AI33" s="757">
        <f t="shared" si="8"/>
        <v>0</v>
      </c>
      <c r="AJ33" s="758">
        <f t="shared" si="9"/>
        <v>0</v>
      </c>
    </row>
    <row r="34" spans="1:36" x14ac:dyDescent="0.2">
      <c r="A34" s="843" t="s">
        <v>142</v>
      </c>
      <c r="B34" s="844" t="s">
        <v>267</v>
      </c>
      <c r="C34" s="866" t="s">
        <v>458</v>
      </c>
      <c r="D34" s="845"/>
      <c r="E34" s="846">
        <v>100751</v>
      </c>
      <c r="F34" s="847">
        <v>1</v>
      </c>
      <c r="G34" s="859"/>
      <c r="H34" s="860"/>
      <c r="I34" s="861">
        <v>203625</v>
      </c>
      <c r="J34" s="862">
        <v>203625</v>
      </c>
      <c r="K34" s="859"/>
      <c r="L34" s="863"/>
      <c r="M34" s="859"/>
      <c r="N34" s="859"/>
      <c r="O34" s="752">
        <f t="shared" si="2"/>
        <v>0</v>
      </c>
      <c r="P34" s="862"/>
      <c r="Q34" s="860"/>
      <c r="R34" s="753">
        <f t="shared" si="3"/>
        <v>0</v>
      </c>
      <c r="S34" s="752">
        <f t="shared" si="4"/>
        <v>203625</v>
      </c>
      <c r="T34" s="754">
        <f t="shared" si="5"/>
        <v>203625</v>
      </c>
      <c r="U34" s="859"/>
      <c r="V34" s="863"/>
      <c r="W34" s="859"/>
      <c r="X34" s="859"/>
      <c r="Y34" s="755">
        <f t="shared" si="6"/>
        <v>0</v>
      </c>
      <c r="Z34" s="864"/>
      <c r="AA34" s="863"/>
      <c r="AB34" s="756">
        <f t="shared" si="7"/>
        <v>0</v>
      </c>
      <c r="AC34" s="859"/>
      <c r="AD34" s="863"/>
      <c r="AE34" s="859"/>
      <c r="AF34" s="859"/>
      <c r="AG34" s="864"/>
      <c r="AH34" s="865"/>
      <c r="AI34" s="757">
        <f t="shared" si="8"/>
        <v>203625</v>
      </c>
      <c r="AJ34" s="758">
        <f t="shared" si="9"/>
        <v>203625</v>
      </c>
    </row>
    <row r="35" spans="1:36" x14ac:dyDescent="0.2">
      <c r="A35" s="843" t="s">
        <v>142</v>
      </c>
      <c r="B35" s="844" t="s">
        <v>264</v>
      </c>
      <c r="C35" s="870" t="s">
        <v>467</v>
      </c>
      <c r="D35" s="871"/>
      <c r="E35" s="846">
        <v>100663</v>
      </c>
      <c r="F35" s="875">
        <v>2</v>
      </c>
      <c r="G35" s="859">
        <v>40806599</v>
      </c>
      <c r="H35" s="860">
        <v>30702789</v>
      </c>
      <c r="I35" s="861"/>
      <c r="J35" s="862"/>
      <c r="K35" s="859"/>
      <c r="L35" s="863"/>
      <c r="M35" s="867">
        <v>116671756</v>
      </c>
      <c r="N35" s="859"/>
      <c r="O35" s="752">
        <f t="shared" si="2"/>
        <v>116671756</v>
      </c>
      <c r="P35" s="862">
        <v>124930789</v>
      </c>
      <c r="Q35" s="860"/>
      <c r="R35" s="753">
        <f t="shared" si="3"/>
        <v>124930789</v>
      </c>
      <c r="S35" s="752">
        <f t="shared" si="4"/>
        <v>157478355</v>
      </c>
      <c r="T35" s="754">
        <f t="shared" si="5"/>
        <v>155633578</v>
      </c>
      <c r="U35" s="859"/>
      <c r="V35" s="863"/>
      <c r="W35" s="859"/>
      <c r="X35" s="859"/>
      <c r="Y35" s="755">
        <f t="shared" si="6"/>
        <v>0</v>
      </c>
      <c r="Z35" s="864"/>
      <c r="AA35" s="863"/>
      <c r="AB35" s="756">
        <f t="shared" si="7"/>
        <v>0</v>
      </c>
      <c r="AC35" s="859"/>
      <c r="AD35" s="863"/>
      <c r="AE35" s="859"/>
      <c r="AF35" s="859"/>
      <c r="AG35" s="864"/>
      <c r="AH35" s="865"/>
      <c r="AI35" s="757">
        <f t="shared" si="8"/>
        <v>157478355</v>
      </c>
      <c r="AJ35" s="758">
        <f t="shared" si="9"/>
        <v>155633578</v>
      </c>
    </row>
    <row r="36" spans="1:36" x14ac:dyDescent="0.2">
      <c r="A36" s="843" t="s">
        <v>142</v>
      </c>
      <c r="B36" s="844" t="s">
        <v>280</v>
      </c>
      <c r="C36" s="858" t="s">
        <v>30</v>
      </c>
      <c r="D36" s="845"/>
      <c r="E36" s="846">
        <v>100663</v>
      </c>
      <c r="F36" s="875">
        <v>2</v>
      </c>
      <c r="G36" s="859"/>
      <c r="H36" s="860"/>
      <c r="I36" s="861"/>
      <c r="J36" s="862"/>
      <c r="K36" s="859"/>
      <c r="L36" s="863"/>
      <c r="M36" s="859"/>
      <c r="N36" s="859"/>
      <c r="O36" s="752">
        <f t="shared" si="2"/>
        <v>0</v>
      </c>
      <c r="P36" s="862"/>
      <c r="Q36" s="860"/>
      <c r="R36" s="753">
        <f t="shared" si="3"/>
        <v>0</v>
      </c>
      <c r="S36" s="752">
        <f t="shared" si="4"/>
        <v>0</v>
      </c>
      <c r="T36" s="754">
        <f t="shared" si="5"/>
        <v>0</v>
      </c>
      <c r="U36" s="859"/>
      <c r="V36" s="863"/>
      <c r="W36" s="859"/>
      <c r="X36" s="859"/>
      <c r="Y36" s="755">
        <f t="shared" si="6"/>
        <v>0</v>
      </c>
      <c r="Z36" s="864"/>
      <c r="AA36" s="863"/>
      <c r="AB36" s="756">
        <f t="shared" si="7"/>
        <v>0</v>
      </c>
      <c r="AC36" s="859"/>
      <c r="AD36" s="863"/>
      <c r="AE36" s="859"/>
      <c r="AF36" s="859"/>
      <c r="AG36" s="864"/>
      <c r="AH36" s="865"/>
      <c r="AI36" s="757">
        <f t="shared" si="8"/>
        <v>0</v>
      </c>
      <c r="AJ36" s="758">
        <f t="shared" si="9"/>
        <v>0</v>
      </c>
    </row>
    <row r="37" spans="1:36" x14ac:dyDescent="0.2">
      <c r="A37" s="843" t="s">
        <v>142</v>
      </c>
      <c r="B37" s="844" t="s">
        <v>280</v>
      </c>
      <c r="C37" s="866" t="s">
        <v>468</v>
      </c>
      <c r="D37" s="845"/>
      <c r="E37" s="846">
        <v>100663</v>
      </c>
      <c r="F37" s="875">
        <v>2</v>
      </c>
      <c r="G37" s="859"/>
      <c r="H37" s="860"/>
      <c r="I37" s="861"/>
      <c r="J37" s="862"/>
      <c r="K37" s="859"/>
      <c r="L37" s="863"/>
      <c r="M37" s="859"/>
      <c r="N37" s="859"/>
      <c r="O37" s="752">
        <f t="shared" si="2"/>
        <v>0</v>
      </c>
      <c r="P37" s="862"/>
      <c r="Q37" s="860"/>
      <c r="R37" s="753">
        <f t="shared" si="3"/>
        <v>0</v>
      </c>
      <c r="S37" s="752">
        <f t="shared" si="4"/>
        <v>0</v>
      </c>
      <c r="T37" s="754">
        <f t="shared" si="5"/>
        <v>0</v>
      </c>
      <c r="U37" s="859"/>
      <c r="V37" s="863"/>
      <c r="W37" s="859"/>
      <c r="X37" s="859"/>
      <c r="Y37" s="755">
        <f t="shared" si="6"/>
        <v>0</v>
      </c>
      <c r="Z37" s="864"/>
      <c r="AA37" s="863"/>
      <c r="AB37" s="756">
        <f t="shared" si="7"/>
        <v>0</v>
      </c>
      <c r="AC37" s="859">
        <v>213966590</v>
      </c>
      <c r="AD37" s="863">
        <v>227720713</v>
      </c>
      <c r="AE37" s="867">
        <v>77287037</v>
      </c>
      <c r="AF37" s="859"/>
      <c r="AG37" s="864">
        <v>78807211</v>
      </c>
      <c r="AH37" s="865"/>
      <c r="AI37" s="757">
        <f t="shared" si="8"/>
        <v>291253627</v>
      </c>
      <c r="AJ37" s="758">
        <f t="shared" si="9"/>
        <v>306527924</v>
      </c>
    </row>
    <row r="38" spans="1:36" x14ac:dyDescent="0.2">
      <c r="A38" s="843" t="s">
        <v>142</v>
      </c>
      <c r="B38" s="844" t="s">
        <v>280</v>
      </c>
      <c r="C38" s="866" t="s">
        <v>469</v>
      </c>
      <c r="D38" s="845"/>
      <c r="E38" s="846">
        <v>100663</v>
      </c>
      <c r="F38" s="875">
        <v>2</v>
      </c>
      <c r="G38" s="859"/>
      <c r="H38" s="860"/>
      <c r="I38" s="861"/>
      <c r="J38" s="862"/>
      <c r="K38" s="859"/>
      <c r="L38" s="863"/>
      <c r="M38" s="859"/>
      <c r="N38" s="859"/>
      <c r="O38" s="752">
        <f t="shared" si="2"/>
        <v>0</v>
      </c>
      <c r="P38" s="862"/>
      <c r="Q38" s="860"/>
      <c r="R38" s="753">
        <f t="shared" si="3"/>
        <v>0</v>
      </c>
      <c r="S38" s="752">
        <f t="shared" si="4"/>
        <v>0</v>
      </c>
      <c r="T38" s="754">
        <f t="shared" si="5"/>
        <v>0</v>
      </c>
      <c r="U38" s="859"/>
      <c r="V38" s="863"/>
      <c r="W38" s="859"/>
      <c r="X38" s="859"/>
      <c r="Y38" s="755">
        <f t="shared" si="6"/>
        <v>0</v>
      </c>
      <c r="Z38" s="864"/>
      <c r="AA38" s="863"/>
      <c r="AB38" s="756">
        <f t="shared" si="7"/>
        <v>0</v>
      </c>
      <c r="AC38" s="859">
        <v>3236628</v>
      </c>
      <c r="AD38" s="863">
        <v>3236628</v>
      </c>
      <c r="AE38" s="859"/>
      <c r="AF38" s="859"/>
      <c r="AG38" s="864"/>
      <c r="AH38" s="865"/>
      <c r="AI38" s="757">
        <f t="shared" si="8"/>
        <v>3236628</v>
      </c>
      <c r="AJ38" s="758">
        <f t="shared" si="9"/>
        <v>3236628</v>
      </c>
    </row>
    <row r="39" spans="1:36" x14ac:dyDescent="0.2">
      <c r="A39" s="843" t="s">
        <v>142</v>
      </c>
      <c r="B39" s="844" t="s">
        <v>280</v>
      </c>
      <c r="C39" s="866" t="s">
        <v>470</v>
      </c>
      <c r="D39" s="845"/>
      <c r="E39" s="846">
        <v>100663</v>
      </c>
      <c r="F39" s="875">
        <v>2</v>
      </c>
      <c r="G39" s="859"/>
      <c r="H39" s="860"/>
      <c r="I39" s="861"/>
      <c r="J39" s="862"/>
      <c r="K39" s="859"/>
      <c r="L39" s="863"/>
      <c r="M39" s="859"/>
      <c r="N39" s="859"/>
      <c r="O39" s="752">
        <f t="shared" si="2"/>
        <v>0</v>
      </c>
      <c r="P39" s="862"/>
      <c r="Q39" s="860"/>
      <c r="R39" s="753">
        <f t="shared" si="3"/>
        <v>0</v>
      </c>
      <c r="S39" s="752">
        <f t="shared" si="4"/>
        <v>0</v>
      </c>
      <c r="T39" s="754">
        <f t="shared" si="5"/>
        <v>0</v>
      </c>
      <c r="U39" s="859"/>
      <c r="V39" s="863"/>
      <c r="W39" s="859"/>
      <c r="X39" s="859"/>
      <c r="Y39" s="755">
        <f t="shared" si="6"/>
        <v>0</v>
      </c>
      <c r="Z39" s="864"/>
      <c r="AA39" s="863"/>
      <c r="AB39" s="756">
        <f t="shared" si="7"/>
        <v>0</v>
      </c>
      <c r="AC39" s="859"/>
      <c r="AD39" s="863"/>
      <c r="AE39" s="859"/>
      <c r="AF39" s="859"/>
      <c r="AG39" s="864"/>
      <c r="AH39" s="865"/>
      <c r="AI39" s="757">
        <f t="shared" si="8"/>
        <v>0</v>
      </c>
      <c r="AJ39" s="758">
        <f t="shared" si="9"/>
        <v>0</v>
      </c>
    </row>
    <row r="40" spans="1:36" x14ac:dyDescent="0.2">
      <c r="A40" s="843" t="s">
        <v>142</v>
      </c>
      <c r="B40" s="844" t="s">
        <v>280</v>
      </c>
      <c r="C40" s="866" t="s">
        <v>471</v>
      </c>
      <c r="D40" s="845"/>
      <c r="E40" s="846">
        <v>100663</v>
      </c>
      <c r="F40" s="875">
        <v>2</v>
      </c>
      <c r="G40" s="859"/>
      <c r="H40" s="860"/>
      <c r="I40" s="861"/>
      <c r="J40" s="862"/>
      <c r="K40" s="859"/>
      <c r="L40" s="863"/>
      <c r="M40" s="859"/>
      <c r="N40" s="859"/>
      <c r="O40" s="752">
        <f t="shared" si="2"/>
        <v>0</v>
      </c>
      <c r="P40" s="862"/>
      <c r="Q40" s="860"/>
      <c r="R40" s="753">
        <f t="shared" si="3"/>
        <v>0</v>
      </c>
      <c r="S40" s="752">
        <f t="shared" si="4"/>
        <v>0</v>
      </c>
      <c r="T40" s="754">
        <f t="shared" si="5"/>
        <v>0</v>
      </c>
      <c r="U40" s="859"/>
      <c r="V40" s="863"/>
      <c r="W40" s="859"/>
      <c r="X40" s="859"/>
      <c r="Y40" s="755">
        <f t="shared" si="6"/>
        <v>0</v>
      </c>
      <c r="Z40" s="864"/>
      <c r="AA40" s="863"/>
      <c r="AB40" s="756">
        <f t="shared" si="7"/>
        <v>0</v>
      </c>
      <c r="AC40" s="859"/>
      <c r="AD40" s="863">
        <v>500000</v>
      </c>
      <c r="AE40" s="859"/>
      <c r="AF40" s="859"/>
      <c r="AG40" s="864"/>
      <c r="AH40" s="865"/>
      <c r="AI40" s="757">
        <f t="shared" si="8"/>
        <v>0</v>
      </c>
      <c r="AJ40" s="758">
        <f t="shared" si="9"/>
        <v>500000</v>
      </c>
    </row>
    <row r="41" spans="1:36" x14ac:dyDescent="0.2">
      <c r="A41" s="843" t="s">
        <v>142</v>
      </c>
      <c r="B41" s="844" t="s">
        <v>280</v>
      </c>
      <c r="C41" s="866" t="s">
        <v>472</v>
      </c>
      <c r="D41" s="845"/>
      <c r="E41" s="846">
        <v>100663</v>
      </c>
      <c r="F41" s="875">
        <v>2</v>
      </c>
      <c r="G41" s="859"/>
      <c r="H41" s="860"/>
      <c r="I41" s="861"/>
      <c r="J41" s="862"/>
      <c r="K41" s="859"/>
      <c r="L41" s="863"/>
      <c r="M41" s="859"/>
      <c r="N41" s="859"/>
      <c r="O41" s="752">
        <f t="shared" si="2"/>
        <v>0</v>
      </c>
      <c r="P41" s="862"/>
      <c r="Q41" s="860"/>
      <c r="R41" s="753">
        <f t="shared" si="3"/>
        <v>0</v>
      </c>
      <c r="S41" s="752">
        <f t="shared" si="4"/>
        <v>0</v>
      </c>
      <c r="T41" s="754">
        <f t="shared" si="5"/>
        <v>0</v>
      </c>
      <c r="U41" s="859"/>
      <c r="V41" s="863"/>
      <c r="W41" s="859"/>
      <c r="X41" s="859"/>
      <c r="Y41" s="755">
        <f t="shared" si="6"/>
        <v>0</v>
      </c>
      <c r="Z41" s="864"/>
      <c r="AA41" s="863"/>
      <c r="AB41" s="756">
        <f t="shared" si="7"/>
        <v>0</v>
      </c>
      <c r="AC41" s="859"/>
      <c r="AD41" s="863">
        <v>400000</v>
      </c>
      <c r="AE41" s="859"/>
      <c r="AF41" s="859"/>
      <c r="AG41" s="864"/>
      <c r="AH41" s="865"/>
      <c r="AI41" s="757">
        <f t="shared" si="8"/>
        <v>0</v>
      </c>
      <c r="AJ41" s="758">
        <f t="shared" si="9"/>
        <v>400000</v>
      </c>
    </row>
    <row r="42" spans="1:36" x14ac:dyDescent="0.2">
      <c r="A42" s="843" t="s">
        <v>142</v>
      </c>
      <c r="B42" s="844" t="s">
        <v>266</v>
      </c>
      <c r="C42" s="858" t="s">
        <v>319</v>
      </c>
      <c r="D42" s="845"/>
      <c r="E42" s="846">
        <v>100663</v>
      </c>
      <c r="F42" s="875">
        <v>2</v>
      </c>
      <c r="G42" s="859"/>
      <c r="H42" s="860"/>
      <c r="I42" s="861"/>
      <c r="J42" s="862"/>
      <c r="K42" s="859"/>
      <c r="L42" s="863"/>
      <c r="M42" s="859"/>
      <c r="N42" s="859"/>
      <c r="O42" s="752">
        <f t="shared" si="2"/>
        <v>0</v>
      </c>
      <c r="P42" s="862"/>
      <c r="Q42" s="860"/>
      <c r="R42" s="753">
        <f t="shared" si="3"/>
        <v>0</v>
      </c>
      <c r="S42" s="752">
        <f t="shared" si="4"/>
        <v>0</v>
      </c>
      <c r="T42" s="754">
        <f t="shared" si="5"/>
        <v>0</v>
      </c>
      <c r="U42" s="859"/>
      <c r="V42" s="863"/>
      <c r="W42" s="859"/>
      <c r="X42" s="859"/>
      <c r="Y42" s="755">
        <f t="shared" si="6"/>
        <v>0</v>
      </c>
      <c r="Z42" s="864"/>
      <c r="AA42" s="863"/>
      <c r="AB42" s="756">
        <f t="shared" si="7"/>
        <v>0</v>
      </c>
      <c r="AC42" s="859"/>
      <c r="AD42" s="863"/>
      <c r="AE42" s="859"/>
      <c r="AF42" s="859"/>
      <c r="AG42" s="864"/>
      <c r="AH42" s="865"/>
      <c r="AI42" s="757">
        <f t="shared" si="8"/>
        <v>0</v>
      </c>
      <c r="AJ42" s="758">
        <f t="shared" si="9"/>
        <v>0</v>
      </c>
    </row>
    <row r="43" spans="1:36" x14ac:dyDescent="0.2">
      <c r="A43" s="843" t="s">
        <v>142</v>
      </c>
      <c r="B43" s="844" t="s">
        <v>266</v>
      </c>
      <c r="C43" s="866" t="s">
        <v>473</v>
      </c>
      <c r="D43" s="845"/>
      <c r="E43" s="846">
        <v>100663</v>
      </c>
      <c r="F43" s="875">
        <v>2</v>
      </c>
      <c r="G43" s="859"/>
      <c r="H43" s="860"/>
      <c r="I43" s="861">
        <v>376473</v>
      </c>
      <c r="J43" s="862">
        <v>376473</v>
      </c>
      <c r="K43" s="859"/>
      <c r="L43" s="863"/>
      <c r="M43" s="859"/>
      <c r="N43" s="859"/>
      <c r="O43" s="752">
        <f t="shared" si="2"/>
        <v>0</v>
      </c>
      <c r="P43" s="862"/>
      <c r="Q43" s="860"/>
      <c r="R43" s="753">
        <f t="shared" si="3"/>
        <v>0</v>
      </c>
      <c r="S43" s="752">
        <f t="shared" si="4"/>
        <v>376473</v>
      </c>
      <c r="T43" s="754">
        <f t="shared" si="5"/>
        <v>376473</v>
      </c>
      <c r="U43" s="859"/>
      <c r="V43" s="863"/>
      <c r="W43" s="859"/>
      <c r="X43" s="859"/>
      <c r="Y43" s="755">
        <f t="shared" si="6"/>
        <v>0</v>
      </c>
      <c r="Z43" s="864"/>
      <c r="AA43" s="863"/>
      <c r="AB43" s="756">
        <f t="shared" si="7"/>
        <v>0</v>
      </c>
      <c r="AC43" s="859"/>
      <c r="AD43" s="863"/>
      <c r="AE43" s="859"/>
      <c r="AF43" s="859"/>
      <c r="AG43" s="864"/>
      <c r="AH43" s="865"/>
      <c r="AI43" s="757">
        <f t="shared" si="8"/>
        <v>376473</v>
      </c>
      <c r="AJ43" s="758">
        <f t="shared" si="9"/>
        <v>376473</v>
      </c>
    </row>
    <row r="44" spans="1:36" x14ac:dyDescent="0.2">
      <c r="A44" s="843" t="s">
        <v>142</v>
      </c>
      <c r="B44" s="844" t="s">
        <v>266</v>
      </c>
      <c r="C44" s="866" t="s">
        <v>474</v>
      </c>
      <c r="D44" s="845"/>
      <c r="E44" s="846">
        <v>100663</v>
      </c>
      <c r="F44" s="875">
        <v>2</v>
      </c>
      <c r="G44" s="859"/>
      <c r="H44" s="860"/>
      <c r="I44" s="861"/>
      <c r="J44" s="862"/>
      <c r="K44" s="859"/>
      <c r="L44" s="863"/>
      <c r="M44" s="859"/>
      <c r="N44" s="859"/>
      <c r="O44" s="752">
        <f t="shared" si="2"/>
        <v>0</v>
      </c>
      <c r="P44" s="862"/>
      <c r="Q44" s="860"/>
      <c r="R44" s="753">
        <f t="shared" si="3"/>
        <v>0</v>
      </c>
      <c r="S44" s="752">
        <f t="shared" si="4"/>
        <v>0</v>
      </c>
      <c r="T44" s="754">
        <f t="shared" si="5"/>
        <v>0</v>
      </c>
      <c r="U44" s="859"/>
      <c r="V44" s="863"/>
      <c r="W44" s="859"/>
      <c r="X44" s="859"/>
      <c r="Y44" s="755">
        <f t="shared" si="6"/>
        <v>0</v>
      </c>
      <c r="Z44" s="864"/>
      <c r="AA44" s="863"/>
      <c r="AB44" s="756">
        <f t="shared" si="7"/>
        <v>0</v>
      </c>
      <c r="AC44" s="859"/>
      <c r="AD44" s="863"/>
      <c r="AE44" s="859"/>
      <c r="AF44" s="859"/>
      <c r="AG44" s="864"/>
      <c r="AH44" s="865"/>
      <c r="AI44" s="757">
        <f t="shared" si="8"/>
        <v>0</v>
      </c>
      <c r="AJ44" s="758">
        <f t="shared" si="9"/>
        <v>0</v>
      </c>
    </row>
    <row r="45" spans="1:36" x14ac:dyDescent="0.2">
      <c r="A45" s="843" t="s">
        <v>142</v>
      </c>
      <c r="B45" s="844" t="s">
        <v>267</v>
      </c>
      <c r="C45" s="858" t="s">
        <v>258</v>
      </c>
      <c r="D45" s="845"/>
      <c r="E45" s="846">
        <v>100663</v>
      </c>
      <c r="F45" s="875">
        <v>2</v>
      </c>
      <c r="G45" s="859"/>
      <c r="H45" s="860"/>
      <c r="I45" s="861"/>
      <c r="J45" s="862"/>
      <c r="K45" s="859"/>
      <c r="L45" s="863"/>
      <c r="M45" s="859"/>
      <c r="N45" s="859"/>
      <c r="O45" s="752">
        <f t="shared" si="2"/>
        <v>0</v>
      </c>
      <c r="P45" s="862"/>
      <c r="Q45" s="860"/>
      <c r="R45" s="753">
        <f t="shared" si="3"/>
        <v>0</v>
      </c>
      <c r="S45" s="752">
        <f t="shared" si="4"/>
        <v>0</v>
      </c>
      <c r="T45" s="754">
        <f t="shared" si="5"/>
        <v>0</v>
      </c>
      <c r="U45" s="859"/>
      <c r="V45" s="863"/>
      <c r="W45" s="859"/>
      <c r="X45" s="859"/>
      <c r="Y45" s="755">
        <f t="shared" si="6"/>
        <v>0</v>
      </c>
      <c r="Z45" s="864"/>
      <c r="AA45" s="863"/>
      <c r="AB45" s="756">
        <f t="shared" si="7"/>
        <v>0</v>
      </c>
      <c r="AC45" s="859"/>
      <c r="AD45" s="863"/>
      <c r="AE45" s="859"/>
      <c r="AF45" s="859"/>
      <c r="AG45" s="864"/>
      <c r="AH45" s="865"/>
      <c r="AI45" s="757">
        <f t="shared" si="8"/>
        <v>0</v>
      </c>
      <c r="AJ45" s="758">
        <f t="shared" si="9"/>
        <v>0</v>
      </c>
    </row>
    <row r="46" spans="1:36" x14ac:dyDescent="0.2">
      <c r="A46" s="843" t="s">
        <v>142</v>
      </c>
      <c r="B46" s="844" t="s">
        <v>267</v>
      </c>
      <c r="C46" s="866" t="s">
        <v>458</v>
      </c>
      <c r="D46" s="845"/>
      <c r="E46" s="846">
        <v>100663</v>
      </c>
      <c r="F46" s="875">
        <v>2</v>
      </c>
      <c r="G46" s="859"/>
      <c r="H46" s="860"/>
      <c r="I46" s="861">
        <v>281923</v>
      </c>
      <c r="J46" s="862">
        <v>281923</v>
      </c>
      <c r="K46" s="859"/>
      <c r="L46" s="863"/>
      <c r="M46" s="859"/>
      <c r="N46" s="859"/>
      <c r="O46" s="752">
        <f t="shared" si="2"/>
        <v>0</v>
      </c>
      <c r="P46" s="862"/>
      <c r="Q46" s="860"/>
      <c r="R46" s="753">
        <f t="shared" si="3"/>
        <v>0</v>
      </c>
      <c r="S46" s="752">
        <f t="shared" si="4"/>
        <v>281923</v>
      </c>
      <c r="T46" s="754">
        <f t="shared" si="5"/>
        <v>281923</v>
      </c>
      <c r="U46" s="859"/>
      <c r="V46" s="863"/>
      <c r="W46" s="859"/>
      <c r="X46" s="859"/>
      <c r="Y46" s="755">
        <f t="shared" si="6"/>
        <v>0</v>
      </c>
      <c r="Z46" s="864"/>
      <c r="AA46" s="863"/>
      <c r="AB46" s="756">
        <f t="shared" si="7"/>
        <v>0</v>
      </c>
      <c r="AC46" s="859"/>
      <c r="AD46" s="863"/>
      <c r="AE46" s="859"/>
      <c r="AF46" s="859"/>
      <c r="AG46" s="864"/>
      <c r="AH46" s="865"/>
      <c r="AI46" s="757">
        <f t="shared" si="8"/>
        <v>281923</v>
      </c>
      <c r="AJ46" s="758">
        <f t="shared" si="9"/>
        <v>281923</v>
      </c>
    </row>
    <row r="47" spans="1:36" x14ac:dyDescent="0.2">
      <c r="A47" s="843" t="s">
        <v>142</v>
      </c>
      <c r="B47" s="844" t="s">
        <v>264</v>
      </c>
      <c r="C47" s="870" t="s">
        <v>475</v>
      </c>
      <c r="D47" s="872" t="s">
        <v>1124</v>
      </c>
      <c r="E47" s="846">
        <v>100706</v>
      </c>
      <c r="F47" s="847">
        <v>2</v>
      </c>
      <c r="G47" s="859">
        <v>42710964</v>
      </c>
      <c r="H47" s="860">
        <v>42852390</v>
      </c>
      <c r="I47" s="861"/>
      <c r="J47" s="862"/>
      <c r="K47" s="859"/>
      <c r="L47" s="863"/>
      <c r="M47" s="867">
        <v>68127640</v>
      </c>
      <c r="N47" s="859">
        <v>1080000</v>
      </c>
      <c r="O47" s="752">
        <f t="shared" si="2"/>
        <v>69207640</v>
      </c>
      <c r="P47" s="862">
        <v>74262318</v>
      </c>
      <c r="Q47" s="860">
        <v>1800000</v>
      </c>
      <c r="R47" s="753">
        <f t="shared" si="3"/>
        <v>76062318</v>
      </c>
      <c r="S47" s="752">
        <f t="shared" si="4"/>
        <v>110838604</v>
      </c>
      <c r="T47" s="754">
        <f t="shared" si="5"/>
        <v>117114708</v>
      </c>
      <c r="U47" s="859"/>
      <c r="V47" s="863"/>
      <c r="W47" s="859"/>
      <c r="X47" s="859"/>
      <c r="Y47" s="755">
        <f t="shared" si="6"/>
        <v>0</v>
      </c>
      <c r="Z47" s="864"/>
      <c r="AA47" s="863"/>
      <c r="AB47" s="756">
        <f t="shared" si="7"/>
        <v>0</v>
      </c>
      <c r="AC47" s="859"/>
      <c r="AD47" s="863"/>
      <c r="AE47" s="859"/>
      <c r="AF47" s="859"/>
      <c r="AG47" s="864"/>
      <c r="AH47" s="865"/>
      <c r="AI47" s="757">
        <f t="shared" si="8"/>
        <v>110838604</v>
      </c>
      <c r="AJ47" s="758">
        <f t="shared" si="9"/>
        <v>117114708</v>
      </c>
    </row>
    <row r="48" spans="1:36" x14ac:dyDescent="0.2">
      <c r="A48" s="843" t="s">
        <v>142</v>
      </c>
      <c r="B48" s="844" t="s">
        <v>266</v>
      </c>
      <c r="C48" s="858" t="s">
        <v>319</v>
      </c>
      <c r="D48" s="845"/>
      <c r="E48" s="846">
        <v>100706</v>
      </c>
      <c r="F48" s="847">
        <v>2</v>
      </c>
      <c r="G48" s="859"/>
      <c r="H48" s="860"/>
      <c r="I48" s="861"/>
      <c r="J48" s="862"/>
      <c r="K48" s="859"/>
      <c r="L48" s="863"/>
      <c r="M48" s="859"/>
      <c r="N48" s="859"/>
      <c r="O48" s="752">
        <f t="shared" si="2"/>
        <v>0</v>
      </c>
      <c r="P48" s="862"/>
      <c r="Q48" s="860"/>
      <c r="R48" s="753">
        <f t="shared" si="3"/>
        <v>0</v>
      </c>
      <c r="S48" s="752">
        <f t="shared" si="4"/>
        <v>0</v>
      </c>
      <c r="T48" s="754">
        <f t="shared" si="5"/>
        <v>0</v>
      </c>
      <c r="U48" s="859"/>
      <c r="V48" s="863"/>
      <c r="W48" s="859"/>
      <c r="X48" s="859"/>
      <c r="Y48" s="755">
        <f t="shared" si="6"/>
        <v>0</v>
      </c>
      <c r="Z48" s="864"/>
      <c r="AA48" s="863"/>
      <c r="AB48" s="756">
        <f t="shared" si="7"/>
        <v>0</v>
      </c>
      <c r="AC48" s="859"/>
      <c r="AD48" s="863"/>
      <c r="AE48" s="859"/>
      <c r="AF48" s="859"/>
      <c r="AG48" s="864"/>
      <c r="AH48" s="865"/>
      <c r="AI48" s="757">
        <f t="shared" si="8"/>
        <v>0</v>
      </c>
      <c r="AJ48" s="758">
        <f t="shared" si="9"/>
        <v>0</v>
      </c>
    </row>
    <row r="49" spans="1:36" x14ac:dyDescent="0.2">
      <c r="A49" s="843" t="s">
        <v>142</v>
      </c>
      <c r="B49" s="844" t="s">
        <v>266</v>
      </c>
      <c r="C49" s="866" t="s">
        <v>476</v>
      </c>
      <c r="D49" s="845"/>
      <c r="E49" s="846">
        <v>100706</v>
      </c>
      <c r="F49" s="847">
        <v>2</v>
      </c>
      <c r="G49" s="859"/>
      <c r="H49" s="860"/>
      <c r="I49" s="861"/>
      <c r="J49" s="862">
        <v>250000</v>
      </c>
      <c r="K49" s="859"/>
      <c r="L49" s="863"/>
      <c r="M49" s="859"/>
      <c r="N49" s="859"/>
      <c r="O49" s="752">
        <f t="shared" si="2"/>
        <v>0</v>
      </c>
      <c r="P49" s="862"/>
      <c r="Q49" s="860"/>
      <c r="R49" s="753">
        <f t="shared" si="3"/>
        <v>0</v>
      </c>
      <c r="S49" s="752">
        <f t="shared" si="4"/>
        <v>0</v>
      </c>
      <c r="T49" s="754">
        <f t="shared" si="5"/>
        <v>250000</v>
      </c>
      <c r="U49" s="859"/>
      <c r="V49" s="863"/>
      <c r="W49" s="859"/>
      <c r="X49" s="859"/>
      <c r="Y49" s="755">
        <f t="shared" si="6"/>
        <v>0</v>
      </c>
      <c r="Z49" s="864"/>
      <c r="AA49" s="863"/>
      <c r="AB49" s="756">
        <f t="shared" si="7"/>
        <v>0</v>
      </c>
      <c r="AC49" s="859"/>
      <c r="AD49" s="863"/>
      <c r="AE49" s="859"/>
      <c r="AF49" s="859"/>
      <c r="AG49" s="864"/>
      <c r="AH49" s="865"/>
      <c r="AI49" s="757">
        <f t="shared" si="8"/>
        <v>0</v>
      </c>
      <c r="AJ49" s="758">
        <f t="shared" si="9"/>
        <v>250000</v>
      </c>
    </row>
    <row r="50" spans="1:36" x14ac:dyDescent="0.2">
      <c r="A50" s="843" t="s">
        <v>142</v>
      </c>
      <c r="B50" s="844" t="s">
        <v>264</v>
      </c>
      <c r="C50" s="868" t="s">
        <v>477</v>
      </c>
      <c r="D50" s="869"/>
      <c r="E50" s="846">
        <v>100654</v>
      </c>
      <c r="F50" s="847">
        <v>3</v>
      </c>
      <c r="G50" s="859">
        <v>31573227</v>
      </c>
      <c r="H50" s="860">
        <v>32115942</v>
      </c>
      <c r="I50" s="861"/>
      <c r="J50" s="862"/>
      <c r="K50" s="859"/>
      <c r="L50" s="863"/>
      <c r="M50" s="867">
        <v>45780801</v>
      </c>
      <c r="N50" s="867">
        <v>1331355</v>
      </c>
      <c r="O50" s="752">
        <f t="shared" si="2"/>
        <v>47112156</v>
      </c>
      <c r="P50" s="862">
        <v>48446422</v>
      </c>
      <c r="Q50" s="860">
        <v>1295544</v>
      </c>
      <c r="R50" s="753">
        <f t="shared" si="3"/>
        <v>49741966</v>
      </c>
      <c r="S50" s="752">
        <f t="shared" si="4"/>
        <v>77354028</v>
      </c>
      <c r="T50" s="754">
        <f t="shared" si="5"/>
        <v>80562364</v>
      </c>
      <c r="U50" s="859"/>
      <c r="V50" s="863"/>
      <c r="W50" s="859"/>
      <c r="X50" s="859"/>
      <c r="Y50" s="755">
        <f t="shared" si="6"/>
        <v>0</v>
      </c>
      <c r="Z50" s="864"/>
      <c r="AA50" s="863"/>
      <c r="AB50" s="756">
        <f t="shared" si="7"/>
        <v>0</v>
      </c>
      <c r="AC50" s="859"/>
      <c r="AD50" s="863"/>
      <c r="AE50" s="859"/>
      <c r="AF50" s="859"/>
      <c r="AG50" s="864"/>
      <c r="AH50" s="865"/>
      <c r="AI50" s="757">
        <f t="shared" si="8"/>
        <v>77354028</v>
      </c>
      <c r="AJ50" s="758">
        <f t="shared" si="9"/>
        <v>80562364</v>
      </c>
    </row>
    <row r="51" spans="1:36" x14ac:dyDescent="0.2">
      <c r="A51" s="843" t="s">
        <v>142</v>
      </c>
      <c r="B51" s="844" t="s">
        <v>266</v>
      </c>
      <c r="C51" s="858" t="s">
        <v>319</v>
      </c>
      <c r="D51" s="845"/>
      <c r="E51" s="846">
        <v>100654</v>
      </c>
      <c r="F51" s="847">
        <v>3</v>
      </c>
      <c r="G51" s="859"/>
      <c r="H51" s="860"/>
      <c r="I51" s="861"/>
      <c r="J51" s="862"/>
      <c r="K51" s="859"/>
      <c r="L51" s="863"/>
      <c r="M51" s="859"/>
      <c r="N51" s="859"/>
      <c r="O51" s="752">
        <f t="shared" si="2"/>
        <v>0</v>
      </c>
      <c r="P51" s="862"/>
      <c r="Q51" s="860"/>
      <c r="R51" s="753">
        <f t="shared" si="3"/>
        <v>0</v>
      </c>
      <c r="S51" s="752">
        <f t="shared" si="4"/>
        <v>0</v>
      </c>
      <c r="T51" s="754">
        <f t="shared" si="5"/>
        <v>0</v>
      </c>
      <c r="U51" s="859"/>
      <c r="V51" s="863"/>
      <c r="W51" s="859"/>
      <c r="X51" s="859"/>
      <c r="Y51" s="755">
        <f t="shared" si="6"/>
        <v>0</v>
      </c>
      <c r="Z51" s="864"/>
      <c r="AA51" s="863"/>
      <c r="AB51" s="756">
        <f t="shared" si="7"/>
        <v>0</v>
      </c>
      <c r="AC51" s="859"/>
      <c r="AD51" s="863"/>
      <c r="AE51" s="859"/>
      <c r="AF51" s="859"/>
      <c r="AG51" s="864"/>
      <c r="AH51" s="865"/>
      <c r="AI51" s="757">
        <f t="shared" si="8"/>
        <v>0</v>
      </c>
      <c r="AJ51" s="758">
        <f t="shared" si="9"/>
        <v>0</v>
      </c>
    </row>
    <row r="52" spans="1:36" x14ac:dyDescent="0.2">
      <c r="A52" s="843" t="s">
        <v>142</v>
      </c>
      <c r="B52" s="844" t="s">
        <v>266</v>
      </c>
      <c r="C52" s="866" t="s">
        <v>478</v>
      </c>
      <c r="D52" s="845"/>
      <c r="E52" s="846">
        <v>100654</v>
      </c>
      <c r="F52" s="847">
        <v>3</v>
      </c>
      <c r="G52" s="859"/>
      <c r="H52" s="860"/>
      <c r="I52" s="861"/>
      <c r="J52" s="862"/>
      <c r="K52" s="859"/>
      <c r="L52" s="863"/>
      <c r="M52" s="859"/>
      <c r="N52" s="859"/>
      <c r="O52" s="752">
        <f t="shared" si="2"/>
        <v>0</v>
      </c>
      <c r="P52" s="862"/>
      <c r="Q52" s="860"/>
      <c r="R52" s="753">
        <f t="shared" si="3"/>
        <v>0</v>
      </c>
      <c r="S52" s="752">
        <f t="shared" si="4"/>
        <v>0</v>
      </c>
      <c r="T52" s="754">
        <f t="shared" si="5"/>
        <v>0</v>
      </c>
      <c r="U52" s="859"/>
      <c r="V52" s="863"/>
      <c r="W52" s="859"/>
      <c r="X52" s="859"/>
      <c r="Y52" s="755">
        <f t="shared" si="6"/>
        <v>0</v>
      </c>
      <c r="Z52" s="864"/>
      <c r="AA52" s="863"/>
      <c r="AB52" s="756">
        <f t="shared" si="7"/>
        <v>0</v>
      </c>
      <c r="AC52" s="859"/>
      <c r="AD52" s="863"/>
      <c r="AE52" s="859"/>
      <c r="AF52" s="859"/>
      <c r="AG52" s="864"/>
      <c r="AH52" s="865"/>
      <c r="AI52" s="757">
        <f t="shared" si="8"/>
        <v>0</v>
      </c>
      <c r="AJ52" s="758">
        <f t="shared" si="9"/>
        <v>0</v>
      </c>
    </row>
    <row r="53" spans="1:36" x14ac:dyDescent="0.2">
      <c r="A53" s="843" t="s">
        <v>142</v>
      </c>
      <c r="B53" s="844" t="s">
        <v>267</v>
      </c>
      <c r="C53" s="858" t="s">
        <v>258</v>
      </c>
      <c r="D53" s="845"/>
      <c r="E53" s="846">
        <v>100654</v>
      </c>
      <c r="F53" s="847">
        <v>3</v>
      </c>
      <c r="G53" s="859"/>
      <c r="H53" s="860"/>
      <c r="I53" s="861"/>
      <c r="J53" s="862"/>
      <c r="K53" s="859"/>
      <c r="L53" s="863"/>
      <c r="M53" s="859"/>
      <c r="N53" s="859"/>
      <c r="O53" s="752">
        <f t="shared" si="2"/>
        <v>0</v>
      </c>
      <c r="P53" s="862"/>
      <c r="Q53" s="860"/>
      <c r="R53" s="753">
        <f t="shared" si="3"/>
        <v>0</v>
      </c>
      <c r="S53" s="752">
        <f t="shared" si="4"/>
        <v>0</v>
      </c>
      <c r="T53" s="754">
        <f t="shared" si="5"/>
        <v>0</v>
      </c>
      <c r="U53" s="859"/>
      <c r="V53" s="863"/>
      <c r="W53" s="859"/>
      <c r="X53" s="859"/>
      <c r="Y53" s="755">
        <f t="shared" si="6"/>
        <v>0</v>
      </c>
      <c r="Z53" s="864"/>
      <c r="AA53" s="863"/>
      <c r="AB53" s="756">
        <f t="shared" si="7"/>
        <v>0</v>
      </c>
      <c r="AC53" s="859"/>
      <c r="AD53" s="863"/>
      <c r="AE53" s="859"/>
      <c r="AF53" s="859"/>
      <c r="AG53" s="864"/>
      <c r="AH53" s="865"/>
      <c r="AI53" s="757">
        <f t="shared" si="8"/>
        <v>0</v>
      </c>
      <c r="AJ53" s="758">
        <f t="shared" si="9"/>
        <v>0</v>
      </c>
    </row>
    <row r="54" spans="1:36" x14ac:dyDescent="0.2">
      <c r="A54" s="843" t="s">
        <v>142</v>
      </c>
      <c r="B54" s="844" t="s">
        <v>267</v>
      </c>
      <c r="C54" s="866" t="s">
        <v>458</v>
      </c>
      <c r="D54" s="845"/>
      <c r="E54" s="846">
        <v>100654</v>
      </c>
      <c r="F54" s="847">
        <v>3</v>
      </c>
      <c r="G54" s="859"/>
      <c r="H54" s="860"/>
      <c r="I54" s="861">
        <v>256858</v>
      </c>
      <c r="J54" s="862">
        <v>256858</v>
      </c>
      <c r="K54" s="859"/>
      <c r="L54" s="863"/>
      <c r="M54" s="859"/>
      <c r="N54" s="859"/>
      <c r="O54" s="752">
        <f t="shared" si="2"/>
        <v>0</v>
      </c>
      <c r="P54" s="862"/>
      <c r="Q54" s="860"/>
      <c r="R54" s="753">
        <f t="shared" si="3"/>
        <v>0</v>
      </c>
      <c r="S54" s="752">
        <f t="shared" si="4"/>
        <v>256858</v>
      </c>
      <c r="T54" s="754">
        <f t="shared" si="5"/>
        <v>256858</v>
      </c>
      <c r="U54" s="859"/>
      <c r="V54" s="863"/>
      <c r="W54" s="859"/>
      <c r="X54" s="859"/>
      <c r="Y54" s="755">
        <f t="shared" si="6"/>
        <v>0</v>
      </c>
      <c r="Z54" s="864"/>
      <c r="AA54" s="863"/>
      <c r="AB54" s="756">
        <f t="shared" si="7"/>
        <v>0</v>
      </c>
      <c r="AC54" s="859"/>
      <c r="AD54" s="863"/>
      <c r="AE54" s="859"/>
      <c r="AF54" s="859"/>
      <c r="AG54" s="864"/>
      <c r="AH54" s="865"/>
      <c r="AI54" s="757">
        <f t="shared" si="8"/>
        <v>256858</v>
      </c>
      <c r="AJ54" s="758">
        <f t="shared" si="9"/>
        <v>256858</v>
      </c>
    </row>
    <row r="55" spans="1:36" x14ac:dyDescent="0.2">
      <c r="A55" s="843" t="s">
        <v>142</v>
      </c>
      <c r="B55" s="844" t="s">
        <v>268</v>
      </c>
      <c r="C55" s="858" t="s">
        <v>479</v>
      </c>
      <c r="D55" s="845"/>
      <c r="E55" s="846">
        <v>100654</v>
      </c>
      <c r="F55" s="847">
        <v>3</v>
      </c>
      <c r="G55" s="859"/>
      <c r="H55" s="860"/>
      <c r="I55" s="861">
        <v>5215567</v>
      </c>
      <c r="J55" s="862">
        <v>5215567</v>
      </c>
      <c r="K55" s="859"/>
      <c r="L55" s="863"/>
      <c r="M55" s="859"/>
      <c r="N55" s="859"/>
      <c r="O55" s="752">
        <f t="shared" si="2"/>
        <v>0</v>
      </c>
      <c r="P55" s="862"/>
      <c r="Q55" s="860"/>
      <c r="R55" s="753">
        <f t="shared" si="3"/>
        <v>0</v>
      </c>
      <c r="S55" s="752">
        <f t="shared" si="4"/>
        <v>5215567</v>
      </c>
      <c r="T55" s="754">
        <f t="shared" si="5"/>
        <v>5215567</v>
      </c>
      <c r="U55" s="859"/>
      <c r="V55" s="863"/>
      <c r="W55" s="859"/>
      <c r="X55" s="859"/>
      <c r="Y55" s="755">
        <f t="shared" si="6"/>
        <v>0</v>
      </c>
      <c r="Z55" s="864"/>
      <c r="AA55" s="863"/>
      <c r="AB55" s="756">
        <f t="shared" si="7"/>
        <v>0</v>
      </c>
      <c r="AC55" s="859"/>
      <c r="AD55" s="863"/>
      <c r="AE55" s="859"/>
      <c r="AF55" s="859"/>
      <c r="AG55" s="864"/>
      <c r="AH55" s="865"/>
      <c r="AI55" s="757">
        <f t="shared" si="8"/>
        <v>5215567</v>
      </c>
      <c r="AJ55" s="758">
        <f t="shared" si="9"/>
        <v>5215567</v>
      </c>
    </row>
    <row r="56" spans="1:36" x14ac:dyDescent="0.2">
      <c r="A56" s="843" t="s">
        <v>142</v>
      </c>
      <c r="B56" s="844" t="s">
        <v>268</v>
      </c>
      <c r="C56" s="866" t="s">
        <v>480</v>
      </c>
      <c r="D56" s="845"/>
      <c r="E56" s="846">
        <v>100654</v>
      </c>
      <c r="F56" s="847">
        <v>3</v>
      </c>
      <c r="G56" s="859"/>
      <c r="H56" s="860"/>
      <c r="I56" s="861">
        <v>2153416</v>
      </c>
      <c r="J56" s="862">
        <v>2153416</v>
      </c>
      <c r="K56" s="859"/>
      <c r="L56" s="863"/>
      <c r="M56" s="859"/>
      <c r="N56" s="859"/>
      <c r="O56" s="752">
        <f t="shared" si="2"/>
        <v>0</v>
      </c>
      <c r="P56" s="862"/>
      <c r="Q56" s="860"/>
      <c r="R56" s="753">
        <f t="shared" si="3"/>
        <v>0</v>
      </c>
      <c r="S56" s="752">
        <f t="shared" si="4"/>
        <v>2153416</v>
      </c>
      <c r="T56" s="754">
        <f t="shared" si="5"/>
        <v>2153416</v>
      </c>
      <c r="U56" s="859"/>
      <c r="V56" s="863"/>
      <c r="W56" s="859"/>
      <c r="X56" s="859"/>
      <c r="Y56" s="755">
        <f t="shared" si="6"/>
        <v>0</v>
      </c>
      <c r="Z56" s="864"/>
      <c r="AA56" s="863"/>
      <c r="AB56" s="756">
        <f t="shared" si="7"/>
        <v>0</v>
      </c>
      <c r="AC56" s="859"/>
      <c r="AD56" s="863"/>
      <c r="AE56" s="859"/>
      <c r="AF56" s="859"/>
      <c r="AG56" s="864"/>
      <c r="AH56" s="865"/>
      <c r="AI56" s="757">
        <f t="shared" si="8"/>
        <v>2153416</v>
      </c>
      <c r="AJ56" s="758">
        <f t="shared" si="9"/>
        <v>2153416</v>
      </c>
    </row>
    <row r="57" spans="1:36" x14ac:dyDescent="0.2">
      <c r="A57" s="843" t="s">
        <v>142</v>
      </c>
      <c r="B57" s="844" t="s">
        <v>264</v>
      </c>
      <c r="C57" s="868" t="s">
        <v>481</v>
      </c>
      <c r="D57" s="869"/>
      <c r="E57" s="846">
        <v>101480</v>
      </c>
      <c r="F57" s="847">
        <v>3</v>
      </c>
      <c r="G57" s="859">
        <v>34601375</v>
      </c>
      <c r="H57" s="860">
        <v>35444357</v>
      </c>
      <c r="I57" s="861"/>
      <c r="J57" s="862"/>
      <c r="K57" s="859"/>
      <c r="L57" s="863"/>
      <c r="M57" s="867">
        <v>58336205</v>
      </c>
      <c r="N57" s="859">
        <v>6134961</v>
      </c>
      <c r="O57" s="752">
        <f t="shared" si="2"/>
        <v>64471166</v>
      </c>
      <c r="P57" s="862">
        <v>59933747</v>
      </c>
      <c r="Q57" s="860">
        <v>6144129</v>
      </c>
      <c r="R57" s="753">
        <f t="shared" si="3"/>
        <v>66077876</v>
      </c>
      <c r="S57" s="752">
        <f t="shared" si="4"/>
        <v>92937580</v>
      </c>
      <c r="T57" s="754">
        <f t="shared" si="5"/>
        <v>95378104</v>
      </c>
      <c r="U57" s="859"/>
      <c r="V57" s="863"/>
      <c r="W57" s="859"/>
      <c r="X57" s="859"/>
      <c r="Y57" s="755">
        <f t="shared" si="6"/>
        <v>0</v>
      </c>
      <c r="Z57" s="864"/>
      <c r="AA57" s="863"/>
      <c r="AB57" s="756">
        <f t="shared" si="7"/>
        <v>0</v>
      </c>
      <c r="AC57" s="859"/>
      <c r="AD57" s="863"/>
      <c r="AE57" s="859"/>
      <c r="AF57" s="859"/>
      <c r="AG57" s="864"/>
      <c r="AH57" s="865"/>
      <c r="AI57" s="757">
        <f t="shared" si="8"/>
        <v>92937580</v>
      </c>
      <c r="AJ57" s="758">
        <f t="shared" si="9"/>
        <v>95378104</v>
      </c>
    </row>
    <row r="58" spans="1:36" x14ac:dyDescent="0.2">
      <c r="A58" s="843" t="s">
        <v>142</v>
      </c>
      <c r="B58" s="844" t="s">
        <v>266</v>
      </c>
      <c r="C58" s="858" t="s">
        <v>319</v>
      </c>
      <c r="D58" s="845"/>
      <c r="E58" s="846">
        <v>101480</v>
      </c>
      <c r="F58" s="847">
        <v>3</v>
      </c>
      <c r="G58" s="859"/>
      <c r="H58" s="860"/>
      <c r="I58" s="861"/>
      <c r="J58" s="862"/>
      <c r="K58" s="859"/>
      <c r="L58" s="863"/>
      <c r="M58" s="859"/>
      <c r="N58" s="859"/>
      <c r="O58" s="752">
        <f t="shared" si="2"/>
        <v>0</v>
      </c>
      <c r="P58" s="862"/>
      <c r="Q58" s="860"/>
      <c r="R58" s="753">
        <f t="shared" si="3"/>
        <v>0</v>
      </c>
      <c r="S58" s="752">
        <f t="shared" si="4"/>
        <v>0</v>
      </c>
      <c r="T58" s="754">
        <f t="shared" si="5"/>
        <v>0</v>
      </c>
      <c r="U58" s="859"/>
      <c r="V58" s="863"/>
      <c r="W58" s="859"/>
      <c r="X58" s="859"/>
      <c r="Y58" s="755">
        <f t="shared" si="6"/>
        <v>0</v>
      </c>
      <c r="Z58" s="864"/>
      <c r="AA58" s="863"/>
      <c r="AB58" s="756">
        <f t="shared" si="7"/>
        <v>0</v>
      </c>
      <c r="AC58" s="859"/>
      <c r="AD58" s="863"/>
      <c r="AE58" s="859"/>
      <c r="AF58" s="859"/>
      <c r="AG58" s="864"/>
      <c r="AH58" s="865"/>
      <c r="AI58" s="757">
        <f t="shared" si="8"/>
        <v>0</v>
      </c>
      <c r="AJ58" s="758">
        <f t="shared" si="9"/>
        <v>0</v>
      </c>
    </row>
    <row r="59" spans="1:36" x14ac:dyDescent="0.2">
      <c r="A59" s="843" t="s">
        <v>142</v>
      </c>
      <c r="B59" s="844" t="s">
        <v>266</v>
      </c>
      <c r="C59" s="866" t="s">
        <v>482</v>
      </c>
      <c r="D59" s="845"/>
      <c r="E59" s="846">
        <v>101480</v>
      </c>
      <c r="F59" s="847">
        <v>3</v>
      </c>
      <c r="G59" s="859"/>
      <c r="H59" s="860"/>
      <c r="I59" s="861"/>
      <c r="J59" s="862"/>
      <c r="K59" s="859"/>
      <c r="L59" s="863"/>
      <c r="M59" s="859"/>
      <c r="N59" s="859"/>
      <c r="O59" s="752">
        <f t="shared" si="2"/>
        <v>0</v>
      </c>
      <c r="P59" s="862"/>
      <c r="Q59" s="860"/>
      <c r="R59" s="753">
        <f t="shared" si="3"/>
        <v>0</v>
      </c>
      <c r="S59" s="752">
        <f t="shared" si="4"/>
        <v>0</v>
      </c>
      <c r="T59" s="754">
        <f t="shared" si="5"/>
        <v>0</v>
      </c>
      <c r="U59" s="859"/>
      <c r="V59" s="863"/>
      <c r="W59" s="859"/>
      <c r="X59" s="859"/>
      <c r="Y59" s="755">
        <f t="shared" si="6"/>
        <v>0</v>
      </c>
      <c r="Z59" s="864"/>
      <c r="AA59" s="863"/>
      <c r="AB59" s="756">
        <f t="shared" si="7"/>
        <v>0</v>
      </c>
      <c r="AC59" s="859"/>
      <c r="AD59" s="863"/>
      <c r="AE59" s="859"/>
      <c r="AF59" s="859"/>
      <c r="AG59" s="864"/>
      <c r="AH59" s="865"/>
      <c r="AI59" s="757">
        <f t="shared" si="8"/>
        <v>0</v>
      </c>
      <c r="AJ59" s="758">
        <f t="shared" si="9"/>
        <v>0</v>
      </c>
    </row>
    <row r="60" spans="1:36" x14ac:dyDescent="0.2">
      <c r="A60" s="843" t="s">
        <v>142</v>
      </c>
      <c r="B60" s="844" t="s">
        <v>266</v>
      </c>
      <c r="C60" s="866" t="s">
        <v>483</v>
      </c>
      <c r="D60" s="845"/>
      <c r="E60" s="846">
        <v>101480</v>
      </c>
      <c r="F60" s="847">
        <v>3</v>
      </c>
      <c r="G60" s="859"/>
      <c r="H60" s="860"/>
      <c r="I60" s="861"/>
      <c r="J60" s="862"/>
      <c r="K60" s="859"/>
      <c r="L60" s="863"/>
      <c r="M60" s="859"/>
      <c r="N60" s="859"/>
      <c r="O60" s="752">
        <f t="shared" si="2"/>
        <v>0</v>
      </c>
      <c r="P60" s="862"/>
      <c r="Q60" s="860"/>
      <c r="R60" s="753">
        <f t="shared" si="3"/>
        <v>0</v>
      </c>
      <c r="S60" s="752">
        <f t="shared" si="4"/>
        <v>0</v>
      </c>
      <c r="T60" s="754">
        <f t="shared" si="5"/>
        <v>0</v>
      </c>
      <c r="U60" s="859"/>
      <c r="V60" s="863"/>
      <c r="W60" s="859"/>
      <c r="X60" s="859"/>
      <c r="Y60" s="755">
        <f t="shared" si="6"/>
        <v>0</v>
      </c>
      <c r="Z60" s="864"/>
      <c r="AA60" s="863"/>
      <c r="AB60" s="756">
        <f t="shared" si="7"/>
        <v>0</v>
      </c>
      <c r="AC60" s="859"/>
      <c r="AD60" s="863"/>
      <c r="AE60" s="859"/>
      <c r="AF60" s="859"/>
      <c r="AG60" s="864"/>
      <c r="AH60" s="865"/>
      <c r="AI60" s="757">
        <f t="shared" si="8"/>
        <v>0</v>
      </c>
      <c r="AJ60" s="758">
        <f t="shared" si="9"/>
        <v>0</v>
      </c>
    </row>
    <row r="61" spans="1:36" x14ac:dyDescent="0.2">
      <c r="A61" s="843" t="s">
        <v>142</v>
      </c>
      <c r="B61" s="844" t="s">
        <v>266</v>
      </c>
      <c r="C61" s="866" t="s">
        <v>484</v>
      </c>
      <c r="D61" s="845"/>
      <c r="E61" s="846">
        <v>101480</v>
      </c>
      <c r="F61" s="847">
        <v>3</v>
      </c>
      <c r="G61" s="859"/>
      <c r="H61" s="860"/>
      <c r="I61" s="861">
        <v>188233</v>
      </c>
      <c r="J61" s="862">
        <v>188233</v>
      </c>
      <c r="K61" s="859"/>
      <c r="L61" s="863"/>
      <c r="M61" s="859"/>
      <c r="N61" s="859"/>
      <c r="O61" s="752">
        <f t="shared" si="2"/>
        <v>0</v>
      </c>
      <c r="P61" s="862"/>
      <c r="Q61" s="860"/>
      <c r="R61" s="753">
        <f t="shared" si="3"/>
        <v>0</v>
      </c>
      <c r="S61" s="752">
        <f t="shared" si="4"/>
        <v>188233</v>
      </c>
      <c r="T61" s="754">
        <f t="shared" si="5"/>
        <v>188233</v>
      </c>
      <c r="U61" s="859"/>
      <c r="V61" s="863"/>
      <c r="W61" s="859"/>
      <c r="X61" s="859"/>
      <c r="Y61" s="755">
        <f t="shared" si="6"/>
        <v>0</v>
      </c>
      <c r="Z61" s="864"/>
      <c r="AA61" s="863"/>
      <c r="AB61" s="756">
        <f t="shared" si="7"/>
        <v>0</v>
      </c>
      <c r="AC61" s="859"/>
      <c r="AD61" s="863"/>
      <c r="AE61" s="859"/>
      <c r="AF61" s="859"/>
      <c r="AG61" s="864"/>
      <c r="AH61" s="865"/>
      <c r="AI61" s="757">
        <f t="shared" si="8"/>
        <v>188233</v>
      </c>
      <c r="AJ61" s="758">
        <f t="shared" si="9"/>
        <v>188233</v>
      </c>
    </row>
    <row r="62" spans="1:36" x14ac:dyDescent="0.2">
      <c r="A62" s="843" t="s">
        <v>142</v>
      </c>
      <c r="B62" s="844" t="s">
        <v>266</v>
      </c>
      <c r="C62" s="866" t="s">
        <v>485</v>
      </c>
      <c r="D62" s="845"/>
      <c r="E62" s="846">
        <v>101480</v>
      </c>
      <c r="F62" s="847">
        <v>3</v>
      </c>
      <c r="G62" s="859"/>
      <c r="H62" s="860"/>
      <c r="I62" s="861">
        <v>426194</v>
      </c>
      <c r="J62" s="862">
        <v>226194</v>
      </c>
      <c r="K62" s="859"/>
      <c r="L62" s="863"/>
      <c r="M62" s="859"/>
      <c r="N62" s="859"/>
      <c r="O62" s="752">
        <f t="shared" si="2"/>
        <v>0</v>
      </c>
      <c r="P62" s="862"/>
      <c r="Q62" s="860"/>
      <c r="R62" s="753">
        <f t="shared" si="3"/>
        <v>0</v>
      </c>
      <c r="S62" s="752">
        <f t="shared" si="4"/>
        <v>426194</v>
      </c>
      <c r="T62" s="754">
        <f t="shared" si="5"/>
        <v>226194</v>
      </c>
      <c r="U62" s="859"/>
      <c r="V62" s="863"/>
      <c r="W62" s="859"/>
      <c r="X62" s="859"/>
      <c r="Y62" s="755">
        <f t="shared" si="6"/>
        <v>0</v>
      </c>
      <c r="Z62" s="864"/>
      <c r="AA62" s="863"/>
      <c r="AB62" s="756">
        <f t="shared" si="7"/>
        <v>0</v>
      </c>
      <c r="AC62" s="859"/>
      <c r="AD62" s="863"/>
      <c r="AE62" s="859"/>
      <c r="AF62" s="859"/>
      <c r="AG62" s="864"/>
      <c r="AH62" s="865"/>
      <c r="AI62" s="757">
        <f t="shared" si="8"/>
        <v>426194</v>
      </c>
      <c r="AJ62" s="758">
        <f t="shared" si="9"/>
        <v>226194</v>
      </c>
    </row>
    <row r="63" spans="1:36" x14ac:dyDescent="0.2">
      <c r="A63" s="843" t="s">
        <v>142</v>
      </c>
      <c r="B63" s="844" t="s">
        <v>266</v>
      </c>
      <c r="C63" s="866" t="s">
        <v>486</v>
      </c>
      <c r="D63" s="845"/>
      <c r="E63" s="846">
        <v>101480</v>
      </c>
      <c r="F63" s="847">
        <v>3</v>
      </c>
      <c r="G63" s="859"/>
      <c r="H63" s="860"/>
      <c r="I63" s="861">
        <v>100000</v>
      </c>
      <c r="J63" s="862">
        <v>100000</v>
      </c>
      <c r="K63" s="859"/>
      <c r="L63" s="863"/>
      <c r="M63" s="859"/>
      <c r="N63" s="859"/>
      <c r="O63" s="752">
        <f t="shared" si="2"/>
        <v>0</v>
      </c>
      <c r="P63" s="862"/>
      <c r="Q63" s="860"/>
      <c r="R63" s="753">
        <f t="shared" si="3"/>
        <v>0</v>
      </c>
      <c r="S63" s="752">
        <f t="shared" si="4"/>
        <v>100000</v>
      </c>
      <c r="T63" s="754">
        <f t="shared" si="5"/>
        <v>100000</v>
      </c>
      <c r="U63" s="859"/>
      <c r="V63" s="863"/>
      <c r="W63" s="859"/>
      <c r="X63" s="859"/>
      <c r="Y63" s="755">
        <f t="shared" si="6"/>
        <v>0</v>
      </c>
      <c r="Z63" s="864"/>
      <c r="AA63" s="863"/>
      <c r="AB63" s="756">
        <f t="shared" si="7"/>
        <v>0</v>
      </c>
      <c r="AC63" s="859"/>
      <c r="AD63" s="863"/>
      <c r="AE63" s="859"/>
      <c r="AF63" s="859"/>
      <c r="AG63" s="864"/>
      <c r="AH63" s="865"/>
      <c r="AI63" s="757">
        <f t="shared" si="8"/>
        <v>100000</v>
      </c>
      <c r="AJ63" s="758">
        <f t="shared" si="9"/>
        <v>100000</v>
      </c>
    </row>
    <row r="64" spans="1:36" x14ac:dyDescent="0.2">
      <c r="A64" s="843" t="s">
        <v>142</v>
      </c>
      <c r="B64" s="844" t="s">
        <v>267</v>
      </c>
      <c r="C64" s="858" t="s">
        <v>258</v>
      </c>
      <c r="D64" s="845"/>
      <c r="E64" s="846">
        <v>101480</v>
      </c>
      <c r="F64" s="847">
        <v>3</v>
      </c>
      <c r="G64" s="859"/>
      <c r="H64" s="860"/>
      <c r="I64" s="861"/>
      <c r="J64" s="862"/>
      <c r="K64" s="859"/>
      <c r="L64" s="863"/>
      <c r="M64" s="859"/>
      <c r="N64" s="859"/>
      <c r="O64" s="752">
        <f t="shared" si="2"/>
        <v>0</v>
      </c>
      <c r="P64" s="862"/>
      <c r="Q64" s="860"/>
      <c r="R64" s="753">
        <f t="shared" si="3"/>
        <v>0</v>
      </c>
      <c r="S64" s="752">
        <f t="shared" si="4"/>
        <v>0</v>
      </c>
      <c r="T64" s="754">
        <f t="shared" si="5"/>
        <v>0</v>
      </c>
      <c r="U64" s="859"/>
      <c r="V64" s="863"/>
      <c r="W64" s="859"/>
      <c r="X64" s="859"/>
      <c r="Y64" s="755">
        <f t="shared" si="6"/>
        <v>0</v>
      </c>
      <c r="Z64" s="864"/>
      <c r="AA64" s="863"/>
      <c r="AB64" s="756">
        <f t="shared" si="7"/>
        <v>0</v>
      </c>
      <c r="AC64" s="859"/>
      <c r="AD64" s="863"/>
      <c r="AE64" s="859"/>
      <c r="AF64" s="859"/>
      <c r="AG64" s="864"/>
      <c r="AH64" s="865"/>
      <c r="AI64" s="757">
        <f t="shared" si="8"/>
        <v>0</v>
      </c>
      <c r="AJ64" s="758">
        <f t="shared" si="9"/>
        <v>0</v>
      </c>
    </row>
    <row r="65" spans="1:36" x14ac:dyDescent="0.2">
      <c r="A65" s="843" t="s">
        <v>142</v>
      </c>
      <c r="B65" s="844" t="s">
        <v>267</v>
      </c>
      <c r="C65" s="866" t="s">
        <v>458</v>
      </c>
      <c r="D65" s="845"/>
      <c r="E65" s="846">
        <v>101480</v>
      </c>
      <c r="F65" s="847">
        <v>3</v>
      </c>
      <c r="G65" s="859"/>
      <c r="H65" s="860"/>
      <c r="I65" s="861">
        <v>218872</v>
      </c>
      <c r="J65" s="862">
        <v>218872</v>
      </c>
      <c r="K65" s="859"/>
      <c r="L65" s="863"/>
      <c r="M65" s="859"/>
      <c r="N65" s="859"/>
      <c r="O65" s="752">
        <f t="shared" si="2"/>
        <v>0</v>
      </c>
      <c r="P65" s="862"/>
      <c r="Q65" s="860"/>
      <c r="R65" s="753">
        <f t="shared" si="3"/>
        <v>0</v>
      </c>
      <c r="S65" s="752">
        <f t="shared" si="4"/>
        <v>218872</v>
      </c>
      <c r="T65" s="754">
        <f t="shared" si="5"/>
        <v>218872</v>
      </c>
      <c r="U65" s="859"/>
      <c r="V65" s="863"/>
      <c r="W65" s="859"/>
      <c r="X65" s="859"/>
      <c r="Y65" s="755">
        <f t="shared" si="6"/>
        <v>0</v>
      </c>
      <c r="Z65" s="864"/>
      <c r="AA65" s="863"/>
      <c r="AB65" s="756">
        <f t="shared" si="7"/>
        <v>0</v>
      </c>
      <c r="AC65" s="859"/>
      <c r="AD65" s="863"/>
      <c r="AE65" s="859"/>
      <c r="AF65" s="859"/>
      <c r="AG65" s="864"/>
      <c r="AH65" s="865"/>
      <c r="AI65" s="757">
        <f t="shared" si="8"/>
        <v>218872</v>
      </c>
      <c r="AJ65" s="758">
        <f t="shared" si="9"/>
        <v>218872</v>
      </c>
    </row>
    <row r="66" spans="1:36" x14ac:dyDescent="0.2">
      <c r="A66" s="843" t="s">
        <v>142</v>
      </c>
      <c r="B66" s="844" t="s">
        <v>264</v>
      </c>
      <c r="C66" s="868" t="s">
        <v>487</v>
      </c>
      <c r="D66" s="869"/>
      <c r="E66" s="846">
        <v>102368</v>
      </c>
      <c r="F66" s="847">
        <v>3</v>
      </c>
      <c r="G66" s="859">
        <v>44635439</v>
      </c>
      <c r="H66" s="860">
        <v>45411069</v>
      </c>
      <c r="I66" s="861"/>
      <c r="J66" s="862"/>
      <c r="K66" s="859"/>
      <c r="L66" s="863"/>
      <c r="M66" s="867">
        <v>67891790</v>
      </c>
      <c r="N66" s="867">
        <v>9904362</v>
      </c>
      <c r="O66" s="752">
        <f t="shared" si="2"/>
        <v>77796152</v>
      </c>
      <c r="P66" s="862">
        <v>74550649</v>
      </c>
      <c r="Q66" s="860">
        <v>9907147</v>
      </c>
      <c r="R66" s="753">
        <f t="shared" si="3"/>
        <v>84457796</v>
      </c>
      <c r="S66" s="752">
        <f t="shared" si="4"/>
        <v>112527229</v>
      </c>
      <c r="T66" s="754">
        <f t="shared" si="5"/>
        <v>119961718</v>
      </c>
      <c r="U66" s="859"/>
      <c r="V66" s="863"/>
      <c r="W66" s="859"/>
      <c r="X66" s="859"/>
      <c r="Y66" s="755">
        <f t="shared" si="6"/>
        <v>0</v>
      </c>
      <c r="Z66" s="864"/>
      <c r="AA66" s="863"/>
      <c r="AB66" s="756">
        <f t="shared" si="7"/>
        <v>0</v>
      </c>
      <c r="AC66" s="859"/>
      <c r="AD66" s="863"/>
      <c r="AE66" s="859"/>
      <c r="AF66" s="859"/>
      <c r="AG66" s="864"/>
      <c r="AH66" s="865"/>
      <c r="AI66" s="757">
        <f t="shared" si="8"/>
        <v>112527229</v>
      </c>
      <c r="AJ66" s="758">
        <f t="shared" si="9"/>
        <v>119961718</v>
      </c>
    </row>
    <row r="67" spans="1:36" x14ac:dyDescent="0.2">
      <c r="A67" s="843" t="s">
        <v>142</v>
      </c>
      <c r="B67" s="844" t="s">
        <v>266</v>
      </c>
      <c r="C67" s="858" t="s">
        <v>319</v>
      </c>
      <c r="D67" s="845"/>
      <c r="E67" s="846">
        <v>102368</v>
      </c>
      <c r="F67" s="847">
        <v>3</v>
      </c>
      <c r="G67" s="859"/>
      <c r="H67" s="860"/>
      <c r="I67" s="861"/>
      <c r="J67" s="862"/>
      <c r="K67" s="859"/>
      <c r="L67" s="863"/>
      <c r="M67" s="859"/>
      <c r="N67" s="859"/>
      <c r="O67" s="752">
        <f t="shared" si="2"/>
        <v>0</v>
      </c>
      <c r="P67" s="862"/>
      <c r="Q67" s="860"/>
      <c r="R67" s="753">
        <f t="shared" si="3"/>
        <v>0</v>
      </c>
      <c r="S67" s="752">
        <f t="shared" si="4"/>
        <v>0</v>
      </c>
      <c r="T67" s="754">
        <f t="shared" si="5"/>
        <v>0</v>
      </c>
      <c r="U67" s="859"/>
      <c r="V67" s="863"/>
      <c r="W67" s="859"/>
      <c r="X67" s="859"/>
      <c r="Y67" s="755">
        <f t="shared" si="6"/>
        <v>0</v>
      </c>
      <c r="Z67" s="864"/>
      <c r="AA67" s="863"/>
      <c r="AB67" s="756">
        <f t="shared" si="7"/>
        <v>0</v>
      </c>
      <c r="AC67" s="859"/>
      <c r="AD67" s="863"/>
      <c r="AE67" s="859"/>
      <c r="AF67" s="859"/>
      <c r="AG67" s="864"/>
      <c r="AH67" s="865"/>
      <c r="AI67" s="757">
        <f t="shared" si="8"/>
        <v>0</v>
      </c>
      <c r="AJ67" s="758">
        <f t="shared" si="9"/>
        <v>0</v>
      </c>
    </row>
    <row r="68" spans="1:36" x14ac:dyDescent="0.2">
      <c r="A68" s="843" t="s">
        <v>142</v>
      </c>
      <c r="B68" s="844" t="s">
        <v>266</v>
      </c>
      <c r="C68" s="866" t="s">
        <v>488</v>
      </c>
      <c r="D68" s="845"/>
      <c r="E68" s="846">
        <v>102368</v>
      </c>
      <c r="F68" s="847">
        <v>3</v>
      </c>
      <c r="G68" s="859"/>
      <c r="H68" s="860"/>
      <c r="I68" s="861">
        <v>37647</v>
      </c>
      <c r="J68" s="862">
        <v>37647</v>
      </c>
      <c r="K68" s="859"/>
      <c r="L68" s="863"/>
      <c r="M68" s="859"/>
      <c r="N68" s="859"/>
      <c r="O68" s="752">
        <f t="shared" si="2"/>
        <v>0</v>
      </c>
      <c r="P68" s="862"/>
      <c r="Q68" s="860"/>
      <c r="R68" s="753">
        <f t="shared" si="3"/>
        <v>0</v>
      </c>
      <c r="S68" s="752">
        <f t="shared" si="4"/>
        <v>37647</v>
      </c>
      <c r="T68" s="754">
        <f t="shared" si="5"/>
        <v>37647</v>
      </c>
      <c r="U68" s="859"/>
      <c r="V68" s="863"/>
      <c r="W68" s="859"/>
      <c r="X68" s="859"/>
      <c r="Y68" s="755">
        <f t="shared" si="6"/>
        <v>0</v>
      </c>
      <c r="Z68" s="864"/>
      <c r="AA68" s="863"/>
      <c r="AB68" s="756">
        <f t="shared" si="7"/>
        <v>0</v>
      </c>
      <c r="AC68" s="859"/>
      <c r="AD68" s="863"/>
      <c r="AE68" s="859"/>
      <c r="AF68" s="859"/>
      <c r="AG68" s="864"/>
      <c r="AH68" s="865"/>
      <c r="AI68" s="757">
        <f t="shared" si="8"/>
        <v>37647</v>
      </c>
      <c r="AJ68" s="758">
        <f t="shared" si="9"/>
        <v>37647</v>
      </c>
    </row>
    <row r="69" spans="1:36" x14ac:dyDescent="0.2">
      <c r="A69" s="843" t="s">
        <v>142</v>
      </c>
      <c r="B69" s="844" t="s">
        <v>266</v>
      </c>
      <c r="C69" s="866" t="s">
        <v>489</v>
      </c>
      <c r="D69" s="845"/>
      <c r="E69" s="846">
        <v>102368</v>
      </c>
      <c r="F69" s="847">
        <v>3</v>
      </c>
      <c r="G69" s="859"/>
      <c r="H69" s="860"/>
      <c r="I69" s="861">
        <v>250000</v>
      </c>
      <c r="J69" s="862">
        <v>250000</v>
      </c>
      <c r="K69" s="859"/>
      <c r="L69" s="863"/>
      <c r="M69" s="859"/>
      <c r="N69" s="859"/>
      <c r="O69" s="752">
        <f t="shared" si="2"/>
        <v>0</v>
      </c>
      <c r="P69" s="862"/>
      <c r="Q69" s="860"/>
      <c r="R69" s="753">
        <f t="shared" si="3"/>
        <v>0</v>
      </c>
      <c r="S69" s="752">
        <f t="shared" si="4"/>
        <v>250000</v>
      </c>
      <c r="T69" s="754">
        <f t="shared" si="5"/>
        <v>250000</v>
      </c>
      <c r="U69" s="859"/>
      <c r="V69" s="863"/>
      <c r="W69" s="859"/>
      <c r="X69" s="859"/>
      <c r="Y69" s="755">
        <f t="shared" si="6"/>
        <v>0</v>
      </c>
      <c r="Z69" s="864"/>
      <c r="AA69" s="863"/>
      <c r="AB69" s="756">
        <f t="shared" si="7"/>
        <v>0</v>
      </c>
      <c r="AC69" s="859"/>
      <c r="AD69" s="863"/>
      <c r="AE69" s="859"/>
      <c r="AF69" s="859"/>
      <c r="AG69" s="864"/>
      <c r="AH69" s="865"/>
      <c r="AI69" s="757">
        <f t="shared" si="8"/>
        <v>250000</v>
      </c>
      <c r="AJ69" s="758">
        <f t="shared" si="9"/>
        <v>250000</v>
      </c>
    </row>
    <row r="70" spans="1:36" x14ac:dyDescent="0.2">
      <c r="A70" s="843" t="s">
        <v>142</v>
      </c>
      <c r="B70" s="844" t="s">
        <v>267</v>
      </c>
      <c r="C70" s="858" t="s">
        <v>258</v>
      </c>
      <c r="D70" s="845"/>
      <c r="E70" s="846">
        <v>102368</v>
      </c>
      <c r="F70" s="847">
        <v>3</v>
      </c>
      <c r="G70" s="859"/>
      <c r="H70" s="860"/>
      <c r="I70" s="861"/>
      <c r="J70" s="862"/>
      <c r="K70" s="859"/>
      <c r="L70" s="863"/>
      <c r="M70" s="859"/>
      <c r="N70" s="859"/>
      <c r="O70" s="752">
        <f t="shared" si="2"/>
        <v>0</v>
      </c>
      <c r="P70" s="862"/>
      <c r="Q70" s="860"/>
      <c r="R70" s="753">
        <f t="shared" si="3"/>
        <v>0</v>
      </c>
      <c r="S70" s="752">
        <f t="shared" si="4"/>
        <v>0</v>
      </c>
      <c r="T70" s="754">
        <f t="shared" si="5"/>
        <v>0</v>
      </c>
      <c r="U70" s="859"/>
      <c r="V70" s="863"/>
      <c r="W70" s="859"/>
      <c r="X70" s="859"/>
      <c r="Y70" s="755">
        <f t="shared" si="6"/>
        <v>0</v>
      </c>
      <c r="Z70" s="864"/>
      <c r="AA70" s="863"/>
      <c r="AB70" s="756">
        <f t="shared" si="7"/>
        <v>0</v>
      </c>
      <c r="AC70" s="859"/>
      <c r="AD70" s="863"/>
      <c r="AE70" s="859"/>
      <c r="AF70" s="859"/>
      <c r="AG70" s="864"/>
      <c r="AH70" s="865"/>
      <c r="AI70" s="757">
        <f t="shared" si="8"/>
        <v>0</v>
      </c>
      <c r="AJ70" s="758">
        <f t="shared" si="9"/>
        <v>0</v>
      </c>
    </row>
    <row r="71" spans="1:36" x14ac:dyDescent="0.2">
      <c r="A71" s="843" t="s">
        <v>142</v>
      </c>
      <c r="B71" s="844" t="s">
        <v>267</v>
      </c>
      <c r="C71" s="866" t="s">
        <v>458</v>
      </c>
      <c r="D71" s="845"/>
      <c r="E71" s="846">
        <v>102368</v>
      </c>
      <c r="F71" s="847">
        <v>3</v>
      </c>
      <c r="G71" s="859"/>
      <c r="H71" s="860"/>
      <c r="I71" s="861">
        <v>232309</v>
      </c>
      <c r="J71" s="862">
        <v>232309</v>
      </c>
      <c r="K71" s="859"/>
      <c r="L71" s="863"/>
      <c r="M71" s="859"/>
      <c r="N71" s="859"/>
      <c r="O71" s="752">
        <f t="shared" si="2"/>
        <v>0</v>
      </c>
      <c r="P71" s="862"/>
      <c r="Q71" s="860"/>
      <c r="R71" s="753">
        <f t="shared" si="3"/>
        <v>0</v>
      </c>
      <c r="S71" s="752">
        <f t="shared" si="4"/>
        <v>232309</v>
      </c>
      <c r="T71" s="754">
        <f t="shared" si="5"/>
        <v>232309</v>
      </c>
      <c r="U71" s="859"/>
      <c r="V71" s="863"/>
      <c r="W71" s="859"/>
      <c r="X71" s="859"/>
      <c r="Y71" s="755">
        <f t="shared" si="6"/>
        <v>0</v>
      </c>
      <c r="Z71" s="864"/>
      <c r="AA71" s="863"/>
      <c r="AB71" s="756">
        <f t="shared" si="7"/>
        <v>0</v>
      </c>
      <c r="AC71" s="859"/>
      <c r="AD71" s="863"/>
      <c r="AE71" s="859"/>
      <c r="AF71" s="859"/>
      <c r="AG71" s="864"/>
      <c r="AH71" s="865"/>
      <c r="AI71" s="757">
        <f t="shared" si="8"/>
        <v>232309</v>
      </c>
      <c r="AJ71" s="758">
        <f t="shared" si="9"/>
        <v>232309</v>
      </c>
    </row>
    <row r="72" spans="1:36" x14ac:dyDescent="0.2">
      <c r="A72" s="843" t="s">
        <v>142</v>
      </c>
      <c r="B72" s="844" t="s">
        <v>264</v>
      </c>
      <c r="C72" s="868" t="s">
        <v>490</v>
      </c>
      <c r="D72" s="869"/>
      <c r="E72" s="846">
        <v>102094</v>
      </c>
      <c r="F72" s="847">
        <v>3</v>
      </c>
      <c r="G72" s="859">
        <v>29161818</v>
      </c>
      <c r="H72" s="860">
        <v>19414513</v>
      </c>
      <c r="I72" s="861"/>
      <c r="J72" s="862"/>
      <c r="K72" s="859"/>
      <c r="L72" s="863"/>
      <c r="M72" s="867">
        <v>58772507</v>
      </c>
      <c r="N72" s="867">
        <v>13944859</v>
      </c>
      <c r="O72" s="752">
        <f t="shared" si="2"/>
        <v>72717366</v>
      </c>
      <c r="P72" s="862">
        <v>59341870</v>
      </c>
      <c r="Q72" s="860">
        <v>14079951</v>
      </c>
      <c r="R72" s="753">
        <f t="shared" si="3"/>
        <v>73421821</v>
      </c>
      <c r="S72" s="752">
        <f t="shared" si="4"/>
        <v>87934325</v>
      </c>
      <c r="T72" s="754">
        <f t="shared" si="5"/>
        <v>78756383</v>
      </c>
      <c r="U72" s="859"/>
      <c r="V72" s="863"/>
      <c r="W72" s="859"/>
      <c r="X72" s="859"/>
      <c r="Y72" s="755">
        <f t="shared" si="6"/>
        <v>0</v>
      </c>
      <c r="Z72" s="864"/>
      <c r="AA72" s="863"/>
      <c r="AB72" s="756">
        <f t="shared" si="7"/>
        <v>0</v>
      </c>
      <c r="AC72" s="859"/>
      <c r="AD72" s="863"/>
      <c r="AE72" s="859"/>
      <c r="AF72" s="859"/>
      <c r="AG72" s="864"/>
      <c r="AH72" s="865"/>
      <c r="AI72" s="757">
        <f t="shared" si="8"/>
        <v>87934325</v>
      </c>
      <c r="AJ72" s="758">
        <f t="shared" si="9"/>
        <v>78756383</v>
      </c>
    </row>
    <row r="73" spans="1:36" x14ac:dyDescent="0.2">
      <c r="A73" s="843" t="s">
        <v>142</v>
      </c>
      <c r="B73" s="844" t="s">
        <v>280</v>
      </c>
      <c r="C73" s="858" t="s">
        <v>30</v>
      </c>
      <c r="D73" s="845"/>
      <c r="E73" s="846">
        <v>102094</v>
      </c>
      <c r="F73" s="847">
        <v>3</v>
      </c>
      <c r="G73" s="859"/>
      <c r="H73" s="860"/>
      <c r="I73" s="861"/>
      <c r="J73" s="862"/>
      <c r="K73" s="859"/>
      <c r="L73" s="863"/>
      <c r="M73" s="859"/>
      <c r="N73" s="859"/>
      <c r="O73" s="752">
        <f t="shared" si="2"/>
        <v>0</v>
      </c>
      <c r="P73" s="862"/>
      <c r="Q73" s="860"/>
      <c r="R73" s="753">
        <f t="shared" si="3"/>
        <v>0</v>
      </c>
      <c r="S73" s="752">
        <f t="shared" si="4"/>
        <v>0</v>
      </c>
      <c r="T73" s="754">
        <f t="shared" si="5"/>
        <v>0</v>
      </c>
      <c r="U73" s="859"/>
      <c r="V73" s="863"/>
      <c r="W73" s="859"/>
      <c r="X73" s="859"/>
      <c r="Y73" s="755">
        <f t="shared" si="6"/>
        <v>0</v>
      </c>
      <c r="Z73" s="864"/>
      <c r="AA73" s="863"/>
      <c r="AB73" s="756">
        <f t="shared" si="7"/>
        <v>0</v>
      </c>
      <c r="AC73" s="859"/>
      <c r="AD73" s="863"/>
      <c r="AE73" s="859"/>
      <c r="AF73" s="859"/>
      <c r="AG73" s="864"/>
      <c r="AH73" s="865"/>
      <c r="AI73" s="757">
        <f t="shared" si="8"/>
        <v>0</v>
      </c>
      <c r="AJ73" s="758">
        <f t="shared" si="9"/>
        <v>0</v>
      </c>
    </row>
    <row r="74" spans="1:36" x14ac:dyDescent="0.2">
      <c r="A74" s="843" t="s">
        <v>142</v>
      </c>
      <c r="B74" s="844" t="s">
        <v>280</v>
      </c>
      <c r="C74" s="866" t="s">
        <v>468</v>
      </c>
      <c r="D74" s="845"/>
      <c r="E74" s="846">
        <v>102094</v>
      </c>
      <c r="F74" s="847">
        <v>3</v>
      </c>
      <c r="G74" s="859"/>
      <c r="H74" s="860"/>
      <c r="I74" s="861"/>
      <c r="J74" s="862"/>
      <c r="K74" s="859"/>
      <c r="L74" s="863"/>
      <c r="M74" s="859"/>
      <c r="N74" s="859"/>
      <c r="O74" s="752">
        <f t="shared" ref="O74:O137" si="10">SUM(M74:N74)</f>
        <v>0</v>
      </c>
      <c r="P74" s="862"/>
      <c r="Q74" s="860"/>
      <c r="R74" s="753">
        <f t="shared" ref="R74:R137" si="11">SUM(P74:Q74)</f>
        <v>0</v>
      </c>
      <c r="S74" s="752">
        <f t="shared" ref="S74:S137" si="12">SUM(G74,I74,K74,M74)</f>
        <v>0</v>
      </c>
      <c r="T74" s="754">
        <f t="shared" ref="T74:T137" si="13">SUM(H74,J74,L74,P74)</f>
        <v>0</v>
      </c>
      <c r="U74" s="859"/>
      <c r="V74" s="863"/>
      <c r="W74" s="859"/>
      <c r="X74" s="859"/>
      <c r="Y74" s="755">
        <f t="shared" ref="Y74:Y137" si="14">SUM(W74:X74)</f>
        <v>0</v>
      </c>
      <c r="Z74" s="864"/>
      <c r="AA74" s="863"/>
      <c r="AB74" s="756">
        <f t="shared" ref="AB74:AB137" si="15">SUM(Z74:AA74)</f>
        <v>0</v>
      </c>
      <c r="AC74" s="859">
        <v>72133226</v>
      </c>
      <c r="AD74" s="863">
        <v>83280987</v>
      </c>
      <c r="AE74" s="867">
        <v>46183686</v>
      </c>
      <c r="AF74" s="859"/>
      <c r="AG74" s="864">
        <v>46631094</v>
      </c>
      <c r="AH74" s="865"/>
      <c r="AI74" s="757">
        <f t="shared" ref="AI74:AI137" si="16">SUM(S74,U74,W74,AC74,AE74)</f>
        <v>118316912</v>
      </c>
      <c r="AJ74" s="758">
        <f t="shared" ref="AJ74:AJ137" si="17">SUM(T74,V74,Z74,AD74,AG74)</f>
        <v>129912081</v>
      </c>
    </row>
    <row r="75" spans="1:36" x14ac:dyDescent="0.2">
      <c r="A75" s="843" t="s">
        <v>142</v>
      </c>
      <c r="B75" s="844" t="s">
        <v>267</v>
      </c>
      <c r="C75" s="858" t="s">
        <v>258</v>
      </c>
      <c r="D75" s="845"/>
      <c r="E75" s="846">
        <v>102094</v>
      </c>
      <c r="F75" s="847">
        <v>3</v>
      </c>
      <c r="G75" s="859"/>
      <c r="H75" s="860"/>
      <c r="I75" s="861"/>
      <c r="J75" s="862"/>
      <c r="K75" s="859"/>
      <c r="L75" s="863"/>
      <c r="M75" s="859"/>
      <c r="N75" s="859"/>
      <c r="O75" s="752">
        <f t="shared" si="10"/>
        <v>0</v>
      </c>
      <c r="P75" s="862"/>
      <c r="Q75" s="860"/>
      <c r="R75" s="753">
        <f t="shared" si="11"/>
        <v>0</v>
      </c>
      <c r="S75" s="752">
        <f t="shared" si="12"/>
        <v>0</v>
      </c>
      <c r="T75" s="754">
        <f t="shared" si="13"/>
        <v>0</v>
      </c>
      <c r="U75" s="859"/>
      <c r="V75" s="863"/>
      <c r="W75" s="859"/>
      <c r="X75" s="859"/>
      <c r="Y75" s="755">
        <f t="shared" si="14"/>
        <v>0</v>
      </c>
      <c r="Z75" s="864"/>
      <c r="AA75" s="863"/>
      <c r="AB75" s="756">
        <f t="shared" si="15"/>
        <v>0</v>
      </c>
      <c r="AC75" s="859"/>
      <c r="AD75" s="863"/>
      <c r="AE75" s="859"/>
      <c r="AF75" s="859"/>
      <c r="AG75" s="864"/>
      <c r="AH75" s="865"/>
      <c r="AI75" s="757">
        <f t="shared" si="16"/>
        <v>0</v>
      </c>
      <c r="AJ75" s="758">
        <f t="shared" si="17"/>
        <v>0</v>
      </c>
    </row>
    <row r="76" spans="1:36" x14ac:dyDescent="0.2">
      <c r="A76" s="843" t="s">
        <v>142</v>
      </c>
      <c r="B76" s="844" t="s">
        <v>267</v>
      </c>
      <c r="C76" s="866" t="s">
        <v>458</v>
      </c>
      <c r="D76" s="845"/>
      <c r="E76" s="846">
        <v>102094</v>
      </c>
      <c r="F76" s="847">
        <v>3</v>
      </c>
      <c r="G76" s="859"/>
      <c r="H76" s="860"/>
      <c r="I76" s="861">
        <v>302337</v>
      </c>
      <c r="J76" s="862">
        <v>302337</v>
      </c>
      <c r="K76" s="859"/>
      <c r="L76" s="863"/>
      <c r="M76" s="859"/>
      <c r="N76" s="859"/>
      <c r="O76" s="752">
        <f t="shared" si="10"/>
        <v>0</v>
      </c>
      <c r="P76" s="862"/>
      <c r="Q76" s="860"/>
      <c r="R76" s="753">
        <f t="shared" si="11"/>
        <v>0</v>
      </c>
      <c r="S76" s="752">
        <f t="shared" si="12"/>
        <v>302337</v>
      </c>
      <c r="T76" s="754">
        <f t="shared" si="13"/>
        <v>302337</v>
      </c>
      <c r="U76" s="859"/>
      <c r="V76" s="863"/>
      <c r="W76" s="859"/>
      <c r="X76" s="859"/>
      <c r="Y76" s="755">
        <f t="shared" si="14"/>
        <v>0</v>
      </c>
      <c r="Z76" s="864"/>
      <c r="AA76" s="863"/>
      <c r="AB76" s="756">
        <f t="shared" si="15"/>
        <v>0</v>
      </c>
      <c r="AC76" s="859"/>
      <c r="AD76" s="863"/>
      <c r="AE76" s="859"/>
      <c r="AF76" s="859"/>
      <c r="AG76" s="864"/>
      <c r="AH76" s="865"/>
      <c r="AI76" s="757">
        <f t="shared" si="16"/>
        <v>302337</v>
      </c>
      <c r="AJ76" s="758">
        <f t="shared" si="17"/>
        <v>302337</v>
      </c>
    </row>
    <row r="77" spans="1:36" x14ac:dyDescent="0.2">
      <c r="A77" s="843" t="s">
        <v>142</v>
      </c>
      <c r="B77" s="844" t="s">
        <v>264</v>
      </c>
      <c r="C77" s="868" t="s">
        <v>491</v>
      </c>
      <c r="D77" s="869"/>
      <c r="E77" s="846">
        <v>100724</v>
      </c>
      <c r="F77" s="847">
        <v>4</v>
      </c>
      <c r="G77" s="859">
        <v>40907397</v>
      </c>
      <c r="H77" s="860">
        <v>41590224</v>
      </c>
      <c r="I77" s="861"/>
      <c r="J77" s="862"/>
      <c r="K77" s="859"/>
      <c r="L77" s="863"/>
      <c r="M77" s="867">
        <v>40242982</v>
      </c>
      <c r="N77" s="867">
        <v>16449488</v>
      </c>
      <c r="O77" s="752">
        <f t="shared" si="10"/>
        <v>56692470</v>
      </c>
      <c r="P77" s="862">
        <v>50180136</v>
      </c>
      <c r="Q77" s="860">
        <v>16380000</v>
      </c>
      <c r="R77" s="753">
        <f t="shared" si="11"/>
        <v>66560136</v>
      </c>
      <c r="S77" s="752">
        <f t="shared" si="12"/>
        <v>81150379</v>
      </c>
      <c r="T77" s="754">
        <f t="shared" si="13"/>
        <v>91770360</v>
      </c>
      <c r="U77" s="859"/>
      <c r="V77" s="863"/>
      <c r="W77" s="859"/>
      <c r="X77" s="859"/>
      <c r="Y77" s="755">
        <f t="shared" si="14"/>
        <v>0</v>
      </c>
      <c r="Z77" s="864"/>
      <c r="AA77" s="863"/>
      <c r="AB77" s="756">
        <f t="shared" si="15"/>
        <v>0</v>
      </c>
      <c r="AC77" s="859"/>
      <c r="AD77" s="863"/>
      <c r="AE77" s="859"/>
      <c r="AF77" s="859"/>
      <c r="AG77" s="864"/>
      <c r="AH77" s="865"/>
      <c r="AI77" s="757">
        <f t="shared" si="16"/>
        <v>81150379</v>
      </c>
      <c r="AJ77" s="758">
        <f t="shared" si="17"/>
        <v>91770360</v>
      </c>
    </row>
    <row r="78" spans="1:36" x14ac:dyDescent="0.2">
      <c r="A78" s="843" t="s">
        <v>142</v>
      </c>
      <c r="B78" s="844" t="s">
        <v>266</v>
      </c>
      <c r="C78" s="858" t="s">
        <v>319</v>
      </c>
      <c r="D78" s="845"/>
      <c r="E78" s="846">
        <v>100724</v>
      </c>
      <c r="F78" s="847">
        <v>4</v>
      </c>
      <c r="G78" s="859"/>
      <c r="H78" s="860"/>
      <c r="I78" s="861"/>
      <c r="J78" s="862"/>
      <c r="K78" s="859"/>
      <c r="L78" s="863"/>
      <c r="M78" s="859"/>
      <c r="N78" s="859"/>
      <c r="O78" s="752">
        <f t="shared" si="10"/>
        <v>0</v>
      </c>
      <c r="P78" s="862"/>
      <c r="Q78" s="860"/>
      <c r="R78" s="753">
        <f t="shared" si="11"/>
        <v>0</v>
      </c>
      <c r="S78" s="752">
        <f t="shared" si="12"/>
        <v>0</v>
      </c>
      <c r="T78" s="754">
        <f t="shared" si="13"/>
        <v>0</v>
      </c>
      <c r="U78" s="859"/>
      <c r="V78" s="863"/>
      <c r="W78" s="859"/>
      <c r="X78" s="859"/>
      <c r="Y78" s="755">
        <f t="shared" si="14"/>
        <v>0</v>
      </c>
      <c r="Z78" s="864"/>
      <c r="AA78" s="863"/>
      <c r="AB78" s="756">
        <f t="shared" si="15"/>
        <v>0</v>
      </c>
      <c r="AC78" s="859"/>
      <c r="AD78" s="863"/>
      <c r="AE78" s="859"/>
      <c r="AF78" s="859"/>
      <c r="AG78" s="864"/>
      <c r="AH78" s="865"/>
      <c r="AI78" s="757">
        <f t="shared" si="16"/>
        <v>0</v>
      </c>
      <c r="AJ78" s="758">
        <f t="shared" si="17"/>
        <v>0</v>
      </c>
    </row>
    <row r="79" spans="1:36" x14ac:dyDescent="0.2">
      <c r="A79" s="843" t="s">
        <v>142</v>
      </c>
      <c r="B79" s="844" t="s">
        <v>266</v>
      </c>
      <c r="C79" s="866" t="s">
        <v>492</v>
      </c>
      <c r="D79" s="845"/>
      <c r="E79" s="846">
        <v>100724</v>
      </c>
      <c r="F79" s="847">
        <v>4</v>
      </c>
      <c r="G79" s="859"/>
      <c r="H79" s="860"/>
      <c r="I79" s="861"/>
      <c r="J79" s="862"/>
      <c r="K79" s="859"/>
      <c r="L79" s="863"/>
      <c r="M79" s="859"/>
      <c r="N79" s="859"/>
      <c r="O79" s="752">
        <f t="shared" si="10"/>
        <v>0</v>
      </c>
      <c r="P79" s="862"/>
      <c r="Q79" s="860"/>
      <c r="R79" s="753">
        <f t="shared" si="11"/>
        <v>0</v>
      </c>
      <c r="S79" s="752">
        <f t="shared" si="12"/>
        <v>0</v>
      </c>
      <c r="T79" s="754">
        <f t="shared" si="13"/>
        <v>0</v>
      </c>
      <c r="U79" s="859"/>
      <c r="V79" s="863"/>
      <c r="W79" s="859"/>
      <c r="X79" s="859"/>
      <c r="Y79" s="755">
        <f t="shared" si="14"/>
        <v>0</v>
      </c>
      <c r="Z79" s="864"/>
      <c r="AA79" s="863"/>
      <c r="AB79" s="756">
        <f t="shared" si="15"/>
        <v>0</v>
      </c>
      <c r="AC79" s="859"/>
      <c r="AD79" s="863"/>
      <c r="AE79" s="859"/>
      <c r="AF79" s="859"/>
      <c r="AG79" s="864"/>
      <c r="AH79" s="865"/>
      <c r="AI79" s="757">
        <f t="shared" si="16"/>
        <v>0</v>
      </c>
      <c r="AJ79" s="758">
        <f t="shared" si="17"/>
        <v>0</v>
      </c>
    </row>
    <row r="80" spans="1:36" x14ac:dyDescent="0.2">
      <c r="A80" s="843" t="s">
        <v>142</v>
      </c>
      <c r="B80" s="844" t="s">
        <v>266</v>
      </c>
      <c r="C80" s="866" t="s">
        <v>493</v>
      </c>
      <c r="D80" s="845"/>
      <c r="E80" s="846">
        <v>100724</v>
      </c>
      <c r="F80" s="847">
        <v>4</v>
      </c>
      <c r="G80" s="859"/>
      <c r="H80" s="860"/>
      <c r="I80" s="861"/>
      <c r="J80" s="862"/>
      <c r="K80" s="859"/>
      <c r="L80" s="863"/>
      <c r="M80" s="859"/>
      <c r="N80" s="859"/>
      <c r="O80" s="752">
        <f t="shared" si="10"/>
        <v>0</v>
      </c>
      <c r="P80" s="862"/>
      <c r="Q80" s="860"/>
      <c r="R80" s="753">
        <f t="shared" si="11"/>
        <v>0</v>
      </c>
      <c r="S80" s="752">
        <f t="shared" si="12"/>
        <v>0</v>
      </c>
      <c r="T80" s="754">
        <f t="shared" si="13"/>
        <v>0</v>
      </c>
      <c r="U80" s="859"/>
      <c r="V80" s="863"/>
      <c r="W80" s="859"/>
      <c r="X80" s="859"/>
      <c r="Y80" s="755">
        <f t="shared" si="14"/>
        <v>0</v>
      </c>
      <c r="Z80" s="864"/>
      <c r="AA80" s="863"/>
      <c r="AB80" s="756">
        <f t="shared" si="15"/>
        <v>0</v>
      </c>
      <c r="AC80" s="859"/>
      <c r="AD80" s="863"/>
      <c r="AE80" s="859"/>
      <c r="AF80" s="859"/>
      <c r="AG80" s="864"/>
      <c r="AH80" s="865"/>
      <c r="AI80" s="757">
        <f t="shared" si="16"/>
        <v>0</v>
      </c>
      <c r="AJ80" s="758">
        <f t="shared" si="17"/>
        <v>0</v>
      </c>
    </row>
    <row r="81" spans="1:36" x14ac:dyDescent="0.2">
      <c r="A81" s="843" t="s">
        <v>142</v>
      </c>
      <c r="B81" s="844" t="s">
        <v>267</v>
      </c>
      <c r="C81" s="858" t="s">
        <v>258</v>
      </c>
      <c r="D81" s="845"/>
      <c r="E81" s="846">
        <v>100724</v>
      </c>
      <c r="F81" s="847">
        <v>4</v>
      </c>
      <c r="G81" s="859"/>
      <c r="H81" s="860"/>
      <c r="I81" s="861"/>
      <c r="J81" s="862"/>
      <c r="K81" s="859"/>
      <c r="L81" s="863"/>
      <c r="M81" s="859"/>
      <c r="N81" s="859"/>
      <c r="O81" s="752">
        <f t="shared" si="10"/>
        <v>0</v>
      </c>
      <c r="P81" s="862"/>
      <c r="Q81" s="860"/>
      <c r="R81" s="753">
        <f t="shared" si="11"/>
        <v>0</v>
      </c>
      <c r="S81" s="752">
        <f t="shared" si="12"/>
        <v>0</v>
      </c>
      <c r="T81" s="754">
        <f t="shared" si="13"/>
        <v>0</v>
      </c>
      <c r="U81" s="859"/>
      <c r="V81" s="863"/>
      <c r="W81" s="859"/>
      <c r="X81" s="859"/>
      <c r="Y81" s="755">
        <f t="shared" si="14"/>
        <v>0</v>
      </c>
      <c r="Z81" s="864"/>
      <c r="AA81" s="863"/>
      <c r="AB81" s="756">
        <f t="shared" si="15"/>
        <v>0</v>
      </c>
      <c r="AC81" s="859"/>
      <c r="AD81" s="863"/>
      <c r="AE81" s="859"/>
      <c r="AF81" s="859"/>
      <c r="AG81" s="864"/>
      <c r="AH81" s="865"/>
      <c r="AI81" s="757">
        <f t="shared" si="16"/>
        <v>0</v>
      </c>
      <c r="AJ81" s="758">
        <f t="shared" si="17"/>
        <v>0</v>
      </c>
    </row>
    <row r="82" spans="1:36" x14ac:dyDescent="0.2">
      <c r="A82" s="843" t="s">
        <v>142</v>
      </c>
      <c r="B82" s="844" t="s">
        <v>267</v>
      </c>
      <c r="C82" s="866" t="s">
        <v>458</v>
      </c>
      <c r="D82" s="845"/>
      <c r="E82" s="846">
        <v>100724</v>
      </c>
      <c r="F82" s="847">
        <v>4</v>
      </c>
      <c r="G82" s="859"/>
      <c r="H82" s="860"/>
      <c r="I82" s="861">
        <v>221456</v>
      </c>
      <c r="J82" s="862">
        <v>221456</v>
      </c>
      <c r="K82" s="859"/>
      <c r="L82" s="863"/>
      <c r="M82" s="859"/>
      <c r="N82" s="859"/>
      <c r="O82" s="752">
        <f t="shared" si="10"/>
        <v>0</v>
      </c>
      <c r="P82" s="862"/>
      <c r="Q82" s="860"/>
      <c r="R82" s="753">
        <f t="shared" si="11"/>
        <v>0</v>
      </c>
      <c r="S82" s="752">
        <f t="shared" si="12"/>
        <v>221456</v>
      </c>
      <c r="T82" s="754">
        <f t="shared" si="13"/>
        <v>221456</v>
      </c>
      <c r="U82" s="859"/>
      <c r="V82" s="863"/>
      <c r="W82" s="859"/>
      <c r="X82" s="859"/>
      <c r="Y82" s="755">
        <f t="shared" si="14"/>
        <v>0</v>
      </c>
      <c r="Z82" s="864"/>
      <c r="AA82" s="863"/>
      <c r="AB82" s="756">
        <f t="shared" si="15"/>
        <v>0</v>
      </c>
      <c r="AC82" s="859"/>
      <c r="AD82" s="863"/>
      <c r="AE82" s="859"/>
      <c r="AF82" s="859"/>
      <c r="AG82" s="864"/>
      <c r="AH82" s="865"/>
      <c r="AI82" s="757">
        <f t="shared" si="16"/>
        <v>221456</v>
      </c>
      <c r="AJ82" s="758">
        <f t="shared" si="17"/>
        <v>221456</v>
      </c>
    </row>
    <row r="83" spans="1:36" x14ac:dyDescent="0.2">
      <c r="A83" s="843" t="s">
        <v>142</v>
      </c>
      <c r="B83" s="844" t="s">
        <v>264</v>
      </c>
      <c r="C83" s="868" t="s">
        <v>494</v>
      </c>
      <c r="D83" s="869"/>
      <c r="E83" s="846">
        <v>100830</v>
      </c>
      <c r="F83" s="847">
        <v>4</v>
      </c>
      <c r="G83" s="859">
        <v>21832750</v>
      </c>
      <c r="H83" s="860">
        <v>22143812</v>
      </c>
      <c r="I83" s="861"/>
      <c r="J83" s="862"/>
      <c r="K83" s="859"/>
      <c r="L83" s="863"/>
      <c r="M83" s="867">
        <v>35827745</v>
      </c>
      <c r="N83" s="867">
        <v>3678449</v>
      </c>
      <c r="O83" s="752">
        <f t="shared" si="10"/>
        <v>39506194</v>
      </c>
      <c r="P83" s="862">
        <v>30102049</v>
      </c>
      <c r="Q83" s="860">
        <v>4643585</v>
      </c>
      <c r="R83" s="753">
        <f t="shared" si="11"/>
        <v>34745634</v>
      </c>
      <c r="S83" s="752">
        <f t="shared" si="12"/>
        <v>57660495</v>
      </c>
      <c r="T83" s="754">
        <f t="shared" si="13"/>
        <v>52245861</v>
      </c>
      <c r="U83" s="859"/>
      <c r="V83" s="863"/>
      <c r="W83" s="859"/>
      <c r="X83" s="859"/>
      <c r="Y83" s="755">
        <f t="shared" si="14"/>
        <v>0</v>
      </c>
      <c r="Z83" s="864"/>
      <c r="AA83" s="863"/>
      <c r="AB83" s="756">
        <f t="shared" si="15"/>
        <v>0</v>
      </c>
      <c r="AC83" s="859"/>
      <c r="AD83" s="863"/>
      <c r="AE83" s="859"/>
      <c r="AF83" s="859"/>
      <c r="AG83" s="864"/>
      <c r="AH83" s="865"/>
      <c r="AI83" s="757">
        <f t="shared" si="16"/>
        <v>57660495</v>
      </c>
      <c r="AJ83" s="758">
        <f t="shared" si="17"/>
        <v>52245861</v>
      </c>
    </row>
    <row r="84" spans="1:36" x14ac:dyDescent="0.2">
      <c r="A84" s="843" t="s">
        <v>142</v>
      </c>
      <c r="B84" s="844" t="s">
        <v>266</v>
      </c>
      <c r="C84" s="858" t="s">
        <v>319</v>
      </c>
      <c r="D84" s="845"/>
      <c r="E84" s="846">
        <v>100830</v>
      </c>
      <c r="F84" s="847">
        <v>4</v>
      </c>
      <c r="G84" s="859"/>
      <c r="H84" s="860"/>
      <c r="I84" s="861"/>
      <c r="J84" s="862"/>
      <c r="K84" s="859"/>
      <c r="L84" s="863"/>
      <c r="M84" s="859"/>
      <c r="N84" s="859"/>
      <c r="O84" s="752">
        <f t="shared" si="10"/>
        <v>0</v>
      </c>
      <c r="P84" s="862"/>
      <c r="Q84" s="860"/>
      <c r="R84" s="753">
        <f t="shared" si="11"/>
        <v>0</v>
      </c>
      <c r="S84" s="752">
        <f t="shared" si="12"/>
        <v>0</v>
      </c>
      <c r="T84" s="754">
        <f t="shared" si="13"/>
        <v>0</v>
      </c>
      <c r="U84" s="859"/>
      <c r="V84" s="863"/>
      <c r="W84" s="859"/>
      <c r="X84" s="859"/>
      <c r="Y84" s="755">
        <f t="shared" si="14"/>
        <v>0</v>
      </c>
      <c r="Z84" s="864"/>
      <c r="AA84" s="863"/>
      <c r="AB84" s="756">
        <f t="shared" si="15"/>
        <v>0</v>
      </c>
      <c r="AC84" s="859"/>
      <c r="AD84" s="863"/>
      <c r="AE84" s="859"/>
      <c r="AF84" s="859"/>
      <c r="AG84" s="864"/>
      <c r="AH84" s="865"/>
      <c r="AI84" s="757">
        <f t="shared" si="16"/>
        <v>0</v>
      </c>
      <c r="AJ84" s="758">
        <f t="shared" si="17"/>
        <v>0</v>
      </c>
    </row>
    <row r="85" spans="1:36" x14ac:dyDescent="0.2">
      <c r="A85" s="843" t="s">
        <v>142</v>
      </c>
      <c r="B85" s="844" t="s">
        <v>266</v>
      </c>
      <c r="C85" s="866" t="s">
        <v>495</v>
      </c>
      <c r="D85" s="845"/>
      <c r="E85" s="846">
        <v>100830</v>
      </c>
      <c r="F85" s="847">
        <v>4</v>
      </c>
      <c r="G85" s="859"/>
      <c r="H85" s="860"/>
      <c r="I85" s="861"/>
      <c r="J85" s="862"/>
      <c r="K85" s="859"/>
      <c r="L85" s="863"/>
      <c r="M85" s="859"/>
      <c r="N85" s="859"/>
      <c r="O85" s="752">
        <f t="shared" si="10"/>
        <v>0</v>
      </c>
      <c r="P85" s="862"/>
      <c r="Q85" s="860"/>
      <c r="R85" s="753">
        <f t="shared" si="11"/>
        <v>0</v>
      </c>
      <c r="S85" s="752">
        <f t="shared" si="12"/>
        <v>0</v>
      </c>
      <c r="T85" s="754">
        <f t="shared" si="13"/>
        <v>0</v>
      </c>
      <c r="U85" s="859"/>
      <c r="V85" s="863"/>
      <c r="W85" s="859"/>
      <c r="X85" s="859"/>
      <c r="Y85" s="755">
        <f t="shared" si="14"/>
        <v>0</v>
      </c>
      <c r="Z85" s="864"/>
      <c r="AA85" s="863"/>
      <c r="AB85" s="756">
        <f t="shared" si="15"/>
        <v>0</v>
      </c>
      <c r="AC85" s="859"/>
      <c r="AD85" s="863"/>
      <c r="AE85" s="859"/>
      <c r="AF85" s="859"/>
      <c r="AG85" s="864"/>
      <c r="AH85" s="865"/>
      <c r="AI85" s="757">
        <f t="shared" si="16"/>
        <v>0</v>
      </c>
      <c r="AJ85" s="758">
        <f t="shared" si="17"/>
        <v>0</v>
      </c>
    </row>
    <row r="86" spans="1:36" x14ac:dyDescent="0.2">
      <c r="A86" s="843" t="s">
        <v>142</v>
      </c>
      <c r="B86" s="844" t="s">
        <v>266</v>
      </c>
      <c r="C86" s="866" t="s">
        <v>496</v>
      </c>
      <c r="D86" s="845"/>
      <c r="E86" s="846">
        <v>100830</v>
      </c>
      <c r="F86" s="847">
        <v>4</v>
      </c>
      <c r="G86" s="859"/>
      <c r="H86" s="860"/>
      <c r="I86" s="861"/>
      <c r="J86" s="862">
        <v>299000</v>
      </c>
      <c r="K86" s="859"/>
      <c r="L86" s="863"/>
      <c r="M86" s="859"/>
      <c r="N86" s="859"/>
      <c r="O86" s="752">
        <f t="shared" si="10"/>
        <v>0</v>
      </c>
      <c r="P86" s="862"/>
      <c r="Q86" s="860"/>
      <c r="R86" s="753">
        <f t="shared" si="11"/>
        <v>0</v>
      </c>
      <c r="S86" s="752">
        <f t="shared" si="12"/>
        <v>0</v>
      </c>
      <c r="T86" s="754">
        <f t="shared" si="13"/>
        <v>299000</v>
      </c>
      <c r="U86" s="859"/>
      <c r="V86" s="863"/>
      <c r="W86" s="859"/>
      <c r="X86" s="859"/>
      <c r="Y86" s="755">
        <f t="shared" si="14"/>
        <v>0</v>
      </c>
      <c r="Z86" s="864"/>
      <c r="AA86" s="863"/>
      <c r="AB86" s="756">
        <f t="shared" si="15"/>
        <v>0</v>
      </c>
      <c r="AC86" s="859"/>
      <c r="AD86" s="863"/>
      <c r="AE86" s="859"/>
      <c r="AF86" s="859"/>
      <c r="AG86" s="864"/>
      <c r="AH86" s="865"/>
      <c r="AI86" s="757">
        <f t="shared" si="16"/>
        <v>0</v>
      </c>
      <c r="AJ86" s="758">
        <f t="shared" si="17"/>
        <v>299000</v>
      </c>
    </row>
    <row r="87" spans="1:36" x14ac:dyDescent="0.2">
      <c r="A87" s="843" t="s">
        <v>142</v>
      </c>
      <c r="B87" s="844" t="s">
        <v>266</v>
      </c>
      <c r="C87" s="866" t="s">
        <v>497</v>
      </c>
      <c r="D87" s="845"/>
      <c r="E87" s="846">
        <v>100830</v>
      </c>
      <c r="F87" s="847">
        <v>4</v>
      </c>
      <c r="G87" s="859"/>
      <c r="H87" s="860"/>
      <c r="I87" s="861"/>
      <c r="J87" s="862"/>
      <c r="K87" s="859"/>
      <c r="L87" s="863"/>
      <c r="M87" s="859"/>
      <c r="N87" s="859"/>
      <c r="O87" s="752">
        <f t="shared" si="10"/>
        <v>0</v>
      </c>
      <c r="P87" s="862"/>
      <c r="Q87" s="860"/>
      <c r="R87" s="753">
        <f t="shared" si="11"/>
        <v>0</v>
      </c>
      <c r="S87" s="752">
        <f t="shared" si="12"/>
        <v>0</v>
      </c>
      <c r="T87" s="754">
        <f t="shared" si="13"/>
        <v>0</v>
      </c>
      <c r="U87" s="859"/>
      <c r="V87" s="863"/>
      <c r="W87" s="859"/>
      <c r="X87" s="859"/>
      <c r="Y87" s="755">
        <f t="shared" si="14"/>
        <v>0</v>
      </c>
      <c r="Z87" s="864"/>
      <c r="AA87" s="863"/>
      <c r="AB87" s="756">
        <f t="shared" si="15"/>
        <v>0</v>
      </c>
      <c r="AC87" s="859"/>
      <c r="AD87" s="863"/>
      <c r="AE87" s="859"/>
      <c r="AF87" s="859"/>
      <c r="AG87" s="864"/>
      <c r="AH87" s="865"/>
      <c r="AI87" s="757">
        <f t="shared" si="16"/>
        <v>0</v>
      </c>
      <c r="AJ87" s="758">
        <f t="shared" si="17"/>
        <v>0</v>
      </c>
    </row>
    <row r="88" spans="1:36" x14ac:dyDescent="0.2">
      <c r="A88" s="843" t="s">
        <v>142</v>
      </c>
      <c r="B88" s="844" t="s">
        <v>266</v>
      </c>
      <c r="C88" s="866" t="s">
        <v>498</v>
      </c>
      <c r="D88" s="845"/>
      <c r="E88" s="846">
        <v>100830</v>
      </c>
      <c r="F88" s="847">
        <v>4</v>
      </c>
      <c r="G88" s="859"/>
      <c r="H88" s="860"/>
      <c r="I88" s="861">
        <v>114915</v>
      </c>
      <c r="J88" s="862">
        <v>114915</v>
      </c>
      <c r="K88" s="859"/>
      <c r="L88" s="863"/>
      <c r="M88" s="859"/>
      <c r="N88" s="859"/>
      <c r="O88" s="752">
        <f t="shared" si="10"/>
        <v>0</v>
      </c>
      <c r="P88" s="862"/>
      <c r="Q88" s="860"/>
      <c r="R88" s="753">
        <f t="shared" si="11"/>
        <v>0</v>
      </c>
      <c r="S88" s="752">
        <f t="shared" si="12"/>
        <v>114915</v>
      </c>
      <c r="T88" s="754">
        <f t="shared" si="13"/>
        <v>114915</v>
      </c>
      <c r="U88" s="859"/>
      <c r="V88" s="863"/>
      <c r="W88" s="859"/>
      <c r="X88" s="859"/>
      <c r="Y88" s="755">
        <f t="shared" si="14"/>
        <v>0</v>
      </c>
      <c r="Z88" s="864"/>
      <c r="AA88" s="863"/>
      <c r="AB88" s="756">
        <f t="shared" si="15"/>
        <v>0</v>
      </c>
      <c r="AC88" s="859"/>
      <c r="AD88" s="863"/>
      <c r="AE88" s="859"/>
      <c r="AF88" s="859"/>
      <c r="AG88" s="864"/>
      <c r="AH88" s="865"/>
      <c r="AI88" s="757">
        <f t="shared" si="16"/>
        <v>114915</v>
      </c>
      <c r="AJ88" s="758">
        <f t="shared" si="17"/>
        <v>114915</v>
      </c>
    </row>
    <row r="89" spans="1:36" x14ac:dyDescent="0.2">
      <c r="A89" s="843" t="s">
        <v>142</v>
      </c>
      <c r="B89" s="844" t="s">
        <v>264</v>
      </c>
      <c r="C89" s="868" t="s">
        <v>499</v>
      </c>
      <c r="D89" s="869"/>
      <c r="E89" s="846">
        <v>101879</v>
      </c>
      <c r="F89" s="847">
        <v>4</v>
      </c>
      <c r="G89" s="859">
        <v>24764488</v>
      </c>
      <c r="H89" s="860">
        <v>25917319</v>
      </c>
      <c r="I89" s="861"/>
      <c r="J89" s="862"/>
      <c r="K89" s="859"/>
      <c r="L89" s="863"/>
      <c r="M89" s="867">
        <v>45093747</v>
      </c>
      <c r="N89" s="867">
        <v>2171266</v>
      </c>
      <c r="O89" s="752">
        <f t="shared" si="10"/>
        <v>47265013</v>
      </c>
      <c r="P89" s="862">
        <v>44668825</v>
      </c>
      <c r="Q89" s="860">
        <v>2691321</v>
      </c>
      <c r="R89" s="753">
        <f t="shared" si="11"/>
        <v>47360146</v>
      </c>
      <c r="S89" s="752">
        <f t="shared" si="12"/>
        <v>69858235</v>
      </c>
      <c r="T89" s="754">
        <f t="shared" si="13"/>
        <v>70586144</v>
      </c>
      <c r="U89" s="859"/>
      <c r="V89" s="863"/>
      <c r="W89" s="859"/>
      <c r="X89" s="859"/>
      <c r="Y89" s="755">
        <f t="shared" si="14"/>
        <v>0</v>
      </c>
      <c r="Z89" s="864"/>
      <c r="AA89" s="863"/>
      <c r="AB89" s="756">
        <f t="shared" si="15"/>
        <v>0</v>
      </c>
      <c r="AC89" s="859"/>
      <c r="AD89" s="863"/>
      <c r="AE89" s="859"/>
      <c r="AF89" s="859"/>
      <c r="AG89" s="864"/>
      <c r="AH89" s="865"/>
      <c r="AI89" s="757">
        <f t="shared" si="16"/>
        <v>69858235</v>
      </c>
      <c r="AJ89" s="758">
        <f t="shared" si="17"/>
        <v>70586144</v>
      </c>
    </row>
    <row r="90" spans="1:36" x14ac:dyDescent="0.2">
      <c r="A90" s="843" t="s">
        <v>142</v>
      </c>
      <c r="B90" s="844" t="s">
        <v>267</v>
      </c>
      <c r="C90" s="858" t="s">
        <v>258</v>
      </c>
      <c r="D90" s="845"/>
      <c r="E90" s="846">
        <v>101879</v>
      </c>
      <c r="F90" s="847">
        <v>4</v>
      </c>
      <c r="G90" s="859"/>
      <c r="H90" s="860"/>
      <c r="I90" s="861"/>
      <c r="J90" s="862"/>
      <c r="K90" s="859"/>
      <c r="L90" s="863"/>
      <c r="M90" s="859"/>
      <c r="N90" s="859"/>
      <c r="O90" s="752">
        <f t="shared" si="10"/>
        <v>0</v>
      </c>
      <c r="P90" s="862"/>
      <c r="Q90" s="860"/>
      <c r="R90" s="753">
        <f t="shared" si="11"/>
        <v>0</v>
      </c>
      <c r="S90" s="752">
        <f t="shared" si="12"/>
        <v>0</v>
      </c>
      <c r="T90" s="754">
        <f t="shared" si="13"/>
        <v>0</v>
      </c>
      <c r="U90" s="859"/>
      <c r="V90" s="863"/>
      <c r="W90" s="859"/>
      <c r="X90" s="859"/>
      <c r="Y90" s="755">
        <f t="shared" si="14"/>
        <v>0</v>
      </c>
      <c r="Z90" s="864"/>
      <c r="AA90" s="863"/>
      <c r="AB90" s="756">
        <f t="shared" si="15"/>
        <v>0</v>
      </c>
      <c r="AC90" s="859"/>
      <c r="AD90" s="863"/>
      <c r="AE90" s="859"/>
      <c r="AF90" s="859"/>
      <c r="AG90" s="864"/>
      <c r="AH90" s="865"/>
      <c r="AI90" s="757">
        <f t="shared" si="16"/>
        <v>0</v>
      </c>
      <c r="AJ90" s="758">
        <f t="shared" si="17"/>
        <v>0</v>
      </c>
    </row>
    <row r="91" spans="1:36" x14ac:dyDescent="0.2">
      <c r="A91" s="843" t="s">
        <v>142</v>
      </c>
      <c r="B91" s="844" t="s">
        <v>267</v>
      </c>
      <c r="C91" s="866" t="s">
        <v>458</v>
      </c>
      <c r="D91" s="845"/>
      <c r="E91" s="846">
        <v>101879</v>
      </c>
      <c r="F91" s="847">
        <v>4</v>
      </c>
      <c r="G91" s="859"/>
      <c r="H91" s="860"/>
      <c r="I91" s="861">
        <v>198974</v>
      </c>
      <c r="J91" s="862">
        <v>198974</v>
      </c>
      <c r="K91" s="859"/>
      <c r="L91" s="863"/>
      <c r="M91" s="859"/>
      <c r="N91" s="859"/>
      <c r="O91" s="752">
        <f t="shared" si="10"/>
        <v>0</v>
      </c>
      <c r="P91" s="862"/>
      <c r="Q91" s="860"/>
      <c r="R91" s="753">
        <f t="shared" si="11"/>
        <v>0</v>
      </c>
      <c r="S91" s="752">
        <f t="shared" si="12"/>
        <v>198974</v>
      </c>
      <c r="T91" s="754">
        <f t="shared" si="13"/>
        <v>198974</v>
      </c>
      <c r="U91" s="859"/>
      <c r="V91" s="863"/>
      <c r="W91" s="859"/>
      <c r="X91" s="859"/>
      <c r="Y91" s="755">
        <f t="shared" si="14"/>
        <v>0</v>
      </c>
      <c r="Z91" s="864"/>
      <c r="AA91" s="863"/>
      <c r="AB91" s="756">
        <f t="shared" si="15"/>
        <v>0</v>
      </c>
      <c r="AC91" s="859"/>
      <c r="AD91" s="863"/>
      <c r="AE91" s="859"/>
      <c r="AF91" s="859"/>
      <c r="AG91" s="864"/>
      <c r="AH91" s="865"/>
      <c r="AI91" s="757">
        <f t="shared" si="16"/>
        <v>198974</v>
      </c>
      <c r="AJ91" s="758">
        <f t="shared" si="17"/>
        <v>198974</v>
      </c>
    </row>
    <row r="92" spans="1:36" x14ac:dyDescent="0.2">
      <c r="A92" s="843" t="s">
        <v>142</v>
      </c>
      <c r="B92" s="844" t="s">
        <v>264</v>
      </c>
      <c r="C92" s="868" t="s">
        <v>500</v>
      </c>
      <c r="D92" s="869"/>
      <c r="E92" s="846">
        <v>101709</v>
      </c>
      <c r="F92" s="847">
        <v>5</v>
      </c>
      <c r="G92" s="859">
        <v>17551449</v>
      </c>
      <c r="H92" s="860">
        <v>17801513</v>
      </c>
      <c r="I92" s="861"/>
      <c r="J92" s="862"/>
      <c r="K92" s="859"/>
      <c r="L92" s="863"/>
      <c r="M92" s="867">
        <v>28503867</v>
      </c>
      <c r="N92" s="859"/>
      <c r="O92" s="752">
        <f t="shared" si="10"/>
        <v>28503867</v>
      </c>
      <c r="P92" s="862">
        <v>30320252</v>
      </c>
      <c r="Q92" s="860"/>
      <c r="R92" s="753">
        <f t="shared" si="11"/>
        <v>30320252</v>
      </c>
      <c r="S92" s="752">
        <f t="shared" si="12"/>
        <v>46055316</v>
      </c>
      <c r="T92" s="754">
        <f t="shared" si="13"/>
        <v>48121765</v>
      </c>
      <c r="U92" s="859"/>
      <c r="V92" s="863"/>
      <c r="W92" s="859"/>
      <c r="X92" s="859"/>
      <c r="Y92" s="755">
        <f t="shared" si="14"/>
        <v>0</v>
      </c>
      <c r="Z92" s="864"/>
      <c r="AA92" s="863"/>
      <c r="AB92" s="756">
        <f t="shared" si="15"/>
        <v>0</v>
      </c>
      <c r="AC92" s="859"/>
      <c r="AD92" s="863"/>
      <c r="AE92" s="859"/>
      <c r="AF92" s="859"/>
      <c r="AG92" s="864"/>
      <c r="AH92" s="865"/>
      <c r="AI92" s="757">
        <f t="shared" si="16"/>
        <v>46055316</v>
      </c>
      <c r="AJ92" s="758">
        <f t="shared" si="17"/>
        <v>48121765</v>
      </c>
    </row>
    <row r="93" spans="1:36" x14ac:dyDescent="0.2">
      <c r="A93" s="843" t="s">
        <v>142</v>
      </c>
      <c r="B93" s="844" t="s">
        <v>266</v>
      </c>
      <c r="C93" s="866" t="s">
        <v>501</v>
      </c>
      <c r="D93" s="869"/>
      <c r="E93" s="846">
        <v>101709</v>
      </c>
      <c r="F93" s="847">
        <v>5</v>
      </c>
      <c r="G93" s="859"/>
      <c r="H93" s="860"/>
      <c r="I93" s="861"/>
      <c r="J93" s="862">
        <v>25000</v>
      </c>
      <c r="K93" s="859"/>
      <c r="L93" s="863"/>
      <c r="M93" s="859"/>
      <c r="N93" s="859"/>
      <c r="O93" s="752">
        <f t="shared" si="10"/>
        <v>0</v>
      </c>
      <c r="P93" s="862"/>
      <c r="Q93" s="860"/>
      <c r="R93" s="753">
        <f t="shared" si="11"/>
        <v>0</v>
      </c>
      <c r="S93" s="752">
        <f t="shared" si="12"/>
        <v>0</v>
      </c>
      <c r="T93" s="754">
        <f t="shared" si="13"/>
        <v>25000</v>
      </c>
      <c r="U93" s="859"/>
      <c r="V93" s="863"/>
      <c r="W93" s="859"/>
      <c r="X93" s="859"/>
      <c r="Y93" s="755">
        <f t="shared" si="14"/>
        <v>0</v>
      </c>
      <c r="Z93" s="864"/>
      <c r="AA93" s="863"/>
      <c r="AB93" s="756">
        <f t="shared" si="15"/>
        <v>0</v>
      </c>
      <c r="AC93" s="859"/>
      <c r="AD93" s="863"/>
      <c r="AE93" s="859"/>
      <c r="AF93" s="859"/>
      <c r="AG93" s="864"/>
      <c r="AH93" s="865"/>
      <c r="AI93" s="757">
        <f t="shared" si="16"/>
        <v>0</v>
      </c>
      <c r="AJ93" s="758">
        <f t="shared" si="17"/>
        <v>25000</v>
      </c>
    </row>
    <row r="94" spans="1:36" x14ac:dyDescent="0.2">
      <c r="A94" s="843" t="s">
        <v>142</v>
      </c>
      <c r="B94" s="844" t="s">
        <v>267</v>
      </c>
      <c r="C94" s="858" t="s">
        <v>258</v>
      </c>
      <c r="D94" s="845"/>
      <c r="E94" s="846">
        <v>101709</v>
      </c>
      <c r="F94" s="847">
        <v>5</v>
      </c>
      <c r="G94" s="859"/>
      <c r="H94" s="860"/>
      <c r="I94" s="861"/>
      <c r="J94" s="862"/>
      <c r="K94" s="859"/>
      <c r="L94" s="863"/>
      <c r="M94" s="859"/>
      <c r="N94" s="859"/>
      <c r="O94" s="752">
        <f t="shared" si="10"/>
        <v>0</v>
      </c>
      <c r="P94" s="862"/>
      <c r="Q94" s="860"/>
      <c r="R94" s="753">
        <f t="shared" si="11"/>
        <v>0</v>
      </c>
      <c r="S94" s="752">
        <f t="shared" si="12"/>
        <v>0</v>
      </c>
      <c r="T94" s="754">
        <f t="shared" si="13"/>
        <v>0</v>
      </c>
      <c r="U94" s="859"/>
      <c r="V94" s="863"/>
      <c r="W94" s="859"/>
      <c r="X94" s="859"/>
      <c r="Y94" s="755">
        <f t="shared" si="14"/>
        <v>0</v>
      </c>
      <c r="Z94" s="864"/>
      <c r="AA94" s="863"/>
      <c r="AB94" s="756">
        <f t="shared" si="15"/>
        <v>0</v>
      </c>
      <c r="AC94" s="859"/>
      <c r="AD94" s="863"/>
      <c r="AE94" s="859"/>
      <c r="AF94" s="859"/>
      <c r="AG94" s="864"/>
      <c r="AH94" s="865"/>
      <c r="AI94" s="757">
        <f t="shared" si="16"/>
        <v>0</v>
      </c>
      <c r="AJ94" s="758">
        <f t="shared" si="17"/>
        <v>0</v>
      </c>
    </row>
    <row r="95" spans="1:36" x14ac:dyDescent="0.2">
      <c r="A95" s="843" t="s">
        <v>142</v>
      </c>
      <c r="B95" s="844" t="s">
        <v>267</v>
      </c>
      <c r="C95" s="866" t="s">
        <v>458</v>
      </c>
      <c r="D95" s="845"/>
      <c r="E95" s="846">
        <v>101709</v>
      </c>
      <c r="F95" s="847">
        <v>5</v>
      </c>
      <c r="G95" s="859"/>
      <c r="H95" s="860"/>
      <c r="I95" s="861">
        <v>229983</v>
      </c>
      <c r="J95" s="862">
        <v>229983</v>
      </c>
      <c r="K95" s="859"/>
      <c r="L95" s="863"/>
      <c r="M95" s="859"/>
      <c r="N95" s="859"/>
      <c r="O95" s="752">
        <f t="shared" si="10"/>
        <v>0</v>
      </c>
      <c r="P95" s="862"/>
      <c r="Q95" s="860"/>
      <c r="R95" s="753">
        <f t="shared" si="11"/>
        <v>0</v>
      </c>
      <c r="S95" s="752">
        <f t="shared" si="12"/>
        <v>229983</v>
      </c>
      <c r="T95" s="754">
        <f t="shared" si="13"/>
        <v>229983</v>
      </c>
      <c r="U95" s="859"/>
      <c r="V95" s="863"/>
      <c r="W95" s="859"/>
      <c r="X95" s="859"/>
      <c r="Y95" s="755">
        <f t="shared" si="14"/>
        <v>0</v>
      </c>
      <c r="Z95" s="864"/>
      <c r="AA95" s="863"/>
      <c r="AB95" s="756">
        <f t="shared" si="15"/>
        <v>0</v>
      </c>
      <c r="AC95" s="859"/>
      <c r="AD95" s="863"/>
      <c r="AE95" s="859"/>
      <c r="AF95" s="859"/>
      <c r="AG95" s="864"/>
      <c r="AH95" s="865"/>
      <c r="AI95" s="757">
        <f t="shared" si="16"/>
        <v>229983</v>
      </c>
      <c r="AJ95" s="758">
        <f t="shared" si="17"/>
        <v>229983</v>
      </c>
    </row>
    <row r="96" spans="1:36" x14ac:dyDescent="0.2">
      <c r="A96" s="843" t="s">
        <v>142</v>
      </c>
      <c r="B96" s="844" t="s">
        <v>264</v>
      </c>
      <c r="C96" s="868" t="s">
        <v>502</v>
      </c>
      <c r="D96" s="869"/>
      <c r="E96" s="846">
        <v>101587</v>
      </c>
      <c r="F96" s="847">
        <v>5</v>
      </c>
      <c r="G96" s="859">
        <v>12224664</v>
      </c>
      <c r="H96" s="860">
        <v>12547410</v>
      </c>
      <c r="I96" s="861"/>
      <c r="J96" s="862"/>
      <c r="K96" s="859"/>
      <c r="L96" s="863"/>
      <c r="M96" s="859">
        <v>12500691</v>
      </c>
      <c r="N96" s="859"/>
      <c r="O96" s="752">
        <f t="shared" si="10"/>
        <v>12500691</v>
      </c>
      <c r="P96" s="862">
        <v>14547970</v>
      </c>
      <c r="Q96" s="860"/>
      <c r="R96" s="753">
        <f t="shared" si="11"/>
        <v>14547970</v>
      </c>
      <c r="S96" s="752">
        <f t="shared" si="12"/>
        <v>24725355</v>
      </c>
      <c r="T96" s="754">
        <f t="shared" si="13"/>
        <v>27095380</v>
      </c>
      <c r="U96" s="859"/>
      <c r="V96" s="863"/>
      <c r="W96" s="859"/>
      <c r="X96" s="859"/>
      <c r="Y96" s="755">
        <f t="shared" si="14"/>
        <v>0</v>
      </c>
      <c r="Z96" s="864"/>
      <c r="AA96" s="863"/>
      <c r="AB96" s="756">
        <f t="shared" si="15"/>
        <v>0</v>
      </c>
      <c r="AC96" s="859"/>
      <c r="AD96" s="863"/>
      <c r="AE96" s="859"/>
      <c r="AF96" s="859"/>
      <c r="AG96" s="864"/>
      <c r="AH96" s="865"/>
      <c r="AI96" s="757">
        <f t="shared" si="16"/>
        <v>24725355</v>
      </c>
      <c r="AJ96" s="758">
        <f t="shared" si="17"/>
        <v>27095380</v>
      </c>
    </row>
    <row r="97" spans="1:36" x14ac:dyDescent="0.2">
      <c r="A97" s="843" t="s">
        <v>142</v>
      </c>
      <c r="B97" s="844" t="s">
        <v>266</v>
      </c>
      <c r="C97" s="858" t="s">
        <v>319</v>
      </c>
      <c r="D97" s="845"/>
      <c r="E97" s="846">
        <v>101587</v>
      </c>
      <c r="F97" s="847">
        <v>5</v>
      </c>
      <c r="G97" s="859"/>
      <c r="H97" s="860"/>
      <c r="I97" s="861"/>
      <c r="J97" s="862"/>
      <c r="K97" s="859"/>
      <c r="L97" s="863"/>
      <c r="M97" s="859"/>
      <c r="N97" s="859"/>
      <c r="O97" s="752">
        <f t="shared" si="10"/>
        <v>0</v>
      </c>
      <c r="P97" s="862"/>
      <c r="Q97" s="860"/>
      <c r="R97" s="753">
        <f t="shared" si="11"/>
        <v>0</v>
      </c>
      <c r="S97" s="752">
        <f t="shared" si="12"/>
        <v>0</v>
      </c>
      <c r="T97" s="754">
        <f t="shared" si="13"/>
        <v>0</v>
      </c>
      <c r="U97" s="859"/>
      <c r="V97" s="863"/>
      <c r="W97" s="859"/>
      <c r="X97" s="859"/>
      <c r="Y97" s="755">
        <f t="shared" si="14"/>
        <v>0</v>
      </c>
      <c r="Z97" s="864"/>
      <c r="AA97" s="863"/>
      <c r="AB97" s="756">
        <f t="shared" si="15"/>
        <v>0</v>
      </c>
      <c r="AC97" s="859"/>
      <c r="AD97" s="863"/>
      <c r="AE97" s="859"/>
      <c r="AF97" s="859"/>
      <c r="AG97" s="864"/>
      <c r="AH97" s="865"/>
      <c r="AI97" s="757">
        <f t="shared" si="16"/>
        <v>0</v>
      </c>
      <c r="AJ97" s="758">
        <f t="shared" si="17"/>
        <v>0</v>
      </c>
    </row>
    <row r="98" spans="1:36" x14ac:dyDescent="0.2">
      <c r="A98" s="843" t="s">
        <v>142</v>
      </c>
      <c r="B98" s="844" t="s">
        <v>266</v>
      </c>
      <c r="C98" s="866" t="s">
        <v>503</v>
      </c>
      <c r="D98" s="845"/>
      <c r="E98" s="846">
        <v>101587</v>
      </c>
      <c r="F98" s="847">
        <v>5</v>
      </c>
      <c r="G98" s="859"/>
      <c r="H98" s="860"/>
      <c r="I98" s="861">
        <v>690652</v>
      </c>
      <c r="J98" s="862">
        <v>690652</v>
      </c>
      <c r="K98" s="859"/>
      <c r="L98" s="863"/>
      <c r="M98" s="859"/>
      <c r="N98" s="859"/>
      <c r="O98" s="752">
        <f t="shared" si="10"/>
        <v>0</v>
      </c>
      <c r="P98" s="862"/>
      <c r="Q98" s="860"/>
      <c r="R98" s="753">
        <f t="shared" si="11"/>
        <v>0</v>
      </c>
      <c r="S98" s="752">
        <f t="shared" si="12"/>
        <v>690652</v>
      </c>
      <c r="T98" s="754">
        <f t="shared" si="13"/>
        <v>690652</v>
      </c>
      <c r="U98" s="859"/>
      <c r="V98" s="863"/>
      <c r="W98" s="859"/>
      <c r="X98" s="859"/>
      <c r="Y98" s="755">
        <f t="shared" si="14"/>
        <v>0</v>
      </c>
      <c r="Z98" s="864"/>
      <c r="AA98" s="863"/>
      <c r="AB98" s="756">
        <f t="shared" si="15"/>
        <v>0</v>
      </c>
      <c r="AC98" s="859"/>
      <c r="AD98" s="863"/>
      <c r="AE98" s="859"/>
      <c r="AF98" s="859"/>
      <c r="AG98" s="864"/>
      <c r="AH98" s="865"/>
      <c r="AI98" s="757">
        <f t="shared" si="16"/>
        <v>690652</v>
      </c>
      <c r="AJ98" s="758">
        <f t="shared" si="17"/>
        <v>690652</v>
      </c>
    </row>
    <row r="99" spans="1:36" x14ac:dyDescent="0.2">
      <c r="A99" s="843" t="s">
        <v>142</v>
      </c>
      <c r="B99" s="844" t="s">
        <v>266</v>
      </c>
      <c r="C99" s="866" t="s">
        <v>504</v>
      </c>
      <c r="D99" s="845"/>
      <c r="E99" s="846">
        <v>101587</v>
      </c>
      <c r="F99" s="847">
        <v>5</v>
      </c>
      <c r="G99" s="859"/>
      <c r="H99" s="860"/>
      <c r="I99" s="861">
        <v>188236</v>
      </c>
      <c r="J99" s="862">
        <v>188236</v>
      </c>
      <c r="K99" s="859"/>
      <c r="L99" s="863"/>
      <c r="M99" s="859"/>
      <c r="N99" s="859"/>
      <c r="O99" s="752">
        <f t="shared" si="10"/>
        <v>0</v>
      </c>
      <c r="P99" s="862"/>
      <c r="Q99" s="860"/>
      <c r="R99" s="753">
        <f t="shared" si="11"/>
        <v>0</v>
      </c>
      <c r="S99" s="752">
        <f t="shared" si="12"/>
        <v>188236</v>
      </c>
      <c r="T99" s="754">
        <f t="shared" si="13"/>
        <v>188236</v>
      </c>
      <c r="U99" s="859"/>
      <c r="V99" s="863"/>
      <c r="W99" s="859"/>
      <c r="X99" s="859"/>
      <c r="Y99" s="755">
        <f t="shared" si="14"/>
        <v>0</v>
      </c>
      <c r="Z99" s="864"/>
      <c r="AA99" s="863"/>
      <c r="AB99" s="756">
        <f t="shared" si="15"/>
        <v>0</v>
      </c>
      <c r="AC99" s="859"/>
      <c r="AD99" s="863"/>
      <c r="AE99" s="859"/>
      <c r="AF99" s="859"/>
      <c r="AG99" s="864"/>
      <c r="AH99" s="865"/>
      <c r="AI99" s="757">
        <f t="shared" si="16"/>
        <v>188236</v>
      </c>
      <c r="AJ99" s="758">
        <f t="shared" si="17"/>
        <v>188236</v>
      </c>
    </row>
    <row r="100" spans="1:36" x14ac:dyDescent="0.2">
      <c r="A100" s="843" t="s">
        <v>142</v>
      </c>
      <c r="B100" s="844" t="s">
        <v>266</v>
      </c>
      <c r="C100" s="866" t="s">
        <v>505</v>
      </c>
      <c r="D100" s="845"/>
      <c r="E100" s="846">
        <v>101587</v>
      </c>
      <c r="F100" s="847">
        <v>5</v>
      </c>
      <c r="G100" s="859"/>
      <c r="H100" s="860"/>
      <c r="I100" s="861"/>
      <c r="J100" s="862"/>
      <c r="K100" s="859"/>
      <c r="L100" s="863"/>
      <c r="M100" s="859"/>
      <c r="N100" s="859"/>
      <c r="O100" s="752">
        <f t="shared" si="10"/>
        <v>0</v>
      </c>
      <c r="P100" s="862"/>
      <c r="Q100" s="860"/>
      <c r="R100" s="753">
        <f t="shared" si="11"/>
        <v>0</v>
      </c>
      <c r="S100" s="752">
        <f t="shared" si="12"/>
        <v>0</v>
      </c>
      <c r="T100" s="754">
        <f t="shared" si="13"/>
        <v>0</v>
      </c>
      <c r="U100" s="859"/>
      <c r="V100" s="863"/>
      <c r="W100" s="859"/>
      <c r="X100" s="859"/>
      <c r="Y100" s="755">
        <f t="shared" si="14"/>
        <v>0</v>
      </c>
      <c r="Z100" s="864"/>
      <c r="AA100" s="863"/>
      <c r="AB100" s="756">
        <f t="shared" si="15"/>
        <v>0</v>
      </c>
      <c r="AC100" s="859"/>
      <c r="AD100" s="863"/>
      <c r="AE100" s="859"/>
      <c r="AF100" s="859"/>
      <c r="AG100" s="864"/>
      <c r="AH100" s="865"/>
      <c r="AI100" s="757">
        <f t="shared" si="16"/>
        <v>0</v>
      </c>
      <c r="AJ100" s="758">
        <f t="shared" si="17"/>
        <v>0</v>
      </c>
    </row>
    <row r="101" spans="1:36" x14ac:dyDescent="0.2">
      <c r="A101" s="843" t="s">
        <v>142</v>
      </c>
      <c r="B101" s="844" t="s">
        <v>266</v>
      </c>
      <c r="C101" s="866" t="s">
        <v>506</v>
      </c>
      <c r="D101" s="845"/>
      <c r="E101" s="846">
        <v>101587</v>
      </c>
      <c r="F101" s="847">
        <v>5</v>
      </c>
      <c r="G101" s="859"/>
      <c r="H101" s="860"/>
      <c r="I101" s="861"/>
      <c r="J101" s="862">
        <v>50000</v>
      </c>
      <c r="K101" s="859"/>
      <c r="L101" s="863"/>
      <c r="M101" s="859"/>
      <c r="N101" s="859"/>
      <c r="O101" s="752">
        <f t="shared" si="10"/>
        <v>0</v>
      </c>
      <c r="P101" s="862"/>
      <c r="Q101" s="860"/>
      <c r="R101" s="753">
        <f t="shared" si="11"/>
        <v>0</v>
      </c>
      <c r="S101" s="752">
        <f t="shared" si="12"/>
        <v>0</v>
      </c>
      <c r="T101" s="754">
        <f t="shared" si="13"/>
        <v>50000</v>
      </c>
      <c r="U101" s="859"/>
      <c r="V101" s="863"/>
      <c r="W101" s="859"/>
      <c r="X101" s="859"/>
      <c r="Y101" s="755">
        <f t="shared" si="14"/>
        <v>0</v>
      </c>
      <c r="Z101" s="864"/>
      <c r="AA101" s="863"/>
      <c r="AB101" s="756">
        <f t="shared" si="15"/>
        <v>0</v>
      </c>
      <c r="AC101" s="859"/>
      <c r="AD101" s="863"/>
      <c r="AE101" s="859"/>
      <c r="AF101" s="859"/>
      <c r="AG101" s="864"/>
      <c r="AH101" s="865"/>
      <c r="AI101" s="757">
        <f t="shared" si="16"/>
        <v>0</v>
      </c>
      <c r="AJ101" s="758">
        <f t="shared" si="17"/>
        <v>50000</v>
      </c>
    </row>
    <row r="102" spans="1:36" x14ac:dyDescent="0.2">
      <c r="A102" s="843" t="s">
        <v>142</v>
      </c>
      <c r="B102" s="844" t="s">
        <v>264</v>
      </c>
      <c r="C102" s="868" t="s">
        <v>507</v>
      </c>
      <c r="D102" s="869"/>
      <c r="E102" s="873">
        <v>100812</v>
      </c>
      <c r="F102" s="847">
        <v>6</v>
      </c>
      <c r="G102" s="859">
        <v>11178201</v>
      </c>
      <c r="H102" s="860">
        <v>11264712</v>
      </c>
      <c r="I102" s="861"/>
      <c r="J102" s="862"/>
      <c r="K102" s="859"/>
      <c r="L102" s="863"/>
      <c r="M102" s="867">
        <v>14481984</v>
      </c>
      <c r="N102" s="867">
        <v>2867842</v>
      </c>
      <c r="O102" s="752">
        <f t="shared" si="10"/>
        <v>17349826</v>
      </c>
      <c r="P102" s="862">
        <v>16998815</v>
      </c>
      <c r="Q102" s="860">
        <v>1300000</v>
      </c>
      <c r="R102" s="753">
        <f t="shared" si="11"/>
        <v>18298815</v>
      </c>
      <c r="S102" s="752">
        <f t="shared" si="12"/>
        <v>25660185</v>
      </c>
      <c r="T102" s="754">
        <f t="shared" si="13"/>
        <v>28263527</v>
      </c>
      <c r="U102" s="859"/>
      <c r="V102" s="863"/>
      <c r="W102" s="859"/>
      <c r="X102" s="859"/>
      <c r="Y102" s="755">
        <f t="shared" si="14"/>
        <v>0</v>
      </c>
      <c r="Z102" s="864"/>
      <c r="AA102" s="863"/>
      <c r="AB102" s="756">
        <f t="shared" si="15"/>
        <v>0</v>
      </c>
      <c r="AC102" s="859"/>
      <c r="AD102" s="863"/>
      <c r="AE102" s="859"/>
      <c r="AF102" s="859"/>
      <c r="AG102" s="864"/>
      <c r="AH102" s="865"/>
      <c r="AI102" s="757">
        <f t="shared" si="16"/>
        <v>25660185</v>
      </c>
      <c r="AJ102" s="758">
        <f t="shared" si="17"/>
        <v>28263527</v>
      </c>
    </row>
    <row r="103" spans="1:36" x14ac:dyDescent="0.2">
      <c r="A103" s="843" t="s">
        <v>142</v>
      </c>
      <c r="B103" s="844" t="s">
        <v>267</v>
      </c>
      <c r="C103" s="858" t="s">
        <v>258</v>
      </c>
      <c r="D103" s="845"/>
      <c r="E103" s="873">
        <v>100812</v>
      </c>
      <c r="F103" s="847">
        <v>6</v>
      </c>
      <c r="G103" s="859"/>
      <c r="H103" s="860"/>
      <c r="I103" s="861"/>
      <c r="J103" s="862"/>
      <c r="K103" s="859"/>
      <c r="L103" s="863"/>
      <c r="M103" s="859"/>
      <c r="N103" s="859"/>
      <c r="O103" s="752">
        <f t="shared" si="10"/>
        <v>0</v>
      </c>
      <c r="P103" s="862"/>
      <c r="Q103" s="860"/>
      <c r="R103" s="753">
        <f t="shared" si="11"/>
        <v>0</v>
      </c>
      <c r="S103" s="752">
        <f t="shared" si="12"/>
        <v>0</v>
      </c>
      <c r="T103" s="754">
        <f t="shared" si="13"/>
        <v>0</v>
      </c>
      <c r="U103" s="859"/>
      <c r="V103" s="863"/>
      <c r="W103" s="859"/>
      <c r="X103" s="859"/>
      <c r="Y103" s="755">
        <f t="shared" si="14"/>
        <v>0</v>
      </c>
      <c r="Z103" s="864"/>
      <c r="AA103" s="863"/>
      <c r="AB103" s="756">
        <f t="shared" si="15"/>
        <v>0</v>
      </c>
      <c r="AC103" s="859"/>
      <c r="AD103" s="863"/>
      <c r="AE103" s="859"/>
      <c r="AF103" s="859"/>
      <c r="AG103" s="864"/>
      <c r="AH103" s="865"/>
      <c r="AI103" s="757">
        <f t="shared" si="16"/>
        <v>0</v>
      </c>
      <c r="AJ103" s="758">
        <f t="shared" si="17"/>
        <v>0</v>
      </c>
    </row>
    <row r="104" spans="1:36" x14ac:dyDescent="0.2">
      <c r="A104" s="843" t="s">
        <v>142</v>
      </c>
      <c r="B104" s="844" t="s">
        <v>267</v>
      </c>
      <c r="C104" s="866" t="s">
        <v>458</v>
      </c>
      <c r="D104" s="845"/>
      <c r="E104" s="873">
        <v>100812</v>
      </c>
      <c r="F104" s="847">
        <v>6</v>
      </c>
      <c r="G104" s="859"/>
      <c r="H104" s="860"/>
      <c r="I104" s="861">
        <v>214479</v>
      </c>
      <c r="J104" s="862">
        <v>214479</v>
      </c>
      <c r="K104" s="859"/>
      <c r="L104" s="863"/>
      <c r="M104" s="859"/>
      <c r="N104" s="859"/>
      <c r="O104" s="752">
        <f t="shared" si="10"/>
        <v>0</v>
      </c>
      <c r="P104" s="862"/>
      <c r="Q104" s="860"/>
      <c r="R104" s="753">
        <f t="shared" si="11"/>
        <v>0</v>
      </c>
      <c r="S104" s="752">
        <f t="shared" si="12"/>
        <v>214479</v>
      </c>
      <c r="T104" s="754">
        <f t="shared" si="13"/>
        <v>214479</v>
      </c>
      <c r="U104" s="859"/>
      <c r="V104" s="863"/>
      <c r="W104" s="859"/>
      <c r="X104" s="859"/>
      <c r="Y104" s="755">
        <f t="shared" si="14"/>
        <v>0</v>
      </c>
      <c r="Z104" s="864"/>
      <c r="AA104" s="863"/>
      <c r="AB104" s="756">
        <f t="shared" si="15"/>
        <v>0</v>
      </c>
      <c r="AC104" s="859"/>
      <c r="AD104" s="863"/>
      <c r="AE104" s="859"/>
      <c r="AF104" s="859"/>
      <c r="AG104" s="864"/>
      <c r="AH104" s="865"/>
      <c r="AI104" s="757">
        <f t="shared" si="16"/>
        <v>214479</v>
      </c>
      <c r="AJ104" s="758">
        <f t="shared" si="17"/>
        <v>214479</v>
      </c>
    </row>
    <row r="105" spans="1:36" x14ac:dyDescent="0.2">
      <c r="A105" s="843" t="s">
        <v>142</v>
      </c>
      <c r="B105" s="844" t="s">
        <v>264</v>
      </c>
      <c r="C105" s="870" t="s">
        <v>508</v>
      </c>
      <c r="D105" s="877" t="s">
        <v>1125</v>
      </c>
      <c r="E105" s="846">
        <v>101240</v>
      </c>
      <c r="F105" s="880">
        <v>8</v>
      </c>
      <c r="G105" s="859">
        <v>22256374</v>
      </c>
      <c r="H105" s="860">
        <v>22261228</v>
      </c>
      <c r="I105" s="861"/>
      <c r="J105" s="862"/>
      <c r="K105" s="867">
        <v>84550</v>
      </c>
      <c r="L105" s="863">
        <v>780000</v>
      </c>
      <c r="M105" s="867">
        <v>17582902</v>
      </c>
      <c r="N105" s="867">
        <v>910644</v>
      </c>
      <c r="O105" s="752">
        <f t="shared" si="10"/>
        <v>18493546</v>
      </c>
      <c r="P105" s="862">
        <v>17248503</v>
      </c>
      <c r="Q105" s="860">
        <v>1194497</v>
      </c>
      <c r="R105" s="753">
        <f t="shared" si="11"/>
        <v>18443000</v>
      </c>
      <c r="S105" s="752">
        <f t="shared" si="12"/>
        <v>39923826</v>
      </c>
      <c r="T105" s="754">
        <f t="shared" si="13"/>
        <v>40289731</v>
      </c>
      <c r="U105" s="859"/>
      <c r="V105" s="863"/>
      <c r="W105" s="859"/>
      <c r="X105" s="859"/>
      <c r="Y105" s="755">
        <f t="shared" si="14"/>
        <v>0</v>
      </c>
      <c r="Z105" s="864"/>
      <c r="AA105" s="863"/>
      <c r="AB105" s="756">
        <f t="shared" si="15"/>
        <v>0</v>
      </c>
      <c r="AC105" s="859"/>
      <c r="AD105" s="863"/>
      <c r="AE105" s="859"/>
      <c r="AF105" s="859"/>
      <c r="AG105" s="864"/>
      <c r="AH105" s="865"/>
      <c r="AI105" s="757">
        <f t="shared" si="16"/>
        <v>39923826</v>
      </c>
      <c r="AJ105" s="758">
        <f t="shared" si="17"/>
        <v>40289731</v>
      </c>
    </row>
    <row r="106" spans="1:36" x14ac:dyDescent="0.2">
      <c r="A106" s="843" t="s">
        <v>142</v>
      </c>
      <c r="B106" s="844" t="s">
        <v>272</v>
      </c>
      <c r="C106" s="858" t="s">
        <v>509</v>
      </c>
      <c r="D106" s="845"/>
      <c r="E106" s="846">
        <v>101240</v>
      </c>
      <c r="F106" s="880">
        <v>8</v>
      </c>
      <c r="G106" s="859"/>
      <c r="H106" s="860"/>
      <c r="I106" s="861"/>
      <c r="J106" s="862"/>
      <c r="K106" s="859"/>
      <c r="L106" s="863"/>
      <c r="M106" s="859"/>
      <c r="N106" s="859"/>
      <c r="O106" s="752">
        <f t="shared" si="10"/>
        <v>0</v>
      </c>
      <c r="P106" s="862"/>
      <c r="Q106" s="860"/>
      <c r="R106" s="753">
        <f t="shared" si="11"/>
        <v>0</v>
      </c>
      <c r="S106" s="752">
        <f t="shared" si="12"/>
        <v>0</v>
      </c>
      <c r="T106" s="754">
        <f t="shared" si="13"/>
        <v>0</v>
      </c>
      <c r="U106" s="859"/>
      <c r="V106" s="863"/>
      <c r="W106" s="859"/>
      <c r="X106" s="859"/>
      <c r="Y106" s="755">
        <f t="shared" si="14"/>
        <v>0</v>
      </c>
      <c r="Z106" s="864"/>
      <c r="AA106" s="863"/>
      <c r="AB106" s="756">
        <f t="shared" si="15"/>
        <v>0</v>
      </c>
      <c r="AC106" s="859"/>
      <c r="AD106" s="863"/>
      <c r="AE106" s="859"/>
      <c r="AF106" s="859"/>
      <c r="AG106" s="864"/>
      <c r="AH106" s="865"/>
      <c r="AI106" s="757">
        <f t="shared" si="16"/>
        <v>0</v>
      </c>
      <c r="AJ106" s="758">
        <f t="shared" si="17"/>
        <v>0</v>
      </c>
    </row>
    <row r="107" spans="1:36" x14ac:dyDescent="0.2">
      <c r="A107" s="843" t="s">
        <v>142</v>
      </c>
      <c r="B107" s="844" t="s">
        <v>272</v>
      </c>
      <c r="C107" s="866" t="s">
        <v>510</v>
      </c>
      <c r="D107" s="845"/>
      <c r="E107" s="846">
        <v>101240</v>
      </c>
      <c r="F107" s="880">
        <v>8</v>
      </c>
      <c r="G107" s="859"/>
      <c r="H107" s="860"/>
      <c r="I107" s="861">
        <v>150</v>
      </c>
      <c r="J107" s="1517">
        <v>230307</v>
      </c>
      <c r="K107" s="859"/>
      <c r="L107" s="863"/>
      <c r="M107" s="859"/>
      <c r="N107" s="859"/>
      <c r="O107" s="752">
        <f t="shared" si="10"/>
        <v>0</v>
      </c>
      <c r="P107" s="862"/>
      <c r="Q107" s="860"/>
      <c r="R107" s="753">
        <f t="shared" si="11"/>
        <v>0</v>
      </c>
      <c r="S107" s="752">
        <f t="shared" si="12"/>
        <v>150</v>
      </c>
      <c r="T107" s="754">
        <f t="shared" si="13"/>
        <v>230307</v>
      </c>
      <c r="U107" s="859"/>
      <c r="V107" s="863"/>
      <c r="W107" s="859"/>
      <c r="X107" s="859"/>
      <c r="Y107" s="755">
        <f t="shared" si="14"/>
        <v>0</v>
      </c>
      <c r="Z107" s="864"/>
      <c r="AA107" s="863"/>
      <c r="AB107" s="756">
        <f t="shared" si="15"/>
        <v>0</v>
      </c>
      <c r="AC107" s="859"/>
      <c r="AD107" s="863"/>
      <c r="AE107" s="859"/>
      <c r="AF107" s="859"/>
      <c r="AG107" s="864"/>
      <c r="AH107" s="865"/>
      <c r="AI107" s="757">
        <f t="shared" si="16"/>
        <v>150</v>
      </c>
      <c r="AJ107" s="758">
        <f t="shared" si="17"/>
        <v>230307</v>
      </c>
    </row>
    <row r="108" spans="1:36" x14ac:dyDescent="0.2">
      <c r="A108" s="843" t="s">
        <v>142</v>
      </c>
      <c r="B108" s="844" t="s">
        <v>272</v>
      </c>
      <c r="C108" s="866" t="s">
        <v>511</v>
      </c>
      <c r="D108" s="845"/>
      <c r="E108" s="846">
        <v>101240</v>
      </c>
      <c r="F108" s="880">
        <v>8</v>
      </c>
      <c r="G108" s="859"/>
      <c r="H108" s="860"/>
      <c r="I108" s="861">
        <v>715946</v>
      </c>
      <c r="J108" s="1517">
        <v>690214</v>
      </c>
      <c r="K108" s="859"/>
      <c r="L108" s="863"/>
      <c r="M108" s="859"/>
      <c r="N108" s="859"/>
      <c r="O108" s="752">
        <f t="shared" si="10"/>
        <v>0</v>
      </c>
      <c r="P108" s="862"/>
      <c r="Q108" s="860"/>
      <c r="R108" s="753">
        <f t="shared" si="11"/>
        <v>0</v>
      </c>
      <c r="S108" s="752">
        <f t="shared" si="12"/>
        <v>715946</v>
      </c>
      <c r="T108" s="754">
        <f t="shared" si="13"/>
        <v>690214</v>
      </c>
      <c r="U108" s="859"/>
      <c r="V108" s="863"/>
      <c r="W108" s="859"/>
      <c r="X108" s="859"/>
      <c r="Y108" s="755">
        <f t="shared" si="14"/>
        <v>0</v>
      </c>
      <c r="Z108" s="864"/>
      <c r="AA108" s="863"/>
      <c r="AB108" s="756">
        <f t="shared" si="15"/>
        <v>0</v>
      </c>
      <c r="AC108" s="859"/>
      <c r="AD108" s="863"/>
      <c r="AE108" s="859"/>
      <c r="AF108" s="859"/>
      <c r="AG108" s="864"/>
      <c r="AH108" s="865"/>
      <c r="AI108" s="757">
        <f t="shared" si="16"/>
        <v>715946</v>
      </c>
      <c r="AJ108" s="758">
        <f t="shared" si="17"/>
        <v>690214</v>
      </c>
    </row>
    <row r="109" spans="1:36" x14ac:dyDescent="0.2">
      <c r="A109" s="843" t="s">
        <v>142</v>
      </c>
      <c r="B109" s="844" t="s">
        <v>272</v>
      </c>
      <c r="C109" s="866" t="s">
        <v>512</v>
      </c>
      <c r="D109" s="845"/>
      <c r="E109" s="846">
        <v>101240</v>
      </c>
      <c r="F109" s="880">
        <v>8</v>
      </c>
      <c r="G109" s="859"/>
      <c r="H109" s="860"/>
      <c r="I109" s="876">
        <v>349950</v>
      </c>
      <c r="J109" s="1517">
        <v>197041</v>
      </c>
      <c r="K109" s="859"/>
      <c r="L109" s="863"/>
      <c r="M109" s="859"/>
      <c r="N109" s="859"/>
      <c r="O109" s="752">
        <f t="shared" si="10"/>
        <v>0</v>
      </c>
      <c r="P109" s="862"/>
      <c r="Q109" s="860"/>
      <c r="R109" s="753">
        <f t="shared" si="11"/>
        <v>0</v>
      </c>
      <c r="S109" s="752">
        <f t="shared" si="12"/>
        <v>349950</v>
      </c>
      <c r="T109" s="754">
        <f t="shared" si="13"/>
        <v>197041</v>
      </c>
      <c r="U109" s="859"/>
      <c r="V109" s="863"/>
      <c r="W109" s="859"/>
      <c r="X109" s="859"/>
      <c r="Y109" s="755">
        <f t="shared" si="14"/>
        <v>0</v>
      </c>
      <c r="Z109" s="864"/>
      <c r="AA109" s="863"/>
      <c r="AB109" s="756">
        <f t="shared" si="15"/>
        <v>0</v>
      </c>
      <c r="AC109" s="859"/>
      <c r="AD109" s="863"/>
      <c r="AE109" s="859"/>
      <c r="AF109" s="859"/>
      <c r="AG109" s="864"/>
      <c r="AH109" s="865"/>
      <c r="AI109" s="757">
        <f t="shared" si="16"/>
        <v>349950</v>
      </c>
      <c r="AJ109" s="758">
        <f t="shared" si="17"/>
        <v>197041</v>
      </c>
    </row>
    <row r="110" spans="1:36" x14ac:dyDescent="0.2">
      <c r="A110" s="843" t="s">
        <v>142</v>
      </c>
      <c r="B110" s="844" t="s">
        <v>264</v>
      </c>
      <c r="C110" s="868" t="s">
        <v>513</v>
      </c>
      <c r="D110" s="869"/>
      <c r="E110" s="846">
        <v>101505</v>
      </c>
      <c r="F110" s="847">
        <v>8</v>
      </c>
      <c r="G110" s="859">
        <v>18668724</v>
      </c>
      <c r="H110" s="860">
        <v>19277983</v>
      </c>
      <c r="I110" s="861"/>
      <c r="J110" s="862"/>
      <c r="K110" s="867"/>
      <c r="L110" s="863">
        <v>870000</v>
      </c>
      <c r="M110" s="867">
        <v>21843575</v>
      </c>
      <c r="N110" s="867">
        <v>4688044</v>
      </c>
      <c r="O110" s="752">
        <f t="shared" si="10"/>
        <v>26531619</v>
      </c>
      <c r="P110" s="862">
        <v>23323928</v>
      </c>
      <c r="Q110" s="860">
        <v>4620117</v>
      </c>
      <c r="R110" s="753">
        <f t="shared" si="11"/>
        <v>27944045</v>
      </c>
      <c r="S110" s="752">
        <f t="shared" si="12"/>
        <v>40512299</v>
      </c>
      <c r="T110" s="754">
        <f t="shared" si="13"/>
        <v>43471911</v>
      </c>
      <c r="U110" s="859"/>
      <c r="V110" s="863"/>
      <c r="W110" s="859"/>
      <c r="X110" s="859"/>
      <c r="Y110" s="755">
        <f t="shared" si="14"/>
        <v>0</v>
      </c>
      <c r="Z110" s="864"/>
      <c r="AA110" s="863"/>
      <c r="AB110" s="756">
        <f t="shared" si="15"/>
        <v>0</v>
      </c>
      <c r="AC110" s="859"/>
      <c r="AD110" s="863"/>
      <c r="AE110" s="859"/>
      <c r="AF110" s="859"/>
      <c r="AG110" s="864"/>
      <c r="AH110" s="865"/>
      <c r="AI110" s="757">
        <f t="shared" si="16"/>
        <v>40512299</v>
      </c>
      <c r="AJ110" s="758">
        <f t="shared" si="17"/>
        <v>43471911</v>
      </c>
    </row>
    <row r="111" spans="1:36" x14ac:dyDescent="0.2">
      <c r="A111" s="843" t="s">
        <v>142</v>
      </c>
      <c r="B111" s="844" t="s">
        <v>272</v>
      </c>
      <c r="C111" s="866" t="s">
        <v>510</v>
      </c>
      <c r="D111" s="845"/>
      <c r="E111" s="846">
        <v>101505</v>
      </c>
      <c r="F111" s="847">
        <v>8</v>
      </c>
      <c r="G111" s="859"/>
      <c r="H111" s="860"/>
      <c r="I111" s="861">
        <v>27250</v>
      </c>
      <c r="J111" s="1517">
        <v>27363</v>
      </c>
      <c r="K111" s="859"/>
      <c r="L111" s="863"/>
      <c r="M111" s="859"/>
      <c r="N111" s="859"/>
      <c r="O111" s="752">
        <f t="shared" si="10"/>
        <v>0</v>
      </c>
      <c r="P111" s="862"/>
      <c r="Q111" s="860"/>
      <c r="R111" s="753">
        <f t="shared" si="11"/>
        <v>0</v>
      </c>
      <c r="S111" s="752">
        <f t="shared" si="12"/>
        <v>27250</v>
      </c>
      <c r="T111" s="754">
        <f t="shared" si="13"/>
        <v>27363</v>
      </c>
      <c r="U111" s="859"/>
      <c r="V111" s="863"/>
      <c r="W111" s="859"/>
      <c r="X111" s="859"/>
      <c r="Y111" s="755">
        <f t="shared" si="14"/>
        <v>0</v>
      </c>
      <c r="Z111" s="864"/>
      <c r="AA111" s="863"/>
      <c r="AB111" s="756">
        <f t="shared" si="15"/>
        <v>0</v>
      </c>
      <c r="AC111" s="859"/>
      <c r="AD111" s="863"/>
      <c r="AE111" s="859"/>
      <c r="AF111" s="859"/>
      <c r="AG111" s="864"/>
      <c r="AH111" s="865"/>
      <c r="AI111" s="757">
        <f t="shared" si="16"/>
        <v>27250</v>
      </c>
      <c r="AJ111" s="758">
        <f t="shared" si="17"/>
        <v>27363</v>
      </c>
    </row>
    <row r="112" spans="1:36" x14ac:dyDescent="0.2">
      <c r="A112" s="843" t="s">
        <v>142</v>
      </c>
      <c r="B112" s="844" t="s">
        <v>272</v>
      </c>
      <c r="C112" s="866" t="s">
        <v>511</v>
      </c>
      <c r="D112" s="845"/>
      <c r="E112" s="846">
        <v>101505</v>
      </c>
      <c r="F112" s="847">
        <v>8</v>
      </c>
      <c r="G112" s="859"/>
      <c r="H112" s="860"/>
      <c r="I112" s="861">
        <v>719745</v>
      </c>
      <c r="J112" s="1517">
        <v>701960</v>
      </c>
      <c r="K112" s="859"/>
      <c r="L112" s="863"/>
      <c r="M112" s="859"/>
      <c r="N112" s="859"/>
      <c r="O112" s="752">
        <f t="shared" si="10"/>
        <v>0</v>
      </c>
      <c r="P112" s="862"/>
      <c r="Q112" s="860"/>
      <c r="R112" s="753">
        <f t="shared" si="11"/>
        <v>0</v>
      </c>
      <c r="S112" s="752">
        <f t="shared" si="12"/>
        <v>719745</v>
      </c>
      <c r="T112" s="754">
        <f t="shared" si="13"/>
        <v>701960</v>
      </c>
      <c r="U112" s="859"/>
      <c r="V112" s="863"/>
      <c r="W112" s="859"/>
      <c r="X112" s="859"/>
      <c r="Y112" s="755">
        <f t="shared" si="14"/>
        <v>0</v>
      </c>
      <c r="Z112" s="864"/>
      <c r="AA112" s="863"/>
      <c r="AB112" s="756">
        <f t="shared" si="15"/>
        <v>0</v>
      </c>
      <c r="AC112" s="859"/>
      <c r="AD112" s="863"/>
      <c r="AE112" s="859"/>
      <c r="AF112" s="859"/>
      <c r="AG112" s="864"/>
      <c r="AH112" s="865"/>
      <c r="AI112" s="757">
        <f t="shared" si="16"/>
        <v>719745</v>
      </c>
      <c r="AJ112" s="758">
        <f t="shared" si="17"/>
        <v>701960</v>
      </c>
    </row>
    <row r="113" spans="1:36" x14ac:dyDescent="0.2">
      <c r="A113" s="843" t="s">
        <v>142</v>
      </c>
      <c r="B113" s="844" t="s">
        <v>272</v>
      </c>
      <c r="C113" s="866" t="s">
        <v>512</v>
      </c>
      <c r="D113" s="845"/>
      <c r="E113" s="846">
        <v>101505</v>
      </c>
      <c r="F113" s="847">
        <v>8</v>
      </c>
      <c r="G113" s="859"/>
      <c r="H113" s="860"/>
      <c r="I113" s="861">
        <v>304587</v>
      </c>
      <c r="J113" s="1517">
        <v>227430</v>
      </c>
      <c r="K113" s="859"/>
      <c r="L113" s="863"/>
      <c r="M113" s="859"/>
      <c r="N113" s="859"/>
      <c r="O113" s="752">
        <f t="shared" si="10"/>
        <v>0</v>
      </c>
      <c r="P113" s="862"/>
      <c r="Q113" s="860"/>
      <c r="R113" s="753">
        <f t="shared" si="11"/>
        <v>0</v>
      </c>
      <c r="S113" s="752">
        <f t="shared" si="12"/>
        <v>304587</v>
      </c>
      <c r="T113" s="754">
        <f t="shared" si="13"/>
        <v>227430</v>
      </c>
      <c r="U113" s="859"/>
      <c r="V113" s="863"/>
      <c r="W113" s="859"/>
      <c r="X113" s="859"/>
      <c r="Y113" s="755">
        <f t="shared" si="14"/>
        <v>0</v>
      </c>
      <c r="Z113" s="864"/>
      <c r="AA113" s="863"/>
      <c r="AB113" s="756">
        <f t="shared" si="15"/>
        <v>0</v>
      </c>
      <c r="AC113" s="859"/>
      <c r="AD113" s="863"/>
      <c r="AE113" s="859"/>
      <c r="AF113" s="859"/>
      <c r="AG113" s="864"/>
      <c r="AH113" s="865"/>
      <c r="AI113" s="757">
        <f t="shared" si="16"/>
        <v>304587</v>
      </c>
      <c r="AJ113" s="758">
        <f t="shared" si="17"/>
        <v>227430</v>
      </c>
    </row>
    <row r="114" spans="1:36" x14ac:dyDescent="0.2">
      <c r="A114" s="843" t="s">
        <v>142</v>
      </c>
      <c r="B114" s="844" t="s">
        <v>266</v>
      </c>
      <c r="C114" s="858" t="s">
        <v>319</v>
      </c>
      <c r="D114" s="845"/>
      <c r="E114" s="846">
        <v>101505</v>
      </c>
      <c r="F114" s="847">
        <v>8</v>
      </c>
      <c r="G114" s="859"/>
      <c r="H114" s="860"/>
      <c r="I114" s="861"/>
      <c r="J114" s="862"/>
      <c r="K114" s="859"/>
      <c r="L114" s="863"/>
      <c r="M114" s="859"/>
      <c r="N114" s="859"/>
      <c r="O114" s="752">
        <f t="shared" si="10"/>
        <v>0</v>
      </c>
      <c r="P114" s="862"/>
      <c r="Q114" s="860"/>
      <c r="R114" s="753">
        <f t="shared" si="11"/>
        <v>0</v>
      </c>
      <c r="S114" s="752">
        <f t="shared" si="12"/>
        <v>0</v>
      </c>
      <c r="T114" s="754">
        <f t="shared" si="13"/>
        <v>0</v>
      </c>
      <c r="U114" s="859"/>
      <c r="V114" s="863"/>
      <c r="W114" s="859"/>
      <c r="X114" s="859"/>
      <c r="Y114" s="755">
        <f t="shared" si="14"/>
        <v>0</v>
      </c>
      <c r="Z114" s="864"/>
      <c r="AA114" s="863"/>
      <c r="AB114" s="756">
        <f t="shared" si="15"/>
        <v>0</v>
      </c>
      <c r="AC114" s="859"/>
      <c r="AD114" s="863"/>
      <c r="AE114" s="859"/>
      <c r="AF114" s="859"/>
      <c r="AG114" s="864"/>
      <c r="AH114" s="865"/>
      <c r="AI114" s="757">
        <f t="shared" si="16"/>
        <v>0</v>
      </c>
      <c r="AJ114" s="758">
        <f t="shared" si="17"/>
        <v>0</v>
      </c>
    </row>
    <row r="115" spans="1:36" x14ac:dyDescent="0.2">
      <c r="A115" s="843" t="s">
        <v>142</v>
      </c>
      <c r="B115" s="844" t="s">
        <v>266</v>
      </c>
      <c r="C115" s="866" t="s">
        <v>514</v>
      </c>
      <c r="D115" s="845"/>
      <c r="E115" s="846">
        <v>101505</v>
      </c>
      <c r="F115" s="847">
        <v>8</v>
      </c>
      <c r="G115" s="859"/>
      <c r="H115" s="860" t="s">
        <v>91</v>
      </c>
      <c r="I115" s="861"/>
      <c r="J115" s="862"/>
      <c r="K115" s="859"/>
      <c r="L115" s="863"/>
      <c r="M115" s="859"/>
      <c r="N115" s="859"/>
      <c r="O115" s="752">
        <f t="shared" si="10"/>
        <v>0</v>
      </c>
      <c r="P115" s="862"/>
      <c r="Q115" s="860"/>
      <c r="R115" s="753">
        <f t="shared" si="11"/>
        <v>0</v>
      </c>
      <c r="S115" s="752">
        <f t="shared" si="12"/>
        <v>0</v>
      </c>
      <c r="T115" s="754">
        <f t="shared" si="13"/>
        <v>0</v>
      </c>
      <c r="U115" s="859"/>
      <c r="V115" s="863"/>
      <c r="W115" s="859"/>
      <c r="X115" s="859"/>
      <c r="Y115" s="755">
        <f t="shared" si="14"/>
        <v>0</v>
      </c>
      <c r="Z115" s="864"/>
      <c r="AA115" s="863"/>
      <c r="AB115" s="756">
        <f t="shared" si="15"/>
        <v>0</v>
      </c>
      <c r="AC115" s="859"/>
      <c r="AD115" s="863"/>
      <c r="AE115" s="859"/>
      <c r="AF115" s="859"/>
      <c r="AG115" s="864"/>
      <c r="AH115" s="865"/>
      <c r="AI115" s="757">
        <f t="shared" si="16"/>
        <v>0</v>
      </c>
      <c r="AJ115" s="758">
        <f t="shared" si="17"/>
        <v>0</v>
      </c>
    </row>
    <row r="116" spans="1:36" x14ac:dyDescent="0.2">
      <c r="A116" s="843" t="s">
        <v>142</v>
      </c>
      <c r="B116" s="844" t="s">
        <v>264</v>
      </c>
      <c r="C116" s="868" t="s">
        <v>515</v>
      </c>
      <c r="D116" s="869"/>
      <c r="E116" s="846">
        <v>101514</v>
      </c>
      <c r="F116" s="847">
        <v>8</v>
      </c>
      <c r="G116" s="859">
        <v>21027062</v>
      </c>
      <c r="H116" s="1525">
        <v>22211649</v>
      </c>
      <c r="I116" s="861"/>
      <c r="J116" s="862"/>
      <c r="K116" s="859"/>
      <c r="L116" s="863"/>
      <c r="M116" s="867">
        <v>31978968</v>
      </c>
      <c r="N116" s="867">
        <v>2624242</v>
      </c>
      <c r="O116" s="752">
        <f t="shared" si="10"/>
        <v>34603210</v>
      </c>
      <c r="P116" s="862">
        <v>31712969</v>
      </c>
      <c r="Q116" s="860">
        <v>2773200</v>
      </c>
      <c r="R116" s="753">
        <f t="shared" si="11"/>
        <v>34486169</v>
      </c>
      <c r="S116" s="752">
        <f t="shared" si="12"/>
        <v>53006030</v>
      </c>
      <c r="T116" s="754">
        <f t="shared" si="13"/>
        <v>53924618</v>
      </c>
      <c r="U116" s="859"/>
      <c r="V116" s="863"/>
      <c r="W116" s="859"/>
      <c r="X116" s="859"/>
      <c r="Y116" s="755">
        <f t="shared" si="14"/>
        <v>0</v>
      </c>
      <c r="Z116" s="864"/>
      <c r="AA116" s="863"/>
      <c r="AB116" s="756">
        <f t="shared" si="15"/>
        <v>0</v>
      </c>
      <c r="AC116" s="859"/>
      <c r="AD116" s="863"/>
      <c r="AE116" s="859"/>
      <c r="AF116" s="859"/>
      <c r="AG116" s="864"/>
      <c r="AH116" s="865"/>
      <c r="AI116" s="757">
        <f t="shared" si="16"/>
        <v>53006030</v>
      </c>
      <c r="AJ116" s="758">
        <f t="shared" si="17"/>
        <v>53924618</v>
      </c>
    </row>
    <row r="117" spans="1:36" x14ac:dyDescent="0.2">
      <c r="A117" s="843" t="s">
        <v>142</v>
      </c>
      <c r="B117" s="844" t="s">
        <v>272</v>
      </c>
      <c r="C117" s="858" t="s">
        <v>509</v>
      </c>
      <c r="D117" s="845"/>
      <c r="E117" s="846">
        <v>101514</v>
      </c>
      <c r="F117" s="847">
        <v>8</v>
      </c>
      <c r="G117" s="859"/>
      <c r="H117" s="860"/>
      <c r="I117" s="861"/>
      <c r="J117" s="862"/>
      <c r="K117" s="859"/>
      <c r="L117" s="863"/>
      <c r="M117" s="859"/>
      <c r="N117" s="859"/>
      <c r="O117" s="752">
        <f t="shared" si="10"/>
        <v>0</v>
      </c>
      <c r="P117" s="862"/>
      <c r="Q117" s="860"/>
      <c r="R117" s="753">
        <f t="shared" si="11"/>
        <v>0</v>
      </c>
      <c r="S117" s="752">
        <f t="shared" si="12"/>
        <v>0</v>
      </c>
      <c r="T117" s="754">
        <f t="shared" si="13"/>
        <v>0</v>
      </c>
      <c r="U117" s="859"/>
      <c r="V117" s="863"/>
      <c r="W117" s="859"/>
      <c r="X117" s="859"/>
      <c r="Y117" s="755">
        <f t="shared" si="14"/>
        <v>0</v>
      </c>
      <c r="Z117" s="864"/>
      <c r="AA117" s="863"/>
      <c r="AB117" s="756">
        <f t="shared" si="15"/>
        <v>0</v>
      </c>
      <c r="AC117" s="859"/>
      <c r="AD117" s="863"/>
      <c r="AE117" s="859"/>
      <c r="AF117" s="859"/>
      <c r="AG117" s="864"/>
      <c r="AH117" s="865"/>
      <c r="AI117" s="757">
        <f t="shared" si="16"/>
        <v>0</v>
      </c>
      <c r="AJ117" s="758">
        <f t="shared" si="17"/>
        <v>0</v>
      </c>
    </row>
    <row r="118" spans="1:36" x14ac:dyDescent="0.2">
      <c r="A118" s="843" t="s">
        <v>142</v>
      </c>
      <c r="B118" s="844" t="s">
        <v>272</v>
      </c>
      <c r="C118" s="866" t="s">
        <v>510</v>
      </c>
      <c r="D118" s="845"/>
      <c r="E118" s="846">
        <v>101514</v>
      </c>
      <c r="F118" s="847">
        <v>8</v>
      </c>
      <c r="G118" s="859"/>
      <c r="H118" s="860"/>
      <c r="I118" s="861">
        <v>97900</v>
      </c>
      <c r="J118" s="862"/>
      <c r="K118" s="859"/>
      <c r="L118" s="863"/>
      <c r="M118" s="859"/>
      <c r="N118" s="859"/>
      <c r="O118" s="752">
        <f t="shared" si="10"/>
        <v>0</v>
      </c>
      <c r="P118" s="862"/>
      <c r="Q118" s="860"/>
      <c r="R118" s="753">
        <f t="shared" si="11"/>
        <v>0</v>
      </c>
      <c r="S118" s="752">
        <f t="shared" si="12"/>
        <v>97900</v>
      </c>
      <c r="T118" s="754">
        <f t="shared" si="13"/>
        <v>0</v>
      </c>
      <c r="U118" s="859"/>
      <c r="V118" s="863"/>
      <c r="W118" s="859"/>
      <c r="X118" s="859"/>
      <c r="Y118" s="755">
        <f t="shared" si="14"/>
        <v>0</v>
      </c>
      <c r="Z118" s="864"/>
      <c r="AA118" s="863"/>
      <c r="AB118" s="756">
        <f t="shared" si="15"/>
        <v>0</v>
      </c>
      <c r="AC118" s="859"/>
      <c r="AD118" s="863"/>
      <c r="AE118" s="859"/>
      <c r="AF118" s="859"/>
      <c r="AG118" s="864"/>
      <c r="AH118" s="865"/>
      <c r="AI118" s="757">
        <f t="shared" si="16"/>
        <v>97900</v>
      </c>
      <c r="AJ118" s="758">
        <f t="shared" si="17"/>
        <v>0</v>
      </c>
    </row>
    <row r="119" spans="1:36" x14ac:dyDescent="0.2">
      <c r="A119" s="843" t="s">
        <v>142</v>
      </c>
      <c r="B119" s="844" t="s">
        <v>272</v>
      </c>
      <c r="C119" s="866" t="s">
        <v>511</v>
      </c>
      <c r="D119" s="845"/>
      <c r="E119" s="846">
        <v>101514</v>
      </c>
      <c r="F119" s="847">
        <v>8</v>
      </c>
      <c r="G119" s="859"/>
      <c r="H119" s="860"/>
      <c r="I119" s="861">
        <v>1258377</v>
      </c>
      <c r="J119" s="1517">
        <v>827264</v>
      </c>
      <c r="K119" s="859"/>
      <c r="L119" s="863"/>
      <c r="M119" s="859"/>
      <c r="N119" s="859"/>
      <c r="O119" s="752">
        <f t="shared" si="10"/>
        <v>0</v>
      </c>
      <c r="P119" s="862"/>
      <c r="Q119" s="860"/>
      <c r="R119" s="753">
        <f t="shared" si="11"/>
        <v>0</v>
      </c>
      <c r="S119" s="752">
        <f t="shared" si="12"/>
        <v>1258377</v>
      </c>
      <c r="T119" s="754">
        <f t="shared" si="13"/>
        <v>827264</v>
      </c>
      <c r="U119" s="859"/>
      <c r="V119" s="863"/>
      <c r="W119" s="859"/>
      <c r="X119" s="859"/>
      <c r="Y119" s="755">
        <f t="shared" si="14"/>
        <v>0</v>
      </c>
      <c r="Z119" s="864"/>
      <c r="AA119" s="863"/>
      <c r="AB119" s="756">
        <f t="shared" si="15"/>
        <v>0</v>
      </c>
      <c r="AC119" s="859"/>
      <c r="AD119" s="863"/>
      <c r="AE119" s="859"/>
      <c r="AF119" s="859"/>
      <c r="AG119" s="864"/>
      <c r="AH119" s="865"/>
      <c r="AI119" s="757">
        <f t="shared" si="16"/>
        <v>1258377</v>
      </c>
      <c r="AJ119" s="758">
        <f t="shared" si="17"/>
        <v>827264</v>
      </c>
    </row>
    <row r="120" spans="1:36" x14ac:dyDescent="0.2">
      <c r="A120" s="843" t="s">
        <v>142</v>
      </c>
      <c r="B120" s="844" t="s">
        <v>272</v>
      </c>
      <c r="C120" s="866" t="s">
        <v>512</v>
      </c>
      <c r="D120" s="845"/>
      <c r="E120" s="846">
        <v>101514</v>
      </c>
      <c r="F120" s="847">
        <v>8</v>
      </c>
      <c r="G120" s="859"/>
      <c r="H120" s="860"/>
      <c r="I120" s="876">
        <v>253076</v>
      </c>
      <c r="J120" s="1517">
        <v>192175</v>
      </c>
      <c r="K120" s="859"/>
      <c r="L120" s="863"/>
      <c r="M120" s="859"/>
      <c r="N120" s="859"/>
      <c r="O120" s="752">
        <f t="shared" si="10"/>
        <v>0</v>
      </c>
      <c r="P120" s="862"/>
      <c r="Q120" s="860"/>
      <c r="R120" s="753">
        <f t="shared" si="11"/>
        <v>0</v>
      </c>
      <c r="S120" s="752">
        <f t="shared" si="12"/>
        <v>253076</v>
      </c>
      <c r="T120" s="754">
        <f t="shared" si="13"/>
        <v>192175</v>
      </c>
      <c r="U120" s="859"/>
      <c r="V120" s="863"/>
      <c r="W120" s="859"/>
      <c r="X120" s="859"/>
      <c r="Y120" s="755">
        <f t="shared" si="14"/>
        <v>0</v>
      </c>
      <c r="Z120" s="864"/>
      <c r="AA120" s="863"/>
      <c r="AB120" s="756">
        <f t="shared" si="15"/>
        <v>0</v>
      </c>
      <c r="AC120" s="859"/>
      <c r="AD120" s="863"/>
      <c r="AE120" s="859"/>
      <c r="AF120" s="859"/>
      <c r="AG120" s="864"/>
      <c r="AH120" s="865"/>
      <c r="AI120" s="757">
        <f t="shared" si="16"/>
        <v>253076</v>
      </c>
      <c r="AJ120" s="758">
        <f t="shared" si="17"/>
        <v>192175</v>
      </c>
    </row>
    <row r="121" spans="1:36" x14ac:dyDescent="0.2">
      <c r="A121" s="843" t="s">
        <v>142</v>
      </c>
      <c r="B121" s="844" t="s">
        <v>264</v>
      </c>
      <c r="C121" s="870" t="s">
        <v>516</v>
      </c>
      <c r="D121" s="877" t="s">
        <v>1126</v>
      </c>
      <c r="E121" s="846">
        <v>101295</v>
      </c>
      <c r="F121" s="875">
        <v>8</v>
      </c>
      <c r="G121" s="859">
        <v>15769713</v>
      </c>
      <c r="H121" s="1525">
        <v>18328943</v>
      </c>
      <c r="I121" s="861"/>
      <c r="J121" s="862"/>
      <c r="K121" s="859"/>
      <c r="L121" s="863"/>
      <c r="M121" s="867">
        <v>15762982</v>
      </c>
      <c r="N121" s="867">
        <v>3665371</v>
      </c>
      <c r="O121" s="752">
        <f t="shared" si="10"/>
        <v>19428353</v>
      </c>
      <c r="P121" s="862">
        <v>14774835</v>
      </c>
      <c r="Q121" s="860">
        <v>3657088</v>
      </c>
      <c r="R121" s="753">
        <f t="shared" si="11"/>
        <v>18431923</v>
      </c>
      <c r="S121" s="752">
        <f t="shared" si="12"/>
        <v>31532695</v>
      </c>
      <c r="T121" s="754">
        <f t="shared" si="13"/>
        <v>33103778</v>
      </c>
      <c r="U121" s="859"/>
      <c r="V121" s="863"/>
      <c r="W121" s="859"/>
      <c r="X121" s="859"/>
      <c r="Y121" s="755">
        <f t="shared" si="14"/>
        <v>0</v>
      </c>
      <c r="Z121" s="864"/>
      <c r="AA121" s="863"/>
      <c r="AB121" s="756">
        <f t="shared" si="15"/>
        <v>0</v>
      </c>
      <c r="AC121" s="859"/>
      <c r="AD121" s="863"/>
      <c r="AE121" s="859"/>
      <c r="AF121" s="859"/>
      <c r="AG121" s="864"/>
      <c r="AH121" s="865"/>
      <c r="AI121" s="757">
        <f t="shared" si="16"/>
        <v>31532695</v>
      </c>
      <c r="AJ121" s="758">
        <f t="shared" si="17"/>
        <v>33103778</v>
      </c>
    </row>
    <row r="122" spans="1:36" x14ac:dyDescent="0.2">
      <c r="A122" s="843" t="s">
        <v>142</v>
      </c>
      <c r="B122" s="844" t="s">
        <v>272</v>
      </c>
      <c r="C122" s="858" t="s">
        <v>509</v>
      </c>
      <c r="D122" s="845"/>
      <c r="E122" s="846">
        <v>101295</v>
      </c>
      <c r="F122" s="875">
        <v>8</v>
      </c>
      <c r="G122" s="859"/>
      <c r="H122" s="860"/>
      <c r="I122" s="861"/>
      <c r="J122" s="862"/>
      <c r="K122" s="859"/>
      <c r="L122" s="863"/>
      <c r="M122" s="859"/>
      <c r="N122" s="859"/>
      <c r="O122" s="752">
        <f t="shared" si="10"/>
        <v>0</v>
      </c>
      <c r="P122" s="862"/>
      <c r="Q122" s="860"/>
      <c r="R122" s="753">
        <f t="shared" si="11"/>
        <v>0</v>
      </c>
      <c r="S122" s="752">
        <f t="shared" si="12"/>
        <v>0</v>
      </c>
      <c r="T122" s="754">
        <f t="shared" si="13"/>
        <v>0</v>
      </c>
      <c r="U122" s="859"/>
      <c r="V122" s="863"/>
      <c r="W122" s="859"/>
      <c r="X122" s="859"/>
      <c r="Y122" s="755">
        <f t="shared" si="14"/>
        <v>0</v>
      </c>
      <c r="Z122" s="864"/>
      <c r="AA122" s="863"/>
      <c r="AB122" s="756">
        <f t="shared" si="15"/>
        <v>0</v>
      </c>
      <c r="AC122" s="859"/>
      <c r="AD122" s="863"/>
      <c r="AE122" s="859"/>
      <c r="AF122" s="859"/>
      <c r="AG122" s="864"/>
      <c r="AH122" s="865"/>
      <c r="AI122" s="757">
        <f t="shared" si="16"/>
        <v>0</v>
      </c>
      <c r="AJ122" s="758">
        <f t="shared" si="17"/>
        <v>0</v>
      </c>
    </row>
    <row r="123" spans="1:36" x14ac:dyDescent="0.2">
      <c r="A123" s="843" t="s">
        <v>142</v>
      </c>
      <c r="B123" s="844" t="s">
        <v>272</v>
      </c>
      <c r="C123" s="866" t="s">
        <v>510</v>
      </c>
      <c r="D123" s="845"/>
      <c r="E123" s="846">
        <v>101295</v>
      </c>
      <c r="F123" s="875">
        <v>8</v>
      </c>
      <c r="G123" s="859"/>
      <c r="H123" s="860"/>
      <c r="I123" s="861">
        <v>217757</v>
      </c>
      <c r="J123" s="1517">
        <v>245774</v>
      </c>
      <c r="K123" s="859"/>
      <c r="L123" s="863"/>
      <c r="M123" s="859"/>
      <c r="N123" s="859"/>
      <c r="O123" s="752">
        <f t="shared" si="10"/>
        <v>0</v>
      </c>
      <c r="P123" s="862"/>
      <c r="Q123" s="860"/>
      <c r="R123" s="753">
        <f t="shared" si="11"/>
        <v>0</v>
      </c>
      <c r="S123" s="752">
        <f t="shared" si="12"/>
        <v>217757</v>
      </c>
      <c r="T123" s="754">
        <f t="shared" si="13"/>
        <v>245774</v>
      </c>
      <c r="U123" s="859"/>
      <c r="V123" s="863"/>
      <c r="W123" s="859"/>
      <c r="X123" s="859"/>
      <c r="Y123" s="755">
        <f t="shared" si="14"/>
        <v>0</v>
      </c>
      <c r="Z123" s="864"/>
      <c r="AA123" s="863"/>
      <c r="AB123" s="756">
        <f t="shared" si="15"/>
        <v>0</v>
      </c>
      <c r="AC123" s="859"/>
      <c r="AD123" s="863"/>
      <c r="AE123" s="859"/>
      <c r="AF123" s="859"/>
      <c r="AG123" s="864"/>
      <c r="AH123" s="865"/>
      <c r="AI123" s="757">
        <f t="shared" si="16"/>
        <v>217757</v>
      </c>
      <c r="AJ123" s="758">
        <f t="shared" si="17"/>
        <v>245774</v>
      </c>
    </row>
    <row r="124" spans="1:36" x14ac:dyDescent="0.2">
      <c r="A124" s="843" t="s">
        <v>142</v>
      </c>
      <c r="B124" s="844" t="s">
        <v>272</v>
      </c>
      <c r="C124" s="866" t="s">
        <v>511</v>
      </c>
      <c r="D124" s="845"/>
      <c r="E124" s="846">
        <v>101295</v>
      </c>
      <c r="F124" s="875">
        <v>8</v>
      </c>
      <c r="G124" s="859"/>
      <c r="H124" s="860"/>
      <c r="I124" s="861">
        <v>421444</v>
      </c>
      <c r="J124" s="1517">
        <v>401399</v>
      </c>
      <c r="K124" s="859"/>
      <c r="L124" s="863"/>
      <c r="M124" s="859"/>
      <c r="N124" s="859"/>
      <c r="O124" s="752">
        <f t="shared" si="10"/>
        <v>0</v>
      </c>
      <c r="P124" s="862"/>
      <c r="Q124" s="860"/>
      <c r="R124" s="753">
        <f t="shared" si="11"/>
        <v>0</v>
      </c>
      <c r="S124" s="752">
        <f t="shared" si="12"/>
        <v>421444</v>
      </c>
      <c r="T124" s="754">
        <f t="shared" si="13"/>
        <v>401399</v>
      </c>
      <c r="U124" s="859"/>
      <c r="V124" s="863"/>
      <c r="W124" s="859"/>
      <c r="X124" s="859"/>
      <c r="Y124" s="755">
        <f t="shared" si="14"/>
        <v>0</v>
      </c>
      <c r="Z124" s="864"/>
      <c r="AA124" s="863"/>
      <c r="AB124" s="756">
        <f t="shared" si="15"/>
        <v>0</v>
      </c>
      <c r="AC124" s="859"/>
      <c r="AD124" s="863"/>
      <c r="AE124" s="859"/>
      <c r="AF124" s="859"/>
      <c r="AG124" s="864"/>
      <c r="AH124" s="865"/>
      <c r="AI124" s="757">
        <f t="shared" si="16"/>
        <v>421444</v>
      </c>
      <c r="AJ124" s="758">
        <f t="shared" si="17"/>
        <v>401399</v>
      </c>
    </row>
    <row r="125" spans="1:36" x14ac:dyDescent="0.2">
      <c r="A125" s="843" t="s">
        <v>142</v>
      </c>
      <c r="B125" s="844" t="s">
        <v>272</v>
      </c>
      <c r="C125" s="866" t="s">
        <v>512</v>
      </c>
      <c r="D125" s="845"/>
      <c r="E125" s="846">
        <v>101295</v>
      </c>
      <c r="F125" s="875">
        <v>8</v>
      </c>
      <c r="G125" s="859"/>
      <c r="H125" s="860"/>
      <c r="I125" s="876">
        <v>268637</v>
      </c>
      <c r="J125" s="1517">
        <v>134580</v>
      </c>
      <c r="K125" s="859"/>
      <c r="L125" s="863"/>
      <c r="M125" s="859"/>
      <c r="N125" s="859"/>
      <c r="O125" s="752">
        <f t="shared" si="10"/>
        <v>0</v>
      </c>
      <c r="P125" s="862"/>
      <c r="Q125" s="860"/>
      <c r="R125" s="753">
        <f t="shared" si="11"/>
        <v>0</v>
      </c>
      <c r="S125" s="752">
        <f t="shared" si="12"/>
        <v>268637</v>
      </c>
      <c r="T125" s="754">
        <f t="shared" si="13"/>
        <v>134580</v>
      </c>
      <c r="U125" s="859"/>
      <c r="V125" s="863"/>
      <c r="W125" s="859"/>
      <c r="X125" s="859"/>
      <c r="Y125" s="755">
        <f t="shared" si="14"/>
        <v>0</v>
      </c>
      <c r="Z125" s="864"/>
      <c r="AA125" s="863"/>
      <c r="AB125" s="756">
        <f t="shared" si="15"/>
        <v>0</v>
      </c>
      <c r="AC125" s="859"/>
      <c r="AD125" s="863"/>
      <c r="AE125" s="859"/>
      <c r="AF125" s="859"/>
      <c r="AG125" s="864"/>
      <c r="AH125" s="865"/>
      <c r="AI125" s="757">
        <f t="shared" si="16"/>
        <v>268637</v>
      </c>
      <c r="AJ125" s="758">
        <f t="shared" si="17"/>
        <v>134580</v>
      </c>
    </row>
    <row r="126" spans="1:36" x14ac:dyDescent="0.2">
      <c r="A126" s="843" t="s">
        <v>142</v>
      </c>
      <c r="B126" s="844" t="s">
        <v>264</v>
      </c>
      <c r="C126" s="868" t="s">
        <v>517</v>
      </c>
      <c r="D126" s="869"/>
      <c r="E126" s="846">
        <v>102429</v>
      </c>
      <c r="F126" s="847">
        <v>9</v>
      </c>
      <c r="G126" s="859">
        <v>15406988</v>
      </c>
      <c r="H126" s="860">
        <v>15634641</v>
      </c>
      <c r="I126" s="861"/>
      <c r="J126" s="862"/>
      <c r="K126" s="859"/>
      <c r="L126" s="863"/>
      <c r="M126" s="867">
        <v>10637111</v>
      </c>
      <c r="N126" s="867">
        <v>1608101</v>
      </c>
      <c r="O126" s="752">
        <f t="shared" si="10"/>
        <v>12245212</v>
      </c>
      <c r="P126" s="862">
        <v>11184906</v>
      </c>
      <c r="Q126" s="860">
        <v>1628103</v>
      </c>
      <c r="R126" s="753">
        <f t="shared" si="11"/>
        <v>12813009</v>
      </c>
      <c r="S126" s="752">
        <f t="shared" si="12"/>
        <v>26044099</v>
      </c>
      <c r="T126" s="754">
        <f t="shared" si="13"/>
        <v>26819547</v>
      </c>
      <c r="U126" s="859"/>
      <c r="V126" s="863"/>
      <c r="W126" s="859"/>
      <c r="X126" s="859"/>
      <c r="Y126" s="755">
        <f t="shared" si="14"/>
        <v>0</v>
      </c>
      <c r="Z126" s="864"/>
      <c r="AA126" s="863"/>
      <c r="AB126" s="756">
        <f t="shared" si="15"/>
        <v>0</v>
      </c>
      <c r="AC126" s="859"/>
      <c r="AD126" s="863"/>
      <c r="AE126" s="859"/>
      <c r="AF126" s="859"/>
      <c r="AG126" s="864"/>
      <c r="AH126" s="865"/>
      <c r="AI126" s="757">
        <f t="shared" si="16"/>
        <v>26044099</v>
      </c>
      <c r="AJ126" s="758">
        <f t="shared" si="17"/>
        <v>26819547</v>
      </c>
    </row>
    <row r="127" spans="1:36" x14ac:dyDescent="0.2">
      <c r="A127" s="843" t="s">
        <v>142</v>
      </c>
      <c r="B127" s="844" t="s">
        <v>272</v>
      </c>
      <c r="C127" s="858" t="s">
        <v>509</v>
      </c>
      <c r="D127" s="845"/>
      <c r="E127" s="846">
        <v>102429</v>
      </c>
      <c r="F127" s="847">
        <v>9</v>
      </c>
      <c r="G127" s="859"/>
      <c r="H127" s="860"/>
      <c r="I127" s="861"/>
      <c r="J127" s="862"/>
      <c r="K127" s="859"/>
      <c r="L127" s="863"/>
      <c r="M127" s="859"/>
      <c r="N127" s="859"/>
      <c r="O127" s="752">
        <f t="shared" si="10"/>
        <v>0</v>
      </c>
      <c r="P127" s="862"/>
      <c r="Q127" s="860"/>
      <c r="R127" s="753">
        <f t="shared" si="11"/>
        <v>0</v>
      </c>
      <c r="S127" s="752">
        <f t="shared" si="12"/>
        <v>0</v>
      </c>
      <c r="T127" s="754">
        <f t="shared" si="13"/>
        <v>0</v>
      </c>
      <c r="U127" s="859"/>
      <c r="V127" s="863"/>
      <c r="W127" s="859"/>
      <c r="X127" s="859"/>
      <c r="Y127" s="755">
        <f t="shared" si="14"/>
        <v>0</v>
      </c>
      <c r="Z127" s="864"/>
      <c r="AA127" s="863"/>
      <c r="AB127" s="756">
        <f t="shared" si="15"/>
        <v>0</v>
      </c>
      <c r="AC127" s="859"/>
      <c r="AD127" s="863"/>
      <c r="AE127" s="859"/>
      <c r="AF127" s="859"/>
      <c r="AG127" s="864"/>
      <c r="AH127" s="865"/>
      <c r="AI127" s="757">
        <f t="shared" si="16"/>
        <v>0</v>
      </c>
      <c r="AJ127" s="758">
        <f t="shared" si="17"/>
        <v>0</v>
      </c>
    </row>
    <row r="128" spans="1:36" x14ac:dyDescent="0.2">
      <c r="A128" s="843" t="s">
        <v>142</v>
      </c>
      <c r="B128" s="844" t="s">
        <v>272</v>
      </c>
      <c r="C128" s="866" t="s">
        <v>510</v>
      </c>
      <c r="D128" s="845"/>
      <c r="E128" s="846">
        <v>102429</v>
      </c>
      <c r="F128" s="847">
        <v>9</v>
      </c>
      <c r="G128" s="859"/>
      <c r="H128" s="860"/>
      <c r="I128" s="861">
        <v>391046</v>
      </c>
      <c r="J128" s="1517">
        <v>194848</v>
      </c>
      <c r="K128" s="859"/>
      <c r="L128" s="863"/>
      <c r="M128" s="859"/>
      <c r="N128" s="859"/>
      <c r="O128" s="752">
        <f t="shared" si="10"/>
        <v>0</v>
      </c>
      <c r="P128" s="862"/>
      <c r="Q128" s="860"/>
      <c r="R128" s="753">
        <f t="shared" si="11"/>
        <v>0</v>
      </c>
      <c r="S128" s="752">
        <f t="shared" si="12"/>
        <v>391046</v>
      </c>
      <c r="T128" s="754">
        <f t="shared" si="13"/>
        <v>194848</v>
      </c>
      <c r="U128" s="859"/>
      <c r="V128" s="863"/>
      <c r="W128" s="859"/>
      <c r="X128" s="859"/>
      <c r="Y128" s="755">
        <f t="shared" si="14"/>
        <v>0</v>
      </c>
      <c r="Z128" s="864"/>
      <c r="AA128" s="863"/>
      <c r="AB128" s="756">
        <f t="shared" si="15"/>
        <v>0</v>
      </c>
      <c r="AC128" s="859"/>
      <c r="AD128" s="863"/>
      <c r="AE128" s="859"/>
      <c r="AF128" s="859"/>
      <c r="AG128" s="864"/>
      <c r="AH128" s="865"/>
      <c r="AI128" s="757">
        <f t="shared" si="16"/>
        <v>391046</v>
      </c>
      <c r="AJ128" s="758">
        <f t="shared" si="17"/>
        <v>194848</v>
      </c>
    </row>
    <row r="129" spans="1:36" x14ac:dyDescent="0.2">
      <c r="A129" s="843" t="s">
        <v>142</v>
      </c>
      <c r="B129" s="844" t="s">
        <v>272</v>
      </c>
      <c r="C129" s="866" t="s">
        <v>511</v>
      </c>
      <c r="D129" s="845"/>
      <c r="E129" s="846">
        <v>102429</v>
      </c>
      <c r="F129" s="847">
        <v>9</v>
      </c>
      <c r="G129" s="859"/>
      <c r="H129" s="860"/>
      <c r="I129" s="861">
        <v>520159</v>
      </c>
      <c r="J129" s="1517">
        <v>439068</v>
      </c>
      <c r="K129" s="859"/>
      <c r="L129" s="863"/>
      <c r="M129" s="859"/>
      <c r="N129" s="859"/>
      <c r="O129" s="752">
        <f t="shared" si="10"/>
        <v>0</v>
      </c>
      <c r="P129" s="862"/>
      <c r="Q129" s="860"/>
      <c r="R129" s="753">
        <f t="shared" si="11"/>
        <v>0</v>
      </c>
      <c r="S129" s="752">
        <f t="shared" si="12"/>
        <v>520159</v>
      </c>
      <c r="T129" s="754">
        <f t="shared" si="13"/>
        <v>439068</v>
      </c>
      <c r="U129" s="859"/>
      <c r="V129" s="863"/>
      <c r="W129" s="859"/>
      <c r="X129" s="859"/>
      <c r="Y129" s="755">
        <f t="shared" si="14"/>
        <v>0</v>
      </c>
      <c r="Z129" s="864"/>
      <c r="AA129" s="863"/>
      <c r="AB129" s="756">
        <f t="shared" si="15"/>
        <v>0</v>
      </c>
      <c r="AC129" s="859"/>
      <c r="AD129" s="863"/>
      <c r="AE129" s="859"/>
      <c r="AF129" s="859"/>
      <c r="AG129" s="864"/>
      <c r="AH129" s="865"/>
      <c r="AI129" s="757">
        <f t="shared" si="16"/>
        <v>520159</v>
      </c>
      <c r="AJ129" s="758">
        <f t="shared" si="17"/>
        <v>439068</v>
      </c>
    </row>
    <row r="130" spans="1:36" x14ac:dyDescent="0.2">
      <c r="A130" s="843" t="s">
        <v>142</v>
      </c>
      <c r="B130" s="844" t="s">
        <v>272</v>
      </c>
      <c r="C130" s="866" t="s">
        <v>512</v>
      </c>
      <c r="D130" s="845"/>
      <c r="E130" s="846">
        <v>102429</v>
      </c>
      <c r="F130" s="847">
        <v>9</v>
      </c>
      <c r="G130" s="859"/>
      <c r="H130" s="860"/>
      <c r="I130" s="861">
        <v>128196</v>
      </c>
      <c r="J130" s="1517">
        <v>80653</v>
      </c>
      <c r="K130" s="859"/>
      <c r="L130" s="863"/>
      <c r="M130" s="859"/>
      <c r="N130" s="859"/>
      <c r="O130" s="752">
        <f t="shared" si="10"/>
        <v>0</v>
      </c>
      <c r="P130" s="862"/>
      <c r="Q130" s="860"/>
      <c r="R130" s="753">
        <f t="shared" si="11"/>
        <v>0</v>
      </c>
      <c r="S130" s="752">
        <f t="shared" si="12"/>
        <v>128196</v>
      </c>
      <c r="T130" s="754">
        <f t="shared" si="13"/>
        <v>80653</v>
      </c>
      <c r="U130" s="859"/>
      <c r="V130" s="863"/>
      <c r="W130" s="859"/>
      <c r="X130" s="859"/>
      <c r="Y130" s="755">
        <f t="shared" si="14"/>
        <v>0</v>
      </c>
      <c r="Z130" s="864"/>
      <c r="AA130" s="863"/>
      <c r="AB130" s="756">
        <f t="shared" si="15"/>
        <v>0</v>
      </c>
      <c r="AC130" s="859"/>
      <c r="AD130" s="863"/>
      <c r="AE130" s="859"/>
      <c r="AF130" s="859"/>
      <c r="AG130" s="864"/>
      <c r="AH130" s="865"/>
      <c r="AI130" s="757">
        <f t="shared" si="16"/>
        <v>128196</v>
      </c>
      <c r="AJ130" s="758">
        <f t="shared" si="17"/>
        <v>80653</v>
      </c>
    </row>
    <row r="131" spans="1:36" x14ac:dyDescent="0.2">
      <c r="A131" s="843" t="s">
        <v>142</v>
      </c>
      <c r="B131" s="844" t="s">
        <v>264</v>
      </c>
      <c r="C131" s="868" t="s">
        <v>518</v>
      </c>
      <c r="D131" s="869"/>
      <c r="E131" s="846">
        <v>102030</v>
      </c>
      <c r="F131" s="847">
        <v>9</v>
      </c>
      <c r="G131" s="859">
        <v>13787792</v>
      </c>
      <c r="H131" s="860">
        <v>13812655</v>
      </c>
      <c r="I131" s="861"/>
      <c r="J131" s="862"/>
      <c r="K131" s="867">
        <v>36550</v>
      </c>
      <c r="L131" s="863">
        <v>35000</v>
      </c>
      <c r="M131" s="867">
        <v>11931916</v>
      </c>
      <c r="N131" s="859">
        <v>593973</v>
      </c>
      <c r="O131" s="752">
        <f t="shared" si="10"/>
        <v>12525889</v>
      </c>
      <c r="P131" s="862">
        <v>11954253</v>
      </c>
      <c r="Q131" s="860">
        <v>596763</v>
      </c>
      <c r="R131" s="753">
        <f t="shared" si="11"/>
        <v>12551016</v>
      </c>
      <c r="S131" s="752">
        <f t="shared" si="12"/>
        <v>25756258</v>
      </c>
      <c r="T131" s="754">
        <f t="shared" si="13"/>
        <v>25801908</v>
      </c>
      <c r="U131" s="859"/>
      <c r="V131" s="863"/>
      <c r="W131" s="859"/>
      <c r="X131" s="859"/>
      <c r="Y131" s="755">
        <f t="shared" si="14"/>
        <v>0</v>
      </c>
      <c r="Z131" s="864"/>
      <c r="AA131" s="863"/>
      <c r="AB131" s="756">
        <f t="shared" si="15"/>
        <v>0</v>
      </c>
      <c r="AC131" s="859"/>
      <c r="AD131" s="863"/>
      <c r="AE131" s="859"/>
      <c r="AF131" s="859"/>
      <c r="AG131" s="864"/>
      <c r="AH131" s="865"/>
      <c r="AI131" s="757">
        <f t="shared" si="16"/>
        <v>25756258</v>
      </c>
      <c r="AJ131" s="758">
        <f t="shared" si="17"/>
        <v>25801908</v>
      </c>
    </row>
    <row r="132" spans="1:36" x14ac:dyDescent="0.2">
      <c r="A132" s="843" t="s">
        <v>142</v>
      </c>
      <c r="B132" s="844" t="s">
        <v>272</v>
      </c>
      <c r="C132" s="858" t="s">
        <v>509</v>
      </c>
      <c r="D132" s="845"/>
      <c r="E132" s="846">
        <v>102030</v>
      </c>
      <c r="F132" s="847">
        <v>9</v>
      </c>
      <c r="G132" s="859"/>
      <c r="H132" s="860"/>
      <c r="I132" s="861"/>
      <c r="J132" s="862"/>
      <c r="K132" s="859"/>
      <c r="L132" s="863"/>
      <c r="M132" s="859"/>
      <c r="N132" s="859"/>
      <c r="O132" s="752">
        <f t="shared" si="10"/>
        <v>0</v>
      </c>
      <c r="P132" s="862"/>
      <c r="Q132" s="860"/>
      <c r="R132" s="753">
        <f t="shared" si="11"/>
        <v>0</v>
      </c>
      <c r="S132" s="752">
        <f t="shared" si="12"/>
        <v>0</v>
      </c>
      <c r="T132" s="754">
        <f t="shared" si="13"/>
        <v>0</v>
      </c>
      <c r="U132" s="859"/>
      <c r="V132" s="863"/>
      <c r="W132" s="859"/>
      <c r="X132" s="859"/>
      <c r="Y132" s="755">
        <f t="shared" si="14"/>
        <v>0</v>
      </c>
      <c r="Z132" s="864"/>
      <c r="AA132" s="863"/>
      <c r="AB132" s="756">
        <f t="shared" si="15"/>
        <v>0</v>
      </c>
      <c r="AC132" s="859"/>
      <c r="AD132" s="863"/>
      <c r="AE132" s="859"/>
      <c r="AF132" s="859"/>
      <c r="AG132" s="864"/>
      <c r="AH132" s="865"/>
      <c r="AI132" s="757">
        <f t="shared" si="16"/>
        <v>0</v>
      </c>
      <c r="AJ132" s="758">
        <f t="shared" si="17"/>
        <v>0</v>
      </c>
    </row>
    <row r="133" spans="1:36" x14ac:dyDescent="0.2">
      <c r="A133" s="843" t="s">
        <v>142</v>
      </c>
      <c r="B133" s="844" t="s">
        <v>272</v>
      </c>
      <c r="C133" s="866" t="s">
        <v>510</v>
      </c>
      <c r="D133" s="845"/>
      <c r="E133" s="846">
        <v>102030</v>
      </c>
      <c r="F133" s="847">
        <v>9</v>
      </c>
      <c r="G133" s="859"/>
      <c r="H133" s="860"/>
      <c r="I133" s="861">
        <v>227693</v>
      </c>
      <c r="J133" s="1517">
        <v>189516</v>
      </c>
      <c r="K133" s="859"/>
      <c r="L133" s="863"/>
      <c r="M133" s="859"/>
      <c r="N133" s="859"/>
      <c r="O133" s="752">
        <f t="shared" si="10"/>
        <v>0</v>
      </c>
      <c r="P133" s="862"/>
      <c r="Q133" s="860"/>
      <c r="R133" s="753">
        <f t="shared" si="11"/>
        <v>0</v>
      </c>
      <c r="S133" s="752">
        <f t="shared" si="12"/>
        <v>227693</v>
      </c>
      <c r="T133" s="754">
        <f t="shared" si="13"/>
        <v>189516</v>
      </c>
      <c r="U133" s="859"/>
      <c r="V133" s="863"/>
      <c r="W133" s="859"/>
      <c r="X133" s="859"/>
      <c r="Y133" s="755">
        <f t="shared" si="14"/>
        <v>0</v>
      </c>
      <c r="Z133" s="864"/>
      <c r="AA133" s="863"/>
      <c r="AB133" s="756">
        <f t="shared" si="15"/>
        <v>0</v>
      </c>
      <c r="AC133" s="859"/>
      <c r="AD133" s="863"/>
      <c r="AE133" s="859"/>
      <c r="AF133" s="859"/>
      <c r="AG133" s="864"/>
      <c r="AH133" s="865"/>
      <c r="AI133" s="757">
        <f t="shared" si="16"/>
        <v>227693</v>
      </c>
      <c r="AJ133" s="758">
        <f t="shared" si="17"/>
        <v>189516</v>
      </c>
    </row>
    <row r="134" spans="1:36" x14ac:dyDescent="0.2">
      <c r="A134" s="843" t="s">
        <v>142</v>
      </c>
      <c r="B134" s="844" t="s">
        <v>272</v>
      </c>
      <c r="C134" s="866" t="s">
        <v>511</v>
      </c>
      <c r="D134" s="845"/>
      <c r="E134" s="846">
        <v>102030</v>
      </c>
      <c r="F134" s="847">
        <v>9</v>
      </c>
      <c r="G134" s="859"/>
      <c r="H134" s="860"/>
      <c r="I134" s="861">
        <v>493423</v>
      </c>
      <c r="J134" s="1517">
        <v>470302</v>
      </c>
      <c r="K134" s="859"/>
      <c r="L134" s="863"/>
      <c r="M134" s="859"/>
      <c r="N134" s="859"/>
      <c r="O134" s="752">
        <f t="shared" si="10"/>
        <v>0</v>
      </c>
      <c r="P134" s="862"/>
      <c r="Q134" s="860"/>
      <c r="R134" s="753">
        <f t="shared" si="11"/>
        <v>0</v>
      </c>
      <c r="S134" s="752">
        <f t="shared" si="12"/>
        <v>493423</v>
      </c>
      <c r="T134" s="754">
        <f t="shared" si="13"/>
        <v>470302</v>
      </c>
      <c r="U134" s="859"/>
      <c r="V134" s="863"/>
      <c r="W134" s="859"/>
      <c r="X134" s="859"/>
      <c r="Y134" s="755">
        <f t="shared" si="14"/>
        <v>0</v>
      </c>
      <c r="Z134" s="864"/>
      <c r="AA134" s="863"/>
      <c r="AB134" s="756">
        <f t="shared" si="15"/>
        <v>0</v>
      </c>
      <c r="AC134" s="859"/>
      <c r="AD134" s="863"/>
      <c r="AE134" s="859"/>
      <c r="AF134" s="859"/>
      <c r="AG134" s="864"/>
      <c r="AH134" s="865"/>
      <c r="AI134" s="757">
        <f t="shared" si="16"/>
        <v>493423</v>
      </c>
      <c r="AJ134" s="758">
        <f t="shared" si="17"/>
        <v>470302</v>
      </c>
    </row>
    <row r="135" spans="1:36" x14ac:dyDescent="0.2">
      <c r="A135" s="843" t="s">
        <v>142</v>
      </c>
      <c r="B135" s="844" t="s">
        <v>272</v>
      </c>
      <c r="C135" s="866" t="s">
        <v>512</v>
      </c>
      <c r="D135" s="845"/>
      <c r="E135" s="846">
        <v>102030</v>
      </c>
      <c r="F135" s="847">
        <v>9</v>
      </c>
      <c r="G135" s="859"/>
      <c r="H135" s="860"/>
      <c r="I135" s="861"/>
      <c r="J135" s="1517">
        <v>9673</v>
      </c>
      <c r="K135" s="859"/>
      <c r="L135" s="863"/>
      <c r="M135" s="859"/>
      <c r="N135" s="859"/>
      <c r="O135" s="752">
        <f t="shared" si="10"/>
        <v>0</v>
      </c>
      <c r="P135" s="862"/>
      <c r="Q135" s="860"/>
      <c r="R135" s="753">
        <f t="shared" si="11"/>
        <v>0</v>
      </c>
      <c r="S135" s="752">
        <f t="shared" si="12"/>
        <v>0</v>
      </c>
      <c r="T135" s="754">
        <f t="shared" si="13"/>
        <v>9673</v>
      </c>
      <c r="U135" s="859"/>
      <c r="V135" s="863"/>
      <c r="W135" s="859"/>
      <c r="X135" s="859"/>
      <c r="Y135" s="755">
        <f t="shared" si="14"/>
        <v>0</v>
      </c>
      <c r="Z135" s="864"/>
      <c r="AA135" s="863"/>
      <c r="AB135" s="756">
        <f t="shared" si="15"/>
        <v>0</v>
      </c>
      <c r="AC135" s="859"/>
      <c r="AD135" s="863"/>
      <c r="AE135" s="859"/>
      <c r="AF135" s="859"/>
      <c r="AG135" s="864"/>
      <c r="AH135" s="865"/>
      <c r="AI135" s="757">
        <f t="shared" si="16"/>
        <v>0</v>
      </c>
      <c r="AJ135" s="758">
        <f t="shared" si="17"/>
        <v>9673</v>
      </c>
    </row>
    <row r="136" spans="1:36" x14ac:dyDescent="0.2">
      <c r="A136" s="843" t="s">
        <v>142</v>
      </c>
      <c r="B136" s="844" t="s">
        <v>264</v>
      </c>
      <c r="C136" s="870" t="s">
        <v>519</v>
      </c>
      <c r="D136" s="877" t="s">
        <v>1127</v>
      </c>
      <c r="E136" s="846">
        <v>100760</v>
      </c>
      <c r="F136" s="880">
        <v>9</v>
      </c>
      <c r="G136" s="859">
        <v>7916684</v>
      </c>
      <c r="H136" s="860">
        <v>8165944</v>
      </c>
      <c r="I136" s="861"/>
      <c r="J136" s="862"/>
      <c r="K136" s="859"/>
      <c r="L136" s="863"/>
      <c r="M136" s="867">
        <v>6462855</v>
      </c>
      <c r="N136" s="867">
        <v>310440</v>
      </c>
      <c r="O136" s="752">
        <f t="shared" si="10"/>
        <v>6773295</v>
      </c>
      <c r="P136" s="862">
        <v>7340142</v>
      </c>
      <c r="Q136" s="860">
        <v>694832</v>
      </c>
      <c r="R136" s="753">
        <f t="shared" si="11"/>
        <v>8034974</v>
      </c>
      <c r="S136" s="752">
        <f t="shared" si="12"/>
        <v>14379539</v>
      </c>
      <c r="T136" s="754">
        <f t="shared" si="13"/>
        <v>15506086</v>
      </c>
      <c r="U136" s="859"/>
      <c r="V136" s="863"/>
      <c r="W136" s="859"/>
      <c r="X136" s="859"/>
      <c r="Y136" s="755">
        <f t="shared" si="14"/>
        <v>0</v>
      </c>
      <c r="Z136" s="864"/>
      <c r="AA136" s="863"/>
      <c r="AB136" s="756">
        <f t="shared" si="15"/>
        <v>0</v>
      </c>
      <c r="AC136" s="859"/>
      <c r="AD136" s="863"/>
      <c r="AE136" s="859"/>
      <c r="AF136" s="859"/>
      <c r="AG136" s="864"/>
      <c r="AH136" s="865"/>
      <c r="AI136" s="757">
        <f t="shared" si="16"/>
        <v>14379539</v>
      </c>
      <c r="AJ136" s="758">
        <f t="shared" si="17"/>
        <v>15506086</v>
      </c>
    </row>
    <row r="137" spans="1:36" x14ac:dyDescent="0.2">
      <c r="A137" s="843" t="s">
        <v>142</v>
      </c>
      <c r="B137" s="844" t="s">
        <v>272</v>
      </c>
      <c r="C137" s="858" t="s">
        <v>509</v>
      </c>
      <c r="D137" s="845"/>
      <c r="E137" s="846">
        <v>100760</v>
      </c>
      <c r="F137" s="880">
        <v>9</v>
      </c>
      <c r="G137" s="859"/>
      <c r="H137" s="860"/>
      <c r="I137" s="861"/>
      <c r="J137" s="862"/>
      <c r="K137" s="859"/>
      <c r="L137" s="863"/>
      <c r="M137" s="859"/>
      <c r="N137" s="859"/>
      <c r="O137" s="752">
        <f t="shared" si="10"/>
        <v>0</v>
      </c>
      <c r="P137" s="862"/>
      <c r="Q137" s="860"/>
      <c r="R137" s="753">
        <f t="shared" si="11"/>
        <v>0</v>
      </c>
      <c r="S137" s="752">
        <f t="shared" si="12"/>
        <v>0</v>
      </c>
      <c r="T137" s="754">
        <f t="shared" si="13"/>
        <v>0</v>
      </c>
      <c r="U137" s="859"/>
      <c r="V137" s="863"/>
      <c r="W137" s="859"/>
      <c r="X137" s="859"/>
      <c r="Y137" s="755">
        <f t="shared" si="14"/>
        <v>0</v>
      </c>
      <c r="Z137" s="864"/>
      <c r="AA137" s="863"/>
      <c r="AB137" s="756">
        <f t="shared" si="15"/>
        <v>0</v>
      </c>
      <c r="AC137" s="859"/>
      <c r="AD137" s="863"/>
      <c r="AE137" s="859"/>
      <c r="AF137" s="859"/>
      <c r="AG137" s="864"/>
      <c r="AH137" s="865"/>
      <c r="AI137" s="757">
        <f t="shared" si="16"/>
        <v>0</v>
      </c>
      <c r="AJ137" s="758">
        <f t="shared" si="17"/>
        <v>0</v>
      </c>
    </row>
    <row r="138" spans="1:36" x14ac:dyDescent="0.2">
      <c r="A138" s="843" t="s">
        <v>142</v>
      </c>
      <c r="B138" s="844" t="s">
        <v>272</v>
      </c>
      <c r="C138" s="866" t="s">
        <v>510</v>
      </c>
      <c r="D138" s="845"/>
      <c r="E138" s="846">
        <v>100760</v>
      </c>
      <c r="F138" s="880">
        <v>9</v>
      </c>
      <c r="G138" s="859"/>
      <c r="H138" s="860"/>
      <c r="I138" s="861">
        <v>67244</v>
      </c>
      <c r="J138" s="1517">
        <v>140144</v>
      </c>
      <c r="K138" s="859"/>
      <c r="L138" s="863"/>
      <c r="M138" s="859"/>
      <c r="N138" s="859"/>
      <c r="O138" s="752">
        <f t="shared" ref="O138:O201" si="18">SUM(M138:N138)</f>
        <v>0</v>
      </c>
      <c r="P138" s="862"/>
      <c r="Q138" s="860"/>
      <c r="R138" s="753">
        <f t="shared" ref="R138:R201" si="19">SUM(P138:Q138)</f>
        <v>0</v>
      </c>
      <c r="S138" s="752">
        <f t="shared" ref="S138:S201" si="20">SUM(G138,I138,K138,M138)</f>
        <v>67244</v>
      </c>
      <c r="T138" s="754">
        <f t="shared" ref="T138:T201" si="21">SUM(H138,J138,L138,P138)</f>
        <v>140144</v>
      </c>
      <c r="U138" s="859"/>
      <c r="V138" s="863"/>
      <c r="W138" s="859"/>
      <c r="X138" s="859"/>
      <c r="Y138" s="755">
        <f t="shared" ref="Y138:Y201" si="22">SUM(W138:X138)</f>
        <v>0</v>
      </c>
      <c r="Z138" s="864"/>
      <c r="AA138" s="863"/>
      <c r="AB138" s="756">
        <f t="shared" ref="AB138:AB201" si="23">SUM(Z138:AA138)</f>
        <v>0</v>
      </c>
      <c r="AC138" s="859"/>
      <c r="AD138" s="863"/>
      <c r="AE138" s="859"/>
      <c r="AF138" s="859"/>
      <c r="AG138" s="864"/>
      <c r="AH138" s="865"/>
      <c r="AI138" s="757">
        <f t="shared" ref="AI138:AI201" si="24">SUM(S138,U138,W138,AC138,AE138)</f>
        <v>67244</v>
      </c>
      <c r="AJ138" s="758">
        <f t="shared" ref="AJ138:AJ201" si="25">SUM(T138,V138,Z138,AD138,AG138)</f>
        <v>140144</v>
      </c>
    </row>
    <row r="139" spans="1:36" x14ac:dyDescent="0.2">
      <c r="A139" s="843" t="s">
        <v>142</v>
      </c>
      <c r="B139" s="844" t="s">
        <v>272</v>
      </c>
      <c r="C139" s="866" t="s">
        <v>511</v>
      </c>
      <c r="D139" s="845"/>
      <c r="E139" s="846">
        <v>100760</v>
      </c>
      <c r="F139" s="880">
        <v>9</v>
      </c>
      <c r="G139" s="859"/>
      <c r="H139" s="860"/>
      <c r="I139" s="861">
        <v>535850</v>
      </c>
      <c r="J139" s="1517">
        <v>484698</v>
      </c>
      <c r="K139" s="859"/>
      <c r="L139" s="863"/>
      <c r="M139" s="859"/>
      <c r="N139" s="859"/>
      <c r="O139" s="752">
        <f t="shared" si="18"/>
        <v>0</v>
      </c>
      <c r="P139" s="862"/>
      <c r="Q139" s="860"/>
      <c r="R139" s="753">
        <f t="shared" si="19"/>
        <v>0</v>
      </c>
      <c r="S139" s="752">
        <f t="shared" si="20"/>
        <v>535850</v>
      </c>
      <c r="T139" s="754">
        <f t="shared" si="21"/>
        <v>484698</v>
      </c>
      <c r="U139" s="859"/>
      <c r="V139" s="863"/>
      <c r="W139" s="859"/>
      <c r="X139" s="859"/>
      <c r="Y139" s="755">
        <f t="shared" si="22"/>
        <v>0</v>
      </c>
      <c r="Z139" s="864"/>
      <c r="AA139" s="863"/>
      <c r="AB139" s="756">
        <f t="shared" si="23"/>
        <v>0</v>
      </c>
      <c r="AC139" s="859"/>
      <c r="AD139" s="863"/>
      <c r="AE139" s="859"/>
      <c r="AF139" s="859"/>
      <c r="AG139" s="864"/>
      <c r="AH139" s="865"/>
      <c r="AI139" s="757">
        <f t="shared" si="24"/>
        <v>535850</v>
      </c>
      <c r="AJ139" s="758">
        <f t="shared" si="25"/>
        <v>484698</v>
      </c>
    </row>
    <row r="140" spans="1:36" x14ac:dyDescent="0.2">
      <c r="A140" s="843" t="s">
        <v>142</v>
      </c>
      <c r="B140" s="844" t="s">
        <v>272</v>
      </c>
      <c r="C140" s="866" t="s">
        <v>512</v>
      </c>
      <c r="D140" s="845"/>
      <c r="E140" s="846">
        <v>100760</v>
      </c>
      <c r="F140" s="880">
        <v>9</v>
      </c>
      <c r="G140" s="859"/>
      <c r="H140" s="860"/>
      <c r="I140" s="876">
        <v>35656</v>
      </c>
      <c r="J140" s="1517">
        <v>30858</v>
      </c>
      <c r="K140" s="859"/>
      <c r="L140" s="863"/>
      <c r="M140" s="859"/>
      <c r="N140" s="859"/>
      <c r="O140" s="752">
        <f t="shared" si="18"/>
        <v>0</v>
      </c>
      <c r="P140" s="862"/>
      <c r="Q140" s="860"/>
      <c r="R140" s="753">
        <f t="shared" si="19"/>
        <v>0</v>
      </c>
      <c r="S140" s="752">
        <f t="shared" si="20"/>
        <v>35656</v>
      </c>
      <c r="T140" s="754">
        <f t="shared" si="21"/>
        <v>30858</v>
      </c>
      <c r="U140" s="859"/>
      <c r="V140" s="863"/>
      <c r="W140" s="859"/>
      <c r="X140" s="859"/>
      <c r="Y140" s="755">
        <f t="shared" si="22"/>
        <v>0</v>
      </c>
      <c r="Z140" s="864"/>
      <c r="AA140" s="863"/>
      <c r="AB140" s="756">
        <f t="shared" si="23"/>
        <v>0</v>
      </c>
      <c r="AC140" s="859"/>
      <c r="AD140" s="863"/>
      <c r="AE140" s="859"/>
      <c r="AF140" s="859"/>
      <c r="AG140" s="864"/>
      <c r="AH140" s="865"/>
      <c r="AI140" s="757">
        <f t="shared" si="24"/>
        <v>35656</v>
      </c>
      <c r="AJ140" s="758">
        <f t="shared" si="25"/>
        <v>30858</v>
      </c>
    </row>
    <row r="141" spans="1:36" x14ac:dyDescent="0.2">
      <c r="A141" s="843" t="s">
        <v>142</v>
      </c>
      <c r="B141" s="844" t="s">
        <v>264</v>
      </c>
      <c r="C141" s="844" t="s">
        <v>520</v>
      </c>
      <c r="D141" s="874"/>
      <c r="E141" s="846">
        <v>101143</v>
      </c>
      <c r="F141" s="880">
        <v>9</v>
      </c>
      <c r="G141" s="859">
        <v>9232576</v>
      </c>
      <c r="H141" s="1525">
        <v>9704499</v>
      </c>
      <c r="I141" s="861"/>
      <c r="J141" s="862"/>
      <c r="K141" s="859"/>
      <c r="L141" s="863"/>
      <c r="M141" s="867">
        <v>8558238</v>
      </c>
      <c r="N141" s="867">
        <v>677051</v>
      </c>
      <c r="O141" s="752">
        <f t="shared" si="18"/>
        <v>9235289</v>
      </c>
      <c r="P141" s="862">
        <v>9212943</v>
      </c>
      <c r="Q141" s="860">
        <v>437486</v>
      </c>
      <c r="R141" s="753">
        <f t="shared" si="19"/>
        <v>9650429</v>
      </c>
      <c r="S141" s="752">
        <f t="shared" si="20"/>
        <v>17790814</v>
      </c>
      <c r="T141" s="754">
        <f t="shared" si="21"/>
        <v>18917442</v>
      </c>
      <c r="U141" s="859"/>
      <c r="V141" s="863"/>
      <c r="W141" s="859"/>
      <c r="X141" s="859"/>
      <c r="Y141" s="755">
        <f t="shared" si="22"/>
        <v>0</v>
      </c>
      <c r="Z141" s="864"/>
      <c r="AA141" s="863"/>
      <c r="AB141" s="756">
        <f t="shared" si="23"/>
        <v>0</v>
      </c>
      <c r="AC141" s="859"/>
      <c r="AD141" s="863"/>
      <c r="AE141" s="859"/>
      <c r="AF141" s="859"/>
      <c r="AG141" s="864"/>
      <c r="AH141" s="865"/>
      <c r="AI141" s="757">
        <f t="shared" si="24"/>
        <v>17790814</v>
      </c>
      <c r="AJ141" s="758">
        <f t="shared" si="25"/>
        <v>18917442</v>
      </c>
    </row>
    <row r="142" spans="1:36" x14ac:dyDescent="0.2">
      <c r="A142" s="843" t="s">
        <v>142</v>
      </c>
      <c r="B142" s="844" t="s">
        <v>272</v>
      </c>
      <c r="C142" s="858" t="s">
        <v>509</v>
      </c>
      <c r="D142" s="845"/>
      <c r="E142" s="846">
        <v>101143</v>
      </c>
      <c r="F142" s="880">
        <v>9</v>
      </c>
      <c r="G142" s="859"/>
      <c r="H142" s="860"/>
      <c r="I142" s="861"/>
      <c r="J142" s="862"/>
      <c r="K142" s="859"/>
      <c r="L142" s="863"/>
      <c r="M142" s="859"/>
      <c r="N142" s="859"/>
      <c r="O142" s="752">
        <f t="shared" si="18"/>
        <v>0</v>
      </c>
      <c r="P142" s="862"/>
      <c r="Q142" s="860"/>
      <c r="R142" s="753">
        <f t="shared" si="19"/>
        <v>0</v>
      </c>
      <c r="S142" s="752">
        <f t="shared" si="20"/>
        <v>0</v>
      </c>
      <c r="T142" s="754">
        <f t="shared" si="21"/>
        <v>0</v>
      </c>
      <c r="U142" s="859"/>
      <c r="V142" s="863"/>
      <c r="W142" s="859"/>
      <c r="X142" s="859"/>
      <c r="Y142" s="755">
        <f t="shared" si="22"/>
        <v>0</v>
      </c>
      <c r="Z142" s="864"/>
      <c r="AA142" s="863"/>
      <c r="AB142" s="756">
        <f t="shared" si="23"/>
        <v>0</v>
      </c>
      <c r="AC142" s="859"/>
      <c r="AD142" s="863"/>
      <c r="AE142" s="859"/>
      <c r="AF142" s="859"/>
      <c r="AG142" s="864"/>
      <c r="AH142" s="865"/>
      <c r="AI142" s="757">
        <f t="shared" si="24"/>
        <v>0</v>
      </c>
      <c r="AJ142" s="758">
        <f t="shared" si="25"/>
        <v>0</v>
      </c>
    </row>
    <row r="143" spans="1:36" x14ac:dyDescent="0.2">
      <c r="A143" s="843" t="s">
        <v>142</v>
      </c>
      <c r="B143" s="844" t="s">
        <v>272</v>
      </c>
      <c r="C143" s="866" t="s">
        <v>510</v>
      </c>
      <c r="D143" s="845"/>
      <c r="E143" s="846">
        <v>101143</v>
      </c>
      <c r="F143" s="880">
        <v>9</v>
      </c>
      <c r="G143" s="859"/>
      <c r="H143" s="860"/>
      <c r="I143" s="861">
        <v>469340</v>
      </c>
      <c r="J143" s="1517">
        <v>349243</v>
      </c>
      <c r="K143" s="859"/>
      <c r="L143" s="863"/>
      <c r="M143" s="859"/>
      <c r="N143" s="859"/>
      <c r="O143" s="752">
        <f t="shared" si="18"/>
        <v>0</v>
      </c>
      <c r="P143" s="862"/>
      <c r="Q143" s="860"/>
      <c r="R143" s="753">
        <f t="shared" si="19"/>
        <v>0</v>
      </c>
      <c r="S143" s="752">
        <f t="shared" si="20"/>
        <v>469340</v>
      </c>
      <c r="T143" s="754">
        <f t="shared" si="21"/>
        <v>349243</v>
      </c>
      <c r="U143" s="859"/>
      <c r="V143" s="863"/>
      <c r="W143" s="859"/>
      <c r="X143" s="859"/>
      <c r="Y143" s="755">
        <f t="shared" si="22"/>
        <v>0</v>
      </c>
      <c r="Z143" s="864"/>
      <c r="AA143" s="863"/>
      <c r="AB143" s="756">
        <f t="shared" si="23"/>
        <v>0</v>
      </c>
      <c r="AC143" s="859"/>
      <c r="AD143" s="863"/>
      <c r="AE143" s="859"/>
      <c r="AF143" s="859"/>
      <c r="AG143" s="864"/>
      <c r="AH143" s="865"/>
      <c r="AI143" s="757">
        <f t="shared" si="24"/>
        <v>469340</v>
      </c>
      <c r="AJ143" s="758">
        <f t="shared" si="25"/>
        <v>349243</v>
      </c>
    </row>
    <row r="144" spans="1:36" x14ac:dyDescent="0.2">
      <c r="A144" s="843" t="s">
        <v>142</v>
      </c>
      <c r="B144" s="844" t="s">
        <v>272</v>
      </c>
      <c r="C144" s="866" t="s">
        <v>511</v>
      </c>
      <c r="D144" s="845"/>
      <c r="E144" s="846">
        <v>101143</v>
      </c>
      <c r="F144" s="880">
        <v>9</v>
      </c>
      <c r="G144" s="859"/>
      <c r="H144" s="860"/>
      <c r="I144" s="861">
        <v>404732</v>
      </c>
      <c r="J144" s="1517">
        <v>355446</v>
      </c>
      <c r="K144" s="859"/>
      <c r="L144" s="863"/>
      <c r="M144" s="859"/>
      <c r="N144" s="859"/>
      <c r="O144" s="752">
        <f t="shared" si="18"/>
        <v>0</v>
      </c>
      <c r="P144" s="862"/>
      <c r="Q144" s="860"/>
      <c r="R144" s="753">
        <f t="shared" si="19"/>
        <v>0</v>
      </c>
      <c r="S144" s="752">
        <f t="shared" si="20"/>
        <v>404732</v>
      </c>
      <c r="T144" s="754">
        <f t="shared" si="21"/>
        <v>355446</v>
      </c>
      <c r="U144" s="859"/>
      <c r="V144" s="863"/>
      <c r="W144" s="859"/>
      <c r="X144" s="859"/>
      <c r="Y144" s="755">
        <f t="shared" si="22"/>
        <v>0</v>
      </c>
      <c r="Z144" s="864"/>
      <c r="AA144" s="863"/>
      <c r="AB144" s="756">
        <f t="shared" si="23"/>
        <v>0</v>
      </c>
      <c r="AC144" s="859"/>
      <c r="AD144" s="863"/>
      <c r="AE144" s="859"/>
      <c r="AF144" s="859"/>
      <c r="AG144" s="864"/>
      <c r="AH144" s="865"/>
      <c r="AI144" s="757">
        <f t="shared" si="24"/>
        <v>404732</v>
      </c>
      <c r="AJ144" s="758">
        <f t="shared" si="25"/>
        <v>355446</v>
      </c>
    </row>
    <row r="145" spans="1:36" x14ac:dyDescent="0.2">
      <c r="A145" s="843" t="s">
        <v>142</v>
      </c>
      <c r="B145" s="844" t="s">
        <v>272</v>
      </c>
      <c r="C145" s="866" t="s">
        <v>512</v>
      </c>
      <c r="D145" s="845"/>
      <c r="E145" s="846">
        <v>101143</v>
      </c>
      <c r="F145" s="880">
        <v>9</v>
      </c>
      <c r="G145" s="859"/>
      <c r="H145" s="860"/>
      <c r="I145" s="861">
        <v>7300</v>
      </c>
      <c r="J145" s="1517">
        <v>296494</v>
      </c>
      <c r="K145" s="859"/>
      <c r="L145" s="863"/>
      <c r="M145" s="859"/>
      <c r="N145" s="859"/>
      <c r="O145" s="752">
        <f t="shared" si="18"/>
        <v>0</v>
      </c>
      <c r="P145" s="862"/>
      <c r="Q145" s="860"/>
      <c r="R145" s="753">
        <f t="shared" si="19"/>
        <v>0</v>
      </c>
      <c r="S145" s="752">
        <f t="shared" si="20"/>
        <v>7300</v>
      </c>
      <c r="T145" s="754">
        <f t="shared" si="21"/>
        <v>296494</v>
      </c>
      <c r="U145" s="859"/>
      <c r="V145" s="863"/>
      <c r="W145" s="859"/>
      <c r="X145" s="859"/>
      <c r="Y145" s="755">
        <f t="shared" si="22"/>
        <v>0</v>
      </c>
      <c r="Z145" s="864"/>
      <c r="AA145" s="863"/>
      <c r="AB145" s="756">
        <f t="shared" si="23"/>
        <v>0</v>
      </c>
      <c r="AC145" s="859"/>
      <c r="AD145" s="863"/>
      <c r="AE145" s="859"/>
      <c r="AF145" s="859"/>
      <c r="AG145" s="864"/>
      <c r="AH145" s="865"/>
      <c r="AI145" s="757">
        <f t="shared" si="24"/>
        <v>7300</v>
      </c>
      <c r="AJ145" s="758">
        <f t="shared" si="25"/>
        <v>296494</v>
      </c>
    </row>
    <row r="146" spans="1:36" x14ac:dyDescent="0.2">
      <c r="A146" s="843" t="s">
        <v>142</v>
      </c>
      <c r="B146" s="844" t="s">
        <v>264</v>
      </c>
      <c r="C146" s="868" t="s">
        <v>521</v>
      </c>
      <c r="D146" s="869"/>
      <c r="E146" s="846">
        <v>101286</v>
      </c>
      <c r="F146" s="847">
        <v>9</v>
      </c>
      <c r="G146" s="859">
        <v>14339505</v>
      </c>
      <c r="H146" s="1525">
        <v>14881674</v>
      </c>
      <c r="I146" s="861"/>
      <c r="J146" s="862"/>
      <c r="K146" s="859"/>
      <c r="L146" s="863"/>
      <c r="M146" s="867">
        <v>12611658</v>
      </c>
      <c r="N146" s="867">
        <v>1992750</v>
      </c>
      <c r="O146" s="752">
        <f t="shared" si="18"/>
        <v>14604408</v>
      </c>
      <c r="P146" s="862">
        <v>13103272</v>
      </c>
      <c r="Q146" s="860">
        <v>831770</v>
      </c>
      <c r="R146" s="753">
        <f t="shared" si="19"/>
        <v>13935042</v>
      </c>
      <c r="S146" s="752">
        <f t="shared" si="20"/>
        <v>26951163</v>
      </c>
      <c r="T146" s="754">
        <f t="shared" si="21"/>
        <v>27984946</v>
      </c>
      <c r="U146" s="859"/>
      <c r="V146" s="863"/>
      <c r="W146" s="859"/>
      <c r="X146" s="859"/>
      <c r="Y146" s="755">
        <f t="shared" si="22"/>
        <v>0</v>
      </c>
      <c r="Z146" s="864"/>
      <c r="AA146" s="863"/>
      <c r="AB146" s="756">
        <f t="shared" si="23"/>
        <v>0</v>
      </c>
      <c r="AC146" s="859"/>
      <c r="AD146" s="863"/>
      <c r="AE146" s="859"/>
      <c r="AF146" s="859"/>
      <c r="AG146" s="864"/>
      <c r="AH146" s="865"/>
      <c r="AI146" s="757">
        <f t="shared" si="24"/>
        <v>26951163</v>
      </c>
      <c r="AJ146" s="758">
        <f t="shared" si="25"/>
        <v>27984946</v>
      </c>
    </row>
    <row r="147" spans="1:36" x14ac:dyDescent="0.2">
      <c r="A147" s="843" t="s">
        <v>142</v>
      </c>
      <c r="B147" s="844" t="s">
        <v>272</v>
      </c>
      <c r="C147" s="858" t="s">
        <v>509</v>
      </c>
      <c r="D147" s="845"/>
      <c r="E147" s="846">
        <v>101286</v>
      </c>
      <c r="F147" s="847">
        <v>9</v>
      </c>
      <c r="G147" s="859"/>
      <c r="H147" s="860"/>
      <c r="I147" s="861"/>
      <c r="J147" s="862"/>
      <c r="K147" s="859"/>
      <c r="L147" s="863"/>
      <c r="M147" s="859"/>
      <c r="N147" s="859"/>
      <c r="O147" s="752">
        <f t="shared" si="18"/>
        <v>0</v>
      </c>
      <c r="P147" s="862"/>
      <c r="Q147" s="860"/>
      <c r="R147" s="753">
        <f t="shared" si="19"/>
        <v>0</v>
      </c>
      <c r="S147" s="752">
        <f t="shared" si="20"/>
        <v>0</v>
      </c>
      <c r="T147" s="754">
        <f t="shared" si="21"/>
        <v>0</v>
      </c>
      <c r="U147" s="859"/>
      <c r="V147" s="863"/>
      <c r="W147" s="859"/>
      <c r="X147" s="859"/>
      <c r="Y147" s="755">
        <f t="shared" si="22"/>
        <v>0</v>
      </c>
      <c r="Z147" s="864"/>
      <c r="AA147" s="863"/>
      <c r="AB147" s="756">
        <f t="shared" si="23"/>
        <v>0</v>
      </c>
      <c r="AC147" s="859"/>
      <c r="AD147" s="863"/>
      <c r="AE147" s="859"/>
      <c r="AF147" s="859"/>
      <c r="AG147" s="864"/>
      <c r="AH147" s="865"/>
      <c r="AI147" s="757">
        <f t="shared" si="24"/>
        <v>0</v>
      </c>
      <c r="AJ147" s="758">
        <f t="shared" si="25"/>
        <v>0</v>
      </c>
    </row>
    <row r="148" spans="1:36" x14ac:dyDescent="0.2">
      <c r="A148" s="843" t="s">
        <v>142</v>
      </c>
      <c r="B148" s="844" t="s">
        <v>272</v>
      </c>
      <c r="C148" s="866" t="s">
        <v>510</v>
      </c>
      <c r="D148" s="845"/>
      <c r="E148" s="846">
        <v>101286</v>
      </c>
      <c r="F148" s="847">
        <v>9</v>
      </c>
      <c r="G148" s="859"/>
      <c r="H148" s="860"/>
      <c r="I148" s="861">
        <v>169790</v>
      </c>
      <c r="J148" s="1517">
        <v>194112</v>
      </c>
      <c r="K148" s="859"/>
      <c r="L148" s="863"/>
      <c r="M148" s="859"/>
      <c r="N148" s="859"/>
      <c r="O148" s="752">
        <f t="shared" si="18"/>
        <v>0</v>
      </c>
      <c r="P148" s="862"/>
      <c r="Q148" s="860"/>
      <c r="R148" s="753">
        <f t="shared" si="19"/>
        <v>0</v>
      </c>
      <c r="S148" s="752">
        <f t="shared" si="20"/>
        <v>169790</v>
      </c>
      <c r="T148" s="754">
        <f t="shared" si="21"/>
        <v>194112</v>
      </c>
      <c r="U148" s="859"/>
      <c r="V148" s="863"/>
      <c r="W148" s="859"/>
      <c r="X148" s="859"/>
      <c r="Y148" s="755">
        <f t="shared" si="22"/>
        <v>0</v>
      </c>
      <c r="Z148" s="864"/>
      <c r="AA148" s="863"/>
      <c r="AB148" s="756">
        <f t="shared" si="23"/>
        <v>0</v>
      </c>
      <c r="AC148" s="859"/>
      <c r="AD148" s="863"/>
      <c r="AE148" s="859"/>
      <c r="AF148" s="859"/>
      <c r="AG148" s="864"/>
      <c r="AH148" s="865"/>
      <c r="AI148" s="757">
        <f t="shared" si="24"/>
        <v>169790</v>
      </c>
      <c r="AJ148" s="758">
        <f t="shared" si="25"/>
        <v>194112</v>
      </c>
    </row>
    <row r="149" spans="1:36" x14ac:dyDescent="0.2">
      <c r="A149" s="843" t="s">
        <v>142</v>
      </c>
      <c r="B149" s="844" t="s">
        <v>272</v>
      </c>
      <c r="C149" s="866" t="s">
        <v>511</v>
      </c>
      <c r="D149" s="845"/>
      <c r="E149" s="846">
        <v>101286</v>
      </c>
      <c r="F149" s="847">
        <v>9</v>
      </c>
      <c r="G149" s="859"/>
      <c r="H149" s="860"/>
      <c r="I149" s="861">
        <v>570587</v>
      </c>
      <c r="J149" s="1517">
        <v>552230</v>
      </c>
      <c r="K149" s="859"/>
      <c r="L149" s="863"/>
      <c r="M149" s="859"/>
      <c r="N149" s="859"/>
      <c r="O149" s="752">
        <f t="shared" si="18"/>
        <v>0</v>
      </c>
      <c r="P149" s="862"/>
      <c r="Q149" s="860"/>
      <c r="R149" s="753">
        <f t="shared" si="19"/>
        <v>0</v>
      </c>
      <c r="S149" s="752">
        <f t="shared" si="20"/>
        <v>570587</v>
      </c>
      <c r="T149" s="754">
        <f t="shared" si="21"/>
        <v>552230</v>
      </c>
      <c r="U149" s="859"/>
      <c r="V149" s="863"/>
      <c r="W149" s="859"/>
      <c r="X149" s="859"/>
      <c r="Y149" s="755">
        <f t="shared" si="22"/>
        <v>0</v>
      </c>
      <c r="Z149" s="864"/>
      <c r="AA149" s="863"/>
      <c r="AB149" s="756">
        <f t="shared" si="23"/>
        <v>0</v>
      </c>
      <c r="AC149" s="859"/>
      <c r="AD149" s="863"/>
      <c r="AE149" s="859"/>
      <c r="AF149" s="859"/>
      <c r="AG149" s="864"/>
      <c r="AH149" s="865"/>
      <c r="AI149" s="757">
        <f t="shared" si="24"/>
        <v>570587</v>
      </c>
      <c r="AJ149" s="758">
        <f t="shared" si="25"/>
        <v>552230</v>
      </c>
    </row>
    <row r="150" spans="1:36" x14ac:dyDescent="0.2">
      <c r="A150" s="843" t="s">
        <v>142</v>
      </c>
      <c r="B150" s="844" t="s">
        <v>272</v>
      </c>
      <c r="C150" s="866" t="s">
        <v>512</v>
      </c>
      <c r="D150" s="845"/>
      <c r="E150" s="846">
        <v>101286</v>
      </c>
      <c r="F150" s="847">
        <v>9</v>
      </c>
      <c r="G150" s="859"/>
      <c r="H150" s="860"/>
      <c r="I150" s="876">
        <v>62430</v>
      </c>
      <c r="J150" s="1517">
        <v>85688</v>
      </c>
      <c r="K150" s="859"/>
      <c r="L150" s="863"/>
      <c r="M150" s="859"/>
      <c r="N150" s="859"/>
      <c r="O150" s="752">
        <f t="shared" si="18"/>
        <v>0</v>
      </c>
      <c r="P150" s="862"/>
      <c r="Q150" s="860"/>
      <c r="R150" s="753">
        <f t="shared" si="19"/>
        <v>0</v>
      </c>
      <c r="S150" s="752">
        <f t="shared" si="20"/>
        <v>62430</v>
      </c>
      <c r="T150" s="754">
        <f t="shared" si="21"/>
        <v>85688</v>
      </c>
      <c r="U150" s="859"/>
      <c r="V150" s="863"/>
      <c r="W150" s="859"/>
      <c r="X150" s="859"/>
      <c r="Y150" s="755">
        <f t="shared" si="22"/>
        <v>0</v>
      </c>
      <c r="Z150" s="864"/>
      <c r="AA150" s="863"/>
      <c r="AB150" s="756">
        <f t="shared" si="23"/>
        <v>0</v>
      </c>
      <c r="AC150" s="859"/>
      <c r="AD150" s="863"/>
      <c r="AE150" s="859"/>
      <c r="AF150" s="859"/>
      <c r="AG150" s="864"/>
      <c r="AH150" s="865"/>
      <c r="AI150" s="757">
        <f t="shared" si="24"/>
        <v>62430</v>
      </c>
      <c r="AJ150" s="758">
        <f t="shared" si="25"/>
        <v>85688</v>
      </c>
    </row>
    <row r="151" spans="1:36" x14ac:dyDescent="0.2">
      <c r="A151" s="843" t="s">
        <v>142</v>
      </c>
      <c r="B151" s="844" t="s">
        <v>264</v>
      </c>
      <c r="C151" s="868" t="s">
        <v>522</v>
      </c>
      <c r="D151" s="869"/>
      <c r="E151" s="846">
        <v>101161</v>
      </c>
      <c r="F151" s="847">
        <v>9</v>
      </c>
      <c r="G151" s="859">
        <v>10387507</v>
      </c>
      <c r="H151" s="860">
        <v>11374947</v>
      </c>
      <c r="I151" s="861"/>
      <c r="J151" s="862"/>
      <c r="K151" s="867">
        <v>1337248</v>
      </c>
      <c r="L151" s="863">
        <v>850000</v>
      </c>
      <c r="M151" s="867">
        <v>14744561</v>
      </c>
      <c r="N151" s="867">
        <v>2052361</v>
      </c>
      <c r="O151" s="752">
        <f t="shared" si="18"/>
        <v>16796922</v>
      </c>
      <c r="P151" s="862">
        <v>13051577</v>
      </c>
      <c r="Q151" s="860">
        <v>2008479</v>
      </c>
      <c r="R151" s="753">
        <f t="shared" si="19"/>
        <v>15060056</v>
      </c>
      <c r="S151" s="752">
        <f t="shared" si="20"/>
        <v>26469316</v>
      </c>
      <c r="T151" s="754">
        <f t="shared" si="21"/>
        <v>25276524</v>
      </c>
      <c r="U151" s="859"/>
      <c r="V151" s="863"/>
      <c r="W151" s="859"/>
      <c r="X151" s="859"/>
      <c r="Y151" s="755">
        <f t="shared" si="22"/>
        <v>0</v>
      </c>
      <c r="Z151" s="864"/>
      <c r="AA151" s="863"/>
      <c r="AB151" s="756">
        <f t="shared" si="23"/>
        <v>0</v>
      </c>
      <c r="AC151" s="859"/>
      <c r="AD151" s="863"/>
      <c r="AE151" s="859"/>
      <c r="AF151" s="859"/>
      <c r="AG151" s="864"/>
      <c r="AH151" s="865"/>
      <c r="AI151" s="757">
        <f t="shared" si="24"/>
        <v>26469316</v>
      </c>
      <c r="AJ151" s="758">
        <f t="shared" si="25"/>
        <v>25276524</v>
      </c>
    </row>
    <row r="152" spans="1:36" x14ac:dyDescent="0.2">
      <c r="A152" s="843" t="s">
        <v>142</v>
      </c>
      <c r="B152" s="844" t="s">
        <v>272</v>
      </c>
      <c r="C152" s="858" t="s">
        <v>509</v>
      </c>
      <c r="D152" s="845"/>
      <c r="E152" s="846">
        <v>101161</v>
      </c>
      <c r="F152" s="847">
        <v>9</v>
      </c>
      <c r="G152" s="859"/>
      <c r="H152" s="860"/>
      <c r="I152" s="861"/>
      <c r="J152" s="862"/>
      <c r="K152" s="859"/>
      <c r="L152" s="863"/>
      <c r="M152" s="859"/>
      <c r="N152" s="859"/>
      <c r="O152" s="752">
        <f t="shared" si="18"/>
        <v>0</v>
      </c>
      <c r="P152" s="862"/>
      <c r="Q152" s="860"/>
      <c r="R152" s="753">
        <f t="shared" si="19"/>
        <v>0</v>
      </c>
      <c r="S152" s="752">
        <f t="shared" si="20"/>
        <v>0</v>
      </c>
      <c r="T152" s="754">
        <f t="shared" si="21"/>
        <v>0</v>
      </c>
      <c r="U152" s="859"/>
      <c r="V152" s="863"/>
      <c r="W152" s="859"/>
      <c r="X152" s="859"/>
      <c r="Y152" s="755">
        <f t="shared" si="22"/>
        <v>0</v>
      </c>
      <c r="Z152" s="864"/>
      <c r="AA152" s="863"/>
      <c r="AB152" s="756">
        <f t="shared" si="23"/>
        <v>0</v>
      </c>
      <c r="AC152" s="859"/>
      <c r="AD152" s="863"/>
      <c r="AE152" s="859"/>
      <c r="AF152" s="859"/>
      <c r="AG152" s="864"/>
      <c r="AH152" s="865"/>
      <c r="AI152" s="757">
        <f t="shared" si="24"/>
        <v>0</v>
      </c>
      <c r="AJ152" s="758">
        <f t="shared" si="25"/>
        <v>0</v>
      </c>
    </row>
    <row r="153" spans="1:36" x14ac:dyDescent="0.2">
      <c r="A153" s="843" t="s">
        <v>142</v>
      </c>
      <c r="B153" s="844" t="s">
        <v>272</v>
      </c>
      <c r="C153" s="866" t="s">
        <v>510</v>
      </c>
      <c r="D153" s="845"/>
      <c r="E153" s="846">
        <v>101161</v>
      </c>
      <c r="F153" s="847">
        <v>9</v>
      </c>
      <c r="G153" s="859"/>
      <c r="H153" s="860"/>
      <c r="I153" s="861">
        <v>41980</v>
      </c>
      <c r="J153" s="1517">
        <v>32045</v>
      </c>
      <c r="K153" s="859"/>
      <c r="L153" s="863"/>
      <c r="M153" s="859"/>
      <c r="N153" s="859"/>
      <c r="O153" s="752">
        <f t="shared" si="18"/>
        <v>0</v>
      </c>
      <c r="P153" s="862"/>
      <c r="Q153" s="860"/>
      <c r="R153" s="753">
        <f t="shared" si="19"/>
        <v>0</v>
      </c>
      <c r="S153" s="752">
        <f t="shared" si="20"/>
        <v>41980</v>
      </c>
      <c r="T153" s="754">
        <f t="shared" si="21"/>
        <v>32045</v>
      </c>
      <c r="U153" s="859"/>
      <c r="V153" s="863"/>
      <c r="W153" s="859"/>
      <c r="X153" s="859"/>
      <c r="Y153" s="755">
        <f t="shared" si="22"/>
        <v>0</v>
      </c>
      <c r="Z153" s="864"/>
      <c r="AA153" s="863"/>
      <c r="AB153" s="756">
        <f t="shared" si="23"/>
        <v>0</v>
      </c>
      <c r="AC153" s="859"/>
      <c r="AD153" s="863"/>
      <c r="AE153" s="859"/>
      <c r="AF153" s="859"/>
      <c r="AG153" s="864"/>
      <c r="AH153" s="865"/>
      <c r="AI153" s="757">
        <f t="shared" si="24"/>
        <v>41980</v>
      </c>
      <c r="AJ153" s="758">
        <f t="shared" si="25"/>
        <v>32045</v>
      </c>
    </row>
    <row r="154" spans="1:36" x14ac:dyDescent="0.2">
      <c r="A154" s="843" t="s">
        <v>142</v>
      </c>
      <c r="B154" s="844" t="s">
        <v>272</v>
      </c>
      <c r="C154" s="866" t="s">
        <v>511</v>
      </c>
      <c r="D154" s="845"/>
      <c r="E154" s="846">
        <v>101161</v>
      </c>
      <c r="F154" s="847">
        <v>9</v>
      </c>
      <c r="G154" s="859"/>
      <c r="H154" s="860"/>
      <c r="I154" s="861">
        <v>507531</v>
      </c>
      <c r="J154" s="1517">
        <v>385877</v>
      </c>
      <c r="K154" s="859"/>
      <c r="L154" s="863"/>
      <c r="M154" s="859"/>
      <c r="N154" s="859"/>
      <c r="O154" s="752">
        <f t="shared" si="18"/>
        <v>0</v>
      </c>
      <c r="P154" s="862"/>
      <c r="Q154" s="860"/>
      <c r="R154" s="753">
        <f t="shared" si="19"/>
        <v>0</v>
      </c>
      <c r="S154" s="752">
        <f t="shared" si="20"/>
        <v>507531</v>
      </c>
      <c r="T154" s="754">
        <f t="shared" si="21"/>
        <v>385877</v>
      </c>
      <c r="U154" s="859"/>
      <c r="V154" s="863"/>
      <c r="W154" s="859"/>
      <c r="X154" s="859"/>
      <c r="Y154" s="755">
        <f t="shared" si="22"/>
        <v>0</v>
      </c>
      <c r="Z154" s="864"/>
      <c r="AA154" s="863"/>
      <c r="AB154" s="756">
        <f t="shared" si="23"/>
        <v>0</v>
      </c>
      <c r="AC154" s="859"/>
      <c r="AD154" s="863"/>
      <c r="AE154" s="859"/>
      <c r="AF154" s="859"/>
      <c r="AG154" s="864"/>
      <c r="AH154" s="865"/>
      <c r="AI154" s="757">
        <f t="shared" si="24"/>
        <v>507531</v>
      </c>
      <c r="AJ154" s="758">
        <f t="shared" si="25"/>
        <v>385877</v>
      </c>
    </row>
    <row r="155" spans="1:36" x14ac:dyDescent="0.2">
      <c r="A155" s="843" t="s">
        <v>142</v>
      </c>
      <c r="B155" s="844" t="s">
        <v>272</v>
      </c>
      <c r="C155" s="866" t="s">
        <v>512</v>
      </c>
      <c r="D155" s="845"/>
      <c r="E155" s="846">
        <v>101161</v>
      </c>
      <c r="F155" s="847">
        <v>9</v>
      </c>
      <c r="G155" s="859"/>
      <c r="H155" s="860"/>
      <c r="I155" s="861">
        <v>178369</v>
      </c>
      <c r="J155" s="1517">
        <v>221122</v>
      </c>
      <c r="K155" s="859"/>
      <c r="L155" s="863"/>
      <c r="M155" s="859"/>
      <c r="N155" s="859"/>
      <c r="O155" s="752">
        <f t="shared" si="18"/>
        <v>0</v>
      </c>
      <c r="P155" s="862"/>
      <c r="Q155" s="860"/>
      <c r="R155" s="753">
        <f t="shared" si="19"/>
        <v>0</v>
      </c>
      <c r="S155" s="752">
        <f t="shared" si="20"/>
        <v>178369</v>
      </c>
      <c r="T155" s="754">
        <f t="shared" si="21"/>
        <v>221122</v>
      </c>
      <c r="U155" s="859"/>
      <c r="V155" s="863"/>
      <c r="W155" s="859"/>
      <c r="X155" s="859"/>
      <c r="Y155" s="755">
        <f t="shared" si="22"/>
        <v>0</v>
      </c>
      <c r="Z155" s="864"/>
      <c r="AA155" s="863"/>
      <c r="AB155" s="756">
        <f t="shared" si="23"/>
        <v>0</v>
      </c>
      <c r="AC155" s="859"/>
      <c r="AD155" s="863"/>
      <c r="AE155" s="859"/>
      <c r="AF155" s="859"/>
      <c r="AG155" s="864"/>
      <c r="AH155" s="865"/>
      <c r="AI155" s="757">
        <f t="shared" si="24"/>
        <v>178369</v>
      </c>
      <c r="AJ155" s="758">
        <f t="shared" si="25"/>
        <v>221122</v>
      </c>
    </row>
    <row r="156" spans="1:36" x14ac:dyDescent="0.2">
      <c r="A156" s="843" t="s">
        <v>142</v>
      </c>
      <c r="B156" s="844" t="s">
        <v>264</v>
      </c>
      <c r="C156" s="868" t="s">
        <v>523</v>
      </c>
      <c r="D156" s="869"/>
      <c r="E156" s="846">
        <v>101569</v>
      </c>
      <c r="F156" s="847">
        <v>9</v>
      </c>
      <c r="G156" s="859">
        <v>13938149</v>
      </c>
      <c r="H156" s="1525">
        <v>13909345</v>
      </c>
      <c r="I156" s="861"/>
      <c r="J156" s="862"/>
      <c r="K156" s="867"/>
      <c r="L156" s="863">
        <v>100000</v>
      </c>
      <c r="M156" s="867">
        <v>8473212</v>
      </c>
      <c r="N156" s="867">
        <v>3337970</v>
      </c>
      <c r="O156" s="752">
        <f t="shared" si="18"/>
        <v>11811182</v>
      </c>
      <c r="P156" s="862">
        <v>11765187</v>
      </c>
      <c r="Q156" s="860">
        <v>970000</v>
      </c>
      <c r="R156" s="753">
        <f t="shared" si="19"/>
        <v>12735187</v>
      </c>
      <c r="S156" s="752">
        <f t="shared" si="20"/>
        <v>22411361</v>
      </c>
      <c r="T156" s="754">
        <f t="shared" si="21"/>
        <v>25774532</v>
      </c>
      <c r="U156" s="859"/>
      <c r="V156" s="863"/>
      <c r="W156" s="859"/>
      <c r="X156" s="859"/>
      <c r="Y156" s="755">
        <f t="shared" si="22"/>
        <v>0</v>
      </c>
      <c r="Z156" s="864"/>
      <c r="AA156" s="863"/>
      <c r="AB156" s="756">
        <f t="shared" si="23"/>
        <v>0</v>
      </c>
      <c r="AC156" s="859"/>
      <c r="AD156" s="863"/>
      <c r="AE156" s="859"/>
      <c r="AF156" s="859"/>
      <c r="AG156" s="864"/>
      <c r="AH156" s="865"/>
      <c r="AI156" s="757">
        <f t="shared" si="24"/>
        <v>22411361</v>
      </c>
      <c r="AJ156" s="758">
        <f t="shared" si="25"/>
        <v>25774532</v>
      </c>
    </row>
    <row r="157" spans="1:36" ht="15" customHeight="1" x14ac:dyDescent="0.2">
      <c r="A157" s="843" t="s">
        <v>142</v>
      </c>
      <c r="B157" s="844" t="s">
        <v>272</v>
      </c>
      <c r="C157" s="858" t="s">
        <v>509</v>
      </c>
      <c r="D157" s="845"/>
      <c r="E157" s="846">
        <v>101569</v>
      </c>
      <c r="F157" s="847">
        <v>9</v>
      </c>
      <c r="G157" s="859"/>
      <c r="H157" s="860"/>
      <c r="I157" s="861"/>
      <c r="J157" s="862"/>
      <c r="K157" s="859"/>
      <c r="L157" s="863"/>
      <c r="M157" s="859"/>
      <c r="N157" s="859"/>
      <c r="O157" s="752">
        <f t="shared" si="18"/>
        <v>0</v>
      </c>
      <c r="P157" s="862"/>
      <c r="Q157" s="860"/>
      <c r="R157" s="753">
        <f t="shared" si="19"/>
        <v>0</v>
      </c>
      <c r="S157" s="752">
        <f t="shared" si="20"/>
        <v>0</v>
      </c>
      <c r="T157" s="754">
        <f t="shared" si="21"/>
        <v>0</v>
      </c>
      <c r="U157" s="859"/>
      <c r="V157" s="863"/>
      <c r="W157" s="859"/>
      <c r="X157" s="859"/>
      <c r="Y157" s="755">
        <f t="shared" si="22"/>
        <v>0</v>
      </c>
      <c r="Z157" s="864"/>
      <c r="AA157" s="863"/>
      <c r="AB157" s="756">
        <f t="shared" si="23"/>
        <v>0</v>
      </c>
      <c r="AC157" s="859"/>
      <c r="AD157" s="863"/>
      <c r="AE157" s="859"/>
      <c r="AF157" s="859"/>
      <c r="AG157" s="864"/>
      <c r="AH157" s="865"/>
      <c r="AI157" s="757">
        <f t="shared" si="24"/>
        <v>0</v>
      </c>
      <c r="AJ157" s="758">
        <f t="shared" si="25"/>
        <v>0</v>
      </c>
    </row>
    <row r="158" spans="1:36" ht="15" customHeight="1" x14ac:dyDescent="0.2">
      <c r="A158" s="843" t="s">
        <v>142</v>
      </c>
      <c r="B158" s="844" t="s">
        <v>272</v>
      </c>
      <c r="C158" s="866" t="s">
        <v>510</v>
      </c>
      <c r="D158" s="845"/>
      <c r="E158" s="846">
        <v>101569</v>
      </c>
      <c r="F158" s="847">
        <v>9</v>
      </c>
      <c r="G158" s="859"/>
      <c r="H158" s="860"/>
      <c r="I158" s="861">
        <v>123000</v>
      </c>
      <c r="J158" s="1517">
        <v>112873</v>
      </c>
      <c r="K158" s="859"/>
      <c r="L158" s="863"/>
      <c r="M158" s="859"/>
      <c r="N158" s="859"/>
      <c r="O158" s="752">
        <f t="shared" si="18"/>
        <v>0</v>
      </c>
      <c r="P158" s="862"/>
      <c r="Q158" s="860"/>
      <c r="R158" s="753">
        <f t="shared" si="19"/>
        <v>0</v>
      </c>
      <c r="S158" s="752">
        <f t="shared" si="20"/>
        <v>123000</v>
      </c>
      <c r="T158" s="754">
        <f t="shared" si="21"/>
        <v>112873</v>
      </c>
      <c r="U158" s="859"/>
      <c r="V158" s="863"/>
      <c r="W158" s="859"/>
      <c r="X158" s="859"/>
      <c r="Y158" s="755">
        <f t="shared" si="22"/>
        <v>0</v>
      </c>
      <c r="Z158" s="864"/>
      <c r="AA158" s="863"/>
      <c r="AB158" s="756">
        <f t="shared" si="23"/>
        <v>0</v>
      </c>
      <c r="AC158" s="859"/>
      <c r="AD158" s="863"/>
      <c r="AE158" s="859"/>
      <c r="AF158" s="859"/>
      <c r="AG158" s="864"/>
      <c r="AH158" s="865"/>
      <c r="AI158" s="757">
        <f t="shared" si="24"/>
        <v>123000</v>
      </c>
      <c r="AJ158" s="758">
        <f t="shared" si="25"/>
        <v>112873</v>
      </c>
    </row>
    <row r="159" spans="1:36" ht="15" customHeight="1" x14ac:dyDescent="0.2">
      <c r="A159" s="843" t="s">
        <v>142</v>
      </c>
      <c r="B159" s="844" t="s">
        <v>272</v>
      </c>
      <c r="C159" s="866" t="s">
        <v>511</v>
      </c>
      <c r="D159" s="845"/>
      <c r="E159" s="846">
        <v>101569</v>
      </c>
      <c r="F159" s="847">
        <v>9</v>
      </c>
      <c r="G159" s="859"/>
      <c r="H159" s="860"/>
      <c r="I159" s="861">
        <v>561986</v>
      </c>
      <c r="J159" s="1517">
        <v>371764</v>
      </c>
      <c r="K159" s="859"/>
      <c r="L159" s="863"/>
      <c r="M159" s="859"/>
      <c r="N159" s="859"/>
      <c r="O159" s="752">
        <f t="shared" si="18"/>
        <v>0</v>
      </c>
      <c r="P159" s="862"/>
      <c r="Q159" s="860"/>
      <c r="R159" s="753">
        <f t="shared" si="19"/>
        <v>0</v>
      </c>
      <c r="S159" s="752">
        <f t="shared" si="20"/>
        <v>561986</v>
      </c>
      <c r="T159" s="754">
        <f t="shared" si="21"/>
        <v>371764</v>
      </c>
      <c r="U159" s="859"/>
      <c r="V159" s="863"/>
      <c r="W159" s="859"/>
      <c r="X159" s="859"/>
      <c r="Y159" s="755">
        <f t="shared" si="22"/>
        <v>0</v>
      </c>
      <c r="Z159" s="864"/>
      <c r="AA159" s="863"/>
      <c r="AB159" s="756">
        <f t="shared" si="23"/>
        <v>0</v>
      </c>
      <c r="AC159" s="859"/>
      <c r="AD159" s="863"/>
      <c r="AE159" s="859"/>
      <c r="AF159" s="859"/>
      <c r="AG159" s="864"/>
      <c r="AH159" s="865"/>
      <c r="AI159" s="757">
        <f t="shared" si="24"/>
        <v>561986</v>
      </c>
      <c r="AJ159" s="758">
        <f t="shared" si="25"/>
        <v>371764</v>
      </c>
    </row>
    <row r="160" spans="1:36" ht="15" customHeight="1" x14ac:dyDescent="0.2">
      <c r="A160" s="843" t="s">
        <v>142</v>
      </c>
      <c r="B160" s="844" t="s">
        <v>272</v>
      </c>
      <c r="C160" s="866" t="s">
        <v>512</v>
      </c>
      <c r="D160" s="845"/>
      <c r="E160" s="846">
        <v>101569</v>
      </c>
      <c r="F160" s="847">
        <v>9</v>
      </c>
      <c r="G160" s="859"/>
      <c r="H160" s="860"/>
      <c r="I160" s="861">
        <v>13230</v>
      </c>
      <c r="J160" s="1517">
        <v>25013</v>
      </c>
      <c r="K160" s="859"/>
      <c r="L160" s="863"/>
      <c r="M160" s="859"/>
      <c r="N160" s="859"/>
      <c r="O160" s="752">
        <f t="shared" si="18"/>
        <v>0</v>
      </c>
      <c r="P160" s="862"/>
      <c r="Q160" s="860"/>
      <c r="R160" s="753">
        <f t="shared" si="19"/>
        <v>0</v>
      </c>
      <c r="S160" s="752">
        <f t="shared" si="20"/>
        <v>13230</v>
      </c>
      <c r="T160" s="754">
        <f t="shared" si="21"/>
        <v>25013</v>
      </c>
      <c r="U160" s="859"/>
      <c r="V160" s="863"/>
      <c r="W160" s="859"/>
      <c r="X160" s="859"/>
      <c r="Y160" s="755">
        <f t="shared" si="22"/>
        <v>0</v>
      </c>
      <c r="Z160" s="864"/>
      <c r="AA160" s="863"/>
      <c r="AB160" s="756">
        <f t="shared" si="23"/>
        <v>0</v>
      </c>
      <c r="AC160" s="859"/>
      <c r="AD160" s="863"/>
      <c r="AE160" s="859"/>
      <c r="AF160" s="859"/>
      <c r="AG160" s="864"/>
      <c r="AH160" s="865"/>
      <c r="AI160" s="757">
        <f t="shared" si="24"/>
        <v>13230</v>
      </c>
      <c r="AJ160" s="758">
        <f t="shared" si="25"/>
        <v>25013</v>
      </c>
    </row>
    <row r="161" spans="1:36" ht="15" customHeight="1" x14ac:dyDescent="0.2">
      <c r="A161" s="843" t="s">
        <v>142</v>
      </c>
      <c r="B161" s="844" t="s">
        <v>264</v>
      </c>
      <c r="C161" s="878" t="s">
        <v>524</v>
      </c>
      <c r="D161" s="879"/>
      <c r="E161" s="846">
        <v>101897</v>
      </c>
      <c r="F161" s="880">
        <v>9</v>
      </c>
      <c r="G161" s="859">
        <v>6702824</v>
      </c>
      <c r="H161" s="1525">
        <v>7337886</v>
      </c>
      <c r="I161" s="861"/>
      <c r="J161" s="862"/>
      <c r="K161" s="859"/>
      <c r="L161" s="863"/>
      <c r="M161" s="867">
        <v>8953185</v>
      </c>
      <c r="N161" s="867">
        <v>786968</v>
      </c>
      <c r="O161" s="752">
        <f t="shared" si="18"/>
        <v>9740153</v>
      </c>
      <c r="P161" s="862">
        <v>9681078</v>
      </c>
      <c r="Q161" s="860">
        <v>787906</v>
      </c>
      <c r="R161" s="753">
        <f t="shared" si="19"/>
        <v>10468984</v>
      </c>
      <c r="S161" s="752">
        <f t="shared" si="20"/>
        <v>15656009</v>
      </c>
      <c r="T161" s="754">
        <f t="shared" si="21"/>
        <v>17018964</v>
      </c>
      <c r="U161" s="859"/>
      <c r="V161" s="863"/>
      <c r="W161" s="859"/>
      <c r="X161" s="859"/>
      <c r="Y161" s="755">
        <f t="shared" si="22"/>
        <v>0</v>
      </c>
      <c r="Z161" s="864"/>
      <c r="AA161" s="863"/>
      <c r="AB161" s="756">
        <f t="shared" si="23"/>
        <v>0</v>
      </c>
      <c r="AC161" s="859"/>
      <c r="AD161" s="863"/>
      <c r="AE161" s="859"/>
      <c r="AF161" s="859"/>
      <c r="AG161" s="864"/>
      <c r="AH161" s="865"/>
      <c r="AI161" s="757">
        <f t="shared" si="24"/>
        <v>15656009</v>
      </c>
      <c r="AJ161" s="758">
        <f t="shared" si="25"/>
        <v>17018964</v>
      </c>
    </row>
    <row r="162" spans="1:36" x14ac:dyDescent="0.2">
      <c r="A162" s="843" t="s">
        <v>142</v>
      </c>
      <c r="B162" s="844" t="s">
        <v>272</v>
      </c>
      <c r="C162" s="858" t="s">
        <v>509</v>
      </c>
      <c r="D162" s="845"/>
      <c r="E162" s="846">
        <v>101897</v>
      </c>
      <c r="F162" s="880">
        <v>9</v>
      </c>
      <c r="G162" s="859"/>
      <c r="H162" s="860"/>
      <c r="I162" s="861"/>
      <c r="J162" s="862"/>
      <c r="K162" s="859"/>
      <c r="L162" s="863"/>
      <c r="M162" s="859"/>
      <c r="N162" s="859"/>
      <c r="O162" s="752">
        <f t="shared" si="18"/>
        <v>0</v>
      </c>
      <c r="P162" s="862"/>
      <c r="Q162" s="860"/>
      <c r="R162" s="753">
        <f t="shared" si="19"/>
        <v>0</v>
      </c>
      <c r="S162" s="752">
        <f t="shared" si="20"/>
        <v>0</v>
      </c>
      <c r="T162" s="754">
        <f t="shared" si="21"/>
        <v>0</v>
      </c>
      <c r="U162" s="859"/>
      <c r="V162" s="863"/>
      <c r="W162" s="859"/>
      <c r="X162" s="859"/>
      <c r="Y162" s="755">
        <f t="shared" si="22"/>
        <v>0</v>
      </c>
      <c r="Z162" s="864"/>
      <c r="AA162" s="863"/>
      <c r="AB162" s="756">
        <f t="shared" si="23"/>
        <v>0</v>
      </c>
      <c r="AC162" s="859"/>
      <c r="AD162" s="863"/>
      <c r="AE162" s="859"/>
      <c r="AF162" s="859"/>
      <c r="AG162" s="864"/>
      <c r="AH162" s="865"/>
      <c r="AI162" s="757">
        <f t="shared" si="24"/>
        <v>0</v>
      </c>
      <c r="AJ162" s="758">
        <f t="shared" si="25"/>
        <v>0</v>
      </c>
    </row>
    <row r="163" spans="1:36" x14ac:dyDescent="0.2">
      <c r="A163" s="843" t="s">
        <v>142</v>
      </c>
      <c r="B163" s="844" t="s">
        <v>272</v>
      </c>
      <c r="C163" s="866" t="s">
        <v>510</v>
      </c>
      <c r="D163" s="845"/>
      <c r="E163" s="846">
        <v>101897</v>
      </c>
      <c r="F163" s="880">
        <v>9</v>
      </c>
      <c r="G163" s="859"/>
      <c r="H163" s="860"/>
      <c r="I163" s="861">
        <v>168653</v>
      </c>
      <c r="J163" s="1517">
        <v>159116</v>
      </c>
      <c r="K163" s="859"/>
      <c r="L163" s="863"/>
      <c r="M163" s="859"/>
      <c r="N163" s="859"/>
      <c r="O163" s="752">
        <f t="shared" si="18"/>
        <v>0</v>
      </c>
      <c r="P163" s="862"/>
      <c r="Q163" s="860"/>
      <c r="R163" s="753">
        <f t="shared" si="19"/>
        <v>0</v>
      </c>
      <c r="S163" s="752">
        <f t="shared" si="20"/>
        <v>168653</v>
      </c>
      <c r="T163" s="754">
        <f t="shared" si="21"/>
        <v>159116</v>
      </c>
      <c r="U163" s="859"/>
      <c r="V163" s="863"/>
      <c r="W163" s="859"/>
      <c r="X163" s="859"/>
      <c r="Y163" s="755">
        <f t="shared" si="22"/>
        <v>0</v>
      </c>
      <c r="Z163" s="864"/>
      <c r="AA163" s="863"/>
      <c r="AB163" s="756">
        <f t="shared" si="23"/>
        <v>0</v>
      </c>
      <c r="AC163" s="859"/>
      <c r="AD163" s="863"/>
      <c r="AE163" s="859"/>
      <c r="AF163" s="859"/>
      <c r="AG163" s="864"/>
      <c r="AH163" s="865"/>
      <c r="AI163" s="757">
        <f t="shared" si="24"/>
        <v>168653</v>
      </c>
      <c r="AJ163" s="758">
        <f t="shared" si="25"/>
        <v>159116</v>
      </c>
    </row>
    <row r="164" spans="1:36" x14ac:dyDescent="0.2">
      <c r="A164" s="843" t="s">
        <v>142</v>
      </c>
      <c r="B164" s="844" t="s">
        <v>272</v>
      </c>
      <c r="C164" s="866" t="s">
        <v>511</v>
      </c>
      <c r="D164" s="845"/>
      <c r="E164" s="846">
        <v>101897</v>
      </c>
      <c r="F164" s="880">
        <v>9</v>
      </c>
      <c r="G164" s="859"/>
      <c r="H164" s="860"/>
      <c r="I164" s="861">
        <v>1309960</v>
      </c>
      <c r="J164" s="1517">
        <v>858032</v>
      </c>
      <c r="K164" s="859"/>
      <c r="L164" s="863"/>
      <c r="M164" s="859"/>
      <c r="N164" s="859"/>
      <c r="O164" s="752">
        <f t="shared" si="18"/>
        <v>0</v>
      </c>
      <c r="P164" s="862"/>
      <c r="Q164" s="860"/>
      <c r="R164" s="753">
        <f t="shared" si="19"/>
        <v>0</v>
      </c>
      <c r="S164" s="752">
        <f t="shared" si="20"/>
        <v>1309960</v>
      </c>
      <c r="T164" s="754">
        <f t="shared" si="21"/>
        <v>858032</v>
      </c>
      <c r="U164" s="859"/>
      <c r="V164" s="863"/>
      <c r="W164" s="859"/>
      <c r="X164" s="859"/>
      <c r="Y164" s="755">
        <f t="shared" si="22"/>
        <v>0</v>
      </c>
      <c r="Z164" s="864"/>
      <c r="AA164" s="863"/>
      <c r="AB164" s="756">
        <f t="shared" si="23"/>
        <v>0</v>
      </c>
      <c r="AC164" s="859"/>
      <c r="AD164" s="863"/>
      <c r="AE164" s="859"/>
      <c r="AF164" s="859"/>
      <c r="AG164" s="864"/>
      <c r="AH164" s="865"/>
      <c r="AI164" s="757">
        <f t="shared" si="24"/>
        <v>1309960</v>
      </c>
      <c r="AJ164" s="758">
        <f t="shared" si="25"/>
        <v>858032</v>
      </c>
    </row>
    <row r="165" spans="1:36" x14ac:dyDescent="0.2">
      <c r="A165" s="843" t="s">
        <v>142</v>
      </c>
      <c r="B165" s="844" t="s">
        <v>272</v>
      </c>
      <c r="C165" s="866" t="s">
        <v>512</v>
      </c>
      <c r="D165" s="845"/>
      <c r="E165" s="846">
        <v>101897</v>
      </c>
      <c r="F165" s="880">
        <v>9</v>
      </c>
      <c r="G165" s="859"/>
      <c r="H165" s="860"/>
      <c r="I165" s="861">
        <v>30938</v>
      </c>
      <c r="J165" s="1517">
        <v>104362</v>
      </c>
      <c r="K165" s="859"/>
      <c r="L165" s="863"/>
      <c r="M165" s="859"/>
      <c r="N165" s="859"/>
      <c r="O165" s="752">
        <f t="shared" si="18"/>
        <v>0</v>
      </c>
      <c r="P165" s="862"/>
      <c r="Q165" s="860"/>
      <c r="R165" s="753">
        <f t="shared" si="19"/>
        <v>0</v>
      </c>
      <c r="S165" s="752">
        <f t="shared" si="20"/>
        <v>30938</v>
      </c>
      <c r="T165" s="754">
        <f t="shared" si="21"/>
        <v>104362</v>
      </c>
      <c r="U165" s="859"/>
      <c r="V165" s="863"/>
      <c r="W165" s="859"/>
      <c r="X165" s="859"/>
      <c r="Y165" s="755">
        <f t="shared" si="22"/>
        <v>0</v>
      </c>
      <c r="Z165" s="864"/>
      <c r="AA165" s="863"/>
      <c r="AB165" s="756">
        <f t="shared" si="23"/>
        <v>0</v>
      </c>
      <c r="AC165" s="859"/>
      <c r="AD165" s="863"/>
      <c r="AE165" s="859"/>
      <c r="AF165" s="859"/>
      <c r="AG165" s="864"/>
      <c r="AH165" s="865"/>
      <c r="AI165" s="757">
        <f t="shared" si="24"/>
        <v>30938</v>
      </c>
      <c r="AJ165" s="758">
        <f t="shared" si="25"/>
        <v>104362</v>
      </c>
    </row>
    <row r="166" spans="1:36" x14ac:dyDescent="0.2">
      <c r="A166" s="843" t="s">
        <v>142</v>
      </c>
      <c r="B166" s="844" t="s">
        <v>264</v>
      </c>
      <c r="C166" s="868" t="s">
        <v>525</v>
      </c>
      <c r="D166" s="869"/>
      <c r="E166" s="846">
        <v>101736</v>
      </c>
      <c r="F166" s="847">
        <v>9</v>
      </c>
      <c r="G166" s="859">
        <v>10995547</v>
      </c>
      <c r="H166" s="1525">
        <v>11329268</v>
      </c>
      <c r="I166" s="861"/>
      <c r="J166" s="862"/>
      <c r="K166" s="859"/>
      <c r="L166" s="863"/>
      <c r="M166" s="867">
        <v>10393266</v>
      </c>
      <c r="N166" s="859">
        <v>516795</v>
      </c>
      <c r="O166" s="752">
        <f t="shared" si="18"/>
        <v>10910061</v>
      </c>
      <c r="P166" s="862">
        <v>11431599</v>
      </c>
      <c r="Q166" s="860">
        <v>284528</v>
      </c>
      <c r="R166" s="753">
        <f t="shared" si="19"/>
        <v>11716127</v>
      </c>
      <c r="S166" s="752">
        <f t="shared" si="20"/>
        <v>21388813</v>
      </c>
      <c r="T166" s="754">
        <f t="shared" si="21"/>
        <v>22760867</v>
      </c>
      <c r="U166" s="859"/>
      <c r="V166" s="863"/>
      <c r="W166" s="859"/>
      <c r="X166" s="859"/>
      <c r="Y166" s="755">
        <f t="shared" si="22"/>
        <v>0</v>
      </c>
      <c r="Z166" s="864"/>
      <c r="AA166" s="863"/>
      <c r="AB166" s="756">
        <f t="shared" si="23"/>
        <v>0</v>
      </c>
      <c r="AC166" s="859"/>
      <c r="AD166" s="863"/>
      <c r="AE166" s="859"/>
      <c r="AF166" s="859"/>
      <c r="AG166" s="864"/>
      <c r="AH166" s="865"/>
      <c r="AI166" s="757">
        <f t="shared" si="24"/>
        <v>21388813</v>
      </c>
      <c r="AJ166" s="758">
        <f t="shared" si="25"/>
        <v>22760867</v>
      </c>
    </row>
    <row r="167" spans="1:36" x14ac:dyDescent="0.2">
      <c r="A167" s="843" t="s">
        <v>142</v>
      </c>
      <c r="B167" s="844" t="s">
        <v>272</v>
      </c>
      <c r="C167" s="858" t="s">
        <v>509</v>
      </c>
      <c r="D167" s="845"/>
      <c r="E167" s="846">
        <v>101736</v>
      </c>
      <c r="F167" s="847">
        <v>9</v>
      </c>
      <c r="G167" s="859"/>
      <c r="H167" s="860"/>
      <c r="I167" s="861"/>
      <c r="J167" s="862"/>
      <c r="K167" s="859"/>
      <c r="L167" s="863"/>
      <c r="M167" s="859"/>
      <c r="N167" s="859"/>
      <c r="O167" s="752">
        <f t="shared" si="18"/>
        <v>0</v>
      </c>
      <c r="P167" s="862"/>
      <c r="Q167" s="860"/>
      <c r="R167" s="753">
        <f t="shared" si="19"/>
        <v>0</v>
      </c>
      <c r="S167" s="752">
        <f t="shared" si="20"/>
        <v>0</v>
      </c>
      <c r="T167" s="754">
        <f t="shared" si="21"/>
        <v>0</v>
      </c>
      <c r="U167" s="859"/>
      <c r="V167" s="863"/>
      <c r="W167" s="859"/>
      <c r="X167" s="859"/>
      <c r="Y167" s="755">
        <f t="shared" si="22"/>
        <v>0</v>
      </c>
      <c r="Z167" s="864"/>
      <c r="AA167" s="863"/>
      <c r="AB167" s="756">
        <f t="shared" si="23"/>
        <v>0</v>
      </c>
      <c r="AC167" s="859"/>
      <c r="AD167" s="863"/>
      <c r="AE167" s="859"/>
      <c r="AF167" s="859"/>
      <c r="AG167" s="864"/>
      <c r="AH167" s="865"/>
      <c r="AI167" s="757">
        <f t="shared" si="24"/>
        <v>0</v>
      </c>
      <c r="AJ167" s="758">
        <f t="shared" si="25"/>
        <v>0</v>
      </c>
    </row>
    <row r="168" spans="1:36" x14ac:dyDescent="0.2">
      <c r="A168" s="843" t="s">
        <v>142</v>
      </c>
      <c r="B168" s="844" t="s">
        <v>272</v>
      </c>
      <c r="C168" s="866" t="s">
        <v>510</v>
      </c>
      <c r="D168" s="845"/>
      <c r="E168" s="846">
        <v>101736</v>
      </c>
      <c r="F168" s="847">
        <v>9</v>
      </c>
      <c r="G168" s="859"/>
      <c r="H168" s="860"/>
      <c r="I168" s="861">
        <v>293520</v>
      </c>
      <c r="J168" s="1517">
        <v>640821</v>
      </c>
      <c r="K168" s="859"/>
      <c r="L168" s="863"/>
      <c r="M168" s="859"/>
      <c r="N168" s="859"/>
      <c r="O168" s="752">
        <f t="shared" si="18"/>
        <v>0</v>
      </c>
      <c r="P168" s="862"/>
      <c r="Q168" s="860"/>
      <c r="R168" s="753">
        <f t="shared" si="19"/>
        <v>0</v>
      </c>
      <c r="S168" s="752">
        <f t="shared" si="20"/>
        <v>293520</v>
      </c>
      <c r="T168" s="754">
        <f t="shared" si="21"/>
        <v>640821</v>
      </c>
      <c r="U168" s="859"/>
      <c r="V168" s="863"/>
      <c r="W168" s="859"/>
      <c r="X168" s="859"/>
      <c r="Y168" s="755">
        <f t="shared" si="22"/>
        <v>0</v>
      </c>
      <c r="Z168" s="864"/>
      <c r="AA168" s="863"/>
      <c r="AB168" s="756">
        <f t="shared" si="23"/>
        <v>0</v>
      </c>
      <c r="AC168" s="859"/>
      <c r="AD168" s="863"/>
      <c r="AE168" s="859"/>
      <c r="AF168" s="859"/>
      <c r="AG168" s="864"/>
      <c r="AH168" s="865"/>
      <c r="AI168" s="757">
        <f t="shared" si="24"/>
        <v>293520</v>
      </c>
      <c r="AJ168" s="758">
        <f t="shared" si="25"/>
        <v>640821</v>
      </c>
    </row>
    <row r="169" spans="1:36" x14ac:dyDescent="0.2">
      <c r="A169" s="843" t="s">
        <v>142</v>
      </c>
      <c r="B169" s="844" t="s">
        <v>272</v>
      </c>
      <c r="C169" s="866" t="s">
        <v>511</v>
      </c>
      <c r="D169" s="845"/>
      <c r="E169" s="846">
        <v>101736</v>
      </c>
      <c r="F169" s="847">
        <v>9</v>
      </c>
      <c r="G169" s="859"/>
      <c r="H169" s="860"/>
      <c r="I169" s="861">
        <v>498523</v>
      </c>
      <c r="J169" s="1517">
        <v>460895</v>
      </c>
      <c r="K169" s="859"/>
      <c r="L169" s="863"/>
      <c r="M169" s="859"/>
      <c r="N169" s="859"/>
      <c r="O169" s="752">
        <f t="shared" si="18"/>
        <v>0</v>
      </c>
      <c r="P169" s="862"/>
      <c r="Q169" s="860"/>
      <c r="R169" s="753">
        <f t="shared" si="19"/>
        <v>0</v>
      </c>
      <c r="S169" s="752">
        <f t="shared" si="20"/>
        <v>498523</v>
      </c>
      <c r="T169" s="754">
        <f t="shared" si="21"/>
        <v>460895</v>
      </c>
      <c r="U169" s="859"/>
      <c r="V169" s="863"/>
      <c r="W169" s="859"/>
      <c r="X169" s="859"/>
      <c r="Y169" s="755">
        <f t="shared" si="22"/>
        <v>0</v>
      </c>
      <c r="Z169" s="864"/>
      <c r="AA169" s="863"/>
      <c r="AB169" s="756">
        <f t="shared" si="23"/>
        <v>0</v>
      </c>
      <c r="AC169" s="859"/>
      <c r="AD169" s="863"/>
      <c r="AE169" s="859"/>
      <c r="AF169" s="859"/>
      <c r="AG169" s="864"/>
      <c r="AH169" s="865"/>
      <c r="AI169" s="757">
        <f t="shared" si="24"/>
        <v>498523</v>
      </c>
      <c r="AJ169" s="758">
        <f t="shared" si="25"/>
        <v>460895</v>
      </c>
    </row>
    <row r="170" spans="1:36" x14ac:dyDescent="0.2">
      <c r="A170" s="843" t="s">
        <v>142</v>
      </c>
      <c r="B170" s="844" t="s">
        <v>272</v>
      </c>
      <c r="C170" s="866" t="s">
        <v>512</v>
      </c>
      <c r="D170" s="845"/>
      <c r="E170" s="846">
        <v>101736</v>
      </c>
      <c r="F170" s="847">
        <v>9</v>
      </c>
      <c r="G170" s="859"/>
      <c r="H170" s="860"/>
      <c r="I170" s="861">
        <v>63500</v>
      </c>
      <c r="J170" s="1517">
        <v>226149</v>
      </c>
      <c r="K170" s="859"/>
      <c r="L170" s="863"/>
      <c r="M170" s="859"/>
      <c r="N170" s="859"/>
      <c r="O170" s="752">
        <f t="shared" si="18"/>
        <v>0</v>
      </c>
      <c r="P170" s="862"/>
      <c r="Q170" s="860"/>
      <c r="R170" s="753">
        <f t="shared" si="19"/>
        <v>0</v>
      </c>
      <c r="S170" s="752">
        <f t="shared" si="20"/>
        <v>63500</v>
      </c>
      <c r="T170" s="754">
        <f t="shared" si="21"/>
        <v>226149</v>
      </c>
      <c r="U170" s="859"/>
      <c r="V170" s="863"/>
      <c r="W170" s="859"/>
      <c r="X170" s="859"/>
      <c r="Y170" s="755">
        <f t="shared" si="22"/>
        <v>0</v>
      </c>
      <c r="Z170" s="864"/>
      <c r="AA170" s="863"/>
      <c r="AB170" s="756">
        <f t="shared" si="23"/>
        <v>0</v>
      </c>
      <c r="AC170" s="859"/>
      <c r="AD170" s="863"/>
      <c r="AE170" s="859"/>
      <c r="AF170" s="859"/>
      <c r="AG170" s="864"/>
      <c r="AH170" s="865"/>
      <c r="AI170" s="757">
        <f t="shared" si="24"/>
        <v>63500</v>
      </c>
      <c r="AJ170" s="758">
        <f t="shared" si="25"/>
        <v>226149</v>
      </c>
    </row>
    <row r="171" spans="1:36" x14ac:dyDescent="0.2">
      <c r="A171" s="843" t="s">
        <v>142</v>
      </c>
      <c r="B171" s="844" t="s">
        <v>264</v>
      </c>
      <c r="C171" s="870" t="s">
        <v>526</v>
      </c>
      <c r="D171" s="872"/>
      <c r="E171" s="846">
        <v>102067</v>
      </c>
      <c r="F171" s="847">
        <v>9</v>
      </c>
      <c r="G171" s="859">
        <v>18009332</v>
      </c>
      <c r="H171" s="1525">
        <v>17239491</v>
      </c>
      <c r="I171" s="861"/>
      <c r="J171" s="862"/>
      <c r="K171" s="859"/>
      <c r="L171" s="863"/>
      <c r="M171" s="867">
        <v>16645279</v>
      </c>
      <c r="N171" s="859"/>
      <c r="O171" s="752">
        <f t="shared" si="18"/>
        <v>16645279</v>
      </c>
      <c r="P171" s="862">
        <v>16933100</v>
      </c>
      <c r="Q171" s="860"/>
      <c r="R171" s="753">
        <f t="shared" si="19"/>
        <v>16933100</v>
      </c>
      <c r="S171" s="752">
        <f t="shared" si="20"/>
        <v>34654611</v>
      </c>
      <c r="T171" s="754">
        <f t="shared" si="21"/>
        <v>34172591</v>
      </c>
      <c r="U171" s="859"/>
      <c r="V171" s="863"/>
      <c r="W171" s="859"/>
      <c r="X171" s="859"/>
      <c r="Y171" s="755">
        <f t="shared" si="22"/>
        <v>0</v>
      </c>
      <c r="Z171" s="864"/>
      <c r="AA171" s="863"/>
      <c r="AB171" s="756">
        <f t="shared" si="23"/>
        <v>0</v>
      </c>
      <c r="AC171" s="859"/>
      <c r="AD171" s="863"/>
      <c r="AE171" s="859"/>
      <c r="AF171" s="859"/>
      <c r="AG171" s="864"/>
      <c r="AH171" s="865"/>
      <c r="AI171" s="757">
        <f t="shared" si="24"/>
        <v>34654611</v>
      </c>
      <c r="AJ171" s="758">
        <f t="shared" si="25"/>
        <v>34172591</v>
      </c>
    </row>
    <row r="172" spans="1:36" x14ac:dyDescent="0.2">
      <c r="A172" s="843" t="s">
        <v>142</v>
      </c>
      <c r="B172" s="844" t="s">
        <v>266</v>
      </c>
      <c r="C172" s="858" t="s">
        <v>319</v>
      </c>
      <c r="D172" s="845"/>
      <c r="E172" s="846">
        <v>102067</v>
      </c>
      <c r="F172" s="847">
        <v>9</v>
      </c>
      <c r="G172" s="859"/>
      <c r="H172" s="860"/>
      <c r="I172" s="861"/>
      <c r="J172" s="862"/>
      <c r="K172" s="859"/>
      <c r="L172" s="863"/>
      <c r="M172" s="859"/>
      <c r="N172" s="859"/>
      <c r="O172" s="752">
        <f t="shared" si="18"/>
        <v>0</v>
      </c>
      <c r="P172" s="862"/>
      <c r="Q172" s="860"/>
      <c r="R172" s="753">
        <f t="shared" si="19"/>
        <v>0</v>
      </c>
      <c r="S172" s="752">
        <f t="shared" si="20"/>
        <v>0</v>
      </c>
      <c r="T172" s="754">
        <f t="shared" si="21"/>
        <v>0</v>
      </c>
      <c r="U172" s="859"/>
      <c r="V172" s="863"/>
      <c r="W172" s="859"/>
      <c r="X172" s="859"/>
      <c r="Y172" s="755">
        <f t="shared" si="22"/>
        <v>0</v>
      </c>
      <c r="Z172" s="864"/>
      <c r="AA172" s="863"/>
      <c r="AB172" s="756">
        <f t="shared" si="23"/>
        <v>0</v>
      </c>
      <c r="AC172" s="859"/>
      <c r="AD172" s="863"/>
      <c r="AE172" s="859"/>
      <c r="AF172" s="859"/>
      <c r="AG172" s="864"/>
      <c r="AH172" s="865"/>
      <c r="AI172" s="757">
        <f t="shared" si="24"/>
        <v>0</v>
      </c>
      <c r="AJ172" s="758">
        <f t="shared" si="25"/>
        <v>0</v>
      </c>
    </row>
    <row r="173" spans="1:36" x14ac:dyDescent="0.2">
      <c r="A173" s="843" t="s">
        <v>142</v>
      </c>
      <c r="B173" s="844" t="s">
        <v>266</v>
      </c>
      <c r="C173" s="866" t="s">
        <v>527</v>
      </c>
      <c r="D173" s="845"/>
      <c r="E173" s="846">
        <v>102067</v>
      </c>
      <c r="F173" s="847">
        <v>9</v>
      </c>
      <c r="G173" s="859"/>
      <c r="H173" s="860"/>
      <c r="I173" s="861"/>
      <c r="J173" s="862"/>
      <c r="K173" s="859"/>
      <c r="L173" s="863"/>
      <c r="M173" s="859"/>
      <c r="N173" s="859"/>
      <c r="O173" s="752">
        <f t="shared" si="18"/>
        <v>0</v>
      </c>
      <c r="P173" s="862"/>
      <c r="Q173" s="860"/>
      <c r="R173" s="753">
        <f t="shared" si="19"/>
        <v>0</v>
      </c>
      <c r="S173" s="752">
        <f t="shared" si="20"/>
        <v>0</v>
      </c>
      <c r="T173" s="754">
        <f t="shared" si="21"/>
        <v>0</v>
      </c>
      <c r="U173" s="859"/>
      <c r="V173" s="863"/>
      <c r="W173" s="859"/>
      <c r="X173" s="859"/>
      <c r="Y173" s="755">
        <f t="shared" si="22"/>
        <v>0</v>
      </c>
      <c r="Z173" s="864"/>
      <c r="AA173" s="863"/>
      <c r="AB173" s="756">
        <f t="shared" si="23"/>
        <v>0</v>
      </c>
      <c r="AC173" s="859"/>
      <c r="AD173" s="863"/>
      <c r="AE173" s="859"/>
      <c r="AF173" s="859"/>
      <c r="AG173" s="864"/>
      <c r="AH173" s="865"/>
      <c r="AI173" s="757">
        <f t="shared" si="24"/>
        <v>0</v>
      </c>
      <c r="AJ173" s="758">
        <f t="shared" si="25"/>
        <v>0</v>
      </c>
    </row>
    <row r="174" spans="1:36" x14ac:dyDescent="0.2">
      <c r="A174" s="843" t="s">
        <v>142</v>
      </c>
      <c r="B174" s="844" t="s">
        <v>266</v>
      </c>
      <c r="C174" s="866" t="s">
        <v>528</v>
      </c>
      <c r="D174" s="845"/>
      <c r="E174" s="846">
        <v>102067</v>
      </c>
      <c r="F174" s="847">
        <v>9</v>
      </c>
      <c r="G174" s="859"/>
      <c r="H174" s="860"/>
      <c r="I174" s="861"/>
      <c r="J174" s="862"/>
      <c r="K174" s="859"/>
      <c r="L174" s="863"/>
      <c r="M174" s="859"/>
      <c r="N174" s="859"/>
      <c r="O174" s="752">
        <f t="shared" si="18"/>
        <v>0</v>
      </c>
      <c r="P174" s="862"/>
      <c r="Q174" s="860"/>
      <c r="R174" s="753">
        <f t="shared" si="19"/>
        <v>0</v>
      </c>
      <c r="S174" s="752">
        <f t="shared" si="20"/>
        <v>0</v>
      </c>
      <c r="T174" s="754">
        <f t="shared" si="21"/>
        <v>0</v>
      </c>
      <c r="U174" s="859"/>
      <c r="V174" s="863"/>
      <c r="W174" s="859"/>
      <c r="X174" s="859"/>
      <c r="Y174" s="755">
        <f t="shared" si="22"/>
        <v>0</v>
      </c>
      <c r="Z174" s="864"/>
      <c r="AA174" s="863"/>
      <c r="AB174" s="756">
        <f t="shared" si="23"/>
        <v>0</v>
      </c>
      <c r="AC174" s="859"/>
      <c r="AD174" s="863"/>
      <c r="AE174" s="859"/>
      <c r="AF174" s="859"/>
      <c r="AG174" s="864"/>
      <c r="AH174" s="865"/>
      <c r="AI174" s="757">
        <f t="shared" si="24"/>
        <v>0</v>
      </c>
      <c r="AJ174" s="758">
        <f t="shared" si="25"/>
        <v>0</v>
      </c>
    </row>
    <row r="175" spans="1:36" x14ac:dyDescent="0.2">
      <c r="A175" s="843" t="s">
        <v>142</v>
      </c>
      <c r="B175" s="844" t="s">
        <v>272</v>
      </c>
      <c r="C175" s="858" t="s">
        <v>509</v>
      </c>
      <c r="D175" s="845"/>
      <c r="E175" s="846">
        <v>102067</v>
      </c>
      <c r="F175" s="847">
        <v>9</v>
      </c>
      <c r="G175" s="859"/>
      <c r="H175" s="860"/>
      <c r="I175" s="861"/>
      <c r="J175" s="862"/>
      <c r="K175" s="859"/>
      <c r="L175" s="863"/>
      <c r="M175" s="859"/>
      <c r="N175" s="859"/>
      <c r="O175" s="752">
        <f t="shared" si="18"/>
        <v>0</v>
      </c>
      <c r="P175" s="862"/>
      <c r="Q175" s="860"/>
      <c r="R175" s="753">
        <f t="shared" si="19"/>
        <v>0</v>
      </c>
      <c r="S175" s="752">
        <f t="shared" si="20"/>
        <v>0</v>
      </c>
      <c r="T175" s="754">
        <f t="shared" si="21"/>
        <v>0</v>
      </c>
      <c r="U175" s="859"/>
      <c r="V175" s="863"/>
      <c r="W175" s="859"/>
      <c r="X175" s="859"/>
      <c r="Y175" s="755">
        <f t="shared" si="22"/>
        <v>0</v>
      </c>
      <c r="Z175" s="864"/>
      <c r="AA175" s="863"/>
      <c r="AB175" s="756">
        <f t="shared" si="23"/>
        <v>0</v>
      </c>
      <c r="AC175" s="859"/>
      <c r="AD175" s="863"/>
      <c r="AE175" s="859"/>
      <c r="AF175" s="859"/>
      <c r="AG175" s="864"/>
      <c r="AH175" s="865"/>
      <c r="AI175" s="757">
        <f t="shared" si="24"/>
        <v>0</v>
      </c>
      <c r="AJ175" s="758">
        <f t="shared" si="25"/>
        <v>0</v>
      </c>
    </row>
    <row r="176" spans="1:36" x14ac:dyDescent="0.2">
      <c r="A176" s="843" t="s">
        <v>142</v>
      </c>
      <c r="B176" s="844" t="s">
        <v>272</v>
      </c>
      <c r="C176" s="866" t="s">
        <v>510</v>
      </c>
      <c r="D176" s="845"/>
      <c r="E176" s="846">
        <v>102067</v>
      </c>
      <c r="F176" s="847">
        <v>9</v>
      </c>
      <c r="G176" s="859"/>
      <c r="H176" s="860"/>
      <c r="I176" s="861">
        <v>132819</v>
      </c>
      <c r="J176" s="1517">
        <v>332238</v>
      </c>
      <c r="K176" s="859"/>
      <c r="L176" s="863"/>
      <c r="M176" s="859"/>
      <c r="N176" s="859"/>
      <c r="O176" s="752">
        <f t="shared" si="18"/>
        <v>0</v>
      </c>
      <c r="P176" s="862"/>
      <c r="Q176" s="860"/>
      <c r="R176" s="753">
        <f t="shared" si="19"/>
        <v>0</v>
      </c>
      <c r="S176" s="752">
        <f t="shared" si="20"/>
        <v>132819</v>
      </c>
      <c r="T176" s="754">
        <f t="shared" si="21"/>
        <v>332238</v>
      </c>
      <c r="U176" s="859"/>
      <c r="V176" s="863"/>
      <c r="W176" s="859"/>
      <c r="X176" s="859"/>
      <c r="Y176" s="755">
        <f t="shared" si="22"/>
        <v>0</v>
      </c>
      <c r="Z176" s="864"/>
      <c r="AA176" s="863"/>
      <c r="AB176" s="756">
        <f t="shared" si="23"/>
        <v>0</v>
      </c>
      <c r="AC176" s="859"/>
      <c r="AD176" s="863"/>
      <c r="AE176" s="859"/>
      <c r="AF176" s="859"/>
      <c r="AG176" s="864"/>
      <c r="AH176" s="865"/>
      <c r="AI176" s="757">
        <f t="shared" si="24"/>
        <v>132819</v>
      </c>
      <c r="AJ176" s="758">
        <f t="shared" si="25"/>
        <v>332238</v>
      </c>
    </row>
    <row r="177" spans="1:36" x14ac:dyDescent="0.2">
      <c r="A177" s="843" t="s">
        <v>142</v>
      </c>
      <c r="B177" s="844" t="s">
        <v>272</v>
      </c>
      <c r="C177" s="866" t="s">
        <v>511</v>
      </c>
      <c r="D177" s="845"/>
      <c r="E177" s="846">
        <v>102067</v>
      </c>
      <c r="F177" s="847">
        <v>9</v>
      </c>
      <c r="G177" s="859"/>
      <c r="H177" s="860"/>
      <c r="I177" s="861">
        <v>551688</v>
      </c>
      <c r="J177" s="1517">
        <v>558830</v>
      </c>
      <c r="K177" s="859"/>
      <c r="L177" s="863"/>
      <c r="M177" s="859"/>
      <c r="N177" s="859"/>
      <c r="O177" s="752">
        <f t="shared" si="18"/>
        <v>0</v>
      </c>
      <c r="P177" s="862"/>
      <c r="Q177" s="860"/>
      <c r="R177" s="753">
        <f t="shared" si="19"/>
        <v>0</v>
      </c>
      <c r="S177" s="752">
        <f t="shared" si="20"/>
        <v>551688</v>
      </c>
      <c r="T177" s="754">
        <f t="shared" si="21"/>
        <v>558830</v>
      </c>
      <c r="U177" s="859"/>
      <c r="V177" s="863"/>
      <c r="W177" s="859"/>
      <c r="X177" s="859"/>
      <c r="Y177" s="755">
        <f t="shared" si="22"/>
        <v>0</v>
      </c>
      <c r="Z177" s="864"/>
      <c r="AA177" s="863"/>
      <c r="AB177" s="756">
        <f t="shared" si="23"/>
        <v>0</v>
      </c>
      <c r="AC177" s="859"/>
      <c r="AD177" s="863"/>
      <c r="AE177" s="859"/>
      <c r="AF177" s="859"/>
      <c r="AG177" s="864"/>
      <c r="AH177" s="865"/>
      <c r="AI177" s="757">
        <f t="shared" si="24"/>
        <v>551688</v>
      </c>
      <c r="AJ177" s="758">
        <f t="shared" si="25"/>
        <v>558830</v>
      </c>
    </row>
    <row r="178" spans="1:36" x14ac:dyDescent="0.2">
      <c r="A178" s="843" t="s">
        <v>142</v>
      </c>
      <c r="B178" s="844" t="s">
        <v>272</v>
      </c>
      <c r="C178" s="866" t="s">
        <v>512</v>
      </c>
      <c r="D178" s="845"/>
      <c r="E178" s="846">
        <v>102067</v>
      </c>
      <c r="F178" s="847">
        <v>9</v>
      </c>
      <c r="G178" s="859"/>
      <c r="H178" s="860"/>
      <c r="I178" s="876">
        <v>80000</v>
      </c>
      <c r="J178" s="1517">
        <v>45000</v>
      </c>
      <c r="K178" s="859"/>
      <c r="L178" s="863"/>
      <c r="M178" s="859"/>
      <c r="N178" s="859"/>
      <c r="O178" s="752">
        <f t="shared" si="18"/>
        <v>0</v>
      </c>
      <c r="P178" s="862"/>
      <c r="Q178" s="860"/>
      <c r="R178" s="753">
        <f t="shared" si="19"/>
        <v>0</v>
      </c>
      <c r="S178" s="752">
        <f t="shared" si="20"/>
        <v>80000</v>
      </c>
      <c r="T178" s="754">
        <f t="shared" si="21"/>
        <v>45000</v>
      </c>
      <c r="U178" s="859"/>
      <c r="V178" s="863"/>
      <c r="W178" s="859"/>
      <c r="X178" s="859"/>
      <c r="Y178" s="755">
        <f t="shared" si="22"/>
        <v>0</v>
      </c>
      <c r="Z178" s="864"/>
      <c r="AA178" s="863"/>
      <c r="AB178" s="756">
        <f t="shared" si="23"/>
        <v>0</v>
      </c>
      <c r="AC178" s="859"/>
      <c r="AD178" s="863"/>
      <c r="AE178" s="859"/>
      <c r="AF178" s="859"/>
      <c r="AG178" s="864"/>
      <c r="AH178" s="865"/>
      <c r="AI178" s="757">
        <f t="shared" si="24"/>
        <v>80000</v>
      </c>
      <c r="AJ178" s="758">
        <f t="shared" si="25"/>
        <v>45000</v>
      </c>
    </row>
    <row r="179" spans="1:36" x14ac:dyDescent="0.2">
      <c r="A179" s="843" t="s">
        <v>142</v>
      </c>
      <c r="B179" s="844" t="s">
        <v>264</v>
      </c>
      <c r="C179" s="868" t="s">
        <v>529</v>
      </c>
      <c r="D179" s="869"/>
      <c r="E179" s="846">
        <v>251260</v>
      </c>
      <c r="F179" s="847">
        <v>9</v>
      </c>
      <c r="G179" s="859">
        <v>13474260</v>
      </c>
      <c r="H179" s="860">
        <v>13873887</v>
      </c>
      <c r="I179" s="861"/>
      <c r="J179" s="862"/>
      <c r="K179" s="859"/>
      <c r="L179" s="863"/>
      <c r="M179" s="867">
        <v>14058994</v>
      </c>
      <c r="N179" s="867">
        <v>2311065</v>
      </c>
      <c r="O179" s="752">
        <f t="shared" si="18"/>
        <v>16370059</v>
      </c>
      <c r="P179" s="862">
        <v>13389839</v>
      </c>
      <c r="Q179" s="860">
        <v>2755371</v>
      </c>
      <c r="R179" s="753">
        <f t="shared" si="19"/>
        <v>16145210</v>
      </c>
      <c r="S179" s="752">
        <f t="shared" si="20"/>
        <v>27533254</v>
      </c>
      <c r="T179" s="754">
        <f t="shared" si="21"/>
        <v>27263726</v>
      </c>
      <c r="U179" s="859"/>
      <c r="V179" s="863"/>
      <c r="W179" s="859"/>
      <c r="X179" s="859"/>
      <c r="Y179" s="755">
        <f t="shared" si="22"/>
        <v>0</v>
      </c>
      <c r="Z179" s="864"/>
      <c r="AA179" s="863"/>
      <c r="AB179" s="756">
        <f t="shared" si="23"/>
        <v>0</v>
      </c>
      <c r="AC179" s="859"/>
      <c r="AD179" s="863"/>
      <c r="AE179" s="859"/>
      <c r="AF179" s="859"/>
      <c r="AG179" s="864"/>
      <c r="AH179" s="865"/>
      <c r="AI179" s="757">
        <f t="shared" si="24"/>
        <v>27533254</v>
      </c>
      <c r="AJ179" s="758">
        <f t="shared" si="25"/>
        <v>27263726</v>
      </c>
    </row>
    <row r="180" spans="1:36" x14ac:dyDescent="0.2">
      <c r="A180" s="843" t="s">
        <v>142</v>
      </c>
      <c r="B180" s="844" t="s">
        <v>272</v>
      </c>
      <c r="C180" s="858" t="s">
        <v>509</v>
      </c>
      <c r="D180" s="845"/>
      <c r="E180" s="846">
        <v>251260</v>
      </c>
      <c r="F180" s="847">
        <v>9</v>
      </c>
      <c r="G180" s="859"/>
      <c r="H180" s="860"/>
      <c r="I180" s="861"/>
      <c r="J180" s="862"/>
      <c r="K180" s="859"/>
      <c r="L180" s="863"/>
      <c r="M180" s="859"/>
      <c r="N180" s="859"/>
      <c r="O180" s="752">
        <f t="shared" si="18"/>
        <v>0</v>
      </c>
      <c r="P180" s="862"/>
      <c r="Q180" s="860"/>
      <c r="R180" s="753">
        <f t="shared" si="19"/>
        <v>0</v>
      </c>
      <c r="S180" s="752">
        <f t="shared" si="20"/>
        <v>0</v>
      </c>
      <c r="T180" s="754">
        <f t="shared" si="21"/>
        <v>0</v>
      </c>
      <c r="U180" s="859"/>
      <c r="V180" s="863"/>
      <c r="W180" s="859"/>
      <c r="X180" s="859"/>
      <c r="Y180" s="755">
        <f t="shared" si="22"/>
        <v>0</v>
      </c>
      <c r="Z180" s="864"/>
      <c r="AA180" s="863"/>
      <c r="AB180" s="756">
        <f t="shared" si="23"/>
        <v>0</v>
      </c>
      <c r="AC180" s="859"/>
      <c r="AD180" s="863"/>
      <c r="AE180" s="859"/>
      <c r="AF180" s="859"/>
      <c r="AG180" s="864"/>
      <c r="AH180" s="865"/>
      <c r="AI180" s="757">
        <f t="shared" si="24"/>
        <v>0</v>
      </c>
      <c r="AJ180" s="758">
        <f t="shared" si="25"/>
        <v>0</v>
      </c>
    </row>
    <row r="181" spans="1:36" x14ac:dyDescent="0.2">
      <c r="A181" s="843" t="s">
        <v>142</v>
      </c>
      <c r="B181" s="844" t="s">
        <v>272</v>
      </c>
      <c r="C181" s="866" t="s">
        <v>510</v>
      </c>
      <c r="D181" s="845"/>
      <c r="E181" s="846">
        <v>251260</v>
      </c>
      <c r="F181" s="847">
        <v>9</v>
      </c>
      <c r="G181" s="859"/>
      <c r="H181" s="860"/>
      <c r="I181" s="861">
        <v>29712</v>
      </c>
      <c r="J181" s="1517">
        <v>26950</v>
      </c>
      <c r="K181" s="859"/>
      <c r="L181" s="863"/>
      <c r="M181" s="859"/>
      <c r="N181" s="859"/>
      <c r="O181" s="752">
        <f t="shared" si="18"/>
        <v>0</v>
      </c>
      <c r="P181" s="862"/>
      <c r="Q181" s="860"/>
      <c r="R181" s="753">
        <f t="shared" si="19"/>
        <v>0</v>
      </c>
      <c r="S181" s="752">
        <f t="shared" si="20"/>
        <v>29712</v>
      </c>
      <c r="T181" s="754">
        <f t="shared" si="21"/>
        <v>26950</v>
      </c>
      <c r="U181" s="859"/>
      <c r="V181" s="863"/>
      <c r="W181" s="859"/>
      <c r="X181" s="859"/>
      <c r="Y181" s="755">
        <f t="shared" si="22"/>
        <v>0</v>
      </c>
      <c r="Z181" s="864"/>
      <c r="AA181" s="863"/>
      <c r="AB181" s="756">
        <f t="shared" si="23"/>
        <v>0</v>
      </c>
      <c r="AC181" s="859"/>
      <c r="AD181" s="863"/>
      <c r="AE181" s="859"/>
      <c r="AF181" s="859"/>
      <c r="AG181" s="864"/>
      <c r="AH181" s="865"/>
      <c r="AI181" s="757">
        <f t="shared" si="24"/>
        <v>29712</v>
      </c>
      <c r="AJ181" s="758">
        <f t="shared" si="25"/>
        <v>26950</v>
      </c>
    </row>
    <row r="182" spans="1:36" x14ac:dyDescent="0.2">
      <c r="A182" s="843" t="s">
        <v>142</v>
      </c>
      <c r="B182" s="844" t="s">
        <v>272</v>
      </c>
      <c r="C182" s="866" t="s">
        <v>511</v>
      </c>
      <c r="D182" s="845"/>
      <c r="E182" s="846">
        <v>251260</v>
      </c>
      <c r="F182" s="847">
        <v>9</v>
      </c>
      <c r="G182" s="859"/>
      <c r="H182" s="860"/>
      <c r="I182" s="861">
        <v>635432</v>
      </c>
      <c r="J182" s="1517">
        <v>1396883</v>
      </c>
      <c r="K182" s="859"/>
      <c r="L182" s="863"/>
      <c r="M182" s="859"/>
      <c r="N182" s="859"/>
      <c r="O182" s="752">
        <f t="shared" si="18"/>
        <v>0</v>
      </c>
      <c r="P182" s="862"/>
      <c r="Q182" s="860"/>
      <c r="R182" s="753">
        <f t="shared" si="19"/>
        <v>0</v>
      </c>
      <c r="S182" s="752">
        <f t="shared" si="20"/>
        <v>635432</v>
      </c>
      <c r="T182" s="754">
        <f t="shared" si="21"/>
        <v>1396883</v>
      </c>
      <c r="U182" s="859"/>
      <c r="V182" s="863"/>
      <c r="W182" s="859"/>
      <c r="X182" s="859"/>
      <c r="Y182" s="755">
        <f t="shared" si="22"/>
        <v>0</v>
      </c>
      <c r="Z182" s="864"/>
      <c r="AA182" s="863"/>
      <c r="AB182" s="756">
        <f t="shared" si="23"/>
        <v>0</v>
      </c>
      <c r="AC182" s="859"/>
      <c r="AD182" s="863"/>
      <c r="AE182" s="859"/>
      <c r="AF182" s="859"/>
      <c r="AG182" s="864"/>
      <c r="AH182" s="865"/>
      <c r="AI182" s="757">
        <f t="shared" si="24"/>
        <v>635432</v>
      </c>
      <c r="AJ182" s="758">
        <f t="shared" si="25"/>
        <v>1396883</v>
      </c>
    </row>
    <row r="183" spans="1:36" x14ac:dyDescent="0.2">
      <c r="A183" s="843" t="s">
        <v>142</v>
      </c>
      <c r="B183" s="844" t="s">
        <v>272</v>
      </c>
      <c r="C183" s="866" t="s">
        <v>512</v>
      </c>
      <c r="D183" s="845"/>
      <c r="E183" s="846">
        <v>251260</v>
      </c>
      <c r="F183" s="847">
        <v>9</v>
      </c>
      <c r="G183" s="859"/>
      <c r="H183" s="860"/>
      <c r="I183" s="861">
        <v>11851</v>
      </c>
      <c r="J183" s="1517">
        <v>34064</v>
      </c>
      <c r="K183" s="859"/>
      <c r="L183" s="863"/>
      <c r="M183" s="859"/>
      <c r="N183" s="859"/>
      <c r="O183" s="752">
        <f t="shared" si="18"/>
        <v>0</v>
      </c>
      <c r="P183" s="862"/>
      <c r="Q183" s="860"/>
      <c r="R183" s="753">
        <f t="shared" si="19"/>
        <v>0</v>
      </c>
      <c r="S183" s="752">
        <f t="shared" si="20"/>
        <v>11851</v>
      </c>
      <c r="T183" s="754">
        <f t="shared" si="21"/>
        <v>34064</v>
      </c>
      <c r="U183" s="859"/>
      <c r="V183" s="863"/>
      <c r="W183" s="859"/>
      <c r="X183" s="859"/>
      <c r="Y183" s="755">
        <f t="shared" si="22"/>
        <v>0</v>
      </c>
      <c r="Z183" s="864"/>
      <c r="AA183" s="863"/>
      <c r="AB183" s="756">
        <f t="shared" si="23"/>
        <v>0</v>
      </c>
      <c r="AC183" s="859"/>
      <c r="AD183" s="863"/>
      <c r="AE183" s="859"/>
      <c r="AF183" s="859"/>
      <c r="AG183" s="864"/>
      <c r="AH183" s="865"/>
      <c r="AI183" s="757">
        <f t="shared" si="24"/>
        <v>11851</v>
      </c>
      <c r="AJ183" s="758">
        <f t="shared" si="25"/>
        <v>34064</v>
      </c>
    </row>
    <row r="184" spans="1:36" x14ac:dyDescent="0.2">
      <c r="A184" s="843" t="s">
        <v>142</v>
      </c>
      <c r="B184" s="844" t="s">
        <v>264</v>
      </c>
      <c r="C184" s="868" t="s">
        <v>530</v>
      </c>
      <c r="D184" s="869"/>
      <c r="E184" s="846">
        <v>101949</v>
      </c>
      <c r="F184" s="847">
        <v>10</v>
      </c>
      <c r="G184" s="859">
        <v>6062326</v>
      </c>
      <c r="H184" s="860">
        <v>6176730</v>
      </c>
      <c r="I184" s="861"/>
      <c r="J184" s="862"/>
      <c r="K184" s="859"/>
      <c r="L184" s="863"/>
      <c r="M184" s="867">
        <v>4500678</v>
      </c>
      <c r="N184" s="859">
        <v>217993</v>
      </c>
      <c r="O184" s="752">
        <f t="shared" si="18"/>
        <v>4718671</v>
      </c>
      <c r="P184" s="862">
        <v>4522950</v>
      </c>
      <c r="Q184" s="860">
        <v>218056</v>
      </c>
      <c r="R184" s="753">
        <f t="shared" si="19"/>
        <v>4741006</v>
      </c>
      <c r="S184" s="752">
        <f t="shared" si="20"/>
        <v>10563004</v>
      </c>
      <c r="T184" s="754">
        <f t="shared" si="21"/>
        <v>10699680</v>
      </c>
      <c r="U184" s="859"/>
      <c r="V184" s="863"/>
      <c r="W184" s="859"/>
      <c r="X184" s="859"/>
      <c r="Y184" s="755">
        <f t="shared" si="22"/>
        <v>0</v>
      </c>
      <c r="Z184" s="864"/>
      <c r="AA184" s="863"/>
      <c r="AB184" s="756">
        <f t="shared" si="23"/>
        <v>0</v>
      </c>
      <c r="AC184" s="859"/>
      <c r="AD184" s="863"/>
      <c r="AE184" s="859"/>
      <c r="AF184" s="859"/>
      <c r="AG184" s="864"/>
      <c r="AH184" s="865"/>
      <c r="AI184" s="757">
        <f t="shared" si="24"/>
        <v>10563004</v>
      </c>
      <c r="AJ184" s="758">
        <f t="shared" si="25"/>
        <v>10699680</v>
      </c>
    </row>
    <row r="185" spans="1:36" x14ac:dyDescent="0.2">
      <c r="A185" s="843" t="s">
        <v>142</v>
      </c>
      <c r="B185" s="844" t="s">
        <v>272</v>
      </c>
      <c r="C185" s="858" t="s">
        <v>509</v>
      </c>
      <c r="D185" s="845"/>
      <c r="E185" s="846">
        <v>101949</v>
      </c>
      <c r="F185" s="847">
        <v>10</v>
      </c>
      <c r="G185" s="859"/>
      <c r="H185" s="860"/>
      <c r="I185" s="861"/>
      <c r="J185" s="862"/>
      <c r="K185" s="859"/>
      <c r="L185" s="863"/>
      <c r="M185" s="859"/>
      <c r="N185" s="859"/>
      <c r="O185" s="752">
        <f t="shared" si="18"/>
        <v>0</v>
      </c>
      <c r="P185" s="862"/>
      <c r="Q185" s="860"/>
      <c r="R185" s="753">
        <f t="shared" si="19"/>
        <v>0</v>
      </c>
      <c r="S185" s="752">
        <f t="shared" si="20"/>
        <v>0</v>
      </c>
      <c r="T185" s="754">
        <f t="shared" si="21"/>
        <v>0</v>
      </c>
      <c r="U185" s="859"/>
      <c r="V185" s="863"/>
      <c r="W185" s="859"/>
      <c r="X185" s="859"/>
      <c r="Y185" s="755">
        <f t="shared" si="22"/>
        <v>0</v>
      </c>
      <c r="Z185" s="864"/>
      <c r="AA185" s="863"/>
      <c r="AB185" s="756">
        <f t="shared" si="23"/>
        <v>0</v>
      </c>
      <c r="AC185" s="859"/>
      <c r="AD185" s="863"/>
      <c r="AE185" s="859"/>
      <c r="AF185" s="859"/>
      <c r="AG185" s="864"/>
      <c r="AH185" s="865"/>
      <c r="AI185" s="757">
        <f t="shared" si="24"/>
        <v>0</v>
      </c>
      <c r="AJ185" s="758">
        <f t="shared" si="25"/>
        <v>0</v>
      </c>
    </row>
    <row r="186" spans="1:36" x14ac:dyDescent="0.2">
      <c r="A186" s="843" t="s">
        <v>142</v>
      </c>
      <c r="B186" s="844" t="s">
        <v>272</v>
      </c>
      <c r="C186" s="866" t="s">
        <v>510</v>
      </c>
      <c r="D186" s="845"/>
      <c r="E186" s="846">
        <v>101949</v>
      </c>
      <c r="F186" s="847">
        <v>10</v>
      </c>
      <c r="G186" s="859"/>
      <c r="H186" s="860"/>
      <c r="I186" s="861">
        <v>17669</v>
      </c>
      <c r="J186" s="1526">
        <v>26140</v>
      </c>
      <c r="K186" s="859"/>
      <c r="L186" s="863"/>
      <c r="M186" s="859"/>
      <c r="N186" s="859"/>
      <c r="O186" s="752">
        <f t="shared" si="18"/>
        <v>0</v>
      </c>
      <c r="P186" s="862"/>
      <c r="Q186" s="860"/>
      <c r="R186" s="753">
        <f t="shared" si="19"/>
        <v>0</v>
      </c>
      <c r="S186" s="752">
        <f t="shared" si="20"/>
        <v>17669</v>
      </c>
      <c r="T186" s="754">
        <f t="shared" si="21"/>
        <v>26140</v>
      </c>
      <c r="U186" s="859"/>
      <c r="V186" s="863"/>
      <c r="W186" s="859"/>
      <c r="X186" s="859"/>
      <c r="Y186" s="755">
        <f t="shared" si="22"/>
        <v>0</v>
      </c>
      <c r="Z186" s="864"/>
      <c r="AA186" s="863"/>
      <c r="AB186" s="756">
        <f t="shared" si="23"/>
        <v>0</v>
      </c>
      <c r="AC186" s="859"/>
      <c r="AD186" s="863"/>
      <c r="AE186" s="859"/>
      <c r="AF186" s="859"/>
      <c r="AG186" s="864"/>
      <c r="AH186" s="865"/>
      <c r="AI186" s="757">
        <f t="shared" si="24"/>
        <v>17669</v>
      </c>
      <c r="AJ186" s="758">
        <f t="shared" si="25"/>
        <v>26140</v>
      </c>
    </row>
    <row r="187" spans="1:36" x14ac:dyDescent="0.2">
      <c r="A187" s="843" t="s">
        <v>142</v>
      </c>
      <c r="B187" s="844" t="s">
        <v>272</v>
      </c>
      <c r="C187" s="866" t="s">
        <v>511</v>
      </c>
      <c r="D187" s="845"/>
      <c r="E187" s="846">
        <v>101949</v>
      </c>
      <c r="F187" s="847">
        <v>10</v>
      </c>
      <c r="G187" s="859"/>
      <c r="H187" s="860"/>
      <c r="I187" s="861">
        <v>336009</v>
      </c>
      <c r="J187" s="1517">
        <v>337859</v>
      </c>
      <c r="K187" s="859"/>
      <c r="L187" s="863"/>
      <c r="M187" s="859"/>
      <c r="N187" s="859"/>
      <c r="O187" s="752">
        <f t="shared" si="18"/>
        <v>0</v>
      </c>
      <c r="P187" s="862"/>
      <c r="Q187" s="860"/>
      <c r="R187" s="753">
        <f t="shared" si="19"/>
        <v>0</v>
      </c>
      <c r="S187" s="752">
        <f t="shared" si="20"/>
        <v>336009</v>
      </c>
      <c r="T187" s="754">
        <f t="shared" si="21"/>
        <v>337859</v>
      </c>
      <c r="U187" s="859"/>
      <c r="V187" s="863"/>
      <c r="W187" s="859"/>
      <c r="X187" s="859"/>
      <c r="Y187" s="755">
        <f t="shared" si="22"/>
        <v>0</v>
      </c>
      <c r="Z187" s="864"/>
      <c r="AA187" s="863"/>
      <c r="AB187" s="756">
        <f t="shared" si="23"/>
        <v>0</v>
      </c>
      <c r="AC187" s="859"/>
      <c r="AD187" s="863"/>
      <c r="AE187" s="859"/>
      <c r="AF187" s="859"/>
      <c r="AG187" s="864"/>
      <c r="AH187" s="865"/>
      <c r="AI187" s="757">
        <f t="shared" si="24"/>
        <v>336009</v>
      </c>
      <c r="AJ187" s="758">
        <f t="shared" si="25"/>
        <v>337859</v>
      </c>
    </row>
    <row r="188" spans="1:36" x14ac:dyDescent="0.2">
      <c r="A188" s="843" t="s">
        <v>142</v>
      </c>
      <c r="B188" s="844" t="s">
        <v>272</v>
      </c>
      <c r="C188" s="866" t="s">
        <v>512</v>
      </c>
      <c r="D188" s="845"/>
      <c r="E188" s="846">
        <v>101949</v>
      </c>
      <c r="F188" s="847">
        <v>10</v>
      </c>
      <c r="G188" s="859"/>
      <c r="H188" s="860"/>
      <c r="I188" s="876">
        <v>108000</v>
      </c>
      <c r="J188" s="862">
        <v>90000</v>
      </c>
      <c r="K188" s="859"/>
      <c r="L188" s="863"/>
      <c r="M188" s="859"/>
      <c r="N188" s="859"/>
      <c r="O188" s="752">
        <f t="shared" si="18"/>
        <v>0</v>
      </c>
      <c r="P188" s="862"/>
      <c r="Q188" s="860"/>
      <c r="R188" s="753">
        <f t="shared" si="19"/>
        <v>0</v>
      </c>
      <c r="S188" s="752">
        <f t="shared" si="20"/>
        <v>108000</v>
      </c>
      <c r="T188" s="754">
        <f t="shared" si="21"/>
        <v>90000</v>
      </c>
      <c r="U188" s="859"/>
      <c r="V188" s="863"/>
      <c r="W188" s="859"/>
      <c r="X188" s="859"/>
      <c r="Y188" s="755">
        <f t="shared" si="22"/>
        <v>0</v>
      </c>
      <c r="Z188" s="864"/>
      <c r="AA188" s="863"/>
      <c r="AB188" s="756">
        <f t="shared" si="23"/>
        <v>0</v>
      </c>
      <c r="AC188" s="859"/>
      <c r="AD188" s="863"/>
      <c r="AE188" s="859"/>
      <c r="AF188" s="859"/>
      <c r="AG188" s="864"/>
      <c r="AH188" s="865"/>
      <c r="AI188" s="757">
        <f t="shared" si="24"/>
        <v>108000</v>
      </c>
      <c r="AJ188" s="758">
        <f t="shared" si="25"/>
        <v>90000</v>
      </c>
    </row>
    <row r="189" spans="1:36" x14ac:dyDescent="0.2">
      <c r="A189" s="843" t="s">
        <v>142</v>
      </c>
      <c r="B189" s="844" t="s">
        <v>264</v>
      </c>
      <c r="C189" s="868" t="s">
        <v>531</v>
      </c>
      <c r="D189" s="869"/>
      <c r="E189" s="846">
        <v>101028</v>
      </c>
      <c r="F189" s="847">
        <v>10</v>
      </c>
      <c r="G189" s="859">
        <v>5346548</v>
      </c>
      <c r="H189" s="1525">
        <v>5568270</v>
      </c>
      <c r="I189" s="861"/>
      <c r="J189" s="862"/>
      <c r="K189" s="859"/>
      <c r="L189" s="863">
        <v>80000</v>
      </c>
      <c r="M189" s="867">
        <v>5746958</v>
      </c>
      <c r="N189" s="867">
        <v>612438</v>
      </c>
      <c r="O189" s="752">
        <f t="shared" si="18"/>
        <v>6359396</v>
      </c>
      <c r="P189" s="862">
        <v>5626612</v>
      </c>
      <c r="Q189" s="860">
        <v>615088</v>
      </c>
      <c r="R189" s="753">
        <f t="shared" si="19"/>
        <v>6241700</v>
      </c>
      <c r="S189" s="752">
        <f t="shared" si="20"/>
        <v>11093506</v>
      </c>
      <c r="T189" s="754">
        <f t="shared" si="21"/>
        <v>11274882</v>
      </c>
      <c r="U189" s="859"/>
      <c r="V189" s="863"/>
      <c r="W189" s="859"/>
      <c r="X189" s="859"/>
      <c r="Y189" s="755">
        <f t="shared" si="22"/>
        <v>0</v>
      </c>
      <c r="Z189" s="864"/>
      <c r="AA189" s="863"/>
      <c r="AB189" s="756">
        <f t="shared" si="23"/>
        <v>0</v>
      </c>
      <c r="AC189" s="859"/>
      <c r="AD189" s="863"/>
      <c r="AE189" s="859"/>
      <c r="AF189" s="859"/>
      <c r="AG189" s="864"/>
      <c r="AH189" s="865"/>
      <c r="AI189" s="757">
        <f t="shared" si="24"/>
        <v>11093506</v>
      </c>
      <c r="AJ189" s="758">
        <f t="shared" si="25"/>
        <v>11274882</v>
      </c>
    </row>
    <row r="190" spans="1:36" x14ac:dyDescent="0.2">
      <c r="A190" s="843" t="s">
        <v>142</v>
      </c>
      <c r="B190" s="844" t="s">
        <v>272</v>
      </c>
      <c r="C190" s="858" t="s">
        <v>509</v>
      </c>
      <c r="D190" s="845"/>
      <c r="E190" s="846">
        <v>101028</v>
      </c>
      <c r="F190" s="847">
        <v>10</v>
      </c>
      <c r="G190" s="859"/>
      <c r="H190" s="860"/>
      <c r="I190" s="861"/>
      <c r="J190" s="862"/>
      <c r="K190" s="859"/>
      <c r="L190" s="863"/>
      <c r="M190" s="859"/>
      <c r="N190" s="859"/>
      <c r="O190" s="752">
        <f t="shared" si="18"/>
        <v>0</v>
      </c>
      <c r="P190" s="862"/>
      <c r="Q190" s="860"/>
      <c r="R190" s="753">
        <f t="shared" si="19"/>
        <v>0</v>
      </c>
      <c r="S190" s="752">
        <f t="shared" si="20"/>
        <v>0</v>
      </c>
      <c r="T190" s="754">
        <f t="shared" si="21"/>
        <v>0</v>
      </c>
      <c r="U190" s="859"/>
      <c r="V190" s="863"/>
      <c r="W190" s="859"/>
      <c r="X190" s="859"/>
      <c r="Y190" s="755">
        <f t="shared" si="22"/>
        <v>0</v>
      </c>
      <c r="Z190" s="864"/>
      <c r="AA190" s="863"/>
      <c r="AB190" s="756">
        <f t="shared" si="23"/>
        <v>0</v>
      </c>
      <c r="AC190" s="859"/>
      <c r="AD190" s="863"/>
      <c r="AE190" s="859"/>
      <c r="AF190" s="859"/>
      <c r="AG190" s="864"/>
      <c r="AH190" s="865"/>
      <c r="AI190" s="757">
        <f t="shared" si="24"/>
        <v>0</v>
      </c>
      <c r="AJ190" s="758">
        <f t="shared" si="25"/>
        <v>0</v>
      </c>
    </row>
    <row r="191" spans="1:36" x14ac:dyDescent="0.2">
      <c r="A191" s="843" t="s">
        <v>142</v>
      </c>
      <c r="B191" s="844" t="s">
        <v>272</v>
      </c>
      <c r="C191" s="866" t="s">
        <v>510</v>
      </c>
      <c r="D191" s="845"/>
      <c r="E191" s="846">
        <v>101028</v>
      </c>
      <c r="F191" s="847">
        <v>10</v>
      </c>
      <c r="G191" s="859"/>
      <c r="H191" s="860"/>
      <c r="I191" s="861">
        <v>152822</v>
      </c>
      <c r="J191" s="1517">
        <v>141023</v>
      </c>
      <c r="K191" s="859"/>
      <c r="L191" s="863"/>
      <c r="M191" s="859"/>
      <c r="N191" s="859"/>
      <c r="O191" s="752">
        <f t="shared" si="18"/>
        <v>0</v>
      </c>
      <c r="P191" s="862"/>
      <c r="Q191" s="860"/>
      <c r="R191" s="753">
        <f t="shared" si="19"/>
        <v>0</v>
      </c>
      <c r="S191" s="752">
        <f t="shared" si="20"/>
        <v>152822</v>
      </c>
      <c r="T191" s="754">
        <f t="shared" si="21"/>
        <v>141023</v>
      </c>
      <c r="U191" s="859"/>
      <c r="V191" s="863"/>
      <c r="W191" s="859"/>
      <c r="X191" s="859"/>
      <c r="Y191" s="755">
        <f t="shared" si="22"/>
        <v>0</v>
      </c>
      <c r="Z191" s="864"/>
      <c r="AA191" s="863"/>
      <c r="AB191" s="756">
        <f t="shared" si="23"/>
        <v>0</v>
      </c>
      <c r="AC191" s="859"/>
      <c r="AD191" s="863"/>
      <c r="AE191" s="859"/>
      <c r="AF191" s="859"/>
      <c r="AG191" s="864"/>
      <c r="AH191" s="865"/>
      <c r="AI191" s="757">
        <f t="shared" si="24"/>
        <v>152822</v>
      </c>
      <c r="AJ191" s="758">
        <f t="shared" si="25"/>
        <v>141023</v>
      </c>
    </row>
    <row r="192" spans="1:36" x14ac:dyDescent="0.2">
      <c r="A192" s="843" t="s">
        <v>142</v>
      </c>
      <c r="B192" s="844" t="s">
        <v>272</v>
      </c>
      <c r="C192" s="866" t="s">
        <v>511</v>
      </c>
      <c r="D192" s="845"/>
      <c r="E192" s="846">
        <v>101028</v>
      </c>
      <c r="F192" s="847">
        <v>10</v>
      </c>
      <c r="G192" s="859"/>
      <c r="H192" s="860"/>
      <c r="I192" s="861">
        <v>183654</v>
      </c>
      <c r="J192" s="1517">
        <v>121576</v>
      </c>
      <c r="K192" s="859"/>
      <c r="L192" s="863"/>
      <c r="M192" s="859"/>
      <c r="N192" s="859"/>
      <c r="O192" s="752">
        <f t="shared" si="18"/>
        <v>0</v>
      </c>
      <c r="P192" s="862"/>
      <c r="Q192" s="860"/>
      <c r="R192" s="753">
        <f t="shared" si="19"/>
        <v>0</v>
      </c>
      <c r="S192" s="752">
        <f t="shared" si="20"/>
        <v>183654</v>
      </c>
      <c r="T192" s="754">
        <f t="shared" si="21"/>
        <v>121576</v>
      </c>
      <c r="U192" s="859"/>
      <c r="V192" s="863"/>
      <c r="W192" s="859"/>
      <c r="X192" s="859"/>
      <c r="Y192" s="755">
        <f t="shared" si="22"/>
        <v>0</v>
      </c>
      <c r="Z192" s="864"/>
      <c r="AA192" s="863"/>
      <c r="AB192" s="756">
        <f t="shared" si="23"/>
        <v>0</v>
      </c>
      <c r="AC192" s="859"/>
      <c r="AD192" s="863"/>
      <c r="AE192" s="859"/>
      <c r="AF192" s="859"/>
      <c r="AG192" s="864"/>
      <c r="AH192" s="865"/>
      <c r="AI192" s="757">
        <f t="shared" si="24"/>
        <v>183654</v>
      </c>
      <c r="AJ192" s="758">
        <f t="shared" si="25"/>
        <v>121576</v>
      </c>
    </row>
    <row r="193" spans="1:36" x14ac:dyDescent="0.2">
      <c r="A193" s="843" t="s">
        <v>142</v>
      </c>
      <c r="B193" s="844" t="s">
        <v>272</v>
      </c>
      <c r="C193" s="866" t="s">
        <v>512</v>
      </c>
      <c r="D193" s="845"/>
      <c r="E193" s="846">
        <v>101028</v>
      </c>
      <c r="F193" s="847">
        <v>10</v>
      </c>
      <c r="G193" s="859"/>
      <c r="H193" s="860"/>
      <c r="I193" s="876">
        <v>33171</v>
      </c>
      <c r="J193" s="1517">
        <v>24151</v>
      </c>
      <c r="K193" s="859"/>
      <c r="L193" s="863"/>
      <c r="M193" s="859"/>
      <c r="N193" s="859"/>
      <c r="O193" s="752">
        <f t="shared" si="18"/>
        <v>0</v>
      </c>
      <c r="P193" s="862"/>
      <c r="Q193" s="860"/>
      <c r="R193" s="753">
        <f t="shared" si="19"/>
        <v>0</v>
      </c>
      <c r="S193" s="752">
        <f t="shared" si="20"/>
        <v>33171</v>
      </c>
      <c r="T193" s="754">
        <f t="shared" si="21"/>
        <v>24151</v>
      </c>
      <c r="U193" s="859"/>
      <c r="V193" s="863"/>
      <c r="W193" s="859"/>
      <c r="X193" s="859"/>
      <c r="Y193" s="755">
        <f t="shared" si="22"/>
        <v>0</v>
      </c>
      <c r="Z193" s="864"/>
      <c r="AA193" s="863"/>
      <c r="AB193" s="756">
        <f t="shared" si="23"/>
        <v>0</v>
      </c>
      <c r="AC193" s="859"/>
      <c r="AD193" s="863"/>
      <c r="AE193" s="859"/>
      <c r="AF193" s="859"/>
      <c r="AG193" s="864"/>
      <c r="AH193" s="865"/>
      <c r="AI193" s="757">
        <f t="shared" si="24"/>
        <v>33171</v>
      </c>
      <c r="AJ193" s="758">
        <f t="shared" si="25"/>
        <v>24151</v>
      </c>
    </row>
    <row r="194" spans="1:36" x14ac:dyDescent="0.2">
      <c r="A194" s="843" t="s">
        <v>142</v>
      </c>
      <c r="B194" s="844" t="s">
        <v>264</v>
      </c>
      <c r="C194" s="868" t="s">
        <v>532</v>
      </c>
      <c r="D194" s="872"/>
      <c r="E194" s="846">
        <v>101301</v>
      </c>
      <c r="F194" s="847">
        <v>10</v>
      </c>
      <c r="G194" s="859">
        <v>7675096</v>
      </c>
      <c r="H194" s="860">
        <v>7815790</v>
      </c>
      <c r="I194" s="861"/>
      <c r="J194" s="862"/>
      <c r="K194" s="859"/>
      <c r="L194" s="863"/>
      <c r="M194" s="867">
        <v>6148031</v>
      </c>
      <c r="N194" s="859"/>
      <c r="O194" s="752">
        <f t="shared" si="18"/>
        <v>6148031</v>
      </c>
      <c r="P194" s="862">
        <v>6580330</v>
      </c>
      <c r="Q194" s="860"/>
      <c r="R194" s="753">
        <f t="shared" si="19"/>
        <v>6580330</v>
      </c>
      <c r="S194" s="752">
        <f t="shared" si="20"/>
        <v>13823127</v>
      </c>
      <c r="T194" s="754">
        <f t="shared" si="21"/>
        <v>14396120</v>
      </c>
      <c r="U194" s="859"/>
      <c r="V194" s="863"/>
      <c r="W194" s="859"/>
      <c r="X194" s="859"/>
      <c r="Y194" s="755">
        <f t="shared" si="22"/>
        <v>0</v>
      </c>
      <c r="Z194" s="864"/>
      <c r="AA194" s="863"/>
      <c r="AB194" s="756">
        <f t="shared" si="23"/>
        <v>0</v>
      </c>
      <c r="AC194" s="859"/>
      <c r="AD194" s="863"/>
      <c r="AE194" s="859"/>
      <c r="AF194" s="859"/>
      <c r="AG194" s="864"/>
      <c r="AH194" s="865"/>
      <c r="AI194" s="757">
        <f t="shared" si="24"/>
        <v>13823127</v>
      </c>
      <c r="AJ194" s="758">
        <f t="shared" si="25"/>
        <v>14396120</v>
      </c>
    </row>
    <row r="195" spans="1:36" x14ac:dyDescent="0.2">
      <c r="A195" s="843" t="s">
        <v>142</v>
      </c>
      <c r="B195" s="844" t="s">
        <v>272</v>
      </c>
      <c r="C195" s="858" t="s">
        <v>509</v>
      </c>
      <c r="D195" s="845"/>
      <c r="E195" s="846">
        <v>101301</v>
      </c>
      <c r="F195" s="847">
        <v>10</v>
      </c>
      <c r="G195" s="859"/>
      <c r="H195" s="860"/>
      <c r="I195" s="861"/>
      <c r="J195" s="862"/>
      <c r="K195" s="859"/>
      <c r="L195" s="863"/>
      <c r="M195" s="859"/>
      <c r="N195" s="859"/>
      <c r="O195" s="752">
        <f t="shared" si="18"/>
        <v>0</v>
      </c>
      <c r="P195" s="862"/>
      <c r="Q195" s="860"/>
      <c r="R195" s="753">
        <f t="shared" si="19"/>
        <v>0</v>
      </c>
      <c r="S195" s="752">
        <f t="shared" si="20"/>
        <v>0</v>
      </c>
      <c r="T195" s="754">
        <f t="shared" si="21"/>
        <v>0</v>
      </c>
      <c r="U195" s="859"/>
      <c r="V195" s="863"/>
      <c r="W195" s="859"/>
      <c r="X195" s="859"/>
      <c r="Y195" s="755">
        <f t="shared" si="22"/>
        <v>0</v>
      </c>
      <c r="Z195" s="864"/>
      <c r="AA195" s="863"/>
      <c r="AB195" s="756">
        <f t="shared" si="23"/>
        <v>0</v>
      </c>
      <c r="AC195" s="859"/>
      <c r="AD195" s="863"/>
      <c r="AE195" s="859"/>
      <c r="AF195" s="859"/>
      <c r="AG195" s="864"/>
      <c r="AH195" s="865"/>
      <c r="AI195" s="757">
        <f t="shared" si="24"/>
        <v>0</v>
      </c>
      <c r="AJ195" s="758">
        <f t="shared" si="25"/>
        <v>0</v>
      </c>
    </row>
    <row r="196" spans="1:36" x14ac:dyDescent="0.2">
      <c r="A196" s="843" t="s">
        <v>142</v>
      </c>
      <c r="B196" s="844" t="s">
        <v>272</v>
      </c>
      <c r="C196" s="866" t="s">
        <v>510</v>
      </c>
      <c r="D196" s="845"/>
      <c r="E196" s="846">
        <v>101301</v>
      </c>
      <c r="F196" s="847">
        <v>10</v>
      </c>
      <c r="G196" s="859"/>
      <c r="H196" s="860"/>
      <c r="I196" s="861">
        <v>152196</v>
      </c>
      <c r="J196" s="1517">
        <v>44955</v>
      </c>
      <c r="K196" s="859"/>
      <c r="L196" s="863"/>
      <c r="M196" s="859"/>
      <c r="N196" s="859"/>
      <c r="O196" s="752">
        <f t="shared" si="18"/>
        <v>0</v>
      </c>
      <c r="P196" s="862"/>
      <c r="Q196" s="860"/>
      <c r="R196" s="753">
        <f t="shared" si="19"/>
        <v>0</v>
      </c>
      <c r="S196" s="752">
        <f t="shared" si="20"/>
        <v>152196</v>
      </c>
      <c r="T196" s="754">
        <f t="shared" si="21"/>
        <v>44955</v>
      </c>
      <c r="U196" s="859"/>
      <c r="V196" s="863"/>
      <c r="W196" s="859"/>
      <c r="X196" s="859"/>
      <c r="Y196" s="755">
        <f t="shared" si="22"/>
        <v>0</v>
      </c>
      <c r="Z196" s="864"/>
      <c r="AA196" s="863"/>
      <c r="AB196" s="756">
        <f t="shared" si="23"/>
        <v>0</v>
      </c>
      <c r="AC196" s="859"/>
      <c r="AD196" s="863"/>
      <c r="AE196" s="859"/>
      <c r="AF196" s="859"/>
      <c r="AG196" s="864"/>
      <c r="AH196" s="865"/>
      <c r="AI196" s="757">
        <f t="shared" si="24"/>
        <v>152196</v>
      </c>
      <c r="AJ196" s="758">
        <f t="shared" si="25"/>
        <v>44955</v>
      </c>
    </row>
    <row r="197" spans="1:36" x14ac:dyDescent="0.2">
      <c r="A197" s="843" t="s">
        <v>142</v>
      </c>
      <c r="B197" s="844" t="s">
        <v>272</v>
      </c>
      <c r="C197" s="866" t="s">
        <v>511</v>
      </c>
      <c r="D197" s="845"/>
      <c r="E197" s="846">
        <v>101301</v>
      </c>
      <c r="F197" s="847">
        <v>10</v>
      </c>
      <c r="G197" s="859"/>
      <c r="H197" s="860"/>
      <c r="I197" s="861">
        <v>216219</v>
      </c>
      <c r="J197" s="1517">
        <v>197317</v>
      </c>
      <c r="K197" s="859"/>
      <c r="L197" s="863"/>
      <c r="M197" s="859"/>
      <c r="N197" s="859"/>
      <c r="O197" s="752">
        <f t="shared" si="18"/>
        <v>0</v>
      </c>
      <c r="P197" s="862"/>
      <c r="Q197" s="860"/>
      <c r="R197" s="753">
        <f t="shared" si="19"/>
        <v>0</v>
      </c>
      <c r="S197" s="752">
        <f t="shared" si="20"/>
        <v>216219</v>
      </c>
      <c r="T197" s="754">
        <f t="shared" si="21"/>
        <v>197317</v>
      </c>
      <c r="U197" s="859"/>
      <c r="V197" s="863"/>
      <c r="W197" s="859"/>
      <c r="X197" s="859"/>
      <c r="Y197" s="755">
        <f t="shared" si="22"/>
        <v>0</v>
      </c>
      <c r="Z197" s="864"/>
      <c r="AA197" s="863"/>
      <c r="AB197" s="756">
        <f t="shared" si="23"/>
        <v>0</v>
      </c>
      <c r="AC197" s="859"/>
      <c r="AD197" s="863"/>
      <c r="AE197" s="859"/>
      <c r="AF197" s="859"/>
      <c r="AG197" s="864"/>
      <c r="AH197" s="865"/>
      <c r="AI197" s="757">
        <f t="shared" si="24"/>
        <v>216219</v>
      </c>
      <c r="AJ197" s="758">
        <f t="shared" si="25"/>
        <v>197317</v>
      </c>
    </row>
    <row r="198" spans="1:36" x14ac:dyDescent="0.2">
      <c r="A198" s="843" t="s">
        <v>142</v>
      </c>
      <c r="B198" s="844" t="s">
        <v>272</v>
      </c>
      <c r="C198" s="866" t="s">
        <v>512</v>
      </c>
      <c r="D198" s="845"/>
      <c r="E198" s="846">
        <v>101301</v>
      </c>
      <c r="F198" s="847">
        <v>10</v>
      </c>
      <c r="G198" s="859"/>
      <c r="H198" s="860"/>
      <c r="I198" s="861">
        <v>10000</v>
      </c>
      <c r="J198" s="1517">
        <v>40884</v>
      </c>
      <c r="K198" s="859"/>
      <c r="L198" s="863"/>
      <c r="M198" s="859"/>
      <c r="N198" s="859"/>
      <c r="O198" s="752">
        <f t="shared" si="18"/>
        <v>0</v>
      </c>
      <c r="P198" s="862"/>
      <c r="Q198" s="860"/>
      <c r="R198" s="753">
        <f t="shared" si="19"/>
        <v>0</v>
      </c>
      <c r="S198" s="752">
        <f t="shared" si="20"/>
        <v>10000</v>
      </c>
      <c r="T198" s="754">
        <f t="shared" si="21"/>
        <v>40884</v>
      </c>
      <c r="U198" s="859"/>
      <c r="V198" s="863"/>
      <c r="W198" s="859"/>
      <c r="X198" s="859"/>
      <c r="Y198" s="755">
        <f t="shared" si="22"/>
        <v>0</v>
      </c>
      <c r="Z198" s="864"/>
      <c r="AA198" s="863"/>
      <c r="AB198" s="756">
        <f t="shared" si="23"/>
        <v>0</v>
      </c>
      <c r="AC198" s="859"/>
      <c r="AD198" s="863"/>
      <c r="AE198" s="859"/>
      <c r="AF198" s="859"/>
      <c r="AG198" s="864"/>
      <c r="AH198" s="865"/>
      <c r="AI198" s="757">
        <f t="shared" si="24"/>
        <v>10000</v>
      </c>
      <c r="AJ198" s="758">
        <f t="shared" si="25"/>
        <v>40884</v>
      </c>
    </row>
    <row r="199" spans="1:36" x14ac:dyDescent="0.2">
      <c r="A199" s="843" t="s">
        <v>142</v>
      </c>
      <c r="B199" s="844" t="s">
        <v>264</v>
      </c>
      <c r="C199" s="868" t="s">
        <v>533</v>
      </c>
      <c r="D199" s="869"/>
      <c r="E199" s="846">
        <v>101499</v>
      </c>
      <c r="F199" s="847">
        <v>10</v>
      </c>
      <c r="G199" s="859">
        <v>5845241</v>
      </c>
      <c r="H199" s="1525">
        <v>5936091</v>
      </c>
      <c r="I199" s="861"/>
      <c r="J199" s="862"/>
      <c r="K199" s="859"/>
      <c r="L199" s="863"/>
      <c r="M199" s="867">
        <v>3382647</v>
      </c>
      <c r="N199" s="867">
        <v>184554</v>
      </c>
      <c r="O199" s="752">
        <f t="shared" si="18"/>
        <v>3567201</v>
      </c>
      <c r="P199" s="862">
        <v>3681278</v>
      </c>
      <c r="Q199" s="860"/>
      <c r="R199" s="753">
        <f t="shared" si="19"/>
        <v>3681278</v>
      </c>
      <c r="S199" s="752">
        <f t="shared" si="20"/>
        <v>9227888</v>
      </c>
      <c r="T199" s="754">
        <f t="shared" si="21"/>
        <v>9617369</v>
      </c>
      <c r="U199" s="859"/>
      <c r="V199" s="863"/>
      <c r="W199" s="859"/>
      <c r="X199" s="859"/>
      <c r="Y199" s="755">
        <f t="shared" si="22"/>
        <v>0</v>
      </c>
      <c r="Z199" s="864"/>
      <c r="AA199" s="863"/>
      <c r="AB199" s="756">
        <f t="shared" si="23"/>
        <v>0</v>
      </c>
      <c r="AC199" s="859"/>
      <c r="AD199" s="863"/>
      <c r="AE199" s="859"/>
      <c r="AF199" s="859"/>
      <c r="AG199" s="864"/>
      <c r="AH199" s="865"/>
      <c r="AI199" s="757">
        <f t="shared" si="24"/>
        <v>9227888</v>
      </c>
      <c r="AJ199" s="758">
        <f t="shared" si="25"/>
        <v>9617369</v>
      </c>
    </row>
    <row r="200" spans="1:36" x14ac:dyDescent="0.2">
      <c r="A200" s="843" t="s">
        <v>142</v>
      </c>
      <c r="B200" s="844" t="s">
        <v>272</v>
      </c>
      <c r="C200" s="858" t="s">
        <v>509</v>
      </c>
      <c r="D200" s="845"/>
      <c r="E200" s="846">
        <v>101499</v>
      </c>
      <c r="F200" s="847">
        <v>10</v>
      </c>
      <c r="G200" s="859"/>
      <c r="H200" s="860"/>
      <c r="I200" s="861"/>
      <c r="J200" s="862"/>
      <c r="K200" s="859"/>
      <c r="L200" s="863"/>
      <c r="M200" s="859"/>
      <c r="N200" s="859"/>
      <c r="O200" s="752">
        <f t="shared" si="18"/>
        <v>0</v>
      </c>
      <c r="P200" s="862"/>
      <c r="Q200" s="860"/>
      <c r="R200" s="753">
        <f t="shared" si="19"/>
        <v>0</v>
      </c>
      <c r="S200" s="752">
        <f t="shared" si="20"/>
        <v>0</v>
      </c>
      <c r="T200" s="754">
        <f t="shared" si="21"/>
        <v>0</v>
      </c>
      <c r="U200" s="859"/>
      <c r="V200" s="863"/>
      <c r="W200" s="859"/>
      <c r="X200" s="859"/>
      <c r="Y200" s="755">
        <f t="shared" si="22"/>
        <v>0</v>
      </c>
      <c r="Z200" s="864"/>
      <c r="AA200" s="863"/>
      <c r="AB200" s="756">
        <f t="shared" si="23"/>
        <v>0</v>
      </c>
      <c r="AC200" s="859"/>
      <c r="AD200" s="863"/>
      <c r="AE200" s="859"/>
      <c r="AF200" s="859"/>
      <c r="AG200" s="864"/>
      <c r="AH200" s="865"/>
      <c r="AI200" s="757">
        <f t="shared" si="24"/>
        <v>0</v>
      </c>
      <c r="AJ200" s="758">
        <f t="shared" si="25"/>
        <v>0</v>
      </c>
    </row>
    <row r="201" spans="1:36" x14ac:dyDescent="0.2">
      <c r="A201" s="843" t="s">
        <v>142</v>
      </c>
      <c r="B201" s="844" t="s">
        <v>272</v>
      </c>
      <c r="C201" s="866" t="s">
        <v>510</v>
      </c>
      <c r="D201" s="845"/>
      <c r="E201" s="846">
        <v>101499</v>
      </c>
      <c r="F201" s="847">
        <v>10</v>
      </c>
      <c r="G201" s="859"/>
      <c r="H201" s="860"/>
      <c r="I201" s="861">
        <v>304677</v>
      </c>
      <c r="J201" s="1517">
        <v>33694</v>
      </c>
      <c r="K201" s="859"/>
      <c r="L201" s="863"/>
      <c r="M201" s="859"/>
      <c r="N201" s="859"/>
      <c r="O201" s="752">
        <f t="shared" si="18"/>
        <v>0</v>
      </c>
      <c r="P201" s="862"/>
      <c r="Q201" s="860"/>
      <c r="R201" s="753">
        <f t="shared" si="19"/>
        <v>0</v>
      </c>
      <c r="S201" s="752">
        <f t="shared" si="20"/>
        <v>304677</v>
      </c>
      <c r="T201" s="754">
        <f t="shared" si="21"/>
        <v>33694</v>
      </c>
      <c r="U201" s="859"/>
      <c r="V201" s="863"/>
      <c r="W201" s="859"/>
      <c r="X201" s="859"/>
      <c r="Y201" s="755">
        <f t="shared" si="22"/>
        <v>0</v>
      </c>
      <c r="Z201" s="864"/>
      <c r="AA201" s="863"/>
      <c r="AB201" s="756">
        <f t="shared" si="23"/>
        <v>0</v>
      </c>
      <c r="AC201" s="859"/>
      <c r="AD201" s="863"/>
      <c r="AE201" s="859"/>
      <c r="AF201" s="859"/>
      <c r="AG201" s="864"/>
      <c r="AH201" s="865"/>
      <c r="AI201" s="757">
        <f t="shared" si="24"/>
        <v>304677</v>
      </c>
      <c r="AJ201" s="758">
        <f t="shared" si="25"/>
        <v>33694</v>
      </c>
    </row>
    <row r="202" spans="1:36" ht="15" customHeight="1" x14ac:dyDescent="0.2">
      <c r="A202" s="843" t="s">
        <v>142</v>
      </c>
      <c r="B202" s="844" t="s">
        <v>272</v>
      </c>
      <c r="C202" s="866" t="s">
        <v>511</v>
      </c>
      <c r="D202" s="845"/>
      <c r="E202" s="846">
        <v>101499</v>
      </c>
      <c r="F202" s="847">
        <v>10</v>
      </c>
      <c r="G202" s="859"/>
      <c r="H202" s="860"/>
      <c r="I202" s="861">
        <v>319529</v>
      </c>
      <c r="J202" s="1517">
        <v>248034</v>
      </c>
      <c r="K202" s="859"/>
      <c r="L202" s="863"/>
      <c r="M202" s="859"/>
      <c r="N202" s="859"/>
      <c r="O202" s="752">
        <f t="shared" ref="O202:O265" si="26">SUM(M202:N202)</f>
        <v>0</v>
      </c>
      <c r="P202" s="862"/>
      <c r="Q202" s="860"/>
      <c r="R202" s="753">
        <f t="shared" ref="R202:R265" si="27">SUM(P202:Q202)</f>
        <v>0</v>
      </c>
      <c r="S202" s="752">
        <f t="shared" ref="S202:S265" si="28">SUM(G202,I202,K202,M202)</f>
        <v>319529</v>
      </c>
      <c r="T202" s="754">
        <f t="shared" ref="T202:T265" si="29">SUM(H202,J202,L202,P202)</f>
        <v>248034</v>
      </c>
      <c r="U202" s="859"/>
      <c r="V202" s="863"/>
      <c r="W202" s="859"/>
      <c r="X202" s="859"/>
      <c r="Y202" s="755">
        <f t="shared" ref="Y202:Y265" si="30">SUM(W202:X202)</f>
        <v>0</v>
      </c>
      <c r="Z202" s="864"/>
      <c r="AA202" s="863"/>
      <c r="AB202" s="756">
        <f t="shared" ref="AB202:AB265" si="31">SUM(Z202:AA202)</f>
        <v>0</v>
      </c>
      <c r="AC202" s="859"/>
      <c r="AD202" s="863"/>
      <c r="AE202" s="859"/>
      <c r="AF202" s="859"/>
      <c r="AG202" s="864"/>
      <c r="AH202" s="865"/>
      <c r="AI202" s="757">
        <f t="shared" ref="AI202:AI265" si="32">SUM(S202,U202,W202,AC202,AE202)</f>
        <v>319529</v>
      </c>
      <c r="AJ202" s="758">
        <f t="shared" ref="AJ202:AJ265" si="33">SUM(T202,V202,Z202,AD202,AG202)</f>
        <v>248034</v>
      </c>
    </row>
    <row r="203" spans="1:36" ht="15" customHeight="1" x14ac:dyDescent="0.2">
      <c r="A203" s="843" t="s">
        <v>142</v>
      </c>
      <c r="B203" s="844" t="s">
        <v>272</v>
      </c>
      <c r="C203" s="866" t="s">
        <v>512</v>
      </c>
      <c r="D203" s="845"/>
      <c r="E203" s="846">
        <v>101499</v>
      </c>
      <c r="F203" s="847">
        <v>10</v>
      </c>
      <c r="G203" s="859"/>
      <c r="H203" s="860"/>
      <c r="I203" s="861">
        <v>79888</v>
      </c>
      <c r="J203" s="862"/>
      <c r="K203" s="859"/>
      <c r="L203" s="863"/>
      <c r="M203" s="859"/>
      <c r="N203" s="859"/>
      <c r="O203" s="752">
        <f t="shared" si="26"/>
        <v>0</v>
      </c>
      <c r="P203" s="862"/>
      <c r="Q203" s="860"/>
      <c r="R203" s="753">
        <f t="shared" si="27"/>
        <v>0</v>
      </c>
      <c r="S203" s="752">
        <f t="shared" si="28"/>
        <v>79888</v>
      </c>
      <c r="T203" s="754">
        <f t="shared" si="29"/>
        <v>0</v>
      </c>
      <c r="U203" s="859"/>
      <c r="V203" s="863"/>
      <c r="W203" s="859"/>
      <c r="X203" s="859"/>
      <c r="Y203" s="755">
        <f t="shared" si="30"/>
        <v>0</v>
      </c>
      <c r="Z203" s="864"/>
      <c r="AA203" s="863"/>
      <c r="AB203" s="756">
        <f t="shared" si="31"/>
        <v>0</v>
      </c>
      <c r="AC203" s="859"/>
      <c r="AD203" s="863"/>
      <c r="AE203" s="859"/>
      <c r="AF203" s="859"/>
      <c r="AG203" s="864"/>
      <c r="AH203" s="865"/>
      <c r="AI203" s="757">
        <f t="shared" si="32"/>
        <v>79888</v>
      </c>
      <c r="AJ203" s="758">
        <f t="shared" si="33"/>
        <v>0</v>
      </c>
    </row>
    <row r="204" spans="1:36" ht="15" customHeight="1" x14ac:dyDescent="0.2">
      <c r="A204" s="843" t="s">
        <v>142</v>
      </c>
      <c r="B204" s="844" t="s">
        <v>264</v>
      </c>
      <c r="C204" s="868" t="s">
        <v>534</v>
      </c>
      <c r="D204" s="869"/>
      <c r="E204" s="846">
        <v>101602</v>
      </c>
      <c r="F204" s="847">
        <v>10</v>
      </c>
      <c r="G204" s="859">
        <v>6681189</v>
      </c>
      <c r="H204" s="860">
        <v>6900659</v>
      </c>
      <c r="I204" s="861"/>
      <c r="J204" s="862"/>
      <c r="K204" s="867"/>
      <c r="L204" s="863"/>
      <c r="M204" s="867">
        <v>5198559</v>
      </c>
      <c r="N204" s="867">
        <v>360688</v>
      </c>
      <c r="O204" s="752">
        <f t="shared" si="26"/>
        <v>5559247</v>
      </c>
      <c r="P204" s="862">
        <v>5406861</v>
      </c>
      <c r="Q204" s="860">
        <v>353522</v>
      </c>
      <c r="R204" s="753">
        <f t="shared" si="27"/>
        <v>5760383</v>
      </c>
      <c r="S204" s="752">
        <f t="shared" si="28"/>
        <v>11879748</v>
      </c>
      <c r="T204" s="754">
        <f t="shared" si="29"/>
        <v>12307520</v>
      </c>
      <c r="U204" s="859"/>
      <c r="V204" s="863"/>
      <c r="W204" s="859"/>
      <c r="X204" s="859"/>
      <c r="Y204" s="755">
        <f t="shared" si="30"/>
        <v>0</v>
      </c>
      <c r="Z204" s="864"/>
      <c r="AA204" s="863"/>
      <c r="AB204" s="756">
        <f t="shared" si="31"/>
        <v>0</v>
      </c>
      <c r="AC204" s="859"/>
      <c r="AD204" s="863"/>
      <c r="AE204" s="859"/>
      <c r="AF204" s="859"/>
      <c r="AG204" s="864"/>
      <c r="AH204" s="865"/>
      <c r="AI204" s="757">
        <f t="shared" si="32"/>
        <v>11879748</v>
      </c>
      <c r="AJ204" s="758">
        <f t="shared" si="33"/>
        <v>12307520</v>
      </c>
    </row>
    <row r="205" spans="1:36" ht="15" customHeight="1" x14ac:dyDescent="0.2">
      <c r="A205" s="843" t="s">
        <v>142</v>
      </c>
      <c r="B205" s="844" t="s">
        <v>272</v>
      </c>
      <c r="C205" s="858" t="s">
        <v>509</v>
      </c>
      <c r="D205" s="845"/>
      <c r="E205" s="846">
        <v>101602</v>
      </c>
      <c r="F205" s="847">
        <v>10</v>
      </c>
      <c r="G205" s="859"/>
      <c r="H205" s="860"/>
      <c r="I205" s="861"/>
      <c r="J205" s="862"/>
      <c r="K205" s="859"/>
      <c r="L205" s="863"/>
      <c r="M205" s="859"/>
      <c r="N205" s="859"/>
      <c r="O205" s="752">
        <f t="shared" si="26"/>
        <v>0</v>
      </c>
      <c r="P205" s="862"/>
      <c r="Q205" s="860"/>
      <c r="R205" s="753">
        <f t="shared" si="27"/>
        <v>0</v>
      </c>
      <c r="S205" s="752">
        <f t="shared" si="28"/>
        <v>0</v>
      </c>
      <c r="T205" s="754">
        <f t="shared" si="29"/>
        <v>0</v>
      </c>
      <c r="U205" s="859"/>
      <c r="V205" s="863"/>
      <c r="W205" s="859"/>
      <c r="X205" s="859"/>
      <c r="Y205" s="755">
        <f t="shared" si="30"/>
        <v>0</v>
      </c>
      <c r="Z205" s="864"/>
      <c r="AA205" s="863"/>
      <c r="AB205" s="756">
        <f t="shared" si="31"/>
        <v>0</v>
      </c>
      <c r="AC205" s="859"/>
      <c r="AD205" s="863"/>
      <c r="AE205" s="859"/>
      <c r="AF205" s="859"/>
      <c r="AG205" s="864"/>
      <c r="AH205" s="865"/>
      <c r="AI205" s="757">
        <f t="shared" si="32"/>
        <v>0</v>
      </c>
      <c r="AJ205" s="758">
        <f t="shared" si="33"/>
        <v>0</v>
      </c>
    </row>
    <row r="206" spans="1:36" ht="15" customHeight="1" x14ac:dyDescent="0.2">
      <c r="A206" s="843" t="s">
        <v>142</v>
      </c>
      <c r="B206" s="844" t="s">
        <v>272</v>
      </c>
      <c r="C206" s="866" t="s">
        <v>510</v>
      </c>
      <c r="D206" s="845"/>
      <c r="E206" s="846">
        <v>101602</v>
      </c>
      <c r="F206" s="847">
        <v>10</v>
      </c>
      <c r="G206" s="859"/>
      <c r="H206" s="860"/>
      <c r="I206" s="861">
        <v>180717</v>
      </c>
      <c r="J206" s="1517">
        <v>19674</v>
      </c>
      <c r="K206" s="859"/>
      <c r="L206" s="863"/>
      <c r="M206" s="859"/>
      <c r="N206" s="859"/>
      <c r="O206" s="752">
        <f t="shared" si="26"/>
        <v>0</v>
      </c>
      <c r="P206" s="862"/>
      <c r="Q206" s="860"/>
      <c r="R206" s="753">
        <f t="shared" si="27"/>
        <v>0</v>
      </c>
      <c r="S206" s="752">
        <f t="shared" si="28"/>
        <v>180717</v>
      </c>
      <c r="T206" s="754">
        <f t="shared" si="29"/>
        <v>19674</v>
      </c>
      <c r="U206" s="859"/>
      <c r="V206" s="863"/>
      <c r="W206" s="859"/>
      <c r="X206" s="859"/>
      <c r="Y206" s="755">
        <f t="shared" si="30"/>
        <v>0</v>
      </c>
      <c r="Z206" s="864"/>
      <c r="AA206" s="863"/>
      <c r="AB206" s="756">
        <f t="shared" si="31"/>
        <v>0</v>
      </c>
      <c r="AC206" s="859"/>
      <c r="AD206" s="863"/>
      <c r="AE206" s="859"/>
      <c r="AF206" s="859"/>
      <c r="AG206" s="864"/>
      <c r="AH206" s="865"/>
      <c r="AI206" s="757">
        <f t="shared" si="32"/>
        <v>180717</v>
      </c>
      <c r="AJ206" s="758">
        <f t="shared" si="33"/>
        <v>19674</v>
      </c>
    </row>
    <row r="207" spans="1:36" ht="15" customHeight="1" x14ac:dyDescent="0.2">
      <c r="A207" s="843" t="s">
        <v>142</v>
      </c>
      <c r="B207" s="844" t="s">
        <v>272</v>
      </c>
      <c r="C207" s="866" t="s">
        <v>511</v>
      </c>
      <c r="D207" s="845"/>
      <c r="E207" s="846">
        <v>101602</v>
      </c>
      <c r="F207" s="847">
        <v>10</v>
      </c>
      <c r="G207" s="859"/>
      <c r="H207" s="860"/>
      <c r="I207" s="861">
        <v>488303</v>
      </c>
      <c r="J207" s="1517">
        <v>278706</v>
      </c>
      <c r="K207" s="859"/>
      <c r="L207" s="863"/>
      <c r="M207" s="859"/>
      <c r="N207" s="859"/>
      <c r="O207" s="752">
        <f t="shared" si="26"/>
        <v>0</v>
      </c>
      <c r="P207" s="862"/>
      <c r="Q207" s="860"/>
      <c r="R207" s="753">
        <f t="shared" si="27"/>
        <v>0</v>
      </c>
      <c r="S207" s="752">
        <f t="shared" si="28"/>
        <v>488303</v>
      </c>
      <c r="T207" s="754">
        <f t="shared" si="29"/>
        <v>278706</v>
      </c>
      <c r="U207" s="859"/>
      <c r="V207" s="863"/>
      <c r="W207" s="859"/>
      <c r="X207" s="859"/>
      <c r="Y207" s="755">
        <f t="shared" si="30"/>
        <v>0</v>
      </c>
      <c r="Z207" s="864"/>
      <c r="AA207" s="863"/>
      <c r="AB207" s="756">
        <f t="shared" si="31"/>
        <v>0</v>
      </c>
      <c r="AC207" s="859"/>
      <c r="AD207" s="863"/>
      <c r="AE207" s="859"/>
      <c r="AF207" s="859"/>
      <c r="AG207" s="864"/>
      <c r="AH207" s="865"/>
      <c r="AI207" s="757">
        <f t="shared" si="32"/>
        <v>488303</v>
      </c>
      <c r="AJ207" s="758">
        <f t="shared" si="33"/>
        <v>278706</v>
      </c>
    </row>
    <row r="208" spans="1:36" ht="15" customHeight="1" x14ac:dyDescent="0.2">
      <c r="A208" s="843" t="s">
        <v>142</v>
      </c>
      <c r="B208" s="844" t="s">
        <v>272</v>
      </c>
      <c r="C208" s="866" t="s">
        <v>512</v>
      </c>
      <c r="D208" s="845"/>
      <c r="E208" s="846">
        <v>101602</v>
      </c>
      <c r="F208" s="847">
        <v>10</v>
      </c>
      <c r="G208" s="859"/>
      <c r="H208" s="860"/>
      <c r="I208" s="861">
        <v>124316</v>
      </c>
      <c r="J208" s="1517">
        <v>131391</v>
      </c>
      <c r="K208" s="859"/>
      <c r="L208" s="863"/>
      <c r="M208" s="859"/>
      <c r="N208" s="859"/>
      <c r="O208" s="752">
        <f t="shared" si="26"/>
        <v>0</v>
      </c>
      <c r="P208" s="862"/>
      <c r="Q208" s="860"/>
      <c r="R208" s="753">
        <f t="shared" si="27"/>
        <v>0</v>
      </c>
      <c r="S208" s="752">
        <f t="shared" si="28"/>
        <v>124316</v>
      </c>
      <c r="T208" s="754">
        <f t="shared" si="29"/>
        <v>131391</v>
      </c>
      <c r="U208" s="859"/>
      <c r="V208" s="863"/>
      <c r="W208" s="859"/>
      <c r="X208" s="859"/>
      <c r="Y208" s="755">
        <f t="shared" si="30"/>
        <v>0</v>
      </c>
      <c r="Z208" s="864"/>
      <c r="AA208" s="863"/>
      <c r="AB208" s="756">
        <f t="shared" si="31"/>
        <v>0</v>
      </c>
      <c r="AC208" s="859"/>
      <c r="AD208" s="863"/>
      <c r="AE208" s="859"/>
      <c r="AF208" s="859"/>
      <c r="AG208" s="864"/>
      <c r="AH208" s="865"/>
      <c r="AI208" s="757">
        <f t="shared" si="32"/>
        <v>124316</v>
      </c>
      <c r="AJ208" s="758">
        <f t="shared" si="33"/>
        <v>131391</v>
      </c>
    </row>
    <row r="209" spans="1:36" ht="15" customHeight="1" x14ac:dyDescent="0.2">
      <c r="A209" s="843" t="s">
        <v>142</v>
      </c>
      <c r="B209" s="844" t="s">
        <v>264</v>
      </c>
      <c r="C209" s="870" t="s">
        <v>535</v>
      </c>
      <c r="D209" s="872" t="s">
        <v>1126</v>
      </c>
      <c r="E209" s="846">
        <v>102076</v>
      </c>
      <c r="F209" s="847">
        <v>10</v>
      </c>
      <c r="G209" s="859">
        <v>6205328</v>
      </c>
      <c r="H209" s="860">
        <v>6524636</v>
      </c>
      <c r="I209" s="861"/>
      <c r="J209" s="862"/>
      <c r="K209" s="859"/>
      <c r="L209" s="863"/>
      <c r="M209" s="867">
        <v>8330478</v>
      </c>
      <c r="N209" s="867">
        <v>907457</v>
      </c>
      <c r="O209" s="752">
        <f t="shared" si="26"/>
        <v>9237935</v>
      </c>
      <c r="P209" s="862">
        <v>7936155</v>
      </c>
      <c r="Q209" s="860">
        <v>827729</v>
      </c>
      <c r="R209" s="753">
        <f t="shared" si="27"/>
        <v>8763884</v>
      </c>
      <c r="S209" s="752">
        <f t="shared" si="28"/>
        <v>14535806</v>
      </c>
      <c r="T209" s="754">
        <f t="shared" si="29"/>
        <v>14460791</v>
      </c>
      <c r="U209" s="859"/>
      <c r="V209" s="863"/>
      <c r="W209" s="859"/>
      <c r="X209" s="859"/>
      <c r="Y209" s="755">
        <f t="shared" si="30"/>
        <v>0</v>
      </c>
      <c r="Z209" s="864"/>
      <c r="AA209" s="863"/>
      <c r="AB209" s="756">
        <f t="shared" si="31"/>
        <v>0</v>
      </c>
      <c r="AC209" s="859"/>
      <c r="AD209" s="863"/>
      <c r="AE209" s="859"/>
      <c r="AF209" s="859"/>
      <c r="AG209" s="864"/>
      <c r="AH209" s="865"/>
      <c r="AI209" s="757">
        <f t="shared" si="32"/>
        <v>14535806</v>
      </c>
      <c r="AJ209" s="758">
        <f t="shared" si="33"/>
        <v>14460791</v>
      </c>
    </row>
    <row r="210" spans="1:36" ht="15" customHeight="1" x14ac:dyDescent="0.2">
      <c r="A210" s="843" t="s">
        <v>142</v>
      </c>
      <c r="B210" s="844" t="s">
        <v>272</v>
      </c>
      <c r="C210" s="858" t="s">
        <v>509</v>
      </c>
      <c r="D210" s="845"/>
      <c r="E210" s="846">
        <v>102076</v>
      </c>
      <c r="F210" s="847">
        <v>10</v>
      </c>
      <c r="G210" s="859"/>
      <c r="H210" s="860"/>
      <c r="I210" s="861"/>
      <c r="J210" s="862"/>
      <c r="K210" s="859"/>
      <c r="L210" s="863"/>
      <c r="M210" s="861"/>
      <c r="N210" s="859"/>
      <c r="O210" s="752">
        <f t="shared" si="26"/>
        <v>0</v>
      </c>
      <c r="P210" s="862"/>
      <c r="Q210" s="860"/>
      <c r="R210" s="753">
        <f t="shared" si="27"/>
        <v>0</v>
      </c>
      <c r="S210" s="752">
        <f t="shared" si="28"/>
        <v>0</v>
      </c>
      <c r="T210" s="754">
        <f t="shared" si="29"/>
        <v>0</v>
      </c>
      <c r="U210" s="859"/>
      <c r="V210" s="863"/>
      <c r="W210" s="859"/>
      <c r="X210" s="859"/>
      <c r="Y210" s="755">
        <f t="shared" si="30"/>
        <v>0</v>
      </c>
      <c r="Z210" s="863"/>
      <c r="AA210" s="863"/>
      <c r="AB210" s="756">
        <f t="shared" si="31"/>
        <v>0</v>
      </c>
      <c r="AC210" s="859"/>
      <c r="AD210" s="863"/>
      <c r="AE210" s="859"/>
      <c r="AF210" s="859"/>
      <c r="AG210" s="863"/>
      <c r="AH210" s="865"/>
      <c r="AI210" s="757">
        <f t="shared" si="32"/>
        <v>0</v>
      </c>
      <c r="AJ210" s="758">
        <f t="shared" si="33"/>
        <v>0</v>
      </c>
    </row>
    <row r="211" spans="1:36" ht="15" customHeight="1" x14ac:dyDescent="0.2">
      <c r="A211" s="843" t="s">
        <v>142</v>
      </c>
      <c r="B211" s="844" t="s">
        <v>272</v>
      </c>
      <c r="C211" s="866" t="s">
        <v>510</v>
      </c>
      <c r="D211" s="845"/>
      <c r="E211" s="846">
        <v>102076</v>
      </c>
      <c r="F211" s="847">
        <v>10</v>
      </c>
      <c r="G211" s="859"/>
      <c r="H211" s="860"/>
      <c r="I211" s="861">
        <v>135030</v>
      </c>
      <c r="J211" s="1527">
        <v>151900</v>
      </c>
      <c r="K211" s="859"/>
      <c r="L211" s="863"/>
      <c r="M211" s="861"/>
      <c r="N211" s="859"/>
      <c r="O211" s="752">
        <f t="shared" si="26"/>
        <v>0</v>
      </c>
      <c r="P211" s="862"/>
      <c r="Q211" s="860"/>
      <c r="R211" s="753">
        <f t="shared" si="27"/>
        <v>0</v>
      </c>
      <c r="S211" s="752">
        <f t="shared" si="28"/>
        <v>135030</v>
      </c>
      <c r="T211" s="754">
        <f t="shared" si="29"/>
        <v>151900</v>
      </c>
      <c r="U211" s="859"/>
      <c r="V211" s="863"/>
      <c r="W211" s="859"/>
      <c r="X211" s="859"/>
      <c r="Y211" s="755">
        <f t="shared" si="30"/>
        <v>0</v>
      </c>
      <c r="Z211" s="864"/>
      <c r="AA211" s="863"/>
      <c r="AB211" s="756">
        <f t="shared" si="31"/>
        <v>0</v>
      </c>
      <c r="AC211" s="859"/>
      <c r="AD211" s="863"/>
      <c r="AE211" s="859"/>
      <c r="AF211" s="859"/>
      <c r="AG211" s="864"/>
      <c r="AH211" s="865"/>
      <c r="AI211" s="757">
        <f t="shared" si="32"/>
        <v>135030</v>
      </c>
      <c r="AJ211" s="758">
        <f t="shared" si="33"/>
        <v>151900</v>
      </c>
    </row>
    <row r="212" spans="1:36" s="1400" customFormat="1" x14ac:dyDescent="0.2">
      <c r="A212" s="843" t="s">
        <v>142</v>
      </c>
      <c r="B212" s="844" t="s">
        <v>272</v>
      </c>
      <c r="C212" s="866" t="s">
        <v>511</v>
      </c>
      <c r="D212" s="845"/>
      <c r="E212" s="846">
        <v>102076</v>
      </c>
      <c r="F212" s="847">
        <v>10</v>
      </c>
      <c r="G212" s="859"/>
      <c r="H212" s="860"/>
      <c r="I212" s="861"/>
      <c r="J212" s="1517">
        <v>400</v>
      </c>
      <c r="K212" s="859"/>
      <c r="L212" s="863"/>
      <c r="M212" s="859"/>
      <c r="N212" s="859"/>
      <c r="O212" s="752">
        <f t="shared" si="26"/>
        <v>0</v>
      </c>
      <c r="P212" s="862"/>
      <c r="Q212" s="860"/>
      <c r="R212" s="753">
        <f t="shared" si="27"/>
        <v>0</v>
      </c>
      <c r="S212" s="752">
        <f t="shared" si="28"/>
        <v>0</v>
      </c>
      <c r="T212" s="754">
        <f t="shared" si="29"/>
        <v>400</v>
      </c>
      <c r="U212" s="859"/>
      <c r="V212" s="863"/>
      <c r="W212" s="859"/>
      <c r="X212" s="859"/>
      <c r="Y212" s="755">
        <f t="shared" si="30"/>
        <v>0</v>
      </c>
      <c r="Z212" s="864"/>
      <c r="AA212" s="863"/>
      <c r="AB212" s="756">
        <f t="shared" si="31"/>
        <v>0</v>
      </c>
      <c r="AC212" s="859"/>
      <c r="AD212" s="863"/>
      <c r="AE212" s="859"/>
      <c r="AF212" s="859"/>
      <c r="AG212" s="864"/>
      <c r="AH212" s="865"/>
      <c r="AI212" s="757">
        <f t="shared" si="32"/>
        <v>0</v>
      </c>
      <c r="AJ212" s="758">
        <f t="shared" si="33"/>
        <v>400</v>
      </c>
    </row>
    <row r="213" spans="1:36" ht="15" customHeight="1" x14ac:dyDescent="0.2">
      <c r="A213" s="843" t="s">
        <v>142</v>
      </c>
      <c r="B213" s="844" t="s">
        <v>272</v>
      </c>
      <c r="C213" s="866" t="s">
        <v>512</v>
      </c>
      <c r="D213" s="845"/>
      <c r="E213" s="846">
        <v>102076</v>
      </c>
      <c r="F213" s="847">
        <v>10</v>
      </c>
      <c r="G213" s="859"/>
      <c r="H213" s="860"/>
      <c r="I213" s="861">
        <v>103375</v>
      </c>
      <c r="J213" s="1527">
        <v>146014</v>
      </c>
      <c r="K213" s="859"/>
      <c r="L213" s="863"/>
      <c r="M213" s="861"/>
      <c r="N213" s="859"/>
      <c r="O213" s="752">
        <f t="shared" si="26"/>
        <v>0</v>
      </c>
      <c r="P213" s="862"/>
      <c r="Q213" s="860"/>
      <c r="R213" s="753">
        <f t="shared" si="27"/>
        <v>0</v>
      </c>
      <c r="S213" s="752">
        <f t="shared" si="28"/>
        <v>103375</v>
      </c>
      <c r="T213" s="754">
        <f t="shared" si="29"/>
        <v>146014</v>
      </c>
      <c r="U213" s="859"/>
      <c r="V213" s="863"/>
      <c r="W213" s="859"/>
      <c r="X213" s="859"/>
      <c r="Y213" s="755">
        <f t="shared" si="30"/>
        <v>0</v>
      </c>
      <c r="Z213" s="864"/>
      <c r="AA213" s="863"/>
      <c r="AB213" s="756">
        <f t="shared" si="31"/>
        <v>0</v>
      </c>
      <c r="AC213" s="859"/>
      <c r="AD213" s="863"/>
      <c r="AE213" s="859"/>
      <c r="AF213" s="859"/>
      <c r="AG213" s="864"/>
      <c r="AH213" s="865"/>
      <c r="AI213" s="757">
        <f t="shared" si="32"/>
        <v>103375</v>
      </c>
      <c r="AJ213" s="758">
        <f t="shared" si="33"/>
        <v>146014</v>
      </c>
    </row>
    <row r="214" spans="1:36" ht="15" customHeight="1" x14ac:dyDescent="0.2">
      <c r="A214" s="843" t="s">
        <v>142</v>
      </c>
      <c r="B214" s="844" t="s">
        <v>264</v>
      </c>
      <c r="C214" s="868" t="s">
        <v>536</v>
      </c>
      <c r="D214" s="869"/>
      <c r="E214" s="846">
        <v>102313</v>
      </c>
      <c r="F214" s="881">
        <v>12</v>
      </c>
      <c r="G214" s="859">
        <v>9011348</v>
      </c>
      <c r="H214" s="860">
        <v>9155363</v>
      </c>
      <c r="I214" s="861"/>
      <c r="J214" s="862"/>
      <c r="K214" s="859"/>
      <c r="L214" s="863"/>
      <c r="M214" s="876">
        <v>4919973</v>
      </c>
      <c r="N214" s="859">
        <v>508430</v>
      </c>
      <c r="O214" s="752">
        <f t="shared" si="26"/>
        <v>5428403</v>
      </c>
      <c r="P214" s="862">
        <v>5060716</v>
      </c>
      <c r="Q214" s="860">
        <v>512611</v>
      </c>
      <c r="R214" s="753">
        <f t="shared" si="27"/>
        <v>5573327</v>
      </c>
      <c r="S214" s="752">
        <f t="shared" si="28"/>
        <v>13931321</v>
      </c>
      <c r="T214" s="754">
        <f t="shared" si="29"/>
        <v>14216079</v>
      </c>
      <c r="U214" s="859"/>
      <c r="V214" s="863"/>
      <c r="W214" s="859"/>
      <c r="X214" s="859"/>
      <c r="Y214" s="755">
        <f t="shared" si="30"/>
        <v>0</v>
      </c>
      <c r="Z214" s="864"/>
      <c r="AA214" s="863"/>
      <c r="AB214" s="756">
        <f t="shared" si="31"/>
        <v>0</v>
      </c>
      <c r="AC214" s="859"/>
      <c r="AD214" s="863"/>
      <c r="AE214" s="859"/>
      <c r="AF214" s="859"/>
      <c r="AG214" s="864"/>
      <c r="AH214" s="865"/>
      <c r="AI214" s="757">
        <f t="shared" si="32"/>
        <v>13931321</v>
      </c>
      <c r="AJ214" s="758">
        <f t="shared" si="33"/>
        <v>14216079</v>
      </c>
    </row>
    <row r="215" spans="1:36" ht="15" customHeight="1" x14ac:dyDescent="0.2">
      <c r="A215" s="843" t="s">
        <v>142</v>
      </c>
      <c r="B215" s="844" t="s">
        <v>272</v>
      </c>
      <c r="C215" s="858" t="s">
        <v>509</v>
      </c>
      <c r="D215" s="845"/>
      <c r="E215" s="846">
        <v>102313</v>
      </c>
      <c r="F215" s="881">
        <v>12</v>
      </c>
      <c r="G215" s="859"/>
      <c r="H215" s="860"/>
      <c r="I215" s="861"/>
      <c r="J215" s="862"/>
      <c r="K215" s="859"/>
      <c r="L215" s="863"/>
      <c r="M215" s="861"/>
      <c r="N215" s="859"/>
      <c r="O215" s="752">
        <f t="shared" si="26"/>
        <v>0</v>
      </c>
      <c r="P215" s="862"/>
      <c r="Q215" s="860"/>
      <c r="R215" s="753">
        <f t="shared" si="27"/>
        <v>0</v>
      </c>
      <c r="S215" s="752">
        <f t="shared" si="28"/>
        <v>0</v>
      </c>
      <c r="T215" s="754">
        <f t="shared" si="29"/>
        <v>0</v>
      </c>
      <c r="U215" s="859"/>
      <c r="V215" s="863"/>
      <c r="W215" s="859"/>
      <c r="X215" s="859"/>
      <c r="Y215" s="755">
        <f t="shared" si="30"/>
        <v>0</v>
      </c>
      <c r="Z215" s="864"/>
      <c r="AA215" s="863"/>
      <c r="AB215" s="756">
        <f t="shared" si="31"/>
        <v>0</v>
      </c>
      <c r="AC215" s="859"/>
      <c r="AD215" s="863"/>
      <c r="AE215" s="859"/>
      <c r="AF215" s="859"/>
      <c r="AG215" s="864"/>
      <c r="AH215" s="865"/>
      <c r="AI215" s="757">
        <f t="shared" si="32"/>
        <v>0</v>
      </c>
      <c r="AJ215" s="758">
        <f t="shared" si="33"/>
        <v>0</v>
      </c>
    </row>
    <row r="216" spans="1:36" ht="15" customHeight="1" x14ac:dyDescent="0.2">
      <c r="A216" s="843" t="s">
        <v>142</v>
      </c>
      <c r="B216" s="844" t="s">
        <v>272</v>
      </c>
      <c r="C216" s="866" t="s">
        <v>510</v>
      </c>
      <c r="D216" s="845"/>
      <c r="E216" s="846">
        <v>102313</v>
      </c>
      <c r="F216" s="881">
        <v>12</v>
      </c>
      <c r="G216" s="859"/>
      <c r="H216" s="860"/>
      <c r="I216" s="861">
        <v>84007</v>
      </c>
      <c r="J216" s="1517">
        <v>111593</v>
      </c>
      <c r="K216" s="859"/>
      <c r="L216" s="863"/>
      <c r="M216" s="861"/>
      <c r="N216" s="859"/>
      <c r="O216" s="752">
        <f t="shared" si="26"/>
        <v>0</v>
      </c>
      <c r="P216" s="862"/>
      <c r="Q216" s="860"/>
      <c r="R216" s="753">
        <f t="shared" si="27"/>
        <v>0</v>
      </c>
      <c r="S216" s="752">
        <f t="shared" si="28"/>
        <v>84007</v>
      </c>
      <c r="T216" s="754">
        <f t="shared" si="29"/>
        <v>111593</v>
      </c>
      <c r="U216" s="859"/>
      <c r="V216" s="863"/>
      <c r="W216" s="859"/>
      <c r="X216" s="859"/>
      <c r="Y216" s="755">
        <f t="shared" si="30"/>
        <v>0</v>
      </c>
      <c r="Z216" s="864"/>
      <c r="AA216" s="863"/>
      <c r="AB216" s="756">
        <f t="shared" si="31"/>
        <v>0</v>
      </c>
      <c r="AC216" s="859"/>
      <c r="AD216" s="863"/>
      <c r="AE216" s="859"/>
      <c r="AF216" s="859"/>
      <c r="AG216" s="864"/>
      <c r="AH216" s="865"/>
      <c r="AI216" s="757">
        <f t="shared" si="32"/>
        <v>84007</v>
      </c>
      <c r="AJ216" s="758">
        <f t="shared" si="33"/>
        <v>111593</v>
      </c>
    </row>
    <row r="217" spans="1:36" ht="15" customHeight="1" x14ac:dyDescent="0.2">
      <c r="A217" s="843" t="s">
        <v>142</v>
      </c>
      <c r="B217" s="844" t="s">
        <v>272</v>
      </c>
      <c r="C217" s="866" t="s">
        <v>511</v>
      </c>
      <c r="D217" s="845"/>
      <c r="E217" s="846">
        <v>102313</v>
      </c>
      <c r="F217" s="881">
        <v>12</v>
      </c>
      <c r="G217" s="859"/>
      <c r="H217" s="860"/>
      <c r="I217" s="861">
        <v>507971</v>
      </c>
      <c r="J217" s="1517">
        <v>466506</v>
      </c>
      <c r="K217" s="859"/>
      <c r="L217" s="863"/>
      <c r="M217" s="861"/>
      <c r="N217" s="859"/>
      <c r="O217" s="752">
        <f t="shared" si="26"/>
        <v>0</v>
      </c>
      <c r="P217" s="862"/>
      <c r="Q217" s="860"/>
      <c r="R217" s="753">
        <f t="shared" si="27"/>
        <v>0</v>
      </c>
      <c r="S217" s="752">
        <f t="shared" si="28"/>
        <v>507971</v>
      </c>
      <c r="T217" s="754">
        <f t="shared" si="29"/>
        <v>466506</v>
      </c>
      <c r="U217" s="859"/>
      <c r="V217" s="863"/>
      <c r="W217" s="859"/>
      <c r="X217" s="859"/>
      <c r="Y217" s="755">
        <f t="shared" si="30"/>
        <v>0</v>
      </c>
      <c r="Z217" s="864"/>
      <c r="AA217" s="863"/>
      <c r="AB217" s="756">
        <f t="shared" si="31"/>
        <v>0</v>
      </c>
      <c r="AC217" s="859"/>
      <c r="AD217" s="863"/>
      <c r="AE217" s="859"/>
      <c r="AF217" s="859"/>
      <c r="AG217" s="864"/>
      <c r="AH217" s="865"/>
      <c r="AI217" s="757">
        <f t="shared" si="32"/>
        <v>507971</v>
      </c>
      <c r="AJ217" s="758">
        <f t="shared" si="33"/>
        <v>466506</v>
      </c>
    </row>
    <row r="218" spans="1:36" ht="15" customHeight="1" x14ac:dyDescent="0.2">
      <c r="A218" s="843" t="s">
        <v>142</v>
      </c>
      <c r="B218" s="844" t="s">
        <v>272</v>
      </c>
      <c r="C218" s="866" t="s">
        <v>512</v>
      </c>
      <c r="D218" s="845"/>
      <c r="E218" s="846">
        <v>102313</v>
      </c>
      <c r="F218" s="881">
        <v>12</v>
      </c>
      <c r="G218" s="859"/>
      <c r="H218" s="860"/>
      <c r="I218" s="876">
        <v>5000</v>
      </c>
      <c r="J218" s="1517">
        <v>33119</v>
      </c>
      <c r="K218" s="859"/>
      <c r="L218" s="863"/>
      <c r="M218" s="861"/>
      <c r="N218" s="859"/>
      <c r="O218" s="752">
        <f t="shared" si="26"/>
        <v>0</v>
      </c>
      <c r="P218" s="862"/>
      <c r="Q218" s="860"/>
      <c r="R218" s="753">
        <f t="shared" si="27"/>
        <v>0</v>
      </c>
      <c r="S218" s="752">
        <f t="shared" si="28"/>
        <v>5000</v>
      </c>
      <c r="T218" s="754">
        <f t="shared" si="29"/>
        <v>33119</v>
      </c>
      <c r="U218" s="859"/>
      <c r="V218" s="863"/>
      <c r="W218" s="859"/>
      <c r="X218" s="859"/>
      <c r="Y218" s="755">
        <f t="shared" si="30"/>
        <v>0</v>
      </c>
      <c r="Z218" s="864"/>
      <c r="AA218" s="863"/>
      <c r="AB218" s="756">
        <f t="shared" si="31"/>
        <v>0</v>
      </c>
      <c r="AC218" s="859"/>
      <c r="AD218" s="863"/>
      <c r="AE218" s="859"/>
      <c r="AF218" s="859"/>
      <c r="AG218" s="864"/>
      <c r="AH218" s="865"/>
      <c r="AI218" s="757">
        <f t="shared" si="32"/>
        <v>5000</v>
      </c>
      <c r="AJ218" s="758">
        <f t="shared" si="33"/>
        <v>33119</v>
      </c>
    </row>
    <row r="219" spans="1:36" ht="15" customHeight="1" x14ac:dyDescent="0.2">
      <c r="A219" s="843" t="s">
        <v>142</v>
      </c>
      <c r="B219" s="844" t="s">
        <v>264</v>
      </c>
      <c r="C219" s="870" t="s">
        <v>537</v>
      </c>
      <c r="D219" s="872"/>
      <c r="E219" s="846">
        <v>101462</v>
      </c>
      <c r="F219" s="881">
        <v>13</v>
      </c>
      <c r="G219" s="859">
        <v>4500394</v>
      </c>
      <c r="H219" s="860">
        <v>4724658</v>
      </c>
      <c r="I219" s="861"/>
      <c r="J219" s="862"/>
      <c r="K219" s="859"/>
      <c r="L219" s="863"/>
      <c r="M219" s="876">
        <v>3619045</v>
      </c>
      <c r="N219" s="867">
        <v>292688</v>
      </c>
      <c r="O219" s="752">
        <f t="shared" si="26"/>
        <v>3911733</v>
      </c>
      <c r="P219" s="862">
        <v>3486031</v>
      </c>
      <c r="Q219" s="860">
        <v>295750</v>
      </c>
      <c r="R219" s="753">
        <f t="shared" si="27"/>
        <v>3781781</v>
      </c>
      <c r="S219" s="752">
        <f t="shared" si="28"/>
        <v>8119439</v>
      </c>
      <c r="T219" s="754">
        <f t="shared" si="29"/>
        <v>8210689</v>
      </c>
      <c r="U219" s="859"/>
      <c r="V219" s="863"/>
      <c r="W219" s="859"/>
      <c r="X219" s="859"/>
      <c r="Y219" s="755">
        <f t="shared" si="30"/>
        <v>0</v>
      </c>
      <c r="Z219" s="864"/>
      <c r="AA219" s="863"/>
      <c r="AB219" s="756">
        <f t="shared" si="31"/>
        <v>0</v>
      </c>
      <c r="AC219" s="859"/>
      <c r="AD219" s="863"/>
      <c r="AE219" s="859"/>
      <c r="AF219" s="859"/>
      <c r="AG219" s="864"/>
      <c r="AH219" s="865"/>
      <c r="AI219" s="757">
        <f t="shared" si="32"/>
        <v>8119439</v>
      </c>
      <c r="AJ219" s="758">
        <f t="shared" si="33"/>
        <v>8210689</v>
      </c>
    </row>
    <row r="220" spans="1:36" ht="15" customHeight="1" x14ac:dyDescent="0.2">
      <c r="A220" s="843" t="s">
        <v>142</v>
      </c>
      <c r="B220" s="844" t="s">
        <v>272</v>
      </c>
      <c r="C220" s="858" t="s">
        <v>509</v>
      </c>
      <c r="D220" s="845"/>
      <c r="E220" s="846">
        <v>101462</v>
      </c>
      <c r="F220" s="881">
        <v>13</v>
      </c>
      <c r="G220" s="859"/>
      <c r="H220" s="860"/>
      <c r="I220" s="861"/>
      <c r="J220" s="862"/>
      <c r="K220" s="859"/>
      <c r="L220" s="863"/>
      <c r="M220" s="861"/>
      <c r="N220" s="859"/>
      <c r="O220" s="752">
        <f t="shared" si="26"/>
        <v>0</v>
      </c>
      <c r="P220" s="862"/>
      <c r="Q220" s="860"/>
      <c r="R220" s="753">
        <f t="shared" si="27"/>
        <v>0</v>
      </c>
      <c r="S220" s="752">
        <f t="shared" si="28"/>
        <v>0</v>
      </c>
      <c r="T220" s="754">
        <f t="shared" si="29"/>
        <v>0</v>
      </c>
      <c r="U220" s="859"/>
      <c r="V220" s="863"/>
      <c r="W220" s="859"/>
      <c r="X220" s="859"/>
      <c r="Y220" s="755">
        <f t="shared" si="30"/>
        <v>0</v>
      </c>
      <c r="Z220" s="864"/>
      <c r="AA220" s="863"/>
      <c r="AB220" s="756">
        <f t="shared" si="31"/>
        <v>0</v>
      </c>
      <c r="AC220" s="859"/>
      <c r="AD220" s="863"/>
      <c r="AE220" s="859"/>
      <c r="AF220" s="859"/>
      <c r="AG220" s="864"/>
      <c r="AH220" s="865"/>
      <c r="AI220" s="757">
        <f t="shared" si="32"/>
        <v>0</v>
      </c>
      <c r="AJ220" s="758">
        <f t="shared" si="33"/>
        <v>0</v>
      </c>
    </row>
    <row r="221" spans="1:36" ht="15" customHeight="1" x14ac:dyDescent="0.2">
      <c r="A221" s="843" t="s">
        <v>142</v>
      </c>
      <c r="B221" s="844" t="s">
        <v>272</v>
      </c>
      <c r="C221" s="866" t="s">
        <v>510</v>
      </c>
      <c r="D221" s="845"/>
      <c r="E221" s="846">
        <v>101462</v>
      </c>
      <c r="F221" s="881">
        <v>13</v>
      </c>
      <c r="G221" s="859"/>
      <c r="H221" s="860"/>
      <c r="I221" s="861">
        <v>306787</v>
      </c>
      <c r="J221" s="1517">
        <v>105201</v>
      </c>
      <c r="K221" s="859"/>
      <c r="L221" s="863"/>
      <c r="M221" s="861"/>
      <c r="N221" s="859"/>
      <c r="O221" s="752">
        <f t="shared" si="26"/>
        <v>0</v>
      </c>
      <c r="P221" s="862"/>
      <c r="Q221" s="860"/>
      <c r="R221" s="753">
        <f t="shared" si="27"/>
        <v>0</v>
      </c>
      <c r="S221" s="752">
        <f t="shared" si="28"/>
        <v>306787</v>
      </c>
      <c r="T221" s="754">
        <f t="shared" si="29"/>
        <v>105201</v>
      </c>
      <c r="U221" s="859"/>
      <c r="V221" s="863"/>
      <c r="W221" s="859"/>
      <c r="X221" s="859"/>
      <c r="Y221" s="755">
        <f t="shared" si="30"/>
        <v>0</v>
      </c>
      <c r="Z221" s="864"/>
      <c r="AA221" s="863"/>
      <c r="AB221" s="756">
        <f t="shared" si="31"/>
        <v>0</v>
      </c>
      <c r="AC221" s="859"/>
      <c r="AD221" s="863"/>
      <c r="AE221" s="859"/>
      <c r="AF221" s="859"/>
      <c r="AG221" s="864"/>
      <c r="AH221" s="865"/>
      <c r="AI221" s="757">
        <f t="shared" si="32"/>
        <v>306787</v>
      </c>
      <c r="AJ221" s="758">
        <f t="shared" si="33"/>
        <v>105201</v>
      </c>
    </row>
    <row r="222" spans="1:36" ht="15" customHeight="1" x14ac:dyDescent="0.2">
      <c r="A222" s="843" t="s">
        <v>142</v>
      </c>
      <c r="B222" s="844" t="s">
        <v>272</v>
      </c>
      <c r="C222" s="866" t="s">
        <v>511</v>
      </c>
      <c r="D222" s="845"/>
      <c r="E222" s="846">
        <v>101462</v>
      </c>
      <c r="F222" s="881">
        <v>13</v>
      </c>
      <c r="G222" s="859"/>
      <c r="H222" s="860"/>
      <c r="I222" s="861">
        <v>145654</v>
      </c>
      <c r="J222" s="1517">
        <v>149153</v>
      </c>
      <c r="K222" s="859"/>
      <c r="L222" s="863"/>
      <c r="M222" s="861"/>
      <c r="N222" s="859"/>
      <c r="O222" s="752">
        <f t="shared" si="26"/>
        <v>0</v>
      </c>
      <c r="P222" s="862"/>
      <c r="Q222" s="860"/>
      <c r="R222" s="753">
        <f t="shared" si="27"/>
        <v>0</v>
      </c>
      <c r="S222" s="752">
        <f t="shared" si="28"/>
        <v>145654</v>
      </c>
      <c r="T222" s="754">
        <f t="shared" si="29"/>
        <v>149153</v>
      </c>
      <c r="U222" s="859"/>
      <c r="V222" s="863"/>
      <c r="W222" s="859"/>
      <c r="X222" s="859"/>
      <c r="Y222" s="755">
        <f t="shared" si="30"/>
        <v>0</v>
      </c>
      <c r="Z222" s="864"/>
      <c r="AA222" s="863"/>
      <c r="AB222" s="756">
        <f t="shared" si="31"/>
        <v>0</v>
      </c>
      <c r="AC222" s="859"/>
      <c r="AD222" s="863"/>
      <c r="AE222" s="859"/>
      <c r="AF222" s="859"/>
      <c r="AG222" s="864"/>
      <c r="AH222" s="865"/>
      <c r="AI222" s="757">
        <f t="shared" si="32"/>
        <v>145654</v>
      </c>
      <c r="AJ222" s="758">
        <f t="shared" si="33"/>
        <v>149153</v>
      </c>
    </row>
    <row r="223" spans="1:36" ht="15" customHeight="1" x14ac:dyDescent="0.2">
      <c r="A223" s="843" t="s">
        <v>142</v>
      </c>
      <c r="B223" s="844" t="s">
        <v>272</v>
      </c>
      <c r="C223" s="866" t="s">
        <v>512</v>
      </c>
      <c r="D223" s="845"/>
      <c r="E223" s="846">
        <v>101462</v>
      </c>
      <c r="F223" s="881">
        <v>13</v>
      </c>
      <c r="G223" s="859"/>
      <c r="H223" s="860"/>
      <c r="I223" s="861"/>
      <c r="J223" s="1517">
        <v>30170</v>
      </c>
      <c r="K223" s="859"/>
      <c r="L223" s="863"/>
      <c r="M223" s="861"/>
      <c r="N223" s="859"/>
      <c r="O223" s="752">
        <f t="shared" si="26"/>
        <v>0</v>
      </c>
      <c r="P223" s="862"/>
      <c r="Q223" s="860"/>
      <c r="R223" s="753">
        <f t="shared" si="27"/>
        <v>0</v>
      </c>
      <c r="S223" s="752">
        <f t="shared" si="28"/>
        <v>0</v>
      </c>
      <c r="T223" s="754">
        <f t="shared" si="29"/>
        <v>30170</v>
      </c>
      <c r="U223" s="859"/>
      <c r="V223" s="863"/>
      <c r="W223" s="859"/>
      <c r="X223" s="859"/>
      <c r="Y223" s="755">
        <f t="shared" si="30"/>
        <v>0</v>
      </c>
      <c r="Z223" s="864"/>
      <c r="AA223" s="863"/>
      <c r="AB223" s="756">
        <f t="shared" si="31"/>
        <v>0</v>
      </c>
      <c r="AC223" s="859"/>
      <c r="AD223" s="863"/>
      <c r="AE223" s="859"/>
      <c r="AF223" s="859"/>
      <c r="AG223" s="864"/>
      <c r="AH223" s="865"/>
      <c r="AI223" s="757">
        <f t="shared" si="32"/>
        <v>0</v>
      </c>
      <c r="AJ223" s="758">
        <f t="shared" si="33"/>
        <v>30170</v>
      </c>
    </row>
    <row r="224" spans="1:36" ht="15" customHeight="1" x14ac:dyDescent="0.2">
      <c r="A224" s="843" t="s">
        <v>142</v>
      </c>
      <c r="B224" s="844" t="s">
        <v>264</v>
      </c>
      <c r="C224" s="868" t="s">
        <v>538</v>
      </c>
      <c r="D224" s="869"/>
      <c r="E224" s="846">
        <v>101471</v>
      </c>
      <c r="F224" s="881">
        <v>13</v>
      </c>
      <c r="G224" s="859">
        <v>6590537</v>
      </c>
      <c r="H224" s="1525">
        <v>6785543</v>
      </c>
      <c r="I224" s="861"/>
      <c r="J224" s="862"/>
      <c r="K224" s="859"/>
      <c r="L224" s="863">
        <v>3000</v>
      </c>
      <c r="M224" s="876">
        <v>2225702</v>
      </c>
      <c r="N224" s="859"/>
      <c r="O224" s="752">
        <f t="shared" si="26"/>
        <v>2225702</v>
      </c>
      <c r="P224" s="862">
        <v>2405910</v>
      </c>
      <c r="Q224" s="860"/>
      <c r="R224" s="753">
        <f t="shared" si="27"/>
        <v>2405910</v>
      </c>
      <c r="S224" s="752">
        <f t="shared" si="28"/>
        <v>8816239</v>
      </c>
      <c r="T224" s="754">
        <f t="shared" si="29"/>
        <v>9194453</v>
      </c>
      <c r="U224" s="859"/>
      <c r="V224" s="863"/>
      <c r="W224" s="859"/>
      <c r="X224" s="859"/>
      <c r="Y224" s="755">
        <f t="shared" si="30"/>
        <v>0</v>
      </c>
      <c r="Z224" s="864"/>
      <c r="AA224" s="863"/>
      <c r="AB224" s="756">
        <f t="shared" si="31"/>
        <v>0</v>
      </c>
      <c r="AC224" s="859"/>
      <c r="AD224" s="863"/>
      <c r="AE224" s="859"/>
      <c r="AF224" s="859"/>
      <c r="AG224" s="864"/>
      <c r="AH224" s="865"/>
      <c r="AI224" s="757">
        <f t="shared" si="32"/>
        <v>8816239</v>
      </c>
      <c r="AJ224" s="758">
        <f t="shared" si="33"/>
        <v>9194453</v>
      </c>
    </row>
    <row r="225" spans="1:36" ht="15" customHeight="1" x14ac:dyDescent="0.2">
      <c r="A225" s="843" t="s">
        <v>142</v>
      </c>
      <c r="B225" s="844" t="s">
        <v>272</v>
      </c>
      <c r="C225" s="858" t="s">
        <v>509</v>
      </c>
      <c r="D225" s="845"/>
      <c r="E225" s="846">
        <v>101471</v>
      </c>
      <c r="F225" s="881">
        <v>13</v>
      </c>
      <c r="G225" s="859"/>
      <c r="H225" s="860"/>
      <c r="I225" s="861"/>
      <c r="J225" s="862"/>
      <c r="K225" s="859"/>
      <c r="L225" s="863"/>
      <c r="M225" s="861"/>
      <c r="N225" s="859"/>
      <c r="O225" s="752">
        <f t="shared" si="26"/>
        <v>0</v>
      </c>
      <c r="P225" s="862"/>
      <c r="Q225" s="860"/>
      <c r="R225" s="753">
        <f t="shared" si="27"/>
        <v>0</v>
      </c>
      <c r="S225" s="752">
        <f t="shared" si="28"/>
        <v>0</v>
      </c>
      <c r="T225" s="754">
        <f t="shared" si="29"/>
        <v>0</v>
      </c>
      <c r="U225" s="859"/>
      <c r="V225" s="863"/>
      <c r="W225" s="859"/>
      <c r="X225" s="859"/>
      <c r="Y225" s="755">
        <f t="shared" si="30"/>
        <v>0</v>
      </c>
      <c r="Z225" s="864"/>
      <c r="AA225" s="863"/>
      <c r="AB225" s="756">
        <f t="shared" si="31"/>
        <v>0</v>
      </c>
      <c r="AC225" s="859"/>
      <c r="AD225" s="863"/>
      <c r="AE225" s="859"/>
      <c r="AF225" s="859"/>
      <c r="AG225" s="864"/>
      <c r="AH225" s="865"/>
      <c r="AI225" s="757">
        <f t="shared" si="32"/>
        <v>0</v>
      </c>
      <c r="AJ225" s="758">
        <f t="shared" si="33"/>
        <v>0</v>
      </c>
    </row>
    <row r="226" spans="1:36" ht="15" customHeight="1" x14ac:dyDescent="0.2">
      <c r="A226" s="843" t="s">
        <v>142</v>
      </c>
      <c r="B226" s="844" t="s">
        <v>272</v>
      </c>
      <c r="C226" s="866" t="s">
        <v>510</v>
      </c>
      <c r="D226" s="845"/>
      <c r="E226" s="846">
        <v>101471</v>
      </c>
      <c r="F226" s="881">
        <v>13</v>
      </c>
      <c r="G226" s="859"/>
      <c r="H226" s="860"/>
      <c r="I226" s="861">
        <v>88500</v>
      </c>
      <c r="J226" s="862"/>
      <c r="K226" s="859"/>
      <c r="L226" s="863"/>
      <c r="M226" s="861"/>
      <c r="N226" s="859"/>
      <c r="O226" s="752">
        <f t="shared" si="26"/>
        <v>0</v>
      </c>
      <c r="P226" s="862"/>
      <c r="Q226" s="860"/>
      <c r="R226" s="753">
        <f t="shared" si="27"/>
        <v>0</v>
      </c>
      <c r="S226" s="752">
        <f t="shared" si="28"/>
        <v>88500</v>
      </c>
      <c r="T226" s="754">
        <f t="shared" si="29"/>
        <v>0</v>
      </c>
      <c r="U226" s="859"/>
      <c r="V226" s="863"/>
      <c r="W226" s="859"/>
      <c r="X226" s="859"/>
      <c r="Y226" s="755">
        <f t="shared" si="30"/>
        <v>0</v>
      </c>
      <c r="Z226" s="864"/>
      <c r="AA226" s="863"/>
      <c r="AB226" s="756">
        <f t="shared" si="31"/>
        <v>0</v>
      </c>
      <c r="AC226" s="859"/>
      <c r="AD226" s="863"/>
      <c r="AE226" s="859"/>
      <c r="AF226" s="859"/>
      <c r="AG226" s="864"/>
      <c r="AH226" s="865"/>
      <c r="AI226" s="757">
        <f t="shared" si="32"/>
        <v>88500</v>
      </c>
      <c r="AJ226" s="758">
        <f t="shared" si="33"/>
        <v>0</v>
      </c>
    </row>
    <row r="227" spans="1:36" ht="15" customHeight="1" x14ac:dyDescent="0.2">
      <c r="A227" s="843" t="s">
        <v>142</v>
      </c>
      <c r="B227" s="844" t="s">
        <v>272</v>
      </c>
      <c r="C227" s="866" t="s">
        <v>511</v>
      </c>
      <c r="D227" s="845"/>
      <c r="E227" s="846">
        <v>101471</v>
      </c>
      <c r="F227" s="881">
        <v>13</v>
      </c>
      <c r="G227" s="859"/>
      <c r="H227" s="860"/>
      <c r="I227" s="861">
        <v>495637</v>
      </c>
      <c r="J227" s="1517">
        <v>554044</v>
      </c>
      <c r="K227" s="859"/>
      <c r="L227" s="863"/>
      <c r="M227" s="861"/>
      <c r="N227" s="859"/>
      <c r="O227" s="752">
        <f t="shared" si="26"/>
        <v>0</v>
      </c>
      <c r="P227" s="862"/>
      <c r="Q227" s="860"/>
      <c r="R227" s="753">
        <f t="shared" si="27"/>
        <v>0</v>
      </c>
      <c r="S227" s="752">
        <f t="shared" si="28"/>
        <v>495637</v>
      </c>
      <c r="T227" s="754">
        <f t="shared" si="29"/>
        <v>554044</v>
      </c>
      <c r="U227" s="859"/>
      <c r="V227" s="863"/>
      <c r="W227" s="859"/>
      <c r="X227" s="859"/>
      <c r="Y227" s="755">
        <f t="shared" si="30"/>
        <v>0</v>
      </c>
      <c r="Z227" s="864"/>
      <c r="AA227" s="863"/>
      <c r="AB227" s="756">
        <f t="shared" si="31"/>
        <v>0</v>
      </c>
      <c r="AC227" s="859"/>
      <c r="AD227" s="863"/>
      <c r="AE227" s="859"/>
      <c r="AF227" s="859"/>
      <c r="AG227" s="864"/>
      <c r="AH227" s="865"/>
      <c r="AI227" s="757">
        <f t="shared" si="32"/>
        <v>495637</v>
      </c>
      <c r="AJ227" s="758">
        <f t="shared" si="33"/>
        <v>554044</v>
      </c>
    </row>
    <row r="228" spans="1:36" ht="15" customHeight="1" x14ac:dyDescent="0.2">
      <c r="A228" s="843" t="s">
        <v>142</v>
      </c>
      <c r="B228" s="844" t="s">
        <v>272</v>
      </c>
      <c r="C228" s="866" t="s">
        <v>512</v>
      </c>
      <c r="D228" s="845"/>
      <c r="E228" s="846">
        <v>101471</v>
      </c>
      <c r="F228" s="881">
        <v>13</v>
      </c>
      <c r="G228" s="859"/>
      <c r="H228" s="860"/>
      <c r="I228" s="861">
        <v>7908</v>
      </c>
      <c r="J228" s="1517">
        <v>31499</v>
      </c>
      <c r="K228" s="859"/>
      <c r="L228" s="863"/>
      <c r="M228" s="861"/>
      <c r="N228" s="859"/>
      <c r="O228" s="752">
        <f t="shared" si="26"/>
        <v>0</v>
      </c>
      <c r="P228" s="862"/>
      <c r="Q228" s="860"/>
      <c r="R228" s="753">
        <f t="shared" si="27"/>
        <v>0</v>
      </c>
      <c r="S228" s="752">
        <f t="shared" si="28"/>
        <v>7908</v>
      </c>
      <c r="T228" s="754">
        <f t="shared" si="29"/>
        <v>31499</v>
      </c>
      <c r="U228" s="859"/>
      <c r="V228" s="863"/>
      <c r="W228" s="859"/>
      <c r="X228" s="859"/>
      <c r="Y228" s="755">
        <f t="shared" si="30"/>
        <v>0</v>
      </c>
      <c r="Z228" s="864"/>
      <c r="AA228" s="863"/>
      <c r="AB228" s="756">
        <f t="shared" si="31"/>
        <v>0</v>
      </c>
      <c r="AC228" s="859"/>
      <c r="AD228" s="863"/>
      <c r="AE228" s="859"/>
      <c r="AF228" s="859"/>
      <c r="AG228" s="864"/>
      <c r="AH228" s="865"/>
      <c r="AI228" s="757">
        <f t="shared" si="32"/>
        <v>7908</v>
      </c>
      <c r="AJ228" s="758">
        <f t="shared" si="33"/>
        <v>31499</v>
      </c>
    </row>
    <row r="229" spans="1:36" ht="15" customHeight="1" x14ac:dyDescent="0.2">
      <c r="A229" s="843" t="s">
        <v>142</v>
      </c>
      <c r="B229" s="844" t="s">
        <v>264</v>
      </c>
      <c r="C229" s="868" t="s">
        <v>539</v>
      </c>
      <c r="D229" s="869"/>
      <c r="E229" s="846">
        <v>101994</v>
      </c>
      <c r="F229" s="881">
        <v>13</v>
      </c>
      <c r="G229" s="859">
        <v>4201032</v>
      </c>
      <c r="H229" s="860">
        <v>4310779</v>
      </c>
      <c r="I229" s="861"/>
      <c r="J229" s="862"/>
      <c r="K229" s="859"/>
      <c r="L229" s="863"/>
      <c r="M229" s="876">
        <v>1918069</v>
      </c>
      <c r="N229" s="867">
        <v>143971</v>
      </c>
      <c r="O229" s="752">
        <f t="shared" si="26"/>
        <v>2062040</v>
      </c>
      <c r="P229" s="862">
        <v>1720671</v>
      </c>
      <c r="Q229" s="860">
        <v>127147</v>
      </c>
      <c r="R229" s="753">
        <f t="shared" si="27"/>
        <v>1847818</v>
      </c>
      <c r="S229" s="752">
        <f t="shared" si="28"/>
        <v>6119101</v>
      </c>
      <c r="T229" s="754">
        <f t="shared" si="29"/>
        <v>6031450</v>
      </c>
      <c r="U229" s="859"/>
      <c r="V229" s="863"/>
      <c r="W229" s="859"/>
      <c r="X229" s="859"/>
      <c r="Y229" s="755">
        <f t="shared" si="30"/>
        <v>0</v>
      </c>
      <c r="Z229" s="864"/>
      <c r="AA229" s="863"/>
      <c r="AB229" s="756">
        <f t="shared" si="31"/>
        <v>0</v>
      </c>
      <c r="AC229" s="859"/>
      <c r="AD229" s="863"/>
      <c r="AE229" s="859"/>
      <c r="AF229" s="859"/>
      <c r="AG229" s="864"/>
      <c r="AH229" s="865"/>
      <c r="AI229" s="757">
        <f t="shared" si="32"/>
        <v>6119101</v>
      </c>
      <c r="AJ229" s="758">
        <f t="shared" si="33"/>
        <v>6031450</v>
      </c>
    </row>
    <row r="230" spans="1:36" ht="15" customHeight="1" x14ac:dyDescent="0.2">
      <c r="A230" s="843" t="s">
        <v>142</v>
      </c>
      <c r="B230" s="844" t="s">
        <v>272</v>
      </c>
      <c r="C230" s="858" t="s">
        <v>509</v>
      </c>
      <c r="D230" s="845"/>
      <c r="E230" s="846">
        <v>101994</v>
      </c>
      <c r="F230" s="881">
        <v>13</v>
      </c>
      <c r="G230" s="859"/>
      <c r="H230" s="860"/>
      <c r="I230" s="861"/>
      <c r="J230" s="862"/>
      <c r="K230" s="859"/>
      <c r="L230" s="863"/>
      <c r="M230" s="861"/>
      <c r="N230" s="859"/>
      <c r="O230" s="752">
        <f t="shared" si="26"/>
        <v>0</v>
      </c>
      <c r="P230" s="862"/>
      <c r="Q230" s="860"/>
      <c r="R230" s="753">
        <f t="shared" si="27"/>
        <v>0</v>
      </c>
      <c r="S230" s="752">
        <f t="shared" si="28"/>
        <v>0</v>
      </c>
      <c r="T230" s="754">
        <f t="shared" si="29"/>
        <v>0</v>
      </c>
      <c r="U230" s="859"/>
      <c r="V230" s="863"/>
      <c r="W230" s="859"/>
      <c r="X230" s="859"/>
      <c r="Y230" s="755">
        <f t="shared" si="30"/>
        <v>0</v>
      </c>
      <c r="Z230" s="864"/>
      <c r="AA230" s="863"/>
      <c r="AB230" s="756">
        <f t="shared" si="31"/>
        <v>0</v>
      </c>
      <c r="AC230" s="859"/>
      <c r="AD230" s="863"/>
      <c r="AE230" s="859"/>
      <c r="AF230" s="859"/>
      <c r="AG230" s="864"/>
      <c r="AH230" s="865"/>
      <c r="AI230" s="757">
        <f t="shared" si="32"/>
        <v>0</v>
      </c>
      <c r="AJ230" s="758">
        <f t="shared" si="33"/>
        <v>0</v>
      </c>
    </row>
    <row r="231" spans="1:36" ht="15" customHeight="1" x14ac:dyDescent="0.2">
      <c r="A231" s="843" t="s">
        <v>142</v>
      </c>
      <c r="B231" s="844" t="s">
        <v>272</v>
      </c>
      <c r="C231" s="866" t="s">
        <v>510</v>
      </c>
      <c r="D231" s="845"/>
      <c r="E231" s="846">
        <v>101994</v>
      </c>
      <c r="F231" s="881">
        <v>13</v>
      </c>
      <c r="G231" s="859"/>
      <c r="H231" s="860"/>
      <c r="I231" s="861">
        <v>118029</v>
      </c>
      <c r="J231" s="1517">
        <v>186247</v>
      </c>
      <c r="K231" s="859"/>
      <c r="L231" s="863"/>
      <c r="M231" s="861"/>
      <c r="N231" s="859"/>
      <c r="O231" s="752">
        <f t="shared" si="26"/>
        <v>0</v>
      </c>
      <c r="P231" s="862"/>
      <c r="Q231" s="860"/>
      <c r="R231" s="753">
        <f t="shared" si="27"/>
        <v>0</v>
      </c>
      <c r="S231" s="752">
        <f t="shared" si="28"/>
        <v>118029</v>
      </c>
      <c r="T231" s="754">
        <f t="shared" si="29"/>
        <v>186247</v>
      </c>
      <c r="U231" s="859"/>
      <c r="V231" s="863"/>
      <c r="W231" s="859"/>
      <c r="X231" s="859"/>
      <c r="Y231" s="755">
        <f t="shared" si="30"/>
        <v>0</v>
      </c>
      <c r="Z231" s="864"/>
      <c r="AA231" s="863"/>
      <c r="AB231" s="756">
        <f t="shared" si="31"/>
        <v>0</v>
      </c>
      <c r="AC231" s="859"/>
      <c r="AD231" s="863"/>
      <c r="AE231" s="859"/>
      <c r="AF231" s="859"/>
      <c r="AG231" s="864"/>
      <c r="AH231" s="865"/>
      <c r="AI231" s="757">
        <f t="shared" si="32"/>
        <v>118029</v>
      </c>
      <c r="AJ231" s="758">
        <f t="shared" si="33"/>
        <v>186247</v>
      </c>
    </row>
    <row r="232" spans="1:36" ht="15" customHeight="1" x14ac:dyDescent="0.2">
      <c r="A232" s="843" t="s">
        <v>142</v>
      </c>
      <c r="B232" s="844" t="s">
        <v>272</v>
      </c>
      <c r="C232" s="866" t="s">
        <v>511</v>
      </c>
      <c r="D232" s="845"/>
      <c r="E232" s="846">
        <v>101994</v>
      </c>
      <c r="F232" s="881">
        <v>13</v>
      </c>
      <c r="G232" s="859"/>
      <c r="H232" s="860"/>
      <c r="I232" s="861">
        <v>175699</v>
      </c>
      <c r="J232" s="1517">
        <v>153385</v>
      </c>
      <c r="K232" s="859"/>
      <c r="L232" s="863"/>
      <c r="M232" s="861"/>
      <c r="N232" s="859"/>
      <c r="O232" s="752">
        <f t="shared" si="26"/>
        <v>0</v>
      </c>
      <c r="P232" s="862"/>
      <c r="Q232" s="860"/>
      <c r="R232" s="753">
        <f t="shared" si="27"/>
        <v>0</v>
      </c>
      <c r="S232" s="752">
        <f t="shared" si="28"/>
        <v>175699</v>
      </c>
      <c r="T232" s="754">
        <f t="shared" si="29"/>
        <v>153385</v>
      </c>
      <c r="U232" s="859"/>
      <c r="V232" s="863"/>
      <c r="W232" s="859"/>
      <c r="X232" s="859"/>
      <c r="Y232" s="755">
        <f t="shared" si="30"/>
        <v>0</v>
      </c>
      <c r="Z232" s="864"/>
      <c r="AA232" s="863"/>
      <c r="AB232" s="756">
        <f t="shared" si="31"/>
        <v>0</v>
      </c>
      <c r="AC232" s="859"/>
      <c r="AD232" s="863"/>
      <c r="AE232" s="859"/>
      <c r="AF232" s="859"/>
      <c r="AG232" s="864"/>
      <c r="AH232" s="865"/>
      <c r="AI232" s="757">
        <f t="shared" si="32"/>
        <v>175699</v>
      </c>
      <c r="AJ232" s="758">
        <f t="shared" si="33"/>
        <v>153385</v>
      </c>
    </row>
    <row r="233" spans="1:36" ht="15" customHeight="1" x14ac:dyDescent="0.2">
      <c r="A233" s="843" t="s">
        <v>142</v>
      </c>
      <c r="B233" s="844" t="s">
        <v>272</v>
      </c>
      <c r="C233" s="866" t="s">
        <v>512</v>
      </c>
      <c r="D233" s="845"/>
      <c r="E233" s="846">
        <v>101994</v>
      </c>
      <c r="F233" s="881">
        <v>13</v>
      </c>
      <c r="G233" s="859"/>
      <c r="H233" s="860"/>
      <c r="I233" s="861"/>
      <c r="J233" s="862"/>
      <c r="K233" s="859"/>
      <c r="L233" s="863"/>
      <c r="M233" s="861"/>
      <c r="N233" s="859"/>
      <c r="O233" s="752">
        <f t="shared" si="26"/>
        <v>0</v>
      </c>
      <c r="P233" s="862"/>
      <c r="Q233" s="860"/>
      <c r="R233" s="753">
        <f t="shared" si="27"/>
        <v>0</v>
      </c>
      <c r="S233" s="752">
        <f t="shared" si="28"/>
        <v>0</v>
      </c>
      <c r="T233" s="754">
        <f t="shared" si="29"/>
        <v>0</v>
      </c>
      <c r="U233" s="859"/>
      <c r="V233" s="863"/>
      <c r="W233" s="859"/>
      <c r="X233" s="859"/>
      <c r="Y233" s="755">
        <f t="shared" si="30"/>
        <v>0</v>
      </c>
      <c r="Z233" s="864"/>
      <c r="AA233" s="863"/>
      <c r="AB233" s="756">
        <f t="shared" si="31"/>
        <v>0</v>
      </c>
      <c r="AC233" s="859"/>
      <c r="AD233" s="863"/>
      <c r="AE233" s="859"/>
      <c r="AF233" s="859"/>
      <c r="AG233" s="864"/>
      <c r="AH233" s="865"/>
      <c r="AI233" s="757">
        <f t="shared" si="32"/>
        <v>0</v>
      </c>
      <c r="AJ233" s="758">
        <f t="shared" si="33"/>
        <v>0</v>
      </c>
    </row>
    <row r="234" spans="1:36" ht="15" customHeight="1" x14ac:dyDescent="0.2">
      <c r="A234" s="843" t="s">
        <v>142</v>
      </c>
      <c r="B234" s="844" t="s">
        <v>302</v>
      </c>
      <c r="C234" s="844" t="s">
        <v>540</v>
      </c>
      <c r="D234" s="882"/>
      <c r="E234" s="846">
        <v>101648</v>
      </c>
      <c r="F234" s="881">
        <v>15</v>
      </c>
      <c r="G234" s="859"/>
      <c r="H234" s="860"/>
      <c r="I234" s="861"/>
      <c r="J234" s="862"/>
      <c r="K234" s="859"/>
      <c r="L234" s="863"/>
      <c r="M234" s="861"/>
      <c r="N234" s="859"/>
      <c r="O234" s="752">
        <f t="shared" si="26"/>
        <v>0</v>
      </c>
      <c r="P234" s="862"/>
      <c r="Q234" s="860"/>
      <c r="R234" s="753">
        <f t="shared" si="27"/>
        <v>0</v>
      </c>
      <c r="S234" s="752">
        <f t="shared" si="28"/>
        <v>0</v>
      </c>
      <c r="T234" s="754">
        <f t="shared" si="29"/>
        <v>0</v>
      </c>
      <c r="U234" s="859">
        <v>5875936</v>
      </c>
      <c r="V234" s="1101">
        <v>6125936</v>
      </c>
      <c r="W234" s="867">
        <v>3982157</v>
      </c>
      <c r="X234" s="867">
        <v>212502</v>
      </c>
      <c r="Y234" s="755">
        <f t="shared" si="30"/>
        <v>4194659</v>
      </c>
      <c r="Z234" s="864">
        <v>3747000</v>
      </c>
      <c r="AA234" s="863">
        <v>177000</v>
      </c>
      <c r="AB234" s="756">
        <f t="shared" si="31"/>
        <v>3924000</v>
      </c>
      <c r="AC234" s="859"/>
      <c r="AD234" s="863"/>
      <c r="AE234" s="859"/>
      <c r="AF234" s="859"/>
      <c r="AG234" s="864"/>
      <c r="AH234" s="865"/>
      <c r="AI234" s="757">
        <f t="shared" si="32"/>
        <v>9858093</v>
      </c>
      <c r="AJ234" s="758">
        <f t="shared" si="33"/>
        <v>9872936</v>
      </c>
    </row>
    <row r="235" spans="1:36" ht="15" customHeight="1" x14ac:dyDescent="0.2">
      <c r="A235" s="843" t="s">
        <v>142</v>
      </c>
      <c r="B235" s="844" t="s">
        <v>273</v>
      </c>
      <c r="C235" s="883" t="s">
        <v>541</v>
      </c>
      <c r="D235" s="869"/>
      <c r="E235" s="846"/>
      <c r="F235" s="847"/>
      <c r="G235" s="859"/>
      <c r="H235" s="860"/>
      <c r="I235" s="861"/>
      <c r="J235" s="862"/>
      <c r="K235" s="859"/>
      <c r="L235" s="863"/>
      <c r="M235" s="861"/>
      <c r="N235" s="859"/>
      <c r="O235" s="752">
        <f t="shared" si="26"/>
        <v>0</v>
      </c>
      <c r="P235" s="862"/>
      <c r="Q235" s="860"/>
      <c r="R235" s="753">
        <f t="shared" si="27"/>
        <v>0</v>
      </c>
      <c r="S235" s="752">
        <f t="shared" si="28"/>
        <v>0</v>
      </c>
      <c r="T235" s="754">
        <f t="shared" si="29"/>
        <v>0</v>
      </c>
      <c r="U235" s="859"/>
      <c r="V235" s="863"/>
      <c r="W235" s="859"/>
      <c r="X235" s="859"/>
      <c r="Y235" s="755">
        <f t="shared" si="30"/>
        <v>0</v>
      </c>
      <c r="Z235" s="864"/>
      <c r="AA235" s="863"/>
      <c r="AB235" s="756">
        <f t="shared" si="31"/>
        <v>0</v>
      </c>
      <c r="AC235" s="859"/>
      <c r="AD235" s="863"/>
      <c r="AE235" s="859"/>
      <c r="AF235" s="859"/>
      <c r="AG235" s="864"/>
      <c r="AH235" s="865"/>
      <c r="AI235" s="757">
        <f t="shared" si="32"/>
        <v>0</v>
      </c>
      <c r="AJ235" s="758">
        <f t="shared" si="33"/>
        <v>0</v>
      </c>
    </row>
    <row r="236" spans="1:36" ht="15" customHeight="1" x14ac:dyDescent="0.2">
      <c r="A236" s="843" t="s">
        <v>142</v>
      </c>
      <c r="B236" s="844" t="s">
        <v>278</v>
      </c>
      <c r="C236" s="858" t="s">
        <v>309</v>
      </c>
      <c r="D236" s="845"/>
      <c r="E236" s="884"/>
      <c r="F236" s="885"/>
      <c r="G236" s="859"/>
      <c r="H236" s="860"/>
      <c r="I236" s="861"/>
      <c r="J236" s="862"/>
      <c r="K236" s="859"/>
      <c r="L236" s="863"/>
      <c r="M236" s="861"/>
      <c r="N236" s="859"/>
      <c r="O236" s="752">
        <f t="shared" si="26"/>
        <v>0</v>
      </c>
      <c r="P236" s="862"/>
      <c r="Q236" s="860"/>
      <c r="R236" s="753">
        <f t="shared" si="27"/>
        <v>0</v>
      </c>
      <c r="S236" s="752">
        <f t="shared" si="28"/>
        <v>0</v>
      </c>
      <c r="T236" s="754">
        <f t="shared" si="29"/>
        <v>0</v>
      </c>
      <c r="U236" s="859"/>
      <c r="V236" s="863"/>
      <c r="W236" s="859"/>
      <c r="X236" s="859"/>
      <c r="Y236" s="755">
        <f t="shared" si="30"/>
        <v>0</v>
      </c>
      <c r="Z236" s="864"/>
      <c r="AA236" s="863"/>
      <c r="AB236" s="756">
        <f t="shared" si="31"/>
        <v>0</v>
      </c>
      <c r="AC236" s="859"/>
      <c r="AD236" s="863"/>
      <c r="AE236" s="859"/>
      <c r="AF236" s="859"/>
      <c r="AG236" s="864"/>
      <c r="AH236" s="865"/>
      <c r="AI236" s="757">
        <f t="shared" si="32"/>
        <v>0</v>
      </c>
      <c r="AJ236" s="758">
        <f t="shared" si="33"/>
        <v>0</v>
      </c>
    </row>
    <row r="237" spans="1:36" ht="15" customHeight="1" x14ac:dyDescent="0.2">
      <c r="A237" s="843" t="s">
        <v>142</v>
      </c>
      <c r="B237" s="844" t="s">
        <v>278</v>
      </c>
      <c r="C237" s="866" t="s">
        <v>542</v>
      </c>
      <c r="D237" s="845"/>
      <c r="E237" s="884"/>
      <c r="F237" s="885"/>
      <c r="G237" s="859"/>
      <c r="H237" s="860"/>
      <c r="I237" s="861">
        <v>1143088</v>
      </c>
      <c r="J237" s="862">
        <v>114308</v>
      </c>
      <c r="K237" s="859"/>
      <c r="L237" s="863"/>
      <c r="M237" s="861"/>
      <c r="N237" s="859"/>
      <c r="O237" s="752">
        <f t="shared" si="26"/>
        <v>0</v>
      </c>
      <c r="P237" s="862"/>
      <c r="Q237" s="860"/>
      <c r="R237" s="753">
        <f t="shared" si="27"/>
        <v>0</v>
      </c>
      <c r="S237" s="752">
        <f t="shared" si="28"/>
        <v>1143088</v>
      </c>
      <c r="T237" s="754">
        <f t="shared" si="29"/>
        <v>114308</v>
      </c>
      <c r="U237" s="859"/>
      <c r="V237" s="863"/>
      <c r="W237" s="859"/>
      <c r="X237" s="859"/>
      <c r="Y237" s="755">
        <f t="shared" si="30"/>
        <v>0</v>
      </c>
      <c r="Z237" s="864"/>
      <c r="AA237" s="863"/>
      <c r="AB237" s="756">
        <f t="shared" si="31"/>
        <v>0</v>
      </c>
      <c r="AC237" s="859"/>
      <c r="AD237" s="863"/>
      <c r="AE237" s="859"/>
      <c r="AF237" s="859"/>
      <c r="AG237" s="864"/>
      <c r="AH237" s="865"/>
      <c r="AI237" s="757">
        <f t="shared" si="32"/>
        <v>1143088</v>
      </c>
      <c r="AJ237" s="758">
        <f t="shared" si="33"/>
        <v>114308</v>
      </c>
    </row>
    <row r="238" spans="1:36" ht="15" customHeight="1" x14ac:dyDescent="0.2">
      <c r="A238" s="843" t="s">
        <v>142</v>
      </c>
      <c r="B238" s="844" t="s">
        <v>278</v>
      </c>
      <c r="C238" s="866" t="s">
        <v>543</v>
      </c>
      <c r="D238" s="845"/>
      <c r="E238" s="884"/>
      <c r="F238" s="885"/>
      <c r="G238" s="859"/>
      <c r="H238" s="860"/>
      <c r="I238" s="861">
        <v>3603915</v>
      </c>
      <c r="J238" s="862">
        <v>3805262</v>
      </c>
      <c r="K238" s="859"/>
      <c r="L238" s="863"/>
      <c r="M238" s="861"/>
      <c r="N238" s="859"/>
      <c r="O238" s="752">
        <f t="shared" si="26"/>
        <v>0</v>
      </c>
      <c r="P238" s="862"/>
      <c r="Q238" s="860"/>
      <c r="R238" s="753">
        <f t="shared" si="27"/>
        <v>0</v>
      </c>
      <c r="S238" s="752">
        <f t="shared" si="28"/>
        <v>3603915</v>
      </c>
      <c r="T238" s="754">
        <f t="shared" si="29"/>
        <v>3805262</v>
      </c>
      <c r="U238" s="859"/>
      <c r="V238" s="863"/>
      <c r="W238" s="859"/>
      <c r="X238" s="859"/>
      <c r="Y238" s="755">
        <f t="shared" si="30"/>
        <v>0</v>
      </c>
      <c r="Z238" s="864"/>
      <c r="AA238" s="863"/>
      <c r="AB238" s="756">
        <f t="shared" si="31"/>
        <v>0</v>
      </c>
      <c r="AC238" s="859"/>
      <c r="AD238" s="863"/>
      <c r="AE238" s="859"/>
      <c r="AF238" s="859"/>
      <c r="AG238" s="864"/>
      <c r="AH238" s="865"/>
      <c r="AI238" s="757">
        <f t="shared" si="32"/>
        <v>3603915</v>
      </c>
      <c r="AJ238" s="758">
        <f t="shared" si="33"/>
        <v>3805262</v>
      </c>
    </row>
    <row r="239" spans="1:36" ht="15" customHeight="1" x14ac:dyDescent="0.2">
      <c r="A239" s="843" t="s">
        <v>142</v>
      </c>
      <c r="B239" s="844" t="s">
        <v>279</v>
      </c>
      <c r="C239" s="858" t="s">
        <v>509</v>
      </c>
      <c r="D239" s="845"/>
      <c r="E239" s="884"/>
      <c r="F239" s="885"/>
      <c r="G239" s="859"/>
      <c r="H239" s="860"/>
      <c r="I239" s="861"/>
      <c r="J239" s="862"/>
      <c r="K239" s="859"/>
      <c r="L239" s="863"/>
      <c r="M239" s="861"/>
      <c r="N239" s="859"/>
      <c r="O239" s="752">
        <f t="shared" si="26"/>
        <v>0</v>
      </c>
      <c r="P239" s="862"/>
      <c r="Q239" s="860"/>
      <c r="R239" s="753">
        <f t="shared" si="27"/>
        <v>0</v>
      </c>
      <c r="S239" s="752">
        <f t="shared" si="28"/>
        <v>0</v>
      </c>
      <c r="T239" s="754">
        <f t="shared" si="29"/>
        <v>0</v>
      </c>
      <c r="U239" s="859"/>
      <c r="V239" s="863"/>
      <c r="W239" s="859"/>
      <c r="X239" s="859"/>
      <c r="Y239" s="755">
        <f t="shared" si="30"/>
        <v>0</v>
      </c>
      <c r="Z239" s="864"/>
      <c r="AA239" s="863"/>
      <c r="AB239" s="756">
        <f t="shared" si="31"/>
        <v>0</v>
      </c>
      <c r="AC239" s="859"/>
      <c r="AD239" s="863"/>
      <c r="AE239" s="859"/>
      <c r="AF239" s="859"/>
      <c r="AG239" s="864"/>
      <c r="AH239" s="865"/>
      <c r="AI239" s="757">
        <f t="shared" si="32"/>
        <v>0</v>
      </c>
      <c r="AJ239" s="758">
        <f t="shared" si="33"/>
        <v>0</v>
      </c>
    </row>
    <row r="240" spans="1:36" ht="15" customHeight="1" x14ac:dyDescent="0.2">
      <c r="A240" s="843" t="s">
        <v>142</v>
      </c>
      <c r="B240" s="844" t="s">
        <v>279</v>
      </c>
      <c r="C240" s="866" t="s">
        <v>544</v>
      </c>
      <c r="D240" s="845"/>
      <c r="E240" s="884"/>
      <c r="F240" s="885"/>
      <c r="G240" s="859"/>
      <c r="H240" s="860"/>
      <c r="I240" s="861">
        <v>301248</v>
      </c>
      <c r="J240" s="862">
        <v>301248</v>
      </c>
      <c r="K240" s="859"/>
      <c r="L240" s="863"/>
      <c r="M240" s="861"/>
      <c r="N240" s="859"/>
      <c r="O240" s="752">
        <f t="shared" si="26"/>
        <v>0</v>
      </c>
      <c r="P240" s="862"/>
      <c r="Q240" s="860"/>
      <c r="R240" s="753">
        <f t="shared" si="27"/>
        <v>0</v>
      </c>
      <c r="S240" s="752">
        <f t="shared" si="28"/>
        <v>301248</v>
      </c>
      <c r="T240" s="754">
        <f t="shared" si="29"/>
        <v>301248</v>
      </c>
      <c r="U240" s="859"/>
      <c r="V240" s="863"/>
      <c r="W240" s="859"/>
      <c r="X240" s="859"/>
      <c r="Y240" s="755">
        <f t="shared" si="30"/>
        <v>0</v>
      </c>
      <c r="Z240" s="864"/>
      <c r="AA240" s="863"/>
      <c r="AB240" s="756">
        <f t="shared" si="31"/>
        <v>0</v>
      </c>
      <c r="AC240" s="859"/>
      <c r="AD240" s="863"/>
      <c r="AE240" s="859"/>
      <c r="AF240" s="859"/>
      <c r="AG240" s="864"/>
      <c r="AH240" s="865"/>
      <c r="AI240" s="757">
        <f t="shared" si="32"/>
        <v>301248</v>
      </c>
      <c r="AJ240" s="758">
        <f t="shared" si="33"/>
        <v>301248</v>
      </c>
    </row>
    <row r="241" spans="1:36" ht="15" customHeight="1" x14ac:dyDescent="0.2">
      <c r="A241" s="843" t="s">
        <v>142</v>
      </c>
      <c r="B241" s="844" t="s">
        <v>279</v>
      </c>
      <c r="C241" s="866" t="s">
        <v>480</v>
      </c>
      <c r="D241" s="845"/>
      <c r="E241" s="884"/>
      <c r="F241" s="885"/>
      <c r="G241" s="859"/>
      <c r="H241" s="860"/>
      <c r="I241" s="861">
        <v>922451</v>
      </c>
      <c r="J241" s="862">
        <v>827523</v>
      </c>
      <c r="K241" s="859"/>
      <c r="L241" s="863"/>
      <c r="M241" s="861"/>
      <c r="N241" s="859"/>
      <c r="O241" s="752">
        <f t="shared" si="26"/>
        <v>0</v>
      </c>
      <c r="P241" s="862"/>
      <c r="Q241" s="860"/>
      <c r="R241" s="753">
        <f t="shared" si="27"/>
        <v>0</v>
      </c>
      <c r="S241" s="752">
        <f t="shared" si="28"/>
        <v>922451</v>
      </c>
      <c r="T241" s="754">
        <f t="shared" si="29"/>
        <v>827523</v>
      </c>
      <c r="U241" s="859"/>
      <c r="V241" s="863"/>
      <c r="W241" s="859"/>
      <c r="X241" s="859"/>
      <c r="Y241" s="755">
        <f t="shared" si="30"/>
        <v>0</v>
      </c>
      <c r="Z241" s="864"/>
      <c r="AA241" s="863"/>
      <c r="AB241" s="756">
        <f t="shared" si="31"/>
        <v>0</v>
      </c>
      <c r="AC241" s="859"/>
      <c r="AD241" s="863"/>
      <c r="AE241" s="859"/>
      <c r="AF241" s="859"/>
      <c r="AG241" s="864"/>
      <c r="AH241" s="865"/>
      <c r="AI241" s="757">
        <f t="shared" si="32"/>
        <v>922451</v>
      </c>
      <c r="AJ241" s="758">
        <f t="shared" si="33"/>
        <v>827523</v>
      </c>
    </row>
    <row r="242" spans="1:36" ht="15" customHeight="1" x14ac:dyDescent="0.2">
      <c r="A242" s="843" t="s">
        <v>142</v>
      </c>
      <c r="B242" s="844" t="s">
        <v>279</v>
      </c>
      <c r="C242" s="866" t="s">
        <v>545</v>
      </c>
      <c r="D242" s="845"/>
      <c r="E242" s="846"/>
      <c r="F242" s="847"/>
      <c r="G242" s="859"/>
      <c r="H242" s="860"/>
      <c r="I242" s="861">
        <v>2899521</v>
      </c>
      <c r="J242" s="862">
        <v>3682521</v>
      </c>
      <c r="K242" s="859"/>
      <c r="L242" s="863"/>
      <c r="M242" s="861"/>
      <c r="N242" s="859"/>
      <c r="O242" s="752">
        <f t="shared" si="26"/>
        <v>0</v>
      </c>
      <c r="P242" s="862"/>
      <c r="Q242" s="860"/>
      <c r="R242" s="753">
        <f t="shared" si="27"/>
        <v>0</v>
      </c>
      <c r="S242" s="752">
        <f t="shared" si="28"/>
        <v>2899521</v>
      </c>
      <c r="T242" s="754">
        <f t="shared" si="29"/>
        <v>3682521</v>
      </c>
      <c r="U242" s="859"/>
      <c r="V242" s="863"/>
      <c r="W242" s="859"/>
      <c r="X242" s="859"/>
      <c r="Y242" s="755">
        <f t="shared" si="30"/>
        <v>0</v>
      </c>
      <c r="Z242" s="864"/>
      <c r="AA242" s="863"/>
      <c r="AB242" s="756">
        <f t="shared" si="31"/>
        <v>0</v>
      </c>
      <c r="AC242" s="859"/>
      <c r="AD242" s="863"/>
      <c r="AE242" s="859"/>
      <c r="AF242" s="859"/>
      <c r="AG242" s="864"/>
      <c r="AH242" s="865"/>
      <c r="AI242" s="757">
        <f t="shared" si="32"/>
        <v>2899521</v>
      </c>
      <c r="AJ242" s="758">
        <f t="shared" si="33"/>
        <v>3682521</v>
      </c>
    </row>
    <row r="243" spans="1:36" ht="15" customHeight="1" x14ac:dyDescent="0.2">
      <c r="A243" s="843" t="s">
        <v>142</v>
      </c>
      <c r="B243" s="844" t="s">
        <v>279</v>
      </c>
      <c r="C243" s="866" t="s">
        <v>511</v>
      </c>
      <c r="D243" s="845"/>
      <c r="E243" s="884"/>
      <c r="F243" s="885"/>
      <c r="G243" s="859"/>
      <c r="H243" s="860"/>
      <c r="I243" s="861">
        <v>825132</v>
      </c>
      <c r="J243" s="1517">
        <v>937349</v>
      </c>
      <c r="K243" s="859"/>
      <c r="L243" s="863"/>
      <c r="M243" s="861"/>
      <c r="N243" s="859"/>
      <c r="O243" s="752">
        <f t="shared" si="26"/>
        <v>0</v>
      </c>
      <c r="P243" s="862"/>
      <c r="Q243" s="860"/>
      <c r="R243" s="753">
        <f t="shared" si="27"/>
        <v>0</v>
      </c>
      <c r="S243" s="752">
        <f t="shared" si="28"/>
        <v>825132</v>
      </c>
      <c r="T243" s="754">
        <f t="shared" si="29"/>
        <v>937349</v>
      </c>
      <c r="U243" s="859"/>
      <c r="V243" s="863"/>
      <c r="W243" s="859"/>
      <c r="X243" s="859"/>
      <c r="Y243" s="755">
        <f t="shared" si="30"/>
        <v>0</v>
      </c>
      <c r="Z243" s="864"/>
      <c r="AA243" s="863"/>
      <c r="AB243" s="756">
        <f t="shared" si="31"/>
        <v>0</v>
      </c>
      <c r="AC243" s="859"/>
      <c r="AD243" s="863"/>
      <c r="AE243" s="859"/>
      <c r="AF243" s="859"/>
      <c r="AG243" s="864"/>
      <c r="AH243" s="865"/>
      <c r="AI243" s="757">
        <f t="shared" si="32"/>
        <v>825132</v>
      </c>
      <c r="AJ243" s="758">
        <f t="shared" si="33"/>
        <v>937349</v>
      </c>
    </row>
    <row r="244" spans="1:36" ht="15" customHeight="1" x14ac:dyDescent="0.2">
      <c r="A244" s="843" t="s">
        <v>142</v>
      </c>
      <c r="B244" s="844" t="s">
        <v>279</v>
      </c>
      <c r="C244" s="866" t="s">
        <v>546</v>
      </c>
      <c r="D244" s="845"/>
      <c r="E244" s="884"/>
      <c r="F244" s="885"/>
      <c r="G244" s="859"/>
      <c r="H244" s="860"/>
      <c r="I244" s="861">
        <v>4586762</v>
      </c>
      <c r="J244" s="862">
        <v>4586762</v>
      </c>
      <c r="K244" s="859"/>
      <c r="L244" s="863"/>
      <c r="M244" s="861"/>
      <c r="N244" s="859"/>
      <c r="O244" s="752">
        <f t="shared" si="26"/>
        <v>0</v>
      </c>
      <c r="P244" s="862"/>
      <c r="Q244" s="860"/>
      <c r="R244" s="753">
        <f t="shared" si="27"/>
        <v>0</v>
      </c>
      <c r="S244" s="752">
        <f t="shared" si="28"/>
        <v>4586762</v>
      </c>
      <c r="T244" s="754">
        <f t="shared" si="29"/>
        <v>4586762</v>
      </c>
      <c r="U244" s="859"/>
      <c r="V244" s="863"/>
      <c r="W244" s="859"/>
      <c r="X244" s="859"/>
      <c r="Y244" s="755">
        <f t="shared" si="30"/>
        <v>0</v>
      </c>
      <c r="Z244" s="864"/>
      <c r="AA244" s="863"/>
      <c r="AB244" s="756">
        <f t="shared" si="31"/>
        <v>0</v>
      </c>
      <c r="AC244" s="859"/>
      <c r="AD244" s="863"/>
      <c r="AE244" s="859"/>
      <c r="AF244" s="859"/>
      <c r="AG244" s="864"/>
      <c r="AH244" s="865"/>
      <c r="AI244" s="757">
        <f t="shared" si="32"/>
        <v>4586762</v>
      </c>
      <c r="AJ244" s="758">
        <f t="shared" si="33"/>
        <v>4586762</v>
      </c>
    </row>
    <row r="245" spans="1:36" ht="15" customHeight="1" x14ac:dyDescent="0.2">
      <c r="A245" s="843" t="s">
        <v>142</v>
      </c>
      <c r="B245" s="844" t="s">
        <v>279</v>
      </c>
      <c r="C245" s="866" t="s">
        <v>510</v>
      </c>
      <c r="D245" s="845"/>
      <c r="E245" s="884"/>
      <c r="F245" s="885"/>
      <c r="G245" s="859"/>
      <c r="H245" s="860"/>
      <c r="I245" s="876">
        <v>951980</v>
      </c>
      <c r="J245" s="1517">
        <v>804493</v>
      </c>
      <c r="K245" s="859"/>
      <c r="L245" s="863"/>
      <c r="M245" s="861"/>
      <c r="N245" s="859"/>
      <c r="O245" s="752">
        <f t="shared" si="26"/>
        <v>0</v>
      </c>
      <c r="P245" s="862"/>
      <c r="Q245" s="860"/>
      <c r="R245" s="753">
        <f t="shared" si="27"/>
        <v>0</v>
      </c>
      <c r="S245" s="752">
        <f t="shared" si="28"/>
        <v>951980</v>
      </c>
      <c r="T245" s="754">
        <f t="shared" si="29"/>
        <v>804493</v>
      </c>
      <c r="U245" s="859"/>
      <c r="V245" s="863"/>
      <c r="W245" s="859"/>
      <c r="X245" s="859"/>
      <c r="Y245" s="755">
        <f t="shared" si="30"/>
        <v>0</v>
      </c>
      <c r="Z245" s="864"/>
      <c r="AA245" s="863"/>
      <c r="AB245" s="756">
        <f t="shared" si="31"/>
        <v>0</v>
      </c>
      <c r="AC245" s="859"/>
      <c r="AD245" s="863"/>
      <c r="AE245" s="859"/>
      <c r="AF245" s="859"/>
      <c r="AG245" s="864"/>
      <c r="AH245" s="865"/>
      <c r="AI245" s="757">
        <f t="shared" si="32"/>
        <v>951980</v>
      </c>
      <c r="AJ245" s="758">
        <f t="shared" si="33"/>
        <v>804493</v>
      </c>
    </row>
    <row r="246" spans="1:36" ht="15" customHeight="1" x14ac:dyDescent="0.2">
      <c r="A246" s="843" t="s">
        <v>142</v>
      </c>
      <c r="B246" s="844" t="s">
        <v>279</v>
      </c>
      <c r="C246" s="866" t="s">
        <v>547</v>
      </c>
      <c r="D246" s="845"/>
      <c r="E246" s="846"/>
      <c r="F246" s="847"/>
      <c r="G246" s="859"/>
      <c r="H246" s="860"/>
      <c r="I246" s="861">
        <v>1939901</v>
      </c>
      <c r="J246" s="862">
        <v>1939901</v>
      </c>
      <c r="K246" s="859"/>
      <c r="L246" s="863"/>
      <c r="M246" s="861"/>
      <c r="N246" s="859"/>
      <c r="O246" s="752">
        <f t="shared" si="26"/>
        <v>0</v>
      </c>
      <c r="P246" s="862"/>
      <c r="Q246" s="860"/>
      <c r="R246" s="753">
        <f t="shared" si="27"/>
        <v>0</v>
      </c>
      <c r="S246" s="752">
        <f t="shared" si="28"/>
        <v>1939901</v>
      </c>
      <c r="T246" s="754">
        <f t="shared" si="29"/>
        <v>1939901</v>
      </c>
      <c r="U246" s="859"/>
      <c r="V246" s="863"/>
      <c r="W246" s="859"/>
      <c r="X246" s="859"/>
      <c r="Y246" s="755">
        <f t="shared" si="30"/>
        <v>0</v>
      </c>
      <c r="Z246" s="864"/>
      <c r="AA246" s="863"/>
      <c r="AB246" s="756">
        <f t="shared" si="31"/>
        <v>0</v>
      </c>
      <c r="AC246" s="859"/>
      <c r="AD246" s="863"/>
      <c r="AE246" s="859"/>
      <c r="AF246" s="859"/>
      <c r="AG246" s="864"/>
      <c r="AH246" s="865"/>
      <c r="AI246" s="757">
        <f t="shared" si="32"/>
        <v>1939901</v>
      </c>
      <c r="AJ246" s="758">
        <f t="shared" si="33"/>
        <v>1939901</v>
      </c>
    </row>
    <row r="247" spans="1:36" ht="15" customHeight="1" x14ac:dyDescent="0.2">
      <c r="A247" s="843" t="s">
        <v>142</v>
      </c>
      <c r="B247" s="844" t="s">
        <v>279</v>
      </c>
      <c r="C247" s="866" t="s">
        <v>548</v>
      </c>
      <c r="D247" s="845"/>
      <c r="E247" s="846"/>
      <c r="F247" s="847"/>
      <c r="G247" s="859"/>
      <c r="H247" s="860"/>
      <c r="I247" s="861">
        <v>2300000</v>
      </c>
      <c r="J247" s="862">
        <v>2000000</v>
      </c>
      <c r="K247" s="859"/>
      <c r="L247" s="863"/>
      <c r="M247" s="861"/>
      <c r="N247" s="859"/>
      <c r="O247" s="752">
        <f t="shared" si="26"/>
        <v>0</v>
      </c>
      <c r="P247" s="862"/>
      <c r="Q247" s="860"/>
      <c r="R247" s="753">
        <f t="shared" si="27"/>
        <v>0</v>
      </c>
      <c r="S247" s="752">
        <f t="shared" si="28"/>
        <v>2300000</v>
      </c>
      <c r="T247" s="754">
        <f t="shared" si="29"/>
        <v>2000000</v>
      </c>
      <c r="U247" s="859"/>
      <c r="V247" s="863"/>
      <c r="W247" s="859"/>
      <c r="X247" s="859"/>
      <c r="Y247" s="755">
        <f t="shared" si="30"/>
        <v>0</v>
      </c>
      <c r="Z247" s="864"/>
      <c r="AA247" s="863"/>
      <c r="AB247" s="756">
        <f t="shared" si="31"/>
        <v>0</v>
      </c>
      <c r="AC247" s="859"/>
      <c r="AD247" s="863"/>
      <c r="AE247" s="859"/>
      <c r="AF247" s="859"/>
      <c r="AG247" s="864"/>
      <c r="AH247" s="865"/>
      <c r="AI247" s="757">
        <f t="shared" si="32"/>
        <v>2300000</v>
      </c>
      <c r="AJ247" s="758">
        <f t="shared" si="33"/>
        <v>2000000</v>
      </c>
    </row>
    <row r="248" spans="1:36" ht="15" customHeight="1" x14ac:dyDescent="0.2">
      <c r="A248" s="843" t="s">
        <v>142</v>
      </c>
      <c r="B248" s="844" t="s">
        <v>279</v>
      </c>
      <c r="C248" s="866" t="s">
        <v>512</v>
      </c>
      <c r="D248" s="845"/>
      <c r="E248" s="846"/>
      <c r="F248" s="847"/>
      <c r="G248" s="859"/>
      <c r="H248" s="860"/>
      <c r="I248" s="876">
        <v>458030</v>
      </c>
      <c r="J248" s="1517">
        <v>479879</v>
      </c>
      <c r="K248" s="859"/>
      <c r="L248" s="863"/>
      <c r="M248" s="861"/>
      <c r="N248" s="859"/>
      <c r="O248" s="752">
        <f t="shared" si="26"/>
        <v>0</v>
      </c>
      <c r="P248" s="862"/>
      <c r="Q248" s="860"/>
      <c r="R248" s="753">
        <f t="shared" si="27"/>
        <v>0</v>
      </c>
      <c r="S248" s="752">
        <f t="shared" si="28"/>
        <v>458030</v>
      </c>
      <c r="T248" s="754">
        <f t="shared" si="29"/>
        <v>479879</v>
      </c>
      <c r="U248" s="859"/>
      <c r="V248" s="863"/>
      <c r="W248" s="859"/>
      <c r="X248" s="859"/>
      <c r="Y248" s="755">
        <f t="shared" si="30"/>
        <v>0</v>
      </c>
      <c r="Z248" s="864"/>
      <c r="AA248" s="863"/>
      <c r="AB248" s="756">
        <f t="shared" si="31"/>
        <v>0</v>
      </c>
      <c r="AC248" s="859"/>
      <c r="AD248" s="863"/>
      <c r="AE248" s="859"/>
      <c r="AF248" s="859"/>
      <c r="AG248" s="864"/>
      <c r="AH248" s="865"/>
      <c r="AI248" s="757">
        <f t="shared" si="32"/>
        <v>458030</v>
      </c>
      <c r="AJ248" s="758">
        <f t="shared" si="33"/>
        <v>479879</v>
      </c>
    </row>
    <row r="249" spans="1:36" ht="15" customHeight="1" x14ac:dyDescent="0.2">
      <c r="A249" s="843" t="s">
        <v>142</v>
      </c>
      <c r="B249" s="844" t="s">
        <v>279</v>
      </c>
      <c r="C249" s="866" t="s">
        <v>549</v>
      </c>
      <c r="D249" s="845"/>
      <c r="E249" s="846"/>
      <c r="F249" s="847"/>
      <c r="G249" s="859"/>
      <c r="H249" s="860"/>
      <c r="I249" s="861">
        <v>23040</v>
      </c>
      <c r="J249" s="862">
        <v>23040</v>
      </c>
      <c r="K249" s="859"/>
      <c r="L249" s="863"/>
      <c r="M249" s="861"/>
      <c r="N249" s="859"/>
      <c r="O249" s="752">
        <f t="shared" si="26"/>
        <v>0</v>
      </c>
      <c r="P249" s="862"/>
      <c r="Q249" s="860"/>
      <c r="R249" s="753">
        <f t="shared" si="27"/>
        <v>0</v>
      </c>
      <c r="S249" s="752">
        <f t="shared" si="28"/>
        <v>23040</v>
      </c>
      <c r="T249" s="754">
        <f t="shared" si="29"/>
        <v>23040</v>
      </c>
      <c r="U249" s="859"/>
      <c r="V249" s="863"/>
      <c r="W249" s="859"/>
      <c r="X249" s="859"/>
      <c r="Y249" s="755">
        <f t="shared" si="30"/>
        <v>0</v>
      </c>
      <c r="Z249" s="864"/>
      <c r="AA249" s="863"/>
      <c r="AB249" s="756">
        <f t="shared" si="31"/>
        <v>0</v>
      </c>
      <c r="AC249" s="859"/>
      <c r="AD249" s="863"/>
      <c r="AE249" s="859"/>
      <c r="AF249" s="859"/>
      <c r="AG249" s="864"/>
      <c r="AH249" s="865"/>
      <c r="AI249" s="757">
        <f t="shared" si="32"/>
        <v>23040</v>
      </c>
      <c r="AJ249" s="758">
        <f t="shared" si="33"/>
        <v>23040</v>
      </c>
    </row>
    <row r="250" spans="1:36" ht="15" customHeight="1" x14ac:dyDescent="0.2">
      <c r="A250" s="843" t="s">
        <v>142</v>
      </c>
      <c r="B250" s="844" t="s">
        <v>279</v>
      </c>
      <c r="C250" s="866" t="s">
        <v>550</v>
      </c>
      <c r="D250" s="845"/>
      <c r="E250" s="846"/>
      <c r="F250" s="847"/>
      <c r="G250" s="859"/>
      <c r="H250" s="860"/>
      <c r="I250" s="876">
        <v>1335782</v>
      </c>
      <c r="J250" s="862">
        <v>1335782</v>
      </c>
      <c r="K250" s="859"/>
      <c r="L250" s="863"/>
      <c r="M250" s="861"/>
      <c r="N250" s="859"/>
      <c r="O250" s="752">
        <f t="shared" si="26"/>
        <v>0</v>
      </c>
      <c r="P250" s="862"/>
      <c r="Q250" s="860"/>
      <c r="R250" s="753">
        <f t="shared" si="27"/>
        <v>0</v>
      </c>
      <c r="S250" s="752">
        <f t="shared" si="28"/>
        <v>1335782</v>
      </c>
      <c r="T250" s="754">
        <f t="shared" si="29"/>
        <v>1335782</v>
      </c>
      <c r="U250" s="859"/>
      <c r="V250" s="863"/>
      <c r="W250" s="859"/>
      <c r="X250" s="859"/>
      <c r="Y250" s="755">
        <f t="shared" si="30"/>
        <v>0</v>
      </c>
      <c r="Z250" s="864"/>
      <c r="AA250" s="863"/>
      <c r="AB250" s="756">
        <f t="shared" si="31"/>
        <v>0</v>
      </c>
      <c r="AC250" s="859"/>
      <c r="AD250" s="863"/>
      <c r="AE250" s="859"/>
      <c r="AF250" s="859"/>
      <c r="AG250" s="864"/>
      <c r="AH250" s="865"/>
      <c r="AI250" s="757">
        <f t="shared" si="32"/>
        <v>1335782</v>
      </c>
      <c r="AJ250" s="758">
        <f t="shared" si="33"/>
        <v>1335782</v>
      </c>
    </row>
    <row r="251" spans="1:36" ht="15" customHeight="1" x14ac:dyDescent="0.2">
      <c r="A251" s="843" t="s">
        <v>142</v>
      </c>
      <c r="B251" s="844" t="s">
        <v>279</v>
      </c>
      <c r="C251" s="866" t="s">
        <v>551</v>
      </c>
      <c r="D251" s="845"/>
      <c r="E251" s="884"/>
      <c r="F251" s="885"/>
      <c r="G251" s="859"/>
      <c r="H251" s="860"/>
      <c r="I251" s="861">
        <v>320635</v>
      </c>
      <c r="J251" s="862">
        <v>320635</v>
      </c>
      <c r="K251" s="859"/>
      <c r="L251" s="863"/>
      <c r="M251" s="861"/>
      <c r="N251" s="859"/>
      <c r="O251" s="752">
        <f t="shared" si="26"/>
        <v>0</v>
      </c>
      <c r="P251" s="862"/>
      <c r="Q251" s="860"/>
      <c r="R251" s="753">
        <f t="shared" si="27"/>
        <v>0</v>
      </c>
      <c r="S251" s="752">
        <f t="shared" si="28"/>
        <v>320635</v>
      </c>
      <c r="T251" s="754">
        <f t="shared" si="29"/>
        <v>320635</v>
      </c>
      <c r="U251" s="859"/>
      <c r="V251" s="863"/>
      <c r="W251" s="859"/>
      <c r="X251" s="859"/>
      <c r="Y251" s="755">
        <f t="shared" si="30"/>
        <v>0</v>
      </c>
      <c r="Z251" s="864"/>
      <c r="AA251" s="863"/>
      <c r="AB251" s="756">
        <f t="shared" si="31"/>
        <v>0</v>
      </c>
      <c r="AC251" s="859"/>
      <c r="AD251" s="863"/>
      <c r="AE251" s="859"/>
      <c r="AF251" s="859"/>
      <c r="AG251" s="864"/>
      <c r="AH251" s="865"/>
      <c r="AI251" s="757">
        <f t="shared" si="32"/>
        <v>320635</v>
      </c>
      <c r="AJ251" s="758">
        <f t="shared" si="33"/>
        <v>320635</v>
      </c>
    </row>
    <row r="252" spans="1:36" ht="15" customHeight="1" x14ac:dyDescent="0.2">
      <c r="A252" s="843" t="s">
        <v>142</v>
      </c>
      <c r="B252" s="844" t="s">
        <v>303</v>
      </c>
      <c r="C252" s="883" t="s">
        <v>552</v>
      </c>
      <c r="D252" s="869"/>
      <c r="E252" s="884"/>
      <c r="F252" s="885"/>
      <c r="G252" s="859"/>
      <c r="H252" s="860"/>
      <c r="I252" s="861"/>
      <c r="J252" s="862"/>
      <c r="K252" s="859"/>
      <c r="L252" s="863"/>
      <c r="M252" s="861"/>
      <c r="N252" s="859"/>
      <c r="O252" s="752">
        <f t="shared" si="26"/>
        <v>0</v>
      </c>
      <c r="P252" s="862"/>
      <c r="Q252" s="860"/>
      <c r="R252" s="753">
        <f t="shared" si="27"/>
        <v>0</v>
      </c>
      <c r="S252" s="752">
        <f t="shared" si="28"/>
        <v>0</v>
      </c>
      <c r="T252" s="754">
        <f t="shared" si="29"/>
        <v>0</v>
      </c>
      <c r="U252" s="859"/>
      <c r="V252" s="863"/>
      <c r="W252" s="859"/>
      <c r="X252" s="859"/>
      <c r="Y252" s="755">
        <f t="shared" si="30"/>
        <v>0</v>
      </c>
      <c r="Z252" s="864"/>
      <c r="AA252" s="863"/>
      <c r="AB252" s="756">
        <f t="shared" si="31"/>
        <v>0</v>
      </c>
      <c r="AC252" s="859"/>
      <c r="AD252" s="863"/>
      <c r="AE252" s="859"/>
      <c r="AF252" s="859"/>
      <c r="AG252" s="864"/>
      <c r="AH252" s="865"/>
      <c r="AI252" s="757">
        <f t="shared" si="32"/>
        <v>0</v>
      </c>
      <c r="AJ252" s="758">
        <f t="shared" si="33"/>
        <v>0</v>
      </c>
    </row>
    <row r="253" spans="1:36" ht="15" customHeight="1" x14ac:dyDescent="0.2">
      <c r="A253" s="843" t="s">
        <v>142</v>
      </c>
      <c r="B253" s="844" t="s">
        <v>303</v>
      </c>
      <c r="C253" s="866" t="s">
        <v>553</v>
      </c>
      <c r="D253" s="845"/>
      <c r="E253" s="884"/>
      <c r="F253" s="885"/>
      <c r="G253" s="859"/>
      <c r="H253" s="860"/>
      <c r="I253" s="861">
        <v>374867</v>
      </c>
      <c r="J253" s="862">
        <v>374867</v>
      </c>
      <c r="K253" s="859"/>
      <c r="L253" s="863"/>
      <c r="M253" s="861"/>
      <c r="N253" s="859"/>
      <c r="O253" s="752">
        <f t="shared" si="26"/>
        <v>0</v>
      </c>
      <c r="P253" s="862"/>
      <c r="Q253" s="860"/>
      <c r="R253" s="753">
        <f t="shared" si="27"/>
        <v>0</v>
      </c>
      <c r="S253" s="752">
        <f t="shared" si="28"/>
        <v>374867</v>
      </c>
      <c r="T253" s="754">
        <f t="shared" si="29"/>
        <v>374867</v>
      </c>
      <c r="U253" s="859"/>
      <c r="V253" s="863"/>
      <c r="W253" s="859"/>
      <c r="X253" s="859"/>
      <c r="Y253" s="755">
        <f t="shared" si="30"/>
        <v>0</v>
      </c>
      <c r="Z253" s="864"/>
      <c r="AA253" s="863"/>
      <c r="AB253" s="756">
        <f t="shared" si="31"/>
        <v>0</v>
      </c>
      <c r="AC253" s="859"/>
      <c r="AD253" s="863"/>
      <c r="AE253" s="859"/>
      <c r="AF253" s="859"/>
      <c r="AG253" s="864"/>
      <c r="AH253" s="865"/>
      <c r="AI253" s="757">
        <f t="shared" si="32"/>
        <v>374867</v>
      </c>
      <c r="AJ253" s="758">
        <f t="shared" si="33"/>
        <v>374867</v>
      </c>
    </row>
    <row r="254" spans="1:36" ht="15" customHeight="1" x14ac:dyDescent="0.2">
      <c r="A254" s="843" t="s">
        <v>142</v>
      </c>
      <c r="B254" s="844" t="s">
        <v>303</v>
      </c>
      <c r="C254" s="866" t="s">
        <v>554</v>
      </c>
      <c r="D254" s="845"/>
      <c r="E254" s="884"/>
      <c r="F254" s="885"/>
      <c r="G254" s="859"/>
      <c r="H254" s="860"/>
      <c r="I254" s="861"/>
      <c r="J254" s="862">
        <v>200000</v>
      </c>
      <c r="K254" s="859"/>
      <c r="L254" s="863"/>
      <c r="M254" s="861"/>
      <c r="N254" s="859"/>
      <c r="O254" s="752">
        <f t="shared" si="26"/>
        <v>0</v>
      </c>
      <c r="P254" s="862"/>
      <c r="Q254" s="860"/>
      <c r="R254" s="753">
        <f t="shared" si="27"/>
        <v>0</v>
      </c>
      <c r="S254" s="752">
        <f t="shared" si="28"/>
        <v>0</v>
      </c>
      <c r="T254" s="754">
        <f t="shared" si="29"/>
        <v>200000</v>
      </c>
      <c r="U254" s="859"/>
      <c r="V254" s="863"/>
      <c r="W254" s="859"/>
      <c r="X254" s="859"/>
      <c r="Y254" s="755">
        <f t="shared" si="30"/>
        <v>0</v>
      </c>
      <c r="Z254" s="864"/>
      <c r="AA254" s="863"/>
      <c r="AB254" s="756">
        <f t="shared" si="31"/>
        <v>0</v>
      </c>
      <c r="AC254" s="859"/>
      <c r="AD254" s="863"/>
      <c r="AE254" s="859"/>
      <c r="AF254" s="859"/>
      <c r="AG254" s="864"/>
      <c r="AH254" s="865"/>
      <c r="AI254" s="757">
        <f t="shared" si="32"/>
        <v>0</v>
      </c>
      <c r="AJ254" s="758">
        <f t="shared" si="33"/>
        <v>200000</v>
      </c>
    </row>
    <row r="255" spans="1:36" ht="15" customHeight="1" x14ac:dyDescent="0.2">
      <c r="A255" s="843" t="s">
        <v>142</v>
      </c>
      <c r="B255" s="844" t="s">
        <v>303</v>
      </c>
      <c r="C255" s="866" t="s">
        <v>555</v>
      </c>
      <c r="D255" s="845"/>
      <c r="E255" s="884"/>
      <c r="F255" s="885"/>
      <c r="G255" s="859"/>
      <c r="H255" s="860"/>
      <c r="I255" s="861"/>
      <c r="J255" s="862">
        <v>250000</v>
      </c>
      <c r="K255" s="859"/>
      <c r="L255" s="863"/>
      <c r="M255" s="861"/>
      <c r="N255" s="859"/>
      <c r="O255" s="752">
        <f t="shared" si="26"/>
        <v>0</v>
      </c>
      <c r="P255" s="862"/>
      <c r="Q255" s="860"/>
      <c r="R255" s="753">
        <f t="shared" si="27"/>
        <v>0</v>
      </c>
      <c r="S255" s="752">
        <f t="shared" si="28"/>
        <v>0</v>
      </c>
      <c r="T255" s="754">
        <f t="shared" si="29"/>
        <v>250000</v>
      </c>
      <c r="U255" s="859"/>
      <c r="V255" s="863"/>
      <c r="W255" s="859"/>
      <c r="X255" s="859"/>
      <c r="Y255" s="755">
        <f t="shared" si="30"/>
        <v>0</v>
      </c>
      <c r="Z255" s="864"/>
      <c r="AA255" s="863"/>
      <c r="AB255" s="756">
        <f t="shared" si="31"/>
        <v>0</v>
      </c>
      <c r="AC255" s="859"/>
      <c r="AD255" s="863"/>
      <c r="AE255" s="859"/>
      <c r="AF255" s="859"/>
      <c r="AG255" s="864"/>
      <c r="AH255" s="865"/>
      <c r="AI255" s="757">
        <f t="shared" si="32"/>
        <v>0</v>
      </c>
      <c r="AJ255" s="758">
        <f t="shared" si="33"/>
        <v>250000</v>
      </c>
    </row>
    <row r="256" spans="1:36" ht="15" customHeight="1" x14ac:dyDescent="0.2">
      <c r="A256" s="843" t="s">
        <v>142</v>
      </c>
      <c r="B256" s="844" t="s">
        <v>303</v>
      </c>
      <c r="C256" s="866" t="s">
        <v>556</v>
      </c>
      <c r="D256" s="845"/>
      <c r="E256" s="846"/>
      <c r="F256" s="847"/>
      <c r="G256" s="859"/>
      <c r="H256" s="860"/>
      <c r="I256" s="861">
        <v>1750745</v>
      </c>
      <c r="J256" s="862">
        <v>1734384</v>
      </c>
      <c r="K256" s="859"/>
      <c r="L256" s="863"/>
      <c r="M256" s="861"/>
      <c r="N256" s="859"/>
      <c r="O256" s="752">
        <f t="shared" si="26"/>
        <v>0</v>
      </c>
      <c r="P256" s="862"/>
      <c r="Q256" s="860"/>
      <c r="R256" s="753">
        <f t="shared" si="27"/>
        <v>0</v>
      </c>
      <c r="S256" s="752">
        <f t="shared" si="28"/>
        <v>1750745</v>
      </c>
      <c r="T256" s="754">
        <f t="shared" si="29"/>
        <v>1734384</v>
      </c>
      <c r="U256" s="859"/>
      <c r="V256" s="863"/>
      <c r="W256" s="859"/>
      <c r="X256" s="859"/>
      <c r="Y256" s="755">
        <f t="shared" si="30"/>
        <v>0</v>
      </c>
      <c r="Z256" s="864"/>
      <c r="AA256" s="863"/>
      <c r="AB256" s="756">
        <f t="shared" si="31"/>
        <v>0</v>
      </c>
      <c r="AC256" s="859"/>
      <c r="AD256" s="863"/>
      <c r="AE256" s="859"/>
      <c r="AF256" s="859"/>
      <c r="AG256" s="864"/>
      <c r="AH256" s="865"/>
      <c r="AI256" s="757">
        <f t="shared" si="32"/>
        <v>1750745</v>
      </c>
      <c r="AJ256" s="758">
        <f t="shared" si="33"/>
        <v>1734384</v>
      </c>
    </row>
    <row r="257" spans="1:36" ht="15" customHeight="1" x14ac:dyDescent="0.2">
      <c r="A257" s="843" t="s">
        <v>142</v>
      </c>
      <c r="B257" s="844" t="s">
        <v>303</v>
      </c>
      <c r="C257" s="866" t="s">
        <v>557</v>
      </c>
      <c r="D257" s="845"/>
      <c r="E257" s="846"/>
      <c r="F257" s="847"/>
      <c r="G257" s="859"/>
      <c r="H257" s="860"/>
      <c r="I257" s="861">
        <v>40276</v>
      </c>
      <c r="J257" s="862">
        <v>40276</v>
      </c>
      <c r="K257" s="859"/>
      <c r="L257" s="863"/>
      <c r="M257" s="861"/>
      <c r="N257" s="859"/>
      <c r="O257" s="752">
        <f t="shared" si="26"/>
        <v>0</v>
      </c>
      <c r="P257" s="862"/>
      <c r="Q257" s="860"/>
      <c r="R257" s="753">
        <f t="shared" si="27"/>
        <v>0</v>
      </c>
      <c r="S257" s="752">
        <f t="shared" si="28"/>
        <v>40276</v>
      </c>
      <c r="T257" s="754">
        <f t="shared" si="29"/>
        <v>40276</v>
      </c>
      <c r="U257" s="859"/>
      <c r="V257" s="863"/>
      <c r="W257" s="859"/>
      <c r="X257" s="859"/>
      <c r="Y257" s="755">
        <f t="shared" si="30"/>
        <v>0</v>
      </c>
      <c r="Z257" s="864"/>
      <c r="AA257" s="863"/>
      <c r="AB257" s="756">
        <f t="shared" si="31"/>
        <v>0</v>
      </c>
      <c r="AC257" s="859"/>
      <c r="AD257" s="863"/>
      <c r="AE257" s="859"/>
      <c r="AF257" s="859"/>
      <c r="AG257" s="864"/>
      <c r="AH257" s="865"/>
      <c r="AI257" s="757">
        <f t="shared" si="32"/>
        <v>40276</v>
      </c>
      <c r="AJ257" s="758">
        <f t="shared" si="33"/>
        <v>40276</v>
      </c>
    </row>
    <row r="258" spans="1:36" ht="15" customHeight="1" x14ac:dyDescent="0.2">
      <c r="A258" s="843" t="s">
        <v>142</v>
      </c>
      <c r="B258" s="844" t="s">
        <v>303</v>
      </c>
      <c r="C258" s="866" t="s">
        <v>558</v>
      </c>
      <c r="D258" s="845"/>
      <c r="E258" s="846"/>
      <c r="F258" s="847"/>
      <c r="G258" s="859"/>
      <c r="H258" s="860"/>
      <c r="I258" s="861"/>
      <c r="J258" s="862">
        <v>1595201</v>
      </c>
      <c r="K258" s="859"/>
      <c r="L258" s="863"/>
      <c r="M258" s="861"/>
      <c r="N258" s="859"/>
      <c r="O258" s="752">
        <f t="shared" si="26"/>
        <v>0</v>
      </c>
      <c r="P258" s="862"/>
      <c r="Q258" s="860"/>
      <c r="R258" s="753">
        <f t="shared" si="27"/>
        <v>0</v>
      </c>
      <c r="S258" s="752">
        <f t="shared" si="28"/>
        <v>0</v>
      </c>
      <c r="T258" s="754">
        <f t="shared" si="29"/>
        <v>1595201</v>
      </c>
      <c r="U258" s="859"/>
      <c r="V258" s="863"/>
      <c r="W258" s="859"/>
      <c r="X258" s="859"/>
      <c r="Y258" s="755">
        <f t="shared" si="30"/>
        <v>0</v>
      </c>
      <c r="Z258" s="864"/>
      <c r="AA258" s="863"/>
      <c r="AB258" s="756">
        <f t="shared" si="31"/>
        <v>0</v>
      </c>
      <c r="AC258" s="859"/>
      <c r="AD258" s="863"/>
      <c r="AE258" s="859"/>
      <c r="AF258" s="859"/>
      <c r="AG258" s="864"/>
      <c r="AH258" s="865"/>
      <c r="AI258" s="757">
        <f t="shared" si="32"/>
        <v>0</v>
      </c>
      <c r="AJ258" s="758">
        <f t="shared" si="33"/>
        <v>1595201</v>
      </c>
    </row>
    <row r="259" spans="1:36" ht="15" customHeight="1" x14ac:dyDescent="0.2">
      <c r="A259" s="843" t="s">
        <v>142</v>
      </c>
      <c r="B259" s="844" t="s">
        <v>281</v>
      </c>
      <c r="C259" s="886" t="s">
        <v>109</v>
      </c>
      <c r="D259" s="887"/>
      <c r="E259" s="884"/>
      <c r="F259" s="885"/>
      <c r="G259" s="859"/>
      <c r="H259" s="860"/>
      <c r="I259" s="861"/>
      <c r="J259" s="862"/>
      <c r="K259" s="859"/>
      <c r="L259" s="863"/>
      <c r="M259" s="861"/>
      <c r="N259" s="859"/>
      <c r="O259" s="752">
        <f t="shared" si="26"/>
        <v>0</v>
      </c>
      <c r="P259" s="862"/>
      <c r="Q259" s="860"/>
      <c r="R259" s="753">
        <f t="shared" si="27"/>
        <v>0</v>
      </c>
      <c r="S259" s="752">
        <f t="shared" si="28"/>
        <v>0</v>
      </c>
      <c r="T259" s="754">
        <f t="shared" si="29"/>
        <v>0</v>
      </c>
      <c r="U259" s="859"/>
      <c r="V259" s="863"/>
      <c r="W259" s="859"/>
      <c r="X259" s="859"/>
      <c r="Y259" s="755">
        <f t="shared" si="30"/>
        <v>0</v>
      </c>
      <c r="Z259" s="864"/>
      <c r="AA259" s="863"/>
      <c r="AB259" s="756">
        <f t="shared" si="31"/>
        <v>0</v>
      </c>
      <c r="AC259" s="859"/>
      <c r="AD259" s="863"/>
      <c r="AE259" s="859"/>
      <c r="AF259" s="859"/>
      <c r="AG259" s="864"/>
      <c r="AH259" s="865"/>
      <c r="AI259" s="757">
        <f t="shared" si="32"/>
        <v>0</v>
      </c>
      <c r="AJ259" s="758">
        <f t="shared" si="33"/>
        <v>0</v>
      </c>
    </row>
    <row r="260" spans="1:36" ht="15" customHeight="1" x14ac:dyDescent="0.2">
      <c r="A260" s="843" t="s">
        <v>142</v>
      </c>
      <c r="B260" s="844" t="s">
        <v>282</v>
      </c>
      <c r="C260" s="858" t="s">
        <v>140</v>
      </c>
      <c r="D260" s="845"/>
      <c r="E260" s="884"/>
      <c r="F260" s="885"/>
      <c r="G260" s="859"/>
      <c r="H260" s="860"/>
      <c r="I260" s="888"/>
      <c r="J260" s="862"/>
      <c r="K260" s="859"/>
      <c r="L260" s="863"/>
      <c r="M260" s="861"/>
      <c r="N260" s="859"/>
      <c r="O260" s="752">
        <f t="shared" si="26"/>
        <v>0</v>
      </c>
      <c r="P260" s="862"/>
      <c r="Q260" s="860"/>
      <c r="R260" s="753">
        <f t="shared" si="27"/>
        <v>0</v>
      </c>
      <c r="S260" s="752">
        <f t="shared" si="28"/>
        <v>0</v>
      </c>
      <c r="T260" s="754">
        <f t="shared" si="29"/>
        <v>0</v>
      </c>
      <c r="U260" s="859"/>
      <c r="V260" s="863"/>
      <c r="W260" s="859"/>
      <c r="X260" s="859"/>
      <c r="Y260" s="755">
        <f t="shared" si="30"/>
        <v>0</v>
      </c>
      <c r="Z260" s="864"/>
      <c r="AA260" s="863"/>
      <c r="AB260" s="756">
        <f t="shared" si="31"/>
        <v>0</v>
      </c>
      <c r="AC260" s="859"/>
      <c r="AD260" s="863"/>
      <c r="AE260" s="859"/>
      <c r="AF260" s="859"/>
      <c r="AG260" s="864"/>
      <c r="AH260" s="865"/>
      <c r="AI260" s="757">
        <f t="shared" si="32"/>
        <v>0</v>
      </c>
      <c r="AJ260" s="758">
        <f t="shared" si="33"/>
        <v>0</v>
      </c>
    </row>
    <row r="261" spans="1:36" ht="15" customHeight="1" x14ac:dyDescent="0.2">
      <c r="A261" s="843" t="s">
        <v>142</v>
      </c>
      <c r="B261" s="844" t="s">
        <v>282</v>
      </c>
      <c r="C261" s="866" t="s">
        <v>559</v>
      </c>
      <c r="D261" s="845"/>
      <c r="E261" s="884"/>
      <c r="F261" s="885"/>
      <c r="G261" s="859"/>
      <c r="H261" s="860"/>
      <c r="I261" s="861"/>
      <c r="J261" s="862"/>
      <c r="K261" s="859"/>
      <c r="L261" s="863"/>
      <c r="M261" s="861"/>
      <c r="N261" s="859"/>
      <c r="O261" s="752">
        <f t="shared" si="26"/>
        <v>0</v>
      </c>
      <c r="P261" s="862"/>
      <c r="Q261" s="860"/>
      <c r="R261" s="753">
        <f t="shared" si="27"/>
        <v>0</v>
      </c>
      <c r="S261" s="752">
        <f t="shared" si="28"/>
        <v>0</v>
      </c>
      <c r="T261" s="754">
        <f t="shared" si="29"/>
        <v>0</v>
      </c>
      <c r="U261" s="859">
        <v>2702892</v>
      </c>
      <c r="V261" s="863">
        <v>3002892</v>
      </c>
      <c r="W261" s="859"/>
      <c r="X261" s="859"/>
      <c r="Y261" s="755">
        <f t="shared" si="30"/>
        <v>0</v>
      </c>
      <c r="Z261" s="864"/>
      <c r="AA261" s="863"/>
      <c r="AB261" s="756">
        <f t="shared" si="31"/>
        <v>0</v>
      </c>
      <c r="AC261" s="859"/>
      <c r="AD261" s="863"/>
      <c r="AE261" s="859"/>
      <c r="AF261" s="859"/>
      <c r="AG261" s="864"/>
      <c r="AH261" s="865"/>
      <c r="AI261" s="757">
        <f t="shared" si="32"/>
        <v>2702892</v>
      </c>
      <c r="AJ261" s="758">
        <f t="shared" si="33"/>
        <v>3002892</v>
      </c>
    </row>
    <row r="262" spans="1:36" ht="15" customHeight="1" x14ac:dyDescent="0.2">
      <c r="A262" s="843" t="s">
        <v>142</v>
      </c>
      <c r="B262" s="844" t="s">
        <v>283</v>
      </c>
      <c r="C262" s="858" t="s">
        <v>139</v>
      </c>
      <c r="D262" s="845"/>
      <c r="E262" s="884"/>
      <c r="F262" s="885"/>
      <c r="G262" s="859"/>
      <c r="H262" s="860"/>
      <c r="I262" s="861"/>
      <c r="J262" s="862"/>
      <c r="K262" s="859"/>
      <c r="L262" s="863"/>
      <c r="M262" s="861"/>
      <c r="N262" s="859"/>
      <c r="O262" s="752">
        <f t="shared" si="26"/>
        <v>0</v>
      </c>
      <c r="P262" s="862"/>
      <c r="Q262" s="860"/>
      <c r="R262" s="753">
        <f t="shared" si="27"/>
        <v>0</v>
      </c>
      <c r="S262" s="752">
        <f t="shared" si="28"/>
        <v>0</v>
      </c>
      <c r="T262" s="754">
        <f t="shared" si="29"/>
        <v>0</v>
      </c>
      <c r="U262" s="859"/>
      <c r="V262" s="863"/>
      <c r="W262" s="859"/>
      <c r="X262" s="859"/>
      <c r="Y262" s="755">
        <f t="shared" si="30"/>
        <v>0</v>
      </c>
      <c r="Z262" s="864"/>
      <c r="AA262" s="863"/>
      <c r="AB262" s="756">
        <f t="shared" si="31"/>
        <v>0</v>
      </c>
      <c r="AC262" s="859"/>
      <c r="AD262" s="863"/>
      <c r="AE262" s="859"/>
      <c r="AF262" s="859"/>
      <c r="AG262" s="864"/>
      <c r="AH262" s="865"/>
      <c r="AI262" s="757">
        <f t="shared" si="32"/>
        <v>0</v>
      </c>
      <c r="AJ262" s="758">
        <f t="shared" si="33"/>
        <v>0</v>
      </c>
    </row>
    <row r="263" spans="1:36" ht="15" customHeight="1" x14ac:dyDescent="0.2">
      <c r="A263" s="843" t="s">
        <v>142</v>
      </c>
      <c r="B263" s="844" t="s">
        <v>283</v>
      </c>
      <c r="C263" s="866" t="s">
        <v>560</v>
      </c>
      <c r="D263" s="845"/>
      <c r="E263" s="884"/>
      <c r="F263" s="885"/>
      <c r="G263" s="859"/>
      <c r="H263" s="860"/>
      <c r="I263" s="861"/>
      <c r="J263" s="862"/>
      <c r="K263" s="859"/>
      <c r="L263" s="863"/>
      <c r="M263" s="861"/>
      <c r="N263" s="859"/>
      <c r="O263" s="752">
        <f t="shared" si="26"/>
        <v>0</v>
      </c>
      <c r="P263" s="862"/>
      <c r="Q263" s="860"/>
      <c r="R263" s="753">
        <f t="shared" si="27"/>
        <v>0</v>
      </c>
      <c r="S263" s="752">
        <f t="shared" si="28"/>
        <v>0</v>
      </c>
      <c r="T263" s="754">
        <f t="shared" si="29"/>
        <v>0</v>
      </c>
      <c r="U263" s="859">
        <v>5985567</v>
      </c>
      <c r="V263" s="863">
        <v>5985567</v>
      </c>
      <c r="W263" s="859"/>
      <c r="X263" s="859"/>
      <c r="Y263" s="755">
        <f t="shared" si="30"/>
        <v>0</v>
      </c>
      <c r="Z263" s="864"/>
      <c r="AA263" s="863"/>
      <c r="AB263" s="756">
        <f t="shared" si="31"/>
        <v>0</v>
      </c>
      <c r="AC263" s="859"/>
      <c r="AD263" s="863"/>
      <c r="AE263" s="859"/>
      <c r="AF263" s="859"/>
      <c r="AG263" s="864"/>
      <c r="AH263" s="865"/>
      <c r="AI263" s="757">
        <f t="shared" si="32"/>
        <v>5985567</v>
      </c>
      <c r="AJ263" s="758">
        <f t="shared" si="33"/>
        <v>5985567</v>
      </c>
    </row>
    <row r="264" spans="1:36" ht="15" customHeight="1" x14ac:dyDescent="0.2">
      <c r="A264" s="843" t="s">
        <v>142</v>
      </c>
      <c r="B264" s="844" t="s">
        <v>283</v>
      </c>
      <c r="C264" s="844" t="s">
        <v>561</v>
      </c>
      <c r="D264" s="882"/>
      <c r="E264" s="846"/>
      <c r="F264" s="881"/>
      <c r="G264" s="859"/>
      <c r="H264" s="1525"/>
      <c r="I264" s="861"/>
      <c r="J264" s="862"/>
      <c r="K264" s="859"/>
      <c r="L264" s="863"/>
      <c r="M264" s="861"/>
      <c r="N264" s="859"/>
      <c r="O264" s="752">
        <f t="shared" si="26"/>
        <v>0</v>
      </c>
      <c r="P264" s="862"/>
      <c r="Q264" s="860"/>
      <c r="R264" s="753">
        <f t="shared" si="27"/>
        <v>0</v>
      </c>
      <c r="S264" s="752">
        <f t="shared" si="28"/>
        <v>0</v>
      </c>
      <c r="T264" s="754">
        <f t="shared" si="29"/>
        <v>0</v>
      </c>
      <c r="U264" s="859"/>
      <c r="V264" s="863"/>
      <c r="W264" s="859"/>
      <c r="X264" s="859"/>
      <c r="Y264" s="755">
        <f t="shared" si="30"/>
        <v>0</v>
      </c>
      <c r="Z264" s="864"/>
      <c r="AA264" s="863"/>
      <c r="AB264" s="756">
        <f t="shared" si="31"/>
        <v>0</v>
      </c>
      <c r="AC264" s="859"/>
      <c r="AD264" s="863"/>
      <c r="AE264" s="859"/>
      <c r="AF264" s="859"/>
      <c r="AG264" s="864"/>
      <c r="AH264" s="865"/>
      <c r="AI264" s="757">
        <f t="shared" si="32"/>
        <v>0</v>
      </c>
      <c r="AJ264" s="758">
        <f t="shared" si="33"/>
        <v>0</v>
      </c>
    </row>
    <row r="265" spans="1:36" ht="15" customHeight="1" x14ac:dyDescent="0.2">
      <c r="A265" s="843" t="s">
        <v>142</v>
      </c>
      <c r="B265" s="844" t="s">
        <v>284</v>
      </c>
      <c r="C265" s="858" t="s">
        <v>138</v>
      </c>
      <c r="D265" s="845"/>
      <c r="E265" s="884"/>
      <c r="F265" s="885"/>
      <c r="G265" s="859"/>
      <c r="H265" s="860"/>
      <c r="I265" s="861"/>
      <c r="J265" s="862"/>
      <c r="K265" s="859"/>
      <c r="L265" s="863"/>
      <c r="M265" s="861"/>
      <c r="N265" s="859"/>
      <c r="O265" s="752">
        <f t="shared" si="26"/>
        <v>0</v>
      </c>
      <c r="P265" s="862"/>
      <c r="Q265" s="860"/>
      <c r="R265" s="753">
        <f t="shared" si="27"/>
        <v>0</v>
      </c>
      <c r="S265" s="752">
        <f t="shared" si="28"/>
        <v>0</v>
      </c>
      <c r="T265" s="754">
        <f t="shared" si="29"/>
        <v>0</v>
      </c>
      <c r="U265" s="859"/>
      <c r="V265" s="863"/>
      <c r="W265" s="859"/>
      <c r="X265" s="859"/>
      <c r="Y265" s="755">
        <f t="shared" si="30"/>
        <v>0</v>
      </c>
      <c r="Z265" s="864"/>
      <c r="AA265" s="863"/>
      <c r="AB265" s="756">
        <f t="shared" si="31"/>
        <v>0</v>
      </c>
      <c r="AC265" s="859"/>
      <c r="AD265" s="863"/>
      <c r="AE265" s="859"/>
      <c r="AF265" s="859"/>
      <c r="AG265" s="864"/>
      <c r="AH265" s="865"/>
      <c r="AI265" s="757">
        <f t="shared" si="32"/>
        <v>0</v>
      </c>
      <c r="AJ265" s="758">
        <f t="shared" si="33"/>
        <v>0</v>
      </c>
    </row>
    <row r="266" spans="1:36" ht="15" customHeight="1" x14ac:dyDescent="0.2">
      <c r="A266" s="843" t="s">
        <v>142</v>
      </c>
      <c r="B266" s="844" t="s">
        <v>284</v>
      </c>
      <c r="C266" s="866" t="s">
        <v>562</v>
      </c>
      <c r="D266" s="845"/>
      <c r="E266" s="884"/>
      <c r="F266" s="885"/>
      <c r="G266" s="859"/>
      <c r="H266" s="860"/>
      <c r="I266" s="861"/>
      <c r="J266" s="862"/>
      <c r="K266" s="859"/>
      <c r="L266" s="863"/>
      <c r="M266" s="861"/>
      <c r="N266" s="859"/>
      <c r="O266" s="752">
        <f t="shared" ref="O266:O329" si="34">SUM(M266:N266)</f>
        <v>0</v>
      </c>
      <c r="P266" s="862"/>
      <c r="Q266" s="860"/>
      <c r="R266" s="753">
        <f t="shared" ref="R266:R329" si="35">SUM(P266:Q266)</f>
        <v>0</v>
      </c>
      <c r="S266" s="752">
        <f t="shared" ref="S266:S329" si="36">SUM(G266,I266,K266,M266)</f>
        <v>0</v>
      </c>
      <c r="T266" s="754">
        <f t="shared" ref="T266:T329" si="37">SUM(H266,J266,L266,P266)</f>
        <v>0</v>
      </c>
      <c r="U266" s="867">
        <v>201550</v>
      </c>
      <c r="V266" s="863">
        <v>201550</v>
      </c>
      <c r="W266" s="859"/>
      <c r="X266" s="859"/>
      <c r="Y266" s="755">
        <f t="shared" ref="Y266:Y329" si="38">SUM(W266:X266)</f>
        <v>0</v>
      </c>
      <c r="Z266" s="864"/>
      <c r="AA266" s="863"/>
      <c r="AB266" s="756">
        <f t="shared" ref="AB266:AB329" si="39">SUM(Z266:AA266)</f>
        <v>0</v>
      </c>
      <c r="AC266" s="859"/>
      <c r="AD266" s="863"/>
      <c r="AE266" s="859"/>
      <c r="AF266" s="859"/>
      <c r="AG266" s="864"/>
      <c r="AH266" s="865"/>
      <c r="AI266" s="757">
        <f t="shared" ref="AI266:AI329" si="40">SUM(S266,U266,W266,AC266,AE266)</f>
        <v>201550</v>
      </c>
      <c r="AJ266" s="758">
        <f t="shared" ref="AJ266:AJ329" si="41">SUM(T266,V266,Z266,AD266,AG266)</f>
        <v>201550</v>
      </c>
    </row>
    <row r="267" spans="1:36" ht="15" customHeight="1" x14ac:dyDescent="0.2">
      <c r="A267" s="843" t="s">
        <v>142</v>
      </c>
      <c r="B267" s="844" t="s">
        <v>284</v>
      </c>
      <c r="C267" s="866" t="s">
        <v>563</v>
      </c>
      <c r="D267" s="845"/>
      <c r="E267" s="884"/>
      <c r="F267" s="885"/>
      <c r="G267" s="859"/>
      <c r="H267" s="860"/>
      <c r="I267" s="861"/>
      <c r="J267" s="862"/>
      <c r="K267" s="859"/>
      <c r="L267" s="863"/>
      <c r="M267" s="861"/>
      <c r="N267" s="859"/>
      <c r="O267" s="752">
        <f t="shared" si="34"/>
        <v>0</v>
      </c>
      <c r="P267" s="862"/>
      <c r="Q267" s="860"/>
      <c r="R267" s="753">
        <f t="shared" si="35"/>
        <v>0</v>
      </c>
      <c r="S267" s="752">
        <f t="shared" si="36"/>
        <v>0</v>
      </c>
      <c r="T267" s="754">
        <f t="shared" si="37"/>
        <v>0</v>
      </c>
      <c r="U267" s="867">
        <v>59015</v>
      </c>
      <c r="V267" s="863">
        <v>74675</v>
      </c>
      <c r="W267" s="859"/>
      <c r="X267" s="859"/>
      <c r="Y267" s="755">
        <f t="shared" si="38"/>
        <v>0</v>
      </c>
      <c r="Z267" s="864"/>
      <c r="AA267" s="863"/>
      <c r="AB267" s="756">
        <f t="shared" si="39"/>
        <v>0</v>
      </c>
      <c r="AC267" s="859"/>
      <c r="AD267" s="863"/>
      <c r="AE267" s="859"/>
      <c r="AF267" s="859"/>
      <c r="AG267" s="864"/>
      <c r="AH267" s="865"/>
      <c r="AI267" s="757">
        <f t="shared" si="40"/>
        <v>59015</v>
      </c>
      <c r="AJ267" s="758">
        <f t="shared" si="41"/>
        <v>74675</v>
      </c>
    </row>
    <row r="268" spans="1:36" ht="15" customHeight="1" x14ac:dyDescent="0.2">
      <c r="A268" s="843" t="s">
        <v>142</v>
      </c>
      <c r="B268" s="844" t="s">
        <v>285</v>
      </c>
      <c r="C268" s="858" t="s">
        <v>564</v>
      </c>
      <c r="D268" s="845"/>
      <c r="E268" s="884"/>
      <c r="F268" s="885"/>
      <c r="G268" s="859"/>
      <c r="H268" s="860"/>
      <c r="I268" s="861"/>
      <c r="J268" s="862"/>
      <c r="K268" s="859"/>
      <c r="L268" s="863"/>
      <c r="M268" s="861"/>
      <c r="N268" s="859"/>
      <c r="O268" s="752">
        <f t="shared" si="34"/>
        <v>0</v>
      </c>
      <c r="P268" s="862"/>
      <c r="Q268" s="860"/>
      <c r="R268" s="753">
        <f t="shared" si="35"/>
        <v>0</v>
      </c>
      <c r="S268" s="752">
        <f t="shared" si="36"/>
        <v>0</v>
      </c>
      <c r="T268" s="754">
        <f t="shared" si="37"/>
        <v>0</v>
      </c>
      <c r="U268" s="867">
        <v>145312</v>
      </c>
      <c r="V268" s="863">
        <v>183279</v>
      </c>
      <c r="W268" s="859"/>
      <c r="X268" s="859"/>
      <c r="Y268" s="755">
        <f t="shared" si="38"/>
        <v>0</v>
      </c>
      <c r="Z268" s="864"/>
      <c r="AA268" s="863"/>
      <c r="AB268" s="756">
        <f t="shared" si="39"/>
        <v>0</v>
      </c>
      <c r="AC268" s="859"/>
      <c r="AD268" s="863"/>
      <c r="AE268" s="859"/>
      <c r="AF268" s="859"/>
      <c r="AG268" s="864"/>
      <c r="AH268" s="865"/>
      <c r="AI268" s="757">
        <f t="shared" si="40"/>
        <v>145312</v>
      </c>
      <c r="AJ268" s="758">
        <f t="shared" si="41"/>
        <v>183279</v>
      </c>
    </row>
    <row r="269" spans="1:36" ht="15" customHeight="1" x14ac:dyDescent="0.2">
      <c r="A269" s="843" t="s">
        <v>142</v>
      </c>
      <c r="B269" s="844" t="s">
        <v>286</v>
      </c>
      <c r="C269" s="886" t="s">
        <v>565</v>
      </c>
      <c r="D269" s="887"/>
      <c r="E269" s="884"/>
      <c r="F269" s="885"/>
      <c r="G269" s="859"/>
      <c r="H269" s="860"/>
      <c r="I269" s="861"/>
      <c r="J269" s="862"/>
      <c r="K269" s="859"/>
      <c r="L269" s="863"/>
      <c r="M269" s="861"/>
      <c r="N269" s="859"/>
      <c r="O269" s="752">
        <f t="shared" si="34"/>
        <v>0</v>
      </c>
      <c r="P269" s="862"/>
      <c r="Q269" s="860"/>
      <c r="R269" s="753">
        <f t="shared" si="35"/>
        <v>0</v>
      </c>
      <c r="S269" s="752">
        <f t="shared" si="36"/>
        <v>0</v>
      </c>
      <c r="T269" s="754">
        <f t="shared" si="37"/>
        <v>0</v>
      </c>
      <c r="U269" s="859"/>
      <c r="V269" s="863"/>
      <c r="W269" s="859"/>
      <c r="X269" s="859"/>
      <c r="Y269" s="755">
        <f t="shared" si="38"/>
        <v>0</v>
      </c>
      <c r="Z269" s="864"/>
      <c r="AA269" s="863"/>
      <c r="AB269" s="756">
        <f t="shared" si="39"/>
        <v>0</v>
      </c>
      <c r="AC269" s="859"/>
      <c r="AD269" s="863"/>
      <c r="AE269" s="859"/>
      <c r="AF269" s="859"/>
      <c r="AG269" s="864"/>
      <c r="AH269" s="865"/>
      <c r="AI269" s="757">
        <f t="shared" si="40"/>
        <v>0</v>
      </c>
      <c r="AJ269" s="758">
        <f t="shared" si="41"/>
        <v>0</v>
      </c>
    </row>
    <row r="270" spans="1:36" ht="15" customHeight="1" x14ac:dyDescent="0.2">
      <c r="A270" s="843" t="s">
        <v>142</v>
      </c>
      <c r="B270" s="844" t="s">
        <v>286</v>
      </c>
      <c r="C270" s="866" t="s">
        <v>566</v>
      </c>
      <c r="D270" s="845"/>
      <c r="E270" s="884"/>
      <c r="F270" s="885"/>
      <c r="G270" s="859"/>
      <c r="H270" s="860"/>
      <c r="I270" s="861"/>
      <c r="J270" s="862"/>
      <c r="K270" s="859"/>
      <c r="L270" s="863"/>
      <c r="M270" s="861"/>
      <c r="N270" s="859"/>
      <c r="O270" s="752">
        <f t="shared" si="34"/>
        <v>0</v>
      </c>
      <c r="P270" s="862"/>
      <c r="Q270" s="860"/>
      <c r="R270" s="753">
        <f t="shared" si="35"/>
        <v>0</v>
      </c>
      <c r="S270" s="752">
        <f t="shared" si="36"/>
        <v>0</v>
      </c>
      <c r="T270" s="754">
        <f t="shared" si="37"/>
        <v>0</v>
      </c>
      <c r="U270" s="859">
        <v>258645</v>
      </c>
      <c r="V270" s="863">
        <v>262330</v>
      </c>
      <c r="W270" s="859"/>
      <c r="X270" s="859"/>
      <c r="Y270" s="755">
        <f t="shared" si="38"/>
        <v>0</v>
      </c>
      <c r="Z270" s="864"/>
      <c r="AA270" s="863"/>
      <c r="AB270" s="756">
        <f t="shared" si="39"/>
        <v>0</v>
      </c>
      <c r="AC270" s="859"/>
      <c r="AD270" s="863"/>
      <c r="AE270" s="859"/>
      <c r="AF270" s="859"/>
      <c r="AG270" s="864"/>
      <c r="AH270" s="865"/>
      <c r="AI270" s="757">
        <f t="shared" si="40"/>
        <v>258645</v>
      </c>
      <c r="AJ270" s="758">
        <f t="shared" si="41"/>
        <v>262330</v>
      </c>
    </row>
    <row r="271" spans="1:36" ht="15" customHeight="1" x14ac:dyDescent="0.2">
      <c r="A271" s="843" t="s">
        <v>142</v>
      </c>
      <c r="B271" s="844" t="s">
        <v>286</v>
      </c>
      <c r="C271" s="866" t="s">
        <v>567</v>
      </c>
      <c r="D271" s="845"/>
      <c r="E271" s="884"/>
      <c r="F271" s="885"/>
      <c r="G271" s="859"/>
      <c r="H271" s="860"/>
      <c r="I271" s="861"/>
      <c r="J271" s="862"/>
      <c r="K271" s="859"/>
      <c r="L271" s="863"/>
      <c r="M271" s="861"/>
      <c r="N271" s="859"/>
      <c r="O271" s="752">
        <f t="shared" si="34"/>
        <v>0</v>
      </c>
      <c r="P271" s="862"/>
      <c r="Q271" s="860"/>
      <c r="R271" s="753">
        <f t="shared" si="35"/>
        <v>0</v>
      </c>
      <c r="S271" s="752">
        <f t="shared" si="36"/>
        <v>0</v>
      </c>
      <c r="T271" s="754">
        <f t="shared" si="37"/>
        <v>0</v>
      </c>
      <c r="U271" s="859">
        <v>582997</v>
      </c>
      <c r="V271" s="863">
        <v>632997</v>
      </c>
      <c r="W271" s="859"/>
      <c r="X271" s="859"/>
      <c r="Y271" s="755">
        <f t="shared" si="38"/>
        <v>0</v>
      </c>
      <c r="Z271" s="864"/>
      <c r="AA271" s="863"/>
      <c r="AB271" s="756">
        <f t="shared" si="39"/>
        <v>0</v>
      </c>
      <c r="AC271" s="859"/>
      <c r="AD271" s="863"/>
      <c r="AE271" s="859"/>
      <c r="AF271" s="859"/>
      <c r="AG271" s="864"/>
      <c r="AH271" s="865"/>
      <c r="AI271" s="757">
        <f t="shared" si="40"/>
        <v>582997</v>
      </c>
      <c r="AJ271" s="758">
        <f t="shared" si="41"/>
        <v>632997</v>
      </c>
    </row>
    <row r="272" spans="1:36" ht="15" customHeight="1" x14ac:dyDescent="0.2">
      <c r="A272" s="843" t="s">
        <v>142</v>
      </c>
      <c r="B272" s="844" t="s">
        <v>286</v>
      </c>
      <c r="C272" s="866" t="s">
        <v>568</v>
      </c>
      <c r="D272" s="845"/>
      <c r="E272" s="884"/>
      <c r="F272" s="885"/>
      <c r="G272" s="859"/>
      <c r="H272" s="860"/>
      <c r="I272" s="861"/>
      <c r="J272" s="862"/>
      <c r="K272" s="859"/>
      <c r="L272" s="863"/>
      <c r="M272" s="861"/>
      <c r="N272" s="859"/>
      <c r="O272" s="752">
        <f t="shared" si="34"/>
        <v>0</v>
      </c>
      <c r="P272" s="862"/>
      <c r="Q272" s="860"/>
      <c r="R272" s="753">
        <f t="shared" si="35"/>
        <v>0</v>
      </c>
      <c r="S272" s="752">
        <f t="shared" si="36"/>
        <v>0</v>
      </c>
      <c r="T272" s="754">
        <f t="shared" si="37"/>
        <v>0</v>
      </c>
      <c r="U272" s="859">
        <v>8942227</v>
      </c>
      <c r="V272" s="863">
        <v>9069227</v>
      </c>
      <c r="W272" s="859"/>
      <c r="X272" s="859"/>
      <c r="Y272" s="755">
        <f t="shared" si="38"/>
        <v>0</v>
      </c>
      <c r="Z272" s="864"/>
      <c r="AA272" s="863"/>
      <c r="AB272" s="756">
        <f t="shared" si="39"/>
        <v>0</v>
      </c>
      <c r="AC272" s="859"/>
      <c r="AD272" s="863"/>
      <c r="AE272" s="859"/>
      <c r="AF272" s="859"/>
      <c r="AG272" s="864"/>
      <c r="AH272" s="865"/>
      <c r="AI272" s="757">
        <f t="shared" si="40"/>
        <v>8942227</v>
      </c>
      <c r="AJ272" s="758">
        <f t="shared" si="41"/>
        <v>9069227</v>
      </c>
    </row>
    <row r="273" spans="1:36" ht="15" customHeight="1" x14ac:dyDescent="0.2">
      <c r="A273" s="843" t="s">
        <v>142</v>
      </c>
      <c r="B273" s="844" t="s">
        <v>286</v>
      </c>
      <c r="C273" s="866" t="s">
        <v>569</v>
      </c>
      <c r="D273" s="845"/>
      <c r="E273" s="884"/>
      <c r="F273" s="885"/>
      <c r="G273" s="859"/>
      <c r="H273" s="860"/>
      <c r="I273" s="861"/>
      <c r="J273" s="862"/>
      <c r="K273" s="859"/>
      <c r="L273" s="863"/>
      <c r="M273" s="861"/>
      <c r="N273" s="859"/>
      <c r="O273" s="752">
        <f t="shared" si="34"/>
        <v>0</v>
      </c>
      <c r="P273" s="862"/>
      <c r="Q273" s="860"/>
      <c r="R273" s="753">
        <f t="shared" si="35"/>
        <v>0</v>
      </c>
      <c r="S273" s="752">
        <f t="shared" si="36"/>
        <v>0</v>
      </c>
      <c r="T273" s="754">
        <f t="shared" si="37"/>
        <v>0</v>
      </c>
      <c r="U273" s="859">
        <v>2153416</v>
      </c>
      <c r="V273" s="863">
        <v>2348344</v>
      </c>
      <c r="W273" s="859"/>
      <c r="X273" s="859"/>
      <c r="Y273" s="755">
        <f t="shared" si="38"/>
        <v>0</v>
      </c>
      <c r="Z273" s="864"/>
      <c r="AA273" s="863"/>
      <c r="AB273" s="756">
        <f t="shared" si="39"/>
        <v>0</v>
      </c>
      <c r="AC273" s="859"/>
      <c r="AD273" s="863"/>
      <c r="AE273" s="859"/>
      <c r="AF273" s="859"/>
      <c r="AG273" s="864"/>
      <c r="AH273" s="865"/>
      <c r="AI273" s="757">
        <f t="shared" si="40"/>
        <v>2153416</v>
      </c>
      <c r="AJ273" s="758">
        <f t="shared" si="41"/>
        <v>2348344</v>
      </c>
    </row>
    <row r="274" spans="1:36" ht="15" customHeight="1" x14ac:dyDescent="0.2">
      <c r="A274" s="843" t="s">
        <v>142</v>
      </c>
      <c r="B274" s="844" t="s">
        <v>287</v>
      </c>
      <c r="C274" s="886" t="s">
        <v>570</v>
      </c>
      <c r="D274" s="887"/>
      <c r="E274" s="884"/>
      <c r="F274" s="885"/>
      <c r="G274" s="859"/>
      <c r="H274" s="860"/>
      <c r="I274" s="861"/>
      <c r="J274" s="862"/>
      <c r="K274" s="859"/>
      <c r="L274" s="863"/>
      <c r="M274" s="861"/>
      <c r="N274" s="859"/>
      <c r="O274" s="752">
        <f t="shared" si="34"/>
        <v>0</v>
      </c>
      <c r="P274" s="862"/>
      <c r="Q274" s="860"/>
      <c r="R274" s="753">
        <f t="shared" si="35"/>
        <v>0</v>
      </c>
      <c r="S274" s="752">
        <f t="shared" si="36"/>
        <v>0</v>
      </c>
      <c r="T274" s="754">
        <f t="shared" si="37"/>
        <v>0</v>
      </c>
      <c r="U274" s="859"/>
      <c r="V274" s="863"/>
      <c r="W274" s="859"/>
      <c r="X274" s="859"/>
      <c r="Y274" s="755">
        <f t="shared" si="38"/>
        <v>0</v>
      </c>
      <c r="Z274" s="864"/>
      <c r="AA274" s="863"/>
      <c r="AB274" s="756">
        <f t="shared" si="39"/>
        <v>0</v>
      </c>
      <c r="AC274" s="859"/>
      <c r="AD274" s="863"/>
      <c r="AE274" s="859"/>
      <c r="AF274" s="859"/>
      <c r="AG274" s="864"/>
      <c r="AH274" s="865"/>
      <c r="AI274" s="757">
        <f t="shared" si="40"/>
        <v>0</v>
      </c>
      <c r="AJ274" s="758">
        <f t="shared" si="41"/>
        <v>0</v>
      </c>
    </row>
    <row r="275" spans="1:36" ht="15" customHeight="1" x14ac:dyDescent="0.2">
      <c r="A275" s="843" t="s">
        <v>142</v>
      </c>
      <c r="B275" s="844" t="s">
        <v>288</v>
      </c>
      <c r="C275" s="858" t="s">
        <v>571</v>
      </c>
      <c r="D275" s="845"/>
      <c r="E275" s="884"/>
      <c r="F275" s="885"/>
      <c r="G275" s="859"/>
      <c r="H275" s="860"/>
      <c r="I275" s="861"/>
      <c r="J275" s="862"/>
      <c r="K275" s="859"/>
      <c r="L275" s="863"/>
      <c r="M275" s="861"/>
      <c r="N275" s="859"/>
      <c r="O275" s="752">
        <f t="shared" si="34"/>
        <v>0</v>
      </c>
      <c r="P275" s="862"/>
      <c r="Q275" s="860"/>
      <c r="R275" s="753">
        <f t="shared" si="35"/>
        <v>0</v>
      </c>
      <c r="S275" s="752">
        <f t="shared" si="36"/>
        <v>0</v>
      </c>
      <c r="T275" s="754">
        <f t="shared" si="37"/>
        <v>0</v>
      </c>
      <c r="U275" s="859"/>
      <c r="V275" s="863"/>
      <c r="W275" s="859"/>
      <c r="X275" s="859"/>
      <c r="Y275" s="755">
        <f t="shared" si="38"/>
        <v>0</v>
      </c>
      <c r="Z275" s="864"/>
      <c r="AA275" s="863"/>
      <c r="AB275" s="756">
        <f t="shared" si="39"/>
        <v>0</v>
      </c>
      <c r="AC275" s="859"/>
      <c r="AD275" s="863"/>
      <c r="AE275" s="859"/>
      <c r="AF275" s="859"/>
      <c r="AG275" s="864"/>
      <c r="AH275" s="865"/>
      <c r="AI275" s="757">
        <f t="shared" si="40"/>
        <v>0</v>
      </c>
      <c r="AJ275" s="758">
        <f t="shared" si="41"/>
        <v>0</v>
      </c>
    </row>
    <row r="276" spans="1:36" ht="15" customHeight="1" x14ac:dyDescent="0.2">
      <c r="A276" s="843" t="s">
        <v>142</v>
      </c>
      <c r="B276" s="844" t="s">
        <v>288</v>
      </c>
      <c r="C276" s="866" t="s">
        <v>572</v>
      </c>
      <c r="D276" s="845"/>
      <c r="E276" s="884"/>
      <c r="F276" s="885"/>
      <c r="G276" s="859"/>
      <c r="H276" s="860"/>
      <c r="I276" s="861"/>
      <c r="J276" s="862"/>
      <c r="K276" s="859"/>
      <c r="L276" s="863"/>
      <c r="M276" s="861"/>
      <c r="N276" s="859"/>
      <c r="O276" s="752">
        <f t="shared" si="34"/>
        <v>0</v>
      </c>
      <c r="P276" s="862"/>
      <c r="Q276" s="860"/>
      <c r="R276" s="753">
        <f t="shared" si="35"/>
        <v>0</v>
      </c>
      <c r="S276" s="752">
        <f t="shared" si="36"/>
        <v>0</v>
      </c>
      <c r="T276" s="754">
        <f t="shared" si="37"/>
        <v>0</v>
      </c>
      <c r="U276" s="859"/>
      <c r="V276" s="863"/>
      <c r="W276" s="859"/>
      <c r="X276" s="859"/>
      <c r="Y276" s="755">
        <f t="shared" si="38"/>
        <v>0</v>
      </c>
      <c r="Z276" s="864"/>
      <c r="AA276" s="863"/>
      <c r="AB276" s="756">
        <f t="shared" si="39"/>
        <v>0</v>
      </c>
      <c r="AC276" s="859"/>
      <c r="AD276" s="863"/>
      <c r="AE276" s="859"/>
      <c r="AF276" s="859"/>
      <c r="AG276" s="864"/>
      <c r="AH276" s="865"/>
      <c r="AI276" s="757">
        <f t="shared" si="40"/>
        <v>0</v>
      </c>
      <c r="AJ276" s="758">
        <f t="shared" si="41"/>
        <v>0</v>
      </c>
    </row>
    <row r="277" spans="1:36" ht="15" customHeight="1" x14ac:dyDescent="0.2">
      <c r="A277" s="843" t="s">
        <v>142</v>
      </c>
      <c r="B277" s="844" t="s">
        <v>289</v>
      </c>
      <c r="C277" s="858" t="s">
        <v>573</v>
      </c>
      <c r="D277" s="845"/>
      <c r="E277" s="884"/>
      <c r="F277" s="885"/>
      <c r="G277" s="859"/>
      <c r="H277" s="860"/>
      <c r="I277" s="861"/>
      <c r="J277" s="862"/>
      <c r="K277" s="859"/>
      <c r="L277" s="863"/>
      <c r="M277" s="861"/>
      <c r="N277" s="859"/>
      <c r="O277" s="752">
        <f t="shared" si="34"/>
        <v>0</v>
      </c>
      <c r="P277" s="862"/>
      <c r="Q277" s="860"/>
      <c r="R277" s="753">
        <f t="shared" si="35"/>
        <v>0</v>
      </c>
      <c r="S277" s="752">
        <f t="shared" si="36"/>
        <v>0</v>
      </c>
      <c r="T277" s="754">
        <f t="shared" si="37"/>
        <v>0</v>
      </c>
      <c r="U277" s="859"/>
      <c r="V277" s="863"/>
      <c r="W277" s="859"/>
      <c r="X277" s="859"/>
      <c r="Y277" s="755">
        <f t="shared" si="38"/>
        <v>0</v>
      </c>
      <c r="Z277" s="864"/>
      <c r="AA277" s="863"/>
      <c r="AB277" s="756">
        <f t="shared" si="39"/>
        <v>0</v>
      </c>
      <c r="AC277" s="859"/>
      <c r="AD277" s="863"/>
      <c r="AE277" s="859"/>
      <c r="AF277" s="859"/>
      <c r="AG277" s="864"/>
      <c r="AH277" s="865"/>
      <c r="AI277" s="757">
        <f t="shared" si="40"/>
        <v>0</v>
      </c>
      <c r="AJ277" s="758">
        <f t="shared" si="41"/>
        <v>0</v>
      </c>
    </row>
    <row r="278" spans="1:36" ht="15" customHeight="1" x14ac:dyDescent="0.2">
      <c r="A278" s="843" t="s">
        <v>142</v>
      </c>
      <c r="B278" s="844" t="s">
        <v>290</v>
      </c>
      <c r="C278" s="858" t="s">
        <v>137</v>
      </c>
      <c r="D278" s="845"/>
      <c r="E278" s="884"/>
      <c r="F278" s="885"/>
      <c r="G278" s="859"/>
      <c r="H278" s="860"/>
      <c r="I278" s="861"/>
      <c r="J278" s="862"/>
      <c r="K278" s="859"/>
      <c r="L278" s="863"/>
      <c r="M278" s="861"/>
      <c r="N278" s="859"/>
      <c r="O278" s="752">
        <f t="shared" si="34"/>
        <v>0</v>
      </c>
      <c r="P278" s="862"/>
      <c r="Q278" s="860"/>
      <c r="R278" s="753">
        <f t="shared" si="35"/>
        <v>0</v>
      </c>
      <c r="S278" s="752">
        <f t="shared" si="36"/>
        <v>0</v>
      </c>
      <c r="T278" s="754">
        <f t="shared" si="37"/>
        <v>0</v>
      </c>
      <c r="U278" s="859"/>
      <c r="V278" s="863"/>
      <c r="W278" s="859"/>
      <c r="X278" s="859"/>
      <c r="Y278" s="755">
        <f t="shared" si="38"/>
        <v>0</v>
      </c>
      <c r="Z278" s="864"/>
      <c r="AA278" s="863"/>
      <c r="AB278" s="756">
        <f t="shared" si="39"/>
        <v>0</v>
      </c>
      <c r="AC278" s="859"/>
      <c r="AD278" s="863"/>
      <c r="AE278" s="859"/>
      <c r="AF278" s="859"/>
      <c r="AG278" s="864"/>
      <c r="AH278" s="865"/>
      <c r="AI278" s="757">
        <f t="shared" si="40"/>
        <v>0</v>
      </c>
      <c r="AJ278" s="758">
        <f t="shared" si="41"/>
        <v>0</v>
      </c>
    </row>
    <row r="279" spans="1:36" ht="15" customHeight="1" x14ac:dyDescent="0.2">
      <c r="A279" s="843" t="s">
        <v>142</v>
      </c>
      <c r="B279" s="844" t="s">
        <v>291</v>
      </c>
      <c r="C279" s="886" t="s">
        <v>574</v>
      </c>
      <c r="D279" s="887"/>
      <c r="E279" s="884"/>
      <c r="F279" s="885"/>
      <c r="G279" s="859"/>
      <c r="H279" s="860"/>
      <c r="I279" s="861"/>
      <c r="J279" s="862"/>
      <c r="K279" s="859"/>
      <c r="L279" s="863"/>
      <c r="M279" s="861"/>
      <c r="N279" s="859"/>
      <c r="O279" s="752">
        <f t="shared" si="34"/>
        <v>0</v>
      </c>
      <c r="P279" s="862"/>
      <c r="Q279" s="860"/>
      <c r="R279" s="753">
        <f t="shared" si="35"/>
        <v>0</v>
      </c>
      <c r="S279" s="752">
        <f t="shared" si="36"/>
        <v>0</v>
      </c>
      <c r="T279" s="754">
        <f t="shared" si="37"/>
        <v>0</v>
      </c>
      <c r="U279" s="859"/>
      <c r="V279" s="863"/>
      <c r="W279" s="859"/>
      <c r="X279" s="859"/>
      <c r="Y279" s="755">
        <f t="shared" si="38"/>
        <v>0</v>
      </c>
      <c r="Z279" s="864"/>
      <c r="AA279" s="863"/>
      <c r="AB279" s="756">
        <f t="shared" si="39"/>
        <v>0</v>
      </c>
      <c r="AC279" s="859"/>
      <c r="AD279" s="863"/>
      <c r="AE279" s="859"/>
      <c r="AF279" s="859"/>
      <c r="AG279" s="864"/>
      <c r="AH279" s="865"/>
      <c r="AI279" s="757">
        <f t="shared" si="40"/>
        <v>0</v>
      </c>
      <c r="AJ279" s="758">
        <f t="shared" si="41"/>
        <v>0</v>
      </c>
    </row>
    <row r="280" spans="1:36" ht="15" customHeight="1" x14ac:dyDescent="0.2">
      <c r="A280" s="843" t="s">
        <v>142</v>
      </c>
      <c r="B280" s="844" t="s">
        <v>292</v>
      </c>
      <c r="C280" s="889" t="s">
        <v>34</v>
      </c>
      <c r="D280" s="882"/>
      <c r="E280" s="884"/>
      <c r="F280" s="885"/>
      <c r="G280" s="859"/>
      <c r="H280" s="860"/>
      <c r="I280" s="861"/>
      <c r="J280" s="862"/>
      <c r="K280" s="859"/>
      <c r="L280" s="863"/>
      <c r="M280" s="861"/>
      <c r="N280" s="859"/>
      <c r="O280" s="752">
        <f t="shared" si="34"/>
        <v>0</v>
      </c>
      <c r="P280" s="862"/>
      <c r="Q280" s="860"/>
      <c r="R280" s="753">
        <f t="shared" si="35"/>
        <v>0</v>
      </c>
      <c r="S280" s="752">
        <f t="shared" si="36"/>
        <v>0</v>
      </c>
      <c r="T280" s="754">
        <f t="shared" si="37"/>
        <v>0</v>
      </c>
      <c r="U280" s="859"/>
      <c r="V280" s="863"/>
      <c r="W280" s="859"/>
      <c r="X280" s="859"/>
      <c r="Y280" s="755">
        <f t="shared" si="38"/>
        <v>0</v>
      </c>
      <c r="Z280" s="864"/>
      <c r="AA280" s="863"/>
      <c r="AB280" s="756">
        <f t="shared" si="39"/>
        <v>0</v>
      </c>
      <c r="AC280" s="859"/>
      <c r="AD280" s="863"/>
      <c r="AE280" s="859"/>
      <c r="AF280" s="859"/>
      <c r="AG280" s="864"/>
      <c r="AH280" s="865"/>
      <c r="AI280" s="757">
        <f t="shared" si="40"/>
        <v>0</v>
      </c>
      <c r="AJ280" s="758">
        <f t="shared" si="41"/>
        <v>0</v>
      </c>
    </row>
    <row r="281" spans="1:36" ht="15" customHeight="1" x14ac:dyDescent="0.2">
      <c r="A281" s="843" t="s">
        <v>142</v>
      </c>
      <c r="B281" s="844" t="s">
        <v>292</v>
      </c>
      <c r="C281" s="890" t="s">
        <v>575</v>
      </c>
      <c r="D281" s="845"/>
      <c r="E281" s="884"/>
      <c r="F281" s="885"/>
      <c r="G281" s="859"/>
      <c r="H281" s="860"/>
      <c r="I281" s="861"/>
      <c r="J281" s="862"/>
      <c r="K281" s="859"/>
      <c r="L281" s="863"/>
      <c r="M281" s="861"/>
      <c r="N281" s="859"/>
      <c r="O281" s="752">
        <f t="shared" si="34"/>
        <v>0</v>
      </c>
      <c r="P281" s="862"/>
      <c r="Q281" s="860"/>
      <c r="R281" s="753">
        <f t="shared" si="35"/>
        <v>0</v>
      </c>
      <c r="S281" s="752">
        <f t="shared" si="36"/>
        <v>0</v>
      </c>
      <c r="T281" s="754">
        <f t="shared" si="37"/>
        <v>0</v>
      </c>
      <c r="U281" s="859"/>
      <c r="V281" s="863"/>
      <c r="W281" s="859"/>
      <c r="X281" s="859"/>
      <c r="Y281" s="755">
        <f t="shared" si="38"/>
        <v>0</v>
      </c>
      <c r="Z281" s="864"/>
      <c r="AA281" s="863"/>
      <c r="AB281" s="756">
        <f t="shared" si="39"/>
        <v>0</v>
      </c>
      <c r="AC281" s="859"/>
      <c r="AD281" s="863"/>
      <c r="AE281" s="859"/>
      <c r="AF281" s="859"/>
      <c r="AG281" s="864"/>
      <c r="AH281" s="865"/>
      <c r="AI281" s="757">
        <f t="shared" si="40"/>
        <v>0</v>
      </c>
      <c r="AJ281" s="758">
        <f t="shared" si="41"/>
        <v>0</v>
      </c>
    </row>
    <row r="282" spans="1:36" ht="15" customHeight="1" x14ac:dyDescent="0.2">
      <c r="A282" s="843" t="s">
        <v>142</v>
      </c>
      <c r="B282" s="844" t="s">
        <v>310</v>
      </c>
      <c r="C282" s="891" t="s">
        <v>311</v>
      </c>
      <c r="D282" s="892"/>
      <c r="E282" s="884"/>
      <c r="F282" s="885"/>
      <c r="G282" s="859"/>
      <c r="H282" s="860"/>
      <c r="I282" s="861"/>
      <c r="J282" s="862"/>
      <c r="K282" s="859"/>
      <c r="L282" s="863"/>
      <c r="M282" s="861"/>
      <c r="N282" s="859"/>
      <c r="O282" s="752">
        <f t="shared" si="34"/>
        <v>0</v>
      </c>
      <c r="P282" s="862"/>
      <c r="Q282" s="860"/>
      <c r="R282" s="753">
        <f t="shared" si="35"/>
        <v>0</v>
      </c>
      <c r="S282" s="752">
        <f t="shared" si="36"/>
        <v>0</v>
      </c>
      <c r="T282" s="754">
        <f t="shared" si="37"/>
        <v>0</v>
      </c>
      <c r="U282" s="859"/>
      <c r="V282" s="863"/>
      <c r="W282" s="859"/>
      <c r="X282" s="859"/>
      <c r="Y282" s="755">
        <f t="shared" si="38"/>
        <v>0</v>
      </c>
      <c r="Z282" s="864"/>
      <c r="AA282" s="863"/>
      <c r="AB282" s="756">
        <f t="shared" si="39"/>
        <v>0</v>
      </c>
      <c r="AC282" s="859"/>
      <c r="AD282" s="863"/>
      <c r="AE282" s="859"/>
      <c r="AF282" s="859"/>
      <c r="AG282" s="864"/>
      <c r="AH282" s="865"/>
      <c r="AI282" s="757">
        <f t="shared" si="40"/>
        <v>0</v>
      </c>
      <c r="AJ282" s="758">
        <f t="shared" si="41"/>
        <v>0</v>
      </c>
    </row>
    <row r="283" spans="1:36" ht="15" customHeight="1" x14ac:dyDescent="0.2">
      <c r="A283" s="843" t="s">
        <v>142</v>
      </c>
      <c r="B283" s="844" t="s">
        <v>251</v>
      </c>
      <c r="C283" s="891" t="s">
        <v>249</v>
      </c>
      <c r="D283" s="892"/>
      <c r="E283" s="884"/>
      <c r="F283" s="885"/>
      <c r="G283" s="859"/>
      <c r="H283" s="860"/>
      <c r="I283" s="861"/>
      <c r="J283" s="862"/>
      <c r="K283" s="859"/>
      <c r="L283" s="863"/>
      <c r="M283" s="861"/>
      <c r="N283" s="859"/>
      <c r="O283" s="752">
        <f t="shared" si="34"/>
        <v>0</v>
      </c>
      <c r="P283" s="862"/>
      <c r="Q283" s="860"/>
      <c r="R283" s="753">
        <f t="shared" si="35"/>
        <v>0</v>
      </c>
      <c r="S283" s="752">
        <f t="shared" si="36"/>
        <v>0</v>
      </c>
      <c r="T283" s="754">
        <f t="shared" si="37"/>
        <v>0</v>
      </c>
      <c r="U283" s="859">
        <v>740014</v>
      </c>
      <c r="V283" s="863">
        <v>740014</v>
      </c>
      <c r="W283" s="859"/>
      <c r="X283" s="859"/>
      <c r="Y283" s="755">
        <f t="shared" si="38"/>
        <v>0</v>
      </c>
      <c r="Z283" s="864"/>
      <c r="AA283" s="863"/>
      <c r="AB283" s="756">
        <f t="shared" si="39"/>
        <v>0</v>
      </c>
      <c r="AC283" s="859"/>
      <c r="AD283" s="863"/>
      <c r="AE283" s="859"/>
      <c r="AF283" s="859"/>
      <c r="AG283" s="864"/>
      <c r="AH283" s="865"/>
      <c r="AI283" s="757">
        <f t="shared" si="40"/>
        <v>740014</v>
      </c>
      <c r="AJ283" s="758">
        <f t="shared" si="41"/>
        <v>740014</v>
      </c>
    </row>
    <row r="284" spans="1:36" ht="15" customHeight="1" x14ac:dyDescent="0.2">
      <c r="A284" s="843" t="s">
        <v>142</v>
      </c>
      <c r="B284" s="893" t="s">
        <v>209</v>
      </c>
      <c r="C284" s="891" t="s">
        <v>576</v>
      </c>
      <c r="D284" s="892"/>
      <c r="E284" s="884"/>
      <c r="F284" s="885"/>
      <c r="G284" s="859"/>
      <c r="H284" s="860"/>
      <c r="I284" s="861"/>
      <c r="J284" s="862"/>
      <c r="K284" s="859"/>
      <c r="L284" s="863"/>
      <c r="M284" s="861"/>
      <c r="N284" s="859"/>
      <c r="O284" s="752">
        <f t="shared" si="34"/>
        <v>0</v>
      </c>
      <c r="P284" s="862"/>
      <c r="Q284" s="860"/>
      <c r="R284" s="753">
        <f t="shared" si="35"/>
        <v>0</v>
      </c>
      <c r="S284" s="752">
        <f t="shared" si="36"/>
        <v>0</v>
      </c>
      <c r="T284" s="754">
        <f t="shared" si="37"/>
        <v>0</v>
      </c>
      <c r="U284" s="859"/>
      <c r="V284" s="863"/>
      <c r="W284" s="859"/>
      <c r="X284" s="859"/>
      <c r="Y284" s="755">
        <f t="shared" si="38"/>
        <v>0</v>
      </c>
      <c r="Z284" s="864"/>
      <c r="AA284" s="863"/>
      <c r="AB284" s="756">
        <f t="shared" si="39"/>
        <v>0</v>
      </c>
      <c r="AC284" s="859"/>
      <c r="AD284" s="863"/>
      <c r="AE284" s="859"/>
      <c r="AF284" s="859"/>
      <c r="AG284" s="864"/>
      <c r="AH284" s="865"/>
      <c r="AI284" s="757">
        <f t="shared" si="40"/>
        <v>0</v>
      </c>
      <c r="AJ284" s="758">
        <f t="shared" si="41"/>
        <v>0</v>
      </c>
    </row>
    <row r="285" spans="1:36" ht="15" customHeight="1" x14ac:dyDescent="0.2">
      <c r="A285" s="843" t="s">
        <v>142</v>
      </c>
      <c r="B285" s="893" t="s">
        <v>210</v>
      </c>
      <c r="C285" s="891" t="s">
        <v>311</v>
      </c>
      <c r="D285" s="892"/>
      <c r="E285" s="884"/>
      <c r="F285" s="885"/>
      <c r="G285" s="859"/>
      <c r="H285" s="860"/>
      <c r="I285" s="861"/>
      <c r="J285" s="862"/>
      <c r="K285" s="859"/>
      <c r="L285" s="863"/>
      <c r="M285" s="861"/>
      <c r="N285" s="859"/>
      <c r="O285" s="752">
        <f t="shared" si="34"/>
        <v>0</v>
      </c>
      <c r="P285" s="862"/>
      <c r="Q285" s="860"/>
      <c r="R285" s="753">
        <f t="shared" si="35"/>
        <v>0</v>
      </c>
      <c r="S285" s="752">
        <f t="shared" si="36"/>
        <v>0</v>
      </c>
      <c r="T285" s="754">
        <f t="shared" si="37"/>
        <v>0</v>
      </c>
      <c r="U285" s="859"/>
      <c r="V285" s="863"/>
      <c r="W285" s="859"/>
      <c r="X285" s="859"/>
      <c r="Y285" s="755">
        <f t="shared" si="38"/>
        <v>0</v>
      </c>
      <c r="Z285" s="864"/>
      <c r="AA285" s="863"/>
      <c r="AB285" s="756">
        <f t="shared" si="39"/>
        <v>0</v>
      </c>
      <c r="AC285" s="859"/>
      <c r="AD285" s="863"/>
      <c r="AE285" s="859"/>
      <c r="AF285" s="859"/>
      <c r="AG285" s="864"/>
      <c r="AH285" s="865"/>
      <c r="AI285" s="757">
        <f t="shared" si="40"/>
        <v>0</v>
      </c>
      <c r="AJ285" s="758">
        <f t="shared" si="41"/>
        <v>0</v>
      </c>
    </row>
    <row r="286" spans="1:36" ht="15" customHeight="1" x14ac:dyDescent="0.2">
      <c r="A286" s="843" t="s">
        <v>142</v>
      </c>
      <c r="B286" s="893" t="s">
        <v>204</v>
      </c>
      <c r="C286" s="891" t="s">
        <v>249</v>
      </c>
      <c r="D286" s="892"/>
      <c r="E286" s="884"/>
      <c r="F286" s="885"/>
      <c r="G286" s="859"/>
      <c r="H286" s="860"/>
      <c r="I286" s="861"/>
      <c r="J286" s="862"/>
      <c r="K286" s="859"/>
      <c r="L286" s="863"/>
      <c r="M286" s="861"/>
      <c r="N286" s="859"/>
      <c r="O286" s="752">
        <f t="shared" si="34"/>
        <v>0</v>
      </c>
      <c r="P286" s="862"/>
      <c r="Q286" s="860"/>
      <c r="R286" s="753">
        <f t="shared" si="35"/>
        <v>0</v>
      </c>
      <c r="S286" s="752">
        <f t="shared" si="36"/>
        <v>0</v>
      </c>
      <c r="T286" s="754">
        <f t="shared" si="37"/>
        <v>0</v>
      </c>
      <c r="U286" s="859"/>
      <c r="V286" s="863"/>
      <c r="W286" s="859"/>
      <c r="X286" s="859"/>
      <c r="Y286" s="755">
        <f t="shared" si="38"/>
        <v>0</v>
      </c>
      <c r="Z286" s="864"/>
      <c r="AA286" s="863"/>
      <c r="AB286" s="756">
        <f t="shared" si="39"/>
        <v>0</v>
      </c>
      <c r="AC286" s="859"/>
      <c r="AD286" s="863"/>
      <c r="AE286" s="859"/>
      <c r="AF286" s="859"/>
      <c r="AG286" s="864"/>
      <c r="AH286" s="865"/>
      <c r="AI286" s="757">
        <f t="shared" si="40"/>
        <v>0</v>
      </c>
      <c r="AJ286" s="758">
        <f t="shared" si="41"/>
        <v>0</v>
      </c>
    </row>
    <row r="287" spans="1:36" ht="15" customHeight="1" x14ac:dyDescent="0.2">
      <c r="A287" s="843" t="s">
        <v>142</v>
      </c>
      <c r="B287" s="893" t="s">
        <v>205</v>
      </c>
      <c r="C287" s="891" t="s">
        <v>577</v>
      </c>
      <c r="D287" s="892"/>
      <c r="E287" s="884"/>
      <c r="F287" s="885"/>
      <c r="G287" s="859"/>
      <c r="H287" s="860"/>
      <c r="I287" s="861"/>
      <c r="J287" s="862"/>
      <c r="K287" s="859"/>
      <c r="L287" s="863"/>
      <c r="M287" s="861"/>
      <c r="N287" s="859"/>
      <c r="O287" s="752">
        <f t="shared" si="34"/>
        <v>0</v>
      </c>
      <c r="P287" s="862"/>
      <c r="Q287" s="860"/>
      <c r="R287" s="753">
        <f t="shared" si="35"/>
        <v>0</v>
      </c>
      <c r="S287" s="752">
        <f t="shared" si="36"/>
        <v>0</v>
      </c>
      <c r="T287" s="754">
        <f t="shared" si="37"/>
        <v>0</v>
      </c>
      <c r="U287" s="859"/>
      <c r="V287" s="863"/>
      <c r="W287" s="859"/>
      <c r="X287" s="859"/>
      <c r="Y287" s="755">
        <f t="shared" si="38"/>
        <v>0</v>
      </c>
      <c r="Z287" s="864"/>
      <c r="AA287" s="863"/>
      <c r="AB287" s="756">
        <f t="shared" si="39"/>
        <v>0</v>
      </c>
      <c r="AC287" s="859"/>
      <c r="AD287" s="863"/>
      <c r="AE287" s="859"/>
      <c r="AF287" s="859"/>
      <c r="AG287" s="864"/>
      <c r="AH287" s="865"/>
      <c r="AI287" s="757">
        <f t="shared" si="40"/>
        <v>0</v>
      </c>
      <c r="AJ287" s="758">
        <f t="shared" si="41"/>
        <v>0</v>
      </c>
    </row>
    <row r="288" spans="1:36" ht="15" customHeight="1" x14ac:dyDescent="0.2">
      <c r="A288" s="843" t="s">
        <v>142</v>
      </c>
      <c r="B288" s="893" t="s">
        <v>218</v>
      </c>
      <c r="C288" s="891" t="s">
        <v>311</v>
      </c>
      <c r="D288" s="892"/>
      <c r="E288" s="884"/>
      <c r="F288" s="885"/>
      <c r="G288" s="859"/>
      <c r="H288" s="860"/>
      <c r="I288" s="861"/>
      <c r="J288" s="862"/>
      <c r="K288" s="859"/>
      <c r="L288" s="863"/>
      <c r="M288" s="861"/>
      <c r="N288" s="859"/>
      <c r="O288" s="752">
        <f t="shared" si="34"/>
        <v>0</v>
      </c>
      <c r="P288" s="862"/>
      <c r="Q288" s="860"/>
      <c r="R288" s="753">
        <f t="shared" si="35"/>
        <v>0</v>
      </c>
      <c r="S288" s="752">
        <f t="shared" si="36"/>
        <v>0</v>
      </c>
      <c r="T288" s="754">
        <f t="shared" si="37"/>
        <v>0</v>
      </c>
      <c r="U288" s="859"/>
      <c r="V288" s="863"/>
      <c r="W288" s="859"/>
      <c r="X288" s="859"/>
      <c r="Y288" s="755">
        <f t="shared" si="38"/>
        <v>0</v>
      </c>
      <c r="Z288" s="864"/>
      <c r="AA288" s="863"/>
      <c r="AB288" s="756">
        <f t="shared" si="39"/>
        <v>0</v>
      </c>
      <c r="AC288" s="859"/>
      <c r="AD288" s="863"/>
      <c r="AE288" s="859"/>
      <c r="AF288" s="859"/>
      <c r="AG288" s="864"/>
      <c r="AH288" s="865"/>
      <c r="AI288" s="757">
        <f t="shared" si="40"/>
        <v>0</v>
      </c>
      <c r="AJ288" s="758">
        <f t="shared" si="41"/>
        <v>0</v>
      </c>
    </row>
    <row r="289" spans="1:36" ht="15" customHeight="1" x14ac:dyDescent="0.2">
      <c r="A289" s="843" t="s">
        <v>142</v>
      </c>
      <c r="B289" s="893" t="s">
        <v>219</v>
      </c>
      <c r="C289" s="891" t="s">
        <v>249</v>
      </c>
      <c r="D289" s="892"/>
      <c r="E289" s="884"/>
      <c r="F289" s="885"/>
      <c r="G289" s="859"/>
      <c r="H289" s="860"/>
      <c r="I289" s="861"/>
      <c r="J289" s="862"/>
      <c r="K289" s="859"/>
      <c r="L289" s="863"/>
      <c r="M289" s="861"/>
      <c r="N289" s="859"/>
      <c r="O289" s="752">
        <f t="shared" si="34"/>
        <v>0</v>
      </c>
      <c r="P289" s="862"/>
      <c r="Q289" s="860"/>
      <c r="R289" s="753">
        <f t="shared" si="35"/>
        <v>0</v>
      </c>
      <c r="S289" s="752">
        <f t="shared" si="36"/>
        <v>0</v>
      </c>
      <c r="T289" s="754">
        <f t="shared" si="37"/>
        <v>0</v>
      </c>
      <c r="U289" s="859"/>
      <c r="V289" s="863"/>
      <c r="W289" s="859"/>
      <c r="X289" s="859"/>
      <c r="Y289" s="755">
        <f t="shared" si="38"/>
        <v>0</v>
      </c>
      <c r="Z289" s="864"/>
      <c r="AA289" s="863"/>
      <c r="AB289" s="756">
        <f t="shared" si="39"/>
        <v>0</v>
      </c>
      <c r="AC289" s="859"/>
      <c r="AD289" s="863"/>
      <c r="AE289" s="859"/>
      <c r="AF289" s="859"/>
      <c r="AG289" s="864"/>
      <c r="AH289" s="865"/>
      <c r="AI289" s="757">
        <f t="shared" si="40"/>
        <v>0</v>
      </c>
      <c r="AJ289" s="758">
        <f t="shared" si="41"/>
        <v>0</v>
      </c>
    </row>
    <row r="290" spans="1:36" ht="15" customHeight="1" x14ac:dyDescent="0.2">
      <c r="A290" s="843" t="s">
        <v>142</v>
      </c>
      <c r="B290" s="844" t="s">
        <v>292</v>
      </c>
      <c r="C290" s="890" t="s">
        <v>578</v>
      </c>
      <c r="D290" s="845"/>
      <c r="E290" s="884"/>
      <c r="F290" s="885"/>
      <c r="G290" s="859"/>
      <c r="H290" s="860"/>
      <c r="I290" s="861"/>
      <c r="J290" s="862"/>
      <c r="K290" s="859"/>
      <c r="L290" s="863"/>
      <c r="M290" s="861"/>
      <c r="N290" s="859"/>
      <c r="O290" s="752">
        <f t="shared" si="34"/>
        <v>0</v>
      </c>
      <c r="P290" s="862"/>
      <c r="Q290" s="860"/>
      <c r="R290" s="753">
        <f t="shared" si="35"/>
        <v>0</v>
      </c>
      <c r="S290" s="752">
        <f t="shared" si="36"/>
        <v>0</v>
      </c>
      <c r="T290" s="754">
        <f t="shared" si="37"/>
        <v>0</v>
      </c>
      <c r="U290" s="859"/>
      <c r="V290" s="863"/>
      <c r="W290" s="859"/>
      <c r="X290" s="859"/>
      <c r="Y290" s="755">
        <f t="shared" si="38"/>
        <v>0</v>
      </c>
      <c r="Z290" s="864"/>
      <c r="AA290" s="863"/>
      <c r="AB290" s="756">
        <f t="shared" si="39"/>
        <v>0</v>
      </c>
      <c r="AC290" s="859"/>
      <c r="AD290" s="863"/>
      <c r="AE290" s="859"/>
      <c r="AF290" s="859"/>
      <c r="AG290" s="864"/>
      <c r="AH290" s="865"/>
      <c r="AI290" s="757">
        <f t="shared" si="40"/>
        <v>0</v>
      </c>
      <c r="AJ290" s="758">
        <f t="shared" si="41"/>
        <v>0</v>
      </c>
    </row>
    <row r="291" spans="1:36" ht="15" customHeight="1" x14ac:dyDescent="0.2">
      <c r="A291" s="843" t="s">
        <v>142</v>
      </c>
      <c r="B291" s="844" t="s">
        <v>310</v>
      </c>
      <c r="C291" s="891" t="s">
        <v>311</v>
      </c>
      <c r="D291" s="892"/>
      <c r="E291" s="884"/>
      <c r="F291" s="885"/>
      <c r="G291" s="859"/>
      <c r="H291" s="860"/>
      <c r="I291" s="861"/>
      <c r="J291" s="862"/>
      <c r="K291" s="859"/>
      <c r="L291" s="863"/>
      <c r="M291" s="861"/>
      <c r="N291" s="859"/>
      <c r="O291" s="752">
        <f t="shared" si="34"/>
        <v>0</v>
      </c>
      <c r="P291" s="862"/>
      <c r="Q291" s="860"/>
      <c r="R291" s="753">
        <f t="shared" si="35"/>
        <v>0</v>
      </c>
      <c r="S291" s="752">
        <f t="shared" si="36"/>
        <v>0</v>
      </c>
      <c r="T291" s="754">
        <f t="shared" si="37"/>
        <v>0</v>
      </c>
      <c r="U291" s="859"/>
      <c r="V291" s="863"/>
      <c r="W291" s="859"/>
      <c r="X291" s="859"/>
      <c r="Y291" s="755">
        <f t="shared" si="38"/>
        <v>0</v>
      </c>
      <c r="Z291" s="864"/>
      <c r="AA291" s="863"/>
      <c r="AB291" s="756">
        <f t="shared" si="39"/>
        <v>0</v>
      </c>
      <c r="AC291" s="859"/>
      <c r="AD291" s="863"/>
      <c r="AE291" s="859"/>
      <c r="AF291" s="859"/>
      <c r="AG291" s="864"/>
      <c r="AH291" s="865"/>
      <c r="AI291" s="757">
        <f t="shared" si="40"/>
        <v>0</v>
      </c>
      <c r="AJ291" s="758">
        <f t="shared" si="41"/>
        <v>0</v>
      </c>
    </row>
    <row r="292" spans="1:36" ht="15" customHeight="1" x14ac:dyDescent="0.2">
      <c r="A292" s="843" t="s">
        <v>142</v>
      </c>
      <c r="B292" s="844" t="s">
        <v>251</v>
      </c>
      <c r="C292" s="891" t="s">
        <v>249</v>
      </c>
      <c r="D292" s="892"/>
      <c r="E292" s="884"/>
      <c r="F292" s="885"/>
      <c r="G292" s="859"/>
      <c r="H292" s="860"/>
      <c r="I292" s="861"/>
      <c r="J292" s="862"/>
      <c r="K292" s="859"/>
      <c r="L292" s="863"/>
      <c r="M292" s="861"/>
      <c r="N292" s="859"/>
      <c r="O292" s="752">
        <f t="shared" si="34"/>
        <v>0</v>
      </c>
      <c r="P292" s="862"/>
      <c r="Q292" s="860"/>
      <c r="R292" s="753">
        <f t="shared" si="35"/>
        <v>0</v>
      </c>
      <c r="S292" s="752">
        <f t="shared" si="36"/>
        <v>0</v>
      </c>
      <c r="T292" s="754">
        <f t="shared" si="37"/>
        <v>0</v>
      </c>
      <c r="U292" s="859">
        <v>191166</v>
      </c>
      <c r="V292" s="863">
        <v>191166</v>
      </c>
      <c r="W292" s="859"/>
      <c r="X292" s="859"/>
      <c r="Y292" s="755">
        <f t="shared" si="38"/>
        <v>0</v>
      </c>
      <c r="Z292" s="864"/>
      <c r="AA292" s="863"/>
      <c r="AB292" s="756">
        <f t="shared" si="39"/>
        <v>0</v>
      </c>
      <c r="AC292" s="859"/>
      <c r="AD292" s="863"/>
      <c r="AE292" s="859"/>
      <c r="AF292" s="859"/>
      <c r="AG292" s="864"/>
      <c r="AH292" s="865"/>
      <c r="AI292" s="757">
        <f t="shared" si="40"/>
        <v>191166</v>
      </c>
      <c r="AJ292" s="758">
        <f t="shared" si="41"/>
        <v>191166</v>
      </c>
    </row>
    <row r="293" spans="1:36" ht="15" customHeight="1" x14ac:dyDescent="0.2">
      <c r="A293" s="843" t="s">
        <v>142</v>
      </c>
      <c r="B293" s="893" t="s">
        <v>209</v>
      </c>
      <c r="C293" s="891" t="s">
        <v>576</v>
      </c>
      <c r="D293" s="892"/>
      <c r="E293" s="884"/>
      <c r="F293" s="885"/>
      <c r="G293" s="859"/>
      <c r="H293" s="860"/>
      <c r="I293" s="861"/>
      <c r="J293" s="862"/>
      <c r="K293" s="859"/>
      <c r="L293" s="863"/>
      <c r="M293" s="861"/>
      <c r="N293" s="859"/>
      <c r="O293" s="752">
        <f t="shared" si="34"/>
        <v>0</v>
      </c>
      <c r="P293" s="862"/>
      <c r="Q293" s="860"/>
      <c r="R293" s="753">
        <f t="shared" si="35"/>
        <v>0</v>
      </c>
      <c r="S293" s="752">
        <f t="shared" si="36"/>
        <v>0</v>
      </c>
      <c r="T293" s="754">
        <f t="shared" si="37"/>
        <v>0</v>
      </c>
      <c r="U293" s="859"/>
      <c r="V293" s="863"/>
      <c r="W293" s="859"/>
      <c r="X293" s="859"/>
      <c r="Y293" s="755">
        <f t="shared" si="38"/>
        <v>0</v>
      </c>
      <c r="Z293" s="864"/>
      <c r="AA293" s="863"/>
      <c r="AB293" s="756">
        <f t="shared" si="39"/>
        <v>0</v>
      </c>
      <c r="AC293" s="859"/>
      <c r="AD293" s="863"/>
      <c r="AE293" s="859"/>
      <c r="AF293" s="859"/>
      <c r="AG293" s="864"/>
      <c r="AH293" s="865"/>
      <c r="AI293" s="757">
        <f t="shared" si="40"/>
        <v>0</v>
      </c>
      <c r="AJ293" s="758">
        <f t="shared" si="41"/>
        <v>0</v>
      </c>
    </row>
    <row r="294" spans="1:36" ht="15" customHeight="1" x14ac:dyDescent="0.2">
      <c r="A294" s="843" t="s">
        <v>142</v>
      </c>
      <c r="B294" s="893" t="s">
        <v>210</v>
      </c>
      <c r="C294" s="891" t="s">
        <v>311</v>
      </c>
      <c r="D294" s="892"/>
      <c r="E294" s="884"/>
      <c r="F294" s="885"/>
      <c r="G294" s="859"/>
      <c r="H294" s="860"/>
      <c r="I294" s="861"/>
      <c r="J294" s="862"/>
      <c r="K294" s="859"/>
      <c r="L294" s="863"/>
      <c r="M294" s="861"/>
      <c r="N294" s="859"/>
      <c r="O294" s="752">
        <f t="shared" si="34"/>
        <v>0</v>
      </c>
      <c r="P294" s="862"/>
      <c r="Q294" s="860"/>
      <c r="R294" s="753">
        <f t="shared" si="35"/>
        <v>0</v>
      </c>
      <c r="S294" s="752">
        <f t="shared" si="36"/>
        <v>0</v>
      </c>
      <c r="T294" s="754">
        <f t="shared" si="37"/>
        <v>0</v>
      </c>
      <c r="U294" s="859"/>
      <c r="V294" s="863"/>
      <c r="W294" s="859"/>
      <c r="X294" s="859"/>
      <c r="Y294" s="755">
        <f t="shared" si="38"/>
        <v>0</v>
      </c>
      <c r="Z294" s="864"/>
      <c r="AA294" s="863"/>
      <c r="AB294" s="756">
        <f t="shared" si="39"/>
        <v>0</v>
      </c>
      <c r="AC294" s="859"/>
      <c r="AD294" s="863"/>
      <c r="AE294" s="859"/>
      <c r="AF294" s="859"/>
      <c r="AG294" s="864"/>
      <c r="AH294" s="865"/>
      <c r="AI294" s="757">
        <f t="shared" si="40"/>
        <v>0</v>
      </c>
      <c r="AJ294" s="758">
        <f t="shared" si="41"/>
        <v>0</v>
      </c>
    </row>
    <row r="295" spans="1:36" ht="15" customHeight="1" x14ac:dyDescent="0.2">
      <c r="A295" s="843" t="s">
        <v>142</v>
      </c>
      <c r="B295" s="893" t="s">
        <v>204</v>
      </c>
      <c r="C295" s="891" t="s">
        <v>249</v>
      </c>
      <c r="D295" s="892"/>
      <c r="E295" s="884"/>
      <c r="F295" s="885"/>
      <c r="G295" s="859"/>
      <c r="H295" s="860"/>
      <c r="I295" s="861"/>
      <c r="J295" s="862"/>
      <c r="K295" s="859"/>
      <c r="L295" s="863"/>
      <c r="M295" s="861"/>
      <c r="N295" s="859"/>
      <c r="O295" s="752">
        <f t="shared" si="34"/>
        <v>0</v>
      </c>
      <c r="P295" s="862"/>
      <c r="Q295" s="860"/>
      <c r="R295" s="753">
        <f t="shared" si="35"/>
        <v>0</v>
      </c>
      <c r="S295" s="752">
        <f t="shared" si="36"/>
        <v>0</v>
      </c>
      <c r="T295" s="754">
        <f t="shared" si="37"/>
        <v>0</v>
      </c>
      <c r="U295" s="859"/>
      <c r="V295" s="863"/>
      <c r="W295" s="859"/>
      <c r="X295" s="859"/>
      <c r="Y295" s="755">
        <f t="shared" si="38"/>
        <v>0</v>
      </c>
      <c r="Z295" s="864"/>
      <c r="AA295" s="863"/>
      <c r="AB295" s="756">
        <f t="shared" si="39"/>
        <v>0</v>
      </c>
      <c r="AC295" s="859"/>
      <c r="AD295" s="863"/>
      <c r="AE295" s="859"/>
      <c r="AF295" s="859"/>
      <c r="AG295" s="864"/>
      <c r="AH295" s="865"/>
      <c r="AI295" s="757">
        <f t="shared" si="40"/>
        <v>0</v>
      </c>
      <c r="AJ295" s="758">
        <f t="shared" si="41"/>
        <v>0</v>
      </c>
    </row>
    <row r="296" spans="1:36" ht="15" customHeight="1" x14ac:dyDescent="0.2">
      <c r="A296" s="843" t="s">
        <v>142</v>
      </c>
      <c r="B296" s="893" t="s">
        <v>205</v>
      </c>
      <c r="C296" s="891" t="s">
        <v>577</v>
      </c>
      <c r="D296" s="892"/>
      <c r="E296" s="884"/>
      <c r="F296" s="885"/>
      <c r="G296" s="859"/>
      <c r="H296" s="860"/>
      <c r="I296" s="861"/>
      <c r="J296" s="862"/>
      <c r="K296" s="859"/>
      <c r="L296" s="863"/>
      <c r="M296" s="861"/>
      <c r="N296" s="859"/>
      <c r="O296" s="752">
        <f t="shared" si="34"/>
        <v>0</v>
      </c>
      <c r="P296" s="862"/>
      <c r="Q296" s="860"/>
      <c r="R296" s="753">
        <f t="shared" si="35"/>
        <v>0</v>
      </c>
      <c r="S296" s="752">
        <f t="shared" si="36"/>
        <v>0</v>
      </c>
      <c r="T296" s="754">
        <f t="shared" si="37"/>
        <v>0</v>
      </c>
      <c r="U296" s="859"/>
      <c r="V296" s="863"/>
      <c r="W296" s="859"/>
      <c r="X296" s="859"/>
      <c r="Y296" s="755">
        <f t="shared" si="38"/>
        <v>0</v>
      </c>
      <c r="Z296" s="864"/>
      <c r="AA296" s="863"/>
      <c r="AB296" s="756">
        <f t="shared" si="39"/>
        <v>0</v>
      </c>
      <c r="AC296" s="859"/>
      <c r="AD296" s="863"/>
      <c r="AE296" s="859"/>
      <c r="AF296" s="859"/>
      <c r="AG296" s="864"/>
      <c r="AH296" s="865"/>
      <c r="AI296" s="757">
        <f t="shared" si="40"/>
        <v>0</v>
      </c>
      <c r="AJ296" s="758">
        <f t="shared" si="41"/>
        <v>0</v>
      </c>
    </row>
    <row r="297" spans="1:36" ht="15" customHeight="1" x14ac:dyDescent="0.2">
      <c r="A297" s="843" t="s">
        <v>142</v>
      </c>
      <c r="B297" s="893" t="s">
        <v>218</v>
      </c>
      <c r="C297" s="891" t="s">
        <v>311</v>
      </c>
      <c r="D297" s="892"/>
      <c r="E297" s="884"/>
      <c r="F297" s="885"/>
      <c r="G297" s="859"/>
      <c r="H297" s="860"/>
      <c r="I297" s="861"/>
      <c r="J297" s="862"/>
      <c r="K297" s="859"/>
      <c r="L297" s="863"/>
      <c r="M297" s="861"/>
      <c r="N297" s="859"/>
      <c r="O297" s="752">
        <f t="shared" si="34"/>
        <v>0</v>
      </c>
      <c r="P297" s="862"/>
      <c r="Q297" s="860"/>
      <c r="R297" s="753">
        <f t="shared" si="35"/>
        <v>0</v>
      </c>
      <c r="S297" s="752">
        <f t="shared" si="36"/>
        <v>0</v>
      </c>
      <c r="T297" s="754">
        <f t="shared" si="37"/>
        <v>0</v>
      </c>
      <c r="U297" s="859"/>
      <c r="V297" s="863"/>
      <c r="W297" s="859"/>
      <c r="X297" s="859"/>
      <c r="Y297" s="755">
        <f t="shared" si="38"/>
        <v>0</v>
      </c>
      <c r="Z297" s="864"/>
      <c r="AA297" s="863"/>
      <c r="AB297" s="756">
        <f t="shared" si="39"/>
        <v>0</v>
      </c>
      <c r="AC297" s="859"/>
      <c r="AD297" s="863"/>
      <c r="AE297" s="859"/>
      <c r="AF297" s="859"/>
      <c r="AG297" s="864"/>
      <c r="AH297" s="865"/>
      <c r="AI297" s="757">
        <f t="shared" si="40"/>
        <v>0</v>
      </c>
      <c r="AJ297" s="758">
        <f t="shared" si="41"/>
        <v>0</v>
      </c>
    </row>
    <row r="298" spans="1:36" ht="15" customHeight="1" x14ac:dyDescent="0.2">
      <c r="A298" s="843" t="s">
        <v>142</v>
      </c>
      <c r="B298" s="893" t="s">
        <v>219</v>
      </c>
      <c r="C298" s="891" t="s">
        <v>249</v>
      </c>
      <c r="D298" s="892"/>
      <c r="E298" s="884"/>
      <c r="F298" s="885"/>
      <c r="G298" s="859"/>
      <c r="H298" s="860"/>
      <c r="I298" s="861"/>
      <c r="J298" s="862"/>
      <c r="K298" s="859"/>
      <c r="L298" s="863"/>
      <c r="M298" s="861"/>
      <c r="N298" s="859"/>
      <c r="O298" s="752">
        <f t="shared" si="34"/>
        <v>0</v>
      </c>
      <c r="P298" s="862"/>
      <c r="Q298" s="860"/>
      <c r="R298" s="753">
        <f t="shared" si="35"/>
        <v>0</v>
      </c>
      <c r="S298" s="752">
        <f t="shared" si="36"/>
        <v>0</v>
      </c>
      <c r="T298" s="754">
        <f t="shared" si="37"/>
        <v>0</v>
      </c>
      <c r="U298" s="859"/>
      <c r="V298" s="863"/>
      <c r="W298" s="859"/>
      <c r="X298" s="859"/>
      <c r="Y298" s="755">
        <f t="shared" si="38"/>
        <v>0</v>
      </c>
      <c r="Z298" s="864"/>
      <c r="AA298" s="863"/>
      <c r="AB298" s="756">
        <f t="shared" si="39"/>
        <v>0</v>
      </c>
      <c r="AC298" s="859"/>
      <c r="AD298" s="863"/>
      <c r="AE298" s="859"/>
      <c r="AF298" s="859"/>
      <c r="AG298" s="864"/>
      <c r="AH298" s="865"/>
      <c r="AI298" s="757">
        <f t="shared" si="40"/>
        <v>0</v>
      </c>
      <c r="AJ298" s="758">
        <f t="shared" si="41"/>
        <v>0</v>
      </c>
    </row>
    <row r="299" spans="1:36" x14ac:dyDescent="0.2">
      <c r="A299" s="843" t="s">
        <v>142</v>
      </c>
      <c r="B299" s="844" t="s">
        <v>292</v>
      </c>
      <c r="C299" s="890" t="s">
        <v>579</v>
      </c>
      <c r="D299" s="845"/>
      <c r="E299" s="884"/>
      <c r="F299" s="885"/>
      <c r="G299" s="859"/>
      <c r="H299" s="860"/>
      <c r="I299" s="861"/>
      <c r="J299" s="862"/>
      <c r="K299" s="859"/>
      <c r="L299" s="863"/>
      <c r="M299" s="861"/>
      <c r="N299" s="859"/>
      <c r="O299" s="752">
        <f t="shared" si="34"/>
        <v>0</v>
      </c>
      <c r="P299" s="862"/>
      <c r="Q299" s="860"/>
      <c r="R299" s="753">
        <f t="shared" si="35"/>
        <v>0</v>
      </c>
      <c r="S299" s="752">
        <f t="shared" si="36"/>
        <v>0</v>
      </c>
      <c r="T299" s="754">
        <f t="shared" si="37"/>
        <v>0</v>
      </c>
      <c r="U299" s="859"/>
      <c r="V299" s="863"/>
      <c r="W299" s="859"/>
      <c r="X299" s="859"/>
      <c r="Y299" s="755">
        <f t="shared" si="38"/>
        <v>0</v>
      </c>
      <c r="Z299" s="864"/>
      <c r="AA299" s="863"/>
      <c r="AB299" s="756">
        <f t="shared" si="39"/>
        <v>0</v>
      </c>
      <c r="AC299" s="859"/>
      <c r="AD299" s="863"/>
      <c r="AE299" s="859"/>
      <c r="AF299" s="859"/>
      <c r="AG299" s="864"/>
      <c r="AH299" s="865"/>
      <c r="AI299" s="757">
        <f t="shared" si="40"/>
        <v>0</v>
      </c>
      <c r="AJ299" s="758">
        <f t="shared" si="41"/>
        <v>0</v>
      </c>
    </row>
    <row r="300" spans="1:36" x14ac:dyDescent="0.2">
      <c r="A300" s="843" t="s">
        <v>142</v>
      </c>
      <c r="B300" s="844" t="s">
        <v>310</v>
      </c>
      <c r="C300" s="891" t="s">
        <v>311</v>
      </c>
      <c r="D300" s="892"/>
      <c r="E300" s="884"/>
      <c r="F300" s="885"/>
      <c r="G300" s="859"/>
      <c r="H300" s="860"/>
      <c r="I300" s="861"/>
      <c r="J300" s="862"/>
      <c r="K300" s="859"/>
      <c r="L300" s="863"/>
      <c r="M300" s="861"/>
      <c r="N300" s="859"/>
      <c r="O300" s="752">
        <f t="shared" si="34"/>
        <v>0</v>
      </c>
      <c r="P300" s="862"/>
      <c r="Q300" s="860"/>
      <c r="R300" s="753">
        <f t="shared" si="35"/>
        <v>0</v>
      </c>
      <c r="S300" s="752">
        <f t="shared" si="36"/>
        <v>0</v>
      </c>
      <c r="T300" s="754">
        <f t="shared" si="37"/>
        <v>0</v>
      </c>
      <c r="U300" s="859"/>
      <c r="V300" s="863"/>
      <c r="W300" s="859"/>
      <c r="X300" s="859"/>
      <c r="Y300" s="755">
        <f t="shared" si="38"/>
        <v>0</v>
      </c>
      <c r="Z300" s="864"/>
      <c r="AA300" s="863"/>
      <c r="AB300" s="756">
        <f t="shared" si="39"/>
        <v>0</v>
      </c>
      <c r="AC300" s="859"/>
      <c r="AD300" s="863"/>
      <c r="AE300" s="859"/>
      <c r="AF300" s="859"/>
      <c r="AG300" s="864"/>
      <c r="AH300" s="865"/>
      <c r="AI300" s="757">
        <f t="shared" si="40"/>
        <v>0</v>
      </c>
      <c r="AJ300" s="758">
        <f t="shared" si="41"/>
        <v>0</v>
      </c>
    </row>
    <row r="301" spans="1:36" x14ac:dyDescent="0.2">
      <c r="A301" s="843" t="s">
        <v>142</v>
      </c>
      <c r="B301" s="844" t="s">
        <v>251</v>
      </c>
      <c r="C301" s="891" t="s">
        <v>249</v>
      </c>
      <c r="D301" s="892"/>
      <c r="E301" s="884"/>
      <c r="F301" s="885"/>
      <c r="G301" s="859"/>
      <c r="H301" s="860"/>
      <c r="I301" s="861"/>
      <c r="J301" s="862"/>
      <c r="K301" s="859"/>
      <c r="L301" s="863"/>
      <c r="M301" s="861"/>
      <c r="N301" s="859"/>
      <c r="O301" s="752">
        <f t="shared" si="34"/>
        <v>0</v>
      </c>
      <c r="P301" s="862"/>
      <c r="Q301" s="860"/>
      <c r="R301" s="753">
        <f t="shared" si="35"/>
        <v>0</v>
      </c>
      <c r="S301" s="752">
        <f t="shared" si="36"/>
        <v>0</v>
      </c>
      <c r="T301" s="754">
        <f t="shared" si="37"/>
        <v>0</v>
      </c>
      <c r="U301" s="859">
        <v>107282</v>
      </c>
      <c r="V301" s="863">
        <v>107282</v>
      </c>
      <c r="W301" s="859"/>
      <c r="X301" s="859"/>
      <c r="Y301" s="755">
        <f t="shared" si="38"/>
        <v>0</v>
      </c>
      <c r="Z301" s="864"/>
      <c r="AA301" s="863"/>
      <c r="AB301" s="756">
        <f t="shared" si="39"/>
        <v>0</v>
      </c>
      <c r="AC301" s="859"/>
      <c r="AD301" s="863"/>
      <c r="AE301" s="859"/>
      <c r="AF301" s="859"/>
      <c r="AG301" s="864"/>
      <c r="AH301" s="865"/>
      <c r="AI301" s="757">
        <f t="shared" si="40"/>
        <v>107282</v>
      </c>
      <c r="AJ301" s="758">
        <f t="shared" si="41"/>
        <v>107282</v>
      </c>
    </row>
    <row r="302" spans="1:36" x14ac:dyDescent="0.2">
      <c r="A302" s="843" t="s">
        <v>142</v>
      </c>
      <c r="B302" s="893" t="s">
        <v>209</v>
      </c>
      <c r="C302" s="891" t="s">
        <v>576</v>
      </c>
      <c r="D302" s="892"/>
      <c r="E302" s="884"/>
      <c r="F302" s="885"/>
      <c r="G302" s="859"/>
      <c r="H302" s="860"/>
      <c r="I302" s="861"/>
      <c r="J302" s="862"/>
      <c r="K302" s="859"/>
      <c r="L302" s="863"/>
      <c r="M302" s="861"/>
      <c r="N302" s="859"/>
      <c r="O302" s="752">
        <f t="shared" si="34"/>
        <v>0</v>
      </c>
      <c r="P302" s="862"/>
      <c r="Q302" s="860"/>
      <c r="R302" s="753">
        <f t="shared" si="35"/>
        <v>0</v>
      </c>
      <c r="S302" s="752">
        <f t="shared" si="36"/>
        <v>0</v>
      </c>
      <c r="T302" s="754">
        <f t="shared" si="37"/>
        <v>0</v>
      </c>
      <c r="U302" s="859"/>
      <c r="V302" s="863"/>
      <c r="W302" s="859"/>
      <c r="X302" s="859"/>
      <c r="Y302" s="755">
        <f t="shared" si="38"/>
        <v>0</v>
      </c>
      <c r="Z302" s="864"/>
      <c r="AA302" s="863"/>
      <c r="AB302" s="756">
        <f t="shared" si="39"/>
        <v>0</v>
      </c>
      <c r="AC302" s="859"/>
      <c r="AD302" s="863"/>
      <c r="AE302" s="859"/>
      <c r="AF302" s="859"/>
      <c r="AG302" s="864"/>
      <c r="AH302" s="865"/>
      <c r="AI302" s="757">
        <f t="shared" si="40"/>
        <v>0</v>
      </c>
      <c r="AJ302" s="758">
        <f t="shared" si="41"/>
        <v>0</v>
      </c>
    </row>
    <row r="303" spans="1:36" x14ac:dyDescent="0.2">
      <c r="A303" s="843" t="s">
        <v>142</v>
      </c>
      <c r="B303" s="893" t="s">
        <v>210</v>
      </c>
      <c r="C303" s="891" t="s">
        <v>311</v>
      </c>
      <c r="D303" s="892"/>
      <c r="E303" s="884"/>
      <c r="F303" s="885"/>
      <c r="G303" s="859"/>
      <c r="H303" s="860"/>
      <c r="I303" s="861"/>
      <c r="J303" s="862"/>
      <c r="K303" s="859"/>
      <c r="L303" s="863"/>
      <c r="M303" s="861"/>
      <c r="N303" s="859"/>
      <c r="O303" s="752">
        <f t="shared" si="34"/>
        <v>0</v>
      </c>
      <c r="P303" s="862"/>
      <c r="Q303" s="860"/>
      <c r="R303" s="753">
        <f t="shared" si="35"/>
        <v>0</v>
      </c>
      <c r="S303" s="752">
        <f t="shared" si="36"/>
        <v>0</v>
      </c>
      <c r="T303" s="754">
        <f t="shared" si="37"/>
        <v>0</v>
      </c>
      <c r="U303" s="859"/>
      <c r="V303" s="863"/>
      <c r="W303" s="859"/>
      <c r="X303" s="859"/>
      <c r="Y303" s="755">
        <f t="shared" si="38"/>
        <v>0</v>
      </c>
      <c r="Z303" s="864"/>
      <c r="AA303" s="863"/>
      <c r="AB303" s="756">
        <f t="shared" si="39"/>
        <v>0</v>
      </c>
      <c r="AC303" s="859"/>
      <c r="AD303" s="863"/>
      <c r="AE303" s="859"/>
      <c r="AF303" s="859"/>
      <c r="AG303" s="864"/>
      <c r="AH303" s="865"/>
      <c r="AI303" s="757">
        <f t="shared" si="40"/>
        <v>0</v>
      </c>
      <c r="AJ303" s="758">
        <f t="shared" si="41"/>
        <v>0</v>
      </c>
    </row>
    <row r="304" spans="1:36" x14ac:dyDescent="0.2">
      <c r="A304" s="843" t="s">
        <v>142</v>
      </c>
      <c r="B304" s="893" t="s">
        <v>204</v>
      </c>
      <c r="C304" s="891" t="s">
        <v>249</v>
      </c>
      <c r="D304" s="892"/>
      <c r="E304" s="884"/>
      <c r="F304" s="885"/>
      <c r="G304" s="859"/>
      <c r="H304" s="860"/>
      <c r="I304" s="861"/>
      <c r="J304" s="862"/>
      <c r="K304" s="859"/>
      <c r="L304" s="863"/>
      <c r="M304" s="861"/>
      <c r="N304" s="859"/>
      <c r="O304" s="752">
        <f t="shared" si="34"/>
        <v>0</v>
      </c>
      <c r="P304" s="862"/>
      <c r="Q304" s="860"/>
      <c r="R304" s="753">
        <f t="shared" si="35"/>
        <v>0</v>
      </c>
      <c r="S304" s="752">
        <f t="shared" si="36"/>
        <v>0</v>
      </c>
      <c r="T304" s="754">
        <f t="shared" si="37"/>
        <v>0</v>
      </c>
      <c r="U304" s="859"/>
      <c r="V304" s="863"/>
      <c r="W304" s="859"/>
      <c r="X304" s="859"/>
      <c r="Y304" s="755">
        <f t="shared" si="38"/>
        <v>0</v>
      </c>
      <c r="Z304" s="864"/>
      <c r="AA304" s="863"/>
      <c r="AB304" s="756">
        <f t="shared" si="39"/>
        <v>0</v>
      </c>
      <c r="AC304" s="859"/>
      <c r="AD304" s="863"/>
      <c r="AE304" s="859"/>
      <c r="AF304" s="859"/>
      <c r="AG304" s="864"/>
      <c r="AH304" s="865"/>
      <c r="AI304" s="757">
        <f t="shared" si="40"/>
        <v>0</v>
      </c>
      <c r="AJ304" s="758">
        <f t="shared" si="41"/>
        <v>0</v>
      </c>
    </row>
    <row r="305" spans="1:36" x14ac:dyDescent="0.2">
      <c r="A305" s="843" t="s">
        <v>142</v>
      </c>
      <c r="B305" s="893" t="s">
        <v>205</v>
      </c>
      <c r="C305" s="891" t="s">
        <v>577</v>
      </c>
      <c r="D305" s="892"/>
      <c r="E305" s="884"/>
      <c r="F305" s="885"/>
      <c r="G305" s="859"/>
      <c r="H305" s="860"/>
      <c r="I305" s="861"/>
      <c r="J305" s="862"/>
      <c r="K305" s="859"/>
      <c r="L305" s="863"/>
      <c r="M305" s="861"/>
      <c r="N305" s="859"/>
      <c r="O305" s="752">
        <f t="shared" si="34"/>
        <v>0</v>
      </c>
      <c r="P305" s="862"/>
      <c r="Q305" s="860"/>
      <c r="R305" s="753">
        <f t="shared" si="35"/>
        <v>0</v>
      </c>
      <c r="S305" s="752">
        <f t="shared" si="36"/>
        <v>0</v>
      </c>
      <c r="T305" s="754">
        <f t="shared" si="37"/>
        <v>0</v>
      </c>
      <c r="U305" s="859"/>
      <c r="V305" s="863"/>
      <c r="W305" s="859"/>
      <c r="X305" s="859"/>
      <c r="Y305" s="755">
        <f t="shared" si="38"/>
        <v>0</v>
      </c>
      <c r="Z305" s="864"/>
      <c r="AA305" s="863"/>
      <c r="AB305" s="756">
        <f t="shared" si="39"/>
        <v>0</v>
      </c>
      <c r="AC305" s="859"/>
      <c r="AD305" s="863"/>
      <c r="AE305" s="859"/>
      <c r="AF305" s="859"/>
      <c r="AG305" s="864"/>
      <c r="AH305" s="865"/>
      <c r="AI305" s="757">
        <f t="shared" si="40"/>
        <v>0</v>
      </c>
      <c r="AJ305" s="758">
        <f t="shared" si="41"/>
        <v>0</v>
      </c>
    </row>
    <row r="306" spans="1:36" x14ac:dyDescent="0.2">
      <c r="A306" s="843" t="s">
        <v>142</v>
      </c>
      <c r="B306" s="893" t="s">
        <v>218</v>
      </c>
      <c r="C306" s="891" t="s">
        <v>311</v>
      </c>
      <c r="D306" s="892"/>
      <c r="E306" s="884"/>
      <c r="F306" s="885"/>
      <c r="G306" s="859"/>
      <c r="H306" s="860"/>
      <c r="I306" s="861"/>
      <c r="J306" s="862"/>
      <c r="K306" s="859"/>
      <c r="L306" s="863"/>
      <c r="M306" s="861"/>
      <c r="N306" s="859"/>
      <c r="O306" s="752">
        <f t="shared" si="34"/>
        <v>0</v>
      </c>
      <c r="P306" s="862"/>
      <c r="Q306" s="860"/>
      <c r="R306" s="753">
        <f t="shared" si="35"/>
        <v>0</v>
      </c>
      <c r="S306" s="752">
        <f t="shared" si="36"/>
        <v>0</v>
      </c>
      <c r="T306" s="754">
        <f t="shared" si="37"/>
        <v>0</v>
      </c>
      <c r="U306" s="859"/>
      <c r="V306" s="863"/>
      <c r="W306" s="859"/>
      <c r="X306" s="859"/>
      <c r="Y306" s="755">
        <f t="shared" si="38"/>
        <v>0</v>
      </c>
      <c r="Z306" s="864"/>
      <c r="AA306" s="863"/>
      <c r="AB306" s="756">
        <f t="shared" si="39"/>
        <v>0</v>
      </c>
      <c r="AC306" s="859"/>
      <c r="AD306" s="863"/>
      <c r="AE306" s="859"/>
      <c r="AF306" s="859"/>
      <c r="AG306" s="864"/>
      <c r="AH306" s="865"/>
      <c r="AI306" s="757">
        <f t="shared" si="40"/>
        <v>0</v>
      </c>
      <c r="AJ306" s="758">
        <f t="shared" si="41"/>
        <v>0</v>
      </c>
    </row>
    <row r="307" spans="1:36" x14ac:dyDescent="0.2">
      <c r="A307" s="843" t="s">
        <v>142</v>
      </c>
      <c r="B307" s="893" t="s">
        <v>219</v>
      </c>
      <c r="C307" s="891" t="s">
        <v>249</v>
      </c>
      <c r="D307" s="892"/>
      <c r="E307" s="884"/>
      <c r="F307" s="885"/>
      <c r="G307" s="859"/>
      <c r="H307" s="860"/>
      <c r="I307" s="861"/>
      <c r="J307" s="862"/>
      <c r="K307" s="859"/>
      <c r="L307" s="863"/>
      <c r="M307" s="861"/>
      <c r="N307" s="859"/>
      <c r="O307" s="752">
        <f t="shared" si="34"/>
        <v>0</v>
      </c>
      <c r="P307" s="862"/>
      <c r="Q307" s="860"/>
      <c r="R307" s="753">
        <f t="shared" si="35"/>
        <v>0</v>
      </c>
      <c r="S307" s="752">
        <f t="shared" si="36"/>
        <v>0</v>
      </c>
      <c r="T307" s="754">
        <f t="shared" si="37"/>
        <v>0</v>
      </c>
      <c r="U307" s="859"/>
      <c r="V307" s="863"/>
      <c r="W307" s="859"/>
      <c r="X307" s="859"/>
      <c r="Y307" s="755">
        <f t="shared" si="38"/>
        <v>0</v>
      </c>
      <c r="Z307" s="864"/>
      <c r="AA307" s="863"/>
      <c r="AB307" s="756">
        <f t="shared" si="39"/>
        <v>0</v>
      </c>
      <c r="AC307" s="859"/>
      <c r="AD307" s="863"/>
      <c r="AE307" s="859"/>
      <c r="AF307" s="859"/>
      <c r="AG307" s="864"/>
      <c r="AH307" s="865"/>
      <c r="AI307" s="757">
        <f t="shared" si="40"/>
        <v>0</v>
      </c>
      <c r="AJ307" s="758">
        <f t="shared" si="41"/>
        <v>0</v>
      </c>
    </row>
    <row r="308" spans="1:36" x14ac:dyDescent="0.2">
      <c r="A308" s="843" t="s">
        <v>142</v>
      </c>
      <c r="B308" s="844" t="s">
        <v>292</v>
      </c>
      <c r="C308" s="890" t="s">
        <v>580</v>
      </c>
      <c r="D308" s="845"/>
      <c r="E308" s="884"/>
      <c r="F308" s="885"/>
      <c r="G308" s="859"/>
      <c r="H308" s="860"/>
      <c r="I308" s="861"/>
      <c r="J308" s="862"/>
      <c r="K308" s="859"/>
      <c r="L308" s="863"/>
      <c r="M308" s="861"/>
      <c r="N308" s="859"/>
      <c r="O308" s="752">
        <f t="shared" si="34"/>
        <v>0</v>
      </c>
      <c r="P308" s="862"/>
      <c r="Q308" s="860"/>
      <c r="R308" s="753">
        <f t="shared" si="35"/>
        <v>0</v>
      </c>
      <c r="S308" s="752">
        <f t="shared" si="36"/>
        <v>0</v>
      </c>
      <c r="T308" s="754">
        <f t="shared" si="37"/>
        <v>0</v>
      </c>
      <c r="U308" s="859"/>
      <c r="V308" s="863"/>
      <c r="W308" s="859"/>
      <c r="X308" s="859"/>
      <c r="Y308" s="755">
        <f t="shared" si="38"/>
        <v>0</v>
      </c>
      <c r="Z308" s="864"/>
      <c r="AA308" s="863"/>
      <c r="AB308" s="756">
        <f t="shared" si="39"/>
        <v>0</v>
      </c>
      <c r="AC308" s="859"/>
      <c r="AD308" s="863"/>
      <c r="AE308" s="859"/>
      <c r="AF308" s="859"/>
      <c r="AG308" s="864"/>
      <c r="AH308" s="865"/>
      <c r="AI308" s="757">
        <f t="shared" si="40"/>
        <v>0</v>
      </c>
      <c r="AJ308" s="758">
        <f t="shared" si="41"/>
        <v>0</v>
      </c>
    </row>
    <row r="309" spans="1:36" x14ac:dyDescent="0.2">
      <c r="A309" s="843" t="s">
        <v>142</v>
      </c>
      <c r="B309" s="844" t="s">
        <v>310</v>
      </c>
      <c r="C309" s="891" t="s">
        <v>311</v>
      </c>
      <c r="D309" s="892"/>
      <c r="E309" s="884"/>
      <c r="F309" s="885"/>
      <c r="G309" s="859"/>
      <c r="H309" s="860"/>
      <c r="I309" s="861"/>
      <c r="J309" s="862"/>
      <c r="K309" s="859"/>
      <c r="L309" s="863"/>
      <c r="M309" s="861"/>
      <c r="N309" s="859"/>
      <c r="O309" s="752">
        <f t="shared" si="34"/>
        <v>0</v>
      </c>
      <c r="P309" s="862"/>
      <c r="Q309" s="860"/>
      <c r="R309" s="753">
        <f t="shared" si="35"/>
        <v>0</v>
      </c>
      <c r="S309" s="752">
        <f t="shared" si="36"/>
        <v>0</v>
      </c>
      <c r="T309" s="754">
        <f t="shared" si="37"/>
        <v>0</v>
      </c>
      <c r="U309" s="859"/>
      <c r="V309" s="863"/>
      <c r="W309" s="859"/>
      <c r="X309" s="859"/>
      <c r="Y309" s="755">
        <f t="shared" si="38"/>
        <v>0</v>
      </c>
      <c r="Z309" s="864"/>
      <c r="AA309" s="863"/>
      <c r="AB309" s="756">
        <f t="shared" si="39"/>
        <v>0</v>
      </c>
      <c r="AC309" s="859"/>
      <c r="AD309" s="863"/>
      <c r="AE309" s="859"/>
      <c r="AF309" s="859"/>
      <c r="AG309" s="864"/>
      <c r="AH309" s="865"/>
      <c r="AI309" s="757">
        <f t="shared" si="40"/>
        <v>0</v>
      </c>
      <c r="AJ309" s="758">
        <f t="shared" si="41"/>
        <v>0</v>
      </c>
    </row>
    <row r="310" spans="1:36" x14ac:dyDescent="0.2">
      <c r="A310" s="843" t="s">
        <v>142</v>
      </c>
      <c r="B310" s="844" t="s">
        <v>251</v>
      </c>
      <c r="C310" s="891" t="s">
        <v>249</v>
      </c>
      <c r="D310" s="892"/>
      <c r="E310" s="884"/>
      <c r="F310" s="885"/>
      <c r="G310" s="859"/>
      <c r="H310" s="860"/>
      <c r="I310" s="861"/>
      <c r="J310" s="862"/>
      <c r="K310" s="859"/>
      <c r="L310" s="863"/>
      <c r="M310" s="861"/>
      <c r="N310" s="859"/>
      <c r="O310" s="752">
        <f t="shared" si="34"/>
        <v>0</v>
      </c>
      <c r="P310" s="862"/>
      <c r="Q310" s="860"/>
      <c r="R310" s="753">
        <f t="shared" si="35"/>
        <v>0</v>
      </c>
      <c r="S310" s="752">
        <f t="shared" si="36"/>
        <v>0</v>
      </c>
      <c r="T310" s="754">
        <f t="shared" si="37"/>
        <v>0</v>
      </c>
      <c r="U310" s="859"/>
      <c r="V310" s="863"/>
      <c r="W310" s="859"/>
      <c r="X310" s="859"/>
      <c r="Y310" s="755">
        <f t="shared" si="38"/>
        <v>0</v>
      </c>
      <c r="Z310" s="864"/>
      <c r="AA310" s="863"/>
      <c r="AB310" s="756">
        <f t="shared" si="39"/>
        <v>0</v>
      </c>
      <c r="AC310" s="859"/>
      <c r="AD310" s="863"/>
      <c r="AE310" s="859"/>
      <c r="AF310" s="859"/>
      <c r="AG310" s="864"/>
      <c r="AH310" s="865"/>
      <c r="AI310" s="757">
        <f t="shared" si="40"/>
        <v>0</v>
      </c>
      <c r="AJ310" s="758">
        <f t="shared" si="41"/>
        <v>0</v>
      </c>
    </row>
    <row r="311" spans="1:36" x14ac:dyDescent="0.2">
      <c r="A311" s="843" t="s">
        <v>142</v>
      </c>
      <c r="B311" s="893" t="s">
        <v>209</v>
      </c>
      <c r="C311" s="891" t="s">
        <v>576</v>
      </c>
      <c r="D311" s="892"/>
      <c r="E311" s="884"/>
      <c r="F311" s="885"/>
      <c r="G311" s="859"/>
      <c r="H311" s="860"/>
      <c r="I311" s="861"/>
      <c r="J311" s="862"/>
      <c r="K311" s="859"/>
      <c r="L311" s="863"/>
      <c r="M311" s="861"/>
      <c r="N311" s="859"/>
      <c r="O311" s="752">
        <f t="shared" si="34"/>
        <v>0</v>
      </c>
      <c r="P311" s="862"/>
      <c r="Q311" s="860"/>
      <c r="R311" s="753">
        <f t="shared" si="35"/>
        <v>0</v>
      </c>
      <c r="S311" s="752">
        <f t="shared" si="36"/>
        <v>0</v>
      </c>
      <c r="T311" s="754">
        <f t="shared" si="37"/>
        <v>0</v>
      </c>
      <c r="U311" s="859"/>
      <c r="V311" s="863"/>
      <c r="W311" s="859"/>
      <c r="X311" s="859"/>
      <c r="Y311" s="755">
        <f t="shared" si="38"/>
        <v>0</v>
      </c>
      <c r="Z311" s="864"/>
      <c r="AA311" s="863"/>
      <c r="AB311" s="756">
        <f t="shared" si="39"/>
        <v>0</v>
      </c>
      <c r="AC311" s="859"/>
      <c r="AD311" s="863"/>
      <c r="AE311" s="859"/>
      <c r="AF311" s="859"/>
      <c r="AG311" s="864"/>
      <c r="AH311" s="865"/>
      <c r="AI311" s="757">
        <f t="shared" si="40"/>
        <v>0</v>
      </c>
      <c r="AJ311" s="758">
        <f t="shared" si="41"/>
        <v>0</v>
      </c>
    </row>
    <row r="312" spans="1:36" x14ac:dyDescent="0.2">
      <c r="A312" s="843" t="s">
        <v>142</v>
      </c>
      <c r="B312" s="893" t="s">
        <v>210</v>
      </c>
      <c r="C312" s="891" t="s">
        <v>311</v>
      </c>
      <c r="D312" s="892"/>
      <c r="E312" s="884"/>
      <c r="F312" s="885"/>
      <c r="G312" s="859"/>
      <c r="H312" s="860"/>
      <c r="I312" s="861"/>
      <c r="J312" s="862"/>
      <c r="K312" s="859"/>
      <c r="L312" s="863"/>
      <c r="M312" s="861"/>
      <c r="N312" s="859"/>
      <c r="O312" s="752">
        <f t="shared" si="34"/>
        <v>0</v>
      </c>
      <c r="P312" s="862"/>
      <c r="Q312" s="860"/>
      <c r="R312" s="753">
        <f t="shared" si="35"/>
        <v>0</v>
      </c>
      <c r="S312" s="752">
        <f t="shared" si="36"/>
        <v>0</v>
      </c>
      <c r="T312" s="754">
        <f t="shared" si="37"/>
        <v>0</v>
      </c>
      <c r="U312" s="859"/>
      <c r="V312" s="863"/>
      <c r="W312" s="859"/>
      <c r="X312" s="859"/>
      <c r="Y312" s="755">
        <f t="shared" si="38"/>
        <v>0</v>
      </c>
      <c r="Z312" s="864"/>
      <c r="AA312" s="863"/>
      <c r="AB312" s="756">
        <f t="shared" si="39"/>
        <v>0</v>
      </c>
      <c r="AC312" s="859"/>
      <c r="AD312" s="863"/>
      <c r="AE312" s="859"/>
      <c r="AF312" s="859"/>
      <c r="AG312" s="864"/>
      <c r="AH312" s="865"/>
      <c r="AI312" s="757">
        <f t="shared" si="40"/>
        <v>0</v>
      </c>
      <c r="AJ312" s="758">
        <f t="shared" si="41"/>
        <v>0</v>
      </c>
    </row>
    <row r="313" spans="1:36" x14ac:dyDescent="0.2">
      <c r="A313" s="843" t="s">
        <v>142</v>
      </c>
      <c r="B313" s="893" t="s">
        <v>204</v>
      </c>
      <c r="C313" s="891" t="s">
        <v>249</v>
      </c>
      <c r="D313" s="892"/>
      <c r="E313" s="884"/>
      <c r="F313" s="885"/>
      <c r="G313" s="859"/>
      <c r="H313" s="860"/>
      <c r="I313" s="861"/>
      <c r="J313" s="862"/>
      <c r="K313" s="859"/>
      <c r="L313" s="863"/>
      <c r="M313" s="861"/>
      <c r="N313" s="859"/>
      <c r="O313" s="752">
        <f t="shared" si="34"/>
        <v>0</v>
      </c>
      <c r="P313" s="862"/>
      <c r="Q313" s="860"/>
      <c r="R313" s="753">
        <f t="shared" si="35"/>
        <v>0</v>
      </c>
      <c r="S313" s="752">
        <f t="shared" si="36"/>
        <v>0</v>
      </c>
      <c r="T313" s="754">
        <f t="shared" si="37"/>
        <v>0</v>
      </c>
      <c r="U313" s="859"/>
      <c r="V313" s="863"/>
      <c r="W313" s="859"/>
      <c r="X313" s="859"/>
      <c r="Y313" s="755">
        <f t="shared" si="38"/>
        <v>0</v>
      </c>
      <c r="Z313" s="864"/>
      <c r="AA313" s="863"/>
      <c r="AB313" s="756">
        <f t="shared" si="39"/>
        <v>0</v>
      </c>
      <c r="AC313" s="859"/>
      <c r="AD313" s="863"/>
      <c r="AE313" s="859"/>
      <c r="AF313" s="859"/>
      <c r="AG313" s="864"/>
      <c r="AH313" s="865"/>
      <c r="AI313" s="757">
        <f t="shared" si="40"/>
        <v>0</v>
      </c>
      <c r="AJ313" s="758">
        <f t="shared" si="41"/>
        <v>0</v>
      </c>
    </row>
    <row r="314" spans="1:36" x14ac:dyDescent="0.2">
      <c r="A314" s="843" t="s">
        <v>142</v>
      </c>
      <c r="B314" s="893" t="s">
        <v>205</v>
      </c>
      <c r="C314" s="891" t="s">
        <v>577</v>
      </c>
      <c r="D314" s="892"/>
      <c r="E314" s="884"/>
      <c r="F314" s="885"/>
      <c r="G314" s="859"/>
      <c r="H314" s="860"/>
      <c r="I314" s="861"/>
      <c r="J314" s="862"/>
      <c r="K314" s="859"/>
      <c r="L314" s="863"/>
      <c r="M314" s="861"/>
      <c r="N314" s="859"/>
      <c r="O314" s="752">
        <f t="shared" si="34"/>
        <v>0</v>
      </c>
      <c r="P314" s="862"/>
      <c r="Q314" s="860"/>
      <c r="R314" s="753">
        <f t="shared" si="35"/>
        <v>0</v>
      </c>
      <c r="S314" s="752">
        <f t="shared" si="36"/>
        <v>0</v>
      </c>
      <c r="T314" s="754">
        <f t="shared" si="37"/>
        <v>0</v>
      </c>
      <c r="U314" s="859"/>
      <c r="V314" s="863"/>
      <c r="W314" s="859"/>
      <c r="X314" s="859"/>
      <c r="Y314" s="755">
        <f t="shared" si="38"/>
        <v>0</v>
      </c>
      <c r="Z314" s="864"/>
      <c r="AA314" s="863"/>
      <c r="AB314" s="756">
        <f t="shared" si="39"/>
        <v>0</v>
      </c>
      <c r="AC314" s="859"/>
      <c r="AD314" s="863"/>
      <c r="AE314" s="859"/>
      <c r="AF314" s="859"/>
      <c r="AG314" s="864"/>
      <c r="AH314" s="865"/>
      <c r="AI314" s="757">
        <f t="shared" si="40"/>
        <v>0</v>
      </c>
      <c r="AJ314" s="758">
        <f t="shared" si="41"/>
        <v>0</v>
      </c>
    </row>
    <row r="315" spans="1:36" x14ac:dyDescent="0.2">
      <c r="A315" s="843" t="s">
        <v>142</v>
      </c>
      <c r="B315" s="893" t="s">
        <v>218</v>
      </c>
      <c r="C315" s="891" t="s">
        <v>311</v>
      </c>
      <c r="D315" s="892"/>
      <c r="E315" s="884"/>
      <c r="F315" s="885"/>
      <c r="G315" s="859"/>
      <c r="H315" s="860"/>
      <c r="I315" s="861"/>
      <c r="J315" s="862"/>
      <c r="K315" s="859"/>
      <c r="L315" s="863"/>
      <c r="M315" s="861"/>
      <c r="N315" s="859"/>
      <c r="O315" s="752">
        <f t="shared" si="34"/>
        <v>0</v>
      </c>
      <c r="P315" s="862"/>
      <c r="Q315" s="860"/>
      <c r="R315" s="753">
        <f t="shared" si="35"/>
        <v>0</v>
      </c>
      <c r="S315" s="752">
        <f t="shared" si="36"/>
        <v>0</v>
      </c>
      <c r="T315" s="754">
        <f t="shared" si="37"/>
        <v>0</v>
      </c>
      <c r="U315" s="859"/>
      <c r="V315" s="863"/>
      <c r="W315" s="859"/>
      <c r="X315" s="859"/>
      <c r="Y315" s="755">
        <f t="shared" si="38"/>
        <v>0</v>
      </c>
      <c r="Z315" s="864"/>
      <c r="AA315" s="863"/>
      <c r="AB315" s="756">
        <f t="shared" si="39"/>
        <v>0</v>
      </c>
      <c r="AC315" s="859"/>
      <c r="AD315" s="863"/>
      <c r="AE315" s="859"/>
      <c r="AF315" s="859"/>
      <c r="AG315" s="864"/>
      <c r="AH315" s="865"/>
      <c r="AI315" s="757">
        <f t="shared" si="40"/>
        <v>0</v>
      </c>
      <c r="AJ315" s="758">
        <f t="shared" si="41"/>
        <v>0</v>
      </c>
    </row>
    <row r="316" spans="1:36" x14ac:dyDescent="0.2">
      <c r="A316" s="843" t="s">
        <v>142</v>
      </c>
      <c r="B316" s="893" t="s">
        <v>219</v>
      </c>
      <c r="C316" s="891" t="s">
        <v>249</v>
      </c>
      <c r="D316" s="892"/>
      <c r="E316" s="884"/>
      <c r="F316" s="885"/>
      <c r="G316" s="859"/>
      <c r="H316" s="860"/>
      <c r="I316" s="861"/>
      <c r="J316" s="862"/>
      <c r="K316" s="859"/>
      <c r="L316" s="863"/>
      <c r="M316" s="861"/>
      <c r="N316" s="859"/>
      <c r="O316" s="752">
        <f t="shared" si="34"/>
        <v>0</v>
      </c>
      <c r="P316" s="862"/>
      <c r="Q316" s="860"/>
      <c r="R316" s="753">
        <f t="shared" si="35"/>
        <v>0</v>
      </c>
      <c r="S316" s="752">
        <f t="shared" si="36"/>
        <v>0</v>
      </c>
      <c r="T316" s="754">
        <f t="shared" si="37"/>
        <v>0</v>
      </c>
      <c r="U316" s="859"/>
      <c r="V316" s="863"/>
      <c r="W316" s="859"/>
      <c r="X316" s="859"/>
      <c r="Y316" s="755">
        <f t="shared" si="38"/>
        <v>0</v>
      </c>
      <c r="Z316" s="864"/>
      <c r="AA316" s="863"/>
      <c r="AB316" s="756">
        <f t="shared" si="39"/>
        <v>0</v>
      </c>
      <c r="AC316" s="859"/>
      <c r="AD316" s="863"/>
      <c r="AE316" s="859"/>
      <c r="AF316" s="859"/>
      <c r="AG316" s="864"/>
      <c r="AH316" s="865"/>
      <c r="AI316" s="757">
        <f t="shared" si="40"/>
        <v>0</v>
      </c>
      <c r="AJ316" s="758">
        <f t="shared" si="41"/>
        <v>0</v>
      </c>
    </row>
    <row r="317" spans="1:36" x14ac:dyDescent="0.2">
      <c r="A317" s="843" t="s">
        <v>142</v>
      </c>
      <c r="B317" s="844" t="s">
        <v>292</v>
      </c>
      <c r="C317" s="890" t="s">
        <v>581</v>
      </c>
      <c r="D317" s="845"/>
      <c r="E317" s="884"/>
      <c r="F317" s="885"/>
      <c r="G317" s="859"/>
      <c r="H317" s="860"/>
      <c r="I317" s="861"/>
      <c r="J317" s="862"/>
      <c r="K317" s="859"/>
      <c r="L317" s="863"/>
      <c r="M317" s="861"/>
      <c r="N317" s="859"/>
      <c r="O317" s="752">
        <f t="shared" si="34"/>
        <v>0</v>
      </c>
      <c r="P317" s="862"/>
      <c r="Q317" s="860"/>
      <c r="R317" s="753">
        <f t="shared" si="35"/>
        <v>0</v>
      </c>
      <c r="S317" s="752">
        <f t="shared" si="36"/>
        <v>0</v>
      </c>
      <c r="T317" s="754">
        <f t="shared" si="37"/>
        <v>0</v>
      </c>
      <c r="U317" s="859"/>
      <c r="V317" s="863"/>
      <c r="W317" s="859"/>
      <c r="X317" s="859"/>
      <c r="Y317" s="755">
        <f t="shared" si="38"/>
        <v>0</v>
      </c>
      <c r="Z317" s="864"/>
      <c r="AA317" s="863"/>
      <c r="AB317" s="756">
        <f t="shared" si="39"/>
        <v>0</v>
      </c>
      <c r="AC317" s="859"/>
      <c r="AD317" s="863"/>
      <c r="AE317" s="859"/>
      <c r="AF317" s="859"/>
      <c r="AG317" s="864"/>
      <c r="AH317" s="865"/>
      <c r="AI317" s="757">
        <f t="shared" si="40"/>
        <v>0</v>
      </c>
      <c r="AJ317" s="758">
        <f t="shared" si="41"/>
        <v>0</v>
      </c>
    </row>
    <row r="318" spans="1:36" x14ac:dyDescent="0.2">
      <c r="A318" s="843" t="s">
        <v>142</v>
      </c>
      <c r="B318" s="844" t="s">
        <v>310</v>
      </c>
      <c r="C318" s="891" t="s">
        <v>311</v>
      </c>
      <c r="D318" s="892"/>
      <c r="E318" s="884"/>
      <c r="F318" s="885"/>
      <c r="G318" s="859"/>
      <c r="H318" s="860"/>
      <c r="I318" s="861"/>
      <c r="J318" s="862"/>
      <c r="K318" s="859"/>
      <c r="L318" s="863"/>
      <c r="M318" s="861"/>
      <c r="N318" s="859"/>
      <c r="O318" s="752">
        <f t="shared" si="34"/>
        <v>0</v>
      </c>
      <c r="P318" s="862"/>
      <c r="Q318" s="860"/>
      <c r="R318" s="753">
        <f t="shared" si="35"/>
        <v>0</v>
      </c>
      <c r="S318" s="752">
        <f t="shared" si="36"/>
        <v>0</v>
      </c>
      <c r="T318" s="754">
        <f t="shared" si="37"/>
        <v>0</v>
      </c>
      <c r="U318" s="859"/>
      <c r="V318" s="863"/>
      <c r="W318" s="859"/>
      <c r="X318" s="859"/>
      <c r="Y318" s="755">
        <f t="shared" si="38"/>
        <v>0</v>
      </c>
      <c r="Z318" s="864"/>
      <c r="AA318" s="863"/>
      <c r="AB318" s="756">
        <f t="shared" si="39"/>
        <v>0</v>
      </c>
      <c r="AC318" s="859"/>
      <c r="AD318" s="863"/>
      <c r="AE318" s="859"/>
      <c r="AF318" s="859"/>
      <c r="AG318" s="864"/>
      <c r="AH318" s="865"/>
      <c r="AI318" s="757">
        <f t="shared" si="40"/>
        <v>0</v>
      </c>
      <c r="AJ318" s="758">
        <f t="shared" si="41"/>
        <v>0</v>
      </c>
    </row>
    <row r="319" spans="1:36" x14ac:dyDescent="0.2">
      <c r="A319" s="843" t="s">
        <v>142</v>
      </c>
      <c r="B319" s="844" t="s">
        <v>251</v>
      </c>
      <c r="C319" s="891" t="s">
        <v>249</v>
      </c>
      <c r="D319" s="892"/>
      <c r="E319" s="884"/>
      <c r="F319" s="885"/>
      <c r="G319" s="859"/>
      <c r="H319" s="860"/>
      <c r="I319" s="861"/>
      <c r="J319" s="862"/>
      <c r="K319" s="859"/>
      <c r="L319" s="863"/>
      <c r="M319" s="861"/>
      <c r="N319" s="859"/>
      <c r="O319" s="752">
        <f t="shared" si="34"/>
        <v>0</v>
      </c>
      <c r="P319" s="862"/>
      <c r="Q319" s="860"/>
      <c r="R319" s="753">
        <f t="shared" si="35"/>
        <v>0</v>
      </c>
      <c r="S319" s="752">
        <f t="shared" si="36"/>
        <v>0</v>
      </c>
      <c r="T319" s="754">
        <f t="shared" si="37"/>
        <v>0</v>
      </c>
      <c r="U319" s="859">
        <v>166027</v>
      </c>
      <c r="V319" s="863">
        <v>166027</v>
      </c>
      <c r="W319" s="859"/>
      <c r="X319" s="859"/>
      <c r="Y319" s="755">
        <f t="shared" si="38"/>
        <v>0</v>
      </c>
      <c r="Z319" s="864"/>
      <c r="AA319" s="863"/>
      <c r="AB319" s="756">
        <f t="shared" si="39"/>
        <v>0</v>
      </c>
      <c r="AC319" s="859"/>
      <c r="AD319" s="863"/>
      <c r="AE319" s="859"/>
      <c r="AF319" s="859"/>
      <c r="AG319" s="864"/>
      <c r="AH319" s="865"/>
      <c r="AI319" s="757">
        <f t="shared" si="40"/>
        <v>166027</v>
      </c>
      <c r="AJ319" s="758">
        <f t="shared" si="41"/>
        <v>166027</v>
      </c>
    </row>
    <row r="320" spans="1:36" x14ac:dyDescent="0.2">
      <c r="A320" s="843" t="s">
        <v>142</v>
      </c>
      <c r="B320" s="893" t="s">
        <v>209</v>
      </c>
      <c r="C320" s="891" t="s">
        <v>576</v>
      </c>
      <c r="D320" s="892"/>
      <c r="E320" s="884"/>
      <c r="F320" s="885"/>
      <c r="G320" s="859"/>
      <c r="H320" s="860"/>
      <c r="I320" s="861"/>
      <c r="J320" s="862"/>
      <c r="K320" s="859"/>
      <c r="L320" s="863"/>
      <c r="M320" s="861"/>
      <c r="N320" s="859"/>
      <c r="O320" s="752">
        <f t="shared" si="34"/>
        <v>0</v>
      </c>
      <c r="P320" s="862"/>
      <c r="Q320" s="860"/>
      <c r="R320" s="753">
        <f t="shared" si="35"/>
        <v>0</v>
      </c>
      <c r="S320" s="752">
        <f t="shared" si="36"/>
        <v>0</v>
      </c>
      <c r="T320" s="754">
        <f t="shared" si="37"/>
        <v>0</v>
      </c>
      <c r="U320" s="859"/>
      <c r="V320" s="863"/>
      <c r="W320" s="859"/>
      <c r="X320" s="859"/>
      <c r="Y320" s="755">
        <f t="shared" si="38"/>
        <v>0</v>
      </c>
      <c r="Z320" s="864"/>
      <c r="AA320" s="863"/>
      <c r="AB320" s="756">
        <f t="shared" si="39"/>
        <v>0</v>
      </c>
      <c r="AC320" s="859"/>
      <c r="AD320" s="863"/>
      <c r="AE320" s="859"/>
      <c r="AF320" s="859"/>
      <c r="AG320" s="864"/>
      <c r="AH320" s="865"/>
      <c r="AI320" s="757">
        <f t="shared" si="40"/>
        <v>0</v>
      </c>
      <c r="AJ320" s="758">
        <f t="shared" si="41"/>
        <v>0</v>
      </c>
    </row>
    <row r="321" spans="1:36" x14ac:dyDescent="0.2">
      <c r="A321" s="843" t="s">
        <v>142</v>
      </c>
      <c r="B321" s="893" t="s">
        <v>210</v>
      </c>
      <c r="C321" s="891" t="s">
        <v>311</v>
      </c>
      <c r="D321" s="892"/>
      <c r="E321" s="884"/>
      <c r="F321" s="885"/>
      <c r="G321" s="859"/>
      <c r="H321" s="860"/>
      <c r="I321" s="861"/>
      <c r="J321" s="862"/>
      <c r="K321" s="859"/>
      <c r="L321" s="863"/>
      <c r="M321" s="861"/>
      <c r="N321" s="859"/>
      <c r="O321" s="752">
        <f t="shared" si="34"/>
        <v>0</v>
      </c>
      <c r="P321" s="862"/>
      <c r="Q321" s="860"/>
      <c r="R321" s="753">
        <f t="shared" si="35"/>
        <v>0</v>
      </c>
      <c r="S321" s="752">
        <f t="shared" si="36"/>
        <v>0</v>
      </c>
      <c r="T321" s="754">
        <f t="shared" si="37"/>
        <v>0</v>
      </c>
      <c r="U321" s="859"/>
      <c r="V321" s="863"/>
      <c r="W321" s="859"/>
      <c r="X321" s="859"/>
      <c r="Y321" s="755">
        <f t="shared" si="38"/>
        <v>0</v>
      </c>
      <c r="Z321" s="864"/>
      <c r="AA321" s="863"/>
      <c r="AB321" s="756">
        <f t="shared" si="39"/>
        <v>0</v>
      </c>
      <c r="AC321" s="859"/>
      <c r="AD321" s="863"/>
      <c r="AE321" s="859"/>
      <c r="AF321" s="859"/>
      <c r="AG321" s="864"/>
      <c r="AH321" s="865"/>
      <c r="AI321" s="757">
        <f t="shared" si="40"/>
        <v>0</v>
      </c>
      <c r="AJ321" s="758">
        <f t="shared" si="41"/>
        <v>0</v>
      </c>
    </row>
    <row r="322" spans="1:36" x14ac:dyDescent="0.2">
      <c r="A322" s="843" t="s">
        <v>142</v>
      </c>
      <c r="B322" s="893" t="s">
        <v>204</v>
      </c>
      <c r="C322" s="891" t="s">
        <v>249</v>
      </c>
      <c r="D322" s="892"/>
      <c r="E322" s="884"/>
      <c r="F322" s="885"/>
      <c r="G322" s="859"/>
      <c r="H322" s="860"/>
      <c r="I322" s="861"/>
      <c r="J322" s="862"/>
      <c r="K322" s="859"/>
      <c r="L322" s="863"/>
      <c r="M322" s="861"/>
      <c r="N322" s="859"/>
      <c r="O322" s="752">
        <f t="shared" si="34"/>
        <v>0</v>
      </c>
      <c r="P322" s="862"/>
      <c r="Q322" s="860"/>
      <c r="R322" s="753">
        <f t="shared" si="35"/>
        <v>0</v>
      </c>
      <c r="S322" s="752">
        <f t="shared" si="36"/>
        <v>0</v>
      </c>
      <c r="T322" s="754">
        <f t="shared" si="37"/>
        <v>0</v>
      </c>
      <c r="U322" s="859"/>
      <c r="V322" s="863"/>
      <c r="W322" s="859"/>
      <c r="X322" s="859"/>
      <c r="Y322" s="755">
        <f t="shared" si="38"/>
        <v>0</v>
      </c>
      <c r="Z322" s="864"/>
      <c r="AA322" s="863"/>
      <c r="AB322" s="756">
        <f t="shared" si="39"/>
        <v>0</v>
      </c>
      <c r="AC322" s="859"/>
      <c r="AD322" s="863"/>
      <c r="AE322" s="859"/>
      <c r="AF322" s="859"/>
      <c r="AG322" s="864"/>
      <c r="AH322" s="865"/>
      <c r="AI322" s="757">
        <f t="shared" si="40"/>
        <v>0</v>
      </c>
      <c r="AJ322" s="758">
        <f t="shared" si="41"/>
        <v>0</v>
      </c>
    </row>
    <row r="323" spans="1:36" x14ac:dyDescent="0.2">
      <c r="A323" s="843" t="s">
        <v>142</v>
      </c>
      <c r="B323" s="893" t="s">
        <v>205</v>
      </c>
      <c r="C323" s="891" t="s">
        <v>577</v>
      </c>
      <c r="D323" s="892"/>
      <c r="E323" s="884"/>
      <c r="F323" s="885"/>
      <c r="G323" s="859"/>
      <c r="H323" s="860"/>
      <c r="I323" s="861"/>
      <c r="J323" s="862"/>
      <c r="K323" s="859"/>
      <c r="L323" s="863"/>
      <c r="M323" s="861"/>
      <c r="N323" s="859"/>
      <c r="O323" s="752">
        <f t="shared" si="34"/>
        <v>0</v>
      </c>
      <c r="P323" s="862"/>
      <c r="Q323" s="860"/>
      <c r="R323" s="753">
        <f t="shared" si="35"/>
        <v>0</v>
      </c>
      <c r="S323" s="752">
        <f t="shared" si="36"/>
        <v>0</v>
      </c>
      <c r="T323" s="754">
        <f t="shared" si="37"/>
        <v>0</v>
      </c>
      <c r="U323" s="859"/>
      <c r="V323" s="863"/>
      <c r="W323" s="859"/>
      <c r="X323" s="859"/>
      <c r="Y323" s="755">
        <f t="shared" si="38"/>
        <v>0</v>
      </c>
      <c r="Z323" s="864"/>
      <c r="AA323" s="863"/>
      <c r="AB323" s="756">
        <f t="shared" si="39"/>
        <v>0</v>
      </c>
      <c r="AC323" s="859"/>
      <c r="AD323" s="863"/>
      <c r="AE323" s="859"/>
      <c r="AF323" s="859"/>
      <c r="AG323" s="864"/>
      <c r="AH323" s="865"/>
      <c r="AI323" s="757">
        <f t="shared" si="40"/>
        <v>0</v>
      </c>
      <c r="AJ323" s="758">
        <f t="shared" si="41"/>
        <v>0</v>
      </c>
    </row>
    <row r="324" spans="1:36" x14ac:dyDescent="0.2">
      <c r="A324" s="843" t="s">
        <v>142</v>
      </c>
      <c r="B324" s="893" t="s">
        <v>218</v>
      </c>
      <c r="C324" s="891" t="s">
        <v>311</v>
      </c>
      <c r="D324" s="892"/>
      <c r="E324" s="884"/>
      <c r="F324" s="885"/>
      <c r="G324" s="859"/>
      <c r="H324" s="860"/>
      <c r="I324" s="861"/>
      <c r="J324" s="862"/>
      <c r="K324" s="859"/>
      <c r="L324" s="863"/>
      <c r="M324" s="861"/>
      <c r="N324" s="859"/>
      <c r="O324" s="752">
        <f t="shared" si="34"/>
        <v>0</v>
      </c>
      <c r="P324" s="862"/>
      <c r="Q324" s="860"/>
      <c r="R324" s="753">
        <f t="shared" si="35"/>
        <v>0</v>
      </c>
      <c r="S324" s="752">
        <f t="shared" si="36"/>
        <v>0</v>
      </c>
      <c r="T324" s="754">
        <f t="shared" si="37"/>
        <v>0</v>
      </c>
      <c r="U324" s="859"/>
      <c r="V324" s="863"/>
      <c r="W324" s="859"/>
      <c r="X324" s="859"/>
      <c r="Y324" s="755">
        <f t="shared" si="38"/>
        <v>0</v>
      </c>
      <c r="Z324" s="864"/>
      <c r="AA324" s="863"/>
      <c r="AB324" s="756">
        <f t="shared" si="39"/>
        <v>0</v>
      </c>
      <c r="AC324" s="859"/>
      <c r="AD324" s="863"/>
      <c r="AE324" s="859"/>
      <c r="AF324" s="859"/>
      <c r="AG324" s="864"/>
      <c r="AH324" s="865"/>
      <c r="AI324" s="757">
        <f t="shared" si="40"/>
        <v>0</v>
      </c>
      <c r="AJ324" s="758">
        <f t="shared" si="41"/>
        <v>0</v>
      </c>
    </row>
    <row r="325" spans="1:36" x14ac:dyDescent="0.2">
      <c r="A325" s="843" t="s">
        <v>142</v>
      </c>
      <c r="B325" s="893" t="s">
        <v>219</v>
      </c>
      <c r="C325" s="891" t="s">
        <v>249</v>
      </c>
      <c r="D325" s="892"/>
      <c r="E325" s="884"/>
      <c r="F325" s="885"/>
      <c r="G325" s="859"/>
      <c r="H325" s="860"/>
      <c r="I325" s="861"/>
      <c r="J325" s="862"/>
      <c r="K325" s="859"/>
      <c r="L325" s="863"/>
      <c r="M325" s="861"/>
      <c r="N325" s="859"/>
      <c r="O325" s="752">
        <f t="shared" si="34"/>
        <v>0</v>
      </c>
      <c r="P325" s="862"/>
      <c r="Q325" s="860"/>
      <c r="R325" s="753">
        <f t="shared" si="35"/>
        <v>0</v>
      </c>
      <c r="S325" s="752">
        <f t="shared" si="36"/>
        <v>0</v>
      </c>
      <c r="T325" s="754">
        <f t="shared" si="37"/>
        <v>0</v>
      </c>
      <c r="U325" s="859"/>
      <c r="V325" s="863"/>
      <c r="W325" s="859"/>
      <c r="X325" s="859"/>
      <c r="Y325" s="755">
        <f t="shared" si="38"/>
        <v>0</v>
      </c>
      <c r="Z325" s="864"/>
      <c r="AA325" s="863"/>
      <c r="AB325" s="756">
        <f t="shared" si="39"/>
        <v>0</v>
      </c>
      <c r="AC325" s="859"/>
      <c r="AD325" s="863"/>
      <c r="AE325" s="859"/>
      <c r="AF325" s="859"/>
      <c r="AG325" s="864"/>
      <c r="AH325" s="865"/>
      <c r="AI325" s="757">
        <f t="shared" si="40"/>
        <v>0</v>
      </c>
      <c r="AJ325" s="758">
        <f t="shared" si="41"/>
        <v>0</v>
      </c>
    </row>
    <row r="326" spans="1:36" x14ac:dyDescent="0.2">
      <c r="A326" s="843" t="s">
        <v>142</v>
      </c>
      <c r="B326" s="844" t="s">
        <v>292</v>
      </c>
      <c r="C326" s="890" t="s">
        <v>582</v>
      </c>
      <c r="D326" s="845"/>
      <c r="E326" s="884"/>
      <c r="F326" s="885"/>
      <c r="G326" s="859"/>
      <c r="H326" s="860"/>
      <c r="I326" s="861"/>
      <c r="J326" s="862"/>
      <c r="K326" s="859"/>
      <c r="L326" s="863"/>
      <c r="M326" s="861"/>
      <c r="N326" s="859"/>
      <c r="O326" s="752">
        <f t="shared" si="34"/>
        <v>0</v>
      </c>
      <c r="P326" s="862"/>
      <c r="Q326" s="860"/>
      <c r="R326" s="753">
        <f t="shared" si="35"/>
        <v>0</v>
      </c>
      <c r="S326" s="752">
        <f t="shared" si="36"/>
        <v>0</v>
      </c>
      <c r="T326" s="754">
        <f t="shared" si="37"/>
        <v>0</v>
      </c>
      <c r="U326" s="859"/>
      <c r="V326" s="863"/>
      <c r="W326" s="859"/>
      <c r="X326" s="859"/>
      <c r="Y326" s="755">
        <f t="shared" si="38"/>
        <v>0</v>
      </c>
      <c r="Z326" s="864"/>
      <c r="AA326" s="863"/>
      <c r="AB326" s="756">
        <f t="shared" si="39"/>
        <v>0</v>
      </c>
      <c r="AC326" s="859"/>
      <c r="AD326" s="863"/>
      <c r="AE326" s="859"/>
      <c r="AF326" s="859"/>
      <c r="AG326" s="864"/>
      <c r="AH326" s="865"/>
      <c r="AI326" s="757">
        <f t="shared" si="40"/>
        <v>0</v>
      </c>
      <c r="AJ326" s="758">
        <f t="shared" si="41"/>
        <v>0</v>
      </c>
    </row>
    <row r="327" spans="1:36" x14ac:dyDescent="0.2">
      <c r="A327" s="843" t="s">
        <v>142</v>
      </c>
      <c r="B327" s="893" t="s">
        <v>209</v>
      </c>
      <c r="C327" s="891" t="s">
        <v>576</v>
      </c>
      <c r="D327" s="892"/>
      <c r="E327" s="884"/>
      <c r="F327" s="885"/>
      <c r="G327" s="859"/>
      <c r="H327" s="860"/>
      <c r="I327" s="861"/>
      <c r="J327" s="862"/>
      <c r="K327" s="859"/>
      <c r="L327" s="863"/>
      <c r="M327" s="861"/>
      <c r="N327" s="859"/>
      <c r="O327" s="752">
        <f t="shared" si="34"/>
        <v>0</v>
      </c>
      <c r="P327" s="862"/>
      <c r="Q327" s="860"/>
      <c r="R327" s="753">
        <f t="shared" si="35"/>
        <v>0</v>
      </c>
      <c r="S327" s="752">
        <f t="shared" si="36"/>
        <v>0</v>
      </c>
      <c r="T327" s="754">
        <f t="shared" si="37"/>
        <v>0</v>
      </c>
      <c r="U327" s="859"/>
      <c r="V327" s="863"/>
      <c r="W327" s="859"/>
      <c r="X327" s="859"/>
      <c r="Y327" s="755">
        <f t="shared" si="38"/>
        <v>0</v>
      </c>
      <c r="Z327" s="864"/>
      <c r="AA327" s="863"/>
      <c r="AB327" s="756">
        <f t="shared" si="39"/>
        <v>0</v>
      </c>
      <c r="AC327" s="859"/>
      <c r="AD327" s="863"/>
      <c r="AE327" s="859"/>
      <c r="AF327" s="859"/>
      <c r="AG327" s="864"/>
      <c r="AH327" s="865"/>
      <c r="AI327" s="757">
        <f t="shared" si="40"/>
        <v>0</v>
      </c>
      <c r="AJ327" s="758">
        <f t="shared" si="41"/>
        <v>0</v>
      </c>
    </row>
    <row r="328" spans="1:36" x14ac:dyDescent="0.2">
      <c r="A328" s="843" t="s">
        <v>142</v>
      </c>
      <c r="B328" s="893" t="s">
        <v>210</v>
      </c>
      <c r="C328" s="891" t="s">
        <v>311</v>
      </c>
      <c r="D328" s="892"/>
      <c r="E328" s="884"/>
      <c r="F328" s="885"/>
      <c r="G328" s="859"/>
      <c r="H328" s="860"/>
      <c r="I328" s="861"/>
      <c r="J328" s="862"/>
      <c r="K328" s="859"/>
      <c r="L328" s="863"/>
      <c r="M328" s="861"/>
      <c r="N328" s="859"/>
      <c r="O328" s="752">
        <f t="shared" si="34"/>
        <v>0</v>
      </c>
      <c r="P328" s="862"/>
      <c r="Q328" s="860"/>
      <c r="R328" s="753">
        <f t="shared" si="35"/>
        <v>0</v>
      </c>
      <c r="S328" s="752">
        <f t="shared" si="36"/>
        <v>0</v>
      </c>
      <c r="T328" s="754">
        <f t="shared" si="37"/>
        <v>0</v>
      </c>
      <c r="U328" s="859"/>
      <c r="V328" s="863"/>
      <c r="W328" s="859"/>
      <c r="X328" s="859"/>
      <c r="Y328" s="755">
        <f t="shared" si="38"/>
        <v>0</v>
      </c>
      <c r="Z328" s="864"/>
      <c r="AA328" s="863"/>
      <c r="AB328" s="756">
        <f t="shared" si="39"/>
        <v>0</v>
      </c>
      <c r="AC328" s="859"/>
      <c r="AD328" s="863"/>
      <c r="AE328" s="859"/>
      <c r="AF328" s="859"/>
      <c r="AG328" s="864"/>
      <c r="AH328" s="865"/>
      <c r="AI328" s="757">
        <f t="shared" si="40"/>
        <v>0</v>
      </c>
      <c r="AJ328" s="758">
        <f t="shared" si="41"/>
        <v>0</v>
      </c>
    </row>
    <row r="329" spans="1:36" x14ac:dyDescent="0.2">
      <c r="A329" s="843" t="s">
        <v>142</v>
      </c>
      <c r="B329" s="893" t="s">
        <v>204</v>
      </c>
      <c r="C329" s="891" t="s">
        <v>249</v>
      </c>
      <c r="D329" s="892"/>
      <c r="E329" s="884"/>
      <c r="F329" s="885"/>
      <c r="G329" s="859"/>
      <c r="H329" s="860"/>
      <c r="I329" s="861"/>
      <c r="J329" s="862"/>
      <c r="K329" s="859"/>
      <c r="L329" s="863"/>
      <c r="M329" s="861"/>
      <c r="N329" s="859"/>
      <c r="O329" s="752">
        <f t="shared" si="34"/>
        <v>0</v>
      </c>
      <c r="P329" s="862"/>
      <c r="Q329" s="860"/>
      <c r="R329" s="753">
        <f t="shared" si="35"/>
        <v>0</v>
      </c>
      <c r="S329" s="752">
        <f t="shared" si="36"/>
        <v>0</v>
      </c>
      <c r="T329" s="754">
        <f t="shared" si="37"/>
        <v>0</v>
      </c>
      <c r="U329" s="867">
        <v>364385</v>
      </c>
      <c r="V329" s="863">
        <v>348725</v>
      </c>
      <c r="W329" s="859"/>
      <c r="X329" s="859"/>
      <c r="Y329" s="755">
        <f t="shared" si="38"/>
        <v>0</v>
      </c>
      <c r="Z329" s="864"/>
      <c r="AA329" s="863"/>
      <c r="AB329" s="756">
        <f t="shared" si="39"/>
        <v>0</v>
      </c>
      <c r="AC329" s="859"/>
      <c r="AD329" s="863"/>
      <c r="AE329" s="859"/>
      <c r="AF329" s="859"/>
      <c r="AG329" s="864"/>
      <c r="AH329" s="865"/>
      <c r="AI329" s="757">
        <f t="shared" si="40"/>
        <v>364385</v>
      </c>
      <c r="AJ329" s="758">
        <f t="shared" si="41"/>
        <v>348725</v>
      </c>
    </row>
    <row r="330" spans="1:36" x14ac:dyDescent="0.2">
      <c r="A330" s="843" t="s">
        <v>142</v>
      </c>
      <c r="B330" s="893" t="s">
        <v>205</v>
      </c>
      <c r="C330" s="891" t="s">
        <v>577</v>
      </c>
      <c r="D330" s="892"/>
      <c r="E330" s="884"/>
      <c r="F330" s="885"/>
      <c r="G330" s="859"/>
      <c r="H330" s="860"/>
      <c r="I330" s="861"/>
      <c r="J330" s="862"/>
      <c r="K330" s="859"/>
      <c r="L330" s="863"/>
      <c r="M330" s="861"/>
      <c r="N330" s="859"/>
      <c r="O330" s="752">
        <f t="shared" ref="O330:O381" si="42">SUM(M330:N330)</f>
        <v>0</v>
      </c>
      <c r="P330" s="862"/>
      <c r="Q330" s="860"/>
      <c r="R330" s="753">
        <f t="shared" ref="R330:R382" si="43">SUM(P330:Q330)</f>
        <v>0</v>
      </c>
      <c r="S330" s="752">
        <f t="shared" ref="S330:S382" si="44">SUM(G330,I330,K330,M330)</f>
        <v>0</v>
      </c>
      <c r="T330" s="754">
        <f t="shared" ref="T330:T382" si="45">SUM(H330,J330,L330,P330)</f>
        <v>0</v>
      </c>
      <c r="U330" s="859"/>
      <c r="V330" s="863"/>
      <c r="W330" s="859"/>
      <c r="X330" s="859"/>
      <c r="Y330" s="755">
        <f t="shared" ref="Y330:Y381" si="46">SUM(W330:X330)</f>
        <v>0</v>
      </c>
      <c r="Z330" s="864"/>
      <c r="AA330" s="863"/>
      <c r="AB330" s="756">
        <f t="shared" ref="AB330:AB385" si="47">SUM(Z330:AA330)</f>
        <v>0</v>
      </c>
      <c r="AC330" s="859"/>
      <c r="AD330" s="863"/>
      <c r="AE330" s="859"/>
      <c r="AF330" s="859"/>
      <c r="AG330" s="864"/>
      <c r="AH330" s="865"/>
      <c r="AI330" s="757">
        <f t="shared" ref="AI330:AI382" si="48">SUM(S330,U330,W330,AC330,AE330)</f>
        <v>0</v>
      </c>
      <c r="AJ330" s="758">
        <f t="shared" ref="AJ330:AJ382" si="49">SUM(T330,V330,Z330,AD330,AG330)</f>
        <v>0</v>
      </c>
    </row>
    <row r="331" spans="1:36" x14ac:dyDescent="0.2">
      <c r="A331" s="843" t="s">
        <v>142</v>
      </c>
      <c r="B331" s="893" t="s">
        <v>218</v>
      </c>
      <c r="C331" s="891" t="s">
        <v>311</v>
      </c>
      <c r="D331" s="892"/>
      <c r="E331" s="884"/>
      <c r="F331" s="885"/>
      <c r="G331" s="859"/>
      <c r="H331" s="860"/>
      <c r="I331" s="861"/>
      <c r="J331" s="862"/>
      <c r="K331" s="859"/>
      <c r="L331" s="863"/>
      <c r="M331" s="861"/>
      <c r="N331" s="859"/>
      <c r="O331" s="752">
        <f t="shared" si="42"/>
        <v>0</v>
      </c>
      <c r="P331" s="862"/>
      <c r="Q331" s="860"/>
      <c r="R331" s="753">
        <f t="shared" si="43"/>
        <v>0</v>
      </c>
      <c r="S331" s="752">
        <f t="shared" si="44"/>
        <v>0</v>
      </c>
      <c r="T331" s="754">
        <f t="shared" si="45"/>
        <v>0</v>
      </c>
      <c r="U331" s="859"/>
      <c r="V331" s="863"/>
      <c r="W331" s="859"/>
      <c r="X331" s="859"/>
      <c r="Y331" s="755">
        <f t="shared" si="46"/>
        <v>0</v>
      </c>
      <c r="Z331" s="864"/>
      <c r="AA331" s="863"/>
      <c r="AB331" s="756">
        <f t="shared" si="47"/>
        <v>0</v>
      </c>
      <c r="AC331" s="859"/>
      <c r="AD331" s="863"/>
      <c r="AE331" s="859"/>
      <c r="AF331" s="859"/>
      <c r="AG331" s="864"/>
      <c r="AH331" s="865"/>
      <c r="AI331" s="757">
        <f t="shared" si="48"/>
        <v>0</v>
      </c>
      <c r="AJ331" s="758">
        <f t="shared" si="49"/>
        <v>0</v>
      </c>
    </row>
    <row r="332" spans="1:36" x14ac:dyDescent="0.2">
      <c r="A332" s="843" t="s">
        <v>142</v>
      </c>
      <c r="B332" s="893" t="s">
        <v>219</v>
      </c>
      <c r="C332" s="891" t="s">
        <v>249</v>
      </c>
      <c r="D332" s="892"/>
      <c r="E332" s="884"/>
      <c r="F332" s="885"/>
      <c r="G332" s="859"/>
      <c r="H332" s="860"/>
      <c r="I332" s="861"/>
      <c r="J332" s="862"/>
      <c r="K332" s="859"/>
      <c r="L332" s="863"/>
      <c r="M332" s="861"/>
      <c r="N332" s="859"/>
      <c r="O332" s="752">
        <f t="shared" si="42"/>
        <v>0</v>
      </c>
      <c r="P332" s="862"/>
      <c r="Q332" s="860"/>
      <c r="R332" s="753">
        <f t="shared" si="43"/>
        <v>0</v>
      </c>
      <c r="S332" s="752">
        <f t="shared" si="44"/>
        <v>0</v>
      </c>
      <c r="T332" s="754">
        <f t="shared" si="45"/>
        <v>0</v>
      </c>
      <c r="U332" s="859"/>
      <c r="V332" s="863"/>
      <c r="W332" s="859"/>
      <c r="X332" s="859"/>
      <c r="Y332" s="755">
        <f t="shared" si="46"/>
        <v>0</v>
      </c>
      <c r="Z332" s="864"/>
      <c r="AA332" s="863"/>
      <c r="AB332" s="756">
        <f t="shared" si="47"/>
        <v>0</v>
      </c>
      <c r="AC332" s="859"/>
      <c r="AD332" s="863"/>
      <c r="AE332" s="859"/>
      <c r="AF332" s="859"/>
      <c r="AG332" s="864"/>
      <c r="AH332" s="865"/>
      <c r="AI332" s="757">
        <f t="shared" si="48"/>
        <v>0</v>
      </c>
      <c r="AJ332" s="758">
        <f t="shared" si="49"/>
        <v>0</v>
      </c>
    </row>
    <row r="333" spans="1:36" x14ac:dyDescent="0.2">
      <c r="A333" s="843" t="s">
        <v>142</v>
      </c>
      <c r="B333" s="844" t="s">
        <v>292</v>
      </c>
      <c r="C333" s="890" t="s">
        <v>583</v>
      </c>
      <c r="D333" s="845"/>
      <c r="E333" s="884"/>
      <c r="F333" s="885"/>
      <c r="G333" s="859"/>
      <c r="H333" s="860"/>
      <c r="I333" s="861"/>
      <c r="J333" s="862"/>
      <c r="K333" s="859"/>
      <c r="L333" s="863"/>
      <c r="M333" s="861"/>
      <c r="N333" s="859"/>
      <c r="O333" s="752">
        <f t="shared" si="42"/>
        <v>0</v>
      </c>
      <c r="P333" s="862"/>
      <c r="Q333" s="860"/>
      <c r="R333" s="753">
        <f t="shared" si="43"/>
        <v>0</v>
      </c>
      <c r="S333" s="752">
        <f t="shared" si="44"/>
        <v>0</v>
      </c>
      <c r="T333" s="754">
        <f t="shared" si="45"/>
        <v>0</v>
      </c>
      <c r="U333" s="859"/>
      <c r="V333" s="863"/>
      <c r="W333" s="859"/>
      <c r="X333" s="859"/>
      <c r="Y333" s="755">
        <f t="shared" si="46"/>
        <v>0</v>
      </c>
      <c r="Z333" s="864"/>
      <c r="AA333" s="863"/>
      <c r="AB333" s="756">
        <f t="shared" si="47"/>
        <v>0</v>
      </c>
      <c r="AC333" s="859"/>
      <c r="AD333" s="863"/>
      <c r="AE333" s="859"/>
      <c r="AF333" s="859"/>
      <c r="AG333" s="864"/>
      <c r="AH333" s="865"/>
      <c r="AI333" s="757">
        <f t="shared" si="48"/>
        <v>0</v>
      </c>
      <c r="AJ333" s="758">
        <f t="shared" si="49"/>
        <v>0</v>
      </c>
    </row>
    <row r="334" spans="1:36" x14ac:dyDescent="0.2">
      <c r="A334" s="843" t="s">
        <v>142</v>
      </c>
      <c r="B334" s="893" t="s">
        <v>209</v>
      </c>
      <c r="C334" s="891" t="s">
        <v>576</v>
      </c>
      <c r="D334" s="892"/>
      <c r="E334" s="884"/>
      <c r="F334" s="885"/>
      <c r="G334" s="859"/>
      <c r="H334" s="860"/>
      <c r="I334" s="861"/>
      <c r="J334" s="862"/>
      <c r="K334" s="859"/>
      <c r="L334" s="863"/>
      <c r="M334" s="861"/>
      <c r="N334" s="859"/>
      <c r="O334" s="752">
        <f t="shared" si="42"/>
        <v>0</v>
      </c>
      <c r="P334" s="862"/>
      <c r="Q334" s="860"/>
      <c r="R334" s="753">
        <f t="shared" si="43"/>
        <v>0</v>
      </c>
      <c r="S334" s="752">
        <f t="shared" si="44"/>
        <v>0</v>
      </c>
      <c r="T334" s="754">
        <f t="shared" si="45"/>
        <v>0</v>
      </c>
      <c r="U334" s="859"/>
      <c r="V334" s="863"/>
      <c r="W334" s="859"/>
      <c r="X334" s="859"/>
      <c r="Y334" s="755">
        <f t="shared" si="46"/>
        <v>0</v>
      </c>
      <c r="Z334" s="864"/>
      <c r="AA334" s="863"/>
      <c r="AB334" s="756">
        <f t="shared" si="47"/>
        <v>0</v>
      </c>
      <c r="AC334" s="859"/>
      <c r="AD334" s="863"/>
      <c r="AE334" s="859"/>
      <c r="AF334" s="859"/>
      <c r="AG334" s="864"/>
      <c r="AH334" s="865"/>
      <c r="AI334" s="757">
        <f t="shared" si="48"/>
        <v>0</v>
      </c>
      <c r="AJ334" s="758">
        <f t="shared" si="49"/>
        <v>0</v>
      </c>
    </row>
    <row r="335" spans="1:36" x14ac:dyDescent="0.2">
      <c r="A335" s="843" t="s">
        <v>142</v>
      </c>
      <c r="B335" s="893" t="s">
        <v>210</v>
      </c>
      <c r="C335" s="891" t="s">
        <v>311</v>
      </c>
      <c r="D335" s="892"/>
      <c r="E335" s="884"/>
      <c r="F335" s="885"/>
      <c r="G335" s="859"/>
      <c r="H335" s="860"/>
      <c r="I335" s="861"/>
      <c r="J335" s="862"/>
      <c r="K335" s="859"/>
      <c r="L335" s="863"/>
      <c r="M335" s="861"/>
      <c r="N335" s="859"/>
      <c r="O335" s="752">
        <f t="shared" si="42"/>
        <v>0</v>
      </c>
      <c r="P335" s="862"/>
      <c r="Q335" s="860"/>
      <c r="R335" s="753">
        <f t="shared" si="43"/>
        <v>0</v>
      </c>
      <c r="S335" s="752">
        <f t="shared" si="44"/>
        <v>0</v>
      </c>
      <c r="T335" s="754">
        <f t="shared" si="45"/>
        <v>0</v>
      </c>
      <c r="U335" s="867">
        <v>2267538</v>
      </c>
      <c r="V335" s="863">
        <v>2354963</v>
      </c>
      <c r="W335" s="859"/>
      <c r="X335" s="859"/>
      <c r="Y335" s="755">
        <f t="shared" si="46"/>
        <v>0</v>
      </c>
      <c r="Z335" s="864"/>
      <c r="AA335" s="863"/>
      <c r="AB335" s="756">
        <f t="shared" si="47"/>
        <v>0</v>
      </c>
      <c r="AC335" s="859"/>
      <c r="AD335" s="863"/>
      <c r="AE335" s="859"/>
      <c r="AF335" s="859"/>
      <c r="AG335" s="864"/>
      <c r="AH335" s="865"/>
      <c r="AI335" s="757">
        <f t="shared" si="48"/>
        <v>2267538</v>
      </c>
      <c r="AJ335" s="758">
        <f t="shared" si="49"/>
        <v>2354963</v>
      </c>
    </row>
    <row r="336" spans="1:36" x14ac:dyDescent="0.2">
      <c r="A336" s="843" t="s">
        <v>142</v>
      </c>
      <c r="B336" s="893" t="s">
        <v>204</v>
      </c>
      <c r="C336" s="891" t="s">
        <v>249</v>
      </c>
      <c r="D336" s="892"/>
      <c r="E336" s="884"/>
      <c r="F336" s="885"/>
      <c r="G336" s="859"/>
      <c r="H336" s="860"/>
      <c r="I336" s="861"/>
      <c r="J336" s="862"/>
      <c r="K336" s="859"/>
      <c r="L336" s="863"/>
      <c r="M336" s="861"/>
      <c r="N336" s="859"/>
      <c r="O336" s="752">
        <f t="shared" si="42"/>
        <v>0</v>
      </c>
      <c r="P336" s="862"/>
      <c r="Q336" s="860"/>
      <c r="R336" s="753">
        <f t="shared" si="43"/>
        <v>0</v>
      </c>
      <c r="S336" s="752">
        <f t="shared" si="44"/>
        <v>0</v>
      </c>
      <c r="T336" s="754">
        <f t="shared" si="45"/>
        <v>0</v>
      </c>
      <c r="U336" s="859"/>
      <c r="V336" s="863"/>
      <c r="W336" s="859"/>
      <c r="X336" s="859"/>
      <c r="Y336" s="755">
        <f t="shared" si="46"/>
        <v>0</v>
      </c>
      <c r="Z336" s="864"/>
      <c r="AA336" s="863"/>
      <c r="AB336" s="756">
        <f t="shared" si="47"/>
        <v>0</v>
      </c>
      <c r="AC336" s="859"/>
      <c r="AD336" s="863"/>
      <c r="AE336" s="859"/>
      <c r="AF336" s="859"/>
      <c r="AG336" s="864"/>
      <c r="AH336" s="865"/>
      <c r="AI336" s="757">
        <f t="shared" si="48"/>
        <v>0</v>
      </c>
      <c r="AJ336" s="758">
        <f t="shared" si="49"/>
        <v>0</v>
      </c>
    </row>
    <row r="337" spans="1:36" x14ac:dyDescent="0.2">
      <c r="A337" s="843" t="s">
        <v>142</v>
      </c>
      <c r="B337" s="893" t="s">
        <v>205</v>
      </c>
      <c r="C337" s="891" t="s">
        <v>577</v>
      </c>
      <c r="D337" s="892"/>
      <c r="E337" s="884"/>
      <c r="F337" s="885"/>
      <c r="G337" s="859"/>
      <c r="H337" s="860"/>
      <c r="I337" s="861"/>
      <c r="J337" s="862"/>
      <c r="K337" s="859"/>
      <c r="L337" s="863"/>
      <c r="M337" s="861"/>
      <c r="N337" s="859"/>
      <c r="O337" s="752">
        <f t="shared" si="42"/>
        <v>0</v>
      </c>
      <c r="P337" s="862"/>
      <c r="Q337" s="860"/>
      <c r="R337" s="753">
        <f t="shared" si="43"/>
        <v>0</v>
      </c>
      <c r="S337" s="752">
        <f t="shared" si="44"/>
        <v>0</v>
      </c>
      <c r="T337" s="754">
        <f t="shared" si="45"/>
        <v>0</v>
      </c>
      <c r="U337" s="859"/>
      <c r="V337" s="863"/>
      <c r="W337" s="859"/>
      <c r="X337" s="859"/>
      <c r="Y337" s="755">
        <f t="shared" si="46"/>
        <v>0</v>
      </c>
      <c r="Z337" s="864"/>
      <c r="AA337" s="863"/>
      <c r="AB337" s="756">
        <f t="shared" si="47"/>
        <v>0</v>
      </c>
      <c r="AC337" s="859"/>
      <c r="AD337" s="863"/>
      <c r="AE337" s="859"/>
      <c r="AF337" s="859"/>
      <c r="AG337" s="864"/>
      <c r="AH337" s="865"/>
      <c r="AI337" s="757">
        <f t="shared" si="48"/>
        <v>0</v>
      </c>
      <c r="AJ337" s="758">
        <f t="shared" si="49"/>
        <v>0</v>
      </c>
    </row>
    <row r="338" spans="1:36" x14ac:dyDescent="0.2">
      <c r="A338" s="843" t="s">
        <v>142</v>
      </c>
      <c r="B338" s="893" t="s">
        <v>218</v>
      </c>
      <c r="C338" s="891" t="s">
        <v>311</v>
      </c>
      <c r="D338" s="892"/>
      <c r="E338" s="884"/>
      <c r="F338" s="885"/>
      <c r="G338" s="859"/>
      <c r="H338" s="860"/>
      <c r="I338" s="861"/>
      <c r="J338" s="862"/>
      <c r="K338" s="859"/>
      <c r="L338" s="863"/>
      <c r="M338" s="861"/>
      <c r="N338" s="859"/>
      <c r="O338" s="752">
        <f t="shared" si="42"/>
        <v>0</v>
      </c>
      <c r="P338" s="862"/>
      <c r="Q338" s="860"/>
      <c r="R338" s="753">
        <f t="shared" si="43"/>
        <v>0</v>
      </c>
      <c r="S338" s="752">
        <f t="shared" si="44"/>
        <v>0</v>
      </c>
      <c r="T338" s="754">
        <f t="shared" si="45"/>
        <v>0</v>
      </c>
      <c r="U338" s="867">
        <v>371439</v>
      </c>
      <c r="V338" s="863">
        <v>261662</v>
      </c>
      <c r="W338" s="859"/>
      <c r="X338" s="859"/>
      <c r="Y338" s="755">
        <f t="shared" si="46"/>
        <v>0</v>
      </c>
      <c r="Z338" s="864"/>
      <c r="AA338" s="863"/>
      <c r="AB338" s="756">
        <f t="shared" si="47"/>
        <v>0</v>
      </c>
      <c r="AC338" s="859"/>
      <c r="AD338" s="863"/>
      <c r="AE338" s="859"/>
      <c r="AF338" s="859"/>
      <c r="AG338" s="864"/>
      <c r="AH338" s="865"/>
      <c r="AI338" s="757">
        <f t="shared" si="48"/>
        <v>371439</v>
      </c>
      <c r="AJ338" s="758">
        <f t="shared" si="49"/>
        <v>261662</v>
      </c>
    </row>
    <row r="339" spans="1:36" x14ac:dyDescent="0.2">
      <c r="A339" s="843" t="s">
        <v>142</v>
      </c>
      <c r="B339" s="893" t="s">
        <v>219</v>
      </c>
      <c r="C339" s="891" t="s">
        <v>249</v>
      </c>
      <c r="D339" s="892"/>
      <c r="E339" s="884"/>
      <c r="F339" s="885"/>
      <c r="G339" s="859"/>
      <c r="H339" s="860"/>
      <c r="I339" s="861"/>
      <c r="J339" s="862"/>
      <c r="K339" s="859"/>
      <c r="L339" s="863"/>
      <c r="M339" s="861"/>
      <c r="N339" s="859"/>
      <c r="O339" s="752">
        <f t="shared" si="42"/>
        <v>0</v>
      </c>
      <c r="P339" s="862"/>
      <c r="Q339" s="860"/>
      <c r="R339" s="753">
        <f t="shared" si="43"/>
        <v>0</v>
      </c>
      <c r="S339" s="752">
        <f t="shared" si="44"/>
        <v>0</v>
      </c>
      <c r="T339" s="754">
        <f t="shared" si="45"/>
        <v>0</v>
      </c>
      <c r="U339" s="859"/>
      <c r="V339" s="863"/>
      <c r="W339" s="859"/>
      <c r="X339" s="859"/>
      <c r="Y339" s="755">
        <f t="shared" si="46"/>
        <v>0</v>
      </c>
      <c r="Z339" s="864"/>
      <c r="AA339" s="863"/>
      <c r="AB339" s="756">
        <f t="shared" si="47"/>
        <v>0</v>
      </c>
      <c r="AC339" s="859"/>
      <c r="AD339" s="863"/>
      <c r="AE339" s="859"/>
      <c r="AF339" s="859"/>
      <c r="AG339" s="864"/>
      <c r="AH339" s="865"/>
      <c r="AI339" s="757">
        <f t="shared" si="48"/>
        <v>0</v>
      </c>
      <c r="AJ339" s="758">
        <f t="shared" si="49"/>
        <v>0</v>
      </c>
    </row>
    <row r="340" spans="1:36" x14ac:dyDescent="0.2">
      <c r="A340" s="843" t="s">
        <v>142</v>
      </c>
      <c r="B340" s="894" t="s">
        <v>292</v>
      </c>
      <c r="C340" s="890" t="s">
        <v>584</v>
      </c>
      <c r="D340" s="845"/>
      <c r="E340" s="884"/>
      <c r="F340" s="895"/>
      <c r="G340" s="859"/>
      <c r="H340" s="860"/>
      <c r="I340" s="861"/>
      <c r="J340" s="862"/>
      <c r="K340" s="859"/>
      <c r="L340" s="863"/>
      <c r="M340" s="861"/>
      <c r="N340" s="859"/>
      <c r="O340" s="752">
        <f t="shared" si="42"/>
        <v>0</v>
      </c>
      <c r="P340" s="862"/>
      <c r="Q340" s="860"/>
      <c r="R340" s="753">
        <f t="shared" si="43"/>
        <v>0</v>
      </c>
      <c r="S340" s="752">
        <f t="shared" si="44"/>
        <v>0</v>
      </c>
      <c r="T340" s="754">
        <f t="shared" si="45"/>
        <v>0</v>
      </c>
      <c r="U340" s="859"/>
      <c r="V340" s="863"/>
      <c r="W340" s="859"/>
      <c r="X340" s="859"/>
      <c r="Y340" s="755">
        <f t="shared" si="46"/>
        <v>0</v>
      </c>
      <c r="Z340" s="864"/>
      <c r="AA340" s="863"/>
      <c r="AB340" s="756">
        <f t="shared" si="47"/>
        <v>0</v>
      </c>
      <c r="AC340" s="859"/>
      <c r="AD340" s="863"/>
      <c r="AE340" s="859"/>
      <c r="AF340" s="859"/>
      <c r="AG340" s="864"/>
      <c r="AH340" s="865"/>
      <c r="AI340" s="757">
        <f t="shared" si="48"/>
        <v>0</v>
      </c>
      <c r="AJ340" s="758">
        <f t="shared" si="49"/>
        <v>0</v>
      </c>
    </row>
    <row r="341" spans="1:36" x14ac:dyDescent="0.2">
      <c r="A341" s="843" t="s">
        <v>142</v>
      </c>
      <c r="B341" s="844" t="s">
        <v>310</v>
      </c>
      <c r="C341" s="891" t="s">
        <v>311</v>
      </c>
      <c r="D341" s="892"/>
      <c r="E341" s="884"/>
      <c r="F341" s="885"/>
      <c r="G341" s="859"/>
      <c r="H341" s="860"/>
      <c r="I341" s="861"/>
      <c r="J341" s="862"/>
      <c r="K341" s="859"/>
      <c r="L341" s="863"/>
      <c r="M341" s="861"/>
      <c r="N341" s="859"/>
      <c r="O341" s="752">
        <f t="shared" si="42"/>
        <v>0</v>
      </c>
      <c r="P341" s="862"/>
      <c r="Q341" s="860"/>
      <c r="R341" s="753">
        <f t="shared" si="43"/>
        <v>0</v>
      </c>
      <c r="S341" s="752">
        <f t="shared" si="44"/>
        <v>0</v>
      </c>
      <c r="T341" s="754">
        <f t="shared" si="45"/>
        <v>0</v>
      </c>
      <c r="U341" s="859">
        <v>10399</v>
      </c>
      <c r="V341" s="863">
        <v>10399</v>
      </c>
      <c r="W341" s="859"/>
      <c r="X341" s="859"/>
      <c r="Y341" s="755">
        <f t="shared" si="46"/>
        <v>0</v>
      </c>
      <c r="Z341" s="864"/>
      <c r="AA341" s="863"/>
      <c r="AB341" s="756">
        <f t="shared" si="47"/>
        <v>0</v>
      </c>
      <c r="AC341" s="859"/>
      <c r="AD341" s="863"/>
      <c r="AE341" s="859"/>
      <c r="AF341" s="859"/>
      <c r="AG341" s="864"/>
      <c r="AH341" s="865"/>
      <c r="AI341" s="757">
        <f t="shared" si="48"/>
        <v>10399</v>
      </c>
      <c r="AJ341" s="758">
        <f t="shared" si="49"/>
        <v>10399</v>
      </c>
    </row>
    <row r="342" spans="1:36" x14ac:dyDescent="0.2">
      <c r="A342" s="843" t="s">
        <v>142</v>
      </c>
      <c r="B342" s="844" t="s">
        <v>251</v>
      </c>
      <c r="C342" s="891" t="s">
        <v>249</v>
      </c>
      <c r="D342" s="892"/>
      <c r="E342" s="884"/>
      <c r="F342" s="885"/>
      <c r="G342" s="859"/>
      <c r="H342" s="860"/>
      <c r="I342" s="861"/>
      <c r="J342" s="862"/>
      <c r="K342" s="859"/>
      <c r="L342" s="863"/>
      <c r="M342" s="861"/>
      <c r="N342" s="859"/>
      <c r="O342" s="752">
        <f t="shared" si="42"/>
        <v>0</v>
      </c>
      <c r="P342" s="862"/>
      <c r="Q342" s="860"/>
      <c r="R342" s="753">
        <f t="shared" si="43"/>
        <v>0</v>
      </c>
      <c r="S342" s="752">
        <f t="shared" si="44"/>
        <v>0</v>
      </c>
      <c r="T342" s="754">
        <f t="shared" si="45"/>
        <v>0</v>
      </c>
      <c r="U342" s="859"/>
      <c r="V342" s="863"/>
      <c r="W342" s="859"/>
      <c r="X342" s="859"/>
      <c r="Y342" s="755">
        <f t="shared" si="46"/>
        <v>0</v>
      </c>
      <c r="Z342" s="864"/>
      <c r="AA342" s="863"/>
      <c r="AB342" s="756">
        <f t="shared" si="47"/>
        <v>0</v>
      </c>
      <c r="AC342" s="859"/>
      <c r="AD342" s="863"/>
      <c r="AE342" s="859"/>
      <c r="AF342" s="859"/>
      <c r="AG342" s="864"/>
      <c r="AH342" s="865"/>
      <c r="AI342" s="757">
        <f t="shared" si="48"/>
        <v>0</v>
      </c>
      <c r="AJ342" s="758">
        <f t="shared" si="49"/>
        <v>0</v>
      </c>
    </row>
    <row r="343" spans="1:36" x14ac:dyDescent="0.2">
      <c r="A343" s="843" t="s">
        <v>142</v>
      </c>
      <c r="B343" s="893" t="s">
        <v>209</v>
      </c>
      <c r="C343" s="891" t="s">
        <v>576</v>
      </c>
      <c r="D343" s="892"/>
      <c r="E343" s="884"/>
      <c r="F343" s="885"/>
      <c r="G343" s="859"/>
      <c r="H343" s="860"/>
      <c r="I343" s="861"/>
      <c r="J343" s="862"/>
      <c r="K343" s="859"/>
      <c r="L343" s="863"/>
      <c r="M343" s="861"/>
      <c r="N343" s="859"/>
      <c r="O343" s="752">
        <f t="shared" si="42"/>
        <v>0</v>
      </c>
      <c r="P343" s="862"/>
      <c r="Q343" s="860"/>
      <c r="R343" s="753">
        <f t="shared" si="43"/>
        <v>0</v>
      </c>
      <c r="S343" s="752">
        <f t="shared" si="44"/>
        <v>0</v>
      </c>
      <c r="T343" s="754">
        <f t="shared" si="45"/>
        <v>0</v>
      </c>
      <c r="U343" s="859"/>
      <c r="V343" s="863"/>
      <c r="W343" s="859"/>
      <c r="X343" s="859"/>
      <c r="Y343" s="755">
        <f t="shared" si="46"/>
        <v>0</v>
      </c>
      <c r="Z343" s="864"/>
      <c r="AA343" s="863"/>
      <c r="AB343" s="756">
        <f t="shared" si="47"/>
        <v>0</v>
      </c>
      <c r="AC343" s="859"/>
      <c r="AD343" s="863"/>
      <c r="AE343" s="859"/>
      <c r="AF343" s="859"/>
      <c r="AG343" s="864"/>
      <c r="AH343" s="865"/>
      <c r="AI343" s="757">
        <f t="shared" si="48"/>
        <v>0</v>
      </c>
      <c r="AJ343" s="758">
        <f t="shared" si="49"/>
        <v>0</v>
      </c>
    </row>
    <row r="344" spans="1:36" x14ac:dyDescent="0.2">
      <c r="A344" s="843" t="s">
        <v>142</v>
      </c>
      <c r="B344" s="893" t="s">
        <v>210</v>
      </c>
      <c r="C344" s="891" t="s">
        <v>311</v>
      </c>
      <c r="D344" s="892"/>
      <c r="E344" s="884"/>
      <c r="F344" s="885"/>
      <c r="G344" s="859"/>
      <c r="H344" s="860"/>
      <c r="I344" s="861"/>
      <c r="J344" s="862"/>
      <c r="K344" s="859"/>
      <c r="L344" s="863"/>
      <c r="M344" s="861"/>
      <c r="N344" s="859"/>
      <c r="O344" s="752">
        <f t="shared" si="42"/>
        <v>0</v>
      </c>
      <c r="P344" s="862"/>
      <c r="Q344" s="860"/>
      <c r="R344" s="753">
        <f t="shared" si="43"/>
        <v>0</v>
      </c>
      <c r="S344" s="752">
        <f t="shared" si="44"/>
        <v>0</v>
      </c>
      <c r="T344" s="754">
        <f t="shared" si="45"/>
        <v>0</v>
      </c>
      <c r="U344" s="859"/>
      <c r="V344" s="863"/>
      <c r="W344" s="859"/>
      <c r="X344" s="859"/>
      <c r="Y344" s="755">
        <f t="shared" si="46"/>
        <v>0</v>
      </c>
      <c r="Z344" s="864"/>
      <c r="AA344" s="863"/>
      <c r="AB344" s="756">
        <f t="shared" si="47"/>
        <v>0</v>
      </c>
      <c r="AC344" s="859"/>
      <c r="AD344" s="863"/>
      <c r="AE344" s="859"/>
      <c r="AF344" s="859"/>
      <c r="AG344" s="864"/>
      <c r="AH344" s="865"/>
      <c r="AI344" s="757">
        <f t="shared" si="48"/>
        <v>0</v>
      </c>
      <c r="AJ344" s="758">
        <f t="shared" si="49"/>
        <v>0</v>
      </c>
    </row>
    <row r="345" spans="1:36" x14ac:dyDescent="0.2">
      <c r="A345" s="843" t="s">
        <v>142</v>
      </c>
      <c r="B345" s="893" t="s">
        <v>204</v>
      </c>
      <c r="C345" s="891" t="s">
        <v>249</v>
      </c>
      <c r="D345" s="892"/>
      <c r="E345" s="884"/>
      <c r="F345" s="885"/>
      <c r="G345" s="859"/>
      <c r="H345" s="860"/>
      <c r="I345" s="861"/>
      <c r="J345" s="862"/>
      <c r="K345" s="859"/>
      <c r="L345" s="863"/>
      <c r="M345" s="861"/>
      <c r="N345" s="859"/>
      <c r="O345" s="752">
        <f t="shared" si="42"/>
        <v>0</v>
      </c>
      <c r="P345" s="862"/>
      <c r="Q345" s="860"/>
      <c r="R345" s="753">
        <f t="shared" si="43"/>
        <v>0</v>
      </c>
      <c r="S345" s="752">
        <f t="shared" si="44"/>
        <v>0</v>
      </c>
      <c r="T345" s="754">
        <f t="shared" si="45"/>
        <v>0</v>
      </c>
      <c r="U345" s="859"/>
      <c r="V345" s="863"/>
      <c r="W345" s="859"/>
      <c r="X345" s="859"/>
      <c r="Y345" s="755">
        <f t="shared" si="46"/>
        <v>0</v>
      </c>
      <c r="Z345" s="864"/>
      <c r="AA345" s="863"/>
      <c r="AB345" s="756">
        <f t="shared" si="47"/>
        <v>0</v>
      </c>
      <c r="AC345" s="859"/>
      <c r="AD345" s="863"/>
      <c r="AE345" s="859"/>
      <c r="AF345" s="859"/>
      <c r="AG345" s="864"/>
      <c r="AH345" s="865"/>
      <c r="AI345" s="757">
        <f t="shared" si="48"/>
        <v>0</v>
      </c>
      <c r="AJ345" s="758">
        <f t="shared" si="49"/>
        <v>0</v>
      </c>
    </row>
    <row r="346" spans="1:36" x14ac:dyDescent="0.2">
      <c r="A346" s="843" t="s">
        <v>142</v>
      </c>
      <c r="B346" s="893" t="s">
        <v>205</v>
      </c>
      <c r="C346" s="891" t="s">
        <v>577</v>
      </c>
      <c r="D346" s="892"/>
      <c r="E346" s="884"/>
      <c r="F346" s="885"/>
      <c r="G346" s="859"/>
      <c r="H346" s="860"/>
      <c r="I346" s="861"/>
      <c r="J346" s="862"/>
      <c r="K346" s="859"/>
      <c r="L346" s="863"/>
      <c r="M346" s="861"/>
      <c r="N346" s="859"/>
      <c r="O346" s="752">
        <f t="shared" si="42"/>
        <v>0</v>
      </c>
      <c r="P346" s="862"/>
      <c r="Q346" s="860"/>
      <c r="R346" s="753">
        <f t="shared" si="43"/>
        <v>0</v>
      </c>
      <c r="S346" s="752">
        <f t="shared" si="44"/>
        <v>0</v>
      </c>
      <c r="T346" s="754">
        <f t="shared" si="45"/>
        <v>0</v>
      </c>
      <c r="U346" s="859"/>
      <c r="V346" s="863"/>
      <c r="W346" s="859"/>
      <c r="X346" s="859"/>
      <c r="Y346" s="755">
        <f t="shared" si="46"/>
        <v>0</v>
      </c>
      <c r="Z346" s="864"/>
      <c r="AA346" s="863"/>
      <c r="AB346" s="756">
        <f t="shared" si="47"/>
        <v>0</v>
      </c>
      <c r="AC346" s="859"/>
      <c r="AD346" s="863"/>
      <c r="AE346" s="859"/>
      <c r="AF346" s="859"/>
      <c r="AG346" s="864"/>
      <c r="AH346" s="865"/>
      <c r="AI346" s="757">
        <f t="shared" si="48"/>
        <v>0</v>
      </c>
      <c r="AJ346" s="758">
        <f t="shared" si="49"/>
        <v>0</v>
      </c>
    </row>
    <row r="347" spans="1:36" x14ac:dyDescent="0.2">
      <c r="A347" s="843" t="s">
        <v>142</v>
      </c>
      <c r="B347" s="893" t="s">
        <v>218</v>
      </c>
      <c r="C347" s="891" t="s">
        <v>311</v>
      </c>
      <c r="D347" s="892"/>
      <c r="E347" s="884"/>
      <c r="F347" s="885"/>
      <c r="G347" s="859"/>
      <c r="H347" s="860"/>
      <c r="I347" s="861"/>
      <c r="J347" s="862"/>
      <c r="K347" s="859"/>
      <c r="L347" s="863"/>
      <c r="M347" s="861"/>
      <c r="N347" s="859"/>
      <c r="O347" s="752">
        <f t="shared" si="42"/>
        <v>0</v>
      </c>
      <c r="P347" s="862"/>
      <c r="Q347" s="860"/>
      <c r="R347" s="753">
        <f t="shared" si="43"/>
        <v>0</v>
      </c>
      <c r="S347" s="752">
        <f t="shared" si="44"/>
        <v>0</v>
      </c>
      <c r="T347" s="754">
        <f t="shared" si="45"/>
        <v>0</v>
      </c>
      <c r="U347" s="859"/>
      <c r="V347" s="863"/>
      <c r="W347" s="859"/>
      <c r="X347" s="859"/>
      <c r="Y347" s="755">
        <f t="shared" si="46"/>
        <v>0</v>
      </c>
      <c r="Z347" s="864"/>
      <c r="AA347" s="863"/>
      <c r="AB347" s="756">
        <f t="shared" si="47"/>
        <v>0</v>
      </c>
      <c r="AC347" s="859"/>
      <c r="AD347" s="863"/>
      <c r="AE347" s="859"/>
      <c r="AF347" s="859"/>
      <c r="AG347" s="864"/>
      <c r="AH347" s="865"/>
      <c r="AI347" s="757">
        <f t="shared" si="48"/>
        <v>0</v>
      </c>
      <c r="AJ347" s="758">
        <f t="shared" si="49"/>
        <v>0</v>
      </c>
    </row>
    <row r="348" spans="1:36" x14ac:dyDescent="0.2">
      <c r="A348" s="843" t="s">
        <v>142</v>
      </c>
      <c r="B348" s="893" t="s">
        <v>219</v>
      </c>
      <c r="C348" s="891" t="s">
        <v>249</v>
      </c>
      <c r="D348" s="892"/>
      <c r="E348" s="884"/>
      <c r="F348" s="885"/>
      <c r="G348" s="859"/>
      <c r="H348" s="860"/>
      <c r="I348" s="861"/>
      <c r="J348" s="862"/>
      <c r="K348" s="859"/>
      <c r="L348" s="863"/>
      <c r="M348" s="861"/>
      <c r="N348" s="859"/>
      <c r="O348" s="752">
        <f t="shared" si="42"/>
        <v>0</v>
      </c>
      <c r="P348" s="862"/>
      <c r="Q348" s="860"/>
      <c r="R348" s="753">
        <f t="shared" si="43"/>
        <v>0</v>
      </c>
      <c r="S348" s="752">
        <f t="shared" si="44"/>
        <v>0</v>
      </c>
      <c r="T348" s="754">
        <f t="shared" si="45"/>
        <v>0</v>
      </c>
      <c r="U348" s="859"/>
      <c r="V348" s="863"/>
      <c r="W348" s="859"/>
      <c r="X348" s="859"/>
      <c r="Y348" s="755">
        <f t="shared" si="46"/>
        <v>0</v>
      </c>
      <c r="Z348" s="864"/>
      <c r="AA348" s="863"/>
      <c r="AB348" s="756">
        <f t="shared" si="47"/>
        <v>0</v>
      </c>
      <c r="AC348" s="859"/>
      <c r="AD348" s="863"/>
      <c r="AE348" s="859"/>
      <c r="AF348" s="859"/>
      <c r="AG348" s="864"/>
      <c r="AH348" s="865"/>
      <c r="AI348" s="757">
        <f t="shared" si="48"/>
        <v>0</v>
      </c>
      <c r="AJ348" s="758">
        <f t="shared" si="49"/>
        <v>0</v>
      </c>
    </row>
    <row r="349" spans="1:36" x14ac:dyDescent="0.2">
      <c r="A349" s="843" t="s">
        <v>142</v>
      </c>
      <c r="B349" s="894" t="s">
        <v>292</v>
      </c>
      <c r="C349" s="890" t="s">
        <v>585</v>
      </c>
      <c r="D349" s="845"/>
      <c r="E349" s="884"/>
      <c r="F349" s="895"/>
      <c r="G349" s="859"/>
      <c r="H349" s="860"/>
      <c r="I349" s="861"/>
      <c r="J349" s="862"/>
      <c r="K349" s="859"/>
      <c r="L349" s="863"/>
      <c r="M349" s="861"/>
      <c r="N349" s="859"/>
      <c r="O349" s="752">
        <f t="shared" si="42"/>
        <v>0</v>
      </c>
      <c r="P349" s="862"/>
      <c r="Q349" s="860"/>
      <c r="R349" s="753">
        <f t="shared" si="43"/>
        <v>0</v>
      </c>
      <c r="S349" s="752">
        <f t="shared" si="44"/>
        <v>0</v>
      </c>
      <c r="T349" s="754">
        <f t="shared" si="45"/>
        <v>0</v>
      </c>
      <c r="U349" s="859"/>
      <c r="V349" s="863"/>
      <c r="W349" s="859"/>
      <c r="X349" s="859"/>
      <c r="Y349" s="755">
        <f t="shared" si="46"/>
        <v>0</v>
      </c>
      <c r="Z349" s="864"/>
      <c r="AA349" s="863"/>
      <c r="AB349" s="756">
        <f t="shared" si="47"/>
        <v>0</v>
      </c>
      <c r="AC349" s="859"/>
      <c r="AD349" s="863"/>
      <c r="AE349" s="859"/>
      <c r="AF349" s="859"/>
      <c r="AG349" s="864"/>
      <c r="AH349" s="865"/>
      <c r="AI349" s="757">
        <f t="shared" si="48"/>
        <v>0</v>
      </c>
      <c r="AJ349" s="758">
        <f t="shared" si="49"/>
        <v>0</v>
      </c>
    </row>
    <row r="350" spans="1:36" x14ac:dyDescent="0.2">
      <c r="A350" s="843" t="s">
        <v>142</v>
      </c>
      <c r="B350" s="893" t="s">
        <v>209</v>
      </c>
      <c r="C350" s="891" t="s">
        <v>576</v>
      </c>
      <c r="D350" s="892"/>
      <c r="E350" s="884"/>
      <c r="F350" s="885"/>
      <c r="G350" s="859"/>
      <c r="H350" s="860"/>
      <c r="I350" s="861"/>
      <c r="J350" s="862"/>
      <c r="K350" s="859"/>
      <c r="L350" s="863"/>
      <c r="M350" s="861"/>
      <c r="N350" s="859"/>
      <c r="O350" s="752">
        <f t="shared" si="42"/>
        <v>0</v>
      </c>
      <c r="P350" s="862"/>
      <c r="Q350" s="860"/>
      <c r="R350" s="753">
        <f t="shared" si="43"/>
        <v>0</v>
      </c>
      <c r="S350" s="752">
        <f t="shared" si="44"/>
        <v>0</v>
      </c>
      <c r="T350" s="754">
        <f t="shared" si="45"/>
        <v>0</v>
      </c>
      <c r="U350" s="859"/>
      <c r="V350" s="863"/>
      <c r="W350" s="859"/>
      <c r="X350" s="859"/>
      <c r="Y350" s="755">
        <f t="shared" si="46"/>
        <v>0</v>
      </c>
      <c r="Z350" s="864"/>
      <c r="AA350" s="863"/>
      <c r="AB350" s="756">
        <f t="shared" si="47"/>
        <v>0</v>
      </c>
      <c r="AC350" s="859"/>
      <c r="AD350" s="863"/>
      <c r="AE350" s="859"/>
      <c r="AF350" s="859"/>
      <c r="AG350" s="864"/>
      <c r="AH350" s="865"/>
      <c r="AI350" s="757">
        <f t="shared" si="48"/>
        <v>0</v>
      </c>
      <c r="AJ350" s="758">
        <f t="shared" si="49"/>
        <v>0</v>
      </c>
    </row>
    <row r="351" spans="1:36" x14ac:dyDescent="0.2">
      <c r="A351" s="843" t="s">
        <v>142</v>
      </c>
      <c r="B351" s="893" t="s">
        <v>210</v>
      </c>
      <c r="C351" s="891" t="s">
        <v>311</v>
      </c>
      <c r="D351" s="892"/>
      <c r="E351" s="884"/>
      <c r="F351" s="885"/>
      <c r="G351" s="859"/>
      <c r="H351" s="860"/>
      <c r="I351" s="861"/>
      <c r="J351" s="862"/>
      <c r="K351" s="859"/>
      <c r="L351" s="863"/>
      <c r="M351" s="861"/>
      <c r="N351" s="859"/>
      <c r="O351" s="752">
        <f t="shared" si="42"/>
        <v>0</v>
      </c>
      <c r="P351" s="862"/>
      <c r="Q351" s="860"/>
      <c r="R351" s="753">
        <f t="shared" si="43"/>
        <v>0</v>
      </c>
      <c r="S351" s="752">
        <f t="shared" si="44"/>
        <v>0</v>
      </c>
      <c r="T351" s="754">
        <f t="shared" si="45"/>
        <v>0</v>
      </c>
      <c r="U351" s="859"/>
      <c r="V351" s="863"/>
      <c r="W351" s="859"/>
      <c r="X351" s="859"/>
      <c r="Y351" s="755">
        <f t="shared" si="46"/>
        <v>0</v>
      </c>
      <c r="Z351" s="864"/>
      <c r="AA351" s="863"/>
      <c r="AB351" s="756">
        <f t="shared" si="47"/>
        <v>0</v>
      </c>
      <c r="AC351" s="859"/>
      <c r="AD351" s="863"/>
      <c r="AE351" s="859"/>
      <c r="AF351" s="859"/>
      <c r="AG351" s="864"/>
      <c r="AH351" s="865"/>
      <c r="AI351" s="757">
        <f t="shared" si="48"/>
        <v>0</v>
      </c>
      <c r="AJ351" s="758">
        <f t="shared" si="49"/>
        <v>0</v>
      </c>
    </row>
    <row r="352" spans="1:36" x14ac:dyDescent="0.2">
      <c r="A352" s="843" t="s">
        <v>142</v>
      </c>
      <c r="B352" s="893" t="s">
        <v>204</v>
      </c>
      <c r="C352" s="891" t="s">
        <v>249</v>
      </c>
      <c r="D352" s="892"/>
      <c r="E352" s="884"/>
      <c r="F352" s="885"/>
      <c r="G352" s="859"/>
      <c r="H352" s="860"/>
      <c r="I352" s="861"/>
      <c r="J352" s="862"/>
      <c r="K352" s="859"/>
      <c r="L352" s="863"/>
      <c r="M352" s="861"/>
      <c r="N352" s="859"/>
      <c r="O352" s="752">
        <f t="shared" si="42"/>
        <v>0</v>
      </c>
      <c r="P352" s="862"/>
      <c r="Q352" s="860"/>
      <c r="R352" s="753">
        <f t="shared" si="43"/>
        <v>0</v>
      </c>
      <c r="S352" s="752">
        <f t="shared" si="44"/>
        <v>0</v>
      </c>
      <c r="T352" s="754">
        <f t="shared" si="45"/>
        <v>0</v>
      </c>
      <c r="U352" s="859">
        <v>45762391</v>
      </c>
      <c r="V352" s="1101">
        <v>53234609</v>
      </c>
      <c r="W352" s="859"/>
      <c r="X352" s="859"/>
      <c r="Y352" s="755">
        <f t="shared" si="46"/>
        <v>0</v>
      </c>
      <c r="Z352" s="864"/>
      <c r="AA352" s="863"/>
      <c r="AB352" s="756">
        <f t="shared" si="47"/>
        <v>0</v>
      </c>
      <c r="AC352" s="859"/>
      <c r="AD352" s="863"/>
      <c r="AE352" s="859"/>
      <c r="AF352" s="859"/>
      <c r="AG352" s="864"/>
      <c r="AH352" s="865"/>
      <c r="AI352" s="757">
        <f t="shared" si="48"/>
        <v>45762391</v>
      </c>
      <c r="AJ352" s="758">
        <f t="shared" si="49"/>
        <v>53234609</v>
      </c>
    </row>
    <row r="353" spans="1:36" x14ac:dyDescent="0.2">
      <c r="A353" s="843" t="s">
        <v>142</v>
      </c>
      <c r="B353" s="893" t="s">
        <v>205</v>
      </c>
      <c r="C353" s="891" t="s">
        <v>577</v>
      </c>
      <c r="D353" s="892"/>
      <c r="E353" s="884"/>
      <c r="F353" s="885"/>
      <c r="G353" s="859"/>
      <c r="H353" s="860"/>
      <c r="I353" s="861"/>
      <c r="J353" s="862"/>
      <c r="K353" s="859"/>
      <c r="L353" s="863"/>
      <c r="M353" s="861"/>
      <c r="N353" s="859"/>
      <c r="O353" s="752">
        <f t="shared" si="42"/>
        <v>0</v>
      </c>
      <c r="P353" s="862"/>
      <c r="Q353" s="860"/>
      <c r="R353" s="753">
        <f t="shared" si="43"/>
        <v>0</v>
      </c>
      <c r="S353" s="752">
        <f t="shared" si="44"/>
        <v>0</v>
      </c>
      <c r="T353" s="754">
        <f t="shared" si="45"/>
        <v>0</v>
      </c>
      <c r="U353" s="859"/>
      <c r="V353" s="863"/>
      <c r="W353" s="859"/>
      <c r="X353" s="859"/>
      <c r="Y353" s="755">
        <f t="shared" si="46"/>
        <v>0</v>
      </c>
      <c r="Z353" s="864"/>
      <c r="AA353" s="863"/>
      <c r="AB353" s="756">
        <f t="shared" si="47"/>
        <v>0</v>
      </c>
      <c r="AC353" s="859"/>
      <c r="AD353" s="863"/>
      <c r="AE353" s="859"/>
      <c r="AF353" s="859"/>
      <c r="AG353" s="864"/>
      <c r="AH353" s="865"/>
      <c r="AI353" s="757">
        <f t="shared" si="48"/>
        <v>0</v>
      </c>
      <c r="AJ353" s="758">
        <f t="shared" si="49"/>
        <v>0</v>
      </c>
    </row>
    <row r="354" spans="1:36" x14ac:dyDescent="0.2">
      <c r="A354" s="843" t="s">
        <v>142</v>
      </c>
      <c r="B354" s="893" t="s">
        <v>218</v>
      </c>
      <c r="C354" s="891" t="s">
        <v>311</v>
      </c>
      <c r="D354" s="892"/>
      <c r="E354" s="884"/>
      <c r="F354" s="885"/>
      <c r="G354" s="859"/>
      <c r="H354" s="860"/>
      <c r="I354" s="861"/>
      <c r="J354" s="862"/>
      <c r="K354" s="859"/>
      <c r="L354" s="863"/>
      <c r="M354" s="861"/>
      <c r="N354" s="859"/>
      <c r="O354" s="752">
        <f t="shared" si="42"/>
        <v>0</v>
      </c>
      <c r="P354" s="862"/>
      <c r="Q354" s="860"/>
      <c r="R354" s="753">
        <f t="shared" si="43"/>
        <v>0</v>
      </c>
      <c r="S354" s="752">
        <f t="shared" si="44"/>
        <v>0</v>
      </c>
      <c r="T354" s="754">
        <f t="shared" si="45"/>
        <v>0</v>
      </c>
      <c r="U354" s="859"/>
      <c r="V354" s="863"/>
      <c r="W354" s="859"/>
      <c r="X354" s="859"/>
      <c r="Y354" s="755">
        <f t="shared" si="46"/>
        <v>0</v>
      </c>
      <c r="Z354" s="864"/>
      <c r="AA354" s="863"/>
      <c r="AB354" s="756">
        <f t="shared" si="47"/>
        <v>0</v>
      </c>
      <c r="AC354" s="859"/>
      <c r="AD354" s="863"/>
      <c r="AE354" s="859"/>
      <c r="AF354" s="859"/>
      <c r="AG354" s="864"/>
      <c r="AH354" s="865"/>
      <c r="AI354" s="757">
        <f t="shared" si="48"/>
        <v>0</v>
      </c>
      <c r="AJ354" s="758">
        <f t="shared" si="49"/>
        <v>0</v>
      </c>
    </row>
    <row r="355" spans="1:36" x14ac:dyDescent="0.2">
      <c r="A355" s="843" t="s">
        <v>142</v>
      </c>
      <c r="B355" s="893" t="s">
        <v>219</v>
      </c>
      <c r="C355" s="891" t="s">
        <v>249</v>
      </c>
      <c r="D355" s="892"/>
      <c r="E355" s="884"/>
      <c r="F355" s="885"/>
      <c r="G355" s="859"/>
      <c r="H355" s="860"/>
      <c r="I355" s="861"/>
      <c r="J355" s="862"/>
      <c r="K355" s="859"/>
      <c r="L355" s="863"/>
      <c r="M355" s="861"/>
      <c r="N355" s="859"/>
      <c r="O355" s="752">
        <f t="shared" si="42"/>
        <v>0</v>
      </c>
      <c r="P355" s="862"/>
      <c r="Q355" s="860"/>
      <c r="R355" s="753">
        <f t="shared" si="43"/>
        <v>0</v>
      </c>
      <c r="S355" s="752">
        <f t="shared" si="44"/>
        <v>0</v>
      </c>
      <c r="T355" s="754">
        <f t="shared" si="45"/>
        <v>0</v>
      </c>
      <c r="U355" s="859"/>
      <c r="V355" s="863"/>
      <c r="W355" s="859"/>
      <c r="X355" s="859"/>
      <c r="Y355" s="755">
        <f t="shared" si="46"/>
        <v>0</v>
      </c>
      <c r="Z355" s="864"/>
      <c r="AA355" s="863"/>
      <c r="AB355" s="756">
        <f t="shared" si="47"/>
        <v>0</v>
      </c>
      <c r="AC355" s="859"/>
      <c r="AD355" s="863"/>
      <c r="AE355" s="859"/>
      <c r="AF355" s="859"/>
      <c r="AG355" s="864"/>
      <c r="AH355" s="865"/>
      <c r="AI355" s="757">
        <f t="shared" si="48"/>
        <v>0</v>
      </c>
      <c r="AJ355" s="758">
        <f t="shared" si="49"/>
        <v>0</v>
      </c>
    </row>
    <row r="356" spans="1:36" x14ac:dyDescent="0.2">
      <c r="A356" s="843" t="s">
        <v>142</v>
      </c>
      <c r="B356" s="894" t="s">
        <v>292</v>
      </c>
      <c r="C356" s="890" t="s">
        <v>586</v>
      </c>
      <c r="D356" s="845"/>
      <c r="E356" s="884"/>
      <c r="F356" s="895"/>
      <c r="G356" s="859"/>
      <c r="H356" s="860"/>
      <c r="I356" s="861"/>
      <c r="J356" s="862"/>
      <c r="K356" s="859"/>
      <c r="L356" s="863"/>
      <c r="M356" s="861"/>
      <c r="N356" s="859"/>
      <c r="O356" s="752">
        <f t="shared" si="42"/>
        <v>0</v>
      </c>
      <c r="P356" s="862"/>
      <c r="Q356" s="860"/>
      <c r="R356" s="753">
        <f t="shared" si="43"/>
        <v>0</v>
      </c>
      <c r="S356" s="752">
        <f t="shared" si="44"/>
        <v>0</v>
      </c>
      <c r="T356" s="754">
        <f t="shared" si="45"/>
        <v>0</v>
      </c>
      <c r="U356" s="859"/>
      <c r="V356" s="863"/>
      <c r="W356" s="859"/>
      <c r="X356" s="859"/>
      <c r="Y356" s="755">
        <f t="shared" si="46"/>
        <v>0</v>
      </c>
      <c r="Z356" s="864"/>
      <c r="AA356" s="863"/>
      <c r="AB356" s="756">
        <f t="shared" si="47"/>
        <v>0</v>
      </c>
      <c r="AC356" s="859"/>
      <c r="AD356" s="863"/>
      <c r="AE356" s="859"/>
      <c r="AF356" s="859"/>
      <c r="AG356" s="864"/>
      <c r="AH356" s="865"/>
      <c r="AI356" s="757">
        <f t="shared" si="48"/>
        <v>0</v>
      </c>
      <c r="AJ356" s="758">
        <f t="shared" si="49"/>
        <v>0</v>
      </c>
    </row>
    <row r="357" spans="1:36" x14ac:dyDescent="0.2">
      <c r="A357" s="843" t="s">
        <v>142</v>
      </c>
      <c r="B357" s="893" t="s">
        <v>209</v>
      </c>
      <c r="C357" s="891" t="s">
        <v>576</v>
      </c>
      <c r="D357" s="892"/>
      <c r="E357" s="884"/>
      <c r="F357" s="885"/>
      <c r="G357" s="859"/>
      <c r="H357" s="860"/>
      <c r="I357" s="861"/>
      <c r="J357" s="862"/>
      <c r="K357" s="859"/>
      <c r="L357" s="863"/>
      <c r="M357" s="861"/>
      <c r="N357" s="859"/>
      <c r="O357" s="752">
        <f t="shared" si="42"/>
        <v>0</v>
      </c>
      <c r="P357" s="862"/>
      <c r="Q357" s="860"/>
      <c r="R357" s="753">
        <f t="shared" si="43"/>
        <v>0</v>
      </c>
      <c r="S357" s="752">
        <f t="shared" si="44"/>
        <v>0</v>
      </c>
      <c r="T357" s="754">
        <f t="shared" si="45"/>
        <v>0</v>
      </c>
      <c r="U357" s="859"/>
      <c r="V357" s="863"/>
      <c r="W357" s="859"/>
      <c r="X357" s="859"/>
      <c r="Y357" s="755">
        <f t="shared" si="46"/>
        <v>0</v>
      </c>
      <c r="Z357" s="864"/>
      <c r="AA357" s="863"/>
      <c r="AB357" s="756">
        <f t="shared" si="47"/>
        <v>0</v>
      </c>
      <c r="AC357" s="859"/>
      <c r="AD357" s="863"/>
      <c r="AE357" s="859"/>
      <c r="AF357" s="859"/>
      <c r="AG357" s="864"/>
      <c r="AH357" s="865"/>
      <c r="AI357" s="757">
        <f t="shared" si="48"/>
        <v>0</v>
      </c>
      <c r="AJ357" s="758">
        <f t="shared" si="49"/>
        <v>0</v>
      </c>
    </row>
    <row r="358" spans="1:36" x14ac:dyDescent="0.2">
      <c r="A358" s="843" t="s">
        <v>142</v>
      </c>
      <c r="B358" s="893" t="s">
        <v>210</v>
      </c>
      <c r="C358" s="891" t="s">
        <v>311</v>
      </c>
      <c r="D358" s="892"/>
      <c r="E358" s="884"/>
      <c r="F358" s="885"/>
      <c r="G358" s="859"/>
      <c r="H358" s="860"/>
      <c r="I358" s="861"/>
      <c r="J358" s="862"/>
      <c r="K358" s="859"/>
      <c r="L358" s="863"/>
      <c r="M358" s="861"/>
      <c r="N358" s="859"/>
      <c r="O358" s="752">
        <f t="shared" si="42"/>
        <v>0</v>
      </c>
      <c r="P358" s="862"/>
      <c r="Q358" s="860"/>
      <c r="R358" s="753">
        <f t="shared" si="43"/>
        <v>0</v>
      </c>
      <c r="S358" s="752">
        <f t="shared" si="44"/>
        <v>0</v>
      </c>
      <c r="T358" s="754">
        <f t="shared" si="45"/>
        <v>0</v>
      </c>
      <c r="U358" s="859"/>
      <c r="V358" s="863"/>
      <c r="W358" s="859"/>
      <c r="X358" s="859"/>
      <c r="Y358" s="755">
        <f t="shared" si="46"/>
        <v>0</v>
      </c>
      <c r="Z358" s="864"/>
      <c r="AA358" s="863"/>
      <c r="AB358" s="756">
        <f t="shared" si="47"/>
        <v>0</v>
      </c>
      <c r="AC358" s="859"/>
      <c r="AD358" s="863"/>
      <c r="AE358" s="859"/>
      <c r="AF358" s="859"/>
      <c r="AG358" s="864"/>
      <c r="AH358" s="865"/>
      <c r="AI358" s="757">
        <f t="shared" si="48"/>
        <v>0</v>
      </c>
      <c r="AJ358" s="758">
        <f t="shared" si="49"/>
        <v>0</v>
      </c>
    </row>
    <row r="359" spans="1:36" x14ac:dyDescent="0.2">
      <c r="A359" s="843" t="s">
        <v>142</v>
      </c>
      <c r="B359" s="893" t="s">
        <v>204</v>
      </c>
      <c r="C359" s="891" t="s">
        <v>249</v>
      </c>
      <c r="D359" s="892"/>
      <c r="E359" s="884"/>
      <c r="F359" s="885"/>
      <c r="G359" s="859"/>
      <c r="H359" s="860"/>
      <c r="I359" s="861"/>
      <c r="J359" s="862"/>
      <c r="K359" s="859"/>
      <c r="L359" s="863"/>
      <c r="M359" s="861"/>
      <c r="N359" s="859"/>
      <c r="O359" s="752">
        <f t="shared" si="42"/>
        <v>0</v>
      </c>
      <c r="P359" s="862"/>
      <c r="Q359" s="860"/>
      <c r="R359" s="753">
        <f t="shared" si="43"/>
        <v>0</v>
      </c>
      <c r="S359" s="752">
        <f t="shared" si="44"/>
        <v>0</v>
      </c>
      <c r="T359" s="754">
        <f t="shared" si="45"/>
        <v>0</v>
      </c>
      <c r="U359" s="859">
        <v>146358</v>
      </c>
      <c r="V359" s="863">
        <v>146358</v>
      </c>
      <c r="W359" s="859"/>
      <c r="X359" s="859"/>
      <c r="Y359" s="755">
        <f t="shared" si="46"/>
        <v>0</v>
      </c>
      <c r="Z359" s="864"/>
      <c r="AA359" s="863"/>
      <c r="AB359" s="756">
        <f t="shared" si="47"/>
        <v>0</v>
      </c>
      <c r="AC359" s="859"/>
      <c r="AD359" s="863"/>
      <c r="AE359" s="859"/>
      <c r="AF359" s="859"/>
      <c r="AG359" s="864"/>
      <c r="AH359" s="865"/>
      <c r="AI359" s="757">
        <f t="shared" si="48"/>
        <v>146358</v>
      </c>
      <c r="AJ359" s="758">
        <f t="shared" si="49"/>
        <v>146358</v>
      </c>
    </row>
    <row r="360" spans="1:36" x14ac:dyDescent="0.2">
      <c r="A360" s="843" t="s">
        <v>142</v>
      </c>
      <c r="B360" s="893" t="s">
        <v>205</v>
      </c>
      <c r="C360" s="891" t="s">
        <v>577</v>
      </c>
      <c r="D360" s="892"/>
      <c r="E360" s="884"/>
      <c r="F360" s="885"/>
      <c r="G360" s="859"/>
      <c r="H360" s="860"/>
      <c r="I360" s="861"/>
      <c r="J360" s="862"/>
      <c r="K360" s="859"/>
      <c r="L360" s="863"/>
      <c r="M360" s="861"/>
      <c r="N360" s="859"/>
      <c r="O360" s="752">
        <f t="shared" si="42"/>
        <v>0</v>
      </c>
      <c r="P360" s="862"/>
      <c r="Q360" s="860"/>
      <c r="R360" s="753">
        <f t="shared" si="43"/>
        <v>0</v>
      </c>
      <c r="S360" s="752">
        <f t="shared" si="44"/>
        <v>0</v>
      </c>
      <c r="T360" s="754">
        <f t="shared" si="45"/>
        <v>0</v>
      </c>
      <c r="U360" s="859"/>
      <c r="V360" s="863"/>
      <c r="W360" s="859"/>
      <c r="X360" s="859"/>
      <c r="Y360" s="755">
        <f t="shared" si="46"/>
        <v>0</v>
      </c>
      <c r="Z360" s="864"/>
      <c r="AA360" s="863"/>
      <c r="AB360" s="756">
        <f t="shared" si="47"/>
        <v>0</v>
      </c>
      <c r="AC360" s="859"/>
      <c r="AD360" s="863"/>
      <c r="AE360" s="859"/>
      <c r="AF360" s="859"/>
      <c r="AG360" s="864"/>
      <c r="AH360" s="865"/>
      <c r="AI360" s="757">
        <f t="shared" si="48"/>
        <v>0</v>
      </c>
      <c r="AJ360" s="758">
        <f t="shared" si="49"/>
        <v>0</v>
      </c>
    </row>
    <row r="361" spans="1:36" x14ac:dyDescent="0.2">
      <c r="A361" s="843" t="s">
        <v>142</v>
      </c>
      <c r="B361" s="893" t="s">
        <v>218</v>
      </c>
      <c r="C361" s="891" t="s">
        <v>311</v>
      </c>
      <c r="D361" s="892"/>
      <c r="E361" s="884"/>
      <c r="F361" s="885"/>
      <c r="G361" s="859"/>
      <c r="H361" s="860"/>
      <c r="I361" s="861"/>
      <c r="J361" s="862"/>
      <c r="K361" s="859"/>
      <c r="L361" s="863"/>
      <c r="M361" s="861"/>
      <c r="N361" s="859"/>
      <c r="O361" s="752">
        <f t="shared" si="42"/>
        <v>0</v>
      </c>
      <c r="P361" s="862"/>
      <c r="Q361" s="860"/>
      <c r="R361" s="753">
        <f t="shared" si="43"/>
        <v>0</v>
      </c>
      <c r="S361" s="752">
        <f t="shared" si="44"/>
        <v>0</v>
      </c>
      <c r="T361" s="754">
        <f t="shared" si="45"/>
        <v>0</v>
      </c>
      <c r="U361" s="859"/>
      <c r="V361" s="863"/>
      <c r="W361" s="859"/>
      <c r="X361" s="859"/>
      <c r="Y361" s="755">
        <f t="shared" si="46"/>
        <v>0</v>
      </c>
      <c r="Z361" s="864"/>
      <c r="AA361" s="863"/>
      <c r="AB361" s="756">
        <f t="shared" si="47"/>
        <v>0</v>
      </c>
      <c r="AC361" s="859"/>
      <c r="AD361" s="863"/>
      <c r="AE361" s="859"/>
      <c r="AF361" s="859"/>
      <c r="AG361" s="864"/>
      <c r="AH361" s="865"/>
      <c r="AI361" s="757">
        <f t="shared" si="48"/>
        <v>0</v>
      </c>
      <c r="AJ361" s="758">
        <f t="shared" si="49"/>
        <v>0</v>
      </c>
    </row>
    <row r="362" spans="1:36" x14ac:dyDescent="0.2">
      <c r="A362" s="843" t="s">
        <v>142</v>
      </c>
      <c r="B362" s="893" t="s">
        <v>219</v>
      </c>
      <c r="C362" s="891" t="s">
        <v>249</v>
      </c>
      <c r="D362" s="892"/>
      <c r="E362" s="884"/>
      <c r="F362" s="885"/>
      <c r="G362" s="859"/>
      <c r="H362" s="860"/>
      <c r="I362" s="861"/>
      <c r="J362" s="862"/>
      <c r="K362" s="859"/>
      <c r="L362" s="863"/>
      <c r="M362" s="861"/>
      <c r="N362" s="859"/>
      <c r="O362" s="752">
        <f t="shared" si="42"/>
        <v>0</v>
      </c>
      <c r="P362" s="862"/>
      <c r="Q362" s="860"/>
      <c r="R362" s="753">
        <f t="shared" si="43"/>
        <v>0</v>
      </c>
      <c r="S362" s="752">
        <f t="shared" si="44"/>
        <v>0</v>
      </c>
      <c r="T362" s="754">
        <f t="shared" si="45"/>
        <v>0</v>
      </c>
      <c r="U362" s="859"/>
      <c r="V362" s="863"/>
      <c r="W362" s="859"/>
      <c r="X362" s="859"/>
      <c r="Y362" s="755">
        <f t="shared" si="46"/>
        <v>0</v>
      </c>
      <c r="Z362" s="864"/>
      <c r="AA362" s="863"/>
      <c r="AB362" s="756">
        <f t="shared" si="47"/>
        <v>0</v>
      </c>
      <c r="AC362" s="859"/>
      <c r="AD362" s="863"/>
      <c r="AE362" s="859"/>
      <c r="AF362" s="859"/>
      <c r="AG362" s="864"/>
      <c r="AH362" s="865"/>
      <c r="AI362" s="757">
        <f t="shared" si="48"/>
        <v>0</v>
      </c>
      <c r="AJ362" s="758">
        <f t="shared" si="49"/>
        <v>0</v>
      </c>
    </row>
    <row r="363" spans="1:36" x14ac:dyDescent="0.2">
      <c r="A363" s="843" t="s">
        <v>142</v>
      </c>
      <c r="B363" s="894" t="s">
        <v>292</v>
      </c>
      <c r="C363" s="890" t="s">
        <v>587</v>
      </c>
      <c r="D363" s="845"/>
      <c r="E363" s="884"/>
      <c r="F363" s="895"/>
      <c r="G363" s="859"/>
      <c r="H363" s="860"/>
      <c r="I363" s="861"/>
      <c r="J363" s="862"/>
      <c r="K363" s="859"/>
      <c r="L363" s="863"/>
      <c r="M363" s="861"/>
      <c r="N363" s="859"/>
      <c r="O363" s="752">
        <f t="shared" si="42"/>
        <v>0</v>
      </c>
      <c r="P363" s="862"/>
      <c r="Q363" s="860"/>
      <c r="R363" s="753">
        <f t="shared" si="43"/>
        <v>0</v>
      </c>
      <c r="S363" s="752">
        <f t="shared" si="44"/>
        <v>0</v>
      </c>
      <c r="T363" s="754">
        <f t="shared" si="45"/>
        <v>0</v>
      </c>
      <c r="U363" s="859"/>
      <c r="V363" s="863"/>
      <c r="W363" s="859"/>
      <c r="X363" s="859"/>
      <c r="Y363" s="755">
        <f t="shared" si="46"/>
        <v>0</v>
      </c>
      <c r="Z363" s="864"/>
      <c r="AA363" s="863"/>
      <c r="AB363" s="756">
        <f t="shared" si="47"/>
        <v>0</v>
      </c>
      <c r="AC363" s="859"/>
      <c r="AD363" s="863"/>
      <c r="AE363" s="859"/>
      <c r="AF363" s="859"/>
      <c r="AG363" s="864"/>
      <c r="AH363" s="865"/>
      <c r="AI363" s="757">
        <f t="shared" si="48"/>
        <v>0</v>
      </c>
      <c r="AJ363" s="758">
        <f t="shared" si="49"/>
        <v>0</v>
      </c>
    </row>
    <row r="364" spans="1:36" x14ac:dyDescent="0.2">
      <c r="A364" s="843" t="s">
        <v>142</v>
      </c>
      <c r="B364" s="893" t="s">
        <v>209</v>
      </c>
      <c r="C364" s="891" t="s">
        <v>576</v>
      </c>
      <c r="D364" s="892"/>
      <c r="E364" s="884"/>
      <c r="F364" s="885"/>
      <c r="G364" s="859"/>
      <c r="H364" s="860"/>
      <c r="I364" s="861"/>
      <c r="J364" s="862"/>
      <c r="K364" s="859"/>
      <c r="L364" s="863"/>
      <c r="M364" s="861"/>
      <c r="N364" s="859"/>
      <c r="O364" s="752">
        <f t="shared" si="42"/>
        <v>0</v>
      </c>
      <c r="P364" s="862"/>
      <c r="Q364" s="860"/>
      <c r="R364" s="753">
        <f t="shared" si="43"/>
        <v>0</v>
      </c>
      <c r="S364" s="752">
        <f t="shared" si="44"/>
        <v>0</v>
      </c>
      <c r="T364" s="754">
        <f t="shared" si="45"/>
        <v>0</v>
      </c>
      <c r="U364" s="859"/>
      <c r="V364" s="863"/>
      <c r="W364" s="859"/>
      <c r="X364" s="859"/>
      <c r="Y364" s="755">
        <f t="shared" si="46"/>
        <v>0</v>
      </c>
      <c r="Z364" s="864"/>
      <c r="AA364" s="863"/>
      <c r="AB364" s="756">
        <f t="shared" si="47"/>
        <v>0</v>
      </c>
      <c r="AC364" s="859"/>
      <c r="AD364" s="863"/>
      <c r="AE364" s="859"/>
      <c r="AF364" s="859"/>
      <c r="AG364" s="864"/>
      <c r="AH364" s="865"/>
      <c r="AI364" s="757">
        <f t="shared" si="48"/>
        <v>0</v>
      </c>
      <c r="AJ364" s="758">
        <f t="shared" si="49"/>
        <v>0</v>
      </c>
    </row>
    <row r="365" spans="1:36" x14ac:dyDescent="0.2">
      <c r="A365" s="843" t="s">
        <v>142</v>
      </c>
      <c r="B365" s="893" t="s">
        <v>210</v>
      </c>
      <c r="C365" s="891" t="s">
        <v>311</v>
      </c>
      <c r="D365" s="892"/>
      <c r="E365" s="884"/>
      <c r="F365" s="885"/>
      <c r="G365" s="859"/>
      <c r="H365" s="860"/>
      <c r="I365" s="861"/>
      <c r="J365" s="862"/>
      <c r="K365" s="859"/>
      <c r="L365" s="863"/>
      <c r="M365" s="861"/>
      <c r="N365" s="859"/>
      <c r="O365" s="752">
        <f t="shared" si="42"/>
        <v>0</v>
      </c>
      <c r="P365" s="862"/>
      <c r="Q365" s="860"/>
      <c r="R365" s="753">
        <f t="shared" si="43"/>
        <v>0</v>
      </c>
      <c r="S365" s="752">
        <f t="shared" si="44"/>
        <v>0</v>
      </c>
      <c r="T365" s="754">
        <f t="shared" si="45"/>
        <v>0</v>
      </c>
      <c r="U365" s="859"/>
      <c r="V365" s="863"/>
      <c r="W365" s="859"/>
      <c r="X365" s="859"/>
      <c r="Y365" s="755">
        <f t="shared" si="46"/>
        <v>0</v>
      </c>
      <c r="Z365" s="864"/>
      <c r="AA365" s="863"/>
      <c r="AB365" s="756">
        <f t="shared" si="47"/>
        <v>0</v>
      </c>
      <c r="AC365" s="859"/>
      <c r="AD365" s="863"/>
      <c r="AE365" s="859"/>
      <c r="AF365" s="859"/>
      <c r="AG365" s="864"/>
      <c r="AH365" s="865"/>
      <c r="AI365" s="757">
        <f t="shared" si="48"/>
        <v>0</v>
      </c>
      <c r="AJ365" s="758">
        <f t="shared" si="49"/>
        <v>0</v>
      </c>
    </row>
    <row r="366" spans="1:36" x14ac:dyDescent="0.2">
      <c r="A366" s="843" t="s">
        <v>142</v>
      </c>
      <c r="B366" s="893" t="s">
        <v>204</v>
      </c>
      <c r="C366" s="891" t="s">
        <v>249</v>
      </c>
      <c r="D366" s="892"/>
      <c r="E366" s="884"/>
      <c r="F366" s="885"/>
      <c r="G366" s="859"/>
      <c r="H366" s="860"/>
      <c r="I366" s="861"/>
      <c r="J366" s="862"/>
      <c r="K366" s="859"/>
      <c r="L366" s="863"/>
      <c r="M366" s="861"/>
      <c r="N366" s="859"/>
      <c r="O366" s="752">
        <f t="shared" si="42"/>
        <v>0</v>
      </c>
      <c r="P366" s="862"/>
      <c r="Q366" s="860"/>
      <c r="R366" s="753">
        <f t="shared" si="43"/>
        <v>0</v>
      </c>
      <c r="S366" s="752">
        <f t="shared" si="44"/>
        <v>0</v>
      </c>
      <c r="T366" s="754">
        <f t="shared" si="45"/>
        <v>0</v>
      </c>
      <c r="U366" s="867">
        <v>469188</v>
      </c>
      <c r="V366" s="863">
        <v>488176</v>
      </c>
      <c r="W366" s="859"/>
      <c r="X366" s="859"/>
      <c r="Y366" s="755">
        <f t="shared" si="46"/>
        <v>0</v>
      </c>
      <c r="Z366" s="864"/>
      <c r="AA366" s="863"/>
      <c r="AB366" s="756">
        <f t="shared" si="47"/>
        <v>0</v>
      </c>
      <c r="AC366" s="859"/>
      <c r="AD366" s="863"/>
      <c r="AE366" s="859"/>
      <c r="AF366" s="859"/>
      <c r="AG366" s="864"/>
      <c r="AH366" s="865"/>
      <c r="AI366" s="757">
        <f t="shared" si="48"/>
        <v>469188</v>
      </c>
      <c r="AJ366" s="758">
        <f t="shared" si="49"/>
        <v>488176</v>
      </c>
    </row>
    <row r="367" spans="1:36" x14ac:dyDescent="0.2">
      <c r="A367" s="843" t="s">
        <v>142</v>
      </c>
      <c r="B367" s="893" t="s">
        <v>205</v>
      </c>
      <c r="C367" s="891" t="s">
        <v>577</v>
      </c>
      <c r="D367" s="892"/>
      <c r="E367" s="884"/>
      <c r="F367" s="885"/>
      <c r="G367" s="859"/>
      <c r="H367" s="860"/>
      <c r="I367" s="861"/>
      <c r="J367" s="862"/>
      <c r="K367" s="859"/>
      <c r="L367" s="863"/>
      <c r="M367" s="861"/>
      <c r="N367" s="859"/>
      <c r="O367" s="752">
        <f t="shared" si="42"/>
        <v>0</v>
      </c>
      <c r="P367" s="862"/>
      <c r="Q367" s="860"/>
      <c r="R367" s="753">
        <f t="shared" si="43"/>
        <v>0</v>
      </c>
      <c r="S367" s="752">
        <f t="shared" si="44"/>
        <v>0</v>
      </c>
      <c r="T367" s="754">
        <f t="shared" si="45"/>
        <v>0</v>
      </c>
      <c r="U367" s="859"/>
      <c r="V367" s="863"/>
      <c r="W367" s="859"/>
      <c r="X367" s="859"/>
      <c r="Y367" s="755">
        <f t="shared" si="46"/>
        <v>0</v>
      </c>
      <c r="Z367" s="864"/>
      <c r="AA367" s="863"/>
      <c r="AB367" s="756">
        <f t="shared" si="47"/>
        <v>0</v>
      </c>
      <c r="AC367" s="859"/>
      <c r="AD367" s="863"/>
      <c r="AE367" s="859"/>
      <c r="AF367" s="859"/>
      <c r="AG367" s="864"/>
      <c r="AH367" s="865"/>
      <c r="AI367" s="757">
        <f t="shared" si="48"/>
        <v>0</v>
      </c>
      <c r="AJ367" s="758">
        <f t="shared" si="49"/>
        <v>0</v>
      </c>
    </row>
    <row r="368" spans="1:36" x14ac:dyDescent="0.2">
      <c r="A368" s="843" t="s">
        <v>142</v>
      </c>
      <c r="B368" s="893" t="s">
        <v>218</v>
      </c>
      <c r="C368" s="891" t="s">
        <v>311</v>
      </c>
      <c r="D368" s="892"/>
      <c r="E368" s="884"/>
      <c r="F368" s="885"/>
      <c r="G368" s="859"/>
      <c r="H368" s="860"/>
      <c r="I368" s="861"/>
      <c r="J368" s="862"/>
      <c r="K368" s="859"/>
      <c r="L368" s="863"/>
      <c r="M368" s="861"/>
      <c r="N368" s="859"/>
      <c r="O368" s="752">
        <f t="shared" si="42"/>
        <v>0</v>
      </c>
      <c r="P368" s="862"/>
      <c r="Q368" s="860"/>
      <c r="R368" s="753">
        <f t="shared" si="43"/>
        <v>0</v>
      </c>
      <c r="S368" s="752">
        <f t="shared" si="44"/>
        <v>0</v>
      </c>
      <c r="T368" s="754">
        <f t="shared" si="45"/>
        <v>0</v>
      </c>
      <c r="U368" s="859"/>
      <c r="V368" s="863"/>
      <c r="W368" s="859"/>
      <c r="X368" s="859"/>
      <c r="Y368" s="755">
        <f t="shared" si="46"/>
        <v>0</v>
      </c>
      <c r="Z368" s="864"/>
      <c r="AA368" s="863"/>
      <c r="AB368" s="756">
        <f t="shared" si="47"/>
        <v>0</v>
      </c>
      <c r="AC368" s="859"/>
      <c r="AD368" s="863"/>
      <c r="AE368" s="859"/>
      <c r="AF368" s="859"/>
      <c r="AG368" s="864"/>
      <c r="AH368" s="865"/>
      <c r="AI368" s="757">
        <f t="shared" si="48"/>
        <v>0</v>
      </c>
      <c r="AJ368" s="758">
        <f t="shared" si="49"/>
        <v>0</v>
      </c>
    </row>
    <row r="369" spans="1:36" x14ac:dyDescent="0.2">
      <c r="A369" s="843" t="s">
        <v>142</v>
      </c>
      <c r="B369" s="893" t="s">
        <v>219</v>
      </c>
      <c r="C369" s="891" t="s">
        <v>249</v>
      </c>
      <c r="D369" s="892"/>
      <c r="E369" s="884"/>
      <c r="F369" s="885"/>
      <c r="G369" s="859"/>
      <c r="H369" s="860"/>
      <c r="I369" s="861"/>
      <c r="J369" s="862"/>
      <c r="K369" s="859"/>
      <c r="L369" s="863"/>
      <c r="M369" s="861"/>
      <c r="N369" s="859"/>
      <c r="O369" s="752">
        <f t="shared" si="42"/>
        <v>0</v>
      </c>
      <c r="P369" s="862"/>
      <c r="Q369" s="860"/>
      <c r="R369" s="753">
        <f t="shared" si="43"/>
        <v>0</v>
      </c>
      <c r="S369" s="752">
        <f t="shared" si="44"/>
        <v>0</v>
      </c>
      <c r="T369" s="754">
        <f t="shared" si="45"/>
        <v>0</v>
      </c>
      <c r="U369" s="867">
        <v>83725</v>
      </c>
      <c r="V369" s="863">
        <v>54242</v>
      </c>
      <c r="W369" s="859"/>
      <c r="X369" s="859"/>
      <c r="Y369" s="755">
        <f t="shared" si="46"/>
        <v>0</v>
      </c>
      <c r="Z369" s="864"/>
      <c r="AA369" s="863"/>
      <c r="AB369" s="756">
        <f t="shared" si="47"/>
        <v>0</v>
      </c>
      <c r="AC369" s="859"/>
      <c r="AD369" s="863"/>
      <c r="AE369" s="859"/>
      <c r="AF369" s="859"/>
      <c r="AG369" s="864"/>
      <c r="AH369" s="865"/>
      <c r="AI369" s="757">
        <f t="shared" si="48"/>
        <v>83725</v>
      </c>
      <c r="AJ369" s="758">
        <f t="shared" si="49"/>
        <v>54242</v>
      </c>
    </row>
    <row r="370" spans="1:36" x14ac:dyDescent="0.2">
      <c r="A370" s="843" t="s">
        <v>142</v>
      </c>
      <c r="B370" s="893" t="s">
        <v>293</v>
      </c>
      <c r="C370" s="896" t="s">
        <v>588</v>
      </c>
      <c r="D370" s="897"/>
      <c r="E370" s="884"/>
      <c r="F370" s="885"/>
      <c r="G370" s="859"/>
      <c r="H370" s="860"/>
      <c r="I370" s="861"/>
      <c r="J370" s="862"/>
      <c r="K370" s="859"/>
      <c r="L370" s="863"/>
      <c r="M370" s="861"/>
      <c r="N370" s="859"/>
      <c r="O370" s="752">
        <f t="shared" si="42"/>
        <v>0</v>
      </c>
      <c r="P370" s="862"/>
      <c r="Q370" s="860"/>
      <c r="R370" s="753">
        <f t="shared" si="43"/>
        <v>0</v>
      </c>
      <c r="S370" s="752">
        <f t="shared" si="44"/>
        <v>0</v>
      </c>
      <c r="T370" s="754">
        <f t="shared" si="45"/>
        <v>0</v>
      </c>
      <c r="U370" s="859"/>
      <c r="V370" s="863"/>
      <c r="W370" s="859"/>
      <c r="X370" s="859"/>
      <c r="Y370" s="755">
        <f t="shared" si="46"/>
        <v>0</v>
      </c>
      <c r="Z370" s="864"/>
      <c r="AA370" s="863"/>
      <c r="AB370" s="756">
        <f t="shared" si="47"/>
        <v>0</v>
      </c>
      <c r="AC370" s="859"/>
      <c r="AD370" s="863"/>
      <c r="AE370" s="859"/>
      <c r="AF370" s="859"/>
      <c r="AG370" s="864"/>
      <c r="AH370" s="865"/>
      <c r="AI370" s="757">
        <f t="shared" si="48"/>
        <v>0</v>
      </c>
      <c r="AJ370" s="758">
        <f t="shared" si="49"/>
        <v>0</v>
      </c>
    </row>
    <row r="371" spans="1:36" x14ac:dyDescent="0.2">
      <c r="A371" s="843" t="s">
        <v>142</v>
      </c>
      <c r="B371" s="844" t="s">
        <v>292</v>
      </c>
      <c r="C371" s="890" t="s">
        <v>589</v>
      </c>
      <c r="D371" s="845"/>
      <c r="E371" s="884"/>
      <c r="F371" s="885"/>
      <c r="G371" s="859"/>
      <c r="H371" s="860"/>
      <c r="I371" s="861"/>
      <c r="J371" s="862"/>
      <c r="K371" s="859"/>
      <c r="L371" s="863"/>
      <c r="M371" s="861"/>
      <c r="N371" s="859"/>
      <c r="O371" s="752">
        <f t="shared" si="42"/>
        <v>0</v>
      </c>
      <c r="P371" s="862"/>
      <c r="Q371" s="860"/>
      <c r="R371" s="753">
        <f t="shared" si="43"/>
        <v>0</v>
      </c>
      <c r="S371" s="752">
        <f t="shared" si="44"/>
        <v>0</v>
      </c>
      <c r="T371" s="754">
        <f t="shared" si="45"/>
        <v>0</v>
      </c>
      <c r="U371" s="859"/>
      <c r="V371" s="863"/>
      <c r="W371" s="859"/>
      <c r="X371" s="859"/>
      <c r="Y371" s="755">
        <f t="shared" si="46"/>
        <v>0</v>
      </c>
      <c r="Z371" s="864"/>
      <c r="AA371" s="863"/>
      <c r="AB371" s="756">
        <f t="shared" si="47"/>
        <v>0</v>
      </c>
      <c r="AC371" s="859"/>
      <c r="AD371" s="863"/>
      <c r="AE371" s="859"/>
      <c r="AF371" s="859"/>
      <c r="AG371" s="864"/>
      <c r="AH371" s="865"/>
      <c r="AI371" s="757">
        <f t="shared" si="48"/>
        <v>0</v>
      </c>
      <c r="AJ371" s="758">
        <f t="shared" si="49"/>
        <v>0</v>
      </c>
    </row>
    <row r="372" spans="1:36" x14ac:dyDescent="0.2">
      <c r="A372" s="843" t="s">
        <v>142</v>
      </c>
      <c r="B372" s="893" t="s">
        <v>252</v>
      </c>
      <c r="C372" s="891" t="s">
        <v>311</v>
      </c>
      <c r="D372" s="892"/>
      <c r="E372" s="884"/>
      <c r="F372" s="885"/>
      <c r="G372" s="859"/>
      <c r="H372" s="860"/>
      <c r="I372" s="861"/>
      <c r="J372" s="862"/>
      <c r="K372" s="859"/>
      <c r="L372" s="863"/>
      <c r="M372" s="861"/>
      <c r="N372" s="859"/>
      <c r="O372" s="752">
        <f t="shared" si="42"/>
        <v>0</v>
      </c>
      <c r="P372" s="862"/>
      <c r="Q372" s="860"/>
      <c r="R372" s="753">
        <f t="shared" si="43"/>
        <v>0</v>
      </c>
      <c r="S372" s="752">
        <f t="shared" si="44"/>
        <v>0</v>
      </c>
      <c r="T372" s="754">
        <f t="shared" si="45"/>
        <v>0</v>
      </c>
      <c r="U372" s="859"/>
      <c r="V372" s="863"/>
      <c r="W372" s="859"/>
      <c r="X372" s="859"/>
      <c r="Y372" s="755">
        <f t="shared" si="46"/>
        <v>0</v>
      </c>
      <c r="Z372" s="864"/>
      <c r="AA372" s="863"/>
      <c r="AB372" s="756">
        <f t="shared" si="47"/>
        <v>0</v>
      </c>
      <c r="AC372" s="859"/>
      <c r="AD372" s="863"/>
      <c r="AE372" s="859"/>
      <c r="AF372" s="859"/>
      <c r="AG372" s="864"/>
      <c r="AH372" s="865"/>
      <c r="AI372" s="757">
        <f t="shared" si="48"/>
        <v>0</v>
      </c>
      <c r="AJ372" s="758">
        <f t="shared" si="49"/>
        <v>0</v>
      </c>
    </row>
    <row r="373" spans="1:36" x14ac:dyDescent="0.2">
      <c r="A373" s="843" t="s">
        <v>142</v>
      </c>
      <c r="B373" s="893" t="s">
        <v>253</v>
      </c>
      <c r="C373" s="891" t="s">
        <v>249</v>
      </c>
      <c r="D373" s="892"/>
      <c r="E373" s="884"/>
      <c r="F373" s="885"/>
      <c r="G373" s="859"/>
      <c r="H373" s="860"/>
      <c r="I373" s="861"/>
      <c r="J373" s="862"/>
      <c r="K373" s="859"/>
      <c r="L373" s="863"/>
      <c r="M373" s="861"/>
      <c r="N373" s="859"/>
      <c r="O373" s="752">
        <f t="shared" si="42"/>
        <v>0</v>
      </c>
      <c r="P373" s="862"/>
      <c r="Q373" s="860"/>
      <c r="R373" s="753">
        <f t="shared" si="43"/>
        <v>0</v>
      </c>
      <c r="S373" s="752">
        <f t="shared" si="44"/>
        <v>0</v>
      </c>
      <c r="T373" s="754">
        <f t="shared" si="45"/>
        <v>0</v>
      </c>
      <c r="U373" s="859">
        <v>112500</v>
      </c>
      <c r="V373" s="863">
        <v>112500</v>
      </c>
      <c r="W373" s="859"/>
      <c r="X373" s="859"/>
      <c r="Y373" s="755">
        <f t="shared" si="46"/>
        <v>0</v>
      </c>
      <c r="Z373" s="864"/>
      <c r="AA373" s="863"/>
      <c r="AB373" s="756">
        <f t="shared" si="47"/>
        <v>0</v>
      </c>
      <c r="AC373" s="859"/>
      <c r="AD373" s="863"/>
      <c r="AE373" s="859"/>
      <c r="AF373" s="859"/>
      <c r="AG373" s="864"/>
      <c r="AH373" s="865"/>
      <c r="AI373" s="757">
        <f t="shared" si="48"/>
        <v>112500</v>
      </c>
      <c r="AJ373" s="758">
        <f t="shared" si="49"/>
        <v>112500</v>
      </c>
    </row>
    <row r="374" spans="1:36" x14ac:dyDescent="0.2">
      <c r="A374" s="843" t="s">
        <v>142</v>
      </c>
      <c r="B374" s="893" t="s">
        <v>253</v>
      </c>
      <c r="C374" s="890" t="s">
        <v>590</v>
      </c>
      <c r="D374" s="892"/>
      <c r="E374" s="884"/>
      <c r="F374" s="885"/>
      <c r="G374" s="859"/>
      <c r="H374" s="860"/>
      <c r="I374" s="861"/>
      <c r="J374" s="862"/>
      <c r="K374" s="859"/>
      <c r="L374" s="863"/>
      <c r="M374" s="861"/>
      <c r="N374" s="859"/>
      <c r="O374" s="752">
        <f t="shared" si="42"/>
        <v>0</v>
      </c>
      <c r="P374" s="862"/>
      <c r="Q374" s="860"/>
      <c r="R374" s="753">
        <f t="shared" si="43"/>
        <v>0</v>
      </c>
      <c r="S374" s="752">
        <f t="shared" si="44"/>
        <v>0</v>
      </c>
      <c r="T374" s="754">
        <f t="shared" si="45"/>
        <v>0</v>
      </c>
      <c r="U374" s="859"/>
      <c r="V374" s="863"/>
      <c r="W374" s="859"/>
      <c r="X374" s="859"/>
      <c r="Y374" s="755">
        <f t="shared" si="46"/>
        <v>0</v>
      </c>
      <c r="Z374" s="864"/>
      <c r="AA374" s="863"/>
      <c r="AB374" s="756">
        <f t="shared" si="47"/>
        <v>0</v>
      </c>
      <c r="AC374" s="859"/>
      <c r="AD374" s="863"/>
      <c r="AE374" s="859"/>
      <c r="AF374" s="859"/>
      <c r="AG374" s="864"/>
      <c r="AH374" s="865"/>
      <c r="AI374" s="757">
        <f t="shared" si="48"/>
        <v>0</v>
      </c>
      <c r="AJ374" s="758">
        <f t="shared" si="49"/>
        <v>0</v>
      </c>
    </row>
    <row r="375" spans="1:36" x14ac:dyDescent="0.2">
      <c r="A375" s="843" t="s">
        <v>142</v>
      </c>
      <c r="B375" s="893" t="s">
        <v>253</v>
      </c>
      <c r="C375" s="891" t="s">
        <v>249</v>
      </c>
      <c r="D375" s="892"/>
      <c r="E375" s="884"/>
      <c r="F375" s="885"/>
      <c r="G375" s="859"/>
      <c r="H375" s="860"/>
      <c r="I375" s="861"/>
      <c r="J375" s="862"/>
      <c r="K375" s="859"/>
      <c r="L375" s="863"/>
      <c r="M375" s="861"/>
      <c r="N375" s="859"/>
      <c r="O375" s="752">
        <f t="shared" si="42"/>
        <v>0</v>
      </c>
      <c r="P375" s="862"/>
      <c r="Q375" s="860"/>
      <c r="R375" s="753">
        <f t="shared" si="43"/>
        <v>0</v>
      </c>
      <c r="S375" s="752">
        <f t="shared" si="44"/>
        <v>0</v>
      </c>
      <c r="T375" s="754">
        <f t="shared" si="45"/>
        <v>0</v>
      </c>
      <c r="U375" s="859">
        <v>250000</v>
      </c>
      <c r="V375" s="863"/>
      <c r="W375" s="859"/>
      <c r="X375" s="859"/>
      <c r="Y375" s="755">
        <f t="shared" si="46"/>
        <v>0</v>
      </c>
      <c r="Z375" s="864"/>
      <c r="AA375" s="863"/>
      <c r="AB375" s="756">
        <f t="shared" si="47"/>
        <v>0</v>
      </c>
      <c r="AC375" s="859"/>
      <c r="AD375" s="863"/>
      <c r="AE375" s="859"/>
      <c r="AF375" s="859"/>
      <c r="AG375" s="864"/>
      <c r="AH375" s="865"/>
      <c r="AI375" s="757">
        <f t="shared" si="48"/>
        <v>250000</v>
      </c>
      <c r="AJ375" s="758">
        <f t="shared" si="49"/>
        <v>0</v>
      </c>
    </row>
    <row r="376" spans="1:36" x14ac:dyDescent="0.2">
      <c r="A376" s="843" t="s">
        <v>142</v>
      </c>
      <c r="B376" s="893" t="s">
        <v>294</v>
      </c>
      <c r="C376" s="896" t="s">
        <v>591</v>
      </c>
      <c r="D376" s="897"/>
      <c r="E376" s="884"/>
      <c r="F376" s="885"/>
      <c r="G376" s="859"/>
      <c r="H376" s="860"/>
      <c r="I376" s="861"/>
      <c r="J376" s="862"/>
      <c r="K376" s="859"/>
      <c r="L376" s="863"/>
      <c r="M376" s="861"/>
      <c r="N376" s="859"/>
      <c r="O376" s="752">
        <f t="shared" si="42"/>
        <v>0</v>
      </c>
      <c r="P376" s="862"/>
      <c r="Q376" s="860"/>
      <c r="R376" s="753">
        <f t="shared" si="43"/>
        <v>0</v>
      </c>
      <c r="S376" s="752">
        <f t="shared" si="44"/>
        <v>0</v>
      </c>
      <c r="T376" s="754">
        <f t="shared" si="45"/>
        <v>0</v>
      </c>
      <c r="U376" s="859"/>
      <c r="V376" s="863"/>
      <c r="W376" s="859"/>
      <c r="X376" s="859"/>
      <c r="Y376" s="755">
        <f t="shared" si="46"/>
        <v>0</v>
      </c>
      <c r="Z376" s="864"/>
      <c r="AA376" s="863"/>
      <c r="AB376" s="756">
        <f t="shared" si="47"/>
        <v>0</v>
      </c>
      <c r="AC376" s="859"/>
      <c r="AD376" s="863"/>
      <c r="AE376" s="859"/>
      <c r="AF376" s="859"/>
      <c r="AG376" s="864"/>
      <c r="AH376" s="865"/>
      <c r="AI376" s="757">
        <f t="shared" si="48"/>
        <v>0</v>
      </c>
      <c r="AJ376" s="758">
        <f t="shared" si="49"/>
        <v>0</v>
      </c>
    </row>
    <row r="377" spans="1:36" x14ac:dyDescent="0.2">
      <c r="A377" s="843" t="s">
        <v>142</v>
      </c>
      <c r="B377" s="894" t="s">
        <v>294</v>
      </c>
      <c r="C377" s="890" t="s">
        <v>592</v>
      </c>
      <c r="D377" s="845"/>
      <c r="E377" s="884"/>
      <c r="F377" s="895"/>
      <c r="G377" s="859"/>
      <c r="H377" s="860"/>
      <c r="I377" s="861"/>
      <c r="J377" s="862"/>
      <c r="K377" s="859"/>
      <c r="L377" s="863"/>
      <c r="M377" s="861"/>
      <c r="N377" s="859"/>
      <c r="O377" s="752">
        <f t="shared" si="42"/>
        <v>0</v>
      </c>
      <c r="P377" s="862"/>
      <c r="Q377" s="860"/>
      <c r="R377" s="753">
        <f t="shared" si="43"/>
        <v>0</v>
      </c>
      <c r="S377" s="752">
        <f t="shared" si="44"/>
        <v>0</v>
      </c>
      <c r="T377" s="754">
        <f t="shared" si="45"/>
        <v>0</v>
      </c>
      <c r="U377" s="859"/>
      <c r="V377" s="863"/>
      <c r="W377" s="859"/>
      <c r="X377" s="859"/>
      <c r="Y377" s="755">
        <f t="shared" si="46"/>
        <v>0</v>
      </c>
      <c r="Z377" s="864"/>
      <c r="AA377" s="863"/>
      <c r="AB377" s="756">
        <f t="shared" si="47"/>
        <v>0</v>
      </c>
      <c r="AC377" s="859"/>
      <c r="AD377" s="863"/>
      <c r="AE377" s="859"/>
      <c r="AF377" s="859"/>
      <c r="AG377" s="864"/>
      <c r="AH377" s="865"/>
      <c r="AI377" s="757">
        <f t="shared" si="48"/>
        <v>0</v>
      </c>
      <c r="AJ377" s="758">
        <f t="shared" si="49"/>
        <v>0</v>
      </c>
    </row>
    <row r="378" spans="1:36" x14ac:dyDescent="0.2">
      <c r="A378" s="843" t="s">
        <v>142</v>
      </c>
      <c r="B378" s="893" t="s">
        <v>254</v>
      </c>
      <c r="C378" s="891" t="s">
        <v>311</v>
      </c>
      <c r="D378" s="892"/>
      <c r="E378" s="884"/>
      <c r="F378" s="885"/>
      <c r="G378" s="859"/>
      <c r="H378" s="860"/>
      <c r="I378" s="861"/>
      <c r="J378" s="862"/>
      <c r="K378" s="859"/>
      <c r="L378" s="863"/>
      <c r="M378" s="861"/>
      <c r="N378" s="859"/>
      <c r="O378" s="752">
        <f t="shared" si="42"/>
        <v>0</v>
      </c>
      <c r="P378" s="862"/>
      <c r="Q378" s="860"/>
      <c r="R378" s="753">
        <f t="shared" si="43"/>
        <v>0</v>
      </c>
      <c r="S378" s="752">
        <f t="shared" si="44"/>
        <v>0</v>
      </c>
      <c r="T378" s="754">
        <f t="shared" si="45"/>
        <v>0</v>
      </c>
      <c r="U378" s="859"/>
      <c r="V378" s="863"/>
      <c r="W378" s="859"/>
      <c r="X378" s="859"/>
      <c r="Y378" s="755">
        <f t="shared" si="46"/>
        <v>0</v>
      </c>
      <c r="Z378" s="864"/>
      <c r="AA378" s="863"/>
      <c r="AB378" s="756">
        <f t="shared" si="47"/>
        <v>0</v>
      </c>
      <c r="AC378" s="859"/>
      <c r="AD378" s="863"/>
      <c r="AE378" s="859"/>
      <c r="AF378" s="859"/>
      <c r="AG378" s="864"/>
      <c r="AH378" s="865"/>
      <c r="AI378" s="757">
        <f t="shared" si="48"/>
        <v>0</v>
      </c>
      <c r="AJ378" s="758">
        <f t="shared" si="49"/>
        <v>0</v>
      </c>
    </row>
    <row r="379" spans="1:36" x14ac:dyDescent="0.2">
      <c r="A379" s="843" t="s">
        <v>142</v>
      </c>
      <c r="B379" s="893" t="s">
        <v>255</v>
      </c>
      <c r="C379" s="891" t="s">
        <v>249</v>
      </c>
      <c r="D379" s="892"/>
      <c r="E379" s="884"/>
      <c r="F379" s="885"/>
      <c r="G379" s="859"/>
      <c r="H379" s="860"/>
      <c r="I379" s="861"/>
      <c r="J379" s="862"/>
      <c r="K379" s="859"/>
      <c r="L379" s="863"/>
      <c r="M379" s="861"/>
      <c r="N379" s="859"/>
      <c r="O379" s="752">
        <f t="shared" si="42"/>
        <v>0</v>
      </c>
      <c r="P379" s="862"/>
      <c r="Q379" s="860"/>
      <c r="R379" s="753">
        <f t="shared" si="43"/>
        <v>0</v>
      </c>
      <c r="S379" s="752">
        <f t="shared" si="44"/>
        <v>0</v>
      </c>
      <c r="T379" s="754">
        <f t="shared" si="45"/>
        <v>0</v>
      </c>
      <c r="U379" s="859">
        <v>1566962</v>
      </c>
      <c r="V379" s="863">
        <v>1911842</v>
      </c>
      <c r="W379" s="859"/>
      <c r="X379" s="859"/>
      <c r="Y379" s="755">
        <f t="shared" si="46"/>
        <v>0</v>
      </c>
      <c r="Z379" s="864"/>
      <c r="AA379" s="863"/>
      <c r="AB379" s="756">
        <f t="shared" si="47"/>
        <v>0</v>
      </c>
      <c r="AC379" s="859"/>
      <c r="AD379" s="863"/>
      <c r="AE379" s="859"/>
      <c r="AF379" s="859"/>
      <c r="AG379" s="864"/>
      <c r="AH379" s="865"/>
      <c r="AI379" s="757">
        <f t="shared" si="48"/>
        <v>1566962</v>
      </c>
      <c r="AJ379" s="758">
        <f t="shared" si="49"/>
        <v>1911842</v>
      </c>
    </row>
    <row r="380" spans="1:36" x14ac:dyDescent="0.2">
      <c r="A380" s="898" t="s">
        <v>143</v>
      </c>
      <c r="B380" s="899" t="s">
        <v>264</v>
      </c>
      <c r="C380" s="900" t="s">
        <v>593</v>
      </c>
      <c r="D380" s="901"/>
      <c r="E380" s="902">
        <v>106397</v>
      </c>
      <c r="F380" s="903">
        <v>1</v>
      </c>
      <c r="G380" s="859">
        <v>122375196</v>
      </c>
      <c r="H380" s="860">
        <v>125527147</v>
      </c>
      <c r="I380" s="861"/>
      <c r="J380" s="862"/>
      <c r="K380" s="859"/>
      <c r="L380" s="863"/>
      <c r="M380" s="861">
        <v>193794040</v>
      </c>
      <c r="N380" s="859"/>
      <c r="O380" s="752">
        <f t="shared" si="42"/>
        <v>193794040</v>
      </c>
      <c r="P380" s="1517">
        <v>220938774</v>
      </c>
      <c r="Q380" s="860"/>
      <c r="R380" s="753">
        <f t="shared" si="43"/>
        <v>220938774</v>
      </c>
      <c r="S380" s="752">
        <f t="shared" si="44"/>
        <v>316169236</v>
      </c>
      <c r="T380" s="754">
        <f t="shared" si="45"/>
        <v>346465921</v>
      </c>
      <c r="U380" s="859"/>
      <c r="V380" s="863"/>
      <c r="W380" s="859"/>
      <c r="X380" s="859"/>
      <c r="Y380" s="755">
        <f t="shared" si="46"/>
        <v>0</v>
      </c>
      <c r="Z380" s="864"/>
      <c r="AA380" s="863"/>
      <c r="AB380" s="756">
        <f t="shared" si="47"/>
        <v>0</v>
      </c>
      <c r="AC380" s="859"/>
      <c r="AD380" s="863"/>
      <c r="AE380" s="859"/>
      <c r="AF380" s="859"/>
      <c r="AG380" s="864"/>
      <c r="AH380" s="865"/>
      <c r="AI380" s="757">
        <f t="shared" si="48"/>
        <v>316169236</v>
      </c>
      <c r="AJ380" s="758">
        <f t="shared" si="49"/>
        <v>346465921</v>
      </c>
    </row>
    <row r="381" spans="1:36" x14ac:dyDescent="0.2">
      <c r="A381" s="904" t="s">
        <v>143</v>
      </c>
      <c r="B381" s="899" t="s">
        <v>276</v>
      </c>
      <c r="C381" s="905" t="s">
        <v>257</v>
      </c>
      <c r="D381" s="906"/>
      <c r="E381" s="902">
        <v>106397</v>
      </c>
      <c r="F381" s="903">
        <v>1</v>
      </c>
      <c r="G381" s="859"/>
      <c r="H381" s="860"/>
      <c r="I381" s="861"/>
      <c r="J381" s="862"/>
      <c r="K381" s="859"/>
      <c r="L381" s="863"/>
      <c r="M381" s="861"/>
      <c r="N381" s="859"/>
      <c r="O381" s="752">
        <f t="shared" si="42"/>
        <v>0</v>
      </c>
      <c r="P381" s="862"/>
      <c r="Q381" s="860"/>
      <c r="R381" s="753">
        <f t="shared" si="43"/>
        <v>0</v>
      </c>
      <c r="S381" s="752">
        <f t="shared" si="44"/>
        <v>0</v>
      </c>
      <c r="T381" s="754">
        <f t="shared" si="45"/>
        <v>0</v>
      </c>
      <c r="U381" s="859"/>
      <c r="V381" s="863"/>
      <c r="W381" s="859"/>
      <c r="X381" s="859"/>
      <c r="Y381" s="755">
        <f t="shared" si="46"/>
        <v>0</v>
      </c>
      <c r="Z381" s="864"/>
      <c r="AA381" s="863"/>
      <c r="AB381" s="756">
        <f t="shared" si="47"/>
        <v>0</v>
      </c>
      <c r="AC381" s="859"/>
      <c r="AD381" s="863"/>
      <c r="AE381" s="859"/>
      <c r="AF381" s="859"/>
      <c r="AG381" s="864"/>
      <c r="AH381" s="865"/>
      <c r="AI381" s="757">
        <f t="shared" si="48"/>
        <v>0</v>
      </c>
      <c r="AJ381" s="758">
        <f t="shared" si="49"/>
        <v>0</v>
      </c>
    </row>
    <row r="382" spans="1:36" x14ac:dyDescent="0.2">
      <c r="A382" s="904" t="s">
        <v>143</v>
      </c>
      <c r="B382" s="899" t="s">
        <v>276</v>
      </c>
      <c r="C382" s="907" t="s">
        <v>594</v>
      </c>
      <c r="D382" s="906"/>
      <c r="E382" s="902">
        <v>106397</v>
      </c>
      <c r="F382" s="903">
        <v>1</v>
      </c>
      <c r="G382" s="859"/>
      <c r="H382" s="860"/>
      <c r="I382" s="861">
        <v>68137894</v>
      </c>
      <c r="J382" s="862">
        <v>68195051</v>
      </c>
      <c r="K382" s="859"/>
      <c r="L382" s="863"/>
      <c r="M382" s="861"/>
      <c r="N382" s="859"/>
      <c r="O382" s="752">
        <f t="shared" ref="O382:O394" si="50">SUM(M382:N382)</f>
        <v>0</v>
      </c>
      <c r="P382" s="862"/>
      <c r="Q382" s="860"/>
      <c r="R382" s="753">
        <f t="shared" si="43"/>
        <v>0</v>
      </c>
      <c r="S382" s="752">
        <f t="shared" si="44"/>
        <v>68137894</v>
      </c>
      <c r="T382" s="754">
        <f t="shared" si="45"/>
        <v>68195051</v>
      </c>
      <c r="U382" s="859"/>
      <c r="V382" s="863"/>
      <c r="W382" s="859"/>
      <c r="X382" s="859"/>
      <c r="Y382" s="755">
        <f t="shared" ref="Y382:Y394" si="51">SUM(W382:X382)</f>
        <v>0</v>
      </c>
      <c r="Z382" s="864"/>
      <c r="AA382" s="863"/>
      <c r="AB382" s="756">
        <f t="shared" si="47"/>
        <v>0</v>
      </c>
      <c r="AC382" s="859"/>
      <c r="AD382" s="863"/>
      <c r="AE382" s="859"/>
      <c r="AF382" s="859"/>
      <c r="AG382" s="864"/>
      <c r="AH382" s="865"/>
      <c r="AI382" s="757">
        <f t="shared" si="48"/>
        <v>68137894</v>
      </c>
      <c r="AJ382" s="758">
        <f t="shared" si="49"/>
        <v>68195051</v>
      </c>
    </row>
    <row r="383" spans="1:36" x14ac:dyDescent="0.2">
      <c r="A383" s="904" t="s">
        <v>143</v>
      </c>
      <c r="B383" s="899" t="s">
        <v>278</v>
      </c>
      <c r="C383" s="907" t="s">
        <v>595</v>
      </c>
      <c r="D383" s="906"/>
      <c r="E383" s="902">
        <v>106397</v>
      </c>
      <c r="F383" s="903">
        <v>1</v>
      </c>
      <c r="G383" s="859"/>
      <c r="H383" s="860"/>
      <c r="I383" s="861">
        <v>2455769</v>
      </c>
      <c r="J383" s="862">
        <v>2457145</v>
      </c>
      <c r="K383" s="859"/>
      <c r="L383" s="863"/>
      <c r="M383" s="861"/>
      <c r="N383" s="859"/>
      <c r="O383" s="752">
        <f t="shared" si="50"/>
        <v>0</v>
      </c>
      <c r="P383" s="862"/>
      <c r="Q383" s="860"/>
      <c r="R383" s="753">
        <f t="shared" ref="R383:R395" si="52">SUM(P383:Q383)</f>
        <v>0</v>
      </c>
      <c r="S383" s="752">
        <f t="shared" ref="S383:S395" si="53">SUM(G383,I383,K383,M383)</f>
        <v>2455769</v>
      </c>
      <c r="T383" s="754">
        <f t="shared" ref="T383:T395" si="54">SUM(H383,J383,L383,P383)</f>
        <v>2457145</v>
      </c>
      <c r="U383" s="859"/>
      <c r="V383" s="863"/>
      <c r="W383" s="859"/>
      <c r="X383" s="859"/>
      <c r="Y383" s="755">
        <f t="shared" si="51"/>
        <v>0</v>
      </c>
      <c r="Z383" s="864"/>
      <c r="AA383" s="863"/>
      <c r="AB383" s="756">
        <f t="shared" si="47"/>
        <v>0</v>
      </c>
      <c r="AC383" s="859"/>
      <c r="AD383" s="863"/>
      <c r="AE383" s="859"/>
      <c r="AF383" s="859"/>
      <c r="AG383" s="864"/>
      <c r="AH383" s="865"/>
      <c r="AI383" s="757">
        <f t="shared" ref="AI383:AI395" si="55">SUM(S383,U383,W383,AC383,AE383)</f>
        <v>2455769</v>
      </c>
      <c r="AJ383" s="758">
        <f t="shared" ref="AJ383:AJ395" si="56">SUM(T383,V383,Z383,AD383,AG383)</f>
        <v>2457145</v>
      </c>
    </row>
    <row r="384" spans="1:36" x14ac:dyDescent="0.2">
      <c r="A384" s="904" t="s">
        <v>143</v>
      </c>
      <c r="B384" s="899" t="s">
        <v>278</v>
      </c>
      <c r="C384" s="907" t="s">
        <v>596</v>
      </c>
      <c r="D384" s="906"/>
      <c r="E384" s="902">
        <v>106397</v>
      </c>
      <c r="F384" s="903">
        <v>1</v>
      </c>
      <c r="G384" s="859"/>
      <c r="H384" s="860"/>
      <c r="I384" s="861">
        <v>1825769</v>
      </c>
      <c r="J384" s="862">
        <v>1825769</v>
      </c>
      <c r="K384" s="859"/>
      <c r="L384" s="863"/>
      <c r="M384" s="861"/>
      <c r="N384" s="859"/>
      <c r="O384" s="752">
        <f t="shared" si="50"/>
        <v>0</v>
      </c>
      <c r="P384" s="862"/>
      <c r="Q384" s="860"/>
      <c r="R384" s="753">
        <f t="shared" si="52"/>
        <v>0</v>
      </c>
      <c r="S384" s="752">
        <f t="shared" si="53"/>
        <v>1825769</v>
      </c>
      <c r="T384" s="754">
        <f t="shared" si="54"/>
        <v>1825769</v>
      </c>
      <c r="U384" s="859"/>
      <c r="V384" s="863"/>
      <c r="W384" s="859"/>
      <c r="X384" s="859"/>
      <c r="Y384" s="755">
        <f t="shared" si="51"/>
        <v>0</v>
      </c>
      <c r="Z384" s="864"/>
      <c r="AA384" s="863"/>
      <c r="AB384" s="756">
        <f t="shared" si="47"/>
        <v>0</v>
      </c>
      <c r="AC384" s="859"/>
      <c r="AD384" s="863"/>
      <c r="AE384" s="859"/>
      <c r="AF384" s="859"/>
      <c r="AG384" s="864"/>
      <c r="AH384" s="865"/>
      <c r="AI384" s="757">
        <f t="shared" si="55"/>
        <v>1825769</v>
      </c>
      <c r="AJ384" s="758">
        <f t="shared" si="56"/>
        <v>1825769</v>
      </c>
    </row>
    <row r="385" spans="1:36" x14ac:dyDescent="0.2">
      <c r="A385" s="904" t="s">
        <v>143</v>
      </c>
      <c r="B385" s="899" t="s">
        <v>266</v>
      </c>
      <c r="C385" s="905" t="s">
        <v>319</v>
      </c>
      <c r="D385" s="906"/>
      <c r="E385" s="902">
        <v>106397</v>
      </c>
      <c r="F385" s="903">
        <v>1</v>
      </c>
      <c r="G385" s="859"/>
      <c r="H385" s="860"/>
      <c r="I385" s="861"/>
      <c r="J385" s="862"/>
      <c r="K385" s="859"/>
      <c r="L385" s="863"/>
      <c r="M385" s="861"/>
      <c r="N385" s="859"/>
      <c r="O385" s="752">
        <f t="shared" si="50"/>
        <v>0</v>
      </c>
      <c r="P385" s="862"/>
      <c r="Q385" s="860"/>
      <c r="R385" s="753">
        <f t="shared" si="52"/>
        <v>0</v>
      </c>
      <c r="S385" s="752">
        <f t="shared" si="53"/>
        <v>0</v>
      </c>
      <c r="T385" s="754">
        <f t="shared" si="54"/>
        <v>0</v>
      </c>
      <c r="U385" s="859"/>
      <c r="V385" s="863"/>
      <c r="W385" s="859"/>
      <c r="X385" s="859"/>
      <c r="Y385" s="755">
        <f t="shared" si="51"/>
        <v>0</v>
      </c>
      <c r="Z385" s="864"/>
      <c r="AA385" s="863"/>
      <c r="AB385" s="756">
        <f t="shared" si="47"/>
        <v>0</v>
      </c>
      <c r="AC385" s="859"/>
      <c r="AD385" s="863"/>
      <c r="AE385" s="859"/>
      <c r="AF385" s="859"/>
      <c r="AG385" s="864"/>
      <c r="AH385" s="865"/>
      <c r="AI385" s="757">
        <f t="shared" si="55"/>
        <v>0</v>
      </c>
      <c r="AJ385" s="758">
        <f t="shared" si="56"/>
        <v>0</v>
      </c>
    </row>
    <row r="386" spans="1:36" x14ac:dyDescent="0.2">
      <c r="A386" s="904" t="s">
        <v>143</v>
      </c>
      <c r="B386" s="899" t="s">
        <v>266</v>
      </c>
      <c r="C386" s="907" t="s">
        <v>597</v>
      </c>
      <c r="D386" s="906"/>
      <c r="E386" s="902">
        <v>106397</v>
      </c>
      <c r="F386" s="903">
        <v>1</v>
      </c>
      <c r="G386" s="859"/>
      <c r="H386" s="860"/>
      <c r="I386" s="861">
        <v>8155438</v>
      </c>
      <c r="J386" s="862">
        <v>8230850</v>
      </c>
      <c r="K386" s="859"/>
      <c r="L386" s="863"/>
      <c r="M386" s="861"/>
      <c r="N386" s="859"/>
      <c r="O386" s="752">
        <f t="shared" si="50"/>
        <v>0</v>
      </c>
      <c r="P386" s="862"/>
      <c r="Q386" s="860"/>
      <c r="R386" s="753">
        <f t="shared" si="52"/>
        <v>0</v>
      </c>
      <c r="S386" s="752">
        <f t="shared" si="53"/>
        <v>8155438</v>
      </c>
      <c r="T386" s="754">
        <f t="shared" si="54"/>
        <v>8230850</v>
      </c>
      <c r="U386" s="859"/>
      <c r="V386" s="863"/>
      <c r="W386" s="859"/>
      <c r="X386" s="859"/>
      <c r="Y386" s="755">
        <f t="shared" si="51"/>
        <v>0</v>
      </c>
      <c r="Z386" s="864"/>
      <c r="AA386" s="863"/>
      <c r="AB386" s="756">
        <f t="shared" ref="AB386:AB394" si="57">SUM(Z386:AA386)</f>
        <v>0</v>
      </c>
      <c r="AC386" s="859"/>
      <c r="AD386" s="863"/>
      <c r="AE386" s="859"/>
      <c r="AF386" s="859"/>
      <c r="AG386" s="864"/>
      <c r="AH386" s="865"/>
      <c r="AI386" s="757">
        <f t="shared" si="55"/>
        <v>8155438</v>
      </c>
      <c r="AJ386" s="758">
        <f t="shared" si="56"/>
        <v>8230850</v>
      </c>
    </row>
    <row r="387" spans="1:36" x14ac:dyDescent="0.2">
      <c r="A387" s="898" t="s">
        <v>143</v>
      </c>
      <c r="B387" s="899" t="s">
        <v>264</v>
      </c>
      <c r="C387" s="907" t="s">
        <v>598</v>
      </c>
      <c r="D387" s="906"/>
      <c r="E387" s="902">
        <v>106397</v>
      </c>
      <c r="F387" s="903">
        <v>1</v>
      </c>
      <c r="G387" s="859"/>
      <c r="H387" s="860"/>
      <c r="I387" s="861">
        <v>2295575</v>
      </c>
      <c r="J387" s="862">
        <v>2295575</v>
      </c>
      <c r="K387" s="859"/>
      <c r="L387" s="863"/>
      <c r="M387" s="861">
        <v>595600</v>
      </c>
      <c r="N387" s="859"/>
      <c r="O387" s="752">
        <f t="shared" si="50"/>
        <v>595600</v>
      </c>
      <c r="P387" s="1518">
        <v>615200</v>
      </c>
      <c r="Q387" s="860"/>
      <c r="R387" s="753">
        <f t="shared" si="52"/>
        <v>615200</v>
      </c>
      <c r="S387" s="752">
        <f t="shared" si="53"/>
        <v>2891175</v>
      </c>
      <c r="T387" s="754">
        <f t="shared" si="54"/>
        <v>2910775</v>
      </c>
      <c r="U387" s="859"/>
      <c r="V387" s="863"/>
      <c r="W387" s="859"/>
      <c r="X387" s="859"/>
      <c r="Y387" s="755">
        <f t="shared" si="51"/>
        <v>0</v>
      </c>
      <c r="Z387" s="864"/>
      <c r="AA387" s="863"/>
      <c r="AB387" s="756">
        <f t="shared" si="57"/>
        <v>0</v>
      </c>
      <c r="AC387" s="859"/>
      <c r="AD387" s="863"/>
      <c r="AE387" s="859"/>
      <c r="AF387" s="859"/>
      <c r="AG387" s="864"/>
      <c r="AH387" s="865"/>
      <c r="AI387" s="757">
        <f t="shared" si="55"/>
        <v>2891175</v>
      </c>
      <c r="AJ387" s="758">
        <f t="shared" si="56"/>
        <v>2910775</v>
      </c>
    </row>
    <row r="388" spans="1:36" x14ac:dyDescent="0.2">
      <c r="A388" s="904" t="s">
        <v>143</v>
      </c>
      <c r="B388" s="899" t="s">
        <v>264</v>
      </c>
      <c r="C388" s="900" t="s">
        <v>599</v>
      </c>
      <c r="D388" s="901"/>
      <c r="E388" s="902">
        <v>106458</v>
      </c>
      <c r="F388" s="903">
        <v>3</v>
      </c>
      <c r="G388" s="859">
        <v>60141168</v>
      </c>
      <c r="H388" s="860">
        <v>61907972</v>
      </c>
      <c r="I388" s="861"/>
      <c r="J388" s="862"/>
      <c r="K388" s="859"/>
      <c r="L388" s="863"/>
      <c r="M388" s="861">
        <v>88772741</v>
      </c>
      <c r="N388" s="867">
        <v>28393</v>
      </c>
      <c r="O388" s="752">
        <f t="shared" si="50"/>
        <v>88801134</v>
      </c>
      <c r="P388" s="1518">
        <v>89527334</v>
      </c>
      <c r="Q388" s="1525">
        <v>21632</v>
      </c>
      <c r="R388" s="753">
        <f t="shared" si="52"/>
        <v>89548966</v>
      </c>
      <c r="S388" s="752">
        <f t="shared" si="53"/>
        <v>148913909</v>
      </c>
      <c r="T388" s="754">
        <f t="shared" si="54"/>
        <v>151435306</v>
      </c>
      <c r="U388" s="859"/>
      <c r="V388" s="863"/>
      <c r="W388" s="859"/>
      <c r="X388" s="859"/>
      <c r="Y388" s="755">
        <f t="shared" si="51"/>
        <v>0</v>
      </c>
      <c r="Z388" s="864"/>
      <c r="AA388" s="863"/>
      <c r="AB388" s="756">
        <f t="shared" si="57"/>
        <v>0</v>
      </c>
      <c r="AC388" s="859"/>
      <c r="AD388" s="863"/>
      <c r="AE388" s="859"/>
      <c r="AF388" s="859"/>
      <c r="AG388" s="864"/>
      <c r="AH388" s="865"/>
      <c r="AI388" s="757">
        <f t="shared" si="55"/>
        <v>148913909</v>
      </c>
      <c r="AJ388" s="758">
        <f t="shared" si="56"/>
        <v>151435306</v>
      </c>
    </row>
    <row r="389" spans="1:36" x14ac:dyDescent="0.2">
      <c r="A389" s="904" t="s">
        <v>143</v>
      </c>
      <c r="B389" s="899" t="s">
        <v>266</v>
      </c>
      <c r="C389" s="905" t="s">
        <v>319</v>
      </c>
      <c r="D389" s="906"/>
      <c r="E389" s="902">
        <v>106458</v>
      </c>
      <c r="F389" s="903">
        <v>3</v>
      </c>
      <c r="G389" s="859"/>
      <c r="H389" s="860"/>
      <c r="I389" s="861"/>
      <c r="J389" s="862"/>
      <c r="K389" s="859"/>
      <c r="L389" s="863"/>
      <c r="M389" s="861"/>
      <c r="N389" s="859"/>
      <c r="O389" s="752">
        <f t="shared" si="50"/>
        <v>0</v>
      </c>
      <c r="P389" s="864"/>
      <c r="Q389" s="860"/>
      <c r="R389" s="753">
        <f t="shared" si="52"/>
        <v>0</v>
      </c>
      <c r="S389" s="752">
        <f t="shared" si="53"/>
        <v>0</v>
      </c>
      <c r="T389" s="754">
        <f t="shared" si="54"/>
        <v>0</v>
      </c>
      <c r="U389" s="859"/>
      <c r="V389" s="863"/>
      <c r="W389" s="859"/>
      <c r="X389" s="859"/>
      <c r="Y389" s="755">
        <f t="shared" si="51"/>
        <v>0</v>
      </c>
      <c r="Z389" s="864"/>
      <c r="AA389" s="863"/>
      <c r="AB389" s="756">
        <f t="shared" si="57"/>
        <v>0</v>
      </c>
      <c r="AC389" s="859"/>
      <c r="AD389" s="863"/>
      <c r="AE389" s="859"/>
      <c r="AF389" s="859"/>
      <c r="AG389" s="864"/>
      <c r="AH389" s="865"/>
      <c r="AI389" s="757">
        <f t="shared" si="55"/>
        <v>0</v>
      </c>
      <c r="AJ389" s="758">
        <f t="shared" si="56"/>
        <v>0</v>
      </c>
    </row>
    <row r="390" spans="1:36" x14ac:dyDescent="0.2">
      <c r="A390" s="904" t="s">
        <v>143</v>
      </c>
      <c r="B390" s="899" t="s">
        <v>264</v>
      </c>
      <c r="C390" s="908" t="s">
        <v>600</v>
      </c>
      <c r="D390" s="909"/>
      <c r="E390" s="910">
        <v>106467</v>
      </c>
      <c r="F390" s="913">
        <v>3</v>
      </c>
      <c r="G390" s="859">
        <v>31134133</v>
      </c>
      <c r="H390" s="860">
        <v>31560998</v>
      </c>
      <c r="I390" s="861"/>
      <c r="J390" s="862"/>
      <c r="K390" s="859"/>
      <c r="L390" s="863"/>
      <c r="M390" s="861">
        <v>50527536</v>
      </c>
      <c r="N390" s="859"/>
      <c r="O390" s="752">
        <f t="shared" si="50"/>
        <v>50527536</v>
      </c>
      <c r="P390" s="1518">
        <v>53973806</v>
      </c>
      <c r="Q390" s="860"/>
      <c r="R390" s="753">
        <f t="shared" si="52"/>
        <v>53973806</v>
      </c>
      <c r="S390" s="752">
        <f t="shared" si="53"/>
        <v>81661669</v>
      </c>
      <c r="T390" s="754">
        <f t="shared" si="54"/>
        <v>85534804</v>
      </c>
      <c r="U390" s="859"/>
      <c r="V390" s="863"/>
      <c r="W390" s="859"/>
      <c r="X390" s="859"/>
      <c r="Y390" s="755">
        <f t="shared" si="51"/>
        <v>0</v>
      </c>
      <c r="Z390" s="864"/>
      <c r="AA390" s="863"/>
      <c r="AB390" s="756">
        <f t="shared" si="57"/>
        <v>0</v>
      </c>
      <c r="AC390" s="859"/>
      <c r="AD390" s="863"/>
      <c r="AE390" s="859"/>
      <c r="AF390" s="859"/>
      <c r="AG390" s="864"/>
      <c r="AH390" s="865"/>
      <c r="AI390" s="757">
        <f t="shared" si="55"/>
        <v>81661669</v>
      </c>
      <c r="AJ390" s="758">
        <f t="shared" si="56"/>
        <v>85534804</v>
      </c>
    </row>
    <row r="391" spans="1:36" x14ac:dyDescent="0.2">
      <c r="A391" s="904" t="s">
        <v>143</v>
      </c>
      <c r="B391" s="899" t="s">
        <v>266</v>
      </c>
      <c r="C391" s="905" t="s">
        <v>319</v>
      </c>
      <c r="D391" s="906"/>
      <c r="E391" s="902">
        <v>106467</v>
      </c>
      <c r="F391" s="913">
        <v>3</v>
      </c>
      <c r="G391" s="859"/>
      <c r="H391" s="860"/>
      <c r="I391" s="861"/>
      <c r="J391" s="862"/>
      <c r="K391" s="859"/>
      <c r="L391" s="863"/>
      <c r="M391" s="861"/>
      <c r="N391" s="859"/>
      <c r="O391" s="752">
        <f t="shared" si="50"/>
        <v>0</v>
      </c>
      <c r="P391" s="864"/>
      <c r="Q391" s="860"/>
      <c r="R391" s="753">
        <f t="shared" si="52"/>
        <v>0</v>
      </c>
      <c r="S391" s="752">
        <f t="shared" si="53"/>
        <v>0</v>
      </c>
      <c r="T391" s="754">
        <f t="shared" si="54"/>
        <v>0</v>
      </c>
      <c r="U391" s="859"/>
      <c r="V391" s="863"/>
      <c r="W391" s="859"/>
      <c r="X391" s="859"/>
      <c r="Y391" s="755">
        <f t="shared" si="51"/>
        <v>0</v>
      </c>
      <c r="Z391" s="864"/>
      <c r="AA391" s="863"/>
      <c r="AB391" s="756">
        <f t="shared" si="57"/>
        <v>0</v>
      </c>
      <c r="AC391" s="859"/>
      <c r="AD391" s="863"/>
      <c r="AE391" s="859"/>
      <c r="AF391" s="859"/>
      <c r="AG391" s="864"/>
      <c r="AH391" s="865"/>
      <c r="AI391" s="757">
        <f t="shared" si="55"/>
        <v>0</v>
      </c>
      <c r="AJ391" s="758">
        <f t="shared" si="56"/>
        <v>0</v>
      </c>
    </row>
    <row r="392" spans="1:36" x14ac:dyDescent="0.2">
      <c r="A392" s="904" t="s">
        <v>143</v>
      </c>
      <c r="B392" s="899" t="s">
        <v>266</v>
      </c>
      <c r="C392" s="907" t="s">
        <v>601</v>
      </c>
      <c r="D392" s="906"/>
      <c r="E392" s="902">
        <v>106467</v>
      </c>
      <c r="F392" s="913">
        <v>3</v>
      </c>
      <c r="G392" s="859"/>
      <c r="H392" s="860"/>
      <c r="I392" s="861">
        <v>3191465</v>
      </c>
      <c r="J392" s="862">
        <v>3189081</v>
      </c>
      <c r="K392" s="859"/>
      <c r="L392" s="863"/>
      <c r="M392" s="861">
        <v>3100009</v>
      </c>
      <c r="N392" s="859"/>
      <c r="O392" s="752">
        <f t="shared" si="50"/>
        <v>3100009</v>
      </c>
      <c r="P392" s="1518">
        <v>4071724</v>
      </c>
      <c r="Q392" s="860"/>
      <c r="R392" s="753">
        <f t="shared" si="52"/>
        <v>4071724</v>
      </c>
      <c r="S392" s="752">
        <f t="shared" si="53"/>
        <v>6291474</v>
      </c>
      <c r="T392" s="754">
        <f t="shared" si="54"/>
        <v>7260805</v>
      </c>
      <c r="U392" s="859"/>
      <c r="V392" s="863"/>
      <c r="W392" s="859"/>
      <c r="X392" s="859"/>
      <c r="Y392" s="755">
        <f t="shared" si="51"/>
        <v>0</v>
      </c>
      <c r="Z392" s="864"/>
      <c r="AA392" s="863"/>
      <c r="AB392" s="756">
        <f t="shared" si="57"/>
        <v>0</v>
      </c>
      <c r="AC392" s="859"/>
      <c r="AD392" s="863"/>
      <c r="AE392" s="859"/>
      <c r="AF392" s="859"/>
      <c r="AG392" s="864"/>
      <c r="AH392" s="865"/>
      <c r="AI392" s="757">
        <f t="shared" si="55"/>
        <v>6291474</v>
      </c>
      <c r="AJ392" s="758">
        <f t="shared" si="56"/>
        <v>7260805</v>
      </c>
    </row>
    <row r="393" spans="1:36" x14ac:dyDescent="0.2">
      <c r="A393" s="904" t="s">
        <v>143</v>
      </c>
      <c r="B393" s="899" t="s">
        <v>264</v>
      </c>
      <c r="C393" s="900" t="s">
        <v>602</v>
      </c>
      <c r="D393" s="911" t="s">
        <v>1128</v>
      </c>
      <c r="E393" s="902">
        <v>106245</v>
      </c>
      <c r="F393" s="903">
        <v>3</v>
      </c>
      <c r="G393" s="859">
        <v>61489929</v>
      </c>
      <c r="H393" s="860">
        <v>61960269</v>
      </c>
      <c r="I393" s="861"/>
      <c r="J393" s="862"/>
      <c r="K393" s="859"/>
      <c r="L393" s="863"/>
      <c r="M393" s="861">
        <v>75016539</v>
      </c>
      <c r="N393" s="867">
        <v>403831</v>
      </c>
      <c r="O393" s="752">
        <f t="shared" si="50"/>
        <v>75420370</v>
      </c>
      <c r="P393" s="1518">
        <v>75294685</v>
      </c>
      <c r="Q393" s="1525">
        <v>817280</v>
      </c>
      <c r="R393" s="753">
        <f t="shared" si="52"/>
        <v>76111965</v>
      </c>
      <c r="S393" s="752">
        <f t="shared" si="53"/>
        <v>136506468</v>
      </c>
      <c r="T393" s="754">
        <f t="shared" si="54"/>
        <v>137254954</v>
      </c>
      <c r="U393" s="859"/>
      <c r="V393" s="863"/>
      <c r="W393" s="859"/>
      <c r="X393" s="859"/>
      <c r="Y393" s="755">
        <f t="shared" si="51"/>
        <v>0</v>
      </c>
      <c r="Z393" s="864"/>
      <c r="AA393" s="863"/>
      <c r="AB393" s="756">
        <f t="shared" si="57"/>
        <v>0</v>
      </c>
      <c r="AC393" s="859"/>
      <c r="AD393" s="863"/>
      <c r="AE393" s="859"/>
      <c r="AF393" s="859"/>
      <c r="AG393" s="864"/>
      <c r="AH393" s="865"/>
      <c r="AI393" s="757">
        <f t="shared" si="55"/>
        <v>136506468</v>
      </c>
      <c r="AJ393" s="758">
        <f t="shared" si="56"/>
        <v>137254954</v>
      </c>
    </row>
    <row r="394" spans="1:36" x14ac:dyDescent="0.2">
      <c r="A394" s="904" t="s">
        <v>143</v>
      </c>
      <c r="B394" s="899" t="s">
        <v>266</v>
      </c>
      <c r="C394" s="905" t="s">
        <v>319</v>
      </c>
      <c r="D394" s="906"/>
      <c r="E394" s="902">
        <v>106245</v>
      </c>
      <c r="F394" s="903">
        <v>3</v>
      </c>
      <c r="G394" s="859"/>
      <c r="H394" s="860"/>
      <c r="I394" s="861"/>
      <c r="J394" s="862"/>
      <c r="K394" s="859"/>
      <c r="L394" s="863"/>
      <c r="M394" s="861"/>
      <c r="N394" s="859"/>
      <c r="O394" s="752">
        <f t="shared" si="50"/>
        <v>0</v>
      </c>
      <c r="P394" s="864"/>
      <c r="Q394" s="860"/>
      <c r="R394" s="753">
        <f t="shared" si="52"/>
        <v>0</v>
      </c>
      <c r="S394" s="752">
        <f t="shared" si="53"/>
        <v>0</v>
      </c>
      <c r="T394" s="754">
        <f t="shared" si="54"/>
        <v>0</v>
      </c>
      <c r="U394" s="859"/>
      <c r="V394" s="863"/>
      <c r="W394" s="859"/>
      <c r="X394" s="859"/>
      <c r="Y394" s="755">
        <f t="shared" si="51"/>
        <v>0</v>
      </c>
      <c r="Z394" s="864"/>
      <c r="AA394" s="863"/>
      <c r="AB394" s="756">
        <f t="shared" si="57"/>
        <v>0</v>
      </c>
      <c r="AC394" s="859"/>
      <c r="AD394" s="863"/>
      <c r="AE394" s="859"/>
      <c r="AF394" s="859"/>
      <c r="AG394" s="864"/>
      <c r="AH394" s="865"/>
      <c r="AI394" s="757">
        <f t="shared" si="55"/>
        <v>0</v>
      </c>
      <c r="AJ394" s="758">
        <f t="shared" si="56"/>
        <v>0</v>
      </c>
    </row>
    <row r="395" spans="1:36" x14ac:dyDescent="0.2">
      <c r="A395" s="904" t="s">
        <v>143</v>
      </c>
      <c r="B395" s="899" t="s">
        <v>266</v>
      </c>
      <c r="C395" s="907" t="s">
        <v>603</v>
      </c>
      <c r="D395" s="906"/>
      <c r="E395" s="902">
        <v>106245</v>
      </c>
      <c r="F395" s="903">
        <v>3</v>
      </c>
      <c r="G395" s="859"/>
      <c r="H395" s="860"/>
      <c r="I395" s="861">
        <v>3588916</v>
      </c>
      <c r="J395" s="862">
        <v>3588916</v>
      </c>
      <c r="K395" s="859"/>
      <c r="L395" s="863"/>
      <c r="M395" s="861"/>
      <c r="N395" s="859"/>
      <c r="O395" s="752">
        <f t="shared" ref="O395:O458" si="58">SUM(M395:N395)</f>
        <v>0</v>
      </c>
      <c r="P395" s="864">
        <v>0</v>
      </c>
      <c r="Q395" s="860"/>
      <c r="R395" s="753">
        <f t="shared" si="52"/>
        <v>0</v>
      </c>
      <c r="S395" s="752">
        <f t="shared" si="53"/>
        <v>3588916</v>
      </c>
      <c r="T395" s="754">
        <f t="shared" si="54"/>
        <v>3588916</v>
      </c>
      <c r="U395" s="859"/>
      <c r="V395" s="863"/>
      <c r="W395" s="859"/>
      <c r="X395" s="859"/>
      <c r="Y395" s="755">
        <f t="shared" ref="Y395:Y458" si="59">SUM(W395:X395)</f>
        <v>0</v>
      </c>
      <c r="Z395" s="864"/>
      <c r="AA395" s="863"/>
      <c r="AB395" s="756">
        <f t="shared" ref="AB395:AB458" si="60">SUM(Z395:AA395)</f>
        <v>0</v>
      </c>
      <c r="AC395" s="859"/>
      <c r="AD395" s="863"/>
      <c r="AE395" s="859"/>
      <c r="AF395" s="859"/>
      <c r="AG395" s="864"/>
      <c r="AH395" s="865"/>
      <c r="AI395" s="757">
        <f t="shared" si="55"/>
        <v>3588916</v>
      </c>
      <c r="AJ395" s="758">
        <f t="shared" si="56"/>
        <v>3588916</v>
      </c>
    </row>
    <row r="396" spans="1:36" x14ac:dyDescent="0.2">
      <c r="A396" s="904" t="s">
        <v>143</v>
      </c>
      <c r="B396" s="899" t="s">
        <v>264</v>
      </c>
      <c r="C396" s="900" t="s">
        <v>604</v>
      </c>
      <c r="D396" s="901"/>
      <c r="E396" s="902">
        <v>106704</v>
      </c>
      <c r="F396" s="903">
        <v>3</v>
      </c>
      <c r="G396" s="859">
        <v>56822517</v>
      </c>
      <c r="H396" s="860">
        <v>57234273</v>
      </c>
      <c r="I396" s="861"/>
      <c r="J396" s="862"/>
      <c r="K396" s="859"/>
      <c r="L396" s="863"/>
      <c r="M396" s="861">
        <v>70905385</v>
      </c>
      <c r="N396" s="859"/>
      <c r="O396" s="752">
        <f t="shared" si="58"/>
        <v>70905385</v>
      </c>
      <c r="P396" s="1518">
        <v>74907396</v>
      </c>
      <c r="Q396" s="860"/>
      <c r="R396" s="753">
        <f t="shared" ref="R396:R459" si="61">SUM(P396:Q396)</f>
        <v>74907396</v>
      </c>
      <c r="S396" s="752">
        <f t="shared" ref="S396:S459" si="62">SUM(G396,I396,K396,M396)</f>
        <v>127727902</v>
      </c>
      <c r="T396" s="754">
        <f t="shared" ref="T396:T459" si="63">SUM(H396,J396,L396,P396)</f>
        <v>132141669</v>
      </c>
      <c r="U396" s="859"/>
      <c r="V396" s="863"/>
      <c r="W396" s="859"/>
      <c r="X396" s="859"/>
      <c r="Y396" s="755">
        <f t="shared" si="59"/>
        <v>0</v>
      </c>
      <c r="Z396" s="864"/>
      <c r="AA396" s="863"/>
      <c r="AB396" s="756">
        <f t="shared" si="60"/>
        <v>0</v>
      </c>
      <c r="AC396" s="859"/>
      <c r="AD396" s="863"/>
      <c r="AE396" s="859"/>
      <c r="AF396" s="859"/>
      <c r="AG396" s="864"/>
      <c r="AH396" s="865"/>
      <c r="AI396" s="757">
        <f t="shared" ref="AI396:AI459" si="64">SUM(S396,U396,W396,AC396,AE396)</f>
        <v>127727902</v>
      </c>
      <c r="AJ396" s="758">
        <f t="shared" ref="AJ396:AJ459" si="65">SUM(T396,V396,Z396,AD396,AG396)</f>
        <v>132141669</v>
      </c>
    </row>
    <row r="397" spans="1:36" x14ac:dyDescent="0.2">
      <c r="A397" s="904" t="s">
        <v>143</v>
      </c>
      <c r="B397" s="899" t="s">
        <v>264</v>
      </c>
      <c r="C397" s="900" t="s">
        <v>605</v>
      </c>
      <c r="D397" s="901"/>
      <c r="E397" s="902">
        <v>107071</v>
      </c>
      <c r="F397" s="903">
        <v>4</v>
      </c>
      <c r="G397" s="859">
        <v>20565446</v>
      </c>
      <c r="H397" s="860">
        <v>20587528</v>
      </c>
      <c r="I397" s="861"/>
      <c r="J397" s="862"/>
      <c r="K397" s="859"/>
      <c r="L397" s="863"/>
      <c r="M397" s="861">
        <v>25137681</v>
      </c>
      <c r="N397" s="859"/>
      <c r="O397" s="752">
        <f t="shared" si="58"/>
        <v>25137681</v>
      </c>
      <c r="P397" s="1518">
        <v>25714854</v>
      </c>
      <c r="Q397" s="860"/>
      <c r="R397" s="753">
        <f t="shared" si="61"/>
        <v>25714854</v>
      </c>
      <c r="S397" s="752">
        <f t="shared" si="62"/>
        <v>45703127</v>
      </c>
      <c r="T397" s="754">
        <f t="shared" si="63"/>
        <v>46302382</v>
      </c>
      <c r="U397" s="859"/>
      <c r="V397" s="863"/>
      <c r="W397" s="859"/>
      <c r="X397" s="859"/>
      <c r="Y397" s="755">
        <f t="shared" si="59"/>
        <v>0</v>
      </c>
      <c r="Z397" s="864"/>
      <c r="AA397" s="863"/>
      <c r="AB397" s="756">
        <f t="shared" si="60"/>
        <v>0</v>
      </c>
      <c r="AC397" s="859"/>
      <c r="AD397" s="863"/>
      <c r="AE397" s="859"/>
      <c r="AF397" s="859"/>
      <c r="AG397" s="864"/>
      <c r="AH397" s="865"/>
      <c r="AI397" s="757">
        <f t="shared" si="64"/>
        <v>45703127</v>
      </c>
      <c r="AJ397" s="758">
        <f t="shared" si="65"/>
        <v>46302382</v>
      </c>
    </row>
    <row r="398" spans="1:36" x14ac:dyDescent="0.2">
      <c r="A398" s="904" t="s">
        <v>143</v>
      </c>
      <c r="B398" s="899" t="s">
        <v>266</v>
      </c>
      <c r="C398" s="905" t="s">
        <v>319</v>
      </c>
      <c r="D398" s="906"/>
      <c r="E398" s="902">
        <v>107071</v>
      </c>
      <c r="F398" s="903">
        <v>4</v>
      </c>
      <c r="G398" s="859"/>
      <c r="H398" s="860"/>
      <c r="I398" s="861"/>
      <c r="J398" s="862"/>
      <c r="K398" s="859"/>
      <c r="L398" s="863"/>
      <c r="M398" s="861"/>
      <c r="N398" s="859"/>
      <c r="O398" s="752">
        <f t="shared" si="58"/>
        <v>0</v>
      </c>
      <c r="P398" s="864"/>
      <c r="Q398" s="860"/>
      <c r="R398" s="753">
        <f t="shared" si="61"/>
        <v>0</v>
      </c>
      <c r="S398" s="752">
        <f t="shared" si="62"/>
        <v>0</v>
      </c>
      <c r="T398" s="754">
        <f t="shared" si="63"/>
        <v>0</v>
      </c>
      <c r="U398" s="859"/>
      <c r="V398" s="863"/>
      <c r="W398" s="859"/>
      <c r="X398" s="859"/>
      <c r="Y398" s="755">
        <f t="shared" si="59"/>
        <v>0</v>
      </c>
      <c r="Z398" s="864"/>
      <c r="AA398" s="863"/>
      <c r="AB398" s="756">
        <f t="shared" si="60"/>
        <v>0</v>
      </c>
      <c r="AC398" s="859"/>
      <c r="AD398" s="863"/>
      <c r="AE398" s="859"/>
      <c r="AF398" s="859"/>
      <c r="AG398" s="864"/>
      <c r="AH398" s="865"/>
      <c r="AI398" s="757">
        <f t="shared" si="64"/>
        <v>0</v>
      </c>
      <c r="AJ398" s="758">
        <f t="shared" si="65"/>
        <v>0</v>
      </c>
    </row>
    <row r="399" spans="1:36" x14ac:dyDescent="0.2">
      <c r="A399" s="904" t="s">
        <v>143</v>
      </c>
      <c r="B399" s="899" t="s">
        <v>266</v>
      </c>
      <c r="C399" s="907" t="s">
        <v>606</v>
      </c>
      <c r="D399" s="911" t="s">
        <v>607</v>
      </c>
      <c r="E399" s="902">
        <v>107071</v>
      </c>
      <c r="F399" s="903">
        <v>4</v>
      </c>
      <c r="G399" s="859"/>
      <c r="H399" s="860"/>
      <c r="I399" s="861">
        <v>210585</v>
      </c>
      <c r="J399" s="862">
        <v>210585</v>
      </c>
      <c r="K399" s="859"/>
      <c r="L399" s="863"/>
      <c r="M399" s="861"/>
      <c r="N399" s="859"/>
      <c r="O399" s="752">
        <f t="shared" si="58"/>
        <v>0</v>
      </c>
      <c r="P399" s="864">
        <v>0</v>
      </c>
      <c r="Q399" s="860"/>
      <c r="R399" s="753">
        <f t="shared" si="61"/>
        <v>0</v>
      </c>
      <c r="S399" s="752">
        <f t="shared" si="62"/>
        <v>210585</v>
      </c>
      <c r="T399" s="754">
        <f t="shared" si="63"/>
        <v>210585</v>
      </c>
      <c r="U399" s="859"/>
      <c r="V399" s="863"/>
      <c r="W399" s="859"/>
      <c r="X399" s="859"/>
      <c r="Y399" s="755">
        <f t="shared" si="59"/>
        <v>0</v>
      </c>
      <c r="Z399" s="864"/>
      <c r="AA399" s="863"/>
      <c r="AB399" s="756">
        <f t="shared" si="60"/>
        <v>0</v>
      </c>
      <c r="AC399" s="859"/>
      <c r="AD399" s="863"/>
      <c r="AE399" s="859"/>
      <c r="AF399" s="859"/>
      <c r="AG399" s="864"/>
      <c r="AH399" s="865"/>
      <c r="AI399" s="757">
        <f t="shared" si="64"/>
        <v>210585</v>
      </c>
      <c r="AJ399" s="758">
        <f t="shared" si="65"/>
        <v>210585</v>
      </c>
    </row>
    <row r="400" spans="1:36" x14ac:dyDescent="0.2">
      <c r="A400" s="904" t="s">
        <v>143</v>
      </c>
      <c r="B400" s="899" t="s">
        <v>264</v>
      </c>
      <c r="C400" s="908" t="s">
        <v>608</v>
      </c>
      <c r="D400" s="909"/>
      <c r="E400" s="902">
        <v>107983</v>
      </c>
      <c r="F400" s="910">
        <v>4</v>
      </c>
      <c r="G400" s="859">
        <v>16668783</v>
      </c>
      <c r="H400" s="860">
        <v>16681839</v>
      </c>
      <c r="I400" s="861"/>
      <c r="J400" s="862"/>
      <c r="K400" s="859"/>
      <c r="L400" s="863"/>
      <c r="M400" s="861">
        <v>21501956</v>
      </c>
      <c r="N400" s="859"/>
      <c r="O400" s="752">
        <f t="shared" si="58"/>
        <v>21501956</v>
      </c>
      <c r="P400" s="1518">
        <v>23393761</v>
      </c>
      <c r="Q400" s="1525">
        <v>2368167</v>
      </c>
      <c r="R400" s="753">
        <f t="shared" si="61"/>
        <v>25761928</v>
      </c>
      <c r="S400" s="752">
        <f t="shared" si="62"/>
        <v>38170739</v>
      </c>
      <c r="T400" s="754">
        <f t="shared" si="63"/>
        <v>40075600</v>
      </c>
      <c r="U400" s="859"/>
      <c r="V400" s="863"/>
      <c r="W400" s="859"/>
      <c r="X400" s="859"/>
      <c r="Y400" s="755">
        <f t="shared" si="59"/>
        <v>0</v>
      </c>
      <c r="Z400" s="864"/>
      <c r="AA400" s="863"/>
      <c r="AB400" s="756">
        <f t="shared" si="60"/>
        <v>0</v>
      </c>
      <c r="AC400" s="859"/>
      <c r="AD400" s="863"/>
      <c r="AE400" s="859"/>
      <c r="AF400" s="859"/>
      <c r="AG400" s="864"/>
      <c r="AH400" s="865"/>
      <c r="AI400" s="757">
        <f t="shared" si="64"/>
        <v>38170739</v>
      </c>
      <c r="AJ400" s="758">
        <f t="shared" si="65"/>
        <v>40075600</v>
      </c>
    </row>
    <row r="401" spans="1:36" x14ac:dyDescent="0.2">
      <c r="A401" s="904" t="s">
        <v>143</v>
      </c>
      <c r="B401" s="899" t="s">
        <v>264</v>
      </c>
      <c r="C401" s="900" t="s">
        <v>609</v>
      </c>
      <c r="D401" s="901"/>
      <c r="E401" s="902">
        <v>106485</v>
      </c>
      <c r="F401" s="903">
        <v>5</v>
      </c>
      <c r="G401" s="859">
        <v>14006506</v>
      </c>
      <c r="H401" s="860">
        <v>14017774</v>
      </c>
      <c r="I401" s="861"/>
      <c r="J401" s="862"/>
      <c r="K401" s="859"/>
      <c r="L401" s="863"/>
      <c r="M401" s="861">
        <v>14055761</v>
      </c>
      <c r="N401" s="859"/>
      <c r="O401" s="752">
        <f t="shared" si="58"/>
        <v>14055761</v>
      </c>
      <c r="P401" s="1518">
        <v>14461103</v>
      </c>
      <c r="Q401" s="860"/>
      <c r="R401" s="753">
        <f t="shared" si="61"/>
        <v>14461103</v>
      </c>
      <c r="S401" s="752">
        <f t="shared" si="62"/>
        <v>28062267</v>
      </c>
      <c r="T401" s="754">
        <f t="shared" si="63"/>
        <v>28478877</v>
      </c>
      <c r="U401" s="859"/>
      <c r="V401" s="863"/>
      <c r="W401" s="859"/>
      <c r="X401" s="859"/>
      <c r="Y401" s="755">
        <f t="shared" si="59"/>
        <v>0</v>
      </c>
      <c r="Z401" s="864"/>
      <c r="AA401" s="863"/>
      <c r="AB401" s="756">
        <f t="shared" si="60"/>
        <v>0</v>
      </c>
      <c r="AC401" s="859"/>
      <c r="AD401" s="863"/>
      <c r="AE401" s="859"/>
      <c r="AF401" s="859"/>
      <c r="AG401" s="864"/>
      <c r="AH401" s="865"/>
      <c r="AI401" s="757">
        <f t="shared" si="64"/>
        <v>28062267</v>
      </c>
      <c r="AJ401" s="758">
        <f t="shared" si="65"/>
        <v>28478877</v>
      </c>
    </row>
    <row r="402" spans="1:36" x14ac:dyDescent="0.2">
      <c r="A402" s="904" t="s">
        <v>143</v>
      </c>
      <c r="B402" s="899" t="s">
        <v>266</v>
      </c>
      <c r="C402" s="905" t="s">
        <v>319</v>
      </c>
      <c r="D402" s="906"/>
      <c r="E402" s="902">
        <v>106485</v>
      </c>
      <c r="F402" s="903">
        <v>5</v>
      </c>
      <c r="G402" s="859"/>
      <c r="H402" s="860"/>
      <c r="I402" s="861"/>
      <c r="J402" s="862"/>
      <c r="K402" s="859"/>
      <c r="L402" s="863"/>
      <c r="M402" s="861"/>
      <c r="N402" s="859"/>
      <c r="O402" s="752">
        <f t="shared" si="58"/>
        <v>0</v>
      </c>
      <c r="P402" s="864"/>
      <c r="Q402" s="860"/>
      <c r="R402" s="753">
        <f t="shared" si="61"/>
        <v>0</v>
      </c>
      <c r="S402" s="752">
        <f t="shared" si="62"/>
        <v>0</v>
      </c>
      <c r="T402" s="754">
        <f t="shared" si="63"/>
        <v>0</v>
      </c>
      <c r="U402" s="859"/>
      <c r="V402" s="863"/>
      <c r="W402" s="859"/>
      <c r="X402" s="859"/>
      <c r="Y402" s="755">
        <f t="shared" si="59"/>
        <v>0</v>
      </c>
      <c r="Z402" s="864"/>
      <c r="AA402" s="863"/>
      <c r="AB402" s="756">
        <f t="shared" si="60"/>
        <v>0</v>
      </c>
      <c r="AC402" s="859"/>
      <c r="AD402" s="863"/>
      <c r="AE402" s="859"/>
      <c r="AF402" s="859"/>
      <c r="AG402" s="864"/>
      <c r="AH402" s="865"/>
      <c r="AI402" s="757">
        <f t="shared" si="64"/>
        <v>0</v>
      </c>
      <c r="AJ402" s="758">
        <f t="shared" si="65"/>
        <v>0</v>
      </c>
    </row>
    <row r="403" spans="1:36" x14ac:dyDescent="0.2">
      <c r="A403" s="904" t="s">
        <v>143</v>
      </c>
      <c r="B403" s="899" t="s">
        <v>266</v>
      </c>
      <c r="C403" s="907" t="s">
        <v>610</v>
      </c>
      <c r="D403" s="906"/>
      <c r="E403" s="902">
        <v>106485</v>
      </c>
      <c r="F403" s="903">
        <v>5</v>
      </c>
      <c r="G403" s="859"/>
      <c r="H403" s="860"/>
      <c r="I403" s="861">
        <v>2432423</v>
      </c>
      <c r="J403" s="862">
        <v>2430016</v>
      </c>
      <c r="K403" s="859"/>
      <c r="L403" s="863"/>
      <c r="M403" s="861">
        <v>1059541</v>
      </c>
      <c r="N403" s="859"/>
      <c r="O403" s="752">
        <f t="shared" si="58"/>
        <v>1059541</v>
      </c>
      <c r="P403" s="1518">
        <v>936474</v>
      </c>
      <c r="Q403" s="860"/>
      <c r="R403" s="753">
        <f t="shared" si="61"/>
        <v>936474</v>
      </c>
      <c r="S403" s="752">
        <f t="shared" si="62"/>
        <v>3491964</v>
      </c>
      <c r="T403" s="754">
        <f t="shared" si="63"/>
        <v>3366490</v>
      </c>
      <c r="U403" s="859"/>
      <c r="V403" s="863"/>
      <c r="W403" s="859"/>
      <c r="X403" s="859"/>
      <c r="Y403" s="755">
        <f t="shared" si="59"/>
        <v>0</v>
      </c>
      <c r="Z403" s="864"/>
      <c r="AA403" s="863"/>
      <c r="AB403" s="756">
        <f t="shared" si="60"/>
        <v>0</v>
      </c>
      <c r="AC403" s="859"/>
      <c r="AD403" s="863"/>
      <c r="AE403" s="859"/>
      <c r="AF403" s="859"/>
      <c r="AG403" s="864"/>
      <c r="AH403" s="865"/>
      <c r="AI403" s="757">
        <f t="shared" si="64"/>
        <v>3491964</v>
      </c>
      <c r="AJ403" s="758">
        <f t="shared" si="65"/>
        <v>3366490</v>
      </c>
    </row>
    <row r="404" spans="1:36" x14ac:dyDescent="0.2">
      <c r="A404" s="904" t="s">
        <v>143</v>
      </c>
      <c r="B404" s="899" t="s">
        <v>266</v>
      </c>
      <c r="C404" s="907" t="s">
        <v>611</v>
      </c>
      <c r="D404" s="906"/>
      <c r="E404" s="902">
        <v>106485</v>
      </c>
      <c r="F404" s="903">
        <v>5</v>
      </c>
      <c r="G404" s="859"/>
      <c r="H404" s="860"/>
      <c r="I404" s="861">
        <v>1813008</v>
      </c>
      <c r="J404" s="862">
        <v>1811324</v>
      </c>
      <c r="K404" s="859"/>
      <c r="L404" s="863"/>
      <c r="M404" s="861">
        <v>930333</v>
      </c>
      <c r="N404" s="859"/>
      <c r="O404" s="752">
        <f t="shared" si="58"/>
        <v>930333</v>
      </c>
      <c r="P404" s="1518">
        <v>982244</v>
      </c>
      <c r="Q404" s="860"/>
      <c r="R404" s="753">
        <f t="shared" si="61"/>
        <v>982244</v>
      </c>
      <c r="S404" s="752">
        <f t="shared" si="62"/>
        <v>2743341</v>
      </c>
      <c r="T404" s="754">
        <f t="shared" si="63"/>
        <v>2793568</v>
      </c>
      <c r="U404" s="859"/>
      <c r="V404" s="863"/>
      <c r="W404" s="859"/>
      <c r="X404" s="859"/>
      <c r="Y404" s="755">
        <f t="shared" si="59"/>
        <v>0</v>
      </c>
      <c r="Z404" s="864"/>
      <c r="AA404" s="863"/>
      <c r="AB404" s="756">
        <f t="shared" si="60"/>
        <v>0</v>
      </c>
      <c r="AC404" s="859"/>
      <c r="AD404" s="863"/>
      <c r="AE404" s="859"/>
      <c r="AF404" s="859"/>
      <c r="AG404" s="864"/>
      <c r="AH404" s="865"/>
      <c r="AI404" s="757">
        <f t="shared" si="64"/>
        <v>2743341</v>
      </c>
      <c r="AJ404" s="758">
        <f t="shared" si="65"/>
        <v>2793568</v>
      </c>
    </row>
    <row r="405" spans="1:36" x14ac:dyDescent="0.2">
      <c r="A405" s="904" t="s">
        <v>143</v>
      </c>
      <c r="B405" s="899" t="s">
        <v>264</v>
      </c>
      <c r="C405" s="908" t="s">
        <v>612</v>
      </c>
      <c r="D405" s="911"/>
      <c r="E405" s="902">
        <v>108092</v>
      </c>
      <c r="F405" s="903">
        <v>6</v>
      </c>
      <c r="G405" s="859">
        <v>23266845</v>
      </c>
      <c r="H405" s="860">
        <v>23469127</v>
      </c>
      <c r="I405" s="861"/>
      <c r="J405" s="862" t="s">
        <v>613</v>
      </c>
      <c r="K405" s="867">
        <v>5508890</v>
      </c>
      <c r="L405" s="1101">
        <v>5654987</v>
      </c>
      <c r="M405" s="861">
        <v>30711408</v>
      </c>
      <c r="N405" s="859"/>
      <c r="O405" s="752">
        <f t="shared" si="58"/>
        <v>30711408</v>
      </c>
      <c r="P405" s="1518">
        <v>30637282</v>
      </c>
      <c r="Q405" s="860"/>
      <c r="R405" s="753">
        <f t="shared" si="61"/>
        <v>30637282</v>
      </c>
      <c r="S405" s="752">
        <f t="shared" si="62"/>
        <v>59487143</v>
      </c>
      <c r="T405" s="754">
        <f t="shared" si="63"/>
        <v>59761396</v>
      </c>
      <c r="U405" s="859"/>
      <c r="V405" s="863"/>
      <c r="W405" s="859"/>
      <c r="X405" s="859"/>
      <c r="Y405" s="755">
        <f t="shared" si="59"/>
        <v>0</v>
      </c>
      <c r="Z405" s="864"/>
      <c r="AA405" s="863"/>
      <c r="AB405" s="756">
        <f t="shared" si="60"/>
        <v>0</v>
      </c>
      <c r="AC405" s="859"/>
      <c r="AD405" s="863"/>
      <c r="AE405" s="859"/>
      <c r="AF405" s="859"/>
      <c r="AG405" s="864"/>
      <c r="AH405" s="865"/>
      <c r="AI405" s="757">
        <f t="shared" si="64"/>
        <v>59487143</v>
      </c>
      <c r="AJ405" s="758">
        <f t="shared" si="65"/>
        <v>59761396</v>
      </c>
    </row>
    <row r="406" spans="1:36" x14ac:dyDescent="0.2">
      <c r="A406" s="904" t="s">
        <v>143</v>
      </c>
      <c r="B406" s="899" t="s">
        <v>264</v>
      </c>
      <c r="C406" s="908" t="s">
        <v>614</v>
      </c>
      <c r="D406" s="911" t="s">
        <v>1129</v>
      </c>
      <c r="E406" s="902">
        <v>106412</v>
      </c>
      <c r="F406" s="903">
        <v>6</v>
      </c>
      <c r="G406" s="859">
        <v>27056360</v>
      </c>
      <c r="H406" s="860">
        <v>27075920</v>
      </c>
      <c r="I406" s="861"/>
      <c r="J406" s="862"/>
      <c r="K406" s="859"/>
      <c r="L406" s="863"/>
      <c r="M406" s="861">
        <v>17410400</v>
      </c>
      <c r="N406" s="859"/>
      <c r="O406" s="752">
        <f t="shared" si="58"/>
        <v>17410400</v>
      </c>
      <c r="P406" s="1518">
        <v>16299059</v>
      </c>
      <c r="Q406" s="860"/>
      <c r="R406" s="753">
        <f t="shared" si="61"/>
        <v>16299059</v>
      </c>
      <c r="S406" s="752">
        <f t="shared" si="62"/>
        <v>44466760</v>
      </c>
      <c r="T406" s="754">
        <f t="shared" si="63"/>
        <v>43374979</v>
      </c>
      <c r="U406" s="859"/>
      <c r="V406" s="863"/>
      <c r="W406" s="859"/>
      <c r="X406" s="859"/>
      <c r="Y406" s="755">
        <f t="shared" si="59"/>
        <v>0</v>
      </c>
      <c r="Z406" s="864"/>
      <c r="AA406" s="863"/>
      <c r="AB406" s="756">
        <f t="shared" si="60"/>
        <v>0</v>
      </c>
      <c r="AC406" s="859"/>
      <c r="AD406" s="863"/>
      <c r="AE406" s="859"/>
      <c r="AF406" s="859"/>
      <c r="AG406" s="864"/>
      <c r="AH406" s="865"/>
      <c r="AI406" s="757">
        <f t="shared" si="64"/>
        <v>44466760</v>
      </c>
      <c r="AJ406" s="758">
        <f t="shared" si="65"/>
        <v>43374979</v>
      </c>
    </row>
    <row r="407" spans="1:36" x14ac:dyDescent="0.2">
      <c r="A407" s="904" t="s">
        <v>143</v>
      </c>
      <c r="B407" s="899" t="s">
        <v>264</v>
      </c>
      <c r="C407" s="908" t="s">
        <v>615</v>
      </c>
      <c r="D407" s="909"/>
      <c r="E407" s="902">
        <v>367459</v>
      </c>
      <c r="F407" s="910">
        <v>8</v>
      </c>
      <c r="G407" s="859">
        <v>11066006</v>
      </c>
      <c r="H407" s="860">
        <v>11611154</v>
      </c>
      <c r="I407" s="861"/>
      <c r="J407" s="862"/>
      <c r="K407" s="867">
        <v>5653284</v>
      </c>
      <c r="L407" s="1101">
        <v>5952227</v>
      </c>
      <c r="M407" s="861">
        <v>23422856</v>
      </c>
      <c r="N407" s="859"/>
      <c r="O407" s="752">
        <f t="shared" si="58"/>
        <v>23422856</v>
      </c>
      <c r="P407" s="1518">
        <v>24017813</v>
      </c>
      <c r="Q407" s="860"/>
      <c r="R407" s="753">
        <f t="shared" si="61"/>
        <v>24017813</v>
      </c>
      <c r="S407" s="752">
        <f t="shared" si="62"/>
        <v>40142146</v>
      </c>
      <c r="T407" s="754">
        <f t="shared" si="63"/>
        <v>41581194</v>
      </c>
      <c r="U407" s="859"/>
      <c r="V407" s="863"/>
      <c r="W407" s="859"/>
      <c r="X407" s="859"/>
      <c r="Y407" s="755">
        <f t="shared" si="59"/>
        <v>0</v>
      </c>
      <c r="Z407" s="864"/>
      <c r="AA407" s="863"/>
      <c r="AB407" s="756">
        <f t="shared" si="60"/>
        <v>0</v>
      </c>
      <c r="AC407" s="859"/>
      <c r="AD407" s="863"/>
      <c r="AE407" s="859"/>
      <c r="AF407" s="859"/>
      <c r="AG407" s="864"/>
      <c r="AH407" s="865"/>
      <c r="AI407" s="757">
        <f t="shared" si="64"/>
        <v>40142146</v>
      </c>
      <c r="AJ407" s="758">
        <f t="shared" si="65"/>
        <v>41581194</v>
      </c>
    </row>
    <row r="408" spans="1:36" x14ac:dyDescent="0.2">
      <c r="A408" s="904" t="s">
        <v>143</v>
      </c>
      <c r="B408" s="899" t="s">
        <v>264</v>
      </c>
      <c r="C408" s="900" t="s">
        <v>616</v>
      </c>
      <c r="D408" s="901"/>
      <c r="E408" s="902">
        <v>107664</v>
      </c>
      <c r="F408" s="903">
        <v>8</v>
      </c>
      <c r="G408" s="859">
        <v>16737684</v>
      </c>
      <c r="H408" s="860">
        <v>17411209</v>
      </c>
      <c r="I408" s="861"/>
      <c r="J408" s="862"/>
      <c r="K408" s="859"/>
      <c r="L408" s="863"/>
      <c r="M408" s="861">
        <v>29787525</v>
      </c>
      <c r="N408" s="859"/>
      <c r="O408" s="752">
        <f t="shared" si="58"/>
        <v>29787525</v>
      </c>
      <c r="P408" s="1518">
        <v>28982515</v>
      </c>
      <c r="Q408" s="860"/>
      <c r="R408" s="753">
        <f t="shared" si="61"/>
        <v>28982515</v>
      </c>
      <c r="S408" s="752">
        <f t="shared" si="62"/>
        <v>46525209</v>
      </c>
      <c r="T408" s="754">
        <f t="shared" si="63"/>
        <v>46393724</v>
      </c>
      <c r="U408" s="859"/>
      <c r="V408" s="863"/>
      <c r="W408" s="859"/>
      <c r="X408" s="859"/>
      <c r="Y408" s="755">
        <f t="shared" si="59"/>
        <v>0</v>
      </c>
      <c r="Z408" s="864"/>
      <c r="AA408" s="863"/>
      <c r="AB408" s="756">
        <f t="shared" si="60"/>
        <v>0</v>
      </c>
      <c r="AC408" s="859"/>
      <c r="AD408" s="863"/>
      <c r="AE408" s="859"/>
      <c r="AF408" s="859"/>
      <c r="AG408" s="864"/>
      <c r="AH408" s="865"/>
      <c r="AI408" s="757">
        <f t="shared" si="64"/>
        <v>46525209</v>
      </c>
      <c r="AJ408" s="758">
        <f t="shared" si="65"/>
        <v>46393724</v>
      </c>
    </row>
    <row r="409" spans="1:36" x14ac:dyDescent="0.2">
      <c r="A409" s="904" t="s">
        <v>143</v>
      </c>
      <c r="B409" s="899" t="s">
        <v>264</v>
      </c>
      <c r="C409" s="900" t="s">
        <v>617</v>
      </c>
      <c r="D409" s="901"/>
      <c r="E409" s="902">
        <v>106449</v>
      </c>
      <c r="F409" s="903">
        <v>9</v>
      </c>
      <c r="G409" s="859">
        <v>14268131</v>
      </c>
      <c r="H409" s="860">
        <v>14071729</v>
      </c>
      <c r="I409" s="861"/>
      <c r="J409" s="862"/>
      <c r="K409" s="867">
        <v>1832878</v>
      </c>
      <c r="L409" s="1101">
        <v>1779744</v>
      </c>
      <c r="M409" s="861">
        <v>10616228</v>
      </c>
      <c r="N409" s="859"/>
      <c r="O409" s="752">
        <f t="shared" si="58"/>
        <v>10616228</v>
      </c>
      <c r="P409" s="1518">
        <v>10223764</v>
      </c>
      <c r="Q409" s="860"/>
      <c r="R409" s="753">
        <f t="shared" si="61"/>
        <v>10223764</v>
      </c>
      <c r="S409" s="752">
        <f t="shared" si="62"/>
        <v>26717237</v>
      </c>
      <c r="T409" s="754">
        <f t="shared" si="63"/>
        <v>26075237</v>
      </c>
      <c r="U409" s="859"/>
      <c r="V409" s="863"/>
      <c r="W409" s="859"/>
      <c r="X409" s="859"/>
      <c r="Y409" s="755">
        <f t="shared" si="59"/>
        <v>0</v>
      </c>
      <c r="Z409" s="864"/>
      <c r="AA409" s="863"/>
      <c r="AB409" s="756">
        <f t="shared" si="60"/>
        <v>0</v>
      </c>
      <c r="AC409" s="859"/>
      <c r="AD409" s="863"/>
      <c r="AE409" s="859"/>
      <c r="AF409" s="859"/>
      <c r="AG409" s="864"/>
      <c r="AH409" s="865"/>
      <c r="AI409" s="757">
        <f t="shared" si="64"/>
        <v>26717237</v>
      </c>
      <c r="AJ409" s="758">
        <f t="shared" si="65"/>
        <v>26075237</v>
      </c>
    </row>
    <row r="410" spans="1:36" x14ac:dyDescent="0.2">
      <c r="A410" s="904" t="s">
        <v>143</v>
      </c>
      <c r="B410" s="899" t="s">
        <v>264</v>
      </c>
      <c r="C410" s="914" t="s">
        <v>618</v>
      </c>
      <c r="D410" s="915"/>
      <c r="E410" s="902">
        <v>106980</v>
      </c>
      <c r="F410" s="910">
        <v>9</v>
      </c>
      <c r="G410" s="859">
        <v>10724382</v>
      </c>
      <c r="H410" s="860">
        <v>10836955</v>
      </c>
      <c r="I410" s="861"/>
      <c r="J410" s="862"/>
      <c r="K410" s="859"/>
      <c r="L410" s="863"/>
      <c r="M410" s="861">
        <v>7339026</v>
      </c>
      <c r="N410" s="859"/>
      <c r="O410" s="752">
        <f t="shared" si="58"/>
        <v>7339026</v>
      </c>
      <c r="P410" s="1518">
        <v>7311154</v>
      </c>
      <c r="Q410" s="860"/>
      <c r="R410" s="753">
        <f t="shared" si="61"/>
        <v>7311154</v>
      </c>
      <c r="S410" s="752">
        <f t="shared" si="62"/>
        <v>18063408</v>
      </c>
      <c r="T410" s="754">
        <f t="shared" si="63"/>
        <v>18148109</v>
      </c>
      <c r="U410" s="859"/>
      <c r="V410" s="863"/>
      <c r="W410" s="859"/>
      <c r="X410" s="859"/>
      <c r="Y410" s="755">
        <f t="shared" si="59"/>
        <v>0</v>
      </c>
      <c r="Z410" s="864"/>
      <c r="AA410" s="863"/>
      <c r="AB410" s="756">
        <f t="shared" si="60"/>
        <v>0</v>
      </c>
      <c r="AC410" s="859"/>
      <c r="AD410" s="863"/>
      <c r="AE410" s="859"/>
      <c r="AF410" s="859"/>
      <c r="AG410" s="864"/>
      <c r="AH410" s="865"/>
      <c r="AI410" s="757">
        <f t="shared" si="64"/>
        <v>18063408</v>
      </c>
      <c r="AJ410" s="758">
        <f t="shared" si="65"/>
        <v>18148109</v>
      </c>
    </row>
    <row r="411" spans="1:36" x14ac:dyDescent="0.2">
      <c r="A411" s="904" t="s">
        <v>143</v>
      </c>
      <c r="B411" s="899" t="s">
        <v>264</v>
      </c>
      <c r="C411" s="900" t="s">
        <v>619</v>
      </c>
      <c r="D411" s="901"/>
      <c r="E411" s="902">
        <v>107327</v>
      </c>
      <c r="F411" s="903">
        <v>10</v>
      </c>
      <c r="G411" s="859">
        <v>10021476</v>
      </c>
      <c r="H411" s="860">
        <v>10026898</v>
      </c>
      <c r="I411" s="861"/>
      <c r="J411" s="862"/>
      <c r="K411" s="859"/>
      <c r="L411" s="863"/>
      <c r="M411" s="861">
        <v>2703220</v>
      </c>
      <c r="N411" s="859"/>
      <c r="O411" s="752">
        <f t="shared" si="58"/>
        <v>2703220</v>
      </c>
      <c r="P411" s="1518">
        <v>2320751</v>
      </c>
      <c r="Q411" s="860"/>
      <c r="R411" s="753">
        <f t="shared" si="61"/>
        <v>2320751</v>
      </c>
      <c r="S411" s="752">
        <f t="shared" si="62"/>
        <v>12724696</v>
      </c>
      <c r="T411" s="754">
        <f t="shared" si="63"/>
        <v>12347649</v>
      </c>
      <c r="U411" s="859"/>
      <c r="V411" s="863"/>
      <c r="W411" s="859"/>
      <c r="X411" s="859"/>
      <c r="Y411" s="755">
        <f t="shared" si="59"/>
        <v>0</v>
      </c>
      <c r="Z411" s="864"/>
      <c r="AA411" s="863"/>
      <c r="AB411" s="756">
        <f t="shared" si="60"/>
        <v>0</v>
      </c>
      <c r="AC411" s="859"/>
      <c r="AD411" s="863"/>
      <c r="AE411" s="859"/>
      <c r="AF411" s="859"/>
      <c r="AG411" s="864"/>
      <c r="AH411" s="865"/>
      <c r="AI411" s="757">
        <f t="shared" si="64"/>
        <v>12724696</v>
      </c>
      <c r="AJ411" s="758">
        <f t="shared" si="65"/>
        <v>12347649</v>
      </c>
    </row>
    <row r="412" spans="1:36" x14ac:dyDescent="0.2">
      <c r="A412" s="904" t="s">
        <v>143</v>
      </c>
      <c r="B412" s="899" t="s">
        <v>264</v>
      </c>
      <c r="C412" s="900" t="s">
        <v>620</v>
      </c>
      <c r="D412" s="901"/>
      <c r="E412" s="902">
        <v>420538</v>
      </c>
      <c r="F412" s="903">
        <v>10</v>
      </c>
      <c r="G412" s="859">
        <v>4408624</v>
      </c>
      <c r="H412" s="860">
        <v>4472039</v>
      </c>
      <c r="I412" s="861"/>
      <c r="J412" s="862"/>
      <c r="K412" s="867">
        <v>1285901</v>
      </c>
      <c r="L412" s="1101">
        <v>1333345</v>
      </c>
      <c r="M412" s="861">
        <v>4212013</v>
      </c>
      <c r="N412" s="859"/>
      <c r="O412" s="752">
        <f t="shared" si="58"/>
        <v>4212013</v>
      </c>
      <c r="P412" s="1518">
        <v>4372239</v>
      </c>
      <c r="Q412" s="860"/>
      <c r="R412" s="753">
        <f t="shared" si="61"/>
        <v>4372239</v>
      </c>
      <c r="S412" s="752">
        <f t="shared" si="62"/>
        <v>9906538</v>
      </c>
      <c r="T412" s="754">
        <f t="shared" si="63"/>
        <v>10177623</v>
      </c>
      <c r="U412" s="859"/>
      <c r="V412" s="863"/>
      <c r="W412" s="859"/>
      <c r="X412" s="859"/>
      <c r="Y412" s="755">
        <f t="shared" si="59"/>
        <v>0</v>
      </c>
      <c r="Z412" s="864"/>
      <c r="AA412" s="863"/>
      <c r="AB412" s="756">
        <f t="shared" si="60"/>
        <v>0</v>
      </c>
      <c r="AC412" s="859"/>
      <c r="AD412" s="863"/>
      <c r="AE412" s="859"/>
      <c r="AF412" s="859"/>
      <c r="AG412" s="864"/>
      <c r="AH412" s="865"/>
      <c r="AI412" s="757">
        <f t="shared" si="64"/>
        <v>9906538</v>
      </c>
      <c r="AJ412" s="758">
        <f t="shared" si="65"/>
        <v>10177623</v>
      </c>
    </row>
    <row r="413" spans="1:36" x14ac:dyDescent="0.2">
      <c r="A413" s="904" t="s">
        <v>143</v>
      </c>
      <c r="B413" s="899" t="s">
        <v>264</v>
      </c>
      <c r="C413" s="900" t="s">
        <v>621</v>
      </c>
      <c r="D413" s="901"/>
      <c r="E413" s="902">
        <v>440402</v>
      </c>
      <c r="F413" s="903">
        <v>10</v>
      </c>
      <c r="G413" s="859">
        <v>7414175</v>
      </c>
      <c r="H413" s="860">
        <v>7409921</v>
      </c>
      <c r="I413" s="861"/>
      <c r="J413" s="862"/>
      <c r="K413" s="867">
        <v>988628</v>
      </c>
      <c r="L413" s="1101">
        <v>975001</v>
      </c>
      <c r="M413" s="861">
        <v>4925264</v>
      </c>
      <c r="N413" s="859"/>
      <c r="O413" s="752">
        <f t="shared" si="58"/>
        <v>4925264</v>
      </c>
      <c r="P413" s="1518">
        <v>5146875</v>
      </c>
      <c r="Q413" s="860"/>
      <c r="R413" s="753">
        <f t="shared" si="61"/>
        <v>5146875</v>
      </c>
      <c r="S413" s="752">
        <f t="shared" si="62"/>
        <v>13328067</v>
      </c>
      <c r="T413" s="754">
        <f t="shared" si="63"/>
        <v>13531797</v>
      </c>
      <c r="U413" s="859"/>
      <c r="V413" s="863"/>
      <c r="W413" s="859"/>
      <c r="X413" s="859"/>
      <c r="Y413" s="755">
        <f t="shared" si="59"/>
        <v>0</v>
      </c>
      <c r="Z413" s="864"/>
      <c r="AA413" s="863"/>
      <c r="AB413" s="756">
        <f t="shared" si="60"/>
        <v>0</v>
      </c>
      <c r="AC413" s="859"/>
      <c r="AD413" s="863"/>
      <c r="AE413" s="859"/>
      <c r="AF413" s="859"/>
      <c r="AG413" s="864"/>
      <c r="AH413" s="865"/>
      <c r="AI413" s="757">
        <f t="shared" si="64"/>
        <v>13328067</v>
      </c>
      <c r="AJ413" s="758">
        <f t="shared" si="65"/>
        <v>13531797</v>
      </c>
    </row>
    <row r="414" spans="1:36" x14ac:dyDescent="0.2">
      <c r="A414" s="904" t="s">
        <v>143</v>
      </c>
      <c r="B414" s="899" t="s">
        <v>264</v>
      </c>
      <c r="C414" s="908" t="s">
        <v>622</v>
      </c>
      <c r="D414" s="911"/>
      <c r="E414" s="902">
        <v>106625</v>
      </c>
      <c r="F414" s="903">
        <v>10</v>
      </c>
      <c r="G414" s="859">
        <v>8301351</v>
      </c>
      <c r="H414" s="860">
        <v>8358725</v>
      </c>
      <c r="I414" s="861"/>
      <c r="J414" s="862"/>
      <c r="K414" s="859"/>
      <c r="L414" s="863"/>
      <c r="M414" s="861">
        <v>6421256</v>
      </c>
      <c r="N414" s="859"/>
      <c r="O414" s="752">
        <f t="shared" si="58"/>
        <v>6421256</v>
      </c>
      <c r="P414" s="1518">
        <v>6076546</v>
      </c>
      <c r="Q414" s="860"/>
      <c r="R414" s="753">
        <f t="shared" si="61"/>
        <v>6076546</v>
      </c>
      <c r="S414" s="752">
        <f t="shared" si="62"/>
        <v>14722607</v>
      </c>
      <c r="T414" s="754">
        <f t="shared" si="63"/>
        <v>14435271</v>
      </c>
      <c r="U414" s="859"/>
      <c r="V414" s="863"/>
      <c r="W414" s="859"/>
      <c r="X414" s="859"/>
      <c r="Y414" s="755">
        <f t="shared" si="59"/>
        <v>0</v>
      </c>
      <c r="Z414" s="864"/>
      <c r="AA414" s="863"/>
      <c r="AB414" s="756">
        <f t="shared" si="60"/>
        <v>0</v>
      </c>
      <c r="AC414" s="859"/>
      <c r="AD414" s="863"/>
      <c r="AE414" s="859"/>
      <c r="AF414" s="859"/>
      <c r="AG414" s="864"/>
      <c r="AH414" s="865"/>
      <c r="AI414" s="757">
        <f t="shared" si="64"/>
        <v>14722607</v>
      </c>
      <c r="AJ414" s="758">
        <f t="shared" si="65"/>
        <v>14435271</v>
      </c>
    </row>
    <row r="415" spans="1:36" x14ac:dyDescent="0.2">
      <c r="A415" s="904" t="s">
        <v>143</v>
      </c>
      <c r="B415" s="899" t="s">
        <v>264</v>
      </c>
      <c r="C415" s="908" t="s">
        <v>623</v>
      </c>
      <c r="D415" s="909"/>
      <c r="E415" s="902">
        <v>107521</v>
      </c>
      <c r="F415" s="903">
        <v>10</v>
      </c>
      <c r="G415" s="859">
        <v>4687118</v>
      </c>
      <c r="H415" s="860">
        <v>4683647</v>
      </c>
      <c r="I415" s="861"/>
      <c r="J415" s="862"/>
      <c r="K415" s="859"/>
      <c r="L415" s="863"/>
      <c r="M415" s="876">
        <v>2361394</v>
      </c>
      <c r="N415" s="859"/>
      <c r="O415" s="752">
        <f t="shared" si="58"/>
        <v>2361394</v>
      </c>
      <c r="P415" s="1518">
        <v>2883039</v>
      </c>
      <c r="Q415" s="860"/>
      <c r="R415" s="753">
        <f t="shared" si="61"/>
        <v>2883039</v>
      </c>
      <c r="S415" s="752">
        <f t="shared" si="62"/>
        <v>7048512</v>
      </c>
      <c r="T415" s="754">
        <f t="shared" si="63"/>
        <v>7566686</v>
      </c>
      <c r="U415" s="859"/>
      <c r="V415" s="863"/>
      <c r="W415" s="859"/>
      <c r="X415" s="859"/>
      <c r="Y415" s="755">
        <f t="shared" si="59"/>
        <v>0</v>
      </c>
      <c r="Z415" s="864"/>
      <c r="AA415" s="863"/>
      <c r="AB415" s="756">
        <f t="shared" si="60"/>
        <v>0</v>
      </c>
      <c r="AC415" s="859"/>
      <c r="AD415" s="863"/>
      <c r="AE415" s="859"/>
      <c r="AF415" s="859"/>
      <c r="AG415" s="864"/>
      <c r="AH415" s="865"/>
      <c r="AI415" s="757">
        <f t="shared" si="64"/>
        <v>7048512</v>
      </c>
      <c r="AJ415" s="758">
        <f t="shared" si="65"/>
        <v>7566686</v>
      </c>
    </row>
    <row r="416" spans="1:36" x14ac:dyDescent="0.2">
      <c r="A416" s="904" t="s">
        <v>143</v>
      </c>
      <c r="B416" s="899" t="s">
        <v>264</v>
      </c>
      <c r="C416" s="900" t="s">
        <v>624</v>
      </c>
      <c r="D416" s="901"/>
      <c r="E416" s="902">
        <v>106795</v>
      </c>
      <c r="F416" s="903">
        <v>10</v>
      </c>
      <c r="G416" s="859">
        <v>4706016</v>
      </c>
      <c r="H416" s="860">
        <v>4746139</v>
      </c>
      <c r="I416" s="861"/>
      <c r="J416" s="862"/>
      <c r="K416" s="867">
        <v>1088211</v>
      </c>
      <c r="L416" s="1101">
        <v>1153584</v>
      </c>
      <c r="M416" s="861">
        <v>2915387</v>
      </c>
      <c r="N416" s="867">
        <v>260590</v>
      </c>
      <c r="O416" s="752">
        <f t="shared" si="58"/>
        <v>3175977</v>
      </c>
      <c r="P416" s="1518">
        <v>3265170</v>
      </c>
      <c r="Q416" s="1525">
        <v>193008</v>
      </c>
      <c r="R416" s="753">
        <f t="shared" si="61"/>
        <v>3458178</v>
      </c>
      <c r="S416" s="752">
        <f t="shared" si="62"/>
        <v>8709614</v>
      </c>
      <c r="T416" s="754">
        <f t="shared" si="63"/>
        <v>9164893</v>
      </c>
      <c r="U416" s="859"/>
      <c r="V416" s="863"/>
      <c r="W416" s="859"/>
      <c r="X416" s="859"/>
      <c r="Y416" s="755">
        <f t="shared" si="59"/>
        <v>0</v>
      </c>
      <c r="Z416" s="864"/>
      <c r="AA416" s="863"/>
      <c r="AB416" s="756">
        <f t="shared" si="60"/>
        <v>0</v>
      </c>
      <c r="AC416" s="859"/>
      <c r="AD416" s="863"/>
      <c r="AE416" s="859"/>
      <c r="AF416" s="859"/>
      <c r="AG416" s="864"/>
      <c r="AH416" s="865"/>
      <c r="AI416" s="757">
        <f t="shared" si="64"/>
        <v>8709614</v>
      </c>
      <c r="AJ416" s="758">
        <f t="shared" si="65"/>
        <v>9164893</v>
      </c>
    </row>
    <row r="417" spans="1:36" x14ac:dyDescent="0.2">
      <c r="A417" s="904" t="s">
        <v>143</v>
      </c>
      <c r="B417" s="899" t="s">
        <v>264</v>
      </c>
      <c r="C417" s="900" t="s">
        <v>625</v>
      </c>
      <c r="D417" s="901"/>
      <c r="E417" s="902">
        <v>106883</v>
      </c>
      <c r="F417" s="903">
        <v>10</v>
      </c>
      <c r="G417" s="859">
        <v>6530585</v>
      </c>
      <c r="H417" s="860">
        <v>6538536</v>
      </c>
      <c r="I417" s="861"/>
      <c r="J417" s="862"/>
      <c r="K417" s="859"/>
      <c r="L417" s="863"/>
      <c r="M417" s="861">
        <v>2952355</v>
      </c>
      <c r="N417" s="859"/>
      <c r="O417" s="752">
        <f t="shared" si="58"/>
        <v>2952355</v>
      </c>
      <c r="P417" s="1518">
        <v>2760293</v>
      </c>
      <c r="Q417" s="860"/>
      <c r="R417" s="753">
        <f t="shared" si="61"/>
        <v>2760293</v>
      </c>
      <c r="S417" s="752">
        <f t="shared" si="62"/>
        <v>9482940</v>
      </c>
      <c r="T417" s="754">
        <f t="shared" si="63"/>
        <v>9298829</v>
      </c>
      <c r="U417" s="859"/>
      <c r="V417" s="863"/>
      <c r="W417" s="859"/>
      <c r="X417" s="859"/>
      <c r="Y417" s="755">
        <f t="shared" si="59"/>
        <v>0</v>
      </c>
      <c r="Z417" s="864"/>
      <c r="AA417" s="863"/>
      <c r="AB417" s="756">
        <f t="shared" si="60"/>
        <v>0</v>
      </c>
      <c r="AC417" s="859"/>
      <c r="AD417" s="863"/>
      <c r="AE417" s="859"/>
      <c r="AF417" s="859"/>
      <c r="AG417" s="864"/>
      <c r="AH417" s="865"/>
      <c r="AI417" s="757">
        <f t="shared" si="64"/>
        <v>9482940</v>
      </c>
      <c r="AJ417" s="758">
        <f t="shared" si="65"/>
        <v>9298829</v>
      </c>
    </row>
    <row r="418" spans="1:36" x14ac:dyDescent="0.2">
      <c r="A418" s="904" t="s">
        <v>143</v>
      </c>
      <c r="B418" s="899" t="s">
        <v>264</v>
      </c>
      <c r="C418" s="900" t="s">
        <v>626</v>
      </c>
      <c r="D418" s="901"/>
      <c r="E418" s="902">
        <v>107318</v>
      </c>
      <c r="F418" s="903">
        <v>10</v>
      </c>
      <c r="G418" s="859">
        <v>6015606</v>
      </c>
      <c r="H418" s="860">
        <v>6048921</v>
      </c>
      <c r="I418" s="861"/>
      <c r="J418" s="862"/>
      <c r="K418" s="867">
        <v>78406</v>
      </c>
      <c r="L418" s="1101">
        <v>87461</v>
      </c>
      <c r="M418" s="861">
        <v>4952909.1399999997</v>
      </c>
      <c r="N418" s="859"/>
      <c r="O418" s="752">
        <f t="shared" si="58"/>
        <v>4952909.1399999997</v>
      </c>
      <c r="P418" s="1518">
        <v>13755765</v>
      </c>
      <c r="Q418" s="860"/>
      <c r="R418" s="753">
        <f t="shared" si="61"/>
        <v>13755765</v>
      </c>
      <c r="S418" s="752">
        <f t="shared" si="62"/>
        <v>11046921.140000001</v>
      </c>
      <c r="T418" s="754">
        <f t="shared" si="63"/>
        <v>19892147</v>
      </c>
      <c r="U418" s="859"/>
      <c r="V418" s="863"/>
      <c r="W418" s="859"/>
      <c r="X418" s="859"/>
      <c r="Y418" s="755">
        <f t="shared" si="59"/>
        <v>0</v>
      </c>
      <c r="Z418" s="864"/>
      <c r="AA418" s="863"/>
      <c r="AB418" s="756">
        <f t="shared" si="60"/>
        <v>0</v>
      </c>
      <c r="AC418" s="859"/>
      <c r="AD418" s="863"/>
      <c r="AE418" s="859"/>
      <c r="AF418" s="859"/>
      <c r="AG418" s="864"/>
      <c r="AH418" s="865"/>
      <c r="AI418" s="757">
        <f t="shared" si="64"/>
        <v>11046921.140000001</v>
      </c>
      <c r="AJ418" s="758">
        <f t="shared" si="65"/>
        <v>19892147</v>
      </c>
    </row>
    <row r="419" spans="1:36" x14ac:dyDescent="0.2">
      <c r="A419" s="904" t="s">
        <v>143</v>
      </c>
      <c r="B419" s="899" t="s">
        <v>264</v>
      </c>
      <c r="C419" s="900" t="s">
        <v>627</v>
      </c>
      <c r="D419" s="901"/>
      <c r="E419" s="902">
        <v>107460</v>
      </c>
      <c r="F419" s="903">
        <v>10</v>
      </c>
      <c r="G419" s="859">
        <v>8981519</v>
      </c>
      <c r="H419" s="860">
        <v>8985364</v>
      </c>
      <c r="I419" s="861"/>
      <c r="J419" s="862"/>
      <c r="K419" s="859"/>
      <c r="L419" s="863"/>
      <c r="M419" s="861">
        <v>4700911</v>
      </c>
      <c r="N419" s="859"/>
      <c r="O419" s="752">
        <f t="shared" si="58"/>
        <v>4700911</v>
      </c>
      <c r="P419" s="1518">
        <v>4531546</v>
      </c>
      <c r="Q419" s="860"/>
      <c r="R419" s="753">
        <f t="shared" si="61"/>
        <v>4531546</v>
      </c>
      <c r="S419" s="752">
        <f t="shared" si="62"/>
        <v>13682430</v>
      </c>
      <c r="T419" s="754">
        <f t="shared" si="63"/>
        <v>13516910</v>
      </c>
      <c r="U419" s="859"/>
      <c r="V419" s="863"/>
      <c r="W419" s="859"/>
      <c r="X419" s="859"/>
      <c r="Y419" s="755">
        <f t="shared" si="59"/>
        <v>0</v>
      </c>
      <c r="Z419" s="864"/>
      <c r="AA419" s="863"/>
      <c r="AB419" s="756">
        <f t="shared" si="60"/>
        <v>0</v>
      </c>
      <c r="AC419" s="859"/>
      <c r="AD419" s="863"/>
      <c r="AE419" s="859"/>
      <c r="AF419" s="859"/>
      <c r="AG419" s="864"/>
      <c r="AH419" s="865"/>
      <c r="AI419" s="757">
        <f t="shared" si="64"/>
        <v>13682430</v>
      </c>
      <c r="AJ419" s="758">
        <f t="shared" si="65"/>
        <v>13516910</v>
      </c>
    </row>
    <row r="420" spans="1:36" x14ac:dyDescent="0.2">
      <c r="A420" s="904" t="s">
        <v>143</v>
      </c>
      <c r="B420" s="899" t="s">
        <v>264</v>
      </c>
      <c r="C420" s="900" t="s">
        <v>628</v>
      </c>
      <c r="D420" s="901"/>
      <c r="E420" s="902">
        <v>107549</v>
      </c>
      <c r="F420" s="903">
        <v>10</v>
      </c>
      <c r="G420" s="859">
        <v>4264352</v>
      </c>
      <c r="H420" s="860">
        <v>4398316</v>
      </c>
      <c r="I420" s="861"/>
      <c r="J420" s="862"/>
      <c r="K420" s="867">
        <v>361713</v>
      </c>
      <c r="L420" s="1101">
        <v>416382</v>
      </c>
      <c r="M420" s="861">
        <v>3855843</v>
      </c>
      <c r="N420" s="859"/>
      <c r="O420" s="752">
        <f t="shared" si="58"/>
        <v>3855843</v>
      </c>
      <c r="P420" s="1518">
        <v>3853957</v>
      </c>
      <c r="Q420" s="860"/>
      <c r="R420" s="753">
        <f t="shared" si="61"/>
        <v>3853957</v>
      </c>
      <c r="S420" s="752">
        <f t="shared" si="62"/>
        <v>8481908</v>
      </c>
      <c r="T420" s="754">
        <f t="shared" si="63"/>
        <v>8668655</v>
      </c>
      <c r="U420" s="859"/>
      <c r="V420" s="863"/>
      <c r="W420" s="859"/>
      <c r="X420" s="859"/>
      <c r="Y420" s="755">
        <f t="shared" si="59"/>
        <v>0</v>
      </c>
      <c r="Z420" s="864"/>
      <c r="AA420" s="863"/>
      <c r="AB420" s="756">
        <f t="shared" si="60"/>
        <v>0</v>
      </c>
      <c r="AC420" s="859"/>
      <c r="AD420" s="863"/>
      <c r="AE420" s="859"/>
      <c r="AF420" s="859"/>
      <c r="AG420" s="864"/>
      <c r="AH420" s="865"/>
      <c r="AI420" s="757">
        <f t="shared" si="64"/>
        <v>8481908</v>
      </c>
      <c r="AJ420" s="758">
        <f t="shared" si="65"/>
        <v>8668655</v>
      </c>
    </row>
    <row r="421" spans="1:36" x14ac:dyDescent="0.2">
      <c r="A421" s="904" t="s">
        <v>143</v>
      </c>
      <c r="B421" s="899" t="s">
        <v>264</v>
      </c>
      <c r="C421" s="900" t="s">
        <v>629</v>
      </c>
      <c r="D421" s="901"/>
      <c r="E421" s="902">
        <v>107619</v>
      </c>
      <c r="F421" s="903">
        <v>10</v>
      </c>
      <c r="G421" s="859">
        <v>10317654</v>
      </c>
      <c r="H421" s="860">
        <v>10323808</v>
      </c>
      <c r="I421" s="861"/>
      <c r="J421" s="862"/>
      <c r="K421" s="867">
        <v>1944250</v>
      </c>
      <c r="L421" s="1101">
        <v>2153019</v>
      </c>
      <c r="M421" s="861">
        <v>3096106</v>
      </c>
      <c r="N421" s="859"/>
      <c r="O421" s="752">
        <f t="shared" si="58"/>
        <v>3096106</v>
      </c>
      <c r="P421" s="1518">
        <v>3209837</v>
      </c>
      <c r="Q421" s="860"/>
      <c r="R421" s="753">
        <f t="shared" si="61"/>
        <v>3209837</v>
      </c>
      <c r="S421" s="752">
        <f t="shared" si="62"/>
        <v>15358010</v>
      </c>
      <c r="T421" s="754">
        <f t="shared" si="63"/>
        <v>15686664</v>
      </c>
      <c r="U421" s="859"/>
      <c r="V421" s="863"/>
      <c r="W421" s="859"/>
      <c r="X421" s="859"/>
      <c r="Y421" s="755">
        <f t="shared" si="59"/>
        <v>0</v>
      </c>
      <c r="Z421" s="864"/>
      <c r="AA421" s="863"/>
      <c r="AB421" s="756">
        <f t="shared" si="60"/>
        <v>0</v>
      </c>
      <c r="AC421" s="859"/>
      <c r="AD421" s="863"/>
      <c r="AE421" s="859"/>
      <c r="AF421" s="859"/>
      <c r="AG421" s="864"/>
      <c r="AH421" s="865"/>
      <c r="AI421" s="757">
        <f t="shared" si="64"/>
        <v>15358010</v>
      </c>
      <c r="AJ421" s="758">
        <f t="shared" si="65"/>
        <v>15686664</v>
      </c>
    </row>
    <row r="422" spans="1:36" x14ac:dyDescent="0.2">
      <c r="A422" s="904" t="s">
        <v>143</v>
      </c>
      <c r="B422" s="899" t="s">
        <v>264</v>
      </c>
      <c r="C422" s="900" t="s">
        <v>630</v>
      </c>
      <c r="D422" s="901"/>
      <c r="E422" s="902">
        <v>107743</v>
      </c>
      <c r="F422" s="903">
        <v>10</v>
      </c>
      <c r="G422" s="859">
        <v>3397250</v>
      </c>
      <c r="H422" s="860">
        <v>3404968</v>
      </c>
      <c r="I422" s="861"/>
      <c r="J422" s="862"/>
      <c r="K422" s="859"/>
      <c r="L422" s="863"/>
      <c r="M422" s="861">
        <v>1904418</v>
      </c>
      <c r="N422" s="859"/>
      <c r="O422" s="752">
        <f t="shared" si="58"/>
        <v>1904418</v>
      </c>
      <c r="P422" s="1518">
        <v>2131112</v>
      </c>
      <c r="Q422" s="860"/>
      <c r="R422" s="753">
        <f t="shared" si="61"/>
        <v>2131112</v>
      </c>
      <c r="S422" s="752">
        <f t="shared" si="62"/>
        <v>5301668</v>
      </c>
      <c r="T422" s="754">
        <f t="shared" si="63"/>
        <v>5536080</v>
      </c>
      <c r="U422" s="859"/>
      <c r="V422" s="863"/>
      <c r="W422" s="859"/>
      <c r="X422" s="859"/>
      <c r="Y422" s="755">
        <f t="shared" si="59"/>
        <v>0</v>
      </c>
      <c r="Z422" s="864"/>
      <c r="AA422" s="863"/>
      <c r="AB422" s="756">
        <f t="shared" si="60"/>
        <v>0</v>
      </c>
      <c r="AC422" s="859"/>
      <c r="AD422" s="863"/>
      <c r="AE422" s="859"/>
      <c r="AF422" s="859"/>
      <c r="AG422" s="864"/>
      <c r="AH422" s="865"/>
      <c r="AI422" s="757">
        <f t="shared" si="64"/>
        <v>5301668</v>
      </c>
      <c r="AJ422" s="758">
        <f t="shared" si="65"/>
        <v>5536080</v>
      </c>
    </row>
    <row r="423" spans="1:36" x14ac:dyDescent="0.2">
      <c r="A423" s="904" t="s">
        <v>143</v>
      </c>
      <c r="B423" s="899" t="s">
        <v>264</v>
      </c>
      <c r="C423" s="900" t="s">
        <v>631</v>
      </c>
      <c r="D423" s="901"/>
      <c r="E423" s="902">
        <v>107974</v>
      </c>
      <c r="F423" s="903">
        <v>10</v>
      </c>
      <c r="G423" s="859">
        <v>6964925</v>
      </c>
      <c r="H423" s="860">
        <v>7008969</v>
      </c>
      <c r="I423" s="861"/>
      <c r="J423" s="862"/>
      <c r="K423" s="859"/>
      <c r="L423" s="863"/>
      <c r="M423" s="861">
        <v>4449490</v>
      </c>
      <c r="N423" s="859"/>
      <c r="O423" s="752">
        <f t="shared" si="58"/>
        <v>4449490</v>
      </c>
      <c r="P423" s="1518">
        <v>4720741</v>
      </c>
      <c r="Q423" s="860"/>
      <c r="R423" s="753">
        <f t="shared" si="61"/>
        <v>4720741</v>
      </c>
      <c r="S423" s="752">
        <f t="shared" si="62"/>
        <v>11414415</v>
      </c>
      <c r="T423" s="754">
        <f t="shared" si="63"/>
        <v>11729710</v>
      </c>
      <c r="U423" s="859"/>
      <c r="V423" s="863"/>
      <c r="W423" s="859"/>
      <c r="X423" s="859"/>
      <c r="Y423" s="755">
        <f t="shared" si="59"/>
        <v>0</v>
      </c>
      <c r="Z423" s="864"/>
      <c r="AA423" s="863"/>
      <c r="AB423" s="756">
        <f t="shared" si="60"/>
        <v>0</v>
      </c>
      <c r="AC423" s="859"/>
      <c r="AD423" s="863"/>
      <c r="AE423" s="859"/>
      <c r="AF423" s="859"/>
      <c r="AG423" s="864"/>
      <c r="AH423" s="865"/>
      <c r="AI423" s="757">
        <f t="shared" si="64"/>
        <v>11414415</v>
      </c>
      <c r="AJ423" s="758">
        <f t="shared" si="65"/>
        <v>11729710</v>
      </c>
    </row>
    <row r="424" spans="1:36" x14ac:dyDescent="0.2">
      <c r="A424" s="904" t="s">
        <v>143</v>
      </c>
      <c r="B424" s="899" t="s">
        <v>264</v>
      </c>
      <c r="C424" s="900" t="s">
        <v>632</v>
      </c>
      <c r="D424" s="901"/>
      <c r="E424" s="902">
        <v>107637</v>
      </c>
      <c r="F424" s="903">
        <v>10</v>
      </c>
      <c r="G424" s="859">
        <v>7617924</v>
      </c>
      <c r="H424" s="860">
        <v>7611997</v>
      </c>
      <c r="I424" s="861"/>
      <c r="J424" s="862"/>
      <c r="K424" s="859"/>
      <c r="L424" s="863"/>
      <c r="M424" s="861">
        <v>4012649</v>
      </c>
      <c r="N424" s="859"/>
      <c r="O424" s="752">
        <f t="shared" si="58"/>
        <v>4012649</v>
      </c>
      <c r="P424" s="1518">
        <v>3852944</v>
      </c>
      <c r="Q424" s="860"/>
      <c r="R424" s="753">
        <f t="shared" si="61"/>
        <v>3852944</v>
      </c>
      <c r="S424" s="752">
        <f t="shared" si="62"/>
        <v>11630573</v>
      </c>
      <c r="T424" s="754">
        <f t="shared" si="63"/>
        <v>11464941</v>
      </c>
      <c r="U424" s="859"/>
      <c r="V424" s="863"/>
      <c r="W424" s="859"/>
      <c r="X424" s="859"/>
      <c r="Y424" s="755">
        <f t="shared" si="59"/>
        <v>0</v>
      </c>
      <c r="Z424" s="864"/>
      <c r="AA424" s="863"/>
      <c r="AB424" s="756">
        <f t="shared" si="60"/>
        <v>0</v>
      </c>
      <c r="AC424" s="859"/>
      <c r="AD424" s="863"/>
      <c r="AE424" s="859"/>
      <c r="AF424" s="859"/>
      <c r="AG424" s="864"/>
      <c r="AH424" s="865"/>
      <c r="AI424" s="757">
        <f t="shared" si="64"/>
        <v>11630573</v>
      </c>
      <c r="AJ424" s="758">
        <f t="shared" si="65"/>
        <v>11464941</v>
      </c>
    </row>
    <row r="425" spans="1:36" x14ac:dyDescent="0.2">
      <c r="A425" s="904" t="s">
        <v>143</v>
      </c>
      <c r="B425" s="899" t="s">
        <v>264</v>
      </c>
      <c r="C425" s="900" t="s">
        <v>633</v>
      </c>
      <c r="D425" s="901"/>
      <c r="E425" s="902">
        <v>107992</v>
      </c>
      <c r="F425" s="903">
        <v>10</v>
      </c>
      <c r="G425" s="859">
        <v>5839365</v>
      </c>
      <c r="H425" s="860">
        <v>5907851</v>
      </c>
      <c r="I425" s="861"/>
      <c r="J425" s="862"/>
      <c r="K425" s="859"/>
      <c r="L425" s="863"/>
      <c r="M425" s="861">
        <v>4566899</v>
      </c>
      <c r="N425" s="859"/>
      <c r="O425" s="752">
        <f t="shared" si="58"/>
        <v>4566899</v>
      </c>
      <c r="P425" s="1518">
        <v>4896954</v>
      </c>
      <c r="Q425" s="860"/>
      <c r="R425" s="753">
        <f t="shared" si="61"/>
        <v>4896954</v>
      </c>
      <c r="S425" s="752">
        <f t="shared" si="62"/>
        <v>10406264</v>
      </c>
      <c r="T425" s="754">
        <f t="shared" si="63"/>
        <v>10804805</v>
      </c>
      <c r="U425" s="859"/>
      <c r="V425" s="863"/>
      <c r="W425" s="859"/>
      <c r="X425" s="859"/>
      <c r="Y425" s="755">
        <f t="shared" si="59"/>
        <v>0</v>
      </c>
      <c r="Z425" s="864"/>
      <c r="AA425" s="863"/>
      <c r="AB425" s="756">
        <f t="shared" si="60"/>
        <v>0</v>
      </c>
      <c r="AC425" s="859"/>
      <c r="AD425" s="863"/>
      <c r="AE425" s="859"/>
      <c r="AF425" s="859"/>
      <c r="AG425" s="864"/>
      <c r="AH425" s="865"/>
      <c r="AI425" s="757">
        <f t="shared" si="64"/>
        <v>10406264</v>
      </c>
      <c r="AJ425" s="758">
        <f t="shared" si="65"/>
        <v>10804805</v>
      </c>
    </row>
    <row r="426" spans="1:36" x14ac:dyDescent="0.2">
      <c r="A426" s="904" t="s">
        <v>143</v>
      </c>
      <c r="B426" s="899" t="s">
        <v>266</v>
      </c>
      <c r="C426" s="899" t="s">
        <v>634</v>
      </c>
      <c r="D426" s="916"/>
      <c r="E426" s="902">
        <v>107992</v>
      </c>
      <c r="F426" s="903">
        <v>10</v>
      </c>
      <c r="G426" s="859"/>
      <c r="H426" s="860"/>
      <c r="I426" s="861">
        <v>2137751</v>
      </c>
      <c r="J426" s="862">
        <v>2139017</v>
      </c>
      <c r="K426" s="859"/>
      <c r="L426" s="863"/>
      <c r="M426" s="861">
        <v>528342</v>
      </c>
      <c r="N426" s="859"/>
      <c r="O426" s="752">
        <f t="shared" si="58"/>
        <v>528342</v>
      </c>
      <c r="P426" s="1518">
        <v>625235</v>
      </c>
      <c r="Q426" s="860"/>
      <c r="R426" s="753">
        <f t="shared" si="61"/>
        <v>625235</v>
      </c>
      <c r="S426" s="752">
        <f t="shared" si="62"/>
        <v>2666093</v>
      </c>
      <c r="T426" s="754">
        <f t="shared" si="63"/>
        <v>2764252</v>
      </c>
      <c r="U426" s="859"/>
      <c r="V426" s="863"/>
      <c r="W426" s="859"/>
      <c r="X426" s="859"/>
      <c r="Y426" s="755">
        <f t="shared" si="59"/>
        <v>0</v>
      </c>
      <c r="Z426" s="864"/>
      <c r="AA426" s="863"/>
      <c r="AB426" s="756">
        <f t="shared" si="60"/>
        <v>0</v>
      </c>
      <c r="AC426" s="859"/>
      <c r="AD426" s="863"/>
      <c r="AE426" s="859"/>
      <c r="AF426" s="859"/>
      <c r="AG426" s="864"/>
      <c r="AH426" s="865"/>
      <c r="AI426" s="757">
        <f t="shared" si="64"/>
        <v>2666093</v>
      </c>
      <c r="AJ426" s="758">
        <f t="shared" si="65"/>
        <v>2764252</v>
      </c>
    </row>
    <row r="427" spans="1:36" x14ac:dyDescent="0.2">
      <c r="A427" s="904" t="s">
        <v>143</v>
      </c>
      <c r="B427" s="899" t="s">
        <v>264</v>
      </c>
      <c r="C427" s="900" t="s">
        <v>635</v>
      </c>
      <c r="D427" s="901"/>
      <c r="E427" s="902">
        <v>106999</v>
      </c>
      <c r="F427" s="903">
        <v>10</v>
      </c>
      <c r="G427" s="859">
        <v>4919947</v>
      </c>
      <c r="H427" s="860">
        <v>4997821</v>
      </c>
      <c r="I427" s="861"/>
      <c r="J427" s="862"/>
      <c r="K427" s="867">
        <v>1237699</v>
      </c>
      <c r="L427" s="1101">
        <v>1240673</v>
      </c>
      <c r="M427" s="861">
        <v>3313275</v>
      </c>
      <c r="N427" s="859"/>
      <c r="O427" s="752">
        <f t="shared" si="58"/>
        <v>3313275</v>
      </c>
      <c r="P427" s="1518">
        <v>3168356</v>
      </c>
      <c r="Q427" s="860"/>
      <c r="R427" s="753">
        <f t="shared" si="61"/>
        <v>3168356</v>
      </c>
      <c r="S427" s="752">
        <f t="shared" si="62"/>
        <v>9470921</v>
      </c>
      <c r="T427" s="754">
        <f t="shared" si="63"/>
        <v>9406850</v>
      </c>
      <c r="U427" s="859"/>
      <c r="V427" s="863"/>
      <c r="W427" s="859"/>
      <c r="X427" s="859"/>
      <c r="Y427" s="755">
        <f t="shared" si="59"/>
        <v>0</v>
      </c>
      <c r="Z427" s="864"/>
      <c r="AA427" s="863"/>
      <c r="AB427" s="756">
        <f t="shared" si="60"/>
        <v>0</v>
      </c>
      <c r="AC427" s="859"/>
      <c r="AD427" s="863"/>
      <c r="AE427" s="859"/>
      <c r="AF427" s="859"/>
      <c r="AG427" s="864"/>
      <c r="AH427" s="865"/>
      <c r="AI427" s="757">
        <f t="shared" si="64"/>
        <v>9470921</v>
      </c>
      <c r="AJ427" s="758">
        <f t="shared" si="65"/>
        <v>9406850</v>
      </c>
    </row>
    <row r="428" spans="1:36" x14ac:dyDescent="0.2">
      <c r="A428" s="904" t="s">
        <v>143</v>
      </c>
      <c r="B428" s="899" t="s">
        <v>264</v>
      </c>
      <c r="C428" s="900" t="s">
        <v>636</v>
      </c>
      <c r="D428" s="901"/>
      <c r="E428" s="902">
        <v>107725</v>
      </c>
      <c r="F428" s="903">
        <v>10</v>
      </c>
      <c r="G428" s="859">
        <v>6456823</v>
      </c>
      <c r="H428" s="860">
        <v>6450944</v>
      </c>
      <c r="I428" s="861"/>
      <c r="J428" s="862"/>
      <c r="K428" s="867">
        <v>550000</v>
      </c>
      <c r="L428" s="1101">
        <v>1250000</v>
      </c>
      <c r="M428" s="876">
        <v>2571362</v>
      </c>
      <c r="N428" s="867">
        <v>780938</v>
      </c>
      <c r="O428" s="752">
        <f t="shared" si="58"/>
        <v>3352300</v>
      </c>
      <c r="P428" s="1518">
        <v>2471235</v>
      </c>
      <c r="Q428" s="1525">
        <v>781078</v>
      </c>
      <c r="R428" s="753">
        <f t="shared" si="61"/>
        <v>3252313</v>
      </c>
      <c r="S428" s="752">
        <f t="shared" si="62"/>
        <v>9578185</v>
      </c>
      <c r="T428" s="754">
        <f t="shared" si="63"/>
        <v>10172179</v>
      </c>
      <c r="U428" s="859"/>
      <c r="V428" s="863"/>
      <c r="W428" s="859"/>
      <c r="X428" s="859"/>
      <c r="Y428" s="755">
        <f t="shared" si="59"/>
        <v>0</v>
      </c>
      <c r="Z428" s="864"/>
      <c r="AA428" s="863"/>
      <c r="AB428" s="756">
        <f t="shared" si="60"/>
        <v>0</v>
      </c>
      <c r="AC428" s="859"/>
      <c r="AD428" s="863"/>
      <c r="AE428" s="859"/>
      <c r="AF428" s="859"/>
      <c r="AG428" s="864"/>
      <c r="AH428" s="865"/>
      <c r="AI428" s="757">
        <f t="shared" si="64"/>
        <v>9578185</v>
      </c>
      <c r="AJ428" s="758">
        <f t="shared" si="65"/>
        <v>10172179</v>
      </c>
    </row>
    <row r="429" spans="1:36" x14ac:dyDescent="0.2">
      <c r="A429" s="904" t="s">
        <v>143</v>
      </c>
      <c r="B429" s="899" t="s">
        <v>264</v>
      </c>
      <c r="C429" s="900" t="s">
        <v>637</v>
      </c>
      <c r="D429" s="901"/>
      <c r="E429" s="902">
        <v>107585</v>
      </c>
      <c r="F429" s="903">
        <v>10</v>
      </c>
      <c r="G429" s="859">
        <v>6082071</v>
      </c>
      <c r="H429" s="860">
        <v>6313341</v>
      </c>
      <c r="I429" s="861"/>
      <c r="J429" s="862"/>
      <c r="K429" s="867">
        <v>733004</v>
      </c>
      <c r="L429" s="1101">
        <v>810926</v>
      </c>
      <c r="M429" s="861">
        <v>5871745</v>
      </c>
      <c r="N429" s="859"/>
      <c r="O429" s="752">
        <f t="shared" si="58"/>
        <v>5871745</v>
      </c>
      <c r="P429" s="1518">
        <v>6204034</v>
      </c>
      <c r="Q429" s="860"/>
      <c r="R429" s="753">
        <f t="shared" si="61"/>
        <v>6204034</v>
      </c>
      <c r="S429" s="752">
        <f t="shared" si="62"/>
        <v>12686820</v>
      </c>
      <c r="T429" s="754">
        <f t="shared" si="63"/>
        <v>13328301</v>
      </c>
      <c r="U429" s="859"/>
      <c r="V429" s="863"/>
      <c r="W429" s="859"/>
      <c r="X429" s="859"/>
      <c r="Y429" s="755">
        <f t="shared" si="59"/>
        <v>0</v>
      </c>
      <c r="Z429" s="864"/>
      <c r="AA429" s="863"/>
      <c r="AB429" s="756">
        <f t="shared" si="60"/>
        <v>0</v>
      </c>
      <c r="AC429" s="859"/>
      <c r="AD429" s="863"/>
      <c r="AE429" s="859"/>
      <c r="AF429" s="859"/>
      <c r="AG429" s="864"/>
      <c r="AH429" s="865"/>
      <c r="AI429" s="757">
        <f t="shared" si="64"/>
        <v>12686820</v>
      </c>
      <c r="AJ429" s="758">
        <f t="shared" si="65"/>
        <v>13328301</v>
      </c>
    </row>
    <row r="430" spans="1:36" x14ac:dyDescent="0.2">
      <c r="A430" s="904" t="s">
        <v>143</v>
      </c>
      <c r="B430" s="899" t="s">
        <v>301</v>
      </c>
      <c r="C430" s="900" t="s">
        <v>638</v>
      </c>
      <c r="D430" s="901"/>
      <c r="E430" s="902">
        <v>106263</v>
      </c>
      <c r="F430" s="903">
        <v>15</v>
      </c>
      <c r="G430" s="859"/>
      <c r="H430" s="860"/>
      <c r="I430" s="861"/>
      <c r="J430" s="862"/>
      <c r="K430" s="859"/>
      <c r="L430" s="863"/>
      <c r="M430" s="861"/>
      <c r="N430" s="859"/>
      <c r="O430" s="752">
        <f t="shared" si="58"/>
        <v>0</v>
      </c>
      <c r="P430" s="864"/>
      <c r="Q430" s="860"/>
      <c r="R430" s="753">
        <f t="shared" si="61"/>
        <v>0</v>
      </c>
      <c r="S430" s="752">
        <f t="shared" si="62"/>
        <v>0</v>
      </c>
      <c r="T430" s="754">
        <f t="shared" si="63"/>
        <v>0</v>
      </c>
      <c r="U430" s="859"/>
      <c r="V430" s="863"/>
      <c r="W430" s="859"/>
      <c r="X430" s="859"/>
      <c r="Y430" s="755">
        <f t="shared" si="59"/>
        <v>0</v>
      </c>
      <c r="Z430" s="864"/>
      <c r="AA430" s="863"/>
      <c r="AB430" s="756">
        <f t="shared" si="60"/>
        <v>0</v>
      </c>
      <c r="AC430" s="859">
        <v>113645774</v>
      </c>
      <c r="AD430" s="863">
        <v>112144733</v>
      </c>
      <c r="AE430" s="867">
        <v>30249989</v>
      </c>
      <c r="AF430" s="859"/>
      <c r="AG430" s="1518">
        <v>32220221</v>
      </c>
      <c r="AH430" s="1521">
        <v>1248459</v>
      </c>
      <c r="AI430" s="757">
        <f t="shared" si="64"/>
        <v>143895763</v>
      </c>
      <c r="AJ430" s="758">
        <f t="shared" si="65"/>
        <v>144364954</v>
      </c>
    </row>
    <row r="431" spans="1:36" x14ac:dyDescent="0.2">
      <c r="A431" s="904" t="s">
        <v>143</v>
      </c>
      <c r="B431" s="899" t="s">
        <v>303</v>
      </c>
      <c r="C431" s="918" t="s">
        <v>639</v>
      </c>
      <c r="D431" s="901"/>
      <c r="E431" s="902"/>
      <c r="F431" s="903"/>
      <c r="G431" s="859"/>
      <c r="H431" s="860"/>
      <c r="I431" s="861"/>
      <c r="J431" s="862"/>
      <c r="K431" s="859"/>
      <c r="L431" s="863"/>
      <c r="M431" s="861"/>
      <c r="N431" s="859"/>
      <c r="O431" s="752">
        <f t="shared" si="58"/>
        <v>0</v>
      </c>
      <c r="P431" s="864"/>
      <c r="Q431" s="860"/>
      <c r="R431" s="753">
        <f t="shared" si="61"/>
        <v>0</v>
      </c>
      <c r="S431" s="752">
        <f t="shared" si="62"/>
        <v>0</v>
      </c>
      <c r="T431" s="754">
        <f t="shared" si="63"/>
        <v>0</v>
      </c>
      <c r="U431" s="859"/>
      <c r="V431" s="863"/>
      <c r="W431" s="859"/>
      <c r="X431" s="859"/>
      <c r="Y431" s="755">
        <f t="shared" si="59"/>
        <v>0</v>
      </c>
      <c r="Z431" s="864"/>
      <c r="AA431" s="863"/>
      <c r="AB431" s="756">
        <f t="shared" si="60"/>
        <v>0</v>
      </c>
      <c r="AC431" s="859"/>
      <c r="AD431" s="863"/>
      <c r="AE431" s="859"/>
      <c r="AF431" s="859"/>
      <c r="AG431" s="864"/>
      <c r="AH431" s="865"/>
      <c r="AI431" s="757">
        <f t="shared" si="64"/>
        <v>0</v>
      </c>
      <c r="AJ431" s="758">
        <f t="shared" si="65"/>
        <v>0</v>
      </c>
    </row>
    <row r="432" spans="1:36" x14ac:dyDescent="0.2">
      <c r="A432" s="904" t="s">
        <v>143</v>
      </c>
      <c r="B432" s="899" t="s">
        <v>303</v>
      </c>
      <c r="C432" s="907" t="s">
        <v>640</v>
      </c>
      <c r="D432" s="906"/>
      <c r="E432" s="902"/>
      <c r="F432" s="903"/>
      <c r="G432" s="859"/>
      <c r="H432" s="860"/>
      <c r="I432" s="861"/>
      <c r="J432" s="862"/>
      <c r="K432" s="859"/>
      <c r="L432" s="863"/>
      <c r="M432" s="861"/>
      <c r="N432" s="859"/>
      <c r="O432" s="752">
        <f t="shared" si="58"/>
        <v>0</v>
      </c>
      <c r="P432" s="864"/>
      <c r="Q432" s="860"/>
      <c r="R432" s="753">
        <f t="shared" si="61"/>
        <v>0</v>
      </c>
      <c r="S432" s="752">
        <f t="shared" si="62"/>
        <v>0</v>
      </c>
      <c r="T432" s="754">
        <f t="shared" si="63"/>
        <v>0</v>
      </c>
      <c r="U432" s="859"/>
      <c r="V432" s="863"/>
      <c r="W432" s="861"/>
      <c r="X432" s="859"/>
      <c r="Y432" s="755">
        <f t="shared" si="59"/>
        <v>0</v>
      </c>
      <c r="Z432" s="864"/>
      <c r="AA432" s="863"/>
      <c r="AB432" s="756">
        <f t="shared" si="60"/>
        <v>0</v>
      </c>
      <c r="AC432" s="859"/>
      <c r="AD432" s="863"/>
      <c r="AE432" s="859"/>
      <c r="AF432" s="859"/>
      <c r="AG432" s="864"/>
      <c r="AH432" s="865"/>
      <c r="AI432" s="757">
        <f t="shared" si="64"/>
        <v>0</v>
      </c>
      <c r="AJ432" s="758">
        <f t="shared" si="65"/>
        <v>0</v>
      </c>
    </row>
    <row r="433" spans="1:36" x14ac:dyDescent="0.2">
      <c r="A433" s="904" t="s">
        <v>143</v>
      </c>
      <c r="B433" s="899" t="s">
        <v>303</v>
      </c>
      <c r="C433" s="919" t="s">
        <v>641</v>
      </c>
      <c r="D433" s="906"/>
      <c r="E433" s="902"/>
      <c r="F433" s="903"/>
      <c r="G433" s="859"/>
      <c r="H433" s="860"/>
      <c r="I433" s="861">
        <v>350000</v>
      </c>
      <c r="J433" s="862">
        <v>350000</v>
      </c>
      <c r="K433" s="859"/>
      <c r="L433" s="863"/>
      <c r="M433" s="861"/>
      <c r="N433" s="859"/>
      <c r="O433" s="752">
        <f t="shared" si="58"/>
        <v>0</v>
      </c>
      <c r="P433" s="864"/>
      <c r="Q433" s="860"/>
      <c r="R433" s="753">
        <f t="shared" si="61"/>
        <v>0</v>
      </c>
      <c r="S433" s="752">
        <f t="shared" si="62"/>
        <v>350000</v>
      </c>
      <c r="T433" s="754">
        <f t="shared" si="63"/>
        <v>350000</v>
      </c>
      <c r="U433" s="859"/>
      <c r="V433" s="863"/>
      <c r="W433" s="859"/>
      <c r="X433" s="859"/>
      <c r="Y433" s="755">
        <f t="shared" si="59"/>
        <v>0</v>
      </c>
      <c r="Z433" s="864"/>
      <c r="AA433" s="863"/>
      <c r="AB433" s="756">
        <f t="shared" si="60"/>
        <v>0</v>
      </c>
      <c r="AC433" s="859"/>
      <c r="AD433" s="863"/>
      <c r="AE433" s="859"/>
      <c r="AF433" s="859"/>
      <c r="AG433" s="864"/>
      <c r="AH433" s="865"/>
      <c r="AI433" s="757">
        <f t="shared" si="64"/>
        <v>350000</v>
      </c>
      <c r="AJ433" s="758">
        <f t="shared" si="65"/>
        <v>350000</v>
      </c>
    </row>
    <row r="434" spans="1:36" x14ac:dyDescent="0.2">
      <c r="A434" s="904" t="s">
        <v>143</v>
      </c>
      <c r="B434" s="899" t="s">
        <v>281</v>
      </c>
      <c r="C434" s="918" t="s">
        <v>109</v>
      </c>
      <c r="D434" s="901"/>
      <c r="E434" s="902"/>
      <c r="F434" s="903"/>
      <c r="G434" s="859"/>
      <c r="H434" s="860"/>
      <c r="I434" s="861"/>
      <c r="J434" s="862"/>
      <c r="K434" s="859"/>
      <c r="L434" s="863"/>
      <c r="M434" s="861"/>
      <c r="N434" s="859"/>
      <c r="O434" s="752">
        <f t="shared" si="58"/>
        <v>0</v>
      </c>
      <c r="P434" s="864"/>
      <c r="Q434" s="860"/>
      <c r="R434" s="753">
        <f t="shared" si="61"/>
        <v>0</v>
      </c>
      <c r="S434" s="752">
        <f t="shared" si="62"/>
        <v>0</v>
      </c>
      <c r="T434" s="754">
        <f t="shared" si="63"/>
        <v>0</v>
      </c>
      <c r="U434" s="859"/>
      <c r="V434" s="863"/>
      <c r="W434" s="859"/>
      <c r="X434" s="859"/>
      <c r="Y434" s="755">
        <f t="shared" si="59"/>
        <v>0</v>
      </c>
      <c r="Z434" s="864"/>
      <c r="AA434" s="863"/>
      <c r="AB434" s="756">
        <f t="shared" si="60"/>
        <v>0</v>
      </c>
      <c r="AC434" s="859"/>
      <c r="AD434" s="863"/>
      <c r="AE434" s="859"/>
      <c r="AF434" s="859"/>
      <c r="AG434" s="864"/>
      <c r="AH434" s="865"/>
      <c r="AI434" s="757">
        <f t="shared" si="64"/>
        <v>0</v>
      </c>
      <c r="AJ434" s="758">
        <f t="shared" si="65"/>
        <v>0</v>
      </c>
    </row>
    <row r="435" spans="1:36" x14ac:dyDescent="0.2">
      <c r="A435" s="904" t="s">
        <v>143</v>
      </c>
      <c r="B435" s="899" t="s">
        <v>282</v>
      </c>
      <c r="C435" s="905" t="s">
        <v>140</v>
      </c>
      <c r="D435" s="906"/>
      <c r="E435" s="902"/>
      <c r="F435" s="903"/>
      <c r="G435" s="859"/>
      <c r="H435" s="860"/>
      <c r="I435" s="861"/>
      <c r="J435" s="862"/>
      <c r="K435" s="859"/>
      <c r="L435" s="863"/>
      <c r="M435" s="861"/>
      <c r="N435" s="859"/>
      <c r="O435" s="752">
        <f t="shared" si="58"/>
        <v>0</v>
      </c>
      <c r="P435" s="864"/>
      <c r="Q435" s="860"/>
      <c r="R435" s="753">
        <f t="shared" si="61"/>
        <v>0</v>
      </c>
      <c r="S435" s="752">
        <f t="shared" si="62"/>
        <v>0</v>
      </c>
      <c r="T435" s="754">
        <f t="shared" si="63"/>
        <v>0</v>
      </c>
      <c r="U435" s="859"/>
      <c r="V435" s="863"/>
      <c r="W435" s="859"/>
      <c r="X435" s="859"/>
      <c r="Y435" s="755">
        <f t="shared" si="59"/>
        <v>0</v>
      </c>
      <c r="Z435" s="864"/>
      <c r="AA435" s="863"/>
      <c r="AB435" s="756">
        <f t="shared" si="60"/>
        <v>0</v>
      </c>
      <c r="AC435" s="859"/>
      <c r="AD435" s="863"/>
      <c r="AE435" s="859"/>
      <c r="AF435" s="859"/>
      <c r="AG435" s="864"/>
      <c r="AH435" s="865"/>
      <c r="AI435" s="757">
        <f t="shared" si="64"/>
        <v>0</v>
      </c>
      <c r="AJ435" s="758">
        <f t="shared" si="65"/>
        <v>0</v>
      </c>
    </row>
    <row r="436" spans="1:36" x14ac:dyDescent="0.2">
      <c r="A436" s="904" t="s">
        <v>143</v>
      </c>
      <c r="B436" s="899" t="s">
        <v>282</v>
      </c>
      <c r="C436" s="907" t="s">
        <v>642</v>
      </c>
      <c r="D436" s="906"/>
      <c r="E436" s="902"/>
      <c r="F436" s="903"/>
      <c r="G436" s="859"/>
      <c r="H436" s="860"/>
      <c r="I436" s="861"/>
      <c r="J436" s="862"/>
      <c r="K436" s="859"/>
      <c r="L436" s="863"/>
      <c r="M436" s="861"/>
      <c r="N436" s="859"/>
      <c r="O436" s="752">
        <f t="shared" si="58"/>
        <v>0</v>
      </c>
      <c r="P436" s="864"/>
      <c r="Q436" s="860"/>
      <c r="R436" s="753">
        <f t="shared" si="61"/>
        <v>0</v>
      </c>
      <c r="S436" s="752">
        <f t="shared" si="62"/>
        <v>0</v>
      </c>
      <c r="T436" s="754">
        <f t="shared" si="63"/>
        <v>0</v>
      </c>
      <c r="U436" s="867">
        <v>3260172</v>
      </c>
      <c r="V436" s="863">
        <v>3486046</v>
      </c>
      <c r="W436" s="859"/>
      <c r="X436" s="859"/>
      <c r="Y436" s="755">
        <f t="shared" si="59"/>
        <v>0</v>
      </c>
      <c r="Z436" s="864"/>
      <c r="AA436" s="863"/>
      <c r="AB436" s="756">
        <f t="shared" si="60"/>
        <v>0</v>
      </c>
      <c r="AC436" s="859"/>
      <c r="AD436" s="863"/>
      <c r="AE436" s="859"/>
      <c r="AF436" s="859"/>
      <c r="AG436" s="864"/>
      <c r="AH436" s="865"/>
      <c r="AI436" s="757">
        <f t="shared" si="64"/>
        <v>3260172</v>
      </c>
      <c r="AJ436" s="758">
        <f t="shared" si="65"/>
        <v>3486046</v>
      </c>
    </row>
    <row r="437" spans="1:36" x14ac:dyDescent="0.2">
      <c r="A437" s="904" t="s">
        <v>143</v>
      </c>
      <c r="B437" s="899" t="s">
        <v>282</v>
      </c>
      <c r="C437" s="907" t="s">
        <v>643</v>
      </c>
      <c r="D437" s="906"/>
      <c r="E437" s="902"/>
      <c r="F437" s="903"/>
      <c r="G437" s="859"/>
      <c r="H437" s="860"/>
      <c r="I437" s="861"/>
      <c r="J437" s="862"/>
      <c r="K437" s="859"/>
      <c r="L437" s="863"/>
      <c r="M437" s="861"/>
      <c r="N437" s="859"/>
      <c r="O437" s="752">
        <f t="shared" si="58"/>
        <v>0</v>
      </c>
      <c r="P437" s="864"/>
      <c r="Q437" s="860"/>
      <c r="R437" s="753">
        <f t="shared" si="61"/>
        <v>0</v>
      </c>
      <c r="S437" s="752">
        <f t="shared" si="62"/>
        <v>0</v>
      </c>
      <c r="T437" s="754">
        <f t="shared" si="63"/>
        <v>0</v>
      </c>
      <c r="U437" s="867">
        <v>3677678</v>
      </c>
      <c r="V437" s="863">
        <v>3680459</v>
      </c>
      <c r="W437" s="859"/>
      <c r="X437" s="859"/>
      <c r="Y437" s="755">
        <f t="shared" si="59"/>
        <v>0</v>
      </c>
      <c r="Z437" s="864"/>
      <c r="AA437" s="863"/>
      <c r="AB437" s="756">
        <f t="shared" si="60"/>
        <v>0</v>
      </c>
      <c r="AC437" s="859"/>
      <c r="AD437" s="863"/>
      <c r="AE437" s="859"/>
      <c r="AF437" s="859"/>
      <c r="AG437" s="864"/>
      <c r="AH437" s="865"/>
      <c r="AI437" s="757">
        <f t="shared" si="64"/>
        <v>3677678</v>
      </c>
      <c r="AJ437" s="758">
        <f t="shared" si="65"/>
        <v>3680459</v>
      </c>
    </row>
    <row r="438" spans="1:36" x14ac:dyDescent="0.2">
      <c r="A438" s="904" t="s">
        <v>143</v>
      </c>
      <c r="B438" s="899" t="s">
        <v>282</v>
      </c>
      <c r="C438" s="907" t="s">
        <v>644</v>
      </c>
      <c r="D438" s="906"/>
      <c r="E438" s="902"/>
      <c r="F438" s="903"/>
      <c r="G438" s="859"/>
      <c r="H438" s="860"/>
      <c r="I438" s="861"/>
      <c r="J438" s="862"/>
      <c r="K438" s="859"/>
      <c r="L438" s="863"/>
      <c r="M438" s="861"/>
      <c r="N438" s="859"/>
      <c r="O438" s="752">
        <f t="shared" si="58"/>
        <v>0</v>
      </c>
      <c r="P438" s="864"/>
      <c r="Q438" s="860"/>
      <c r="R438" s="753">
        <f t="shared" si="61"/>
        <v>0</v>
      </c>
      <c r="S438" s="752">
        <f t="shared" si="62"/>
        <v>0</v>
      </c>
      <c r="T438" s="754">
        <f t="shared" si="63"/>
        <v>0</v>
      </c>
      <c r="U438" s="859">
        <v>2362680</v>
      </c>
      <c r="V438" s="863">
        <v>2362680</v>
      </c>
      <c r="W438" s="859"/>
      <c r="X438" s="859"/>
      <c r="Y438" s="755">
        <f t="shared" si="59"/>
        <v>0</v>
      </c>
      <c r="Z438" s="864"/>
      <c r="AA438" s="863"/>
      <c r="AB438" s="756">
        <f t="shared" si="60"/>
        <v>0</v>
      </c>
      <c r="AC438" s="859"/>
      <c r="AD438" s="863"/>
      <c r="AE438" s="859"/>
      <c r="AF438" s="859"/>
      <c r="AG438" s="864"/>
      <c r="AH438" s="865"/>
      <c r="AI438" s="757">
        <f t="shared" si="64"/>
        <v>2362680</v>
      </c>
      <c r="AJ438" s="758">
        <f t="shared" si="65"/>
        <v>2362680</v>
      </c>
    </row>
    <row r="439" spans="1:36" x14ac:dyDescent="0.2">
      <c r="A439" s="904" t="s">
        <v>143</v>
      </c>
      <c r="B439" s="899" t="s">
        <v>284</v>
      </c>
      <c r="C439" s="905" t="s">
        <v>138</v>
      </c>
      <c r="D439" s="906"/>
      <c r="E439" s="902"/>
      <c r="F439" s="903"/>
      <c r="G439" s="859"/>
      <c r="H439" s="860"/>
      <c r="I439" s="861"/>
      <c r="J439" s="862"/>
      <c r="K439" s="859"/>
      <c r="L439" s="863"/>
      <c r="M439" s="861"/>
      <c r="N439" s="859"/>
      <c r="O439" s="752">
        <f t="shared" si="58"/>
        <v>0</v>
      </c>
      <c r="P439" s="864"/>
      <c r="Q439" s="860"/>
      <c r="R439" s="753">
        <f t="shared" si="61"/>
        <v>0</v>
      </c>
      <c r="S439" s="752">
        <f t="shared" si="62"/>
        <v>0</v>
      </c>
      <c r="T439" s="754">
        <f t="shared" si="63"/>
        <v>0</v>
      </c>
      <c r="U439" s="859"/>
      <c r="V439" s="863"/>
      <c r="W439" s="859"/>
      <c r="X439" s="859"/>
      <c r="Y439" s="755">
        <f t="shared" si="59"/>
        <v>0</v>
      </c>
      <c r="Z439" s="864"/>
      <c r="AA439" s="863"/>
      <c r="AB439" s="756">
        <f t="shared" si="60"/>
        <v>0</v>
      </c>
      <c r="AC439" s="859"/>
      <c r="AD439" s="863"/>
      <c r="AE439" s="859"/>
      <c r="AF439" s="859"/>
      <c r="AG439" s="864"/>
      <c r="AH439" s="865"/>
      <c r="AI439" s="757">
        <f t="shared" si="64"/>
        <v>0</v>
      </c>
      <c r="AJ439" s="758">
        <f t="shared" si="65"/>
        <v>0</v>
      </c>
    </row>
    <row r="440" spans="1:36" x14ac:dyDescent="0.2">
      <c r="A440" s="904" t="s">
        <v>143</v>
      </c>
      <c r="B440" s="899" t="s">
        <v>284</v>
      </c>
      <c r="C440" s="907" t="s">
        <v>645</v>
      </c>
      <c r="D440" s="906"/>
      <c r="E440" s="902"/>
      <c r="F440" s="903"/>
      <c r="G440" s="859"/>
      <c r="H440" s="860"/>
      <c r="I440" s="861"/>
      <c r="J440" s="862"/>
      <c r="K440" s="859"/>
      <c r="L440" s="863"/>
      <c r="M440" s="861"/>
      <c r="N440" s="859"/>
      <c r="O440" s="752">
        <f t="shared" si="58"/>
        <v>0</v>
      </c>
      <c r="P440" s="864"/>
      <c r="Q440" s="860"/>
      <c r="R440" s="753">
        <f t="shared" si="61"/>
        <v>0</v>
      </c>
      <c r="S440" s="752">
        <f t="shared" si="62"/>
        <v>0</v>
      </c>
      <c r="T440" s="754">
        <f t="shared" si="63"/>
        <v>0</v>
      </c>
      <c r="U440" s="859"/>
      <c r="V440" s="863"/>
      <c r="W440" s="859"/>
      <c r="X440" s="859"/>
      <c r="Y440" s="755">
        <f t="shared" si="59"/>
        <v>0</v>
      </c>
      <c r="Z440" s="864"/>
      <c r="AA440" s="863"/>
      <c r="AB440" s="756">
        <f t="shared" si="60"/>
        <v>0</v>
      </c>
      <c r="AC440" s="859"/>
      <c r="AD440" s="863"/>
      <c r="AE440" s="859"/>
      <c r="AF440" s="859"/>
      <c r="AG440" s="864"/>
      <c r="AH440" s="865"/>
      <c r="AI440" s="757">
        <f t="shared" si="64"/>
        <v>0</v>
      </c>
      <c r="AJ440" s="758">
        <f t="shared" si="65"/>
        <v>0</v>
      </c>
    </row>
    <row r="441" spans="1:36" x14ac:dyDescent="0.2">
      <c r="A441" s="904" t="s">
        <v>143</v>
      </c>
      <c r="B441" s="899" t="s">
        <v>285</v>
      </c>
      <c r="C441" s="920" t="s">
        <v>646</v>
      </c>
      <c r="D441" s="921"/>
      <c r="E441" s="902"/>
      <c r="F441" s="903"/>
      <c r="G441" s="859"/>
      <c r="H441" s="860"/>
      <c r="I441" s="861"/>
      <c r="J441" s="862"/>
      <c r="K441" s="859"/>
      <c r="L441" s="863"/>
      <c r="M441" s="861"/>
      <c r="N441" s="859"/>
      <c r="O441" s="752">
        <f t="shared" si="58"/>
        <v>0</v>
      </c>
      <c r="P441" s="864"/>
      <c r="Q441" s="860"/>
      <c r="R441" s="753">
        <f t="shared" si="61"/>
        <v>0</v>
      </c>
      <c r="S441" s="752">
        <f t="shared" si="62"/>
        <v>0</v>
      </c>
      <c r="T441" s="754">
        <f t="shared" si="63"/>
        <v>0</v>
      </c>
      <c r="U441" s="859"/>
      <c r="V441" s="863"/>
      <c r="W441" s="859"/>
      <c r="X441" s="859"/>
      <c r="Y441" s="755">
        <f t="shared" si="59"/>
        <v>0</v>
      </c>
      <c r="Z441" s="864"/>
      <c r="AA441" s="863"/>
      <c r="AB441" s="756">
        <f t="shared" si="60"/>
        <v>0</v>
      </c>
      <c r="AC441" s="859"/>
      <c r="AD441" s="863"/>
      <c r="AE441" s="859"/>
      <c r="AF441" s="859"/>
      <c r="AG441" s="864"/>
      <c r="AH441" s="865"/>
      <c r="AI441" s="757">
        <f t="shared" si="64"/>
        <v>0</v>
      </c>
      <c r="AJ441" s="758">
        <f t="shared" si="65"/>
        <v>0</v>
      </c>
    </row>
    <row r="442" spans="1:36" x14ac:dyDescent="0.2">
      <c r="A442" s="904" t="s">
        <v>143</v>
      </c>
      <c r="B442" s="899" t="s">
        <v>286</v>
      </c>
      <c r="C442" s="918" t="s">
        <v>565</v>
      </c>
      <c r="D442" s="901"/>
      <c r="E442" s="902"/>
      <c r="F442" s="903"/>
      <c r="G442" s="859"/>
      <c r="H442" s="860"/>
      <c r="I442" s="861"/>
      <c r="J442" s="862"/>
      <c r="K442" s="859"/>
      <c r="L442" s="863"/>
      <c r="M442" s="861"/>
      <c r="N442" s="859"/>
      <c r="O442" s="752">
        <f t="shared" si="58"/>
        <v>0</v>
      </c>
      <c r="P442" s="864"/>
      <c r="Q442" s="860"/>
      <c r="R442" s="753">
        <f t="shared" si="61"/>
        <v>0</v>
      </c>
      <c r="S442" s="752">
        <f t="shared" si="62"/>
        <v>0</v>
      </c>
      <c r="T442" s="754">
        <f t="shared" si="63"/>
        <v>0</v>
      </c>
      <c r="U442" s="859"/>
      <c r="V442" s="863"/>
      <c r="W442" s="859"/>
      <c r="X442" s="859"/>
      <c r="Y442" s="755">
        <f t="shared" si="59"/>
        <v>0</v>
      </c>
      <c r="Z442" s="864"/>
      <c r="AA442" s="863"/>
      <c r="AB442" s="756">
        <f t="shared" si="60"/>
        <v>0</v>
      </c>
      <c r="AC442" s="859"/>
      <c r="AD442" s="863"/>
      <c r="AE442" s="859"/>
      <c r="AF442" s="859"/>
      <c r="AG442" s="864"/>
      <c r="AH442" s="865"/>
      <c r="AI442" s="757">
        <f t="shared" si="64"/>
        <v>0</v>
      </c>
      <c r="AJ442" s="758">
        <f t="shared" si="65"/>
        <v>0</v>
      </c>
    </row>
    <row r="443" spans="1:36" x14ac:dyDescent="0.2">
      <c r="A443" s="904" t="s">
        <v>143</v>
      </c>
      <c r="B443" s="899" t="s">
        <v>287</v>
      </c>
      <c r="C443" s="918" t="s">
        <v>570</v>
      </c>
      <c r="D443" s="901"/>
      <c r="E443" s="902"/>
      <c r="F443" s="903"/>
      <c r="G443" s="859"/>
      <c r="H443" s="860"/>
      <c r="I443" s="861"/>
      <c r="J443" s="862"/>
      <c r="K443" s="859"/>
      <c r="L443" s="863"/>
      <c r="M443" s="861"/>
      <c r="N443" s="859"/>
      <c r="O443" s="752">
        <f t="shared" si="58"/>
        <v>0</v>
      </c>
      <c r="P443" s="864"/>
      <c r="Q443" s="860"/>
      <c r="R443" s="753">
        <f t="shared" si="61"/>
        <v>0</v>
      </c>
      <c r="S443" s="752">
        <f t="shared" si="62"/>
        <v>0</v>
      </c>
      <c r="T443" s="754">
        <f t="shared" si="63"/>
        <v>0</v>
      </c>
      <c r="U443" s="859"/>
      <c r="V443" s="863"/>
      <c r="W443" s="859"/>
      <c r="X443" s="859"/>
      <c r="Y443" s="755">
        <f t="shared" si="59"/>
        <v>0</v>
      </c>
      <c r="Z443" s="864"/>
      <c r="AA443" s="863"/>
      <c r="AB443" s="756">
        <f t="shared" si="60"/>
        <v>0</v>
      </c>
      <c r="AC443" s="859"/>
      <c r="AD443" s="863"/>
      <c r="AE443" s="859"/>
      <c r="AF443" s="859"/>
      <c r="AG443" s="864"/>
      <c r="AH443" s="865"/>
      <c r="AI443" s="757">
        <f t="shared" si="64"/>
        <v>0</v>
      </c>
      <c r="AJ443" s="758">
        <f t="shared" si="65"/>
        <v>0</v>
      </c>
    </row>
    <row r="444" spans="1:36" x14ac:dyDescent="0.2">
      <c r="A444" s="904" t="s">
        <v>143</v>
      </c>
      <c r="B444" s="899" t="s">
        <v>288</v>
      </c>
      <c r="C444" s="905" t="s">
        <v>571</v>
      </c>
      <c r="D444" s="906"/>
      <c r="E444" s="902"/>
      <c r="F444" s="903"/>
      <c r="G444" s="859"/>
      <c r="H444" s="860"/>
      <c r="I444" s="861"/>
      <c r="J444" s="862"/>
      <c r="K444" s="859"/>
      <c r="L444" s="863"/>
      <c r="M444" s="861"/>
      <c r="N444" s="859"/>
      <c r="O444" s="752">
        <f t="shared" si="58"/>
        <v>0</v>
      </c>
      <c r="P444" s="864"/>
      <c r="Q444" s="860"/>
      <c r="R444" s="753">
        <f t="shared" si="61"/>
        <v>0</v>
      </c>
      <c r="S444" s="752">
        <f t="shared" si="62"/>
        <v>0</v>
      </c>
      <c r="T444" s="754">
        <f t="shared" si="63"/>
        <v>0</v>
      </c>
      <c r="U444" s="859"/>
      <c r="V444" s="863"/>
      <c r="W444" s="859"/>
      <c r="X444" s="859"/>
      <c r="Y444" s="755">
        <f t="shared" si="59"/>
        <v>0</v>
      </c>
      <c r="Z444" s="864"/>
      <c r="AA444" s="863"/>
      <c r="AB444" s="756">
        <f t="shared" si="60"/>
        <v>0</v>
      </c>
      <c r="AC444" s="859"/>
      <c r="AD444" s="863"/>
      <c r="AE444" s="859"/>
      <c r="AF444" s="859"/>
      <c r="AG444" s="864"/>
      <c r="AH444" s="865"/>
      <c r="AI444" s="757">
        <f t="shared" si="64"/>
        <v>0</v>
      </c>
      <c r="AJ444" s="758">
        <f t="shared" si="65"/>
        <v>0</v>
      </c>
    </row>
    <row r="445" spans="1:36" x14ac:dyDescent="0.2">
      <c r="A445" s="904" t="s">
        <v>143</v>
      </c>
      <c r="B445" s="899" t="s">
        <v>288</v>
      </c>
      <c r="C445" s="907" t="s">
        <v>647</v>
      </c>
      <c r="D445" s="906"/>
      <c r="E445" s="902"/>
      <c r="F445" s="903"/>
      <c r="G445" s="859"/>
      <c r="H445" s="860"/>
      <c r="I445" s="861"/>
      <c r="J445" s="862"/>
      <c r="K445" s="859"/>
      <c r="L445" s="863"/>
      <c r="M445" s="861"/>
      <c r="N445" s="859"/>
      <c r="O445" s="752">
        <f t="shared" si="58"/>
        <v>0</v>
      </c>
      <c r="P445" s="864"/>
      <c r="Q445" s="860"/>
      <c r="R445" s="753">
        <f t="shared" si="61"/>
        <v>0</v>
      </c>
      <c r="S445" s="752">
        <f t="shared" si="62"/>
        <v>0</v>
      </c>
      <c r="T445" s="754">
        <f t="shared" si="63"/>
        <v>0</v>
      </c>
      <c r="U445" s="859">
        <v>40400</v>
      </c>
      <c r="V445" s="1101">
        <v>31200</v>
      </c>
      <c r="W445" s="859"/>
      <c r="X445" s="859"/>
      <c r="Y445" s="755">
        <f t="shared" si="59"/>
        <v>0</v>
      </c>
      <c r="Z445" s="864"/>
      <c r="AA445" s="863"/>
      <c r="AB445" s="756">
        <f t="shared" si="60"/>
        <v>0</v>
      </c>
      <c r="AC445" s="859"/>
      <c r="AD445" s="863"/>
      <c r="AE445" s="859"/>
      <c r="AF445" s="859"/>
      <c r="AG445" s="864"/>
      <c r="AH445" s="865"/>
      <c r="AI445" s="757">
        <f t="shared" si="64"/>
        <v>40400</v>
      </c>
      <c r="AJ445" s="758">
        <f t="shared" si="65"/>
        <v>31200</v>
      </c>
    </row>
    <row r="446" spans="1:36" x14ac:dyDescent="0.2">
      <c r="A446" s="904" t="s">
        <v>143</v>
      </c>
      <c r="B446" s="899" t="s">
        <v>288</v>
      </c>
      <c r="C446" s="907" t="s">
        <v>648</v>
      </c>
      <c r="D446" s="906"/>
      <c r="E446" s="902"/>
      <c r="F446" s="903"/>
      <c r="G446" s="859"/>
      <c r="H446" s="860"/>
      <c r="I446" s="861"/>
      <c r="J446" s="862"/>
      <c r="K446" s="859"/>
      <c r="L446" s="863"/>
      <c r="M446" s="861"/>
      <c r="N446" s="859"/>
      <c r="O446" s="752">
        <f t="shared" si="58"/>
        <v>0</v>
      </c>
      <c r="P446" s="864"/>
      <c r="Q446" s="860"/>
      <c r="R446" s="753">
        <f t="shared" si="61"/>
        <v>0</v>
      </c>
      <c r="S446" s="752">
        <f t="shared" si="62"/>
        <v>0</v>
      </c>
      <c r="T446" s="754">
        <f t="shared" si="63"/>
        <v>0</v>
      </c>
      <c r="U446" s="859">
        <v>67600</v>
      </c>
      <c r="V446" s="1101">
        <v>17400</v>
      </c>
      <c r="W446" s="859"/>
      <c r="X446" s="859"/>
      <c r="Y446" s="755">
        <f t="shared" si="59"/>
        <v>0</v>
      </c>
      <c r="Z446" s="864"/>
      <c r="AA446" s="863"/>
      <c r="AB446" s="756">
        <f t="shared" si="60"/>
        <v>0</v>
      </c>
      <c r="AC446" s="859"/>
      <c r="AD446" s="863"/>
      <c r="AE446" s="859"/>
      <c r="AF446" s="859"/>
      <c r="AG446" s="864"/>
      <c r="AH446" s="865"/>
      <c r="AI446" s="757">
        <f t="shared" si="64"/>
        <v>67600</v>
      </c>
      <c r="AJ446" s="758">
        <f t="shared" si="65"/>
        <v>17400</v>
      </c>
    </row>
    <row r="447" spans="1:36" x14ac:dyDescent="0.2">
      <c r="A447" s="904" t="s">
        <v>143</v>
      </c>
      <c r="B447" s="899" t="s">
        <v>288</v>
      </c>
      <c r="C447" s="907" t="s">
        <v>649</v>
      </c>
      <c r="D447" s="906"/>
      <c r="E447" s="902"/>
      <c r="F447" s="903"/>
      <c r="G447" s="859"/>
      <c r="H447" s="860"/>
      <c r="I447" s="861"/>
      <c r="J447" s="862"/>
      <c r="K447" s="859"/>
      <c r="L447" s="863"/>
      <c r="M447" s="861"/>
      <c r="N447" s="859"/>
      <c r="O447" s="752">
        <f t="shared" si="58"/>
        <v>0</v>
      </c>
      <c r="P447" s="864"/>
      <c r="Q447" s="860"/>
      <c r="R447" s="753">
        <f t="shared" si="61"/>
        <v>0</v>
      </c>
      <c r="S447" s="752">
        <f t="shared" si="62"/>
        <v>0</v>
      </c>
      <c r="T447" s="754">
        <f t="shared" si="63"/>
        <v>0</v>
      </c>
      <c r="U447" s="859">
        <v>10100</v>
      </c>
      <c r="V447" s="1101">
        <v>20800</v>
      </c>
      <c r="W447" s="859"/>
      <c r="X447" s="859"/>
      <c r="Y447" s="755">
        <f t="shared" si="59"/>
        <v>0</v>
      </c>
      <c r="Z447" s="864"/>
      <c r="AA447" s="863"/>
      <c r="AB447" s="756">
        <f t="shared" si="60"/>
        <v>0</v>
      </c>
      <c r="AC447" s="859"/>
      <c r="AD447" s="863"/>
      <c r="AE447" s="859"/>
      <c r="AF447" s="859"/>
      <c r="AG447" s="864"/>
      <c r="AH447" s="865"/>
      <c r="AI447" s="757">
        <f t="shared" si="64"/>
        <v>10100</v>
      </c>
      <c r="AJ447" s="758">
        <f t="shared" si="65"/>
        <v>20800</v>
      </c>
    </row>
    <row r="448" spans="1:36" x14ac:dyDescent="0.2">
      <c r="A448" s="904" t="s">
        <v>143</v>
      </c>
      <c r="B448" s="899" t="s">
        <v>288</v>
      </c>
      <c r="C448" s="907" t="s">
        <v>650</v>
      </c>
      <c r="D448" s="906"/>
      <c r="E448" s="902"/>
      <c r="F448" s="903"/>
      <c r="G448" s="859"/>
      <c r="H448" s="860"/>
      <c r="I448" s="861"/>
      <c r="J448" s="862"/>
      <c r="K448" s="859"/>
      <c r="L448" s="863"/>
      <c r="M448" s="861"/>
      <c r="N448" s="859"/>
      <c r="O448" s="752">
        <f t="shared" si="58"/>
        <v>0</v>
      </c>
      <c r="P448" s="864"/>
      <c r="Q448" s="860"/>
      <c r="R448" s="753">
        <f t="shared" si="61"/>
        <v>0</v>
      </c>
      <c r="S448" s="752">
        <f t="shared" si="62"/>
        <v>0</v>
      </c>
      <c r="T448" s="754">
        <f t="shared" si="63"/>
        <v>0</v>
      </c>
      <c r="U448" s="859">
        <v>296000</v>
      </c>
      <c r="V448" s="1101">
        <v>306000</v>
      </c>
      <c r="W448" s="859"/>
      <c r="X448" s="859"/>
      <c r="Y448" s="755">
        <f t="shared" si="59"/>
        <v>0</v>
      </c>
      <c r="Z448" s="864"/>
      <c r="AA448" s="863"/>
      <c r="AB448" s="756">
        <f t="shared" si="60"/>
        <v>0</v>
      </c>
      <c r="AC448" s="859"/>
      <c r="AD448" s="863"/>
      <c r="AE448" s="859"/>
      <c r="AF448" s="859"/>
      <c r="AG448" s="864"/>
      <c r="AH448" s="865"/>
      <c r="AI448" s="757">
        <f t="shared" si="64"/>
        <v>296000</v>
      </c>
      <c r="AJ448" s="758">
        <f t="shared" si="65"/>
        <v>306000</v>
      </c>
    </row>
    <row r="449" spans="1:36" x14ac:dyDescent="0.2">
      <c r="A449" s="904" t="s">
        <v>143</v>
      </c>
      <c r="B449" s="899" t="s">
        <v>288</v>
      </c>
      <c r="C449" s="907" t="s">
        <v>651</v>
      </c>
      <c r="D449" s="906"/>
      <c r="E449" s="902"/>
      <c r="F449" s="903"/>
      <c r="G449" s="859"/>
      <c r="H449" s="860"/>
      <c r="I449" s="861"/>
      <c r="J449" s="862"/>
      <c r="K449" s="859"/>
      <c r="L449" s="863"/>
      <c r="M449" s="861"/>
      <c r="N449" s="859"/>
      <c r="O449" s="752">
        <f t="shared" si="58"/>
        <v>0</v>
      </c>
      <c r="P449" s="864"/>
      <c r="Q449" s="860"/>
      <c r="R449" s="753">
        <f t="shared" si="61"/>
        <v>0</v>
      </c>
      <c r="S449" s="752">
        <f t="shared" si="62"/>
        <v>0</v>
      </c>
      <c r="T449" s="754">
        <f t="shared" si="63"/>
        <v>0</v>
      </c>
      <c r="U449" s="859">
        <v>14800</v>
      </c>
      <c r="V449" s="1101">
        <v>0</v>
      </c>
      <c r="W449" s="859"/>
      <c r="X449" s="859"/>
      <c r="Y449" s="755">
        <f t="shared" si="59"/>
        <v>0</v>
      </c>
      <c r="Z449" s="864"/>
      <c r="AA449" s="863"/>
      <c r="AB449" s="756">
        <f t="shared" si="60"/>
        <v>0</v>
      </c>
      <c r="AC449" s="859"/>
      <c r="AD449" s="863"/>
      <c r="AE449" s="859"/>
      <c r="AF449" s="859"/>
      <c r="AG449" s="864"/>
      <c r="AH449" s="865"/>
      <c r="AI449" s="757">
        <f t="shared" si="64"/>
        <v>14800</v>
      </c>
      <c r="AJ449" s="758">
        <f t="shared" si="65"/>
        <v>0</v>
      </c>
    </row>
    <row r="450" spans="1:36" x14ac:dyDescent="0.2">
      <c r="A450" s="904" t="s">
        <v>143</v>
      </c>
      <c r="B450" s="899" t="s">
        <v>288</v>
      </c>
      <c r="C450" s="907" t="s">
        <v>652</v>
      </c>
      <c r="D450" s="906"/>
      <c r="E450" s="902"/>
      <c r="F450" s="903"/>
      <c r="G450" s="859"/>
      <c r="H450" s="860"/>
      <c r="I450" s="861"/>
      <c r="J450" s="862"/>
      <c r="K450" s="859"/>
      <c r="L450" s="863"/>
      <c r="M450" s="861"/>
      <c r="N450" s="859"/>
      <c r="O450" s="752">
        <f t="shared" si="58"/>
        <v>0</v>
      </c>
      <c r="P450" s="864"/>
      <c r="Q450" s="860"/>
      <c r="R450" s="753">
        <f t="shared" si="61"/>
        <v>0</v>
      </c>
      <c r="S450" s="752">
        <f t="shared" si="62"/>
        <v>0</v>
      </c>
      <c r="T450" s="754">
        <f t="shared" si="63"/>
        <v>0</v>
      </c>
      <c r="U450" s="859"/>
      <c r="V450" s="863"/>
      <c r="W450" s="859"/>
      <c r="X450" s="859"/>
      <c r="Y450" s="755">
        <f t="shared" si="59"/>
        <v>0</v>
      </c>
      <c r="Z450" s="864"/>
      <c r="AA450" s="863"/>
      <c r="AB450" s="756">
        <f t="shared" si="60"/>
        <v>0</v>
      </c>
      <c r="AC450" s="859"/>
      <c r="AD450" s="863"/>
      <c r="AE450" s="859"/>
      <c r="AF450" s="859"/>
      <c r="AG450" s="864"/>
      <c r="AH450" s="865"/>
      <c r="AI450" s="757">
        <f t="shared" si="64"/>
        <v>0</v>
      </c>
      <c r="AJ450" s="758">
        <f t="shared" si="65"/>
        <v>0</v>
      </c>
    </row>
    <row r="451" spans="1:36" x14ac:dyDescent="0.2">
      <c r="A451" s="904" t="s">
        <v>143</v>
      </c>
      <c r="B451" s="899" t="s">
        <v>289</v>
      </c>
      <c r="C451" s="905" t="s">
        <v>573</v>
      </c>
      <c r="D451" s="906"/>
      <c r="E451" s="902"/>
      <c r="F451" s="903"/>
      <c r="G451" s="859"/>
      <c r="H451" s="860"/>
      <c r="I451" s="861"/>
      <c r="J451" s="862"/>
      <c r="K451" s="859"/>
      <c r="L451" s="863"/>
      <c r="M451" s="861"/>
      <c r="N451" s="859"/>
      <c r="O451" s="752">
        <f t="shared" si="58"/>
        <v>0</v>
      </c>
      <c r="P451" s="864"/>
      <c r="Q451" s="860"/>
      <c r="R451" s="753">
        <f t="shared" si="61"/>
        <v>0</v>
      </c>
      <c r="S451" s="752">
        <f t="shared" si="62"/>
        <v>0</v>
      </c>
      <c r="T451" s="754">
        <f t="shared" si="63"/>
        <v>0</v>
      </c>
      <c r="U451" s="859"/>
      <c r="V451" s="863"/>
      <c r="W451" s="859"/>
      <c r="X451" s="859"/>
      <c r="Y451" s="755">
        <f t="shared" si="59"/>
        <v>0</v>
      </c>
      <c r="Z451" s="864"/>
      <c r="AA451" s="863"/>
      <c r="AB451" s="756">
        <f t="shared" si="60"/>
        <v>0</v>
      </c>
      <c r="AC451" s="859"/>
      <c r="AD451" s="863"/>
      <c r="AE451" s="859"/>
      <c r="AF451" s="859"/>
      <c r="AG451" s="864"/>
      <c r="AH451" s="865"/>
      <c r="AI451" s="757">
        <f t="shared" si="64"/>
        <v>0</v>
      </c>
      <c r="AJ451" s="758">
        <f t="shared" si="65"/>
        <v>0</v>
      </c>
    </row>
    <row r="452" spans="1:36" x14ac:dyDescent="0.2">
      <c r="A452" s="904" t="s">
        <v>143</v>
      </c>
      <c r="B452" s="899" t="s">
        <v>289</v>
      </c>
      <c r="C452" s="907" t="s">
        <v>653</v>
      </c>
      <c r="D452" s="906"/>
      <c r="E452" s="902"/>
      <c r="F452" s="903"/>
      <c r="G452" s="859"/>
      <c r="H452" s="860"/>
      <c r="I452" s="861"/>
      <c r="J452" s="862"/>
      <c r="K452" s="859"/>
      <c r="L452" s="863"/>
      <c r="M452" s="861"/>
      <c r="N452" s="859"/>
      <c r="O452" s="752">
        <f t="shared" si="58"/>
        <v>0</v>
      </c>
      <c r="P452" s="864"/>
      <c r="Q452" s="860"/>
      <c r="R452" s="753">
        <f t="shared" si="61"/>
        <v>0</v>
      </c>
      <c r="S452" s="752">
        <f t="shared" si="62"/>
        <v>0</v>
      </c>
      <c r="T452" s="754">
        <f t="shared" si="63"/>
        <v>0</v>
      </c>
      <c r="U452" s="859">
        <v>185900</v>
      </c>
      <c r="V452" s="1101">
        <v>226200</v>
      </c>
      <c r="W452" s="859"/>
      <c r="X452" s="859"/>
      <c r="Y452" s="755">
        <f t="shared" si="59"/>
        <v>0</v>
      </c>
      <c r="Z452" s="864"/>
      <c r="AA452" s="863"/>
      <c r="AB452" s="756">
        <f t="shared" si="60"/>
        <v>0</v>
      </c>
      <c r="AC452" s="859"/>
      <c r="AD452" s="863"/>
      <c r="AE452" s="859"/>
      <c r="AF452" s="859"/>
      <c r="AG452" s="864"/>
      <c r="AH452" s="865"/>
      <c r="AI452" s="757">
        <f t="shared" si="64"/>
        <v>185900</v>
      </c>
      <c r="AJ452" s="758">
        <f t="shared" si="65"/>
        <v>226200</v>
      </c>
    </row>
    <row r="453" spans="1:36" x14ac:dyDescent="0.2">
      <c r="A453" s="904" t="s">
        <v>143</v>
      </c>
      <c r="B453" s="899" t="s">
        <v>289</v>
      </c>
      <c r="C453" s="907" t="s">
        <v>654</v>
      </c>
      <c r="D453" s="906"/>
      <c r="E453" s="902"/>
      <c r="F453" s="903"/>
      <c r="G453" s="859"/>
      <c r="H453" s="860"/>
      <c r="I453" s="861"/>
      <c r="J453" s="862"/>
      <c r="K453" s="859"/>
      <c r="L453" s="863"/>
      <c r="M453" s="861"/>
      <c r="N453" s="859"/>
      <c r="O453" s="752">
        <f t="shared" si="58"/>
        <v>0</v>
      </c>
      <c r="P453" s="864"/>
      <c r="Q453" s="860"/>
      <c r="R453" s="753">
        <f t="shared" si="61"/>
        <v>0</v>
      </c>
      <c r="S453" s="752">
        <f t="shared" si="62"/>
        <v>0</v>
      </c>
      <c r="T453" s="754">
        <f t="shared" si="63"/>
        <v>0</v>
      </c>
      <c r="U453" s="859">
        <v>0</v>
      </c>
      <c r="V453" s="863">
        <v>0</v>
      </c>
      <c r="W453" s="859"/>
      <c r="X453" s="859"/>
      <c r="Y453" s="755">
        <f t="shared" si="59"/>
        <v>0</v>
      </c>
      <c r="Z453" s="864"/>
      <c r="AA453" s="863"/>
      <c r="AB453" s="756">
        <f t="shared" si="60"/>
        <v>0</v>
      </c>
      <c r="AC453" s="859"/>
      <c r="AD453" s="863"/>
      <c r="AE453" s="859"/>
      <c r="AF453" s="859"/>
      <c r="AG453" s="864"/>
      <c r="AH453" s="865"/>
      <c r="AI453" s="757">
        <f t="shared" si="64"/>
        <v>0</v>
      </c>
      <c r="AJ453" s="758">
        <f t="shared" si="65"/>
        <v>0</v>
      </c>
    </row>
    <row r="454" spans="1:36" x14ac:dyDescent="0.2">
      <c r="A454" s="904" t="s">
        <v>143</v>
      </c>
      <c r="B454" s="899" t="s">
        <v>289</v>
      </c>
      <c r="C454" s="907" t="s">
        <v>655</v>
      </c>
      <c r="D454" s="906"/>
      <c r="E454" s="902"/>
      <c r="F454" s="903"/>
      <c r="G454" s="859"/>
      <c r="H454" s="860"/>
      <c r="I454" s="861"/>
      <c r="J454" s="862"/>
      <c r="K454" s="859"/>
      <c r="L454" s="863"/>
      <c r="M454" s="861"/>
      <c r="N454" s="859"/>
      <c r="O454" s="752">
        <f t="shared" si="58"/>
        <v>0</v>
      </c>
      <c r="P454" s="864"/>
      <c r="Q454" s="860"/>
      <c r="R454" s="753">
        <f t="shared" si="61"/>
        <v>0</v>
      </c>
      <c r="S454" s="752">
        <f t="shared" si="62"/>
        <v>0</v>
      </c>
      <c r="T454" s="754">
        <f t="shared" si="63"/>
        <v>0</v>
      </c>
      <c r="U454" s="859">
        <v>29600</v>
      </c>
      <c r="V454" s="1101">
        <v>61200</v>
      </c>
      <c r="W454" s="859"/>
      <c r="X454" s="859"/>
      <c r="Y454" s="755">
        <f t="shared" si="59"/>
        <v>0</v>
      </c>
      <c r="Z454" s="864"/>
      <c r="AA454" s="863"/>
      <c r="AB454" s="756">
        <f t="shared" si="60"/>
        <v>0</v>
      </c>
      <c r="AC454" s="859"/>
      <c r="AD454" s="863"/>
      <c r="AE454" s="859"/>
      <c r="AF454" s="859"/>
      <c r="AG454" s="864"/>
      <c r="AH454" s="865"/>
      <c r="AI454" s="757">
        <f t="shared" si="64"/>
        <v>29600</v>
      </c>
      <c r="AJ454" s="758">
        <f t="shared" si="65"/>
        <v>61200</v>
      </c>
    </row>
    <row r="455" spans="1:36" x14ac:dyDescent="0.2">
      <c r="A455" s="904" t="s">
        <v>143</v>
      </c>
      <c r="B455" s="899" t="s">
        <v>289</v>
      </c>
      <c r="C455" s="907" t="s">
        <v>656</v>
      </c>
      <c r="D455" s="906"/>
      <c r="E455" s="902"/>
      <c r="F455" s="903"/>
      <c r="G455" s="859"/>
      <c r="H455" s="860"/>
      <c r="I455" s="861"/>
      <c r="J455" s="862"/>
      <c r="K455" s="859"/>
      <c r="L455" s="863"/>
      <c r="M455" s="861"/>
      <c r="N455" s="859"/>
      <c r="O455" s="752">
        <f t="shared" si="58"/>
        <v>0</v>
      </c>
      <c r="P455" s="864"/>
      <c r="Q455" s="860"/>
      <c r="R455" s="753">
        <f t="shared" si="61"/>
        <v>0</v>
      </c>
      <c r="S455" s="752">
        <f t="shared" si="62"/>
        <v>0</v>
      </c>
      <c r="T455" s="754">
        <f t="shared" si="63"/>
        <v>0</v>
      </c>
      <c r="U455" s="867">
        <v>1504100</v>
      </c>
      <c r="V455" s="1101">
        <v>1548600</v>
      </c>
      <c r="W455" s="859"/>
      <c r="X455" s="859"/>
      <c r="Y455" s="755">
        <f t="shared" si="59"/>
        <v>0</v>
      </c>
      <c r="Z455" s="864"/>
      <c r="AA455" s="863"/>
      <c r="AB455" s="756">
        <f t="shared" si="60"/>
        <v>0</v>
      </c>
      <c r="AC455" s="859"/>
      <c r="AD455" s="863"/>
      <c r="AE455" s="859"/>
      <c r="AF455" s="859"/>
      <c r="AG455" s="864"/>
      <c r="AH455" s="865"/>
      <c r="AI455" s="757">
        <f t="shared" si="64"/>
        <v>1504100</v>
      </c>
      <c r="AJ455" s="758">
        <f t="shared" si="65"/>
        <v>1548600</v>
      </c>
    </row>
    <row r="456" spans="1:36" x14ac:dyDescent="0.2">
      <c r="A456" s="904" t="s">
        <v>143</v>
      </c>
      <c r="B456" s="899" t="s">
        <v>289</v>
      </c>
      <c r="C456" s="907" t="s">
        <v>657</v>
      </c>
      <c r="D456" s="906"/>
      <c r="E456" s="902"/>
      <c r="F456" s="903"/>
      <c r="G456" s="859"/>
      <c r="H456" s="860"/>
      <c r="I456" s="861"/>
      <c r="J456" s="862"/>
      <c r="K456" s="859"/>
      <c r="L456" s="863"/>
      <c r="M456" s="861"/>
      <c r="N456" s="859"/>
      <c r="O456" s="752">
        <f t="shared" si="58"/>
        <v>0</v>
      </c>
      <c r="P456" s="864"/>
      <c r="Q456" s="860"/>
      <c r="R456" s="753">
        <f t="shared" si="61"/>
        <v>0</v>
      </c>
      <c r="S456" s="752">
        <f t="shared" si="62"/>
        <v>0</v>
      </c>
      <c r="T456" s="754">
        <f t="shared" si="63"/>
        <v>0</v>
      </c>
      <c r="U456" s="859">
        <v>67600</v>
      </c>
      <c r="V456" s="1101">
        <v>34800</v>
      </c>
      <c r="W456" s="859"/>
      <c r="X456" s="859"/>
      <c r="Y456" s="755">
        <f t="shared" si="59"/>
        <v>0</v>
      </c>
      <c r="Z456" s="864"/>
      <c r="AA456" s="863"/>
      <c r="AB456" s="756">
        <f t="shared" si="60"/>
        <v>0</v>
      </c>
      <c r="AC456" s="859"/>
      <c r="AD456" s="863"/>
      <c r="AE456" s="859"/>
      <c r="AF456" s="859"/>
      <c r="AG456" s="864"/>
      <c r="AH456" s="865"/>
      <c r="AI456" s="757">
        <f t="shared" si="64"/>
        <v>67600</v>
      </c>
      <c r="AJ456" s="758">
        <f t="shared" si="65"/>
        <v>34800</v>
      </c>
    </row>
    <row r="457" spans="1:36" x14ac:dyDescent="0.2">
      <c r="A457" s="904" t="s">
        <v>143</v>
      </c>
      <c r="B457" s="899" t="s">
        <v>289</v>
      </c>
      <c r="C457" s="907" t="s">
        <v>658</v>
      </c>
      <c r="D457" s="906"/>
      <c r="E457" s="902"/>
      <c r="F457" s="903"/>
      <c r="G457" s="859"/>
      <c r="H457" s="860"/>
      <c r="I457" s="861"/>
      <c r="J457" s="862"/>
      <c r="K457" s="859"/>
      <c r="L457" s="863"/>
      <c r="M457" s="861"/>
      <c r="N457" s="859"/>
      <c r="O457" s="752">
        <f t="shared" si="58"/>
        <v>0</v>
      </c>
      <c r="P457" s="864"/>
      <c r="Q457" s="860"/>
      <c r="R457" s="753">
        <f t="shared" si="61"/>
        <v>0</v>
      </c>
      <c r="S457" s="752">
        <f t="shared" si="62"/>
        <v>0</v>
      </c>
      <c r="T457" s="754">
        <f t="shared" si="63"/>
        <v>0</v>
      </c>
      <c r="U457" s="859">
        <v>67600</v>
      </c>
      <c r="V457" s="1101">
        <v>87000</v>
      </c>
      <c r="W457" s="859"/>
      <c r="X457" s="859"/>
      <c r="Y457" s="755">
        <f t="shared" si="59"/>
        <v>0</v>
      </c>
      <c r="Z457" s="864"/>
      <c r="AA457" s="863"/>
      <c r="AB457" s="756">
        <f t="shared" si="60"/>
        <v>0</v>
      </c>
      <c r="AC457" s="859"/>
      <c r="AD457" s="863"/>
      <c r="AE457" s="859"/>
      <c r="AF457" s="859"/>
      <c r="AG457" s="864"/>
      <c r="AH457" s="865"/>
      <c r="AI457" s="757">
        <f t="shared" si="64"/>
        <v>67600</v>
      </c>
      <c r="AJ457" s="758">
        <f t="shared" si="65"/>
        <v>87000</v>
      </c>
    </row>
    <row r="458" spans="1:36" x14ac:dyDescent="0.2">
      <c r="A458" s="904" t="s">
        <v>143</v>
      </c>
      <c r="B458" s="899" t="s">
        <v>289</v>
      </c>
      <c r="C458" s="907" t="s">
        <v>659</v>
      </c>
      <c r="D458" s="906"/>
      <c r="E458" s="902"/>
      <c r="F458" s="903"/>
      <c r="G458" s="859"/>
      <c r="H458" s="860"/>
      <c r="I458" s="861"/>
      <c r="J458" s="862"/>
      <c r="K458" s="859"/>
      <c r="L458" s="863"/>
      <c r="M458" s="861"/>
      <c r="N458" s="859"/>
      <c r="O458" s="752">
        <f t="shared" si="58"/>
        <v>0</v>
      </c>
      <c r="P458" s="864"/>
      <c r="Q458" s="860"/>
      <c r="R458" s="753">
        <f t="shared" si="61"/>
        <v>0</v>
      </c>
      <c r="S458" s="752">
        <f t="shared" si="62"/>
        <v>0</v>
      </c>
      <c r="T458" s="754">
        <f t="shared" si="63"/>
        <v>0</v>
      </c>
      <c r="U458" s="859">
        <v>890100</v>
      </c>
      <c r="V458" s="1101">
        <v>904400</v>
      </c>
      <c r="W458" s="859"/>
      <c r="X458" s="859"/>
      <c r="Y458" s="755">
        <f t="shared" si="59"/>
        <v>0</v>
      </c>
      <c r="Z458" s="864"/>
      <c r="AA458" s="863"/>
      <c r="AB458" s="756">
        <f t="shared" si="60"/>
        <v>0</v>
      </c>
      <c r="AC458" s="859"/>
      <c r="AD458" s="863"/>
      <c r="AE458" s="859"/>
      <c r="AF458" s="859"/>
      <c r="AG458" s="864"/>
      <c r="AH458" s="865"/>
      <c r="AI458" s="757">
        <f t="shared" si="64"/>
        <v>890100</v>
      </c>
      <c r="AJ458" s="758">
        <f t="shared" si="65"/>
        <v>904400</v>
      </c>
    </row>
    <row r="459" spans="1:36" x14ac:dyDescent="0.2">
      <c r="A459" s="904" t="s">
        <v>143</v>
      </c>
      <c r="B459" s="899" t="s">
        <v>289</v>
      </c>
      <c r="C459" s="907" t="s">
        <v>660</v>
      </c>
      <c r="D459" s="906"/>
      <c r="E459" s="902"/>
      <c r="F459" s="903"/>
      <c r="G459" s="859"/>
      <c r="H459" s="860"/>
      <c r="I459" s="861"/>
      <c r="J459" s="862"/>
      <c r="K459" s="859"/>
      <c r="L459" s="863"/>
      <c r="M459" s="861"/>
      <c r="N459" s="859"/>
      <c r="O459" s="752">
        <f t="shared" ref="O459:O522" si="66">SUM(M459:N459)</f>
        <v>0</v>
      </c>
      <c r="P459" s="864"/>
      <c r="Q459" s="860"/>
      <c r="R459" s="753">
        <f t="shared" si="61"/>
        <v>0</v>
      </c>
      <c r="S459" s="752">
        <f t="shared" si="62"/>
        <v>0</v>
      </c>
      <c r="T459" s="754">
        <f t="shared" si="63"/>
        <v>0</v>
      </c>
      <c r="U459" s="859">
        <v>88800</v>
      </c>
      <c r="V459" s="1101">
        <v>76500</v>
      </c>
      <c r="W459" s="859"/>
      <c r="X459" s="859"/>
      <c r="Y459" s="755">
        <f t="shared" ref="Y459:Y522" si="67">SUM(W459:X459)</f>
        <v>0</v>
      </c>
      <c r="Z459" s="864"/>
      <c r="AA459" s="863"/>
      <c r="AB459" s="756">
        <f t="shared" ref="AB459:AB522" si="68">SUM(Z459:AA459)</f>
        <v>0</v>
      </c>
      <c r="AC459" s="859"/>
      <c r="AD459" s="863"/>
      <c r="AE459" s="859"/>
      <c r="AF459" s="859"/>
      <c r="AG459" s="864"/>
      <c r="AH459" s="865"/>
      <c r="AI459" s="757">
        <f t="shared" si="64"/>
        <v>88800</v>
      </c>
      <c r="AJ459" s="758">
        <f t="shared" si="65"/>
        <v>76500</v>
      </c>
    </row>
    <row r="460" spans="1:36" x14ac:dyDescent="0.2">
      <c r="A460" s="904" t="s">
        <v>143</v>
      </c>
      <c r="B460" s="899" t="s">
        <v>289</v>
      </c>
      <c r="C460" s="907" t="s">
        <v>661</v>
      </c>
      <c r="D460" s="906"/>
      <c r="E460" s="902"/>
      <c r="F460" s="903"/>
      <c r="G460" s="859"/>
      <c r="H460" s="860"/>
      <c r="I460" s="861"/>
      <c r="J460" s="862"/>
      <c r="K460" s="859"/>
      <c r="L460" s="863"/>
      <c r="M460" s="861"/>
      <c r="N460" s="859"/>
      <c r="O460" s="752">
        <f t="shared" si="66"/>
        <v>0</v>
      </c>
      <c r="P460" s="864"/>
      <c r="Q460" s="860"/>
      <c r="R460" s="753">
        <f t="shared" ref="R460:R523" si="69">SUM(P460:Q460)</f>
        <v>0</v>
      </c>
      <c r="S460" s="752">
        <f t="shared" ref="S460:S523" si="70">SUM(G460,I460,K460,M460)</f>
        <v>0</v>
      </c>
      <c r="T460" s="754">
        <f t="shared" ref="T460:T523" si="71">SUM(H460,J460,L460,P460)</f>
        <v>0</v>
      </c>
      <c r="U460" s="859">
        <v>67600</v>
      </c>
      <c r="V460" s="1101">
        <v>34800</v>
      </c>
      <c r="W460" s="859"/>
      <c r="X460" s="859"/>
      <c r="Y460" s="755">
        <f t="shared" si="67"/>
        <v>0</v>
      </c>
      <c r="Z460" s="864"/>
      <c r="AA460" s="863"/>
      <c r="AB460" s="756">
        <f t="shared" si="68"/>
        <v>0</v>
      </c>
      <c r="AC460" s="859"/>
      <c r="AD460" s="863"/>
      <c r="AE460" s="859"/>
      <c r="AF460" s="859"/>
      <c r="AG460" s="864"/>
      <c r="AH460" s="865"/>
      <c r="AI460" s="757">
        <f t="shared" ref="AI460:AI523" si="72">SUM(S460,U460,W460,AC460,AE460)</f>
        <v>67600</v>
      </c>
      <c r="AJ460" s="758">
        <f t="shared" ref="AJ460:AJ523" si="73">SUM(T460,V460,Z460,AD460,AG460)</f>
        <v>34800</v>
      </c>
    </row>
    <row r="461" spans="1:36" x14ac:dyDescent="0.2">
      <c r="A461" s="904" t="s">
        <v>143</v>
      </c>
      <c r="B461" s="899" t="s">
        <v>290</v>
      </c>
      <c r="C461" s="905" t="s">
        <v>137</v>
      </c>
      <c r="D461" s="906"/>
      <c r="E461" s="902"/>
      <c r="F461" s="903"/>
      <c r="G461" s="859"/>
      <c r="H461" s="860"/>
      <c r="I461" s="861"/>
      <c r="J461" s="862"/>
      <c r="K461" s="859"/>
      <c r="L461" s="863"/>
      <c r="M461" s="861"/>
      <c r="N461" s="859"/>
      <c r="O461" s="752">
        <f t="shared" si="66"/>
        <v>0</v>
      </c>
      <c r="P461" s="864"/>
      <c r="Q461" s="860"/>
      <c r="R461" s="753">
        <f t="shared" si="69"/>
        <v>0</v>
      </c>
      <c r="S461" s="752">
        <f t="shared" si="70"/>
        <v>0</v>
      </c>
      <c r="T461" s="754">
        <f t="shared" si="71"/>
        <v>0</v>
      </c>
      <c r="U461" s="859"/>
      <c r="V461" s="863"/>
      <c r="W461" s="859"/>
      <c r="X461" s="859"/>
      <c r="Y461" s="755">
        <f t="shared" si="67"/>
        <v>0</v>
      </c>
      <c r="Z461" s="864"/>
      <c r="AA461" s="863"/>
      <c r="AB461" s="756">
        <f t="shared" si="68"/>
        <v>0</v>
      </c>
      <c r="AC461" s="859"/>
      <c r="AD461" s="863"/>
      <c r="AE461" s="859"/>
      <c r="AF461" s="859"/>
      <c r="AG461" s="864"/>
      <c r="AH461" s="865"/>
      <c r="AI461" s="757">
        <f t="shared" si="72"/>
        <v>0</v>
      </c>
      <c r="AJ461" s="758">
        <f t="shared" si="73"/>
        <v>0</v>
      </c>
    </row>
    <row r="462" spans="1:36" x14ac:dyDescent="0.2">
      <c r="A462" s="904" t="s">
        <v>143</v>
      </c>
      <c r="B462" s="899" t="s">
        <v>291</v>
      </c>
      <c r="C462" s="918" t="s">
        <v>574</v>
      </c>
      <c r="D462" s="901"/>
      <c r="E462" s="902"/>
      <c r="F462" s="903"/>
      <c r="G462" s="859"/>
      <c r="H462" s="860"/>
      <c r="I462" s="861"/>
      <c r="J462" s="862"/>
      <c r="K462" s="859"/>
      <c r="L462" s="863"/>
      <c r="M462" s="861"/>
      <c r="N462" s="859"/>
      <c r="O462" s="752">
        <f t="shared" si="66"/>
        <v>0</v>
      </c>
      <c r="P462" s="864"/>
      <c r="Q462" s="860"/>
      <c r="R462" s="753">
        <f t="shared" si="69"/>
        <v>0</v>
      </c>
      <c r="S462" s="752">
        <f t="shared" si="70"/>
        <v>0</v>
      </c>
      <c r="T462" s="754">
        <f t="shared" si="71"/>
        <v>0</v>
      </c>
      <c r="U462" s="859"/>
      <c r="V462" s="863"/>
      <c r="W462" s="859"/>
      <c r="X462" s="859"/>
      <c r="Y462" s="755">
        <f t="shared" si="67"/>
        <v>0</v>
      </c>
      <c r="Z462" s="864"/>
      <c r="AA462" s="863"/>
      <c r="AB462" s="756">
        <f t="shared" si="68"/>
        <v>0</v>
      </c>
      <c r="AC462" s="859"/>
      <c r="AD462" s="863"/>
      <c r="AE462" s="859"/>
      <c r="AF462" s="859"/>
      <c r="AG462" s="864"/>
      <c r="AH462" s="865"/>
      <c r="AI462" s="757">
        <f t="shared" si="72"/>
        <v>0</v>
      </c>
      <c r="AJ462" s="758">
        <f t="shared" si="73"/>
        <v>0</v>
      </c>
    </row>
    <row r="463" spans="1:36" x14ac:dyDescent="0.2">
      <c r="A463" s="904" t="s">
        <v>143</v>
      </c>
      <c r="B463" s="899" t="s">
        <v>292</v>
      </c>
      <c r="C463" s="922" t="s">
        <v>34</v>
      </c>
      <c r="D463" s="916"/>
      <c r="E463" s="902"/>
      <c r="F463" s="903"/>
      <c r="G463" s="859"/>
      <c r="H463" s="860"/>
      <c r="I463" s="861"/>
      <c r="J463" s="862"/>
      <c r="K463" s="859"/>
      <c r="L463" s="863"/>
      <c r="M463" s="861"/>
      <c r="N463" s="859"/>
      <c r="O463" s="752">
        <f t="shared" si="66"/>
        <v>0</v>
      </c>
      <c r="P463" s="864"/>
      <c r="Q463" s="860"/>
      <c r="R463" s="753">
        <f t="shared" si="69"/>
        <v>0</v>
      </c>
      <c r="S463" s="752">
        <f t="shared" si="70"/>
        <v>0</v>
      </c>
      <c r="T463" s="754">
        <f t="shared" si="71"/>
        <v>0</v>
      </c>
      <c r="U463" s="859"/>
      <c r="V463" s="863"/>
      <c r="W463" s="859"/>
      <c r="X463" s="859"/>
      <c r="Y463" s="755">
        <f t="shared" si="67"/>
        <v>0</v>
      </c>
      <c r="Z463" s="864"/>
      <c r="AA463" s="863"/>
      <c r="AB463" s="756">
        <f t="shared" si="68"/>
        <v>0</v>
      </c>
      <c r="AC463" s="859"/>
      <c r="AD463" s="863"/>
      <c r="AE463" s="859"/>
      <c r="AF463" s="859"/>
      <c r="AG463" s="864"/>
      <c r="AH463" s="865"/>
      <c r="AI463" s="757">
        <f t="shared" si="72"/>
        <v>0</v>
      </c>
      <c r="AJ463" s="758">
        <f t="shared" si="73"/>
        <v>0</v>
      </c>
    </row>
    <row r="464" spans="1:36" x14ac:dyDescent="0.2">
      <c r="A464" s="904" t="s">
        <v>143</v>
      </c>
      <c r="B464" s="899" t="s">
        <v>292</v>
      </c>
      <c r="C464" s="923" t="s">
        <v>662</v>
      </c>
      <c r="D464" s="906"/>
      <c r="E464" s="902"/>
      <c r="F464" s="903"/>
      <c r="G464" s="859"/>
      <c r="H464" s="860"/>
      <c r="I464" s="861"/>
      <c r="J464" s="862"/>
      <c r="K464" s="859"/>
      <c r="L464" s="863"/>
      <c r="M464" s="861"/>
      <c r="N464" s="859"/>
      <c r="O464" s="752">
        <f t="shared" si="66"/>
        <v>0</v>
      </c>
      <c r="P464" s="864"/>
      <c r="Q464" s="860"/>
      <c r="R464" s="753">
        <f t="shared" si="69"/>
        <v>0</v>
      </c>
      <c r="S464" s="752">
        <f t="shared" si="70"/>
        <v>0</v>
      </c>
      <c r="T464" s="754">
        <f t="shared" si="71"/>
        <v>0</v>
      </c>
      <c r="U464" s="859"/>
      <c r="V464" s="863"/>
      <c r="W464" s="859"/>
      <c r="X464" s="859"/>
      <c r="Y464" s="755">
        <f t="shared" si="67"/>
        <v>0</v>
      </c>
      <c r="Z464" s="864"/>
      <c r="AA464" s="863"/>
      <c r="AB464" s="756">
        <f t="shared" si="68"/>
        <v>0</v>
      </c>
      <c r="AC464" s="859"/>
      <c r="AD464" s="863"/>
      <c r="AE464" s="859"/>
      <c r="AF464" s="859"/>
      <c r="AG464" s="864"/>
      <c r="AH464" s="865"/>
      <c r="AI464" s="757">
        <f t="shared" si="72"/>
        <v>0</v>
      </c>
      <c r="AJ464" s="758">
        <f t="shared" si="73"/>
        <v>0</v>
      </c>
    </row>
    <row r="465" spans="1:36" x14ac:dyDescent="0.2">
      <c r="A465" s="904" t="s">
        <v>143</v>
      </c>
      <c r="B465" s="924" t="s">
        <v>209</v>
      </c>
      <c r="C465" s="925" t="s">
        <v>576</v>
      </c>
      <c r="D465" s="926"/>
      <c r="E465" s="902"/>
      <c r="F465" s="903"/>
      <c r="G465" s="859"/>
      <c r="H465" s="860"/>
      <c r="I465" s="861"/>
      <c r="J465" s="862"/>
      <c r="K465" s="859"/>
      <c r="L465" s="863"/>
      <c r="M465" s="861"/>
      <c r="N465" s="859"/>
      <c r="O465" s="752">
        <f t="shared" si="66"/>
        <v>0</v>
      </c>
      <c r="P465" s="864"/>
      <c r="Q465" s="860"/>
      <c r="R465" s="753">
        <f t="shared" si="69"/>
        <v>0</v>
      </c>
      <c r="S465" s="752">
        <f t="shared" si="70"/>
        <v>0</v>
      </c>
      <c r="T465" s="754">
        <f t="shared" si="71"/>
        <v>0</v>
      </c>
      <c r="U465" s="859"/>
      <c r="V465" s="863"/>
      <c r="W465" s="859"/>
      <c r="X465" s="859"/>
      <c r="Y465" s="755">
        <f t="shared" si="67"/>
        <v>0</v>
      </c>
      <c r="Z465" s="864"/>
      <c r="AA465" s="863"/>
      <c r="AB465" s="756">
        <f t="shared" si="68"/>
        <v>0</v>
      </c>
      <c r="AC465" s="859"/>
      <c r="AD465" s="863"/>
      <c r="AE465" s="859"/>
      <c r="AF465" s="859"/>
      <c r="AG465" s="864"/>
      <c r="AH465" s="865"/>
      <c r="AI465" s="757">
        <f t="shared" si="72"/>
        <v>0</v>
      </c>
      <c r="AJ465" s="758">
        <f t="shared" si="73"/>
        <v>0</v>
      </c>
    </row>
    <row r="466" spans="1:36" x14ac:dyDescent="0.2">
      <c r="A466" s="904" t="s">
        <v>143</v>
      </c>
      <c r="B466" s="924" t="s">
        <v>210</v>
      </c>
      <c r="C466" s="925" t="s">
        <v>311</v>
      </c>
      <c r="D466" s="926"/>
      <c r="E466" s="902"/>
      <c r="F466" s="903"/>
      <c r="G466" s="859"/>
      <c r="H466" s="860"/>
      <c r="I466" s="861"/>
      <c r="J466" s="862"/>
      <c r="K466" s="859"/>
      <c r="L466" s="863"/>
      <c r="M466" s="861"/>
      <c r="N466" s="859"/>
      <c r="O466" s="752">
        <f t="shared" si="66"/>
        <v>0</v>
      </c>
      <c r="P466" s="864"/>
      <c r="Q466" s="860"/>
      <c r="R466" s="753">
        <f t="shared" si="69"/>
        <v>0</v>
      </c>
      <c r="S466" s="752">
        <f t="shared" si="70"/>
        <v>0</v>
      </c>
      <c r="T466" s="754">
        <f t="shared" si="71"/>
        <v>0</v>
      </c>
      <c r="U466" s="859"/>
      <c r="V466" s="863"/>
      <c r="W466" s="859"/>
      <c r="X466" s="859"/>
      <c r="Y466" s="755">
        <f t="shared" si="67"/>
        <v>0</v>
      </c>
      <c r="Z466" s="864"/>
      <c r="AA466" s="863"/>
      <c r="AB466" s="756">
        <f t="shared" si="68"/>
        <v>0</v>
      </c>
      <c r="AC466" s="859"/>
      <c r="AD466" s="863"/>
      <c r="AE466" s="859"/>
      <c r="AF466" s="859"/>
      <c r="AG466" s="864"/>
      <c r="AH466" s="865"/>
      <c r="AI466" s="757">
        <f t="shared" si="72"/>
        <v>0</v>
      </c>
      <c r="AJ466" s="758">
        <f t="shared" si="73"/>
        <v>0</v>
      </c>
    </row>
    <row r="467" spans="1:36" x14ac:dyDescent="0.2">
      <c r="A467" s="904" t="s">
        <v>143</v>
      </c>
      <c r="B467" s="924" t="s">
        <v>204</v>
      </c>
      <c r="C467" s="925" t="s">
        <v>249</v>
      </c>
      <c r="D467" s="926"/>
      <c r="E467" s="902"/>
      <c r="F467" s="903"/>
      <c r="G467" s="859"/>
      <c r="H467" s="860"/>
      <c r="I467" s="861"/>
      <c r="J467" s="862"/>
      <c r="K467" s="859"/>
      <c r="L467" s="863"/>
      <c r="M467" s="861"/>
      <c r="N467" s="859"/>
      <c r="O467" s="752">
        <f t="shared" si="66"/>
        <v>0</v>
      </c>
      <c r="P467" s="864"/>
      <c r="Q467" s="860"/>
      <c r="R467" s="753">
        <f t="shared" si="69"/>
        <v>0</v>
      </c>
      <c r="S467" s="752">
        <f t="shared" si="70"/>
        <v>0</v>
      </c>
      <c r="T467" s="754">
        <f t="shared" si="71"/>
        <v>0</v>
      </c>
      <c r="U467" s="859">
        <v>8220000</v>
      </c>
      <c r="V467" s="1101">
        <v>8552693</v>
      </c>
      <c r="W467" s="859"/>
      <c r="X467" s="859"/>
      <c r="Y467" s="755">
        <f t="shared" si="67"/>
        <v>0</v>
      </c>
      <c r="Z467" s="864"/>
      <c r="AA467" s="863"/>
      <c r="AB467" s="756">
        <f t="shared" si="68"/>
        <v>0</v>
      </c>
      <c r="AC467" s="859"/>
      <c r="AD467" s="863"/>
      <c r="AE467" s="859"/>
      <c r="AF467" s="859"/>
      <c r="AG467" s="864"/>
      <c r="AH467" s="865"/>
      <c r="AI467" s="757">
        <f t="shared" si="72"/>
        <v>8220000</v>
      </c>
      <c r="AJ467" s="758">
        <f t="shared" si="73"/>
        <v>8552693</v>
      </c>
    </row>
    <row r="468" spans="1:36" x14ac:dyDescent="0.2">
      <c r="A468" s="904" t="s">
        <v>143</v>
      </c>
      <c r="B468" s="924" t="s">
        <v>205</v>
      </c>
      <c r="C468" s="925" t="s">
        <v>577</v>
      </c>
      <c r="D468" s="926"/>
      <c r="E468" s="902"/>
      <c r="F468" s="903"/>
      <c r="G468" s="859"/>
      <c r="H468" s="860"/>
      <c r="I468" s="861"/>
      <c r="J468" s="862"/>
      <c r="K468" s="859"/>
      <c r="L468" s="863"/>
      <c r="M468" s="861"/>
      <c r="N468" s="859"/>
      <c r="O468" s="752">
        <f t="shared" si="66"/>
        <v>0</v>
      </c>
      <c r="P468" s="864"/>
      <c r="Q468" s="860"/>
      <c r="R468" s="753">
        <f t="shared" si="69"/>
        <v>0</v>
      </c>
      <c r="S468" s="752">
        <f t="shared" si="70"/>
        <v>0</v>
      </c>
      <c r="T468" s="754">
        <f t="shared" si="71"/>
        <v>0</v>
      </c>
      <c r="U468" s="859"/>
      <c r="V468" s="863"/>
      <c r="W468" s="859"/>
      <c r="X468" s="859"/>
      <c r="Y468" s="755">
        <f t="shared" si="67"/>
        <v>0</v>
      </c>
      <c r="Z468" s="864"/>
      <c r="AA468" s="863"/>
      <c r="AB468" s="756">
        <f t="shared" si="68"/>
        <v>0</v>
      </c>
      <c r="AC468" s="859"/>
      <c r="AD468" s="863"/>
      <c r="AE468" s="859"/>
      <c r="AF468" s="859"/>
      <c r="AG468" s="864"/>
      <c r="AH468" s="865"/>
      <c r="AI468" s="757">
        <f t="shared" si="72"/>
        <v>0</v>
      </c>
      <c r="AJ468" s="758">
        <f t="shared" si="73"/>
        <v>0</v>
      </c>
    </row>
    <row r="469" spans="1:36" x14ac:dyDescent="0.2">
      <c r="A469" s="904" t="s">
        <v>143</v>
      </c>
      <c r="B469" s="924" t="s">
        <v>218</v>
      </c>
      <c r="C469" s="925" t="s">
        <v>311</v>
      </c>
      <c r="D469" s="926"/>
      <c r="E469" s="902"/>
      <c r="F469" s="903"/>
      <c r="G469" s="859"/>
      <c r="H469" s="860"/>
      <c r="I469" s="861"/>
      <c r="J469" s="862"/>
      <c r="K469" s="859"/>
      <c r="L469" s="863"/>
      <c r="M469" s="861"/>
      <c r="N469" s="859"/>
      <c r="O469" s="752">
        <f t="shared" si="66"/>
        <v>0</v>
      </c>
      <c r="P469" s="864"/>
      <c r="Q469" s="860"/>
      <c r="R469" s="753">
        <f t="shared" si="69"/>
        <v>0</v>
      </c>
      <c r="S469" s="752">
        <f t="shared" si="70"/>
        <v>0</v>
      </c>
      <c r="T469" s="754">
        <f t="shared" si="71"/>
        <v>0</v>
      </c>
      <c r="U469" s="859"/>
      <c r="V469" s="863"/>
      <c r="W469" s="859"/>
      <c r="X469" s="859"/>
      <c r="Y469" s="755">
        <f t="shared" si="67"/>
        <v>0</v>
      </c>
      <c r="Z469" s="864"/>
      <c r="AA469" s="863"/>
      <c r="AB469" s="756">
        <f t="shared" si="68"/>
        <v>0</v>
      </c>
      <c r="AC469" s="859"/>
      <c r="AD469" s="863"/>
      <c r="AE469" s="859"/>
      <c r="AF469" s="859"/>
      <c r="AG469" s="864"/>
      <c r="AH469" s="865"/>
      <c r="AI469" s="757">
        <f t="shared" si="72"/>
        <v>0</v>
      </c>
      <c r="AJ469" s="758">
        <f t="shared" si="73"/>
        <v>0</v>
      </c>
    </row>
    <row r="470" spans="1:36" x14ac:dyDescent="0.2">
      <c r="A470" s="904" t="s">
        <v>143</v>
      </c>
      <c r="B470" s="924" t="s">
        <v>219</v>
      </c>
      <c r="C470" s="925" t="s">
        <v>249</v>
      </c>
      <c r="D470" s="926"/>
      <c r="E470" s="902"/>
      <c r="F470" s="903"/>
      <c r="G470" s="859"/>
      <c r="H470" s="860"/>
      <c r="I470" s="861"/>
      <c r="J470" s="862"/>
      <c r="K470" s="859"/>
      <c r="L470" s="863"/>
      <c r="M470" s="861"/>
      <c r="N470" s="859"/>
      <c r="O470" s="752">
        <f t="shared" si="66"/>
        <v>0</v>
      </c>
      <c r="P470" s="864"/>
      <c r="Q470" s="860"/>
      <c r="R470" s="753">
        <f t="shared" si="69"/>
        <v>0</v>
      </c>
      <c r="S470" s="752">
        <f t="shared" si="70"/>
        <v>0</v>
      </c>
      <c r="T470" s="754">
        <f t="shared" si="71"/>
        <v>0</v>
      </c>
      <c r="U470" s="859">
        <v>3820000</v>
      </c>
      <c r="V470" s="1101">
        <v>3888116</v>
      </c>
      <c r="W470" s="859"/>
      <c r="X470" s="859"/>
      <c r="Y470" s="755">
        <f t="shared" si="67"/>
        <v>0</v>
      </c>
      <c r="Z470" s="864"/>
      <c r="AA470" s="863"/>
      <c r="AB470" s="756">
        <f t="shared" si="68"/>
        <v>0</v>
      </c>
      <c r="AC470" s="859"/>
      <c r="AD470" s="863"/>
      <c r="AE470" s="859"/>
      <c r="AF470" s="859"/>
      <c r="AG470" s="864"/>
      <c r="AH470" s="865"/>
      <c r="AI470" s="757">
        <f t="shared" si="72"/>
        <v>3820000</v>
      </c>
      <c r="AJ470" s="758">
        <f t="shared" si="73"/>
        <v>3888116</v>
      </c>
    </row>
    <row r="471" spans="1:36" x14ac:dyDescent="0.2">
      <c r="A471" s="904" t="s">
        <v>143</v>
      </c>
      <c r="B471" s="899" t="s">
        <v>292</v>
      </c>
      <c r="C471" s="923" t="s">
        <v>663</v>
      </c>
      <c r="D471" s="906"/>
      <c r="E471" s="902"/>
      <c r="F471" s="903"/>
      <c r="G471" s="859"/>
      <c r="H471" s="860"/>
      <c r="I471" s="861"/>
      <c r="J471" s="862"/>
      <c r="K471" s="859"/>
      <c r="L471" s="863"/>
      <c r="M471" s="861"/>
      <c r="N471" s="859"/>
      <c r="O471" s="752">
        <f t="shared" si="66"/>
        <v>0</v>
      </c>
      <c r="P471" s="864"/>
      <c r="Q471" s="860"/>
      <c r="R471" s="753">
        <f t="shared" si="69"/>
        <v>0</v>
      </c>
      <c r="S471" s="752">
        <f t="shared" si="70"/>
        <v>0</v>
      </c>
      <c r="T471" s="754">
        <f t="shared" si="71"/>
        <v>0</v>
      </c>
      <c r="U471" s="859"/>
      <c r="V471" s="863"/>
      <c r="W471" s="859"/>
      <c r="X471" s="859"/>
      <c r="Y471" s="755">
        <f t="shared" si="67"/>
        <v>0</v>
      </c>
      <c r="Z471" s="864"/>
      <c r="AA471" s="863"/>
      <c r="AB471" s="756">
        <f t="shared" si="68"/>
        <v>0</v>
      </c>
      <c r="AC471" s="859"/>
      <c r="AD471" s="863"/>
      <c r="AE471" s="859"/>
      <c r="AF471" s="859"/>
      <c r="AG471" s="864"/>
      <c r="AH471" s="865"/>
      <c r="AI471" s="757">
        <f t="shared" si="72"/>
        <v>0</v>
      </c>
      <c r="AJ471" s="758">
        <f t="shared" si="73"/>
        <v>0</v>
      </c>
    </row>
    <row r="472" spans="1:36" x14ac:dyDescent="0.2">
      <c r="A472" s="904" t="s">
        <v>143</v>
      </c>
      <c r="B472" s="924" t="s">
        <v>209</v>
      </c>
      <c r="C472" s="925" t="s">
        <v>576</v>
      </c>
      <c r="D472" s="926"/>
      <c r="E472" s="902"/>
      <c r="F472" s="903"/>
      <c r="G472" s="859"/>
      <c r="H472" s="860"/>
      <c r="I472" s="861"/>
      <c r="J472" s="862"/>
      <c r="K472" s="859"/>
      <c r="L472" s="863"/>
      <c r="M472" s="861"/>
      <c r="N472" s="859"/>
      <c r="O472" s="752">
        <f t="shared" si="66"/>
        <v>0</v>
      </c>
      <c r="P472" s="864"/>
      <c r="Q472" s="860"/>
      <c r="R472" s="753">
        <f t="shared" si="69"/>
        <v>0</v>
      </c>
      <c r="S472" s="752">
        <f t="shared" si="70"/>
        <v>0</v>
      </c>
      <c r="T472" s="754">
        <f t="shared" si="71"/>
        <v>0</v>
      </c>
      <c r="U472" s="859"/>
      <c r="V472" s="863"/>
      <c r="W472" s="859"/>
      <c r="X472" s="859"/>
      <c r="Y472" s="755">
        <f t="shared" si="67"/>
        <v>0</v>
      </c>
      <c r="Z472" s="864"/>
      <c r="AA472" s="863"/>
      <c r="AB472" s="756">
        <f t="shared" si="68"/>
        <v>0</v>
      </c>
      <c r="AC472" s="859"/>
      <c r="AD472" s="863"/>
      <c r="AE472" s="859"/>
      <c r="AF472" s="859"/>
      <c r="AG472" s="864"/>
      <c r="AH472" s="865"/>
      <c r="AI472" s="757">
        <f t="shared" si="72"/>
        <v>0</v>
      </c>
      <c r="AJ472" s="758">
        <f t="shared" si="73"/>
        <v>0</v>
      </c>
    </row>
    <row r="473" spans="1:36" x14ac:dyDescent="0.2">
      <c r="A473" s="904" t="s">
        <v>143</v>
      </c>
      <c r="B473" s="924" t="s">
        <v>210</v>
      </c>
      <c r="C473" s="925" t="s">
        <v>311</v>
      </c>
      <c r="D473" s="926"/>
      <c r="E473" s="902"/>
      <c r="F473" s="903"/>
      <c r="G473" s="859"/>
      <c r="H473" s="860"/>
      <c r="I473" s="861"/>
      <c r="J473" s="862"/>
      <c r="K473" s="859"/>
      <c r="L473" s="863"/>
      <c r="M473" s="861"/>
      <c r="N473" s="859"/>
      <c r="O473" s="752">
        <f t="shared" si="66"/>
        <v>0</v>
      </c>
      <c r="P473" s="864"/>
      <c r="Q473" s="860"/>
      <c r="R473" s="753">
        <f t="shared" si="69"/>
        <v>0</v>
      </c>
      <c r="S473" s="752">
        <f t="shared" si="70"/>
        <v>0</v>
      </c>
      <c r="T473" s="754">
        <f t="shared" si="71"/>
        <v>0</v>
      </c>
      <c r="U473" s="859"/>
      <c r="V473" s="863"/>
      <c r="W473" s="859"/>
      <c r="X473" s="859"/>
      <c r="Y473" s="755">
        <f t="shared" si="67"/>
        <v>0</v>
      </c>
      <c r="Z473" s="864"/>
      <c r="AA473" s="863"/>
      <c r="AB473" s="756">
        <f t="shared" si="68"/>
        <v>0</v>
      </c>
      <c r="AC473" s="859"/>
      <c r="AD473" s="863"/>
      <c r="AE473" s="859"/>
      <c r="AF473" s="859"/>
      <c r="AG473" s="864"/>
      <c r="AH473" s="865"/>
      <c r="AI473" s="757">
        <f t="shared" si="72"/>
        <v>0</v>
      </c>
      <c r="AJ473" s="758">
        <f t="shared" si="73"/>
        <v>0</v>
      </c>
    </row>
    <row r="474" spans="1:36" x14ac:dyDescent="0.2">
      <c r="A474" s="904" t="s">
        <v>143</v>
      </c>
      <c r="B474" s="924" t="s">
        <v>204</v>
      </c>
      <c r="C474" s="925" t="s">
        <v>249</v>
      </c>
      <c r="D474" s="926"/>
      <c r="E474" s="902"/>
      <c r="F474" s="903"/>
      <c r="G474" s="859"/>
      <c r="H474" s="860"/>
      <c r="I474" s="861"/>
      <c r="J474" s="862"/>
      <c r="K474" s="859"/>
      <c r="L474" s="863"/>
      <c r="M474" s="861"/>
      <c r="N474" s="859"/>
      <c r="O474" s="752">
        <f t="shared" si="66"/>
        <v>0</v>
      </c>
      <c r="P474" s="864"/>
      <c r="Q474" s="860"/>
      <c r="R474" s="753">
        <f t="shared" si="69"/>
        <v>0</v>
      </c>
      <c r="S474" s="752">
        <f t="shared" si="70"/>
        <v>0</v>
      </c>
      <c r="T474" s="754">
        <f t="shared" si="71"/>
        <v>0</v>
      </c>
      <c r="U474" s="859">
        <v>119500000</v>
      </c>
      <c r="V474" s="1101">
        <v>100877833</v>
      </c>
      <c r="W474" s="859"/>
      <c r="X474" s="859"/>
      <c r="Y474" s="755">
        <f t="shared" si="67"/>
        <v>0</v>
      </c>
      <c r="Z474" s="864"/>
      <c r="AA474" s="863"/>
      <c r="AB474" s="756">
        <f t="shared" si="68"/>
        <v>0</v>
      </c>
      <c r="AC474" s="859"/>
      <c r="AD474" s="863"/>
      <c r="AE474" s="859"/>
      <c r="AF474" s="859"/>
      <c r="AG474" s="864"/>
      <c r="AH474" s="865"/>
      <c r="AI474" s="757">
        <f t="shared" si="72"/>
        <v>119500000</v>
      </c>
      <c r="AJ474" s="758">
        <f t="shared" si="73"/>
        <v>100877833</v>
      </c>
    </row>
    <row r="475" spans="1:36" x14ac:dyDescent="0.2">
      <c r="A475" s="904" t="s">
        <v>143</v>
      </c>
      <c r="B475" s="924" t="s">
        <v>205</v>
      </c>
      <c r="C475" s="925" t="s">
        <v>577</v>
      </c>
      <c r="D475" s="926"/>
      <c r="E475" s="902"/>
      <c r="F475" s="903"/>
      <c r="G475" s="859"/>
      <c r="H475" s="860"/>
      <c r="I475" s="861"/>
      <c r="J475" s="862"/>
      <c r="K475" s="859"/>
      <c r="L475" s="863"/>
      <c r="M475" s="861"/>
      <c r="N475" s="859"/>
      <c r="O475" s="752">
        <f t="shared" si="66"/>
        <v>0</v>
      </c>
      <c r="P475" s="864"/>
      <c r="Q475" s="860"/>
      <c r="R475" s="753">
        <f t="shared" si="69"/>
        <v>0</v>
      </c>
      <c r="S475" s="752">
        <f t="shared" si="70"/>
        <v>0</v>
      </c>
      <c r="T475" s="754">
        <f t="shared" si="71"/>
        <v>0</v>
      </c>
      <c r="U475" s="859"/>
      <c r="V475" s="863"/>
      <c r="W475" s="859"/>
      <c r="X475" s="859"/>
      <c r="Y475" s="755">
        <f t="shared" si="67"/>
        <v>0</v>
      </c>
      <c r="Z475" s="864"/>
      <c r="AA475" s="863"/>
      <c r="AB475" s="756">
        <f t="shared" si="68"/>
        <v>0</v>
      </c>
      <c r="AC475" s="859"/>
      <c r="AD475" s="863"/>
      <c r="AE475" s="859"/>
      <c r="AF475" s="859"/>
      <c r="AG475" s="864"/>
      <c r="AH475" s="865"/>
      <c r="AI475" s="757">
        <f t="shared" si="72"/>
        <v>0</v>
      </c>
      <c r="AJ475" s="758">
        <f t="shared" si="73"/>
        <v>0</v>
      </c>
    </row>
    <row r="476" spans="1:36" x14ac:dyDescent="0.2">
      <c r="A476" s="904" t="s">
        <v>143</v>
      </c>
      <c r="B476" s="924" t="s">
        <v>218</v>
      </c>
      <c r="C476" s="925" t="s">
        <v>311</v>
      </c>
      <c r="D476" s="926"/>
      <c r="E476" s="902"/>
      <c r="F476" s="903"/>
      <c r="G476" s="859"/>
      <c r="H476" s="860"/>
      <c r="I476" s="861"/>
      <c r="J476" s="862"/>
      <c r="K476" s="859"/>
      <c r="L476" s="863"/>
      <c r="M476" s="861"/>
      <c r="N476" s="859"/>
      <c r="O476" s="752">
        <f t="shared" si="66"/>
        <v>0</v>
      </c>
      <c r="P476" s="864"/>
      <c r="Q476" s="860"/>
      <c r="R476" s="753">
        <f t="shared" si="69"/>
        <v>0</v>
      </c>
      <c r="S476" s="752">
        <f t="shared" si="70"/>
        <v>0</v>
      </c>
      <c r="T476" s="754">
        <f t="shared" si="71"/>
        <v>0</v>
      </c>
      <c r="U476" s="859"/>
      <c r="V476" s="863"/>
      <c r="W476" s="859"/>
      <c r="X476" s="859"/>
      <c r="Y476" s="755">
        <f t="shared" si="67"/>
        <v>0</v>
      </c>
      <c r="Z476" s="864"/>
      <c r="AA476" s="863"/>
      <c r="AB476" s="756">
        <f t="shared" si="68"/>
        <v>0</v>
      </c>
      <c r="AC476" s="859"/>
      <c r="AD476" s="863"/>
      <c r="AE476" s="859"/>
      <c r="AF476" s="859"/>
      <c r="AG476" s="864"/>
      <c r="AH476" s="865"/>
      <c r="AI476" s="757">
        <f t="shared" si="72"/>
        <v>0</v>
      </c>
      <c r="AJ476" s="758">
        <f t="shared" si="73"/>
        <v>0</v>
      </c>
    </row>
    <row r="477" spans="1:36" x14ac:dyDescent="0.2">
      <c r="A477" s="904" t="s">
        <v>143</v>
      </c>
      <c r="B477" s="924" t="s">
        <v>219</v>
      </c>
      <c r="C477" s="925" t="s">
        <v>249</v>
      </c>
      <c r="D477" s="926"/>
      <c r="E477" s="902"/>
      <c r="F477" s="903"/>
      <c r="G477" s="859"/>
      <c r="H477" s="860"/>
      <c r="I477" s="861"/>
      <c r="J477" s="862"/>
      <c r="K477" s="859"/>
      <c r="L477" s="863"/>
      <c r="M477" s="861"/>
      <c r="N477" s="859"/>
      <c r="O477" s="752">
        <f t="shared" si="66"/>
        <v>0</v>
      </c>
      <c r="P477" s="864"/>
      <c r="Q477" s="860"/>
      <c r="R477" s="753">
        <f t="shared" si="69"/>
        <v>0</v>
      </c>
      <c r="S477" s="752">
        <f t="shared" si="70"/>
        <v>0</v>
      </c>
      <c r="T477" s="754">
        <f t="shared" si="71"/>
        <v>0</v>
      </c>
      <c r="U477" s="859">
        <v>14500000</v>
      </c>
      <c r="V477" s="1101">
        <v>11897869</v>
      </c>
      <c r="W477" s="859"/>
      <c r="X477" s="859"/>
      <c r="Y477" s="755">
        <f t="shared" si="67"/>
        <v>0</v>
      </c>
      <c r="Z477" s="864"/>
      <c r="AA477" s="863"/>
      <c r="AB477" s="756">
        <f t="shared" si="68"/>
        <v>0</v>
      </c>
      <c r="AC477" s="859"/>
      <c r="AD477" s="863"/>
      <c r="AE477" s="859"/>
      <c r="AF477" s="859"/>
      <c r="AG477" s="864"/>
      <c r="AH477" s="865"/>
      <c r="AI477" s="757">
        <f t="shared" si="72"/>
        <v>14500000</v>
      </c>
      <c r="AJ477" s="758">
        <f t="shared" si="73"/>
        <v>11897869</v>
      </c>
    </row>
    <row r="478" spans="1:36" x14ac:dyDescent="0.2">
      <c r="A478" s="904" t="s">
        <v>143</v>
      </c>
      <c r="B478" s="899" t="s">
        <v>292</v>
      </c>
      <c r="C478" s="927" t="s">
        <v>664</v>
      </c>
      <c r="D478" s="926"/>
      <c r="E478" s="902"/>
      <c r="F478" s="903"/>
      <c r="G478" s="859"/>
      <c r="H478" s="860"/>
      <c r="I478" s="861"/>
      <c r="J478" s="862"/>
      <c r="K478" s="859"/>
      <c r="L478" s="863"/>
      <c r="M478" s="861"/>
      <c r="N478" s="859"/>
      <c r="O478" s="752">
        <f t="shared" si="66"/>
        <v>0</v>
      </c>
      <c r="P478" s="864"/>
      <c r="Q478" s="860"/>
      <c r="R478" s="753">
        <f t="shared" si="69"/>
        <v>0</v>
      </c>
      <c r="S478" s="752">
        <f t="shared" si="70"/>
        <v>0</v>
      </c>
      <c r="T478" s="754">
        <f t="shared" si="71"/>
        <v>0</v>
      </c>
      <c r="U478" s="859"/>
      <c r="V478" s="863"/>
      <c r="W478" s="859"/>
      <c r="X478" s="859"/>
      <c r="Y478" s="755">
        <f t="shared" si="67"/>
        <v>0</v>
      </c>
      <c r="Z478" s="864"/>
      <c r="AA478" s="863"/>
      <c r="AB478" s="756">
        <f t="shared" si="68"/>
        <v>0</v>
      </c>
      <c r="AC478" s="859"/>
      <c r="AD478" s="863"/>
      <c r="AE478" s="859"/>
      <c r="AF478" s="859"/>
      <c r="AG478" s="864"/>
      <c r="AH478" s="865"/>
      <c r="AI478" s="757">
        <f t="shared" si="72"/>
        <v>0</v>
      </c>
      <c r="AJ478" s="758">
        <f t="shared" si="73"/>
        <v>0</v>
      </c>
    </row>
    <row r="479" spans="1:36" x14ac:dyDescent="0.2">
      <c r="A479" s="904" t="s">
        <v>143</v>
      </c>
      <c r="B479" s="924" t="s">
        <v>209</v>
      </c>
      <c r="C479" s="925" t="s">
        <v>576</v>
      </c>
      <c r="D479" s="926"/>
      <c r="E479" s="902"/>
      <c r="F479" s="903"/>
      <c r="G479" s="859"/>
      <c r="H479" s="860"/>
      <c r="I479" s="861"/>
      <c r="J479" s="862"/>
      <c r="K479" s="859"/>
      <c r="L479" s="863"/>
      <c r="M479" s="861"/>
      <c r="N479" s="859"/>
      <c r="O479" s="752">
        <f t="shared" si="66"/>
        <v>0</v>
      </c>
      <c r="P479" s="864"/>
      <c r="Q479" s="860"/>
      <c r="R479" s="753">
        <f t="shared" si="69"/>
        <v>0</v>
      </c>
      <c r="S479" s="752">
        <f t="shared" si="70"/>
        <v>0</v>
      </c>
      <c r="T479" s="754">
        <f t="shared" si="71"/>
        <v>0</v>
      </c>
      <c r="U479" s="859"/>
      <c r="V479" s="863"/>
      <c r="W479" s="859"/>
      <c r="X479" s="859"/>
      <c r="Y479" s="755">
        <f t="shared" si="67"/>
        <v>0</v>
      </c>
      <c r="Z479" s="864"/>
      <c r="AA479" s="863"/>
      <c r="AB479" s="756">
        <f t="shared" si="68"/>
        <v>0</v>
      </c>
      <c r="AC479" s="859"/>
      <c r="AD479" s="863"/>
      <c r="AE479" s="859"/>
      <c r="AF479" s="859"/>
      <c r="AG479" s="864"/>
      <c r="AH479" s="865"/>
      <c r="AI479" s="757">
        <f t="shared" si="72"/>
        <v>0</v>
      </c>
      <c r="AJ479" s="758">
        <f t="shared" si="73"/>
        <v>0</v>
      </c>
    </row>
    <row r="480" spans="1:36" x14ac:dyDescent="0.2">
      <c r="A480" s="904" t="s">
        <v>143</v>
      </c>
      <c r="B480" s="924" t="s">
        <v>210</v>
      </c>
      <c r="C480" s="925" t="s">
        <v>311</v>
      </c>
      <c r="D480" s="926"/>
      <c r="E480" s="902"/>
      <c r="F480" s="903"/>
      <c r="G480" s="859"/>
      <c r="H480" s="860"/>
      <c r="I480" s="861"/>
      <c r="J480" s="862"/>
      <c r="K480" s="859"/>
      <c r="L480" s="863"/>
      <c r="M480" s="861"/>
      <c r="N480" s="859"/>
      <c r="O480" s="752">
        <f t="shared" si="66"/>
        <v>0</v>
      </c>
      <c r="P480" s="864"/>
      <c r="Q480" s="860"/>
      <c r="R480" s="753">
        <f t="shared" si="69"/>
        <v>0</v>
      </c>
      <c r="S480" s="752">
        <f t="shared" si="70"/>
        <v>0</v>
      </c>
      <c r="T480" s="754">
        <f t="shared" si="71"/>
        <v>0</v>
      </c>
      <c r="U480" s="867">
        <v>5752824</v>
      </c>
      <c r="V480" s="1101">
        <v>4933211</v>
      </c>
      <c r="W480" s="859"/>
      <c r="X480" s="859"/>
      <c r="Y480" s="755">
        <f t="shared" si="67"/>
        <v>0</v>
      </c>
      <c r="Z480" s="864"/>
      <c r="AA480" s="863"/>
      <c r="AB480" s="756">
        <f t="shared" si="68"/>
        <v>0</v>
      </c>
      <c r="AC480" s="859"/>
      <c r="AD480" s="863"/>
      <c r="AE480" s="859"/>
      <c r="AF480" s="859"/>
      <c r="AG480" s="864"/>
      <c r="AH480" s="865"/>
      <c r="AI480" s="757">
        <f t="shared" si="72"/>
        <v>5752824</v>
      </c>
      <c r="AJ480" s="758">
        <f t="shared" si="73"/>
        <v>4933211</v>
      </c>
    </row>
    <row r="481" spans="1:36" x14ac:dyDescent="0.2">
      <c r="A481" s="904" t="s">
        <v>143</v>
      </c>
      <c r="B481" s="924" t="s">
        <v>204</v>
      </c>
      <c r="C481" s="925" t="s">
        <v>249</v>
      </c>
      <c r="D481" s="926"/>
      <c r="E481" s="902"/>
      <c r="F481" s="903"/>
      <c r="G481" s="859"/>
      <c r="H481" s="860"/>
      <c r="I481" s="861"/>
      <c r="J481" s="862"/>
      <c r="K481" s="859"/>
      <c r="L481" s="863"/>
      <c r="M481" s="861"/>
      <c r="N481" s="859"/>
      <c r="O481" s="752">
        <f t="shared" si="66"/>
        <v>0</v>
      </c>
      <c r="P481" s="864"/>
      <c r="Q481" s="860"/>
      <c r="R481" s="753">
        <f t="shared" si="69"/>
        <v>0</v>
      </c>
      <c r="S481" s="752">
        <f t="shared" si="70"/>
        <v>0</v>
      </c>
      <c r="T481" s="754">
        <f t="shared" si="71"/>
        <v>0</v>
      </c>
      <c r="U481" s="859"/>
      <c r="V481" s="863"/>
      <c r="W481" s="859"/>
      <c r="X481" s="859"/>
      <c r="Y481" s="755">
        <f t="shared" si="67"/>
        <v>0</v>
      </c>
      <c r="Z481" s="864"/>
      <c r="AA481" s="863"/>
      <c r="AB481" s="756">
        <f t="shared" si="68"/>
        <v>0</v>
      </c>
      <c r="AC481" s="859"/>
      <c r="AD481" s="863"/>
      <c r="AE481" s="859"/>
      <c r="AF481" s="859"/>
      <c r="AG481" s="864"/>
      <c r="AH481" s="865"/>
      <c r="AI481" s="757">
        <f t="shared" si="72"/>
        <v>0</v>
      </c>
      <c r="AJ481" s="758">
        <f t="shared" si="73"/>
        <v>0</v>
      </c>
    </row>
    <row r="482" spans="1:36" x14ac:dyDescent="0.2">
      <c r="A482" s="904" t="s">
        <v>143</v>
      </c>
      <c r="B482" s="924" t="s">
        <v>205</v>
      </c>
      <c r="C482" s="925" t="s">
        <v>577</v>
      </c>
      <c r="D482" s="926"/>
      <c r="E482" s="902"/>
      <c r="F482" s="903"/>
      <c r="G482" s="859"/>
      <c r="H482" s="860"/>
      <c r="I482" s="861"/>
      <c r="J482" s="862"/>
      <c r="K482" s="859"/>
      <c r="L482" s="863"/>
      <c r="M482" s="861"/>
      <c r="N482" s="859"/>
      <c r="O482" s="752">
        <f t="shared" si="66"/>
        <v>0</v>
      </c>
      <c r="P482" s="864"/>
      <c r="Q482" s="860"/>
      <c r="R482" s="753">
        <f t="shared" si="69"/>
        <v>0</v>
      </c>
      <c r="S482" s="752">
        <f t="shared" si="70"/>
        <v>0</v>
      </c>
      <c r="T482" s="754">
        <f t="shared" si="71"/>
        <v>0</v>
      </c>
      <c r="U482" s="859"/>
      <c r="V482" s="863"/>
      <c r="W482" s="859"/>
      <c r="X482" s="859"/>
      <c r="Y482" s="755">
        <f t="shared" si="67"/>
        <v>0</v>
      </c>
      <c r="Z482" s="864"/>
      <c r="AA482" s="863"/>
      <c r="AB482" s="756">
        <f t="shared" si="68"/>
        <v>0</v>
      </c>
      <c r="AC482" s="859"/>
      <c r="AD482" s="863"/>
      <c r="AE482" s="859"/>
      <c r="AF482" s="859"/>
      <c r="AG482" s="864"/>
      <c r="AH482" s="865"/>
      <c r="AI482" s="757">
        <f t="shared" si="72"/>
        <v>0</v>
      </c>
      <c r="AJ482" s="758">
        <f t="shared" si="73"/>
        <v>0</v>
      </c>
    </row>
    <row r="483" spans="1:36" x14ac:dyDescent="0.2">
      <c r="A483" s="904" t="s">
        <v>143</v>
      </c>
      <c r="B483" s="924" t="s">
        <v>218</v>
      </c>
      <c r="C483" s="925" t="s">
        <v>311</v>
      </c>
      <c r="D483" s="926"/>
      <c r="E483" s="902"/>
      <c r="F483" s="903"/>
      <c r="G483" s="859"/>
      <c r="H483" s="860"/>
      <c r="I483" s="861"/>
      <c r="J483" s="862"/>
      <c r="K483" s="859"/>
      <c r="L483" s="863"/>
      <c r="M483" s="861"/>
      <c r="N483" s="859"/>
      <c r="O483" s="752">
        <f t="shared" si="66"/>
        <v>0</v>
      </c>
      <c r="P483" s="864"/>
      <c r="Q483" s="860"/>
      <c r="R483" s="753">
        <f t="shared" si="69"/>
        <v>0</v>
      </c>
      <c r="S483" s="752">
        <f t="shared" si="70"/>
        <v>0</v>
      </c>
      <c r="T483" s="754">
        <f t="shared" si="71"/>
        <v>0</v>
      </c>
      <c r="U483" s="867">
        <v>269500</v>
      </c>
      <c r="V483" s="1101">
        <v>351165</v>
      </c>
      <c r="W483" s="859"/>
      <c r="X483" s="859"/>
      <c r="Y483" s="755">
        <f t="shared" si="67"/>
        <v>0</v>
      </c>
      <c r="Z483" s="864"/>
      <c r="AA483" s="863"/>
      <c r="AB483" s="756">
        <f t="shared" si="68"/>
        <v>0</v>
      </c>
      <c r="AC483" s="859"/>
      <c r="AD483" s="863"/>
      <c r="AE483" s="859"/>
      <c r="AF483" s="859"/>
      <c r="AG483" s="864"/>
      <c r="AH483" s="865"/>
      <c r="AI483" s="757">
        <f t="shared" si="72"/>
        <v>269500</v>
      </c>
      <c r="AJ483" s="758">
        <f t="shared" si="73"/>
        <v>351165</v>
      </c>
    </row>
    <row r="484" spans="1:36" x14ac:dyDescent="0.2">
      <c r="A484" s="904" t="s">
        <v>143</v>
      </c>
      <c r="B484" s="924" t="s">
        <v>219</v>
      </c>
      <c r="C484" s="925" t="s">
        <v>249</v>
      </c>
      <c r="D484" s="926"/>
      <c r="E484" s="902"/>
      <c r="F484" s="903"/>
      <c r="G484" s="859"/>
      <c r="H484" s="860"/>
      <c r="I484" s="861"/>
      <c r="J484" s="862"/>
      <c r="K484" s="859"/>
      <c r="L484" s="863"/>
      <c r="M484" s="861"/>
      <c r="N484" s="859"/>
      <c r="O484" s="752">
        <f t="shared" si="66"/>
        <v>0</v>
      </c>
      <c r="P484" s="864"/>
      <c r="Q484" s="860"/>
      <c r="R484" s="753">
        <f t="shared" si="69"/>
        <v>0</v>
      </c>
      <c r="S484" s="752">
        <f t="shared" si="70"/>
        <v>0</v>
      </c>
      <c r="T484" s="754">
        <f t="shared" si="71"/>
        <v>0</v>
      </c>
      <c r="U484" s="859"/>
      <c r="V484" s="863"/>
      <c r="W484" s="859"/>
      <c r="X484" s="859"/>
      <c r="Y484" s="755">
        <f t="shared" si="67"/>
        <v>0</v>
      </c>
      <c r="Z484" s="864"/>
      <c r="AA484" s="863"/>
      <c r="AB484" s="756">
        <f t="shared" si="68"/>
        <v>0</v>
      </c>
      <c r="AC484" s="859"/>
      <c r="AD484" s="863"/>
      <c r="AE484" s="859"/>
      <c r="AF484" s="859"/>
      <c r="AG484" s="864"/>
      <c r="AH484" s="865"/>
      <c r="AI484" s="757">
        <f t="shared" si="72"/>
        <v>0</v>
      </c>
      <c r="AJ484" s="758">
        <f t="shared" si="73"/>
        <v>0</v>
      </c>
    </row>
    <row r="485" spans="1:36" x14ac:dyDescent="0.2">
      <c r="A485" s="904" t="s">
        <v>143</v>
      </c>
      <c r="B485" s="899" t="s">
        <v>292</v>
      </c>
      <c r="C485" s="923" t="s">
        <v>665</v>
      </c>
      <c r="D485" s="906"/>
      <c r="E485" s="902"/>
      <c r="F485" s="903"/>
      <c r="G485" s="859"/>
      <c r="H485" s="860"/>
      <c r="I485" s="861"/>
      <c r="J485" s="862"/>
      <c r="K485" s="859"/>
      <c r="L485" s="863"/>
      <c r="M485" s="861"/>
      <c r="N485" s="859"/>
      <c r="O485" s="752">
        <f t="shared" si="66"/>
        <v>0</v>
      </c>
      <c r="P485" s="864"/>
      <c r="Q485" s="860"/>
      <c r="R485" s="753">
        <f t="shared" si="69"/>
        <v>0</v>
      </c>
      <c r="S485" s="752">
        <f t="shared" si="70"/>
        <v>0</v>
      </c>
      <c r="T485" s="754">
        <f t="shared" si="71"/>
        <v>0</v>
      </c>
      <c r="U485" s="859"/>
      <c r="V485" s="863"/>
      <c r="W485" s="859"/>
      <c r="X485" s="859"/>
      <c r="Y485" s="755">
        <f t="shared" si="67"/>
        <v>0</v>
      </c>
      <c r="Z485" s="864"/>
      <c r="AA485" s="863"/>
      <c r="AB485" s="756">
        <f t="shared" si="68"/>
        <v>0</v>
      </c>
      <c r="AC485" s="859"/>
      <c r="AD485" s="863"/>
      <c r="AE485" s="859"/>
      <c r="AF485" s="859"/>
      <c r="AG485" s="864"/>
      <c r="AH485" s="865"/>
      <c r="AI485" s="757">
        <f t="shared" si="72"/>
        <v>0</v>
      </c>
      <c r="AJ485" s="758">
        <f t="shared" si="73"/>
        <v>0</v>
      </c>
    </row>
    <row r="486" spans="1:36" x14ac:dyDescent="0.2">
      <c r="A486" s="904" t="s">
        <v>143</v>
      </c>
      <c r="B486" s="924" t="s">
        <v>209</v>
      </c>
      <c r="C486" s="925" t="s">
        <v>576</v>
      </c>
      <c r="D486" s="926"/>
      <c r="E486" s="902"/>
      <c r="F486" s="903"/>
      <c r="G486" s="859"/>
      <c r="H486" s="860"/>
      <c r="I486" s="861"/>
      <c r="J486" s="862"/>
      <c r="K486" s="859"/>
      <c r="L486" s="863"/>
      <c r="M486" s="861"/>
      <c r="N486" s="859"/>
      <c r="O486" s="752">
        <f t="shared" si="66"/>
        <v>0</v>
      </c>
      <c r="P486" s="864"/>
      <c r="Q486" s="860"/>
      <c r="R486" s="753">
        <f t="shared" si="69"/>
        <v>0</v>
      </c>
      <c r="S486" s="752">
        <f t="shared" si="70"/>
        <v>0</v>
      </c>
      <c r="T486" s="754">
        <f t="shared" si="71"/>
        <v>0</v>
      </c>
      <c r="U486" s="859"/>
      <c r="V486" s="863"/>
      <c r="W486" s="859"/>
      <c r="X486" s="859"/>
      <c r="Y486" s="755">
        <f t="shared" si="67"/>
        <v>0</v>
      </c>
      <c r="Z486" s="864"/>
      <c r="AA486" s="863"/>
      <c r="AB486" s="756">
        <f t="shared" si="68"/>
        <v>0</v>
      </c>
      <c r="AC486" s="859"/>
      <c r="AD486" s="863"/>
      <c r="AE486" s="859"/>
      <c r="AF486" s="859"/>
      <c r="AG486" s="864"/>
      <c r="AH486" s="865"/>
      <c r="AI486" s="757">
        <f t="shared" si="72"/>
        <v>0</v>
      </c>
      <c r="AJ486" s="758">
        <f t="shared" si="73"/>
        <v>0</v>
      </c>
    </row>
    <row r="487" spans="1:36" x14ac:dyDescent="0.2">
      <c r="A487" s="904" t="s">
        <v>143</v>
      </c>
      <c r="B487" s="924" t="s">
        <v>210</v>
      </c>
      <c r="C487" s="925" t="s">
        <v>311</v>
      </c>
      <c r="D487" s="926"/>
      <c r="E487" s="902"/>
      <c r="F487" s="903"/>
      <c r="G487" s="859"/>
      <c r="H487" s="860"/>
      <c r="I487" s="861"/>
      <c r="J487" s="862"/>
      <c r="K487" s="859"/>
      <c r="L487" s="863"/>
      <c r="M487" s="861"/>
      <c r="N487" s="859"/>
      <c r="O487" s="752">
        <f t="shared" si="66"/>
        <v>0</v>
      </c>
      <c r="P487" s="864"/>
      <c r="Q487" s="860"/>
      <c r="R487" s="753">
        <f t="shared" si="69"/>
        <v>0</v>
      </c>
      <c r="S487" s="752">
        <f t="shared" si="70"/>
        <v>0</v>
      </c>
      <c r="T487" s="754">
        <f t="shared" si="71"/>
        <v>0</v>
      </c>
      <c r="U487" s="859"/>
      <c r="V487" s="863"/>
      <c r="W487" s="859"/>
      <c r="X487" s="859"/>
      <c r="Y487" s="755">
        <f t="shared" si="67"/>
        <v>0</v>
      </c>
      <c r="Z487" s="864"/>
      <c r="AA487" s="863"/>
      <c r="AB487" s="756">
        <f t="shared" si="68"/>
        <v>0</v>
      </c>
      <c r="AC487" s="859"/>
      <c r="AD487" s="863"/>
      <c r="AE487" s="859"/>
      <c r="AF487" s="859"/>
      <c r="AG487" s="864"/>
      <c r="AH487" s="865"/>
      <c r="AI487" s="757">
        <f t="shared" si="72"/>
        <v>0</v>
      </c>
      <c r="AJ487" s="758">
        <f t="shared" si="73"/>
        <v>0</v>
      </c>
    </row>
    <row r="488" spans="1:36" x14ac:dyDescent="0.2">
      <c r="A488" s="904" t="s">
        <v>143</v>
      </c>
      <c r="B488" s="924" t="s">
        <v>204</v>
      </c>
      <c r="C488" s="925" t="s">
        <v>249</v>
      </c>
      <c r="D488" s="926"/>
      <c r="E488" s="902"/>
      <c r="F488" s="903"/>
      <c r="G488" s="859"/>
      <c r="H488" s="860"/>
      <c r="I488" s="861"/>
      <c r="J488" s="862"/>
      <c r="K488" s="859"/>
      <c r="L488" s="863"/>
      <c r="M488" s="861"/>
      <c r="N488" s="859"/>
      <c r="O488" s="752">
        <f t="shared" si="66"/>
        <v>0</v>
      </c>
      <c r="P488" s="864"/>
      <c r="Q488" s="860"/>
      <c r="R488" s="753">
        <f t="shared" si="69"/>
        <v>0</v>
      </c>
      <c r="S488" s="752">
        <f t="shared" si="70"/>
        <v>0</v>
      </c>
      <c r="T488" s="754">
        <f t="shared" si="71"/>
        <v>0</v>
      </c>
      <c r="U488" s="867">
        <v>1998870</v>
      </c>
      <c r="V488" s="1101">
        <v>1076484</v>
      </c>
      <c r="W488" s="859"/>
      <c r="X488" s="859"/>
      <c r="Y488" s="755">
        <f t="shared" si="67"/>
        <v>0</v>
      </c>
      <c r="Z488" s="864"/>
      <c r="AA488" s="863"/>
      <c r="AB488" s="756">
        <f t="shared" si="68"/>
        <v>0</v>
      </c>
      <c r="AC488" s="859"/>
      <c r="AD488" s="863"/>
      <c r="AE488" s="859"/>
      <c r="AF488" s="859"/>
      <c r="AG488" s="864"/>
      <c r="AH488" s="865"/>
      <c r="AI488" s="757">
        <f t="shared" si="72"/>
        <v>1998870</v>
      </c>
      <c r="AJ488" s="758">
        <f t="shared" si="73"/>
        <v>1076484</v>
      </c>
    </row>
    <row r="489" spans="1:36" x14ac:dyDescent="0.2">
      <c r="A489" s="904" t="s">
        <v>143</v>
      </c>
      <c r="B489" s="924" t="s">
        <v>205</v>
      </c>
      <c r="C489" s="925" t="s">
        <v>577</v>
      </c>
      <c r="D489" s="926"/>
      <c r="E489" s="902"/>
      <c r="F489" s="903"/>
      <c r="G489" s="859"/>
      <c r="H489" s="860"/>
      <c r="I489" s="861"/>
      <c r="J489" s="862"/>
      <c r="K489" s="859"/>
      <c r="L489" s="863"/>
      <c r="M489" s="861"/>
      <c r="N489" s="859"/>
      <c r="O489" s="752">
        <f t="shared" si="66"/>
        <v>0</v>
      </c>
      <c r="P489" s="864"/>
      <c r="Q489" s="860"/>
      <c r="R489" s="753">
        <f t="shared" si="69"/>
        <v>0</v>
      </c>
      <c r="S489" s="752">
        <f t="shared" si="70"/>
        <v>0</v>
      </c>
      <c r="T489" s="754">
        <f t="shared" si="71"/>
        <v>0</v>
      </c>
      <c r="U489" s="859"/>
      <c r="V489" s="863"/>
      <c r="W489" s="859"/>
      <c r="X489" s="859"/>
      <c r="Y489" s="755">
        <f t="shared" si="67"/>
        <v>0</v>
      </c>
      <c r="Z489" s="864"/>
      <c r="AA489" s="863"/>
      <c r="AB489" s="756">
        <f t="shared" si="68"/>
        <v>0</v>
      </c>
      <c r="AC489" s="859"/>
      <c r="AD489" s="863"/>
      <c r="AE489" s="859"/>
      <c r="AF489" s="859"/>
      <c r="AG489" s="864"/>
      <c r="AH489" s="865"/>
      <c r="AI489" s="757">
        <f t="shared" si="72"/>
        <v>0</v>
      </c>
      <c r="AJ489" s="758">
        <f t="shared" si="73"/>
        <v>0</v>
      </c>
    </row>
    <row r="490" spans="1:36" x14ac:dyDescent="0.2">
      <c r="A490" s="904" t="s">
        <v>143</v>
      </c>
      <c r="B490" s="924" t="s">
        <v>218</v>
      </c>
      <c r="C490" s="925" t="s">
        <v>311</v>
      </c>
      <c r="D490" s="926"/>
      <c r="E490" s="902"/>
      <c r="F490" s="903"/>
      <c r="G490" s="859"/>
      <c r="H490" s="860"/>
      <c r="I490" s="861"/>
      <c r="J490" s="862"/>
      <c r="K490" s="859"/>
      <c r="L490" s="863"/>
      <c r="M490" s="861"/>
      <c r="N490" s="859"/>
      <c r="O490" s="752">
        <f t="shared" si="66"/>
        <v>0</v>
      </c>
      <c r="P490" s="864"/>
      <c r="Q490" s="860"/>
      <c r="R490" s="753">
        <f t="shared" si="69"/>
        <v>0</v>
      </c>
      <c r="S490" s="752">
        <f t="shared" si="70"/>
        <v>0</v>
      </c>
      <c r="T490" s="754">
        <f t="shared" si="71"/>
        <v>0</v>
      </c>
      <c r="U490" s="859"/>
      <c r="V490" s="863"/>
      <c r="W490" s="859"/>
      <c r="X490" s="859"/>
      <c r="Y490" s="755">
        <f t="shared" si="67"/>
        <v>0</v>
      </c>
      <c r="Z490" s="864"/>
      <c r="AA490" s="863"/>
      <c r="AB490" s="756">
        <f t="shared" si="68"/>
        <v>0</v>
      </c>
      <c r="AC490" s="859"/>
      <c r="AD490" s="863"/>
      <c r="AE490" s="859"/>
      <c r="AF490" s="859"/>
      <c r="AG490" s="864"/>
      <c r="AH490" s="865"/>
      <c r="AI490" s="757">
        <f t="shared" si="72"/>
        <v>0</v>
      </c>
      <c r="AJ490" s="758">
        <f t="shared" si="73"/>
        <v>0</v>
      </c>
    </row>
    <row r="491" spans="1:36" x14ac:dyDescent="0.2">
      <c r="A491" s="904" t="s">
        <v>143</v>
      </c>
      <c r="B491" s="924" t="s">
        <v>219</v>
      </c>
      <c r="C491" s="925" t="s">
        <v>249</v>
      </c>
      <c r="D491" s="926"/>
      <c r="E491" s="902"/>
      <c r="F491" s="903"/>
      <c r="G491" s="859"/>
      <c r="H491" s="860"/>
      <c r="I491" s="861"/>
      <c r="J491" s="862"/>
      <c r="K491" s="859"/>
      <c r="L491" s="863"/>
      <c r="M491" s="861"/>
      <c r="N491" s="859"/>
      <c r="O491" s="752">
        <f t="shared" si="66"/>
        <v>0</v>
      </c>
      <c r="P491" s="864"/>
      <c r="Q491" s="860"/>
      <c r="R491" s="753">
        <f t="shared" si="69"/>
        <v>0</v>
      </c>
      <c r="S491" s="752">
        <f t="shared" si="70"/>
        <v>0</v>
      </c>
      <c r="T491" s="754">
        <f t="shared" si="71"/>
        <v>0</v>
      </c>
      <c r="U491" s="867">
        <v>0</v>
      </c>
      <c r="V491" s="1101">
        <v>0</v>
      </c>
      <c r="W491" s="859"/>
      <c r="X491" s="859"/>
      <c r="Y491" s="755">
        <f t="shared" si="67"/>
        <v>0</v>
      </c>
      <c r="Z491" s="864"/>
      <c r="AA491" s="863"/>
      <c r="AB491" s="756">
        <f t="shared" si="68"/>
        <v>0</v>
      </c>
      <c r="AC491" s="859"/>
      <c r="AD491" s="863"/>
      <c r="AE491" s="859"/>
      <c r="AF491" s="859"/>
      <c r="AG491" s="864"/>
      <c r="AH491" s="865"/>
      <c r="AI491" s="757">
        <f t="shared" si="72"/>
        <v>0</v>
      </c>
      <c r="AJ491" s="758">
        <f t="shared" si="73"/>
        <v>0</v>
      </c>
    </row>
    <row r="492" spans="1:36" x14ac:dyDescent="0.2">
      <c r="A492" s="904" t="s">
        <v>143</v>
      </c>
      <c r="B492" s="899" t="s">
        <v>292</v>
      </c>
      <c r="C492" s="923" t="s">
        <v>666</v>
      </c>
      <c r="D492" s="906"/>
      <c r="E492" s="902"/>
      <c r="F492" s="903"/>
      <c r="G492" s="859"/>
      <c r="H492" s="860"/>
      <c r="I492" s="861"/>
      <c r="J492" s="862"/>
      <c r="K492" s="859"/>
      <c r="L492" s="863"/>
      <c r="M492" s="861"/>
      <c r="N492" s="859"/>
      <c r="O492" s="752">
        <f t="shared" si="66"/>
        <v>0</v>
      </c>
      <c r="P492" s="864"/>
      <c r="Q492" s="860"/>
      <c r="R492" s="753">
        <f t="shared" si="69"/>
        <v>0</v>
      </c>
      <c r="S492" s="752">
        <f t="shared" si="70"/>
        <v>0</v>
      </c>
      <c r="T492" s="754">
        <f t="shared" si="71"/>
        <v>0</v>
      </c>
      <c r="U492" s="859"/>
      <c r="V492" s="928"/>
      <c r="W492" s="859"/>
      <c r="X492" s="859"/>
      <c r="Y492" s="755">
        <f t="shared" si="67"/>
        <v>0</v>
      </c>
      <c r="Z492" s="864"/>
      <c r="AA492" s="863"/>
      <c r="AB492" s="756">
        <f t="shared" si="68"/>
        <v>0</v>
      </c>
      <c r="AC492" s="859"/>
      <c r="AD492" s="863"/>
      <c r="AE492" s="859"/>
      <c r="AF492" s="859"/>
      <c r="AG492" s="864"/>
      <c r="AH492" s="865"/>
      <c r="AI492" s="757">
        <f t="shared" si="72"/>
        <v>0</v>
      </c>
      <c r="AJ492" s="758">
        <f t="shared" si="73"/>
        <v>0</v>
      </c>
    </row>
    <row r="493" spans="1:36" x14ac:dyDescent="0.2">
      <c r="A493" s="904" t="s">
        <v>143</v>
      </c>
      <c r="B493" s="924" t="s">
        <v>209</v>
      </c>
      <c r="C493" s="925" t="s">
        <v>576</v>
      </c>
      <c r="D493" s="926"/>
      <c r="E493" s="902"/>
      <c r="F493" s="903"/>
      <c r="G493" s="859"/>
      <c r="H493" s="860"/>
      <c r="I493" s="861"/>
      <c r="J493" s="862"/>
      <c r="K493" s="859"/>
      <c r="L493" s="863"/>
      <c r="M493" s="861"/>
      <c r="N493" s="859"/>
      <c r="O493" s="752">
        <f t="shared" si="66"/>
        <v>0</v>
      </c>
      <c r="P493" s="864"/>
      <c r="Q493" s="860"/>
      <c r="R493" s="753">
        <f t="shared" si="69"/>
        <v>0</v>
      </c>
      <c r="S493" s="752">
        <f t="shared" si="70"/>
        <v>0</v>
      </c>
      <c r="T493" s="754">
        <f t="shared" si="71"/>
        <v>0</v>
      </c>
      <c r="U493" s="859"/>
      <c r="V493" s="863"/>
      <c r="W493" s="859"/>
      <c r="X493" s="859"/>
      <c r="Y493" s="755">
        <f t="shared" si="67"/>
        <v>0</v>
      </c>
      <c r="Z493" s="864"/>
      <c r="AA493" s="863"/>
      <c r="AB493" s="756">
        <f t="shared" si="68"/>
        <v>0</v>
      </c>
      <c r="AC493" s="859"/>
      <c r="AD493" s="863"/>
      <c r="AE493" s="859"/>
      <c r="AF493" s="859"/>
      <c r="AG493" s="864"/>
      <c r="AH493" s="865"/>
      <c r="AI493" s="757">
        <f t="shared" si="72"/>
        <v>0</v>
      </c>
      <c r="AJ493" s="758">
        <f t="shared" si="73"/>
        <v>0</v>
      </c>
    </row>
    <row r="494" spans="1:36" x14ac:dyDescent="0.2">
      <c r="A494" s="904" t="s">
        <v>143</v>
      </c>
      <c r="B494" s="924" t="s">
        <v>210</v>
      </c>
      <c r="C494" s="925" t="s">
        <v>311</v>
      </c>
      <c r="D494" s="926"/>
      <c r="E494" s="902"/>
      <c r="F494" s="903"/>
      <c r="G494" s="859"/>
      <c r="H494" s="860"/>
      <c r="I494" s="861"/>
      <c r="J494" s="862"/>
      <c r="K494" s="859"/>
      <c r="L494" s="863"/>
      <c r="M494" s="861"/>
      <c r="N494" s="859"/>
      <c r="O494" s="752">
        <f t="shared" si="66"/>
        <v>0</v>
      </c>
      <c r="P494" s="864"/>
      <c r="Q494" s="860"/>
      <c r="R494" s="753">
        <f t="shared" si="69"/>
        <v>0</v>
      </c>
      <c r="S494" s="752">
        <f t="shared" si="70"/>
        <v>0</v>
      </c>
      <c r="T494" s="754">
        <f t="shared" si="71"/>
        <v>0</v>
      </c>
      <c r="U494" s="859"/>
      <c r="V494" s="863"/>
      <c r="W494" s="859"/>
      <c r="X494" s="859"/>
      <c r="Y494" s="755">
        <f t="shared" si="67"/>
        <v>0</v>
      </c>
      <c r="Z494" s="864"/>
      <c r="AA494" s="863"/>
      <c r="AB494" s="756">
        <f t="shared" si="68"/>
        <v>0</v>
      </c>
      <c r="AC494" s="859"/>
      <c r="AD494" s="863"/>
      <c r="AE494" s="859"/>
      <c r="AF494" s="859"/>
      <c r="AG494" s="864"/>
      <c r="AH494" s="865"/>
      <c r="AI494" s="757">
        <f t="shared" si="72"/>
        <v>0</v>
      </c>
      <c r="AJ494" s="758">
        <f t="shared" si="73"/>
        <v>0</v>
      </c>
    </row>
    <row r="495" spans="1:36" x14ac:dyDescent="0.2">
      <c r="A495" s="904" t="s">
        <v>143</v>
      </c>
      <c r="B495" s="924" t="s">
        <v>204</v>
      </c>
      <c r="C495" s="925" t="s">
        <v>249</v>
      </c>
      <c r="D495" s="926"/>
      <c r="E495" s="902"/>
      <c r="F495" s="903"/>
      <c r="G495" s="859"/>
      <c r="H495" s="860"/>
      <c r="I495" s="861"/>
      <c r="J495" s="862"/>
      <c r="K495" s="859"/>
      <c r="L495" s="863"/>
      <c r="M495" s="861"/>
      <c r="N495" s="859"/>
      <c r="O495" s="752">
        <f t="shared" si="66"/>
        <v>0</v>
      </c>
      <c r="P495" s="864"/>
      <c r="Q495" s="860"/>
      <c r="R495" s="753">
        <f t="shared" si="69"/>
        <v>0</v>
      </c>
      <c r="S495" s="752">
        <f t="shared" si="70"/>
        <v>0</v>
      </c>
      <c r="T495" s="754">
        <f t="shared" si="71"/>
        <v>0</v>
      </c>
      <c r="U495" s="867">
        <v>0</v>
      </c>
      <c r="V495" s="1101">
        <v>0</v>
      </c>
      <c r="W495" s="859"/>
      <c r="X495" s="859"/>
      <c r="Y495" s="755">
        <f t="shared" si="67"/>
        <v>0</v>
      </c>
      <c r="Z495" s="864"/>
      <c r="AA495" s="863"/>
      <c r="AB495" s="756">
        <f t="shared" si="68"/>
        <v>0</v>
      </c>
      <c r="AC495" s="859"/>
      <c r="AD495" s="863"/>
      <c r="AE495" s="859"/>
      <c r="AF495" s="859"/>
      <c r="AG495" s="864"/>
      <c r="AH495" s="865"/>
      <c r="AI495" s="757">
        <f t="shared" si="72"/>
        <v>0</v>
      </c>
      <c r="AJ495" s="758">
        <f t="shared" si="73"/>
        <v>0</v>
      </c>
    </row>
    <row r="496" spans="1:36" x14ac:dyDescent="0.2">
      <c r="A496" s="904" t="s">
        <v>143</v>
      </c>
      <c r="B496" s="924" t="s">
        <v>205</v>
      </c>
      <c r="C496" s="925" t="s">
        <v>577</v>
      </c>
      <c r="D496" s="926"/>
      <c r="E496" s="902"/>
      <c r="F496" s="903"/>
      <c r="G496" s="859"/>
      <c r="H496" s="860"/>
      <c r="I496" s="861"/>
      <c r="J496" s="862"/>
      <c r="K496" s="859"/>
      <c r="L496" s="863"/>
      <c r="M496" s="861"/>
      <c r="N496" s="859"/>
      <c r="O496" s="752">
        <f t="shared" si="66"/>
        <v>0</v>
      </c>
      <c r="P496" s="864"/>
      <c r="Q496" s="860"/>
      <c r="R496" s="753">
        <f t="shared" si="69"/>
        <v>0</v>
      </c>
      <c r="S496" s="752">
        <f t="shared" si="70"/>
        <v>0</v>
      </c>
      <c r="T496" s="754">
        <f t="shared" si="71"/>
        <v>0</v>
      </c>
      <c r="U496" s="859"/>
      <c r="V496" s="863"/>
      <c r="W496" s="859"/>
      <c r="X496" s="859"/>
      <c r="Y496" s="755">
        <f t="shared" si="67"/>
        <v>0</v>
      </c>
      <c r="Z496" s="864"/>
      <c r="AA496" s="863"/>
      <c r="AB496" s="756">
        <f t="shared" si="68"/>
        <v>0</v>
      </c>
      <c r="AC496" s="859"/>
      <c r="AD496" s="863"/>
      <c r="AE496" s="859"/>
      <c r="AF496" s="859"/>
      <c r="AG496" s="864"/>
      <c r="AH496" s="865"/>
      <c r="AI496" s="757">
        <f t="shared" si="72"/>
        <v>0</v>
      </c>
      <c r="AJ496" s="758">
        <f t="shared" si="73"/>
        <v>0</v>
      </c>
    </row>
    <row r="497" spans="1:36" x14ac:dyDescent="0.2">
      <c r="A497" s="904" t="s">
        <v>143</v>
      </c>
      <c r="B497" s="924" t="s">
        <v>218</v>
      </c>
      <c r="C497" s="925" t="s">
        <v>311</v>
      </c>
      <c r="D497" s="926"/>
      <c r="E497" s="902"/>
      <c r="F497" s="903"/>
      <c r="G497" s="859"/>
      <c r="H497" s="860"/>
      <c r="I497" s="861"/>
      <c r="J497" s="862"/>
      <c r="K497" s="859"/>
      <c r="L497" s="863"/>
      <c r="M497" s="861"/>
      <c r="N497" s="859"/>
      <c r="O497" s="752">
        <f t="shared" si="66"/>
        <v>0</v>
      </c>
      <c r="P497" s="864"/>
      <c r="Q497" s="860"/>
      <c r="R497" s="753">
        <f t="shared" si="69"/>
        <v>0</v>
      </c>
      <c r="S497" s="752">
        <f t="shared" si="70"/>
        <v>0</v>
      </c>
      <c r="T497" s="754">
        <f t="shared" si="71"/>
        <v>0</v>
      </c>
      <c r="U497" s="859"/>
      <c r="V497" s="863"/>
      <c r="W497" s="859"/>
      <c r="X497" s="859"/>
      <c r="Y497" s="755">
        <f t="shared" si="67"/>
        <v>0</v>
      </c>
      <c r="Z497" s="864"/>
      <c r="AA497" s="863"/>
      <c r="AB497" s="756">
        <f t="shared" si="68"/>
        <v>0</v>
      </c>
      <c r="AC497" s="859"/>
      <c r="AD497" s="863"/>
      <c r="AE497" s="859"/>
      <c r="AF497" s="859"/>
      <c r="AG497" s="864"/>
      <c r="AH497" s="865"/>
      <c r="AI497" s="757">
        <f t="shared" si="72"/>
        <v>0</v>
      </c>
      <c r="AJ497" s="758">
        <f t="shared" si="73"/>
        <v>0</v>
      </c>
    </row>
    <row r="498" spans="1:36" x14ac:dyDescent="0.2">
      <c r="A498" s="904" t="s">
        <v>143</v>
      </c>
      <c r="B498" s="924" t="s">
        <v>219</v>
      </c>
      <c r="C498" s="925" t="s">
        <v>249</v>
      </c>
      <c r="D498" s="926"/>
      <c r="E498" s="902"/>
      <c r="F498" s="903"/>
      <c r="G498" s="859"/>
      <c r="H498" s="860"/>
      <c r="I498" s="861"/>
      <c r="J498" s="862"/>
      <c r="K498" s="859"/>
      <c r="L498" s="863"/>
      <c r="M498" s="861"/>
      <c r="N498" s="859"/>
      <c r="O498" s="752">
        <f t="shared" si="66"/>
        <v>0</v>
      </c>
      <c r="P498" s="864"/>
      <c r="Q498" s="860"/>
      <c r="R498" s="753">
        <f t="shared" si="69"/>
        <v>0</v>
      </c>
      <c r="S498" s="752">
        <f t="shared" si="70"/>
        <v>0</v>
      </c>
      <c r="T498" s="754">
        <f t="shared" si="71"/>
        <v>0</v>
      </c>
      <c r="U498" s="859"/>
      <c r="V498" s="863"/>
      <c r="W498" s="859"/>
      <c r="X498" s="859"/>
      <c r="Y498" s="755">
        <f t="shared" si="67"/>
        <v>0</v>
      </c>
      <c r="Z498" s="864"/>
      <c r="AA498" s="863"/>
      <c r="AB498" s="756">
        <f t="shared" si="68"/>
        <v>0</v>
      </c>
      <c r="AC498" s="859"/>
      <c r="AD498" s="863"/>
      <c r="AE498" s="859"/>
      <c r="AF498" s="859"/>
      <c r="AG498" s="864"/>
      <c r="AH498" s="865"/>
      <c r="AI498" s="757">
        <f t="shared" si="72"/>
        <v>0</v>
      </c>
      <c r="AJ498" s="758">
        <f t="shared" si="73"/>
        <v>0</v>
      </c>
    </row>
    <row r="499" spans="1:36" x14ac:dyDescent="0.2">
      <c r="A499" s="904" t="s">
        <v>143</v>
      </c>
      <c r="B499" s="899" t="s">
        <v>292</v>
      </c>
      <c r="C499" s="923" t="s">
        <v>667</v>
      </c>
      <c r="D499" s="906"/>
      <c r="E499" s="902"/>
      <c r="F499" s="903"/>
      <c r="G499" s="859"/>
      <c r="H499" s="860"/>
      <c r="I499" s="861"/>
      <c r="J499" s="862"/>
      <c r="K499" s="859"/>
      <c r="L499" s="863"/>
      <c r="M499" s="861"/>
      <c r="N499" s="859"/>
      <c r="O499" s="752">
        <f t="shared" si="66"/>
        <v>0</v>
      </c>
      <c r="P499" s="864"/>
      <c r="Q499" s="860"/>
      <c r="R499" s="753">
        <f t="shared" si="69"/>
        <v>0</v>
      </c>
      <c r="S499" s="752">
        <f t="shared" si="70"/>
        <v>0</v>
      </c>
      <c r="T499" s="754">
        <f t="shared" si="71"/>
        <v>0</v>
      </c>
      <c r="U499" s="859"/>
      <c r="V499" s="863"/>
      <c r="W499" s="859"/>
      <c r="X499" s="859"/>
      <c r="Y499" s="755">
        <f t="shared" si="67"/>
        <v>0</v>
      </c>
      <c r="Z499" s="864"/>
      <c r="AA499" s="863"/>
      <c r="AB499" s="756">
        <f t="shared" si="68"/>
        <v>0</v>
      </c>
      <c r="AC499" s="859"/>
      <c r="AD499" s="863"/>
      <c r="AE499" s="859"/>
      <c r="AF499" s="859"/>
      <c r="AG499" s="864"/>
      <c r="AH499" s="865"/>
      <c r="AI499" s="757">
        <f t="shared" si="72"/>
        <v>0</v>
      </c>
      <c r="AJ499" s="758">
        <f t="shared" si="73"/>
        <v>0</v>
      </c>
    </row>
    <row r="500" spans="1:36" x14ac:dyDescent="0.2">
      <c r="A500" s="904" t="s">
        <v>143</v>
      </c>
      <c r="B500" s="924" t="s">
        <v>209</v>
      </c>
      <c r="C500" s="925" t="s">
        <v>576</v>
      </c>
      <c r="D500" s="926"/>
      <c r="E500" s="902"/>
      <c r="F500" s="903"/>
      <c r="G500" s="859"/>
      <c r="H500" s="860"/>
      <c r="I500" s="861"/>
      <c r="J500" s="862"/>
      <c r="K500" s="859"/>
      <c r="L500" s="863"/>
      <c r="M500" s="861"/>
      <c r="N500" s="859"/>
      <c r="O500" s="752">
        <f t="shared" si="66"/>
        <v>0</v>
      </c>
      <c r="P500" s="864"/>
      <c r="Q500" s="860"/>
      <c r="R500" s="753">
        <f t="shared" si="69"/>
        <v>0</v>
      </c>
      <c r="S500" s="752">
        <f t="shared" si="70"/>
        <v>0</v>
      </c>
      <c r="T500" s="754">
        <f t="shared" si="71"/>
        <v>0</v>
      </c>
      <c r="U500" s="859"/>
      <c r="V500" s="863"/>
      <c r="W500" s="859"/>
      <c r="X500" s="859"/>
      <c r="Y500" s="755">
        <f t="shared" si="67"/>
        <v>0</v>
      </c>
      <c r="Z500" s="864"/>
      <c r="AA500" s="863"/>
      <c r="AB500" s="756">
        <f t="shared" si="68"/>
        <v>0</v>
      </c>
      <c r="AC500" s="859"/>
      <c r="AD500" s="863"/>
      <c r="AE500" s="859"/>
      <c r="AF500" s="859"/>
      <c r="AG500" s="864"/>
      <c r="AH500" s="865"/>
      <c r="AI500" s="757">
        <f t="shared" si="72"/>
        <v>0</v>
      </c>
      <c r="AJ500" s="758">
        <f t="shared" si="73"/>
        <v>0</v>
      </c>
    </row>
    <row r="501" spans="1:36" x14ac:dyDescent="0.2">
      <c r="A501" s="904" t="s">
        <v>143</v>
      </c>
      <c r="B501" s="924" t="s">
        <v>210</v>
      </c>
      <c r="C501" s="925" t="s">
        <v>311</v>
      </c>
      <c r="D501" s="926"/>
      <c r="E501" s="902"/>
      <c r="F501" s="903"/>
      <c r="G501" s="859"/>
      <c r="H501" s="860"/>
      <c r="I501" s="861"/>
      <c r="J501" s="862"/>
      <c r="K501" s="859"/>
      <c r="L501" s="863"/>
      <c r="M501" s="861"/>
      <c r="N501" s="859"/>
      <c r="O501" s="752">
        <f t="shared" si="66"/>
        <v>0</v>
      </c>
      <c r="P501" s="864"/>
      <c r="Q501" s="860"/>
      <c r="R501" s="753">
        <f t="shared" si="69"/>
        <v>0</v>
      </c>
      <c r="S501" s="752">
        <f t="shared" si="70"/>
        <v>0</v>
      </c>
      <c r="T501" s="754">
        <f t="shared" si="71"/>
        <v>0</v>
      </c>
      <c r="U501" s="859"/>
      <c r="V501" s="863"/>
      <c r="W501" s="859"/>
      <c r="X501" s="859"/>
      <c r="Y501" s="755">
        <f t="shared" si="67"/>
        <v>0</v>
      </c>
      <c r="Z501" s="864"/>
      <c r="AA501" s="863"/>
      <c r="AB501" s="756">
        <f t="shared" si="68"/>
        <v>0</v>
      </c>
      <c r="AC501" s="859"/>
      <c r="AD501" s="863"/>
      <c r="AE501" s="859"/>
      <c r="AF501" s="859"/>
      <c r="AG501" s="864"/>
      <c r="AH501" s="865"/>
      <c r="AI501" s="757">
        <f t="shared" si="72"/>
        <v>0</v>
      </c>
      <c r="AJ501" s="758">
        <f t="shared" si="73"/>
        <v>0</v>
      </c>
    </row>
    <row r="502" spans="1:36" x14ac:dyDescent="0.2">
      <c r="A502" s="904" t="s">
        <v>143</v>
      </c>
      <c r="B502" s="924" t="s">
        <v>204</v>
      </c>
      <c r="C502" s="925" t="s">
        <v>249</v>
      </c>
      <c r="D502" s="926"/>
      <c r="E502" s="902"/>
      <c r="F502" s="903"/>
      <c r="G502" s="859"/>
      <c r="H502" s="860"/>
      <c r="I502" s="861"/>
      <c r="J502" s="862"/>
      <c r="K502" s="859"/>
      <c r="L502" s="863"/>
      <c r="M502" s="861"/>
      <c r="N502" s="859"/>
      <c r="O502" s="752">
        <f t="shared" si="66"/>
        <v>0</v>
      </c>
      <c r="P502" s="864"/>
      <c r="Q502" s="860"/>
      <c r="R502" s="753">
        <f t="shared" si="69"/>
        <v>0</v>
      </c>
      <c r="S502" s="752">
        <f t="shared" si="70"/>
        <v>0</v>
      </c>
      <c r="T502" s="754">
        <f t="shared" si="71"/>
        <v>0</v>
      </c>
      <c r="U502" s="859">
        <v>208511</v>
      </c>
      <c r="V502" s="1101">
        <v>364577</v>
      </c>
      <c r="W502" s="859"/>
      <c r="X502" s="859"/>
      <c r="Y502" s="755">
        <f t="shared" si="67"/>
        <v>0</v>
      </c>
      <c r="Z502" s="864"/>
      <c r="AA502" s="863"/>
      <c r="AB502" s="756">
        <f t="shared" si="68"/>
        <v>0</v>
      </c>
      <c r="AC502" s="859"/>
      <c r="AD502" s="863"/>
      <c r="AE502" s="859"/>
      <c r="AF502" s="859"/>
      <c r="AG502" s="864"/>
      <c r="AH502" s="865"/>
      <c r="AI502" s="757">
        <f t="shared" si="72"/>
        <v>208511</v>
      </c>
      <c r="AJ502" s="758">
        <f t="shared" si="73"/>
        <v>364577</v>
      </c>
    </row>
    <row r="503" spans="1:36" x14ac:dyDescent="0.2">
      <c r="A503" s="904" t="s">
        <v>143</v>
      </c>
      <c r="B503" s="924" t="s">
        <v>205</v>
      </c>
      <c r="C503" s="925" t="s">
        <v>577</v>
      </c>
      <c r="D503" s="926"/>
      <c r="E503" s="902"/>
      <c r="F503" s="903"/>
      <c r="G503" s="859"/>
      <c r="H503" s="860"/>
      <c r="I503" s="861"/>
      <c r="J503" s="862"/>
      <c r="K503" s="859"/>
      <c r="L503" s="863"/>
      <c r="M503" s="861"/>
      <c r="N503" s="859"/>
      <c r="O503" s="752">
        <f t="shared" si="66"/>
        <v>0</v>
      </c>
      <c r="P503" s="864"/>
      <c r="Q503" s="860"/>
      <c r="R503" s="753">
        <f t="shared" si="69"/>
        <v>0</v>
      </c>
      <c r="S503" s="752">
        <f t="shared" si="70"/>
        <v>0</v>
      </c>
      <c r="T503" s="754">
        <f t="shared" si="71"/>
        <v>0</v>
      </c>
      <c r="U503" s="859"/>
      <c r="V503" s="863"/>
      <c r="W503" s="859"/>
      <c r="X503" s="859"/>
      <c r="Y503" s="755">
        <f t="shared" si="67"/>
        <v>0</v>
      </c>
      <c r="Z503" s="864"/>
      <c r="AA503" s="863"/>
      <c r="AB503" s="756">
        <f t="shared" si="68"/>
        <v>0</v>
      </c>
      <c r="AC503" s="859"/>
      <c r="AD503" s="863"/>
      <c r="AE503" s="859"/>
      <c r="AF503" s="859"/>
      <c r="AG503" s="864"/>
      <c r="AH503" s="865"/>
      <c r="AI503" s="757">
        <f t="shared" si="72"/>
        <v>0</v>
      </c>
      <c r="AJ503" s="758">
        <f t="shared" si="73"/>
        <v>0</v>
      </c>
    </row>
    <row r="504" spans="1:36" x14ac:dyDescent="0.2">
      <c r="A504" s="904" t="s">
        <v>143</v>
      </c>
      <c r="B504" s="924" t="s">
        <v>218</v>
      </c>
      <c r="C504" s="925" t="s">
        <v>311</v>
      </c>
      <c r="D504" s="926"/>
      <c r="E504" s="902"/>
      <c r="F504" s="903"/>
      <c r="G504" s="859"/>
      <c r="H504" s="860"/>
      <c r="I504" s="861"/>
      <c r="J504" s="862"/>
      <c r="K504" s="859"/>
      <c r="L504" s="863"/>
      <c r="M504" s="861"/>
      <c r="N504" s="859"/>
      <c r="O504" s="752">
        <f t="shared" si="66"/>
        <v>0</v>
      </c>
      <c r="P504" s="864"/>
      <c r="Q504" s="860"/>
      <c r="R504" s="753">
        <f t="shared" si="69"/>
        <v>0</v>
      </c>
      <c r="S504" s="752">
        <f t="shared" si="70"/>
        <v>0</v>
      </c>
      <c r="T504" s="754">
        <f t="shared" si="71"/>
        <v>0</v>
      </c>
      <c r="U504" s="859"/>
      <c r="V504" s="863"/>
      <c r="W504" s="859"/>
      <c r="X504" s="859"/>
      <c r="Y504" s="755">
        <f t="shared" si="67"/>
        <v>0</v>
      </c>
      <c r="Z504" s="864"/>
      <c r="AA504" s="863"/>
      <c r="AB504" s="756">
        <f t="shared" si="68"/>
        <v>0</v>
      </c>
      <c r="AC504" s="859"/>
      <c r="AD504" s="863"/>
      <c r="AE504" s="859"/>
      <c r="AF504" s="859"/>
      <c r="AG504" s="864"/>
      <c r="AH504" s="865"/>
      <c r="AI504" s="757">
        <f t="shared" si="72"/>
        <v>0</v>
      </c>
      <c r="AJ504" s="758">
        <f t="shared" si="73"/>
        <v>0</v>
      </c>
    </row>
    <row r="505" spans="1:36" x14ac:dyDescent="0.2">
      <c r="A505" s="904" t="s">
        <v>143</v>
      </c>
      <c r="B505" s="924" t="s">
        <v>219</v>
      </c>
      <c r="C505" s="925" t="s">
        <v>249</v>
      </c>
      <c r="D505" s="926"/>
      <c r="E505" s="902"/>
      <c r="F505" s="903"/>
      <c r="G505" s="859"/>
      <c r="H505" s="860"/>
      <c r="I505" s="861"/>
      <c r="J505" s="862"/>
      <c r="K505" s="859"/>
      <c r="L505" s="863"/>
      <c r="M505" s="861"/>
      <c r="N505" s="859"/>
      <c r="O505" s="752">
        <f t="shared" si="66"/>
        <v>0</v>
      </c>
      <c r="P505" s="864"/>
      <c r="Q505" s="860"/>
      <c r="R505" s="753">
        <f t="shared" si="69"/>
        <v>0</v>
      </c>
      <c r="S505" s="752">
        <f t="shared" si="70"/>
        <v>0</v>
      </c>
      <c r="T505" s="754">
        <f t="shared" si="71"/>
        <v>0</v>
      </c>
      <c r="U505" s="859"/>
      <c r="V505" s="863"/>
      <c r="W505" s="859"/>
      <c r="X505" s="859"/>
      <c r="Y505" s="755">
        <f t="shared" si="67"/>
        <v>0</v>
      </c>
      <c r="Z505" s="864"/>
      <c r="AA505" s="863"/>
      <c r="AB505" s="756">
        <f t="shared" si="68"/>
        <v>0</v>
      </c>
      <c r="AC505" s="859"/>
      <c r="AD505" s="863"/>
      <c r="AE505" s="859"/>
      <c r="AF505" s="859"/>
      <c r="AG505" s="864"/>
      <c r="AH505" s="865"/>
      <c r="AI505" s="757">
        <f t="shared" si="72"/>
        <v>0</v>
      </c>
      <c r="AJ505" s="758">
        <f t="shared" si="73"/>
        <v>0</v>
      </c>
    </row>
    <row r="506" spans="1:36" x14ac:dyDescent="0.2">
      <c r="A506" s="904" t="s">
        <v>143</v>
      </c>
      <c r="B506" s="899" t="s">
        <v>292</v>
      </c>
      <c r="C506" s="923" t="s">
        <v>668</v>
      </c>
      <c r="D506" s="906"/>
      <c r="E506" s="902"/>
      <c r="F506" s="903"/>
      <c r="G506" s="859"/>
      <c r="H506" s="860"/>
      <c r="I506" s="861"/>
      <c r="J506" s="862"/>
      <c r="K506" s="859"/>
      <c r="L506" s="863"/>
      <c r="M506" s="861"/>
      <c r="N506" s="859"/>
      <c r="O506" s="752">
        <f t="shared" si="66"/>
        <v>0</v>
      </c>
      <c r="P506" s="864"/>
      <c r="Q506" s="860"/>
      <c r="R506" s="753">
        <f t="shared" si="69"/>
        <v>0</v>
      </c>
      <c r="S506" s="752">
        <f t="shared" si="70"/>
        <v>0</v>
      </c>
      <c r="T506" s="754">
        <f t="shared" si="71"/>
        <v>0</v>
      </c>
      <c r="U506" s="859"/>
      <c r="V506" s="863"/>
      <c r="W506" s="859"/>
      <c r="X506" s="859"/>
      <c r="Y506" s="755">
        <f t="shared" si="67"/>
        <v>0</v>
      </c>
      <c r="Z506" s="864"/>
      <c r="AA506" s="863"/>
      <c r="AB506" s="756">
        <f t="shared" si="68"/>
        <v>0</v>
      </c>
      <c r="AC506" s="859"/>
      <c r="AD506" s="863"/>
      <c r="AE506" s="859"/>
      <c r="AF506" s="859"/>
      <c r="AG506" s="864"/>
      <c r="AH506" s="865"/>
      <c r="AI506" s="757">
        <f t="shared" si="72"/>
        <v>0</v>
      </c>
      <c r="AJ506" s="758">
        <f t="shared" si="73"/>
        <v>0</v>
      </c>
    </row>
    <row r="507" spans="1:36" x14ac:dyDescent="0.2">
      <c r="A507" s="904" t="s">
        <v>143</v>
      </c>
      <c r="B507" s="924" t="s">
        <v>209</v>
      </c>
      <c r="C507" s="925" t="s">
        <v>576</v>
      </c>
      <c r="D507" s="926"/>
      <c r="E507" s="902"/>
      <c r="F507" s="903"/>
      <c r="G507" s="859"/>
      <c r="H507" s="860"/>
      <c r="I507" s="861"/>
      <c r="J507" s="862"/>
      <c r="K507" s="859"/>
      <c r="L507" s="863"/>
      <c r="M507" s="861"/>
      <c r="N507" s="859"/>
      <c r="O507" s="752">
        <f t="shared" si="66"/>
        <v>0</v>
      </c>
      <c r="P507" s="864"/>
      <c r="Q507" s="860"/>
      <c r="R507" s="753">
        <f t="shared" si="69"/>
        <v>0</v>
      </c>
      <c r="S507" s="752">
        <f t="shared" si="70"/>
        <v>0</v>
      </c>
      <c r="T507" s="754">
        <f t="shared" si="71"/>
        <v>0</v>
      </c>
      <c r="U507" s="859"/>
      <c r="V507" s="863"/>
      <c r="W507" s="859"/>
      <c r="X507" s="859"/>
      <c r="Y507" s="755">
        <f t="shared" si="67"/>
        <v>0</v>
      </c>
      <c r="Z507" s="864"/>
      <c r="AA507" s="863"/>
      <c r="AB507" s="756">
        <f t="shared" si="68"/>
        <v>0</v>
      </c>
      <c r="AC507" s="859"/>
      <c r="AD507" s="863"/>
      <c r="AE507" s="859"/>
      <c r="AF507" s="859"/>
      <c r="AG507" s="864"/>
      <c r="AH507" s="865"/>
      <c r="AI507" s="757">
        <f t="shared" si="72"/>
        <v>0</v>
      </c>
      <c r="AJ507" s="758">
        <f t="shared" si="73"/>
        <v>0</v>
      </c>
    </row>
    <row r="508" spans="1:36" x14ac:dyDescent="0.2">
      <c r="A508" s="904" t="s">
        <v>143</v>
      </c>
      <c r="B508" s="924" t="s">
        <v>210</v>
      </c>
      <c r="C508" s="925" t="s">
        <v>311</v>
      </c>
      <c r="D508" s="926"/>
      <c r="E508" s="902"/>
      <c r="F508" s="903"/>
      <c r="G508" s="859"/>
      <c r="H508" s="860"/>
      <c r="I508" s="861"/>
      <c r="J508" s="862"/>
      <c r="K508" s="859"/>
      <c r="L508" s="863"/>
      <c r="M508" s="861"/>
      <c r="N508" s="859"/>
      <c r="O508" s="752">
        <f t="shared" si="66"/>
        <v>0</v>
      </c>
      <c r="P508" s="864"/>
      <c r="Q508" s="860"/>
      <c r="R508" s="753">
        <f t="shared" si="69"/>
        <v>0</v>
      </c>
      <c r="S508" s="752">
        <f t="shared" si="70"/>
        <v>0</v>
      </c>
      <c r="T508" s="754">
        <f t="shared" si="71"/>
        <v>0</v>
      </c>
      <c r="U508" s="859"/>
      <c r="V508" s="863"/>
      <c r="W508" s="859"/>
      <c r="X508" s="859"/>
      <c r="Y508" s="755">
        <f t="shared" si="67"/>
        <v>0</v>
      </c>
      <c r="Z508" s="864"/>
      <c r="AA508" s="863"/>
      <c r="AB508" s="756">
        <f t="shared" si="68"/>
        <v>0</v>
      </c>
      <c r="AC508" s="859"/>
      <c r="AD508" s="863"/>
      <c r="AE508" s="859"/>
      <c r="AF508" s="859"/>
      <c r="AG508" s="864"/>
      <c r="AH508" s="865"/>
      <c r="AI508" s="757">
        <f t="shared" si="72"/>
        <v>0</v>
      </c>
      <c r="AJ508" s="758">
        <f t="shared" si="73"/>
        <v>0</v>
      </c>
    </row>
    <row r="509" spans="1:36" x14ac:dyDescent="0.2">
      <c r="A509" s="904" t="s">
        <v>143</v>
      </c>
      <c r="B509" s="924" t="s">
        <v>204</v>
      </c>
      <c r="C509" s="925" t="s">
        <v>249</v>
      </c>
      <c r="D509" s="926"/>
      <c r="E509" s="902"/>
      <c r="F509" s="903"/>
      <c r="G509" s="859"/>
      <c r="H509" s="860"/>
      <c r="I509" s="861"/>
      <c r="J509" s="862"/>
      <c r="K509" s="859"/>
      <c r="L509" s="863"/>
      <c r="M509" s="861"/>
      <c r="N509" s="859"/>
      <c r="O509" s="752">
        <f t="shared" si="66"/>
        <v>0</v>
      </c>
      <c r="P509" s="864"/>
      <c r="Q509" s="860"/>
      <c r="R509" s="753">
        <f t="shared" si="69"/>
        <v>0</v>
      </c>
      <c r="S509" s="752">
        <f t="shared" si="70"/>
        <v>0</v>
      </c>
      <c r="T509" s="754">
        <f t="shared" si="71"/>
        <v>0</v>
      </c>
      <c r="U509" s="867">
        <v>1497500</v>
      </c>
      <c r="V509" s="1101">
        <v>1235200</v>
      </c>
      <c r="W509" s="859"/>
      <c r="X509" s="859"/>
      <c r="Y509" s="755">
        <f t="shared" si="67"/>
        <v>0</v>
      </c>
      <c r="Z509" s="864"/>
      <c r="AA509" s="863"/>
      <c r="AB509" s="756">
        <f t="shared" si="68"/>
        <v>0</v>
      </c>
      <c r="AC509" s="859"/>
      <c r="AD509" s="863"/>
      <c r="AE509" s="859"/>
      <c r="AF509" s="859"/>
      <c r="AG509" s="864"/>
      <c r="AH509" s="865"/>
      <c r="AI509" s="757">
        <f t="shared" si="72"/>
        <v>1497500</v>
      </c>
      <c r="AJ509" s="758">
        <f t="shared" si="73"/>
        <v>1235200</v>
      </c>
    </row>
    <row r="510" spans="1:36" x14ac:dyDescent="0.2">
      <c r="A510" s="904" t="s">
        <v>143</v>
      </c>
      <c r="B510" s="924" t="s">
        <v>205</v>
      </c>
      <c r="C510" s="925" t="s">
        <v>577</v>
      </c>
      <c r="D510" s="926"/>
      <c r="E510" s="902"/>
      <c r="F510" s="903"/>
      <c r="G510" s="859"/>
      <c r="H510" s="860"/>
      <c r="I510" s="861"/>
      <c r="J510" s="862"/>
      <c r="K510" s="859"/>
      <c r="L510" s="863"/>
      <c r="M510" s="861"/>
      <c r="N510" s="859"/>
      <c r="O510" s="752">
        <f t="shared" si="66"/>
        <v>0</v>
      </c>
      <c r="P510" s="864"/>
      <c r="Q510" s="860"/>
      <c r="R510" s="753">
        <f t="shared" si="69"/>
        <v>0</v>
      </c>
      <c r="S510" s="752">
        <f t="shared" si="70"/>
        <v>0</v>
      </c>
      <c r="T510" s="754">
        <f t="shared" si="71"/>
        <v>0</v>
      </c>
      <c r="U510" s="859"/>
      <c r="V510" s="863"/>
      <c r="W510" s="859"/>
      <c r="X510" s="859"/>
      <c r="Y510" s="755">
        <f t="shared" si="67"/>
        <v>0</v>
      </c>
      <c r="Z510" s="864"/>
      <c r="AA510" s="863"/>
      <c r="AB510" s="756">
        <f t="shared" si="68"/>
        <v>0</v>
      </c>
      <c r="AC510" s="859"/>
      <c r="AD510" s="863"/>
      <c r="AE510" s="859"/>
      <c r="AF510" s="859"/>
      <c r="AG510" s="864"/>
      <c r="AH510" s="865"/>
      <c r="AI510" s="757">
        <f t="shared" si="72"/>
        <v>0</v>
      </c>
      <c r="AJ510" s="758">
        <f t="shared" si="73"/>
        <v>0</v>
      </c>
    </row>
    <row r="511" spans="1:36" x14ac:dyDescent="0.2">
      <c r="A511" s="904" t="s">
        <v>143</v>
      </c>
      <c r="B511" s="924" t="s">
        <v>218</v>
      </c>
      <c r="C511" s="925" t="s">
        <v>311</v>
      </c>
      <c r="D511" s="926"/>
      <c r="E511" s="902"/>
      <c r="F511" s="903"/>
      <c r="G511" s="859"/>
      <c r="H511" s="860"/>
      <c r="I511" s="861"/>
      <c r="J511" s="862"/>
      <c r="K511" s="859"/>
      <c r="L511" s="863"/>
      <c r="M511" s="861"/>
      <c r="N511" s="859"/>
      <c r="O511" s="752">
        <f t="shared" si="66"/>
        <v>0</v>
      </c>
      <c r="P511" s="864"/>
      <c r="Q511" s="860"/>
      <c r="R511" s="753">
        <f t="shared" si="69"/>
        <v>0</v>
      </c>
      <c r="S511" s="752">
        <f t="shared" si="70"/>
        <v>0</v>
      </c>
      <c r="T511" s="754">
        <f t="shared" si="71"/>
        <v>0</v>
      </c>
      <c r="U511" s="859"/>
      <c r="V511" s="863"/>
      <c r="W511" s="859"/>
      <c r="X511" s="859"/>
      <c r="Y511" s="755">
        <f t="shared" si="67"/>
        <v>0</v>
      </c>
      <c r="Z511" s="864"/>
      <c r="AA511" s="863"/>
      <c r="AB511" s="756">
        <f t="shared" si="68"/>
        <v>0</v>
      </c>
      <c r="AC511" s="859"/>
      <c r="AD511" s="863"/>
      <c r="AE511" s="859"/>
      <c r="AF511" s="859"/>
      <c r="AG511" s="864"/>
      <c r="AH511" s="865"/>
      <c r="AI511" s="757">
        <f t="shared" si="72"/>
        <v>0</v>
      </c>
      <c r="AJ511" s="758">
        <f t="shared" si="73"/>
        <v>0</v>
      </c>
    </row>
    <row r="512" spans="1:36" x14ac:dyDescent="0.2">
      <c r="A512" s="904" t="s">
        <v>143</v>
      </c>
      <c r="B512" s="924" t="s">
        <v>219</v>
      </c>
      <c r="C512" s="925" t="s">
        <v>249</v>
      </c>
      <c r="D512" s="926"/>
      <c r="E512" s="902"/>
      <c r="F512" s="903"/>
      <c r="G512" s="859"/>
      <c r="H512" s="860"/>
      <c r="I512" s="861"/>
      <c r="J512" s="862"/>
      <c r="K512" s="859"/>
      <c r="L512" s="863"/>
      <c r="M512" s="861"/>
      <c r="N512" s="859"/>
      <c r="O512" s="752">
        <f t="shared" si="66"/>
        <v>0</v>
      </c>
      <c r="P512" s="864"/>
      <c r="Q512" s="860"/>
      <c r="R512" s="753">
        <f t="shared" si="69"/>
        <v>0</v>
      </c>
      <c r="S512" s="752">
        <f t="shared" si="70"/>
        <v>0</v>
      </c>
      <c r="T512" s="754">
        <f t="shared" si="71"/>
        <v>0</v>
      </c>
      <c r="U512" s="867">
        <v>0</v>
      </c>
      <c r="V512" s="1101">
        <v>64800</v>
      </c>
      <c r="W512" s="859"/>
      <c r="X512" s="859"/>
      <c r="Y512" s="755">
        <f t="shared" si="67"/>
        <v>0</v>
      </c>
      <c r="Z512" s="864"/>
      <c r="AA512" s="863"/>
      <c r="AB512" s="756">
        <f t="shared" si="68"/>
        <v>0</v>
      </c>
      <c r="AC512" s="859"/>
      <c r="AD512" s="863"/>
      <c r="AE512" s="859"/>
      <c r="AF512" s="859"/>
      <c r="AG512" s="864"/>
      <c r="AH512" s="865"/>
      <c r="AI512" s="757">
        <f t="shared" si="72"/>
        <v>0</v>
      </c>
      <c r="AJ512" s="758">
        <f t="shared" si="73"/>
        <v>64800</v>
      </c>
    </row>
    <row r="513" spans="1:36" x14ac:dyDescent="0.2">
      <c r="A513" s="904" t="s">
        <v>143</v>
      </c>
      <c r="B513" s="899" t="s">
        <v>292</v>
      </c>
      <c r="C513" s="923" t="s">
        <v>669</v>
      </c>
      <c r="D513" s="906"/>
      <c r="E513" s="902"/>
      <c r="F513" s="903"/>
      <c r="G513" s="859"/>
      <c r="H513" s="860"/>
      <c r="I513" s="861"/>
      <c r="J513" s="862"/>
      <c r="K513" s="859"/>
      <c r="L513" s="863"/>
      <c r="M513" s="861"/>
      <c r="N513" s="859"/>
      <c r="O513" s="752">
        <f t="shared" si="66"/>
        <v>0</v>
      </c>
      <c r="P513" s="864"/>
      <c r="Q513" s="860"/>
      <c r="R513" s="753">
        <f t="shared" si="69"/>
        <v>0</v>
      </c>
      <c r="S513" s="752">
        <f t="shared" si="70"/>
        <v>0</v>
      </c>
      <c r="T513" s="754">
        <f t="shared" si="71"/>
        <v>0</v>
      </c>
      <c r="U513" s="859"/>
      <c r="V513" s="863"/>
      <c r="W513" s="859"/>
      <c r="X513" s="859"/>
      <c r="Y513" s="755">
        <f t="shared" si="67"/>
        <v>0</v>
      </c>
      <c r="Z513" s="864"/>
      <c r="AA513" s="863"/>
      <c r="AB513" s="756">
        <f t="shared" si="68"/>
        <v>0</v>
      </c>
      <c r="AC513" s="859"/>
      <c r="AD513" s="863"/>
      <c r="AE513" s="859"/>
      <c r="AF513" s="859"/>
      <c r="AG513" s="864"/>
      <c r="AH513" s="865"/>
      <c r="AI513" s="757">
        <f t="shared" si="72"/>
        <v>0</v>
      </c>
      <c r="AJ513" s="758">
        <f t="shared" si="73"/>
        <v>0</v>
      </c>
    </row>
    <row r="514" spans="1:36" x14ac:dyDescent="0.2">
      <c r="A514" s="904" t="s">
        <v>143</v>
      </c>
      <c r="B514" s="924" t="s">
        <v>209</v>
      </c>
      <c r="C514" s="925" t="s">
        <v>576</v>
      </c>
      <c r="D514" s="926"/>
      <c r="E514" s="902"/>
      <c r="F514" s="903"/>
      <c r="G514" s="859"/>
      <c r="H514" s="860"/>
      <c r="I514" s="861"/>
      <c r="J514" s="862"/>
      <c r="K514" s="859"/>
      <c r="L514" s="863"/>
      <c r="M514" s="861"/>
      <c r="N514" s="859"/>
      <c r="O514" s="752">
        <f t="shared" si="66"/>
        <v>0</v>
      </c>
      <c r="P514" s="864"/>
      <c r="Q514" s="860"/>
      <c r="R514" s="753">
        <f t="shared" si="69"/>
        <v>0</v>
      </c>
      <c r="S514" s="752">
        <f t="shared" si="70"/>
        <v>0</v>
      </c>
      <c r="T514" s="754">
        <f t="shared" si="71"/>
        <v>0</v>
      </c>
      <c r="U514" s="859">
        <v>0</v>
      </c>
      <c r="V514" s="863">
        <v>0</v>
      </c>
      <c r="W514" s="859"/>
      <c r="X514" s="859"/>
      <c r="Y514" s="755">
        <f t="shared" si="67"/>
        <v>0</v>
      </c>
      <c r="Z514" s="864"/>
      <c r="AA514" s="863"/>
      <c r="AB514" s="756">
        <f t="shared" si="68"/>
        <v>0</v>
      </c>
      <c r="AC514" s="859"/>
      <c r="AD514" s="863"/>
      <c r="AE514" s="859"/>
      <c r="AF514" s="859"/>
      <c r="AG514" s="864"/>
      <c r="AH514" s="865"/>
      <c r="AI514" s="757">
        <f t="shared" si="72"/>
        <v>0</v>
      </c>
      <c r="AJ514" s="758">
        <f t="shared" si="73"/>
        <v>0</v>
      </c>
    </row>
    <row r="515" spans="1:36" x14ac:dyDescent="0.2">
      <c r="A515" s="904" t="s">
        <v>143</v>
      </c>
      <c r="B515" s="924" t="s">
        <v>210</v>
      </c>
      <c r="C515" s="925" t="s">
        <v>311</v>
      </c>
      <c r="D515" s="926"/>
      <c r="E515" s="902"/>
      <c r="F515" s="903"/>
      <c r="G515" s="859"/>
      <c r="H515" s="860"/>
      <c r="I515" s="861"/>
      <c r="J515" s="862"/>
      <c r="K515" s="859"/>
      <c r="L515" s="863"/>
      <c r="M515" s="861"/>
      <c r="N515" s="859"/>
      <c r="O515" s="752">
        <f t="shared" si="66"/>
        <v>0</v>
      </c>
      <c r="P515" s="864"/>
      <c r="Q515" s="860"/>
      <c r="R515" s="753">
        <f t="shared" si="69"/>
        <v>0</v>
      </c>
      <c r="S515" s="752">
        <f t="shared" si="70"/>
        <v>0</v>
      </c>
      <c r="T515" s="754">
        <f t="shared" si="71"/>
        <v>0</v>
      </c>
      <c r="U515" s="859"/>
      <c r="V515" s="863"/>
      <c r="W515" s="859"/>
      <c r="X515" s="859"/>
      <c r="Y515" s="755">
        <f t="shared" si="67"/>
        <v>0</v>
      </c>
      <c r="Z515" s="864"/>
      <c r="AA515" s="863"/>
      <c r="AB515" s="756">
        <f t="shared" si="68"/>
        <v>0</v>
      </c>
      <c r="AC515" s="859"/>
      <c r="AD515" s="863"/>
      <c r="AE515" s="859"/>
      <c r="AF515" s="859"/>
      <c r="AG515" s="864"/>
      <c r="AH515" s="865"/>
      <c r="AI515" s="757">
        <f t="shared" si="72"/>
        <v>0</v>
      </c>
      <c r="AJ515" s="758">
        <f t="shared" si="73"/>
        <v>0</v>
      </c>
    </row>
    <row r="516" spans="1:36" x14ac:dyDescent="0.2">
      <c r="A516" s="904" t="s">
        <v>143</v>
      </c>
      <c r="B516" s="924" t="s">
        <v>204</v>
      </c>
      <c r="C516" s="925" t="s">
        <v>249</v>
      </c>
      <c r="D516" s="926"/>
      <c r="E516" s="902"/>
      <c r="F516" s="903"/>
      <c r="G516" s="859"/>
      <c r="H516" s="860"/>
      <c r="I516" s="861"/>
      <c r="J516" s="862"/>
      <c r="K516" s="859"/>
      <c r="L516" s="863"/>
      <c r="M516" s="861"/>
      <c r="N516" s="859"/>
      <c r="O516" s="752">
        <f t="shared" si="66"/>
        <v>0</v>
      </c>
      <c r="P516" s="864"/>
      <c r="Q516" s="860"/>
      <c r="R516" s="753">
        <f t="shared" si="69"/>
        <v>0</v>
      </c>
      <c r="S516" s="752">
        <f t="shared" si="70"/>
        <v>0</v>
      </c>
      <c r="T516" s="754">
        <f t="shared" si="71"/>
        <v>0</v>
      </c>
      <c r="U516" s="859"/>
      <c r="V516" s="863"/>
      <c r="W516" s="859"/>
      <c r="X516" s="859"/>
      <c r="Y516" s="755">
        <f t="shared" si="67"/>
        <v>0</v>
      </c>
      <c r="Z516" s="864"/>
      <c r="AA516" s="863"/>
      <c r="AB516" s="756">
        <f t="shared" si="68"/>
        <v>0</v>
      </c>
      <c r="AC516" s="859"/>
      <c r="AD516" s="863"/>
      <c r="AE516" s="859"/>
      <c r="AF516" s="859"/>
      <c r="AG516" s="864"/>
      <c r="AH516" s="865"/>
      <c r="AI516" s="757">
        <f t="shared" si="72"/>
        <v>0</v>
      </c>
      <c r="AJ516" s="758">
        <f t="shared" si="73"/>
        <v>0</v>
      </c>
    </row>
    <row r="517" spans="1:36" x14ac:dyDescent="0.2">
      <c r="A517" s="904" t="s">
        <v>143</v>
      </c>
      <c r="B517" s="924" t="s">
        <v>205</v>
      </c>
      <c r="C517" s="925" t="s">
        <v>577</v>
      </c>
      <c r="D517" s="926"/>
      <c r="E517" s="902"/>
      <c r="F517" s="903"/>
      <c r="G517" s="859"/>
      <c r="H517" s="860"/>
      <c r="I517" s="861"/>
      <c r="J517" s="862"/>
      <c r="K517" s="859"/>
      <c r="L517" s="863"/>
      <c r="M517" s="861"/>
      <c r="N517" s="859"/>
      <c r="O517" s="752">
        <f t="shared" si="66"/>
        <v>0</v>
      </c>
      <c r="P517" s="864"/>
      <c r="Q517" s="860"/>
      <c r="R517" s="753">
        <f t="shared" si="69"/>
        <v>0</v>
      </c>
      <c r="S517" s="752">
        <f t="shared" si="70"/>
        <v>0</v>
      </c>
      <c r="T517" s="754">
        <f t="shared" si="71"/>
        <v>0</v>
      </c>
      <c r="U517" s="859"/>
      <c r="V517" s="863"/>
      <c r="W517" s="859"/>
      <c r="X517" s="859"/>
      <c r="Y517" s="755">
        <f t="shared" si="67"/>
        <v>0</v>
      </c>
      <c r="Z517" s="864"/>
      <c r="AA517" s="863"/>
      <c r="AB517" s="756">
        <f t="shared" si="68"/>
        <v>0</v>
      </c>
      <c r="AC517" s="859"/>
      <c r="AD517" s="863"/>
      <c r="AE517" s="859"/>
      <c r="AF517" s="859"/>
      <c r="AG517" s="864"/>
      <c r="AH517" s="865"/>
      <c r="AI517" s="757">
        <f t="shared" si="72"/>
        <v>0</v>
      </c>
      <c r="AJ517" s="758">
        <f t="shared" si="73"/>
        <v>0</v>
      </c>
    </row>
    <row r="518" spans="1:36" x14ac:dyDescent="0.2">
      <c r="A518" s="904" t="s">
        <v>143</v>
      </c>
      <c r="B518" s="924" t="s">
        <v>218</v>
      </c>
      <c r="C518" s="925" t="s">
        <v>311</v>
      </c>
      <c r="D518" s="926"/>
      <c r="E518" s="902"/>
      <c r="F518" s="903"/>
      <c r="G518" s="859"/>
      <c r="H518" s="860"/>
      <c r="I518" s="861"/>
      <c r="J518" s="862"/>
      <c r="K518" s="859"/>
      <c r="L518" s="863"/>
      <c r="M518" s="861"/>
      <c r="N518" s="859"/>
      <c r="O518" s="752">
        <f t="shared" si="66"/>
        <v>0</v>
      </c>
      <c r="P518" s="864"/>
      <c r="Q518" s="860"/>
      <c r="R518" s="753">
        <f t="shared" si="69"/>
        <v>0</v>
      </c>
      <c r="S518" s="752">
        <f t="shared" si="70"/>
        <v>0</v>
      </c>
      <c r="T518" s="754">
        <f t="shared" si="71"/>
        <v>0</v>
      </c>
      <c r="U518" s="859"/>
      <c r="V518" s="863"/>
      <c r="W518" s="859"/>
      <c r="X518" s="859"/>
      <c r="Y518" s="755">
        <f t="shared" si="67"/>
        <v>0</v>
      </c>
      <c r="Z518" s="864"/>
      <c r="AA518" s="863"/>
      <c r="AB518" s="756">
        <f t="shared" si="68"/>
        <v>0</v>
      </c>
      <c r="AC518" s="859"/>
      <c r="AD518" s="863"/>
      <c r="AE518" s="859"/>
      <c r="AF518" s="859"/>
      <c r="AG518" s="864"/>
      <c r="AH518" s="865"/>
      <c r="AI518" s="757">
        <f t="shared" si="72"/>
        <v>0</v>
      </c>
      <c r="AJ518" s="758">
        <f t="shared" si="73"/>
        <v>0</v>
      </c>
    </row>
    <row r="519" spans="1:36" x14ac:dyDescent="0.2">
      <c r="A519" s="904" t="s">
        <v>143</v>
      </c>
      <c r="B519" s="924" t="s">
        <v>219</v>
      </c>
      <c r="C519" s="925" t="s">
        <v>249</v>
      </c>
      <c r="D519" s="926"/>
      <c r="E519" s="902"/>
      <c r="F519" s="903"/>
      <c r="G519" s="859"/>
      <c r="H519" s="860"/>
      <c r="I519" s="861"/>
      <c r="J519" s="862"/>
      <c r="K519" s="859"/>
      <c r="L519" s="863"/>
      <c r="M519" s="861"/>
      <c r="N519" s="859"/>
      <c r="O519" s="752">
        <f t="shared" si="66"/>
        <v>0</v>
      </c>
      <c r="P519" s="864"/>
      <c r="Q519" s="860"/>
      <c r="R519" s="753">
        <f t="shared" si="69"/>
        <v>0</v>
      </c>
      <c r="S519" s="752">
        <f t="shared" si="70"/>
        <v>0</v>
      </c>
      <c r="T519" s="754">
        <f t="shared" si="71"/>
        <v>0</v>
      </c>
      <c r="U519" s="859"/>
      <c r="V519" s="863"/>
      <c r="W519" s="859"/>
      <c r="X519" s="859"/>
      <c r="Y519" s="755">
        <f t="shared" si="67"/>
        <v>0</v>
      </c>
      <c r="Z519" s="864"/>
      <c r="AA519" s="863"/>
      <c r="AB519" s="756">
        <f t="shared" si="68"/>
        <v>0</v>
      </c>
      <c r="AC519" s="859"/>
      <c r="AD519" s="863"/>
      <c r="AE519" s="859"/>
      <c r="AF519" s="859"/>
      <c r="AG519" s="864"/>
      <c r="AH519" s="865"/>
      <c r="AI519" s="757">
        <f t="shared" si="72"/>
        <v>0</v>
      </c>
      <c r="AJ519" s="758">
        <f t="shared" si="73"/>
        <v>0</v>
      </c>
    </row>
    <row r="520" spans="1:36" x14ac:dyDescent="0.2">
      <c r="A520" s="904" t="s">
        <v>143</v>
      </c>
      <c r="B520" s="899" t="s">
        <v>292</v>
      </c>
      <c r="C520" s="923" t="s">
        <v>670</v>
      </c>
      <c r="D520" s="906"/>
      <c r="E520" s="902"/>
      <c r="F520" s="903"/>
      <c r="G520" s="859"/>
      <c r="H520" s="860"/>
      <c r="I520" s="861"/>
      <c r="J520" s="862"/>
      <c r="K520" s="859"/>
      <c r="L520" s="863"/>
      <c r="M520" s="861"/>
      <c r="N520" s="859"/>
      <c r="O520" s="752">
        <f t="shared" si="66"/>
        <v>0</v>
      </c>
      <c r="P520" s="864"/>
      <c r="Q520" s="860"/>
      <c r="R520" s="753">
        <f t="shared" si="69"/>
        <v>0</v>
      </c>
      <c r="S520" s="752">
        <f t="shared" si="70"/>
        <v>0</v>
      </c>
      <c r="T520" s="754">
        <f t="shared" si="71"/>
        <v>0</v>
      </c>
      <c r="U520" s="859"/>
      <c r="V520" s="863"/>
      <c r="W520" s="859"/>
      <c r="X520" s="859"/>
      <c r="Y520" s="755">
        <f t="shared" si="67"/>
        <v>0</v>
      </c>
      <c r="Z520" s="864"/>
      <c r="AA520" s="863"/>
      <c r="AB520" s="756">
        <f t="shared" si="68"/>
        <v>0</v>
      </c>
      <c r="AC520" s="859"/>
      <c r="AD520" s="863"/>
      <c r="AE520" s="859"/>
      <c r="AF520" s="859"/>
      <c r="AG520" s="864"/>
      <c r="AH520" s="865"/>
      <c r="AI520" s="757">
        <f t="shared" si="72"/>
        <v>0</v>
      </c>
      <c r="AJ520" s="758">
        <f t="shared" si="73"/>
        <v>0</v>
      </c>
    </row>
    <row r="521" spans="1:36" x14ac:dyDescent="0.2">
      <c r="A521" s="904" t="s">
        <v>143</v>
      </c>
      <c r="B521" s="924" t="s">
        <v>209</v>
      </c>
      <c r="C521" s="925" t="s">
        <v>576</v>
      </c>
      <c r="D521" s="926"/>
      <c r="E521" s="902"/>
      <c r="F521" s="903"/>
      <c r="G521" s="859"/>
      <c r="H521" s="860"/>
      <c r="I521" s="861"/>
      <c r="J521" s="862"/>
      <c r="K521" s="859"/>
      <c r="L521" s="863"/>
      <c r="M521" s="861"/>
      <c r="N521" s="859"/>
      <c r="O521" s="752">
        <f t="shared" si="66"/>
        <v>0</v>
      </c>
      <c r="P521" s="864"/>
      <c r="Q521" s="860"/>
      <c r="R521" s="753">
        <f t="shared" si="69"/>
        <v>0</v>
      </c>
      <c r="S521" s="752">
        <f t="shared" si="70"/>
        <v>0</v>
      </c>
      <c r="T521" s="754">
        <f t="shared" si="71"/>
        <v>0</v>
      </c>
      <c r="U521" s="859"/>
      <c r="V521" s="863"/>
      <c r="W521" s="859"/>
      <c r="X521" s="859"/>
      <c r="Y521" s="755">
        <f t="shared" si="67"/>
        <v>0</v>
      </c>
      <c r="Z521" s="864"/>
      <c r="AA521" s="863"/>
      <c r="AB521" s="756">
        <f t="shared" si="68"/>
        <v>0</v>
      </c>
      <c r="AC521" s="859"/>
      <c r="AD521" s="863"/>
      <c r="AE521" s="859"/>
      <c r="AF521" s="859"/>
      <c r="AG521" s="864"/>
      <c r="AH521" s="865"/>
      <c r="AI521" s="757">
        <f t="shared" si="72"/>
        <v>0</v>
      </c>
      <c r="AJ521" s="758">
        <f t="shared" si="73"/>
        <v>0</v>
      </c>
    </row>
    <row r="522" spans="1:36" x14ac:dyDescent="0.2">
      <c r="A522" s="904" t="s">
        <v>143</v>
      </c>
      <c r="B522" s="924" t="s">
        <v>210</v>
      </c>
      <c r="C522" s="925" t="s">
        <v>311</v>
      </c>
      <c r="D522" s="926"/>
      <c r="E522" s="902"/>
      <c r="F522" s="903"/>
      <c r="G522" s="859"/>
      <c r="H522" s="860"/>
      <c r="I522" s="861"/>
      <c r="J522" s="862"/>
      <c r="K522" s="859"/>
      <c r="L522" s="863"/>
      <c r="M522" s="861"/>
      <c r="N522" s="859"/>
      <c r="O522" s="752">
        <f t="shared" si="66"/>
        <v>0</v>
      </c>
      <c r="P522" s="864"/>
      <c r="Q522" s="860"/>
      <c r="R522" s="753">
        <f t="shared" si="69"/>
        <v>0</v>
      </c>
      <c r="S522" s="752">
        <f t="shared" si="70"/>
        <v>0</v>
      </c>
      <c r="T522" s="754">
        <f t="shared" si="71"/>
        <v>0</v>
      </c>
      <c r="U522" s="859"/>
      <c r="V522" s="863"/>
      <c r="W522" s="859"/>
      <c r="X522" s="859"/>
      <c r="Y522" s="755">
        <f t="shared" si="67"/>
        <v>0</v>
      </c>
      <c r="Z522" s="864"/>
      <c r="AA522" s="863"/>
      <c r="AB522" s="756">
        <f t="shared" si="68"/>
        <v>0</v>
      </c>
      <c r="AC522" s="859"/>
      <c r="AD522" s="863"/>
      <c r="AE522" s="859"/>
      <c r="AF522" s="859"/>
      <c r="AG522" s="864"/>
      <c r="AH522" s="865"/>
      <c r="AI522" s="757">
        <f t="shared" si="72"/>
        <v>0</v>
      </c>
      <c r="AJ522" s="758">
        <f t="shared" si="73"/>
        <v>0</v>
      </c>
    </row>
    <row r="523" spans="1:36" x14ac:dyDescent="0.2">
      <c r="A523" s="904" t="s">
        <v>143</v>
      </c>
      <c r="B523" s="924" t="s">
        <v>204</v>
      </c>
      <c r="C523" s="925" t="s">
        <v>249</v>
      </c>
      <c r="D523" s="926"/>
      <c r="E523" s="902"/>
      <c r="F523" s="903"/>
      <c r="G523" s="859"/>
      <c r="H523" s="860"/>
      <c r="I523" s="861"/>
      <c r="J523" s="862"/>
      <c r="K523" s="859"/>
      <c r="L523" s="863"/>
      <c r="M523" s="861"/>
      <c r="N523" s="859"/>
      <c r="O523" s="752">
        <f t="shared" ref="O523:O561" si="74">SUM(M523:N523)</f>
        <v>0</v>
      </c>
      <c r="P523" s="864"/>
      <c r="Q523" s="860"/>
      <c r="R523" s="753">
        <f t="shared" si="69"/>
        <v>0</v>
      </c>
      <c r="S523" s="752">
        <f t="shared" si="70"/>
        <v>0</v>
      </c>
      <c r="T523" s="754">
        <f t="shared" si="71"/>
        <v>0</v>
      </c>
      <c r="U523" s="859"/>
      <c r="V523" s="863"/>
      <c r="W523" s="859"/>
      <c r="X523" s="859"/>
      <c r="Y523" s="755">
        <f t="shared" ref="Y523:Y562" si="75">SUM(W523:X523)</f>
        <v>0</v>
      </c>
      <c r="Z523" s="864"/>
      <c r="AA523" s="863"/>
      <c r="AB523" s="756">
        <f t="shared" ref="AB523:AB562" si="76">SUM(Z523:AA523)</f>
        <v>0</v>
      </c>
      <c r="AC523" s="859"/>
      <c r="AD523" s="863"/>
      <c r="AE523" s="859"/>
      <c r="AF523" s="859"/>
      <c r="AG523" s="864"/>
      <c r="AH523" s="865"/>
      <c r="AI523" s="757">
        <f t="shared" si="72"/>
        <v>0</v>
      </c>
      <c r="AJ523" s="758">
        <f t="shared" si="73"/>
        <v>0</v>
      </c>
    </row>
    <row r="524" spans="1:36" x14ac:dyDescent="0.2">
      <c r="A524" s="904" t="s">
        <v>143</v>
      </c>
      <c r="B524" s="924" t="s">
        <v>205</v>
      </c>
      <c r="C524" s="925" t="s">
        <v>577</v>
      </c>
      <c r="D524" s="926"/>
      <c r="E524" s="902"/>
      <c r="F524" s="903"/>
      <c r="G524" s="859"/>
      <c r="H524" s="860"/>
      <c r="I524" s="861"/>
      <c r="J524" s="862"/>
      <c r="K524" s="859"/>
      <c r="L524" s="863"/>
      <c r="M524" s="861"/>
      <c r="N524" s="859"/>
      <c r="O524" s="752">
        <f t="shared" si="74"/>
        <v>0</v>
      </c>
      <c r="P524" s="864"/>
      <c r="Q524" s="860"/>
      <c r="R524" s="753">
        <f t="shared" ref="R524:R562" si="77">SUM(P524:Q524)</f>
        <v>0</v>
      </c>
      <c r="S524" s="752">
        <f t="shared" ref="S524:S562" si="78">SUM(G524,I524,K524,M524)</f>
        <v>0</v>
      </c>
      <c r="T524" s="754">
        <f t="shared" ref="T524:T562" si="79">SUM(H524,J524,L524,P524)</f>
        <v>0</v>
      </c>
      <c r="U524" s="859"/>
      <c r="V524" s="863"/>
      <c r="W524" s="859"/>
      <c r="X524" s="859"/>
      <c r="Y524" s="755">
        <f t="shared" si="75"/>
        <v>0</v>
      </c>
      <c r="Z524" s="864"/>
      <c r="AA524" s="863"/>
      <c r="AB524" s="756">
        <f t="shared" si="76"/>
        <v>0</v>
      </c>
      <c r="AC524" s="859"/>
      <c r="AD524" s="863"/>
      <c r="AE524" s="859"/>
      <c r="AF524" s="859"/>
      <c r="AG524" s="864"/>
      <c r="AH524" s="865"/>
      <c r="AI524" s="757">
        <f t="shared" ref="AI524:AI564" si="80">SUM(S524,U524,W524,AC524,AE524)</f>
        <v>0</v>
      </c>
      <c r="AJ524" s="758">
        <f t="shared" ref="AJ524:AJ564" si="81">SUM(T524,V524,Z524,AD524,AG524)</f>
        <v>0</v>
      </c>
    </row>
    <row r="525" spans="1:36" x14ac:dyDescent="0.2">
      <c r="A525" s="904" t="s">
        <v>143</v>
      </c>
      <c r="B525" s="924" t="s">
        <v>218</v>
      </c>
      <c r="C525" s="925" t="s">
        <v>311</v>
      </c>
      <c r="D525" s="926"/>
      <c r="E525" s="902"/>
      <c r="F525" s="903"/>
      <c r="G525" s="859"/>
      <c r="H525" s="860"/>
      <c r="I525" s="861"/>
      <c r="J525" s="862"/>
      <c r="K525" s="859"/>
      <c r="L525" s="863"/>
      <c r="M525" s="861"/>
      <c r="N525" s="859"/>
      <c r="O525" s="752">
        <f t="shared" si="74"/>
        <v>0</v>
      </c>
      <c r="P525" s="864"/>
      <c r="Q525" s="860"/>
      <c r="R525" s="753">
        <f t="shared" si="77"/>
        <v>0</v>
      </c>
      <c r="S525" s="752">
        <f t="shared" si="78"/>
        <v>0</v>
      </c>
      <c r="T525" s="754">
        <f t="shared" si="79"/>
        <v>0</v>
      </c>
      <c r="U525" s="859"/>
      <c r="V525" s="863"/>
      <c r="W525" s="859"/>
      <c r="X525" s="859"/>
      <c r="Y525" s="755">
        <f t="shared" si="75"/>
        <v>0</v>
      </c>
      <c r="Z525" s="864"/>
      <c r="AA525" s="863"/>
      <c r="AB525" s="756">
        <f t="shared" si="76"/>
        <v>0</v>
      </c>
      <c r="AC525" s="859"/>
      <c r="AD525" s="863"/>
      <c r="AE525" s="859"/>
      <c r="AF525" s="859"/>
      <c r="AG525" s="864"/>
      <c r="AH525" s="865"/>
      <c r="AI525" s="757">
        <f t="shared" si="80"/>
        <v>0</v>
      </c>
      <c r="AJ525" s="758">
        <f t="shared" si="81"/>
        <v>0</v>
      </c>
    </row>
    <row r="526" spans="1:36" x14ac:dyDescent="0.2">
      <c r="A526" s="904" t="s">
        <v>143</v>
      </c>
      <c r="B526" s="924" t="s">
        <v>219</v>
      </c>
      <c r="C526" s="925" t="s">
        <v>249</v>
      </c>
      <c r="D526" s="926"/>
      <c r="E526" s="902"/>
      <c r="F526" s="903"/>
      <c r="G526" s="859"/>
      <c r="H526" s="860"/>
      <c r="I526" s="861"/>
      <c r="J526" s="862"/>
      <c r="K526" s="859"/>
      <c r="L526" s="863"/>
      <c r="M526" s="861"/>
      <c r="N526" s="859"/>
      <c r="O526" s="752">
        <f t="shared" si="74"/>
        <v>0</v>
      </c>
      <c r="P526" s="864"/>
      <c r="Q526" s="860"/>
      <c r="R526" s="753">
        <f t="shared" si="77"/>
        <v>0</v>
      </c>
      <c r="S526" s="752">
        <f t="shared" si="78"/>
        <v>0</v>
      </c>
      <c r="T526" s="754">
        <f t="shared" si="79"/>
        <v>0</v>
      </c>
      <c r="U526" s="859"/>
      <c r="V526" s="863"/>
      <c r="W526" s="859"/>
      <c r="X526" s="859"/>
      <c r="Y526" s="755">
        <f t="shared" si="75"/>
        <v>0</v>
      </c>
      <c r="Z526" s="864"/>
      <c r="AA526" s="863"/>
      <c r="AB526" s="756">
        <f t="shared" si="76"/>
        <v>0</v>
      </c>
      <c r="AC526" s="859"/>
      <c r="AD526" s="863"/>
      <c r="AE526" s="859"/>
      <c r="AF526" s="859"/>
      <c r="AG526" s="864"/>
      <c r="AH526" s="865"/>
      <c r="AI526" s="757">
        <f t="shared" si="80"/>
        <v>0</v>
      </c>
      <c r="AJ526" s="758">
        <f t="shared" si="81"/>
        <v>0</v>
      </c>
    </row>
    <row r="527" spans="1:36" x14ac:dyDescent="0.2">
      <c r="A527" s="904" t="s">
        <v>143</v>
      </c>
      <c r="B527" s="899" t="s">
        <v>292</v>
      </c>
      <c r="C527" s="923" t="s">
        <v>671</v>
      </c>
      <c r="D527" s="906"/>
      <c r="E527" s="902"/>
      <c r="F527" s="903"/>
      <c r="G527" s="859"/>
      <c r="H527" s="860"/>
      <c r="I527" s="861"/>
      <c r="J527" s="862"/>
      <c r="K527" s="859"/>
      <c r="L527" s="863"/>
      <c r="M527" s="861"/>
      <c r="N527" s="859"/>
      <c r="O527" s="752">
        <f t="shared" si="74"/>
        <v>0</v>
      </c>
      <c r="P527" s="864"/>
      <c r="Q527" s="860"/>
      <c r="R527" s="753">
        <f t="shared" si="77"/>
        <v>0</v>
      </c>
      <c r="S527" s="752">
        <f t="shared" si="78"/>
        <v>0</v>
      </c>
      <c r="T527" s="754">
        <f t="shared" si="79"/>
        <v>0</v>
      </c>
      <c r="U527" s="859"/>
      <c r="V527" s="863"/>
      <c r="W527" s="859"/>
      <c r="X527" s="859"/>
      <c r="Y527" s="755">
        <f t="shared" si="75"/>
        <v>0</v>
      </c>
      <c r="Z527" s="864"/>
      <c r="AA527" s="863"/>
      <c r="AB527" s="756">
        <f t="shared" si="76"/>
        <v>0</v>
      </c>
      <c r="AC527" s="859"/>
      <c r="AD527" s="863"/>
      <c r="AE527" s="859"/>
      <c r="AF527" s="859"/>
      <c r="AG527" s="864"/>
      <c r="AH527" s="865"/>
      <c r="AI527" s="757">
        <f t="shared" si="80"/>
        <v>0</v>
      </c>
      <c r="AJ527" s="758">
        <f t="shared" si="81"/>
        <v>0</v>
      </c>
    </row>
    <row r="528" spans="1:36" x14ac:dyDescent="0.2">
      <c r="A528" s="904" t="s">
        <v>143</v>
      </c>
      <c r="B528" s="924" t="s">
        <v>310</v>
      </c>
      <c r="C528" s="925" t="s">
        <v>311</v>
      </c>
      <c r="D528" s="926"/>
      <c r="E528" s="902"/>
      <c r="F528" s="903"/>
      <c r="G528" s="859"/>
      <c r="H528" s="860"/>
      <c r="I528" s="861"/>
      <c r="J528" s="862"/>
      <c r="K528" s="859"/>
      <c r="L528" s="863"/>
      <c r="M528" s="861"/>
      <c r="N528" s="859"/>
      <c r="O528" s="752">
        <f t="shared" si="74"/>
        <v>0</v>
      </c>
      <c r="P528" s="864"/>
      <c r="Q528" s="860"/>
      <c r="R528" s="753">
        <f t="shared" si="77"/>
        <v>0</v>
      </c>
      <c r="S528" s="752">
        <f t="shared" si="78"/>
        <v>0</v>
      </c>
      <c r="T528" s="754">
        <f t="shared" si="79"/>
        <v>0</v>
      </c>
      <c r="U528" s="859"/>
      <c r="V528" s="863"/>
      <c r="W528" s="859"/>
      <c r="X528" s="859"/>
      <c r="Y528" s="755">
        <f t="shared" si="75"/>
        <v>0</v>
      </c>
      <c r="Z528" s="864"/>
      <c r="AA528" s="863"/>
      <c r="AB528" s="756">
        <f t="shared" si="76"/>
        <v>0</v>
      </c>
      <c r="AC528" s="859"/>
      <c r="AD528" s="863"/>
      <c r="AE528" s="859"/>
      <c r="AF528" s="859"/>
      <c r="AG528" s="864"/>
      <c r="AH528" s="865"/>
      <c r="AI528" s="757">
        <f t="shared" si="80"/>
        <v>0</v>
      </c>
      <c r="AJ528" s="758">
        <f t="shared" si="81"/>
        <v>0</v>
      </c>
    </row>
    <row r="529" spans="1:36" x14ac:dyDescent="0.2">
      <c r="A529" s="904" t="s">
        <v>143</v>
      </c>
      <c r="B529" s="924" t="s">
        <v>251</v>
      </c>
      <c r="C529" s="925" t="s">
        <v>249</v>
      </c>
      <c r="D529" s="926"/>
      <c r="E529" s="902"/>
      <c r="F529" s="903"/>
      <c r="G529" s="859"/>
      <c r="H529" s="860"/>
      <c r="I529" s="861"/>
      <c r="J529" s="862"/>
      <c r="K529" s="859"/>
      <c r="L529" s="863"/>
      <c r="M529" s="861"/>
      <c r="N529" s="859"/>
      <c r="O529" s="752">
        <f t="shared" si="74"/>
        <v>0</v>
      </c>
      <c r="P529" s="864"/>
      <c r="Q529" s="860"/>
      <c r="R529" s="753">
        <f t="shared" si="77"/>
        <v>0</v>
      </c>
      <c r="S529" s="752">
        <f t="shared" si="78"/>
        <v>0</v>
      </c>
      <c r="T529" s="754">
        <f t="shared" si="79"/>
        <v>0</v>
      </c>
      <c r="U529" s="859">
        <v>200000</v>
      </c>
      <c r="V529" s="863">
        <v>175000</v>
      </c>
      <c r="W529" s="859"/>
      <c r="X529" s="859"/>
      <c r="Y529" s="755">
        <f t="shared" si="75"/>
        <v>0</v>
      </c>
      <c r="Z529" s="864"/>
      <c r="AA529" s="863"/>
      <c r="AB529" s="756">
        <f t="shared" si="76"/>
        <v>0</v>
      </c>
      <c r="AC529" s="859"/>
      <c r="AD529" s="863"/>
      <c r="AE529" s="859"/>
      <c r="AF529" s="859"/>
      <c r="AG529" s="864"/>
      <c r="AH529" s="865"/>
      <c r="AI529" s="757">
        <f t="shared" si="80"/>
        <v>200000</v>
      </c>
      <c r="AJ529" s="758">
        <f t="shared" si="81"/>
        <v>175000</v>
      </c>
    </row>
    <row r="530" spans="1:36" x14ac:dyDescent="0.2">
      <c r="A530" s="904" t="s">
        <v>143</v>
      </c>
      <c r="B530" s="924" t="s">
        <v>209</v>
      </c>
      <c r="C530" s="925" t="s">
        <v>576</v>
      </c>
      <c r="D530" s="926"/>
      <c r="E530" s="902"/>
      <c r="F530" s="903"/>
      <c r="G530" s="859"/>
      <c r="H530" s="860"/>
      <c r="I530" s="861"/>
      <c r="J530" s="862"/>
      <c r="K530" s="859"/>
      <c r="L530" s="863"/>
      <c r="M530" s="861"/>
      <c r="N530" s="859"/>
      <c r="O530" s="752">
        <f t="shared" si="74"/>
        <v>0</v>
      </c>
      <c r="P530" s="864"/>
      <c r="Q530" s="860"/>
      <c r="R530" s="753">
        <f t="shared" si="77"/>
        <v>0</v>
      </c>
      <c r="S530" s="752">
        <f t="shared" si="78"/>
        <v>0</v>
      </c>
      <c r="T530" s="754">
        <f t="shared" si="79"/>
        <v>0</v>
      </c>
      <c r="U530" s="859"/>
      <c r="V530" s="863"/>
      <c r="W530" s="859"/>
      <c r="X530" s="859"/>
      <c r="Y530" s="755">
        <f t="shared" si="75"/>
        <v>0</v>
      </c>
      <c r="Z530" s="864"/>
      <c r="AA530" s="863"/>
      <c r="AB530" s="756">
        <f t="shared" si="76"/>
        <v>0</v>
      </c>
      <c r="AC530" s="859"/>
      <c r="AD530" s="863"/>
      <c r="AE530" s="859"/>
      <c r="AF530" s="859"/>
      <c r="AG530" s="864"/>
      <c r="AH530" s="865"/>
      <c r="AI530" s="757">
        <f t="shared" si="80"/>
        <v>0</v>
      </c>
      <c r="AJ530" s="758">
        <f t="shared" si="81"/>
        <v>0</v>
      </c>
    </row>
    <row r="531" spans="1:36" x14ac:dyDescent="0.2">
      <c r="A531" s="904" t="s">
        <v>143</v>
      </c>
      <c r="B531" s="924" t="s">
        <v>210</v>
      </c>
      <c r="C531" s="925" t="s">
        <v>311</v>
      </c>
      <c r="D531" s="926"/>
      <c r="E531" s="902"/>
      <c r="F531" s="903"/>
      <c r="G531" s="859"/>
      <c r="H531" s="860"/>
      <c r="I531" s="861"/>
      <c r="J531" s="862"/>
      <c r="K531" s="859"/>
      <c r="L531" s="863"/>
      <c r="M531" s="861"/>
      <c r="N531" s="859"/>
      <c r="O531" s="752">
        <f t="shared" si="74"/>
        <v>0</v>
      </c>
      <c r="P531" s="864"/>
      <c r="Q531" s="860"/>
      <c r="R531" s="753">
        <f t="shared" si="77"/>
        <v>0</v>
      </c>
      <c r="S531" s="752">
        <f t="shared" si="78"/>
        <v>0</v>
      </c>
      <c r="T531" s="754">
        <f t="shared" si="79"/>
        <v>0</v>
      </c>
      <c r="U531" s="859"/>
      <c r="V531" s="863"/>
      <c r="W531" s="859"/>
      <c r="X531" s="859"/>
      <c r="Y531" s="755">
        <f t="shared" si="75"/>
        <v>0</v>
      </c>
      <c r="Z531" s="864"/>
      <c r="AA531" s="863"/>
      <c r="AB531" s="756">
        <f t="shared" si="76"/>
        <v>0</v>
      </c>
      <c r="AC531" s="859"/>
      <c r="AD531" s="863"/>
      <c r="AE531" s="859"/>
      <c r="AF531" s="859"/>
      <c r="AG531" s="864"/>
      <c r="AH531" s="865"/>
      <c r="AI531" s="757">
        <f t="shared" si="80"/>
        <v>0</v>
      </c>
      <c r="AJ531" s="758">
        <f t="shared" si="81"/>
        <v>0</v>
      </c>
    </row>
    <row r="532" spans="1:36" x14ac:dyDescent="0.2">
      <c r="A532" s="904" t="s">
        <v>143</v>
      </c>
      <c r="B532" s="924" t="s">
        <v>204</v>
      </c>
      <c r="C532" s="925" t="s">
        <v>249</v>
      </c>
      <c r="D532" s="926"/>
      <c r="E532" s="902"/>
      <c r="F532" s="903"/>
      <c r="G532" s="859"/>
      <c r="H532" s="860"/>
      <c r="I532" s="861"/>
      <c r="J532" s="862"/>
      <c r="K532" s="859"/>
      <c r="L532" s="863"/>
      <c r="M532" s="861"/>
      <c r="N532" s="859"/>
      <c r="O532" s="752">
        <f t="shared" si="74"/>
        <v>0</v>
      </c>
      <c r="P532" s="864"/>
      <c r="Q532" s="860"/>
      <c r="R532" s="753">
        <f t="shared" si="77"/>
        <v>0</v>
      </c>
      <c r="S532" s="752">
        <f t="shared" si="78"/>
        <v>0</v>
      </c>
      <c r="T532" s="754">
        <f t="shared" si="79"/>
        <v>0</v>
      </c>
      <c r="U532" s="859"/>
      <c r="V532" s="863"/>
      <c r="W532" s="859"/>
      <c r="X532" s="859"/>
      <c r="Y532" s="755">
        <f t="shared" si="75"/>
        <v>0</v>
      </c>
      <c r="Z532" s="864"/>
      <c r="AA532" s="863"/>
      <c r="AB532" s="756">
        <f t="shared" si="76"/>
        <v>0</v>
      </c>
      <c r="AC532" s="859"/>
      <c r="AD532" s="863"/>
      <c r="AE532" s="859"/>
      <c r="AF532" s="859"/>
      <c r="AG532" s="864"/>
      <c r="AH532" s="865"/>
      <c r="AI532" s="757">
        <f t="shared" si="80"/>
        <v>0</v>
      </c>
      <c r="AJ532" s="758">
        <f t="shared" si="81"/>
        <v>0</v>
      </c>
    </row>
    <row r="533" spans="1:36" x14ac:dyDescent="0.2">
      <c r="A533" s="904" t="s">
        <v>143</v>
      </c>
      <c r="B533" s="924" t="s">
        <v>205</v>
      </c>
      <c r="C533" s="925" t="s">
        <v>577</v>
      </c>
      <c r="D533" s="926"/>
      <c r="E533" s="902"/>
      <c r="F533" s="903"/>
      <c r="G533" s="859"/>
      <c r="H533" s="860"/>
      <c r="I533" s="861"/>
      <c r="J533" s="862"/>
      <c r="K533" s="859"/>
      <c r="L533" s="863"/>
      <c r="M533" s="861"/>
      <c r="N533" s="859"/>
      <c r="O533" s="752">
        <f t="shared" si="74"/>
        <v>0</v>
      </c>
      <c r="P533" s="864"/>
      <c r="Q533" s="860"/>
      <c r="R533" s="753">
        <f t="shared" si="77"/>
        <v>0</v>
      </c>
      <c r="S533" s="752">
        <f t="shared" si="78"/>
        <v>0</v>
      </c>
      <c r="T533" s="754">
        <f t="shared" si="79"/>
        <v>0</v>
      </c>
      <c r="U533" s="859"/>
      <c r="V533" s="863"/>
      <c r="W533" s="859"/>
      <c r="X533" s="859"/>
      <c r="Y533" s="755">
        <f t="shared" si="75"/>
        <v>0</v>
      </c>
      <c r="Z533" s="864"/>
      <c r="AA533" s="863"/>
      <c r="AB533" s="756">
        <f t="shared" si="76"/>
        <v>0</v>
      </c>
      <c r="AC533" s="859"/>
      <c r="AD533" s="863"/>
      <c r="AE533" s="859"/>
      <c r="AF533" s="859"/>
      <c r="AG533" s="864"/>
      <c r="AH533" s="865"/>
      <c r="AI533" s="757">
        <f t="shared" si="80"/>
        <v>0</v>
      </c>
      <c r="AJ533" s="758">
        <f t="shared" si="81"/>
        <v>0</v>
      </c>
    </row>
    <row r="534" spans="1:36" x14ac:dyDescent="0.2">
      <c r="A534" s="904" t="s">
        <v>143</v>
      </c>
      <c r="B534" s="924" t="s">
        <v>218</v>
      </c>
      <c r="C534" s="925" t="s">
        <v>311</v>
      </c>
      <c r="D534" s="926"/>
      <c r="E534" s="902"/>
      <c r="F534" s="903"/>
      <c r="G534" s="859"/>
      <c r="H534" s="860"/>
      <c r="I534" s="861"/>
      <c r="J534" s="862"/>
      <c r="K534" s="859"/>
      <c r="L534" s="863"/>
      <c r="M534" s="861"/>
      <c r="N534" s="859"/>
      <c r="O534" s="752">
        <f t="shared" si="74"/>
        <v>0</v>
      </c>
      <c r="P534" s="864"/>
      <c r="Q534" s="860"/>
      <c r="R534" s="753">
        <f t="shared" si="77"/>
        <v>0</v>
      </c>
      <c r="S534" s="752">
        <f t="shared" si="78"/>
        <v>0</v>
      </c>
      <c r="T534" s="754">
        <f t="shared" si="79"/>
        <v>0</v>
      </c>
      <c r="U534" s="859"/>
      <c r="V534" s="863"/>
      <c r="W534" s="859"/>
      <c r="X534" s="859"/>
      <c r="Y534" s="755">
        <f t="shared" si="75"/>
        <v>0</v>
      </c>
      <c r="Z534" s="864"/>
      <c r="AA534" s="863"/>
      <c r="AB534" s="756">
        <f t="shared" si="76"/>
        <v>0</v>
      </c>
      <c r="AC534" s="859"/>
      <c r="AD534" s="863"/>
      <c r="AE534" s="859"/>
      <c r="AF534" s="859"/>
      <c r="AG534" s="864"/>
      <c r="AH534" s="865"/>
      <c r="AI534" s="757">
        <f t="shared" si="80"/>
        <v>0</v>
      </c>
      <c r="AJ534" s="758">
        <f t="shared" si="81"/>
        <v>0</v>
      </c>
    </row>
    <row r="535" spans="1:36" x14ac:dyDescent="0.2">
      <c r="A535" s="904" t="s">
        <v>143</v>
      </c>
      <c r="B535" s="924" t="s">
        <v>219</v>
      </c>
      <c r="C535" s="925" t="s">
        <v>249</v>
      </c>
      <c r="D535" s="926"/>
      <c r="E535" s="902"/>
      <c r="F535" s="903"/>
      <c r="G535" s="859"/>
      <c r="H535" s="860"/>
      <c r="I535" s="861"/>
      <c r="J535" s="862"/>
      <c r="K535" s="859"/>
      <c r="L535" s="863"/>
      <c r="M535" s="861"/>
      <c r="N535" s="859"/>
      <c r="O535" s="752">
        <f t="shared" si="74"/>
        <v>0</v>
      </c>
      <c r="P535" s="864"/>
      <c r="Q535" s="860"/>
      <c r="R535" s="753">
        <f t="shared" si="77"/>
        <v>0</v>
      </c>
      <c r="S535" s="752">
        <f t="shared" si="78"/>
        <v>0</v>
      </c>
      <c r="T535" s="754">
        <f t="shared" si="79"/>
        <v>0</v>
      </c>
      <c r="U535" s="859"/>
      <c r="V535" s="863"/>
      <c r="W535" s="859"/>
      <c r="X535" s="859"/>
      <c r="Y535" s="755">
        <f t="shared" si="75"/>
        <v>0</v>
      </c>
      <c r="Z535" s="864"/>
      <c r="AA535" s="863"/>
      <c r="AB535" s="756">
        <f t="shared" si="76"/>
        <v>0</v>
      </c>
      <c r="AC535" s="859"/>
      <c r="AD535" s="863"/>
      <c r="AE535" s="859"/>
      <c r="AF535" s="859"/>
      <c r="AG535" s="864"/>
      <c r="AH535" s="865"/>
      <c r="AI535" s="757">
        <f t="shared" si="80"/>
        <v>0</v>
      </c>
      <c r="AJ535" s="758">
        <f t="shared" si="81"/>
        <v>0</v>
      </c>
    </row>
    <row r="536" spans="1:36" x14ac:dyDescent="0.2">
      <c r="A536" s="904" t="s">
        <v>143</v>
      </c>
      <c r="B536" s="899" t="s">
        <v>292</v>
      </c>
      <c r="C536" s="923" t="s">
        <v>672</v>
      </c>
      <c r="D536" s="906"/>
      <c r="E536" s="902"/>
      <c r="F536" s="903"/>
      <c r="G536" s="859"/>
      <c r="H536" s="860"/>
      <c r="I536" s="861"/>
      <c r="J536" s="862"/>
      <c r="K536" s="859"/>
      <c r="L536" s="863"/>
      <c r="M536" s="861"/>
      <c r="N536" s="859"/>
      <c r="O536" s="752">
        <f t="shared" si="74"/>
        <v>0</v>
      </c>
      <c r="P536" s="862"/>
      <c r="Q536" s="860"/>
      <c r="R536" s="753">
        <f t="shared" si="77"/>
        <v>0</v>
      </c>
      <c r="S536" s="752">
        <f t="shared" si="78"/>
        <v>0</v>
      </c>
      <c r="T536" s="754">
        <f t="shared" si="79"/>
        <v>0</v>
      </c>
      <c r="U536" s="859"/>
      <c r="V536" s="863"/>
      <c r="W536" s="859"/>
      <c r="X536" s="859"/>
      <c r="Y536" s="755">
        <f t="shared" si="75"/>
        <v>0</v>
      </c>
      <c r="Z536" s="864"/>
      <c r="AA536" s="863"/>
      <c r="AB536" s="756">
        <f t="shared" si="76"/>
        <v>0</v>
      </c>
      <c r="AC536" s="859"/>
      <c r="AD536" s="863"/>
      <c r="AE536" s="859"/>
      <c r="AF536" s="859"/>
      <c r="AG536" s="864"/>
      <c r="AH536" s="865"/>
      <c r="AI536" s="757">
        <f t="shared" si="80"/>
        <v>0</v>
      </c>
      <c r="AJ536" s="758">
        <f t="shared" si="81"/>
        <v>0</v>
      </c>
    </row>
    <row r="537" spans="1:36" x14ac:dyDescent="0.2">
      <c r="A537" s="904" t="s">
        <v>143</v>
      </c>
      <c r="B537" s="924" t="s">
        <v>209</v>
      </c>
      <c r="C537" s="925" t="s">
        <v>576</v>
      </c>
      <c r="D537" s="926"/>
      <c r="E537" s="902"/>
      <c r="F537" s="903"/>
      <c r="G537" s="859"/>
      <c r="H537" s="860"/>
      <c r="I537" s="861"/>
      <c r="J537" s="862"/>
      <c r="K537" s="859"/>
      <c r="L537" s="863"/>
      <c r="M537" s="861"/>
      <c r="N537" s="859"/>
      <c r="O537" s="752">
        <f t="shared" si="74"/>
        <v>0</v>
      </c>
      <c r="P537" s="862"/>
      <c r="Q537" s="860"/>
      <c r="R537" s="753">
        <f t="shared" si="77"/>
        <v>0</v>
      </c>
      <c r="S537" s="752">
        <f t="shared" si="78"/>
        <v>0</v>
      </c>
      <c r="T537" s="754">
        <f t="shared" si="79"/>
        <v>0</v>
      </c>
      <c r="U537" s="859"/>
      <c r="V537" s="863"/>
      <c r="W537" s="859"/>
      <c r="X537" s="859"/>
      <c r="Y537" s="755">
        <f t="shared" si="75"/>
        <v>0</v>
      </c>
      <c r="Z537" s="864"/>
      <c r="AA537" s="863"/>
      <c r="AB537" s="756">
        <f t="shared" si="76"/>
        <v>0</v>
      </c>
      <c r="AC537" s="859"/>
      <c r="AD537" s="863"/>
      <c r="AE537" s="859"/>
      <c r="AF537" s="859"/>
      <c r="AG537" s="864"/>
      <c r="AH537" s="865"/>
      <c r="AI537" s="757">
        <f t="shared" si="80"/>
        <v>0</v>
      </c>
      <c r="AJ537" s="758">
        <f t="shared" si="81"/>
        <v>0</v>
      </c>
    </row>
    <row r="538" spans="1:36" x14ac:dyDescent="0.2">
      <c r="A538" s="904" t="s">
        <v>143</v>
      </c>
      <c r="B538" s="924" t="s">
        <v>210</v>
      </c>
      <c r="C538" s="925" t="s">
        <v>311</v>
      </c>
      <c r="D538" s="926"/>
      <c r="E538" s="902"/>
      <c r="F538" s="903"/>
      <c r="G538" s="859"/>
      <c r="H538" s="860"/>
      <c r="I538" s="861"/>
      <c r="J538" s="862"/>
      <c r="K538" s="859"/>
      <c r="L538" s="863"/>
      <c r="M538" s="861"/>
      <c r="N538" s="859"/>
      <c r="O538" s="752">
        <f t="shared" si="74"/>
        <v>0</v>
      </c>
      <c r="P538" s="862"/>
      <c r="Q538" s="860"/>
      <c r="R538" s="753">
        <f t="shared" si="77"/>
        <v>0</v>
      </c>
      <c r="S538" s="752">
        <f t="shared" si="78"/>
        <v>0</v>
      </c>
      <c r="T538" s="754">
        <f t="shared" si="79"/>
        <v>0</v>
      </c>
      <c r="U538" s="859"/>
      <c r="V538" s="863"/>
      <c r="W538" s="859"/>
      <c r="X538" s="859"/>
      <c r="Y538" s="755">
        <f t="shared" si="75"/>
        <v>0</v>
      </c>
      <c r="Z538" s="864"/>
      <c r="AA538" s="863"/>
      <c r="AB538" s="756">
        <f t="shared" si="76"/>
        <v>0</v>
      </c>
      <c r="AC538" s="859"/>
      <c r="AD538" s="863"/>
      <c r="AE538" s="859"/>
      <c r="AF538" s="859"/>
      <c r="AG538" s="864"/>
      <c r="AH538" s="865"/>
      <c r="AI538" s="757">
        <f t="shared" si="80"/>
        <v>0</v>
      </c>
      <c r="AJ538" s="758">
        <f t="shared" si="81"/>
        <v>0</v>
      </c>
    </row>
    <row r="539" spans="1:36" x14ac:dyDescent="0.2">
      <c r="A539" s="904" t="s">
        <v>143</v>
      </c>
      <c r="B539" s="924" t="s">
        <v>204</v>
      </c>
      <c r="C539" s="925" t="s">
        <v>249</v>
      </c>
      <c r="D539" s="926"/>
      <c r="E539" s="902"/>
      <c r="F539" s="903"/>
      <c r="G539" s="859"/>
      <c r="H539" s="860"/>
      <c r="I539" s="861"/>
      <c r="J539" s="862"/>
      <c r="K539" s="859"/>
      <c r="L539" s="863"/>
      <c r="M539" s="861"/>
      <c r="N539" s="859"/>
      <c r="O539" s="752">
        <f t="shared" si="74"/>
        <v>0</v>
      </c>
      <c r="P539" s="862"/>
      <c r="Q539" s="860"/>
      <c r="R539" s="753">
        <f t="shared" si="77"/>
        <v>0</v>
      </c>
      <c r="S539" s="752">
        <f t="shared" si="78"/>
        <v>0</v>
      </c>
      <c r="T539" s="754">
        <f t="shared" si="79"/>
        <v>0</v>
      </c>
      <c r="U539" s="867">
        <v>36375</v>
      </c>
      <c r="V539" s="1101">
        <v>62250</v>
      </c>
      <c r="W539" s="859"/>
      <c r="X539" s="859"/>
      <c r="Y539" s="755">
        <f t="shared" si="75"/>
        <v>0</v>
      </c>
      <c r="Z539" s="864"/>
      <c r="AA539" s="863"/>
      <c r="AB539" s="756">
        <f t="shared" si="76"/>
        <v>0</v>
      </c>
      <c r="AC539" s="859"/>
      <c r="AD539" s="863"/>
      <c r="AE539" s="859"/>
      <c r="AF539" s="859"/>
      <c r="AG539" s="864"/>
      <c r="AH539" s="865"/>
      <c r="AI539" s="757">
        <f t="shared" si="80"/>
        <v>36375</v>
      </c>
      <c r="AJ539" s="758">
        <f t="shared" si="81"/>
        <v>62250</v>
      </c>
    </row>
    <row r="540" spans="1:36" x14ac:dyDescent="0.2">
      <c r="A540" s="904" t="s">
        <v>143</v>
      </c>
      <c r="B540" s="924" t="s">
        <v>205</v>
      </c>
      <c r="C540" s="925" t="s">
        <v>577</v>
      </c>
      <c r="D540" s="926"/>
      <c r="E540" s="902"/>
      <c r="F540" s="903"/>
      <c r="G540" s="859"/>
      <c r="H540" s="860"/>
      <c r="I540" s="861"/>
      <c r="J540" s="862"/>
      <c r="K540" s="859"/>
      <c r="L540" s="863"/>
      <c r="M540" s="861"/>
      <c r="N540" s="859"/>
      <c r="O540" s="752">
        <f t="shared" si="74"/>
        <v>0</v>
      </c>
      <c r="P540" s="862"/>
      <c r="Q540" s="860"/>
      <c r="R540" s="753">
        <f t="shared" si="77"/>
        <v>0</v>
      </c>
      <c r="S540" s="752">
        <f t="shared" si="78"/>
        <v>0</v>
      </c>
      <c r="T540" s="754">
        <f t="shared" si="79"/>
        <v>0</v>
      </c>
      <c r="U540" s="859"/>
      <c r="V540" s="863"/>
      <c r="W540" s="859"/>
      <c r="X540" s="859"/>
      <c r="Y540" s="755">
        <f t="shared" si="75"/>
        <v>0</v>
      </c>
      <c r="Z540" s="864"/>
      <c r="AA540" s="863"/>
      <c r="AB540" s="756">
        <f t="shared" si="76"/>
        <v>0</v>
      </c>
      <c r="AC540" s="859"/>
      <c r="AD540" s="863"/>
      <c r="AE540" s="859"/>
      <c r="AF540" s="859"/>
      <c r="AG540" s="864"/>
      <c r="AH540" s="865"/>
      <c r="AI540" s="757">
        <f t="shared" si="80"/>
        <v>0</v>
      </c>
      <c r="AJ540" s="758">
        <f t="shared" si="81"/>
        <v>0</v>
      </c>
    </row>
    <row r="541" spans="1:36" x14ac:dyDescent="0.2">
      <c r="A541" s="904" t="s">
        <v>143</v>
      </c>
      <c r="B541" s="924" t="s">
        <v>218</v>
      </c>
      <c r="C541" s="925" t="s">
        <v>311</v>
      </c>
      <c r="D541" s="926"/>
      <c r="E541" s="902"/>
      <c r="F541" s="903"/>
      <c r="G541" s="859"/>
      <c r="H541" s="860"/>
      <c r="I541" s="861"/>
      <c r="J541" s="862"/>
      <c r="K541" s="859"/>
      <c r="L541" s="863"/>
      <c r="M541" s="861"/>
      <c r="N541" s="859"/>
      <c r="O541" s="752">
        <f t="shared" si="74"/>
        <v>0</v>
      </c>
      <c r="P541" s="862"/>
      <c r="Q541" s="860"/>
      <c r="R541" s="753">
        <f t="shared" si="77"/>
        <v>0</v>
      </c>
      <c r="S541" s="752">
        <f t="shared" si="78"/>
        <v>0</v>
      </c>
      <c r="T541" s="754">
        <f t="shared" si="79"/>
        <v>0</v>
      </c>
      <c r="U541" s="859"/>
      <c r="V541" s="863"/>
      <c r="W541" s="859"/>
      <c r="X541" s="859"/>
      <c r="Y541" s="755">
        <f t="shared" si="75"/>
        <v>0</v>
      </c>
      <c r="Z541" s="864"/>
      <c r="AA541" s="863"/>
      <c r="AB541" s="756">
        <f t="shared" si="76"/>
        <v>0</v>
      </c>
      <c r="AC541" s="859"/>
      <c r="AD541" s="863"/>
      <c r="AE541" s="859"/>
      <c r="AF541" s="859"/>
      <c r="AG541" s="864"/>
      <c r="AH541" s="865"/>
      <c r="AI541" s="757">
        <f t="shared" si="80"/>
        <v>0</v>
      </c>
      <c r="AJ541" s="758">
        <f t="shared" si="81"/>
        <v>0</v>
      </c>
    </row>
    <row r="542" spans="1:36" x14ac:dyDescent="0.2">
      <c r="A542" s="904" t="s">
        <v>143</v>
      </c>
      <c r="B542" s="924" t="s">
        <v>219</v>
      </c>
      <c r="C542" s="925" t="s">
        <v>249</v>
      </c>
      <c r="D542" s="926"/>
      <c r="E542" s="902"/>
      <c r="F542" s="903"/>
      <c r="G542" s="859"/>
      <c r="H542" s="860"/>
      <c r="I542" s="861"/>
      <c r="J542" s="862"/>
      <c r="K542" s="859"/>
      <c r="L542" s="863"/>
      <c r="M542" s="861"/>
      <c r="N542" s="859"/>
      <c r="O542" s="752">
        <f t="shared" si="74"/>
        <v>0</v>
      </c>
      <c r="P542" s="862"/>
      <c r="Q542" s="860"/>
      <c r="R542" s="753">
        <f t="shared" si="77"/>
        <v>0</v>
      </c>
      <c r="S542" s="752">
        <f t="shared" si="78"/>
        <v>0</v>
      </c>
      <c r="T542" s="754">
        <f t="shared" si="79"/>
        <v>0</v>
      </c>
      <c r="U542" s="859">
        <v>0</v>
      </c>
      <c r="V542" s="863"/>
      <c r="W542" s="859"/>
      <c r="X542" s="859"/>
      <c r="Y542" s="755">
        <f t="shared" si="75"/>
        <v>0</v>
      </c>
      <c r="Z542" s="864"/>
      <c r="AA542" s="863"/>
      <c r="AB542" s="756">
        <f t="shared" si="76"/>
        <v>0</v>
      </c>
      <c r="AC542" s="859"/>
      <c r="AD542" s="863"/>
      <c r="AE542" s="859"/>
      <c r="AF542" s="859"/>
      <c r="AG542" s="864"/>
      <c r="AH542" s="865"/>
      <c r="AI542" s="757">
        <f t="shared" si="80"/>
        <v>0</v>
      </c>
      <c r="AJ542" s="758">
        <f t="shared" si="81"/>
        <v>0</v>
      </c>
    </row>
    <row r="543" spans="1:36" x14ac:dyDescent="0.2">
      <c r="A543" s="904" t="s">
        <v>143</v>
      </c>
      <c r="B543" s="899" t="s">
        <v>292</v>
      </c>
      <c r="C543" s="923" t="s">
        <v>673</v>
      </c>
      <c r="D543" s="906"/>
      <c r="E543" s="929"/>
      <c r="F543" s="930"/>
      <c r="G543" s="859"/>
      <c r="H543" s="860"/>
      <c r="I543" s="861"/>
      <c r="J543" s="862"/>
      <c r="K543" s="859"/>
      <c r="L543" s="863"/>
      <c r="M543" s="861"/>
      <c r="N543" s="859"/>
      <c r="O543" s="752">
        <f t="shared" si="74"/>
        <v>0</v>
      </c>
      <c r="P543" s="862"/>
      <c r="Q543" s="860"/>
      <c r="R543" s="753">
        <f t="shared" si="77"/>
        <v>0</v>
      </c>
      <c r="S543" s="752">
        <f t="shared" si="78"/>
        <v>0</v>
      </c>
      <c r="T543" s="754">
        <f t="shared" si="79"/>
        <v>0</v>
      </c>
      <c r="U543" s="859"/>
      <c r="V543" s="863"/>
      <c r="W543" s="859"/>
      <c r="X543" s="859"/>
      <c r="Y543" s="755">
        <f t="shared" si="75"/>
        <v>0</v>
      </c>
      <c r="Z543" s="864"/>
      <c r="AA543" s="863"/>
      <c r="AB543" s="756">
        <f t="shared" si="76"/>
        <v>0</v>
      </c>
      <c r="AC543" s="859"/>
      <c r="AD543" s="863"/>
      <c r="AE543" s="859"/>
      <c r="AF543" s="859"/>
      <c r="AG543" s="864"/>
      <c r="AH543" s="865"/>
      <c r="AI543" s="757">
        <f t="shared" si="80"/>
        <v>0</v>
      </c>
      <c r="AJ543" s="758">
        <f t="shared" si="81"/>
        <v>0</v>
      </c>
    </row>
    <row r="544" spans="1:36" x14ac:dyDescent="0.2">
      <c r="A544" s="904" t="s">
        <v>143</v>
      </c>
      <c r="B544" s="931" t="s">
        <v>209</v>
      </c>
      <c r="C544" s="925" t="s">
        <v>576</v>
      </c>
      <c r="D544" s="926"/>
      <c r="E544" s="929"/>
      <c r="F544" s="930"/>
      <c r="G544" s="859"/>
      <c r="H544" s="860"/>
      <c r="I544" s="861"/>
      <c r="J544" s="862"/>
      <c r="K544" s="859"/>
      <c r="L544" s="863"/>
      <c r="M544" s="861"/>
      <c r="N544" s="859"/>
      <c r="O544" s="752">
        <f t="shared" si="74"/>
        <v>0</v>
      </c>
      <c r="P544" s="862"/>
      <c r="Q544" s="860"/>
      <c r="R544" s="753">
        <f t="shared" si="77"/>
        <v>0</v>
      </c>
      <c r="S544" s="752">
        <f t="shared" si="78"/>
        <v>0</v>
      </c>
      <c r="T544" s="754">
        <f t="shared" si="79"/>
        <v>0</v>
      </c>
      <c r="U544" s="859"/>
      <c r="V544" s="863"/>
      <c r="W544" s="859"/>
      <c r="X544" s="859"/>
      <c r="Y544" s="755">
        <f t="shared" si="75"/>
        <v>0</v>
      </c>
      <c r="Z544" s="864"/>
      <c r="AA544" s="863"/>
      <c r="AB544" s="756">
        <f t="shared" si="76"/>
        <v>0</v>
      </c>
      <c r="AC544" s="859"/>
      <c r="AD544" s="863"/>
      <c r="AE544" s="859"/>
      <c r="AF544" s="859"/>
      <c r="AG544" s="864"/>
      <c r="AH544" s="865"/>
      <c r="AI544" s="757">
        <f t="shared" si="80"/>
        <v>0</v>
      </c>
      <c r="AJ544" s="758">
        <f t="shared" si="81"/>
        <v>0</v>
      </c>
    </row>
    <row r="545" spans="1:36" x14ac:dyDescent="0.2">
      <c r="A545" s="904" t="s">
        <v>143</v>
      </c>
      <c r="B545" s="924" t="s">
        <v>210</v>
      </c>
      <c r="C545" s="925" t="s">
        <v>311</v>
      </c>
      <c r="D545" s="926"/>
      <c r="E545" s="929"/>
      <c r="F545" s="930"/>
      <c r="G545" s="859"/>
      <c r="H545" s="860"/>
      <c r="I545" s="861"/>
      <c r="J545" s="862"/>
      <c r="K545" s="859"/>
      <c r="L545" s="863"/>
      <c r="M545" s="861"/>
      <c r="N545" s="859"/>
      <c r="O545" s="752">
        <f t="shared" si="74"/>
        <v>0</v>
      </c>
      <c r="P545" s="862"/>
      <c r="Q545" s="860"/>
      <c r="R545" s="753">
        <f t="shared" si="77"/>
        <v>0</v>
      </c>
      <c r="S545" s="752">
        <f t="shared" si="78"/>
        <v>0</v>
      </c>
      <c r="T545" s="754">
        <f t="shared" si="79"/>
        <v>0</v>
      </c>
      <c r="U545" s="867">
        <v>3567900</v>
      </c>
      <c r="V545" s="1101">
        <v>2860036</v>
      </c>
      <c r="W545" s="859"/>
      <c r="X545" s="859"/>
      <c r="Y545" s="755">
        <f t="shared" si="75"/>
        <v>0</v>
      </c>
      <c r="Z545" s="864"/>
      <c r="AA545" s="863"/>
      <c r="AB545" s="756">
        <f t="shared" si="76"/>
        <v>0</v>
      </c>
      <c r="AC545" s="859"/>
      <c r="AD545" s="863"/>
      <c r="AE545" s="859"/>
      <c r="AF545" s="859"/>
      <c r="AG545" s="864"/>
      <c r="AH545" s="865"/>
      <c r="AI545" s="757">
        <f t="shared" si="80"/>
        <v>3567900</v>
      </c>
      <c r="AJ545" s="758">
        <f t="shared" si="81"/>
        <v>2860036</v>
      </c>
    </row>
    <row r="546" spans="1:36" x14ac:dyDescent="0.2">
      <c r="A546" s="904" t="s">
        <v>143</v>
      </c>
      <c r="B546" s="924" t="s">
        <v>204</v>
      </c>
      <c r="C546" s="925" t="s">
        <v>249</v>
      </c>
      <c r="D546" s="926"/>
      <c r="E546" s="929"/>
      <c r="F546" s="930"/>
      <c r="G546" s="859"/>
      <c r="H546" s="860"/>
      <c r="I546" s="861"/>
      <c r="J546" s="862"/>
      <c r="K546" s="859"/>
      <c r="L546" s="863"/>
      <c r="M546" s="861"/>
      <c r="N546" s="859"/>
      <c r="O546" s="752">
        <f t="shared" si="74"/>
        <v>0</v>
      </c>
      <c r="P546" s="862"/>
      <c r="Q546" s="860"/>
      <c r="R546" s="753">
        <f t="shared" si="77"/>
        <v>0</v>
      </c>
      <c r="S546" s="752">
        <f t="shared" si="78"/>
        <v>0</v>
      </c>
      <c r="T546" s="754">
        <f t="shared" si="79"/>
        <v>0</v>
      </c>
      <c r="U546" s="859"/>
      <c r="V546" s="863"/>
      <c r="W546" s="859"/>
      <c r="X546" s="859"/>
      <c r="Y546" s="755">
        <f t="shared" si="75"/>
        <v>0</v>
      </c>
      <c r="Z546" s="864"/>
      <c r="AA546" s="863"/>
      <c r="AB546" s="756">
        <f t="shared" si="76"/>
        <v>0</v>
      </c>
      <c r="AC546" s="859"/>
      <c r="AD546" s="863"/>
      <c r="AE546" s="859"/>
      <c r="AF546" s="859"/>
      <c r="AG546" s="864"/>
      <c r="AH546" s="865"/>
      <c r="AI546" s="757">
        <f t="shared" si="80"/>
        <v>0</v>
      </c>
      <c r="AJ546" s="758">
        <f t="shared" si="81"/>
        <v>0</v>
      </c>
    </row>
    <row r="547" spans="1:36" x14ac:dyDescent="0.2">
      <c r="A547" s="904" t="s">
        <v>143</v>
      </c>
      <c r="B547" s="924" t="s">
        <v>205</v>
      </c>
      <c r="C547" s="925" t="s">
        <v>577</v>
      </c>
      <c r="D547" s="926"/>
      <c r="E547" s="929" t="s">
        <v>91</v>
      </c>
      <c r="F547" s="930"/>
      <c r="G547" s="859"/>
      <c r="H547" s="860"/>
      <c r="I547" s="861"/>
      <c r="J547" s="862"/>
      <c r="K547" s="859"/>
      <c r="L547" s="863"/>
      <c r="M547" s="861"/>
      <c r="N547" s="859"/>
      <c r="O547" s="752">
        <f t="shared" si="74"/>
        <v>0</v>
      </c>
      <c r="P547" s="862"/>
      <c r="Q547" s="860"/>
      <c r="R547" s="753">
        <f t="shared" si="77"/>
        <v>0</v>
      </c>
      <c r="S547" s="752">
        <f t="shared" si="78"/>
        <v>0</v>
      </c>
      <c r="T547" s="754">
        <f t="shared" si="79"/>
        <v>0</v>
      </c>
      <c r="U547" s="859"/>
      <c r="V547" s="863"/>
      <c r="W547" s="859"/>
      <c r="X547" s="859"/>
      <c r="Y547" s="755">
        <f t="shared" si="75"/>
        <v>0</v>
      </c>
      <c r="Z547" s="864"/>
      <c r="AA547" s="863"/>
      <c r="AB547" s="756">
        <f t="shared" si="76"/>
        <v>0</v>
      </c>
      <c r="AC547" s="859"/>
      <c r="AD547" s="863"/>
      <c r="AE547" s="859"/>
      <c r="AF547" s="859"/>
      <c r="AG547" s="864"/>
      <c r="AH547" s="865"/>
      <c r="AI547" s="757">
        <f t="shared" si="80"/>
        <v>0</v>
      </c>
      <c r="AJ547" s="758">
        <f t="shared" si="81"/>
        <v>0</v>
      </c>
    </row>
    <row r="548" spans="1:36" x14ac:dyDescent="0.2">
      <c r="A548" s="904" t="s">
        <v>143</v>
      </c>
      <c r="B548" s="924" t="s">
        <v>218</v>
      </c>
      <c r="C548" s="925" t="s">
        <v>311</v>
      </c>
      <c r="D548" s="926"/>
      <c r="E548" s="929"/>
      <c r="F548" s="930"/>
      <c r="G548" s="859"/>
      <c r="H548" s="860"/>
      <c r="I548" s="861"/>
      <c r="J548" s="862"/>
      <c r="K548" s="859"/>
      <c r="L548" s="863"/>
      <c r="M548" s="861"/>
      <c r="N548" s="859"/>
      <c r="O548" s="752">
        <f t="shared" si="74"/>
        <v>0</v>
      </c>
      <c r="P548" s="862"/>
      <c r="Q548" s="860"/>
      <c r="R548" s="753">
        <f t="shared" si="77"/>
        <v>0</v>
      </c>
      <c r="S548" s="752">
        <f t="shared" si="78"/>
        <v>0</v>
      </c>
      <c r="T548" s="754">
        <f t="shared" si="79"/>
        <v>0</v>
      </c>
      <c r="U548" s="867">
        <v>115500</v>
      </c>
      <c r="V548" s="1101">
        <v>138814</v>
      </c>
      <c r="W548" s="859"/>
      <c r="X548" s="859"/>
      <c r="Y548" s="755">
        <f t="shared" si="75"/>
        <v>0</v>
      </c>
      <c r="Z548" s="864"/>
      <c r="AA548" s="863"/>
      <c r="AB548" s="756">
        <f t="shared" si="76"/>
        <v>0</v>
      </c>
      <c r="AC548" s="859"/>
      <c r="AD548" s="863"/>
      <c r="AE548" s="859"/>
      <c r="AF548" s="859"/>
      <c r="AG548" s="864"/>
      <c r="AH548" s="865"/>
      <c r="AI548" s="757">
        <f t="shared" si="80"/>
        <v>115500</v>
      </c>
      <c r="AJ548" s="758">
        <f t="shared" si="81"/>
        <v>138814</v>
      </c>
    </row>
    <row r="549" spans="1:36" x14ac:dyDescent="0.2">
      <c r="A549" s="904" t="s">
        <v>143</v>
      </c>
      <c r="B549" s="924" t="s">
        <v>219</v>
      </c>
      <c r="C549" s="925" t="s">
        <v>249</v>
      </c>
      <c r="D549" s="926"/>
      <c r="E549" s="929"/>
      <c r="F549" s="930"/>
      <c r="G549" s="859"/>
      <c r="H549" s="860"/>
      <c r="I549" s="861"/>
      <c r="J549" s="862"/>
      <c r="K549" s="859"/>
      <c r="L549" s="863"/>
      <c r="M549" s="861"/>
      <c r="N549" s="859"/>
      <c r="O549" s="752">
        <f t="shared" si="74"/>
        <v>0</v>
      </c>
      <c r="P549" s="862"/>
      <c r="Q549" s="860"/>
      <c r="R549" s="753">
        <f t="shared" si="77"/>
        <v>0</v>
      </c>
      <c r="S549" s="752">
        <f t="shared" si="78"/>
        <v>0</v>
      </c>
      <c r="T549" s="754">
        <f t="shared" si="79"/>
        <v>0</v>
      </c>
      <c r="U549" s="859"/>
      <c r="V549" s="863"/>
      <c r="W549" s="859"/>
      <c r="X549" s="859"/>
      <c r="Y549" s="755">
        <f t="shared" si="75"/>
        <v>0</v>
      </c>
      <c r="Z549" s="864"/>
      <c r="AA549" s="863"/>
      <c r="AB549" s="756">
        <f t="shared" si="76"/>
        <v>0</v>
      </c>
      <c r="AC549" s="859"/>
      <c r="AD549" s="863"/>
      <c r="AE549" s="859"/>
      <c r="AF549" s="859"/>
      <c r="AG549" s="864"/>
      <c r="AH549" s="865"/>
      <c r="AI549" s="757">
        <f t="shared" si="80"/>
        <v>0</v>
      </c>
      <c r="AJ549" s="758">
        <f t="shared" si="81"/>
        <v>0</v>
      </c>
    </row>
    <row r="550" spans="1:36" x14ac:dyDescent="0.2">
      <c r="A550" s="904" t="s">
        <v>143</v>
      </c>
      <c r="B550" s="899" t="s">
        <v>292</v>
      </c>
      <c r="C550" s="1524" t="s">
        <v>1896</v>
      </c>
      <c r="D550" s="906"/>
      <c r="E550" s="929"/>
      <c r="F550" s="930"/>
      <c r="G550" s="859"/>
      <c r="H550" s="860"/>
      <c r="I550" s="861"/>
      <c r="J550" s="862"/>
      <c r="K550" s="859"/>
      <c r="L550" s="863"/>
      <c r="M550" s="861"/>
      <c r="N550" s="859"/>
      <c r="O550" s="752">
        <f t="shared" si="74"/>
        <v>0</v>
      </c>
      <c r="P550" s="862"/>
      <c r="Q550" s="860"/>
      <c r="R550" s="753">
        <f t="shared" si="77"/>
        <v>0</v>
      </c>
      <c r="S550" s="752">
        <f t="shared" si="78"/>
        <v>0</v>
      </c>
      <c r="T550" s="754">
        <f t="shared" si="79"/>
        <v>0</v>
      </c>
      <c r="U550" s="859"/>
      <c r="V550" s="863"/>
      <c r="W550" s="859"/>
      <c r="X550" s="859"/>
      <c r="Y550" s="755">
        <f t="shared" si="75"/>
        <v>0</v>
      </c>
      <c r="Z550" s="864"/>
      <c r="AA550" s="863"/>
      <c r="AB550" s="756">
        <f t="shared" si="76"/>
        <v>0</v>
      </c>
      <c r="AC550" s="859"/>
      <c r="AD550" s="863"/>
      <c r="AE550" s="859"/>
      <c r="AF550" s="859"/>
      <c r="AG550" s="864"/>
      <c r="AH550" s="865"/>
      <c r="AI550" s="757">
        <f t="shared" si="80"/>
        <v>0</v>
      </c>
      <c r="AJ550" s="758">
        <f t="shared" si="81"/>
        <v>0</v>
      </c>
    </row>
    <row r="551" spans="1:36" x14ac:dyDescent="0.2">
      <c r="A551" s="904" t="s">
        <v>143</v>
      </c>
      <c r="B551" s="931" t="s">
        <v>209</v>
      </c>
      <c r="C551" s="925" t="s">
        <v>576</v>
      </c>
      <c r="D551" s="926"/>
      <c r="E551" s="929"/>
      <c r="F551" s="930"/>
      <c r="G551" s="859"/>
      <c r="H551" s="860"/>
      <c r="I551" s="861"/>
      <c r="J551" s="862"/>
      <c r="K551" s="859"/>
      <c r="L551" s="863"/>
      <c r="M551" s="861"/>
      <c r="N551" s="859"/>
      <c r="O551" s="752">
        <f t="shared" si="74"/>
        <v>0</v>
      </c>
      <c r="P551" s="862"/>
      <c r="Q551" s="860"/>
      <c r="R551" s="753">
        <f t="shared" si="77"/>
        <v>0</v>
      </c>
      <c r="S551" s="752">
        <f t="shared" si="78"/>
        <v>0</v>
      </c>
      <c r="T551" s="754">
        <f t="shared" si="79"/>
        <v>0</v>
      </c>
      <c r="U551" s="859"/>
      <c r="V551" s="1101">
        <v>1076142</v>
      </c>
      <c r="W551" s="859"/>
      <c r="X551" s="859"/>
      <c r="Y551" s="755">
        <f t="shared" si="75"/>
        <v>0</v>
      </c>
      <c r="Z551" s="864"/>
      <c r="AA551" s="863"/>
      <c r="AB551" s="756">
        <f t="shared" si="76"/>
        <v>0</v>
      </c>
      <c r="AC551" s="859"/>
      <c r="AD551" s="863"/>
      <c r="AE551" s="859"/>
      <c r="AF551" s="859"/>
      <c r="AG551" s="864"/>
      <c r="AH551" s="865"/>
      <c r="AI551" s="757">
        <f t="shared" si="80"/>
        <v>0</v>
      </c>
      <c r="AJ551" s="758">
        <f t="shared" si="81"/>
        <v>1076142</v>
      </c>
    </row>
    <row r="552" spans="1:36" x14ac:dyDescent="0.2">
      <c r="A552" s="904" t="s">
        <v>143</v>
      </c>
      <c r="B552" s="924" t="s">
        <v>210</v>
      </c>
      <c r="C552" s="925" t="s">
        <v>311</v>
      </c>
      <c r="D552" s="926"/>
      <c r="E552" s="929"/>
      <c r="F552" s="930"/>
      <c r="G552" s="859"/>
      <c r="H552" s="860"/>
      <c r="I552" s="861"/>
      <c r="J552" s="862"/>
      <c r="K552" s="859"/>
      <c r="L552" s="863"/>
      <c r="M552" s="861"/>
      <c r="N552" s="859"/>
      <c r="O552" s="752">
        <f t="shared" si="74"/>
        <v>0</v>
      </c>
      <c r="P552" s="862"/>
      <c r="Q552" s="860"/>
      <c r="R552" s="753">
        <f t="shared" si="77"/>
        <v>0</v>
      </c>
      <c r="S552" s="752">
        <f t="shared" si="78"/>
        <v>0</v>
      </c>
      <c r="T552" s="754">
        <f t="shared" si="79"/>
        <v>0</v>
      </c>
      <c r="U552" s="859"/>
      <c r="V552" s="863"/>
      <c r="W552" s="859"/>
      <c r="X552" s="859"/>
      <c r="Y552" s="755">
        <f t="shared" si="75"/>
        <v>0</v>
      </c>
      <c r="Z552" s="864"/>
      <c r="AA552" s="863"/>
      <c r="AB552" s="756">
        <f t="shared" si="76"/>
        <v>0</v>
      </c>
      <c r="AC552" s="859"/>
      <c r="AD552" s="863"/>
      <c r="AE552" s="859"/>
      <c r="AF552" s="859"/>
      <c r="AG552" s="864"/>
      <c r="AH552" s="865"/>
      <c r="AI552" s="757">
        <f t="shared" si="80"/>
        <v>0</v>
      </c>
      <c r="AJ552" s="758">
        <f t="shared" si="81"/>
        <v>0</v>
      </c>
    </row>
    <row r="553" spans="1:36" x14ac:dyDescent="0.2">
      <c r="A553" s="904" t="s">
        <v>143</v>
      </c>
      <c r="B553" s="924" t="s">
        <v>204</v>
      </c>
      <c r="C553" s="925" t="s">
        <v>249</v>
      </c>
      <c r="D553" s="926"/>
      <c r="E553" s="929"/>
      <c r="F553" s="930"/>
      <c r="G553" s="859"/>
      <c r="H553" s="860"/>
      <c r="I553" s="861"/>
      <c r="J553" s="862"/>
      <c r="K553" s="859"/>
      <c r="L553" s="863"/>
      <c r="M553" s="861"/>
      <c r="N553" s="859"/>
      <c r="O553" s="752">
        <f t="shared" si="74"/>
        <v>0</v>
      </c>
      <c r="P553" s="862"/>
      <c r="Q553" s="860"/>
      <c r="R553" s="753">
        <f t="shared" si="77"/>
        <v>0</v>
      </c>
      <c r="S553" s="752">
        <f t="shared" si="78"/>
        <v>0</v>
      </c>
      <c r="T553" s="754">
        <f t="shared" si="79"/>
        <v>0</v>
      </c>
      <c r="U553" s="859"/>
      <c r="V553" s="863"/>
      <c r="W553" s="859"/>
      <c r="X553" s="859"/>
      <c r="Y553" s="755">
        <f t="shared" si="75"/>
        <v>0</v>
      </c>
      <c r="Z553" s="864"/>
      <c r="AA553" s="863"/>
      <c r="AB553" s="756">
        <f t="shared" si="76"/>
        <v>0</v>
      </c>
      <c r="AC553" s="859"/>
      <c r="AD553" s="863"/>
      <c r="AE553" s="859"/>
      <c r="AF553" s="859"/>
      <c r="AG553" s="864"/>
      <c r="AH553" s="865"/>
      <c r="AI553" s="757">
        <f t="shared" si="80"/>
        <v>0</v>
      </c>
      <c r="AJ553" s="758">
        <f t="shared" si="81"/>
        <v>0</v>
      </c>
    </row>
    <row r="554" spans="1:36" x14ac:dyDescent="0.2">
      <c r="A554" s="904" t="s">
        <v>143</v>
      </c>
      <c r="B554" s="924" t="s">
        <v>205</v>
      </c>
      <c r="C554" s="925" t="s">
        <v>577</v>
      </c>
      <c r="D554" s="926"/>
      <c r="E554" s="929"/>
      <c r="F554" s="930"/>
      <c r="G554" s="859"/>
      <c r="H554" s="860"/>
      <c r="I554" s="861"/>
      <c r="J554" s="862"/>
      <c r="K554" s="859"/>
      <c r="L554" s="863"/>
      <c r="M554" s="861"/>
      <c r="N554" s="859"/>
      <c r="O554" s="752">
        <f t="shared" si="74"/>
        <v>0</v>
      </c>
      <c r="P554" s="862"/>
      <c r="Q554" s="860"/>
      <c r="R554" s="753">
        <f t="shared" si="77"/>
        <v>0</v>
      </c>
      <c r="S554" s="752">
        <f t="shared" si="78"/>
        <v>0</v>
      </c>
      <c r="T554" s="754">
        <f t="shared" si="79"/>
        <v>0</v>
      </c>
      <c r="U554" s="859"/>
      <c r="V554" s="863"/>
      <c r="W554" s="859"/>
      <c r="X554" s="859"/>
      <c r="Y554" s="755">
        <f t="shared" si="75"/>
        <v>0</v>
      </c>
      <c r="Z554" s="864"/>
      <c r="AA554" s="863"/>
      <c r="AB554" s="756">
        <f t="shared" si="76"/>
        <v>0</v>
      </c>
      <c r="AC554" s="859"/>
      <c r="AD554" s="863"/>
      <c r="AE554" s="859"/>
      <c r="AF554" s="859"/>
      <c r="AG554" s="864"/>
      <c r="AH554" s="865"/>
      <c r="AI554" s="757">
        <f t="shared" si="80"/>
        <v>0</v>
      </c>
      <c r="AJ554" s="758">
        <f t="shared" si="81"/>
        <v>0</v>
      </c>
    </row>
    <row r="555" spans="1:36" x14ac:dyDescent="0.2">
      <c r="A555" s="904" t="s">
        <v>143</v>
      </c>
      <c r="B555" s="924" t="s">
        <v>218</v>
      </c>
      <c r="C555" s="925" t="s">
        <v>311</v>
      </c>
      <c r="D555" s="926"/>
      <c r="E555" s="929"/>
      <c r="F555" s="930"/>
      <c r="G555" s="859"/>
      <c r="H555" s="860"/>
      <c r="I555" s="861"/>
      <c r="J555" s="862"/>
      <c r="K555" s="859"/>
      <c r="L555" s="863"/>
      <c r="M555" s="861"/>
      <c r="N555" s="859"/>
      <c r="O555" s="752">
        <f t="shared" si="74"/>
        <v>0</v>
      </c>
      <c r="P555" s="862"/>
      <c r="Q555" s="860"/>
      <c r="R555" s="753">
        <f t="shared" si="77"/>
        <v>0</v>
      </c>
      <c r="S555" s="752">
        <f t="shared" si="78"/>
        <v>0</v>
      </c>
      <c r="T555" s="754">
        <f t="shared" si="79"/>
        <v>0</v>
      </c>
      <c r="U555" s="859"/>
      <c r="V555" s="863"/>
      <c r="W555" s="859"/>
      <c r="X555" s="859"/>
      <c r="Y555" s="755">
        <f t="shared" si="75"/>
        <v>0</v>
      </c>
      <c r="Z555" s="864"/>
      <c r="AA555" s="863"/>
      <c r="AB555" s="756">
        <f t="shared" si="76"/>
        <v>0</v>
      </c>
      <c r="AC555" s="859"/>
      <c r="AD555" s="863"/>
      <c r="AE555" s="859"/>
      <c r="AF555" s="859"/>
      <c r="AG555" s="864"/>
      <c r="AH555" s="865"/>
      <c r="AI555" s="757">
        <f t="shared" si="80"/>
        <v>0</v>
      </c>
      <c r="AJ555" s="758">
        <f t="shared" si="81"/>
        <v>0</v>
      </c>
    </row>
    <row r="556" spans="1:36" x14ac:dyDescent="0.2">
      <c r="A556" s="904" t="s">
        <v>143</v>
      </c>
      <c r="B556" s="924" t="s">
        <v>219</v>
      </c>
      <c r="C556" s="925" t="s">
        <v>249</v>
      </c>
      <c r="D556" s="926"/>
      <c r="E556" s="929"/>
      <c r="F556" s="930"/>
      <c r="G556" s="859"/>
      <c r="H556" s="860"/>
      <c r="I556" s="861"/>
      <c r="J556" s="862"/>
      <c r="K556" s="859"/>
      <c r="L556" s="863"/>
      <c r="M556" s="861"/>
      <c r="N556" s="859"/>
      <c r="O556" s="752">
        <f t="shared" si="74"/>
        <v>0</v>
      </c>
      <c r="P556" s="862"/>
      <c r="Q556" s="860"/>
      <c r="R556" s="753">
        <f t="shared" si="77"/>
        <v>0</v>
      </c>
      <c r="S556" s="752">
        <f t="shared" si="78"/>
        <v>0</v>
      </c>
      <c r="T556" s="754">
        <f t="shared" si="79"/>
        <v>0</v>
      </c>
      <c r="U556" s="859"/>
      <c r="V556" s="863"/>
      <c r="W556" s="859"/>
      <c r="X556" s="859"/>
      <c r="Y556" s="755">
        <f t="shared" si="75"/>
        <v>0</v>
      </c>
      <c r="Z556" s="864"/>
      <c r="AA556" s="863"/>
      <c r="AB556" s="756">
        <f t="shared" si="76"/>
        <v>0</v>
      </c>
      <c r="AC556" s="859"/>
      <c r="AD556" s="863"/>
      <c r="AE556" s="859"/>
      <c r="AF556" s="859"/>
      <c r="AG556" s="864"/>
      <c r="AH556" s="865"/>
      <c r="AI556" s="757">
        <f t="shared" si="80"/>
        <v>0</v>
      </c>
      <c r="AJ556" s="758">
        <f t="shared" si="81"/>
        <v>0</v>
      </c>
    </row>
    <row r="557" spans="1:36" x14ac:dyDescent="0.2">
      <c r="A557" s="904" t="s">
        <v>143</v>
      </c>
      <c r="B557" s="924" t="s">
        <v>293</v>
      </c>
      <c r="C557" s="932" t="s">
        <v>588</v>
      </c>
      <c r="D557" s="933"/>
      <c r="E557" s="902"/>
      <c r="F557" s="903"/>
      <c r="G557" s="859"/>
      <c r="H557" s="860"/>
      <c r="I557" s="861"/>
      <c r="J557" s="862"/>
      <c r="K557" s="859"/>
      <c r="L557" s="863"/>
      <c r="M557" s="861"/>
      <c r="N557" s="859"/>
      <c r="O557" s="752">
        <f t="shared" si="74"/>
        <v>0</v>
      </c>
      <c r="P557" s="862"/>
      <c r="Q557" s="860"/>
      <c r="R557" s="753">
        <f t="shared" si="77"/>
        <v>0</v>
      </c>
      <c r="S557" s="752">
        <f t="shared" si="78"/>
        <v>0</v>
      </c>
      <c r="T557" s="754">
        <f t="shared" si="79"/>
        <v>0</v>
      </c>
      <c r="U557" s="859"/>
      <c r="V557" s="863"/>
      <c r="W557" s="859"/>
      <c r="X557" s="859"/>
      <c r="Y557" s="755">
        <f t="shared" si="75"/>
        <v>0</v>
      </c>
      <c r="Z557" s="864"/>
      <c r="AA557" s="863"/>
      <c r="AB557" s="756">
        <f t="shared" si="76"/>
        <v>0</v>
      </c>
      <c r="AC557" s="859"/>
      <c r="AD557" s="863"/>
      <c r="AE557" s="859"/>
      <c r="AF557" s="859"/>
      <c r="AG557" s="864"/>
      <c r="AH557" s="865"/>
      <c r="AI557" s="757">
        <f t="shared" si="80"/>
        <v>0</v>
      </c>
      <c r="AJ557" s="758">
        <f t="shared" si="81"/>
        <v>0</v>
      </c>
    </row>
    <row r="558" spans="1:36" x14ac:dyDescent="0.2">
      <c r="A558" s="904" t="s">
        <v>143</v>
      </c>
      <c r="B558" s="899" t="s">
        <v>293</v>
      </c>
      <c r="C558" s="923" t="s">
        <v>674</v>
      </c>
      <c r="D558" s="906"/>
      <c r="E558" s="902"/>
      <c r="F558" s="903"/>
      <c r="G558" s="859"/>
      <c r="H558" s="860"/>
      <c r="I558" s="861"/>
      <c r="J558" s="862"/>
      <c r="K558" s="859"/>
      <c r="L558" s="863"/>
      <c r="M558" s="861"/>
      <c r="N558" s="859"/>
      <c r="O558" s="752">
        <f t="shared" si="74"/>
        <v>0</v>
      </c>
      <c r="P558" s="862"/>
      <c r="Q558" s="860"/>
      <c r="R558" s="753">
        <f t="shared" si="77"/>
        <v>0</v>
      </c>
      <c r="S558" s="752">
        <f t="shared" si="78"/>
        <v>0</v>
      </c>
      <c r="T558" s="754">
        <f t="shared" si="79"/>
        <v>0</v>
      </c>
      <c r="U558" s="859"/>
      <c r="V558" s="863"/>
      <c r="W558" s="859"/>
      <c r="X558" s="859"/>
      <c r="Y558" s="755">
        <f t="shared" si="75"/>
        <v>0</v>
      </c>
      <c r="Z558" s="864"/>
      <c r="AA558" s="863"/>
      <c r="AB558" s="756">
        <f t="shared" si="76"/>
        <v>0</v>
      </c>
      <c r="AC558" s="859"/>
      <c r="AD558" s="863"/>
      <c r="AE558" s="859"/>
      <c r="AF558" s="859"/>
      <c r="AG558" s="864"/>
      <c r="AH558" s="865"/>
      <c r="AI558" s="757">
        <f t="shared" si="80"/>
        <v>0</v>
      </c>
      <c r="AJ558" s="758">
        <f t="shared" si="81"/>
        <v>0</v>
      </c>
    </row>
    <row r="559" spans="1:36" x14ac:dyDescent="0.2">
      <c r="A559" s="904" t="s">
        <v>143</v>
      </c>
      <c r="B559" s="924" t="s">
        <v>252</v>
      </c>
      <c r="C559" s="925" t="s">
        <v>311</v>
      </c>
      <c r="D559" s="926"/>
      <c r="E559" s="902"/>
      <c r="F559" s="903"/>
      <c r="G559" s="859"/>
      <c r="H559" s="860"/>
      <c r="I559" s="861"/>
      <c r="J559" s="862"/>
      <c r="K559" s="859"/>
      <c r="L559" s="863"/>
      <c r="M559" s="861"/>
      <c r="N559" s="859"/>
      <c r="O559" s="752">
        <f t="shared" si="74"/>
        <v>0</v>
      </c>
      <c r="P559" s="862"/>
      <c r="Q559" s="860"/>
      <c r="R559" s="753">
        <f t="shared" si="77"/>
        <v>0</v>
      </c>
      <c r="S559" s="752">
        <f t="shared" si="78"/>
        <v>0</v>
      </c>
      <c r="T559" s="754">
        <f t="shared" si="79"/>
        <v>0</v>
      </c>
      <c r="U559" s="859"/>
      <c r="V559" s="863"/>
      <c r="W559" s="859"/>
      <c r="X559" s="859"/>
      <c r="Y559" s="755">
        <f t="shared" si="75"/>
        <v>0</v>
      </c>
      <c r="Z559" s="864"/>
      <c r="AA559" s="863"/>
      <c r="AB559" s="756">
        <f t="shared" si="76"/>
        <v>0</v>
      </c>
      <c r="AC559" s="859"/>
      <c r="AD559" s="863"/>
      <c r="AE559" s="859"/>
      <c r="AF559" s="859"/>
      <c r="AG559" s="864"/>
      <c r="AH559" s="865"/>
      <c r="AI559" s="757">
        <f t="shared" si="80"/>
        <v>0</v>
      </c>
      <c r="AJ559" s="758">
        <f t="shared" si="81"/>
        <v>0</v>
      </c>
    </row>
    <row r="560" spans="1:36" x14ac:dyDescent="0.2">
      <c r="A560" s="904" t="s">
        <v>143</v>
      </c>
      <c r="B560" s="924" t="s">
        <v>253</v>
      </c>
      <c r="C560" s="925" t="s">
        <v>249</v>
      </c>
      <c r="D560" s="926"/>
      <c r="E560" s="902"/>
      <c r="F560" s="903"/>
      <c r="G560" s="859"/>
      <c r="H560" s="860"/>
      <c r="I560" s="861"/>
      <c r="J560" s="862"/>
      <c r="K560" s="859"/>
      <c r="L560" s="863"/>
      <c r="M560" s="861"/>
      <c r="N560" s="859"/>
      <c r="O560" s="752">
        <f t="shared" si="74"/>
        <v>0</v>
      </c>
      <c r="P560" s="862"/>
      <c r="Q560" s="860"/>
      <c r="R560" s="753">
        <f t="shared" si="77"/>
        <v>0</v>
      </c>
      <c r="S560" s="752">
        <f t="shared" si="78"/>
        <v>0</v>
      </c>
      <c r="T560" s="754">
        <f t="shared" si="79"/>
        <v>0</v>
      </c>
      <c r="U560" s="867">
        <v>276187</v>
      </c>
      <c r="V560" s="1101">
        <v>252849</v>
      </c>
      <c r="W560" s="859"/>
      <c r="X560" s="859"/>
      <c r="Y560" s="755">
        <f t="shared" si="75"/>
        <v>0</v>
      </c>
      <c r="Z560" s="864"/>
      <c r="AA560" s="863"/>
      <c r="AB560" s="756">
        <f t="shared" si="76"/>
        <v>0</v>
      </c>
      <c r="AC560" s="859"/>
      <c r="AD560" s="863"/>
      <c r="AE560" s="859"/>
      <c r="AF560" s="859"/>
      <c r="AG560" s="864"/>
      <c r="AH560" s="865"/>
      <c r="AI560" s="757">
        <f t="shared" si="80"/>
        <v>276187</v>
      </c>
      <c r="AJ560" s="758">
        <f t="shared" si="81"/>
        <v>252849</v>
      </c>
    </row>
    <row r="561" spans="1:36" x14ac:dyDescent="0.2">
      <c r="A561" s="1189" t="s">
        <v>148</v>
      </c>
      <c r="B561" s="1096" t="s">
        <v>264</v>
      </c>
      <c r="C561" s="1190" t="s">
        <v>1135</v>
      </c>
      <c r="D561" s="1191"/>
      <c r="E561" s="1099">
        <v>130943</v>
      </c>
      <c r="F561" s="1100">
        <v>1</v>
      </c>
      <c r="G561" s="859">
        <v>114274900</v>
      </c>
      <c r="H561" s="860">
        <v>117784700</v>
      </c>
      <c r="I561" s="861"/>
      <c r="J561" s="862"/>
      <c r="K561" s="859"/>
      <c r="L561" s="863"/>
      <c r="M561" s="861">
        <v>482645088</v>
      </c>
      <c r="N561" s="859">
        <v>0</v>
      </c>
      <c r="O561" s="752">
        <f t="shared" si="74"/>
        <v>482645088</v>
      </c>
      <c r="P561" s="862">
        <v>510269870</v>
      </c>
      <c r="Q561" s="860">
        <v>0</v>
      </c>
      <c r="R561" s="753">
        <f t="shared" si="77"/>
        <v>510269870</v>
      </c>
      <c r="S561" s="752">
        <f t="shared" si="78"/>
        <v>596919988</v>
      </c>
      <c r="T561" s="754">
        <f t="shared" si="79"/>
        <v>628054570</v>
      </c>
      <c r="U561" s="859"/>
      <c r="V561" s="863"/>
      <c r="W561" s="859"/>
      <c r="X561" s="859"/>
      <c r="Y561" s="755">
        <f t="shared" si="75"/>
        <v>0</v>
      </c>
      <c r="Z561" s="864"/>
      <c r="AA561" s="863"/>
      <c r="AB561" s="756">
        <f t="shared" si="76"/>
        <v>0</v>
      </c>
      <c r="AC561" s="859"/>
      <c r="AD561" s="863"/>
      <c r="AE561" s="859"/>
      <c r="AF561" s="859"/>
      <c r="AG561" s="864"/>
      <c r="AH561" s="865"/>
      <c r="AI561" s="757">
        <f t="shared" si="80"/>
        <v>596919988</v>
      </c>
      <c r="AJ561" s="758">
        <f t="shared" si="81"/>
        <v>628054570</v>
      </c>
    </row>
    <row r="562" spans="1:36" x14ac:dyDescent="0.2">
      <c r="A562" s="1189" t="s">
        <v>148</v>
      </c>
      <c r="B562" s="1192" t="s">
        <v>266</v>
      </c>
      <c r="C562" s="1193" t="s">
        <v>1136</v>
      </c>
      <c r="D562" s="1098"/>
      <c r="E562" s="1194">
        <v>130943</v>
      </c>
      <c r="F562" s="1195">
        <v>1</v>
      </c>
      <c r="G562" s="859"/>
      <c r="H562" s="860"/>
      <c r="I562" s="861"/>
      <c r="J562" s="862"/>
      <c r="K562" s="859"/>
      <c r="L562" s="863"/>
      <c r="M562" s="861"/>
      <c r="N562" s="859"/>
      <c r="O562" s="752">
        <f t="shared" ref="O562:O586" si="82">SUM(M562:N562)</f>
        <v>0</v>
      </c>
      <c r="P562" s="1138"/>
      <c r="Q562" s="1196"/>
      <c r="R562" s="753">
        <f t="shared" si="77"/>
        <v>0</v>
      </c>
      <c r="S562" s="752">
        <f t="shared" si="78"/>
        <v>0</v>
      </c>
      <c r="T562" s="754">
        <f t="shared" si="79"/>
        <v>0</v>
      </c>
      <c r="U562" s="859"/>
      <c r="V562" s="863"/>
      <c r="W562" s="859"/>
      <c r="X562" s="859"/>
      <c r="Y562" s="755">
        <f t="shared" si="75"/>
        <v>0</v>
      </c>
      <c r="Z562" s="864"/>
      <c r="AA562" s="863"/>
      <c r="AB562" s="756">
        <f t="shared" si="76"/>
        <v>0</v>
      </c>
      <c r="AC562" s="859"/>
      <c r="AD562" s="863"/>
      <c r="AE562" s="859"/>
      <c r="AF562" s="859"/>
      <c r="AG562" s="864"/>
      <c r="AH562" s="865"/>
      <c r="AI562" s="757">
        <f t="shared" si="80"/>
        <v>0</v>
      </c>
      <c r="AJ562" s="758">
        <f t="shared" si="81"/>
        <v>0</v>
      </c>
    </row>
    <row r="563" spans="1:36" x14ac:dyDescent="0.2">
      <c r="A563" s="1189" t="s">
        <v>148</v>
      </c>
      <c r="B563" s="1192" t="s">
        <v>266</v>
      </c>
      <c r="C563" s="1097" t="s">
        <v>1137</v>
      </c>
      <c r="D563" s="1098"/>
      <c r="E563" s="1194">
        <v>130943</v>
      </c>
      <c r="F563" s="1195">
        <v>1</v>
      </c>
      <c r="G563" s="859"/>
      <c r="H563" s="860"/>
      <c r="I563" s="861">
        <v>95000</v>
      </c>
      <c r="J563" s="862">
        <v>96200</v>
      </c>
      <c r="K563" s="859"/>
      <c r="L563" s="863"/>
      <c r="M563" s="861"/>
      <c r="N563" s="859"/>
      <c r="O563" s="752">
        <f t="shared" si="82"/>
        <v>0</v>
      </c>
      <c r="P563" s="862"/>
      <c r="Q563" s="860"/>
      <c r="R563" s="753">
        <f t="shared" ref="R563:R587" si="83">SUM(P563:Q563)</f>
        <v>0</v>
      </c>
      <c r="S563" s="752">
        <f t="shared" ref="S563:S587" si="84">SUM(G563,I563,K563,M563)</f>
        <v>95000</v>
      </c>
      <c r="T563" s="754">
        <f t="shared" ref="T563:T587" si="85">SUM(H563,J563,L563,P563)</f>
        <v>96200</v>
      </c>
      <c r="U563" s="859"/>
      <c r="V563" s="863"/>
      <c r="W563" s="859"/>
      <c r="X563" s="859"/>
      <c r="Y563" s="755">
        <f t="shared" ref="Y563:Y586" si="86">SUM(W563:X563)</f>
        <v>0</v>
      </c>
      <c r="Z563" s="864"/>
      <c r="AA563" s="863"/>
      <c r="AB563" s="756">
        <f t="shared" ref="AB563:AB586" si="87">SUM(Z563:AA563)</f>
        <v>0</v>
      </c>
      <c r="AC563" s="859"/>
      <c r="AD563" s="863"/>
      <c r="AE563" s="859"/>
      <c r="AF563" s="859"/>
      <c r="AG563" s="864"/>
      <c r="AH563" s="865"/>
      <c r="AI563" s="757">
        <f t="shared" si="80"/>
        <v>95000</v>
      </c>
      <c r="AJ563" s="758">
        <f t="shared" si="81"/>
        <v>96200</v>
      </c>
    </row>
    <row r="564" spans="1:36" x14ac:dyDescent="0.2">
      <c r="A564" s="1189" t="s">
        <v>148</v>
      </c>
      <c r="B564" s="1192" t="s">
        <v>268</v>
      </c>
      <c r="C564" s="1193" t="s">
        <v>257</v>
      </c>
      <c r="D564" s="1098"/>
      <c r="E564" s="1194">
        <v>130943</v>
      </c>
      <c r="F564" s="1195">
        <v>1</v>
      </c>
      <c r="G564" s="859"/>
      <c r="H564" s="860"/>
      <c r="I564" s="861">
        <v>2308076</v>
      </c>
      <c r="J564" s="862">
        <v>1774625</v>
      </c>
      <c r="K564" s="859"/>
      <c r="L564" s="863"/>
      <c r="M564" s="861"/>
      <c r="N564" s="859"/>
      <c r="O564" s="752">
        <f t="shared" si="82"/>
        <v>0</v>
      </c>
      <c r="P564" s="862"/>
      <c r="Q564" s="860"/>
      <c r="R564" s="753">
        <f t="shared" si="83"/>
        <v>0</v>
      </c>
      <c r="S564" s="752">
        <f t="shared" si="84"/>
        <v>2308076</v>
      </c>
      <c r="T564" s="754">
        <f t="shared" si="85"/>
        <v>1774625</v>
      </c>
      <c r="U564" s="859"/>
      <c r="V564" s="863"/>
      <c r="W564" s="859"/>
      <c r="X564" s="859"/>
      <c r="Y564" s="755">
        <f t="shared" si="86"/>
        <v>0</v>
      </c>
      <c r="Z564" s="864"/>
      <c r="AA564" s="863"/>
      <c r="AB564" s="756">
        <f t="shared" si="87"/>
        <v>0</v>
      </c>
      <c r="AC564" s="859"/>
      <c r="AD564" s="863"/>
      <c r="AE564" s="859"/>
      <c r="AF564" s="859"/>
      <c r="AG564" s="864"/>
      <c r="AH564" s="865"/>
      <c r="AI564" s="757">
        <f t="shared" si="80"/>
        <v>2308076</v>
      </c>
      <c r="AJ564" s="758">
        <f t="shared" si="81"/>
        <v>1774625</v>
      </c>
    </row>
    <row r="565" spans="1:36" x14ac:dyDescent="0.2">
      <c r="A565" s="1189" t="s">
        <v>148</v>
      </c>
      <c r="B565" s="1192" t="s">
        <v>269</v>
      </c>
      <c r="C565" s="1193" t="s">
        <v>256</v>
      </c>
      <c r="D565" s="1098"/>
      <c r="E565" s="1194">
        <v>130943</v>
      </c>
      <c r="F565" s="1195">
        <v>1</v>
      </c>
      <c r="G565" s="859"/>
      <c r="H565" s="860"/>
      <c r="I565" s="861">
        <v>2602724</v>
      </c>
      <c r="J565" s="862">
        <v>653400</v>
      </c>
      <c r="K565" s="859"/>
      <c r="L565" s="863"/>
      <c r="M565" s="861"/>
      <c r="N565" s="859"/>
      <c r="O565" s="752">
        <f t="shared" si="82"/>
        <v>0</v>
      </c>
      <c r="P565" s="862"/>
      <c r="Q565" s="860"/>
      <c r="R565" s="753">
        <f t="shared" si="83"/>
        <v>0</v>
      </c>
      <c r="S565" s="752">
        <f t="shared" si="84"/>
        <v>2602724</v>
      </c>
      <c r="T565" s="754">
        <f t="shared" si="85"/>
        <v>653400</v>
      </c>
      <c r="U565" s="859"/>
      <c r="V565" s="863"/>
      <c r="W565" s="859"/>
      <c r="X565" s="859"/>
      <c r="Y565" s="755">
        <f t="shared" si="86"/>
        <v>0</v>
      </c>
      <c r="Z565" s="864"/>
      <c r="AA565" s="863"/>
      <c r="AB565" s="756">
        <f t="shared" si="87"/>
        <v>0</v>
      </c>
      <c r="AC565" s="859"/>
      <c r="AD565" s="863"/>
      <c r="AE565" s="859"/>
      <c r="AF565" s="859"/>
      <c r="AG565" s="864"/>
      <c r="AH565" s="865"/>
      <c r="AI565" s="757">
        <f t="shared" ref="AI565:AI587" si="88">SUM(S565,U565,W565,AC565,AE565)</f>
        <v>2602724</v>
      </c>
      <c r="AJ565" s="758">
        <f t="shared" ref="AJ565:AJ587" si="89">SUM(T565,V565,Z565,AD565,AG565)</f>
        <v>653400</v>
      </c>
    </row>
    <row r="566" spans="1:36" x14ac:dyDescent="0.2">
      <c r="A566" s="1189" t="s">
        <v>148</v>
      </c>
      <c r="B566" s="1192" t="s">
        <v>271</v>
      </c>
      <c r="C566" s="1193" t="s">
        <v>309</v>
      </c>
      <c r="D566" s="1098"/>
      <c r="E566" s="1194">
        <v>130943</v>
      </c>
      <c r="F566" s="1195">
        <v>1</v>
      </c>
      <c r="G566" s="859"/>
      <c r="H566" s="860"/>
      <c r="I566" s="861"/>
      <c r="J566" s="862"/>
      <c r="K566" s="859"/>
      <c r="L566" s="863"/>
      <c r="M566" s="861"/>
      <c r="N566" s="859"/>
      <c r="O566" s="752">
        <f t="shared" si="82"/>
        <v>0</v>
      </c>
      <c r="P566" s="862"/>
      <c r="Q566" s="860"/>
      <c r="R566" s="753">
        <f t="shared" si="83"/>
        <v>0</v>
      </c>
      <c r="S566" s="752">
        <f t="shared" si="84"/>
        <v>0</v>
      </c>
      <c r="T566" s="754">
        <f t="shared" si="85"/>
        <v>0</v>
      </c>
      <c r="U566" s="859"/>
      <c r="V566" s="863"/>
      <c r="W566" s="859"/>
      <c r="X566" s="859"/>
      <c r="Y566" s="755">
        <f t="shared" si="86"/>
        <v>0</v>
      </c>
      <c r="Z566" s="864"/>
      <c r="AA566" s="863"/>
      <c r="AB566" s="756">
        <f t="shared" si="87"/>
        <v>0</v>
      </c>
      <c r="AC566" s="859"/>
      <c r="AD566" s="863"/>
      <c r="AE566" s="859"/>
      <c r="AF566" s="859"/>
      <c r="AG566" s="864"/>
      <c r="AH566" s="865"/>
      <c r="AI566" s="757">
        <f t="shared" si="88"/>
        <v>0</v>
      </c>
      <c r="AJ566" s="758">
        <f t="shared" si="89"/>
        <v>0</v>
      </c>
    </row>
    <row r="567" spans="1:36" x14ac:dyDescent="0.2">
      <c r="A567" s="1197" t="s">
        <v>148</v>
      </c>
      <c r="B567" s="1192" t="s">
        <v>271</v>
      </c>
      <c r="C567" s="1097" t="s">
        <v>1138</v>
      </c>
      <c r="D567" s="1098"/>
      <c r="E567" s="1194">
        <v>130943</v>
      </c>
      <c r="F567" s="1195">
        <v>1</v>
      </c>
      <c r="G567" s="859"/>
      <c r="H567" s="860"/>
      <c r="I567" s="861">
        <v>502900</v>
      </c>
      <c r="J567" s="862">
        <v>518200</v>
      </c>
      <c r="K567" s="859"/>
      <c r="L567" s="863"/>
      <c r="M567" s="861"/>
      <c r="N567" s="859"/>
      <c r="O567" s="752">
        <f t="shared" si="82"/>
        <v>0</v>
      </c>
      <c r="P567" s="862"/>
      <c r="Q567" s="860"/>
      <c r="R567" s="753">
        <f t="shared" si="83"/>
        <v>0</v>
      </c>
      <c r="S567" s="752">
        <f t="shared" si="84"/>
        <v>502900</v>
      </c>
      <c r="T567" s="754">
        <f t="shared" si="85"/>
        <v>518200</v>
      </c>
      <c r="U567" s="859"/>
      <c r="V567" s="863"/>
      <c r="W567" s="859"/>
      <c r="X567" s="859"/>
      <c r="Y567" s="755">
        <f t="shared" si="86"/>
        <v>0</v>
      </c>
      <c r="Z567" s="864"/>
      <c r="AA567" s="863"/>
      <c r="AB567" s="756">
        <f t="shared" si="87"/>
        <v>0</v>
      </c>
      <c r="AC567" s="859"/>
      <c r="AD567" s="863"/>
      <c r="AE567" s="859"/>
      <c r="AF567" s="859"/>
      <c r="AG567" s="864"/>
      <c r="AH567" s="865"/>
      <c r="AI567" s="757">
        <f t="shared" si="88"/>
        <v>502900</v>
      </c>
      <c r="AJ567" s="758">
        <f t="shared" si="89"/>
        <v>518200</v>
      </c>
    </row>
    <row r="568" spans="1:36" x14ac:dyDescent="0.2">
      <c r="A568" s="1197" t="s">
        <v>148</v>
      </c>
      <c r="B568" s="1192" t="s">
        <v>271</v>
      </c>
      <c r="C568" s="1097" t="s">
        <v>1139</v>
      </c>
      <c r="D568" s="1098"/>
      <c r="E568" s="1194">
        <v>130943</v>
      </c>
      <c r="F568" s="1195">
        <v>1</v>
      </c>
      <c r="G568" s="859"/>
      <c r="H568" s="860"/>
      <c r="I568" s="861">
        <v>617500</v>
      </c>
      <c r="J568" s="862">
        <v>570236</v>
      </c>
      <c r="K568" s="859"/>
      <c r="L568" s="863"/>
      <c r="M568" s="861"/>
      <c r="N568" s="859"/>
      <c r="O568" s="752">
        <f t="shared" si="82"/>
        <v>0</v>
      </c>
      <c r="P568" s="862"/>
      <c r="Q568" s="860"/>
      <c r="R568" s="753">
        <f t="shared" si="83"/>
        <v>0</v>
      </c>
      <c r="S568" s="752">
        <f t="shared" si="84"/>
        <v>617500</v>
      </c>
      <c r="T568" s="754">
        <f t="shared" si="85"/>
        <v>570236</v>
      </c>
      <c r="U568" s="859"/>
      <c r="V568" s="863"/>
      <c r="W568" s="859"/>
      <c r="X568" s="859"/>
      <c r="Y568" s="755">
        <f t="shared" si="86"/>
        <v>0</v>
      </c>
      <c r="Z568" s="864"/>
      <c r="AA568" s="863"/>
      <c r="AB568" s="756">
        <f t="shared" si="87"/>
        <v>0</v>
      </c>
      <c r="AC568" s="859"/>
      <c r="AD568" s="863"/>
      <c r="AE568" s="859"/>
      <c r="AF568" s="859"/>
      <c r="AG568" s="864"/>
      <c r="AH568" s="865"/>
      <c r="AI568" s="757">
        <f t="shared" si="88"/>
        <v>617500</v>
      </c>
      <c r="AJ568" s="758">
        <f t="shared" si="89"/>
        <v>570236</v>
      </c>
    </row>
    <row r="569" spans="1:36" x14ac:dyDescent="0.2">
      <c r="A569" s="1197" t="s">
        <v>148</v>
      </c>
      <c r="B569" s="1192" t="s">
        <v>271</v>
      </c>
      <c r="C569" s="1097" t="s">
        <v>1140</v>
      </c>
      <c r="D569" s="1098"/>
      <c r="E569" s="1194">
        <v>130943</v>
      </c>
      <c r="F569" s="1195">
        <v>1</v>
      </c>
      <c r="G569" s="859"/>
      <c r="H569" s="860"/>
      <c r="I569" s="861">
        <v>115300</v>
      </c>
      <c r="J569" s="862">
        <v>115300</v>
      </c>
      <c r="K569" s="859"/>
      <c r="L569" s="863"/>
      <c r="M569" s="861"/>
      <c r="N569" s="859"/>
      <c r="O569" s="752">
        <f t="shared" si="82"/>
        <v>0</v>
      </c>
      <c r="P569" s="862"/>
      <c r="Q569" s="860"/>
      <c r="R569" s="753">
        <f t="shared" si="83"/>
        <v>0</v>
      </c>
      <c r="S569" s="752">
        <f t="shared" si="84"/>
        <v>115300</v>
      </c>
      <c r="T569" s="754">
        <f t="shared" si="85"/>
        <v>115300</v>
      </c>
      <c r="U569" s="859"/>
      <c r="V569" s="863"/>
      <c r="W569" s="859"/>
      <c r="X569" s="859"/>
      <c r="Y569" s="755">
        <f t="shared" si="86"/>
        <v>0</v>
      </c>
      <c r="Z569" s="864"/>
      <c r="AA569" s="863"/>
      <c r="AB569" s="756">
        <f t="shared" si="87"/>
        <v>0</v>
      </c>
      <c r="AC569" s="859"/>
      <c r="AD569" s="863"/>
      <c r="AE569" s="859"/>
      <c r="AF569" s="859"/>
      <c r="AG569" s="864"/>
      <c r="AH569" s="865"/>
      <c r="AI569" s="757">
        <f t="shared" si="88"/>
        <v>115300</v>
      </c>
      <c r="AJ569" s="758">
        <f t="shared" si="89"/>
        <v>115300</v>
      </c>
    </row>
    <row r="570" spans="1:36" x14ac:dyDescent="0.2">
      <c r="A570" s="1197" t="s">
        <v>148</v>
      </c>
      <c r="B570" s="1192" t="s">
        <v>271</v>
      </c>
      <c r="C570" s="1097" t="s">
        <v>1141</v>
      </c>
      <c r="D570" s="1098"/>
      <c r="E570" s="1194">
        <v>130943</v>
      </c>
      <c r="F570" s="1195">
        <v>1</v>
      </c>
      <c r="G570" s="859"/>
      <c r="H570" s="860"/>
      <c r="I570" s="861">
        <v>256600</v>
      </c>
      <c r="J570" s="862">
        <v>256600</v>
      </c>
      <c r="K570" s="859"/>
      <c r="L570" s="863"/>
      <c r="M570" s="861"/>
      <c r="N570" s="859"/>
      <c r="O570" s="752">
        <f t="shared" si="82"/>
        <v>0</v>
      </c>
      <c r="P570" s="862"/>
      <c r="Q570" s="860"/>
      <c r="R570" s="753">
        <f t="shared" si="83"/>
        <v>0</v>
      </c>
      <c r="S570" s="752">
        <f t="shared" si="84"/>
        <v>256600</v>
      </c>
      <c r="T570" s="754">
        <f t="shared" si="85"/>
        <v>256600</v>
      </c>
      <c r="U570" s="859"/>
      <c r="V570" s="863"/>
      <c r="W570" s="859"/>
      <c r="X570" s="859"/>
      <c r="Y570" s="755">
        <f t="shared" si="86"/>
        <v>0</v>
      </c>
      <c r="Z570" s="864"/>
      <c r="AA570" s="863"/>
      <c r="AB570" s="756">
        <f t="shared" si="87"/>
        <v>0</v>
      </c>
      <c r="AC570" s="859"/>
      <c r="AD570" s="863"/>
      <c r="AE570" s="859"/>
      <c r="AF570" s="859"/>
      <c r="AG570" s="864"/>
      <c r="AH570" s="865"/>
      <c r="AI570" s="757">
        <f t="shared" si="88"/>
        <v>256600</v>
      </c>
      <c r="AJ570" s="758">
        <f t="shared" si="89"/>
        <v>256600</v>
      </c>
    </row>
    <row r="571" spans="1:36" x14ac:dyDescent="0.2">
      <c r="A571" s="1197" t="s">
        <v>148</v>
      </c>
      <c r="B571" s="1192" t="s">
        <v>271</v>
      </c>
      <c r="C571" s="1097" t="s">
        <v>1142</v>
      </c>
      <c r="D571" s="1098"/>
      <c r="E571" s="1194">
        <v>130943</v>
      </c>
      <c r="F571" s="1195">
        <v>1</v>
      </c>
      <c r="G571" s="859"/>
      <c r="H571" s="860"/>
      <c r="I571" s="861">
        <v>202900</v>
      </c>
      <c r="J571" s="862">
        <v>202900</v>
      </c>
      <c r="K571" s="859"/>
      <c r="L571" s="863"/>
      <c r="M571" s="861"/>
      <c r="N571" s="859"/>
      <c r="O571" s="752">
        <f t="shared" si="82"/>
        <v>0</v>
      </c>
      <c r="P571" s="862"/>
      <c r="Q571" s="860"/>
      <c r="R571" s="753">
        <f t="shared" si="83"/>
        <v>0</v>
      </c>
      <c r="S571" s="752">
        <f t="shared" si="84"/>
        <v>202900</v>
      </c>
      <c r="T571" s="754">
        <f t="shared" si="85"/>
        <v>202900</v>
      </c>
      <c r="U571" s="859"/>
      <c r="V571" s="863"/>
      <c r="W571" s="859"/>
      <c r="X571" s="859"/>
      <c r="Y571" s="755">
        <f t="shared" si="86"/>
        <v>0</v>
      </c>
      <c r="Z571" s="864"/>
      <c r="AA571" s="863"/>
      <c r="AB571" s="756">
        <f t="shared" si="87"/>
        <v>0</v>
      </c>
      <c r="AC571" s="859"/>
      <c r="AD571" s="863"/>
      <c r="AE571" s="859"/>
      <c r="AF571" s="859"/>
      <c r="AG571" s="864"/>
      <c r="AH571" s="865"/>
      <c r="AI571" s="757">
        <f t="shared" si="88"/>
        <v>202900</v>
      </c>
      <c r="AJ571" s="758">
        <f t="shared" si="89"/>
        <v>202900</v>
      </c>
    </row>
    <row r="572" spans="1:36" x14ac:dyDescent="0.2">
      <c r="A572" s="1197" t="s">
        <v>148</v>
      </c>
      <c r="B572" s="1192" t="s">
        <v>271</v>
      </c>
      <c r="C572" s="1097" t="s">
        <v>1143</v>
      </c>
      <c r="D572" s="1098"/>
      <c r="E572" s="1194">
        <v>130943</v>
      </c>
      <c r="F572" s="1195">
        <v>1</v>
      </c>
      <c r="G572" s="859"/>
      <c r="H572" s="860"/>
      <c r="I572" s="861">
        <v>76900</v>
      </c>
      <c r="J572" s="862">
        <v>76900</v>
      </c>
      <c r="K572" s="859"/>
      <c r="L572" s="863"/>
      <c r="M572" s="861"/>
      <c r="N572" s="859"/>
      <c r="O572" s="752">
        <f t="shared" si="82"/>
        <v>0</v>
      </c>
      <c r="P572" s="862"/>
      <c r="Q572" s="860"/>
      <c r="R572" s="753">
        <f t="shared" si="83"/>
        <v>0</v>
      </c>
      <c r="S572" s="752">
        <f t="shared" si="84"/>
        <v>76900</v>
      </c>
      <c r="T572" s="754">
        <f t="shared" si="85"/>
        <v>76900</v>
      </c>
      <c r="U572" s="859"/>
      <c r="V572" s="863"/>
      <c r="W572" s="859"/>
      <c r="X572" s="859"/>
      <c r="Y572" s="755">
        <f t="shared" si="86"/>
        <v>0</v>
      </c>
      <c r="Z572" s="864"/>
      <c r="AA572" s="863"/>
      <c r="AB572" s="756">
        <f t="shared" si="87"/>
        <v>0</v>
      </c>
      <c r="AC572" s="859"/>
      <c r="AD572" s="863"/>
      <c r="AE572" s="859"/>
      <c r="AF572" s="859"/>
      <c r="AG572" s="864"/>
      <c r="AH572" s="865"/>
      <c r="AI572" s="757">
        <f t="shared" si="88"/>
        <v>76900</v>
      </c>
      <c r="AJ572" s="758">
        <f t="shared" si="89"/>
        <v>76900</v>
      </c>
    </row>
    <row r="573" spans="1:36" x14ac:dyDescent="0.2">
      <c r="A573" s="1197" t="s">
        <v>148</v>
      </c>
      <c r="B573" s="1192" t="s">
        <v>271</v>
      </c>
      <c r="C573" s="1097" t="s">
        <v>1144</v>
      </c>
      <c r="D573" s="1098"/>
      <c r="E573" s="1194">
        <v>130943</v>
      </c>
      <c r="F573" s="1195">
        <v>1</v>
      </c>
      <c r="G573" s="859"/>
      <c r="H573" s="860"/>
      <c r="I573" s="861">
        <v>239700</v>
      </c>
      <c r="J573" s="862">
        <v>241700</v>
      </c>
      <c r="K573" s="859"/>
      <c r="L573" s="863"/>
      <c r="M573" s="861"/>
      <c r="N573" s="859"/>
      <c r="O573" s="752">
        <f t="shared" si="82"/>
        <v>0</v>
      </c>
      <c r="P573" s="862"/>
      <c r="Q573" s="860"/>
      <c r="R573" s="753">
        <f t="shared" si="83"/>
        <v>0</v>
      </c>
      <c r="S573" s="752">
        <f t="shared" si="84"/>
        <v>239700</v>
      </c>
      <c r="T573" s="754">
        <f t="shared" si="85"/>
        <v>241700</v>
      </c>
      <c r="U573" s="859"/>
      <c r="V573" s="863"/>
      <c r="W573" s="859"/>
      <c r="X573" s="859"/>
      <c r="Y573" s="755">
        <f t="shared" si="86"/>
        <v>0</v>
      </c>
      <c r="Z573" s="864"/>
      <c r="AA573" s="863"/>
      <c r="AB573" s="756">
        <f t="shared" si="87"/>
        <v>0</v>
      </c>
      <c r="AC573" s="859"/>
      <c r="AD573" s="863"/>
      <c r="AE573" s="859"/>
      <c r="AF573" s="859"/>
      <c r="AG573" s="864"/>
      <c r="AH573" s="865"/>
      <c r="AI573" s="757">
        <f t="shared" si="88"/>
        <v>239700</v>
      </c>
      <c r="AJ573" s="758">
        <f t="shared" si="89"/>
        <v>241700</v>
      </c>
    </row>
    <row r="574" spans="1:36" x14ac:dyDescent="0.2">
      <c r="A574" s="1197" t="s">
        <v>148</v>
      </c>
      <c r="B574" s="1192" t="s">
        <v>271</v>
      </c>
      <c r="C574" s="1097" t="s">
        <v>1145</v>
      </c>
      <c r="D574" s="1098"/>
      <c r="E574" s="1194">
        <v>130943</v>
      </c>
      <c r="F574" s="1195">
        <v>1</v>
      </c>
      <c r="G574" s="859"/>
      <c r="H574" s="860"/>
      <c r="I574" s="861">
        <v>1739500</v>
      </c>
      <c r="J574" s="862">
        <v>1838400</v>
      </c>
      <c r="K574" s="859"/>
      <c r="L574" s="863"/>
      <c r="M574" s="861"/>
      <c r="N574" s="859"/>
      <c r="O574" s="752">
        <f t="shared" si="82"/>
        <v>0</v>
      </c>
      <c r="P574" s="862"/>
      <c r="Q574" s="860"/>
      <c r="R574" s="753">
        <f t="shared" si="83"/>
        <v>0</v>
      </c>
      <c r="S574" s="752">
        <f t="shared" si="84"/>
        <v>1739500</v>
      </c>
      <c r="T574" s="754">
        <f t="shared" si="85"/>
        <v>1838400</v>
      </c>
      <c r="U574" s="859"/>
      <c r="V574" s="863"/>
      <c r="W574" s="859"/>
      <c r="X574" s="859"/>
      <c r="Y574" s="755">
        <f t="shared" si="86"/>
        <v>0</v>
      </c>
      <c r="Z574" s="864"/>
      <c r="AA574" s="863"/>
      <c r="AB574" s="756">
        <f t="shared" si="87"/>
        <v>0</v>
      </c>
      <c r="AC574" s="859"/>
      <c r="AD574" s="863"/>
      <c r="AE574" s="859"/>
      <c r="AF574" s="859"/>
      <c r="AG574" s="864"/>
      <c r="AH574" s="865"/>
      <c r="AI574" s="757">
        <f t="shared" si="88"/>
        <v>1739500</v>
      </c>
      <c r="AJ574" s="758">
        <f t="shared" si="89"/>
        <v>1838400</v>
      </c>
    </row>
    <row r="575" spans="1:36" x14ac:dyDescent="0.2">
      <c r="A575" s="1197" t="s">
        <v>148</v>
      </c>
      <c r="B575" s="1192" t="s">
        <v>264</v>
      </c>
      <c r="C575" s="1198" t="s">
        <v>1146</v>
      </c>
      <c r="D575" s="1199"/>
      <c r="E575" s="1074">
        <v>130934</v>
      </c>
      <c r="F575" s="1202">
        <v>3</v>
      </c>
      <c r="G575" s="859">
        <v>32773400</v>
      </c>
      <c r="H575" s="860">
        <v>34327800</v>
      </c>
      <c r="I575" s="861"/>
      <c r="J575" s="862"/>
      <c r="K575" s="859"/>
      <c r="L575" s="863"/>
      <c r="M575" s="861">
        <v>43477739</v>
      </c>
      <c r="N575" s="859">
        <v>1495622</v>
      </c>
      <c r="O575" s="752">
        <f t="shared" si="82"/>
        <v>44973361</v>
      </c>
      <c r="P575" s="862">
        <v>49121388</v>
      </c>
      <c r="Q575" s="860">
        <v>1519800</v>
      </c>
      <c r="R575" s="753">
        <f t="shared" si="83"/>
        <v>50641188</v>
      </c>
      <c r="S575" s="752">
        <f t="shared" si="84"/>
        <v>76251139</v>
      </c>
      <c r="T575" s="754">
        <f t="shared" si="85"/>
        <v>83449188</v>
      </c>
      <c r="U575" s="859"/>
      <c r="V575" s="863"/>
      <c r="W575" s="859"/>
      <c r="X575" s="859"/>
      <c r="Y575" s="755">
        <f t="shared" si="86"/>
        <v>0</v>
      </c>
      <c r="Z575" s="864"/>
      <c r="AA575" s="863"/>
      <c r="AB575" s="756">
        <f t="shared" si="87"/>
        <v>0</v>
      </c>
      <c r="AC575" s="859"/>
      <c r="AD575" s="863"/>
      <c r="AE575" s="859"/>
      <c r="AF575" s="859"/>
      <c r="AG575" s="864"/>
      <c r="AH575" s="865"/>
      <c r="AI575" s="757">
        <f t="shared" si="88"/>
        <v>76251139</v>
      </c>
      <c r="AJ575" s="758">
        <f t="shared" si="89"/>
        <v>83449188</v>
      </c>
    </row>
    <row r="576" spans="1:36" x14ac:dyDescent="0.2">
      <c r="A576" s="1197" t="s">
        <v>148</v>
      </c>
      <c r="B576" s="1096" t="s">
        <v>264</v>
      </c>
      <c r="C576" s="1200" t="s">
        <v>1147</v>
      </c>
      <c r="D576" s="1216" t="s">
        <v>1125</v>
      </c>
      <c r="E576" s="1201">
        <v>130916</v>
      </c>
      <c r="F576" s="1074">
        <v>8</v>
      </c>
      <c r="G576" s="859">
        <v>29204100</v>
      </c>
      <c r="H576" s="860">
        <v>30761700</v>
      </c>
      <c r="I576" s="861"/>
      <c r="J576" s="862"/>
      <c r="K576" s="859"/>
      <c r="L576" s="863"/>
      <c r="M576" s="861">
        <v>22955100</v>
      </c>
      <c r="N576" s="859"/>
      <c r="O576" s="752">
        <f t="shared" si="82"/>
        <v>22955100</v>
      </c>
      <c r="P576" s="862">
        <v>23638600</v>
      </c>
      <c r="Q576" s="860"/>
      <c r="R576" s="753">
        <f t="shared" si="83"/>
        <v>23638600</v>
      </c>
      <c r="S576" s="752">
        <f t="shared" si="84"/>
        <v>52159200</v>
      </c>
      <c r="T576" s="754">
        <f t="shared" si="85"/>
        <v>54400300</v>
      </c>
      <c r="U576" s="859"/>
      <c r="V576" s="863"/>
      <c r="W576" s="859"/>
      <c r="X576" s="859"/>
      <c r="Y576" s="755">
        <f t="shared" si="86"/>
        <v>0</v>
      </c>
      <c r="Z576" s="864"/>
      <c r="AA576" s="863"/>
      <c r="AB576" s="756">
        <f t="shared" si="87"/>
        <v>0</v>
      </c>
      <c r="AC576" s="859"/>
      <c r="AD576" s="863"/>
      <c r="AE576" s="859"/>
      <c r="AF576" s="859"/>
      <c r="AG576" s="864"/>
      <c r="AH576" s="865"/>
      <c r="AI576" s="757">
        <f t="shared" si="88"/>
        <v>52159200</v>
      </c>
      <c r="AJ576" s="758">
        <f t="shared" si="89"/>
        <v>54400300</v>
      </c>
    </row>
    <row r="577" spans="1:36" x14ac:dyDescent="0.2">
      <c r="A577" s="1197" t="s">
        <v>148</v>
      </c>
      <c r="B577" s="1096" t="s">
        <v>264</v>
      </c>
      <c r="C577" s="1190" t="s">
        <v>1148</v>
      </c>
      <c r="D577" s="1191"/>
      <c r="E577" s="1099">
        <v>130891</v>
      </c>
      <c r="F577" s="1100">
        <v>9</v>
      </c>
      <c r="G577" s="859">
        <v>17254100</v>
      </c>
      <c r="H577" s="860">
        <v>18515300</v>
      </c>
      <c r="I577" s="861"/>
      <c r="J577" s="862"/>
      <c r="K577" s="859"/>
      <c r="L577" s="863"/>
      <c r="M577" s="861">
        <v>14560700</v>
      </c>
      <c r="N577" s="859"/>
      <c r="O577" s="752">
        <f t="shared" si="82"/>
        <v>14560700</v>
      </c>
      <c r="P577" s="862">
        <v>14332600</v>
      </c>
      <c r="Q577" s="860"/>
      <c r="R577" s="753">
        <f t="shared" si="83"/>
        <v>14332600</v>
      </c>
      <c r="S577" s="752">
        <f t="shared" si="84"/>
        <v>31814800</v>
      </c>
      <c r="T577" s="754">
        <f t="shared" si="85"/>
        <v>32847900</v>
      </c>
      <c r="U577" s="859"/>
      <c r="V577" s="863"/>
      <c r="W577" s="859"/>
      <c r="X577" s="859"/>
      <c r="Y577" s="755">
        <f t="shared" si="86"/>
        <v>0</v>
      </c>
      <c r="Z577" s="864"/>
      <c r="AA577" s="863"/>
      <c r="AB577" s="756">
        <f t="shared" si="87"/>
        <v>0</v>
      </c>
      <c r="AC577" s="859"/>
      <c r="AD577" s="863"/>
      <c r="AE577" s="859"/>
      <c r="AF577" s="859"/>
      <c r="AG577" s="864"/>
      <c r="AH577" s="865"/>
      <c r="AI577" s="757">
        <f t="shared" si="88"/>
        <v>31814800</v>
      </c>
      <c r="AJ577" s="758">
        <f t="shared" si="89"/>
        <v>32847900</v>
      </c>
    </row>
    <row r="578" spans="1:36" x14ac:dyDescent="0.2">
      <c r="A578" s="1069" t="s">
        <v>148</v>
      </c>
      <c r="B578" s="1096" t="s">
        <v>264</v>
      </c>
      <c r="C578" s="1190" t="s">
        <v>1149</v>
      </c>
      <c r="D578" s="1191"/>
      <c r="E578" s="1099">
        <v>130907</v>
      </c>
      <c r="F578" s="1100">
        <v>9</v>
      </c>
      <c r="G578" s="859">
        <v>11095800</v>
      </c>
      <c r="H578" s="860">
        <v>12352400</v>
      </c>
      <c r="I578" s="861"/>
      <c r="J578" s="862"/>
      <c r="K578" s="859"/>
      <c r="L578" s="863"/>
      <c r="M578" s="861">
        <v>9695700</v>
      </c>
      <c r="N578" s="859"/>
      <c r="O578" s="752">
        <f t="shared" si="82"/>
        <v>9695700</v>
      </c>
      <c r="P578" s="862">
        <v>10245200</v>
      </c>
      <c r="Q578" s="860"/>
      <c r="R578" s="753">
        <f t="shared" si="83"/>
        <v>10245200</v>
      </c>
      <c r="S578" s="752">
        <f t="shared" si="84"/>
        <v>20791500</v>
      </c>
      <c r="T578" s="754">
        <f t="shared" si="85"/>
        <v>22597600</v>
      </c>
      <c r="U578" s="859"/>
      <c r="V578" s="863"/>
      <c r="W578" s="859"/>
      <c r="X578" s="859"/>
      <c r="Y578" s="755">
        <f t="shared" si="86"/>
        <v>0</v>
      </c>
      <c r="Z578" s="864"/>
      <c r="AA578" s="863"/>
      <c r="AB578" s="756">
        <f t="shared" si="87"/>
        <v>0</v>
      </c>
      <c r="AC578" s="859"/>
      <c r="AD578" s="863"/>
      <c r="AE578" s="859"/>
      <c r="AF578" s="859"/>
      <c r="AG578" s="864"/>
      <c r="AH578" s="865"/>
      <c r="AI578" s="757">
        <f t="shared" si="88"/>
        <v>20791500</v>
      </c>
      <c r="AJ578" s="758">
        <f t="shared" si="89"/>
        <v>22597600</v>
      </c>
    </row>
    <row r="579" spans="1:36" x14ac:dyDescent="0.2">
      <c r="A579" s="1197" t="s">
        <v>148</v>
      </c>
      <c r="B579" s="1096" t="s">
        <v>303</v>
      </c>
      <c r="C579" s="1203" t="s">
        <v>86</v>
      </c>
      <c r="D579" s="1191"/>
      <c r="E579" s="1099"/>
      <c r="F579" s="1100"/>
      <c r="G579" s="859"/>
      <c r="H579" s="860"/>
      <c r="I579" s="861"/>
      <c r="J579" s="862"/>
      <c r="K579" s="859"/>
      <c r="L579" s="863"/>
      <c r="M579" s="861"/>
      <c r="N579" s="859"/>
      <c r="O579" s="752">
        <f t="shared" si="82"/>
        <v>0</v>
      </c>
      <c r="P579" s="862"/>
      <c r="Q579" s="860"/>
      <c r="R579" s="753">
        <f t="shared" si="83"/>
        <v>0</v>
      </c>
      <c r="S579" s="752">
        <f t="shared" si="84"/>
        <v>0</v>
      </c>
      <c r="T579" s="754">
        <f t="shared" si="85"/>
        <v>0</v>
      </c>
      <c r="U579" s="859"/>
      <c r="V579" s="863"/>
      <c r="W579" s="859"/>
      <c r="X579" s="859"/>
      <c r="Y579" s="755">
        <f t="shared" si="86"/>
        <v>0</v>
      </c>
      <c r="Z579" s="864"/>
      <c r="AA579" s="863"/>
      <c r="AB579" s="756">
        <f t="shared" si="87"/>
        <v>0</v>
      </c>
      <c r="AC579" s="859"/>
      <c r="AD579" s="863"/>
      <c r="AE579" s="859"/>
      <c r="AF579" s="859"/>
      <c r="AG579" s="864"/>
      <c r="AH579" s="1204"/>
      <c r="AI579" s="757">
        <f t="shared" si="88"/>
        <v>0</v>
      </c>
      <c r="AJ579" s="758">
        <f t="shared" si="89"/>
        <v>0</v>
      </c>
    </row>
    <row r="580" spans="1:36" x14ac:dyDescent="0.2">
      <c r="A580" s="1205" t="s">
        <v>148</v>
      </c>
      <c r="B580" s="1096" t="s">
        <v>303</v>
      </c>
      <c r="C580" s="1097" t="s">
        <v>1150</v>
      </c>
      <c r="D580" s="1098"/>
      <c r="E580" s="1099"/>
      <c r="F580" s="1100"/>
      <c r="G580" s="859"/>
      <c r="H580" s="860"/>
      <c r="I580" s="861"/>
      <c r="J580" s="862"/>
      <c r="K580" s="859"/>
      <c r="L580" s="863"/>
      <c r="M580" s="859"/>
      <c r="N580" s="859"/>
      <c r="O580" s="752">
        <f t="shared" si="82"/>
        <v>0</v>
      </c>
      <c r="P580" s="862"/>
      <c r="Q580" s="860"/>
      <c r="R580" s="753">
        <f t="shared" si="83"/>
        <v>0</v>
      </c>
      <c r="S580" s="752">
        <f t="shared" si="84"/>
        <v>0</v>
      </c>
      <c r="T580" s="754">
        <f t="shared" si="85"/>
        <v>0</v>
      </c>
      <c r="U580" s="859"/>
      <c r="V580" s="863"/>
      <c r="W580" s="859"/>
      <c r="X580" s="859"/>
      <c r="Y580" s="755">
        <f t="shared" si="86"/>
        <v>0</v>
      </c>
      <c r="Z580" s="864"/>
      <c r="AA580" s="863"/>
      <c r="AB580" s="756">
        <f t="shared" si="87"/>
        <v>0</v>
      </c>
      <c r="AC580" s="859"/>
      <c r="AD580" s="863"/>
      <c r="AE580" s="859"/>
      <c r="AF580" s="859"/>
      <c r="AG580" s="864"/>
      <c r="AH580" s="865"/>
      <c r="AI580" s="757">
        <f t="shared" si="88"/>
        <v>0</v>
      </c>
      <c r="AJ580" s="758">
        <f t="shared" si="89"/>
        <v>0</v>
      </c>
    </row>
    <row r="581" spans="1:36" x14ac:dyDescent="0.2">
      <c r="A581" s="1197" t="s">
        <v>148</v>
      </c>
      <c r="B581" s="1096" t="s">
        <v>303</v>
      </c>
      <c r="C581" s="1097" t="s">
        <v>1151</v>
      </c>
      <c r="D581" s="1098"/>
      <c r="E581" s="1099"/>
      <c r="F581" s="1100"/>
      <c r="G581" s="859"/>
      <c r="H581" s="860"/>
      <c r="I581" s="861"/>
      <c r="J581" s="862"/>
      <c r="K581" s="859"/>
      <c r="L581" s="863"/>
      <c r="M581" s="859"/>
      <c r="N581" s="859"/>
      <c r="O581" s="752">
        <f t="shared" si="82"/>
        <v>0</v>
      </c>
      <c r="P581" s="862"/>
      <c r="Q581" s="860"/>
      <c r="R581" s="753">
        <f t="shared" si="83"/>
        <v>0</v>
      </c>
      <c r="S581" s="752">
        <f t="shared" si="84"/>
        <v>0</v>
      </c>
      <c r="T581" s="754">
        <f t="shared" si="85"/>
        <v>0</v>
      </c>
      <c r="U581" s="859"/>
      <c r="V581" s="863"/>
      <c r="W581" s="859"/>
      <c r="X581" s="859"/>
      <c r="Y581" s="755">
        <f t="shared" si="86"/>
        <v>0</v>
      </c>
      <c r="Z581" s="864"/>
      <c r="AA581" s="863"/>
      <c r="AB581" s="756">
        <f t="shared" si="87"/>
        <v>0</v>
      </c>
      <c r="AC581" s="859"/>
      <c r="AD581" s="863"/>
      <c r="AE581" s="859"/>
      <c r="AF581" s="859"/>
      <c r="AG581" s="864"/>
      <c r="AH581" s="865"/>
      <c r="AI581" s="757">
        <f t="shared" si="88"/>
        <v>0</v>
      </c>
      <c r="AJ581" s="758">
        <f t="shared" si="89"/>
        <v>0</v>
      </c>
    </row>
    <row r="582" spans="1:36" x14ac:dyDescent="0.2">
      <c r="A582" s="1197" t="s">
        <v>148</v>
      </c>
      <c r="B582" s="1096" t="s">
        <v>303</v>
      </c>
      <c r="C582" s="1097" t="s">
        <v>1152</v>
      </c>
      <c r="D582" s="1098"/>
      <c r="E582" s="1099"/>
      <c r="F582" s="1100"/>
      <c r="G582" s="859"/>
      <c r="H582" s="860"/>
      <c r="I582" s="861">
        <v>1918000</v>
      </c>
      <c r="J582" s="862">
        <v>1918000</v>
      </c>
      <c r="K582" s="859"/>
      <c r="L582" s="863"/>
      <c r="M582" s="859"/>
      <c r="N582" s="859"/>
      <c r="O582" s="752">
        <f t="shared" si="82"/>
        <v>0</v>
      </c>
      <c r="P582" s="862"/>
      <c r="Q582" s="860"/>
      <c r="R582" s="753">
        <f t="shared" si="83"/>
        <v>0</v>
      </c>
      <c r="S582" s="752">
        <f t="shared" si="84"/>
        <v>1918000</v>
      </c>
      <c r="T582" s="754">
        <f t="shared" si="85"/>
        <v>1918000</v>
      </c>
      <c r="U582" s="859"/>
      <c r="V582" s="863"/>
      <c r="W582" s="859"/>
      <c r="X582" s="859"/>
      <c r="Y582" s="755">
        <f t="shared" si="86"/>
        <v>0</v>
      </c>
      <c r="Z582" s="864"/>
      <c r="AA582" s="863"/>
      <c r="AB582" s="756">
        <f t="shared" si="87"/>
        <v>0</v>
      </c>
      <c r="AC582" s="859"/>
      <c r="AD582" s="863"/>
      <c r="AE582" s="859"/>
      <c r="AF582" s="859"/>
      <c r="AG582" s="864"/>
      <c r="AH582" s="865"/>
      <c r="AI582" s="757">
        <f t="shared" si="88"/>
        <v>1918000</v>
      </c>
      <c r="AJ582" s="758">
        <f t="shared" si="89"/>
        <v>1918000</v>
      </c>
    </row>
    <row r="583" spans="1:36" x14ac:dyDescent="0.2">
      <c r="A583" s="1197" t="s">
        <v>148</v>
      </c>
      <c r="B583" s="1096" t="s">
        <v>281</v>
      </c>
      <c r="C583" s="1203" t="s">
        <v>120</v>
      </c>
      <c r="D583" s="1191"/>
      <c r="E583" s="1099"/>
      <c r="F583" s="1100"/>
      <c r="G583" s="859"/>
      <c r="H583" s="860"/>
      <c r="I583" s="861"/>
      <c r="J583" s="862"/>
      <c r="K583" s="859"/>
      <c r="L583" s="863"/>
      <c r="M583" s="859"/>
      <c r="N583" s="859"/>
      <c r="O583" s="752">
        <f t="shared" si="82"/>
        <v>0</v>
      </c>
      <c r="P583" s="862"/>
      <c r="Q583" s="860"/>
      <c r="R583" s="753">
        <f t="shared" si="83"/>
        <v>0</v>
      </c>
      <c r="S583" s="752">
        <f t="shared" si="84"/>
        <v>0</v>
      </c>
      <c r="T583" s="754">
        <f t="shared" si="85"/>
        <v>0</v>
      </c>
      <c r="U583" s="859"/>
      <c r="V583" s="863"/>
      <c r="W583" s="859"/>
      <c r="X583" s="859"/>
      <c r="Y583" s="755">
        <f t="shared" si="86"/>
        <v>0</v>
      </c>
      <c r="Z583" s="864"/>
      <c r="AA583" s="863"/>
      <c r="AB583" s="756">
        <f t="shared" si="87"/>
        <v>0</v>
      </c>
      <c r="AC583" s="859"/>
      <c r="AD583" s="863"/>
      <c r="AE583" s="859"/>
      <c r="AF583" s="859"/>
      <c r="AG583" s="864"/>
      <c r="AH583" s="865"/>
      <c r="AI583" s="757">
        <f t="shared" si="88"/>
        <v>0</v>
      </c>
      <c r="AJ583" s="758">
        <f t="shared" si="89"/>
        <v>0</v>
      </c>
    </row>
    <row r="584" spans="1:36" x14ac:dyDescent="0.2">
      <c r="A584" s="1197" t="s">
        <v>148</v>
      </c>
      <c r="B584" s="1096" t="s">
        <v>282</v>
      </c>
      <c r="C584" s="1206" t="s">
        <v>140</v>
      </c>
      <c r="D584" s="1207"/>
      <c r="E584" s="1099"/>
      <c r="F584" s="1100"/>
      <c r="G584" s="859"/>
      <c r="H584" s="860"/>
      <c r="I584" s="861"/>
      <c r="J584" s="862"/>
      <c r="K584" s="859"/>
      <c r="L584" s="863"/>
      <c r="M584" s="859"/>
      <c r="N584" s="859"/>
      <c r="O584" s="752">
        <f t="shared" si="82"/>
        <v>0</v>
      </c>
      <c r="P584" s="862"/>
      <c r="Q584" s="860"/>
      <c r="R584" s="753">
        <f t="shared" si="83"/>
        <v>0</v>
      </c>
      <c r="S584" s="752">
        <f t="shared" si="84"/>
        <v>0</v>
      </c>
      <c r="T584" s="754">
        <f t="shared" si="85"/>
        <v>0</v>
      </c>
      <c r="U584" s="859"/>
      <c r="V584" s="863"/>
      <c r="W584" s="859"/>
      <c r="X584" s="859"/>
      <c r="Y584" s="755">
        <f t="shared" si="86"/>
        <v>0</v>
      </c>
      <c r="Z584" s="864"/>
      <c r="AA584" s="863"/>
      <c r="AB584" s="756">
        <f t="shared" si="87"/>
        <v>0</v>
      </c>
      <c r="AC584" s="859"/>
      <c r="AD584" s="863"/>
      <c r="AE584" s="859"/>
      <c r="AF584" s="859"/>
      <c r="AG584" s="864"/>
      <c r="AH584" s="865"/>
      <c r="AI584" s="757">
        <f t="shared" si="88"/>
        <v>0</v>
      </c>
      <c r="AJ584" s="758">
        <f t="shared" si="89"/>
        <v>0</v>
      </c>
    </row>
    <row r="585" spans="1:36" x14ac:dyDescent="0.2">
      <c r="A585" s="1197" t="s">
        <v>148</v>
      </c>
      <c r="B585" s="1096" t="s">
        <v>282</v>
      </c>
      <c r="C585" s="1208" t="s">
        <v>1153</v>
      </c>
      <c r="D585" s="1207"/>
      <c r="E585" s="1099"/>
      <c r="F585" s="1100"/>
      <c r="G585" s="859"/>
      <c r="H585" s="860"/>
      <c r="I585" s="861"/>
      <c r="J585" s="862"/>
      <c r="K585" s="859"/>
      <c r="L585" s="863"/>
      <c r="M585" s="859"/>
      <c r="N585" s="859"/>
      <c r="O585" s="752">
        <f t="shared" si="82"/>
        <v>0</v>
      </c>
      <c r="P585" s="862"/>
      <c r="Q585" s="860"/>
      <c r="R585" s="753">
        <f t="shared" si="83"/>
        <v>0</v>
      </c>
      <c r="S585" s="752">
        <f t="shared" si="84"/>
        <v>0</v>
      </c>
      <c r="T585" s="754">
        <f t="shared" si="85"/>
        <v>0</v>
      </c>
      <c r="U585" s="859">
        <v>887800</v>
      </c>
      <c r="V585" s="863">
        <v>901000</v>
      </c>
      <c r="W585" s="859"/>
      <c r="X585" s="859"/>
      <c r="Y585" s="755">
        <f t="shared" si="86"/>
        <v>0</v>
      </c>
      <c r="Z585" s="864"/>
      <c r="AA585" s="863"/>
      <c r="AB585" s="756">
        <f t="shared" si="87"/>
        <v>0</v>
      </c>
      <c r="AC585" s="859"/>
      <c r="AD585" s="863"/>
      <c r="AE585" s="859"/>
      <c r="AF585" s="859"/>
      <c r="AG585" s="864"/>
      <c r="AH585" s="865"/>
      <c r="AI585" s="757">
        <f t="shared" si="88"/>
        <v>887800</v>
      </c>
      <c r="AJ585" s="758">
        <f t="shared" si="89"/>
        <v>901000</v>
      </c>
    </row>
    <row r="586" spans="1:36" x14ac:dyDescent="0.2">
      <c r="A586" s="1197" t="s">
        <v>148</v>
      </c>
      <c r="B586" s="1096" t="s">
        <v>283</v>
      </c>
      <c r="C586" s="1206" t="s">
        <v>139</v>
      </c>
      <c r="D586" s="1207"/>
      <c r="E586" s="1099"/>
      <c r="F586" s="1100"/>
      <c r="G586" s="859"/>
      <c r="H586" s="860"/>
      <c r="I586" s="861"/>
      <c r="J586" s="862"/>
      <c r="K586" s="859"/>
      <c r="L586" s="863"/>
      <c r="M586" s="859"/>
      <c r="N586" s="859"/>
      <c r="O586" s="752">
        <f t="shared" si="82"/>
        <v>0</v>
      </c>
      <c r="P586" s="862"/>
      <c r="Q586" s="860"/>
      <c r="R586" s="753">
        <f t="shared" si="83"/>
        <v>0</v>
      </c>
      <c r="S586" s="752">
        <f t="shared" si="84"/>
        <v>0</v>
      </c>
      <c r="T586" s="754">
        <f t="shared" si="85"/>
        <v>0</v>
      </c>
      <c r="U586" s="859"/>
      <c r="V586" s="863"/>
      <c r="W586" s="859"/>
      <c r="X586" s="859"/>
      <c r="Y586" s="755">
        <f t="shared" si="86"/>
        <v>0</v>
      </c>
      <c r="Z586" s="864"/>
      <c r="AA586" s="863"/>
      <c r="AB586" s="756">
        <f t="shared" si="87"/>
        <v>0</v>
      </c>
      <c r="AC586" s="859"/>
      <c r="AD586" s="863"/>
      <c r="AE586" s="859"/>
      <c r="AF586" s="859"/>
      <c r="AG586" s="864"/>
      <c r="AH586" s="865"/>
      <c r="AI586" s="757">
        <f t="shared" si="88"/>
        <v>0</v>
      </c>
      <c r="AJ586" s="758">
        <f t="shared" si="89"/>
        <v>0</v>
      </c>
    </row>
    <row r="587" spans="1:36" x14ac:dyDescent="0.2">
      <c r="A587" s="1197" t="s">
        <v>148</v>
      </c>
      <c r="B587" s="1096" t="s">
        <v>283</v>
      </c>
      <c r="C587" s="1208" t="s">
        <v>1154</v>
      </c>
      <c r="D587" s="1207"/>
      <c r="E587" s="1099"/>
      <c r="F587" s="1100"/>
      <c r="G587" s="859"/>
      <c r="H587" s="860"/>
      <c r="I587" s="861"/>
      <c r="J587" s="862"/>
      <c r="K587" s="859"/>
      <c r="L587" s="863"/>
      <c r="M587" s="859"/>
      <c r="N587" s="859"/>
      <c r="O587" s="752">
        <f t="shared" ref="O587:O650" si="90">SUM(M587:N587)</f>
        <v>0</v>
      </c>
      <c r="P587" s="862"/>
      <c r="Q587" s="860"/>
      <c r="R587" s="753">
        <f t="shared" si="83"/>
        <v>0</v>
      </c>
      <c r="S587" s="752">
        <f t="shared" si="84"/>
        <v>0</v>
      </c>
      <c r="T587" s="754">
        <f t="shared" si="85"/>
        <v>0</v>
      </c>
      <c r="U587" s="859">
        <v>11580800</v>
      </c>
      <c r="V587" s="863">
        <v>13571700</v>
      </c>
      <c r="W587" s="859"/>
      <c r="X587" s="859"/>
      <c r="Y587" s="755">
        <f t="shared" ref="Y587:Y650" si="91">SUM(W587:X587)</f>
        <v>0</v>
      </c>
      <c r="Z587" s="864"/>
      <c r="AA587" s="863"/>
      <c r="AB587" s="756">
        <f t="shared" ref="AB587:AB650" si="92">SUM(Z587:AA587)</f>
        <v>0</v>
      </c>
      <c r="AC587" s="859"/>
      <c r="AD587" s="863"/>
      <c r="AE587" s="859"/>
      <c r="AF587" s="859"/>
      <c r="AG587" s="864"/>
      <c r="AH587" s="865"/>
      <c r="AI587" s="757">
        <f t="shared" si="88"/>
        <v>11580800</v>
      </c>
      <c r="AJ587" s="758">
        <f t="shared" si="89"/>
        <v>13571700</v>
      </c>
    </row>
    <row r="588" spans="1:36" x14ac:dyDescent="0.2">
      <c r="A588" s="1197" t="s">
        <v>148</v>
      </c>
      <c r="B588" s="1096" t="s">
        <v>284</v>
      </c>
      <c r="C588" s="1206" t="s">
        <v>138</v>
      </c>
      <c r="D588" s="1207"/>
      <c r="E588" s="1099"/>
      <c r="F588" s="1100"/>
      <c r="G588" s="859"/>
      <c r="H588" s="860"/>
      <c r="I588" s="861"/>
      <c r="J588" s="862"/>
      <c r="K588" s="859"/>
      <c r="L588" s="863"/>
      <c r="M588" s="859"/>
      <c r="N588" s="859"/>
      <c r="O588" s="752">
        <f t="shared" si="90"/>
        <v>0</v>
      </c>
      <c r="P588" s="862"/>
      <c r="Q588" s="860"/>
      <c r="R588" s="753">
        <f t="shared" ref="R588:R651" si="93">SUM(P588:Q588)</f>
        <v>0</v>
      </c>
      <c r="S588" s="752">
        <f t="shared" ref="S588:S651" si="94">SUM(G588,I588,K588,M588)</f>
        <v>0</v>
      </c>
      <c r="T588" s="754">
        <f t="shared" ref="T588:T651" si="95">SUM(H588,J588,L588,P588)</f>
        <v>0</v>
      </c>
      <c r="U588" s="859"/>
      <c r="V588" s="863"/>
      <c r="W588" s="859"/>
      <c r="X588" s="859"/>
      <c r="Y588" s="755">
        <f t="shared" si="91"/>
        <v>0</v>
      </c>
      <c r="Z588" s="864"/>
      <c r="AA588" s="863"/>
      <c r="AB588" s="756">
        <f t="shared" si="92"/>
        <v>0</v>
      </c>
      <c r="AC588" s="859"/>
      <c r="AD588" s="863"/>
      <c r="AE588" s="859"/>
      <c r="AF588" s="859"/>
      <c r="AG588" s="864"/>
      <c r="AH588" s="865"/>
      <c r="AI588" s="757">
        <f t="shared" ref="AI588:AI651" si="96">SUM(S588,U588,W588,AC588,AE588)</f>
        <v>0</v>
      </c>
      <c r="AJ588" s="758">
        <f t="shared" ref="AJ588:AJ651" si="97">SUM(T588,V588,Z588,AD588,AG588)</f>
        <v>0</v>
      </c>
    </row>
    <row r="589" spans="1:36" x14ac:dyDescent="0.2">
      <c r="A589" s="1197" t="s">
        <v>148</v>
      </c>
      <c r="B589" s="1096" t="s">
        <v>284</v>
      </c>
      <c r="C589" s="1208" t="s">
        <v>792</v>
      </c>
      <c r="D589" s="1207"/>
      <c r="E589" s="1099"/>
      <c r="F589" s="1100"/>
      <c r="G589" s="859"/>
      <c r="H589" s="860"/>
      <c r="I589" s="861"/>
      <c r="J589" s="862"/>
      <c r="K589" s="859"/>
      <c r="L589" s="863"/>
      <c r="M589" s="859"/>
      <c r="N589" s="859"/>
      <c r="O589" s="752">
        <f t="shared" si="90"/>
        <v>0</v>
      </c>
      <c r="P589" s="862"/>
      <c r="Q589" s="860"/>
      <c r="R589" s="753">
        <f t="shared" si="93"/>
        <v>0</v>
      </c>
      <c r="S589" s="752">
        <f t="shared" si="94"/>
        <v>0</v>
      </c>
      <c r="T589" s="754">
        <f t="shared" si="95"/>
        <v>0</v>
      </c>
      <c r="U589" s="859">
        <v>193550</v>
      </c>
      <c r="V589" s="863">
        <v>193550</v>
      </c>
      <c r="W589" s="859"/>
      <c r="X589" s="859"/>
      <c r="Y589" s="755">
        <f t="shared" si="91"/>
        <v>0</v>
      </c>
      <c r="Z589" s="864"/>
      <c r="AA589" s="863"/>
      <c r="AB589" s="756">
        <f t="shared" si="92"/>
        <v>0</v>
      </c>
      <c r="AC589" s="859"/>
      <c r="AD589" s="863"/>
      <c r="AE589" s="859"/>
      <c r="AF589" s="859"/>
      <c r="AG589" s="864"/>
      <c r="AH589" s="865"/>
      <c r="AI589" s="757">
        <f t="shared" si="96"/>
        <v>193550</v>
      </c>
      <c r="AJ589" s="758">
        <f t="shared" si="97"/>
        <v>193550</v>
      </c>
    </row>
    <row r="590" spans="1:36" x14ac:dyDescent="0.2">
      <c r="A590" s="1197" t="s">
        <v>148</v>
      </c>
      <c r="B590" s="1096" t="s">
        <v>285</v>
      </c>
      <c r="C590" s="1206" t="s">
        <v>1155</v>
      </c>
      <c r="D590" s="1207"/>
      <c r="E590" s="1099"/>
      <c r="F590" s="1100"/>
      <c r="G590" s="859"/>
      <c r="H590" s="860"/>
      <c r="I590" s="861"/>
      <c r="J590" s="862"/>
      <c r="K590" s="859"/>
      <c r="L590" s="863"/>
      <c r="M590" s="859"/>
      <c r="N590" s="859"/>
      <c r="O590" s="752">
        <f t="shared" si="90"/>
        <v>0</v>
      </c>
      <c r="P590" s="862"/>
      <c r="Q590" s="860"/>
      <c r="R590" s="753">
        <f t="shared" si="93"/>
        <v>0</v>
      </c>
      <c r="S590" s="752">
        <f t="shared" si="94"/>
        <v>0</v>
      </c>
      <c r="T590" s="754">
        <f t="shared" si="95"/>
        <v>0</v>
      </c>
      <c r="U590" s="859"/>
      <c r="V590" s="863"/>
      <c r="W590" s="859"/>
      <c r="X590" s="859"/>
      <c r="Y590" s="755">
        <f t="shared" si="91"/>
        <v>0</v>
      </c>
      <c r="Z590" s="864"/>
      <c r="AA590" s="863"/>
      <c r="AB590" s="756">
        <f t="shared" si="92"/>
        <v>0</v>
      </c>
      <c r="AC590" s="859"/>
      <c r="AD590" s="863"/>
      <c r="AE590" s="859"/>
      <c r="AF590" s="859"/>
      <c r="AG590" s="864"/>
      <c r="AH590" s="865"/>
      <c r="AI590" s="757">
        <f t="shared" si="96"/>
        <v>0</v>
      </c>
      <c r="AJ590" s="758">
        <f t="shared" si="97"/>
        <v>0</v>
      </c>
    </row>
    <row r="591" spans="1:36" x14ac:dyDescent="0.2">
      <c r="A591" s="1197" t="s">
        <v>148</v>
      </c>
      <c r="B591" s="1096" t="s">
        <v>286</v>
      </c>
      <c r="C591" s="1203" t="s">
        <v>300</v>
      </c>
      <c r="D591" s="1191"/>
      <c r="E591" s="1099"/>
      <c r="F591" s="1100"/>
      <c r="G591" s="859"/>
      <c r="H591" s="860"/>
      <c r="I591" s="861"/>
      <c r="J591" s="862"/>
      <c r="K591" s="859"/>
      <c r="L591" s="863"/>
      <c r="M591" s="859"/>
      <c r="N591" s="859"/>
      <c r="O591" s="752">
        <f t="shared" si="90"/>
        <v>0</v>
      </c>
      <c r="P591" s="862"/>
      <c r="Q591" s="860"/>
      <c r="R591" s="753">
        <f t="shared" si="93"/>
        <v>0</v>
      </c>
      <c r="S591" s="752">
        <f t="shared" si="94"/>
        <v>0</v>
      </c>
      <c r="T591" s="754">
        <f t="shared" si="95"/>
        <v>0</v>
      </c>
      <c r="U591" s="859"/>
      <c r="V591" s="863"/>
      <c r="W591" s="859"/>
      <c r="X591" s="859"/>
      <c r="Y591" s="755">
        <f t="shared" si="91"/>
        <v>0</v>
      </c>
      <c r="Z591" s="864"/>
      <c r="AA591" s="863"/>
      <c r="AB591" s="756">
        <f t="shared" si="92"/>
        <v>0</v>
      </c>
      <c r="AC591" s="859"/>
      <c r="AD591" s="863"/>
      <c r="AE591" s="859"/>
      <c r="AF591" s="859"/>
      <c r="AG591" s="864"/>
      <c r="AH591" s="865"/>
      <c r="AI591" s="757">
        <f t="shared" si="96"/>
        <v>0</v>
      </c>
      <c r="AJ591" s="758">
        <f t="shared" si="97"/>
        <v>0</v>
      </c>
    </row>
    <row r="592" spans="1:36" x14ac:dyDescent="0.2">
      <c r="A592" s="1197" t="s">
        <v>148</v>
      </c>
      <c r="B592" s="1096" t="s">
        <v>287</v>
      </c>
      <c r="C592" s="1203" t="s">
        <v>188</v>
      </c>
      <c r="D592" s="1191"/>
      <c r="E592" s="1099"/>
      <c r="F592" s="1100"/>
      <c r="G592" s="859"/>
      <c r="H592" s="860"/>
      <c r="I592" s="861"/>
      <c r="J592" s="862"/>
      <c r="K592" s="859"/>
      <c r="L592" s="863"/>
      <c r="M592" s="859"/>
      <c r="N592" s="859"/>
      <c r="O592" s="752">
        <f t="shared" si="90"/>
        <v>0</v>
      </c>
      <c r="P592" s="862"/>
      <c r="Q592" s="860"/>
      <c r="R592" s="753">
        <f t="shared" si="93"/>
        <v>0</v>
      </c>
      <c r="S592" s="752">
        <f t="shared" si="94"/>
        <v>0</v>
      </c>
      <c r="T592" s="754">
        <f t="shared" si="95"/>
        <v>0</v>
      </c>
      <c r="U592" s="859"/>
      <c r="V592" s="863"/>
      <c r="W592" s="859"/>
      <c r="X592" s="859"/>
      <c r="Y592" s="755">
        <f t="shared" si="91"/>
        <v>0</v>
      </c>
      <c r="Z592" s="864"/>
      <c r="AA592" s="863"/>
      <c r="AB592" s="756">
        <f t="shared" si="92"/>
        <v>0</v>
      </c>
      <c r="AC592" s="859"/>
      <c r="AD592" s="863"/>
      <c r="AE592" s="859"/>
      <c r="AF592" s="859"/>
      <c r="AG592" s="864"/>
      <c r="AH592" s="865"/>
      <c r="AI592" s="757">
        <f t="shared" si="96"/>
        <v>0</v>
      </c>
      <c r="AJ592" s="758">
        <f t="shared" si="97"/>
        <v>0</v>
      </c>
    </row>
    <row r="593" spans="1:36" x14ac:dyDescent="0.2">
      <c r="A593" s="1197" t="s">
        <v>148</v>
      </c>
      <c r="B593" s="1096" t="s">
        <v>288</v>
      </c>
      <c r="C593" s="1206" t="s">
        <v>571</v>
      </c>
      <c r="D593" s="1207"/>
      <c r="E593" s="1099"/>
      <c r="F593" s="1100"/>
      <c r="G593" s="859"/>
      <c r="H593" s="860"/>
      <c r="I593" s="861"/>
      <c r="J593" s="862"/>
      <c r="K593" s="859"/>
      <c r="L593" s="863"/>
      <c r="M593" s="859"/>
      <c r="N593" s="859"/>
      <c r="O593" s="752">
        <f t="shared" si="90"/>
        <v>0</v>
      </c>
      <c r="P593" s="862"/>
      <c r="Q593" s="860"/>
      <c r="R593" s="753">
        <f t="shared" si="93"/>
        <v>0</v>
      </c>
      <c r="S593" s="752">
        <f t="shared" si="94"/>
        <v>0</v>
      </c>
      <c r="T593" s="754">
        <f t="shared" si="95"/>
        <v>0</v>
      </c>
      <c r="U593" s="859"/>
      <c r="V593" s="863"/>
      <c r="W593" s="859"/>
      <c r="X593" s="859"/>
      <c r="Y593" s="755">
        <f t="shared" si="91"/>
        <v>0</v>
      </c>
      <c r="Z593" s="864"/>
      <c r="AA593" s="863"/>
      <c r="AB593" s="756">
        <f t="shared" si="92"/>
        <v>0</v>
      </c>
      <c r="AC593" s="859"/>
      <c r="AD593" s="863"/>
      <c r="AE593" s="859"/>
      <c r="AF593" s="859"/>
      <c r="AG593" s="864"/>
      <c r="AH593" s="865"/>
      <c r="AI593" s="757">
        <f t="shared" si="96"/>
        <v>0</v>
      </c>
      <c r="AJ593" s="758">
        <f t="shared" si="97"/>
        <v>0</v>
      </c>
    </row>
    <row r="594" spans="1:36" x14ac:dyDescent="0.2">
      <c r="A594" s="1197" t="s">
        <v>148</v>
      </c>
      <c r="B594" s="1096" t="s">
        <v>288</v>
      </c>
      <c r="C594" s="1097" t="s">
        <v>1156</v>
      </c>
      <c r="D594" s="1098"/>
      <c r="E594" s="1099"/>
      <c r="F594" s="1100"/>
      <c r="G594" s="859"/>
      <c r="H594" s="860"/>
      <c r="I594" s="861"/>
      <c r="J594" s="862"/>
      <c r="K594" s="859"/>
      <c r="L594" s="863"/>
      <c r="M594" s="859"/>
      <c r="N594" s="859"/>
      <c r="O594" s="752">
        <f t="shared" si="90"/>
        <v>0</v>
      </c>
      <c r="P594" s="862"/>
      <c r="Q594" s="860"/>
      <c r="R594" s="753">
        <f t="shared" si="93"/>
        <v>0</v>
      </c>
      <c r="S594" s="752">
        <f t="shared" si="94"/>
        <v>0</v>
      </c>
      <c r="T594" s="754">
        <f t="shared" si="95"/>
        <v>0</v>
      </c>
      <c r="U594" s="859">
        <v>2130000</v>
      </c>
      <c r="V594" s="863">
        <v>2130000</v>
      </c>
      <c r="W594" s="859"/>
      <c r="X594" s="859"/>
      <c r="Y594" s="755">
        <f t="shared" si="91"/>
        <v>0</v>
      </c>
      <c r="Z594" s="864"/>
      <c r="AA594" s="863"/>
      <c r="AB594" s="756">
        <f t="shared" si="92"/>
        <v>0</v>
      </c>
      <c r="AC594" s="859"/>
      <c r="AD594" s="863"/>
      <c r="AE594" s="859"/>
      <c r="AF594" s="859"/>
      <c r="AG594" s="864"/>
      <c r="AH594" s="865"/>
      <c r="AI594" s="757">
        <f t="shared" si="96"/>
        <v>2130000</v>
      </c>
      <c r="AJ594" s="758">
        <f t="shared" si="97"/>
        <v>2130000</v>
      </c>
    </row>
    <row r="595" spans="1:36" x14ac:dyDescent="0.2">
      <c r="A595" s="1197" t="s">
        <v>148</v>
      </c>
      <c r="B595" s="1096" t="s">
        <v>289</v>
      </c>
      <c r="C595" s="1206" t="s">
        <v>573</v>
      </c>
      <c r="D595" s="1207"/>
      <c r="E595" s="1099"/>
      <c r="F595" s="1100"/>
      <c r="G595" s="859"/>
      <c r="H595" s="860"/>
      <c r="I595" s="861"/>
      <c r="J595" s="862"/>
      <c r="K595" s="859"/>
      <c r="L595" s="863"/>
      <c r="M595" s="859"/>
      <c r="N595" s="859"/>
      <c r="O595" s="752">
        <f t="shared" si="90"/>
        <v>0</v>
      </c>
      <c r="P595" s="862"/>
      <c r="Q595" s="860"/>
      <c r="R595" s="753">
        <f t="shared" si="93"/>
        <v>0</v>
      </c>
      <c r="S595" s="752">
        <f t="shared" si="94"/>
        <v>0</v>
      </c>
      <c r="T595" s="754">
        <f t="shared" si="95"/>
        <v>0</v>
      </c>
      <c r="U595" s="859"/>
      <c r="V595" s="863"/>
      <c r="W595" s="859"/>
      <c r="X595" s="859"/>
      <c r="Y595" s="755">
        <f t="shared" si="91"/>
        <v>0</v>
      </c>
      <c r="Z595" s="864"/>
      <c r="AA595" s="863"/>
      <c r="AB595" s="756">
        <f t="shared" si="92"/>
        <v>0</v>
      </c>
      <c r="AC595" s="859"/>
      <c r="AD595" s="863"/>
      <c r="AE595" s="859"/>
      <c r="AF595" s="859"/>
      <c r="AG595" s="864"/>
      <c r="AH595" s="865"/>
      <c r="AI595" s="757">
        <f t="shared" si="96"/>
        <v>0</v>
      </c>
      <c r="AJ595" s="758">
        <f t="shared" si="97"/>
        <v>0</v>
      </c>
    </row>
    <row r="596" spans="1:36" ht="25.5" x14ac:dyDescent="0.2">
      <c r="A596" s="1197" t="s">
        <v>148</v>
      </c>
      <c r="B596" s="1096" t="s">
        <v>289</v>
      </c>
      <c r="C596" s="1209" t="s">
        <v>1157</v>
      </c>
      <c r="D596" s="1210"/>
      <c r="E596" s="1099"/>
      <c r="F596" s="1100"/>
      <c r="G596" s="859"/>
      <c r="H596" s="860"/>
      <c r="I596" s="861"/>
      <c r="J596" s="862"/>
      <c r="K596" s="859"/>
      <c r="L596" s="863"/>
      <c r="M596" s="859"/>
      <c r="N596" s="859"/>
      <c r="O596" s="752">
        <f t="shared" si="90"/>
        <v>0</v>
      </c>
      <c r="P596" s="862"/>
      <c r="Q596" s="860"/>
      <c r="R596" s="753">
        <f t="shared" si="93"/>
        <v>0</v>
      </c>
      <c r="S596" s="752">
        <f t="shared" si="94"/>
        <v>0</v>
      </c>
      <c r="T596" s="754">
        <f t="shared" si="95"/>
        <v>0</v>
      </c>
      <c r="U596" s="859">
        <v>309600</v>
      </c>
      <c r="V596" s="863">
        <v>292600</v>
      </c>
      <c r="W596" s="859"/>
      <c r="X596" s="859"/>
      <c r="Y596" s="755">
        <f t="shared" si="91"/>
        <v>0</v>
      </c>
      <c r="Z596" s="864"/>
      <c r="AA596" s="863"/>
      <c r="AB596" s="756">
        <f t="shared" si="92"/>
        <v>0</v>
      </c>
      <c r="AC596" s="859"/>
      <c r="AD596" s="863"/>
      <c r="AE596" s="859"/>
      <c r="AF596" s="859"/>
      <c r="AG596" s="864"/>
      <c r="AH596" s="865"/>
      <c r="AI596" s="757">
        <f t="shared" si="96"/>
        <v>309600</v>
      </c>
      <c r="AJ596" s="758">
        <f t="shared" si="97"/>
        <v>292600</v>
      </c>
    </row>
    <row r="597" spans="1:36" x14ac:dyDescent="0.2">
      <c r="A597" s="1069" t="s">
        <v>148</v>
      </c>
      <c r="B597" s="1096" t="s">
        <v>289</v>
      </c>
      <c r="C597" s="1097" t="s">
        <v>1158</v>
      </c>
      <c r="D597" s="1098"/>
      <c r="E597" s="1099"/>
      <c r="F597" s="1100"/>
      <c r="G597" s="859"/>
      <c r="H597" s="860"/>
      <c r="I597" s="861"/>
      <c r="J597" s="862"/>
      <c r="K597" s="859"/>
      <c r="L597" s="863"/>
      <c r="M597" s="859"/>
      <c r="N597" s="859"/>
      <c r="O597" s="752">
        <f t="shared" si="90"/>
        <v>0</v>
      </c>
      <c r="P597" s="862"/>
      <c r="Q597" s="860"/>
      <c r="R597" s="753">
        <f t="shared" si="93"/>
        <v>0</v>
      </c>
      <c r="S597" s="752">
        <f t="shared" si="94"/>
        <v>0</v>
      </c>
      <c r="T597" s="754">
        <f t="shared" si="95"/>
        <v>0</v>
      </c>
      <c r="U597" s="917">
        <v>515000</v>
      </c>
      <c r="V597" s="863">
        <v>515000</v>
      </c>
      <c r="W597" s="859"/>
      <c r="X597" s="859"/>
      <c r="Y597" s="755">
        <f t="shared" si="91"/>
        <v>0</v>
      </c>
      <c r="Z597" s="864"/>
      <c r="AA597" s="863"/>
      <c r="AB597" s="756">
        <f t="shared" si="92"/>
        <v>0</v>
      </c>
      <c r="AC597" s="859"/>
      <c r="AD597" s="863"/>
      <c r="AE597" s="859"/>
      <c r="AF597" s="859"/>
      <c r="AG597" s="864"/>
      <c r="AH597" s="865"/>
      <c r="AI597" s="757">
        <f t="shared" si="96"/>
        <v>515000</v>
      </c>
      <c r="AJ597" s="758">
        <f t="shared" si="97"/>
        <v>515000</v>
      </c>
    </row>
    <row r="598" spans="1:36" x14ac:dyDescent="0.2">
      <c r="A598" s="1197" t="s">
        <v>148</v>
      </c>
      <c r="B598" s="1096" t="s">
        <v>290</v>
      </c>
      <c r="C598" s="1206" t="s">
        <v>137</v>
      </c>
      <c r="D598" s="1207"/>
      <c r="E598" s="1099"/>
      <c r="F598" s="1100"/>
      <c r="G598" s="859"/>
      <c r="H598" s="860"/>
      <c r="I598" s="861"/>
      <c r="J598" s="862"/>
      <c r="K598" s="859"/>
      <c r="L598" s="863"/>
      <c r="M598" s="859"/>
      <c r="N598" s="859"/>
      <c r="O598" s="752">
        <f t="shared" si="90"/>
        <v>0</v>
      </c>
      <c r="P598" s="862"/>
      <c r="Q598" s="860"/>
      <c r="R598" s="753">
        <f t="shared" si="93"/>
        <v>0</v>
      </c>
      <c r="S598" s="752">
        <f t="shared" si="94"/>
        <v>0</v>
      </c>
      <c r="T598" s="754">
        <f t="shared" si="95"/>
        <v>0</v>
      </c>
      <c r="U598" s="859"/>
      <c r="V598" s="863"/>
      <c r="W598" s="859"/>
      <c r="X598" s="859"/>
      <c r="Y598" s="755">
        <f t="shared" si="91"/>
        <v>0</v>
      </c>
      <c r="Z598" s="864"/>
      <c r="AA598" s="863"/>
      <c r="AB598" s="756">
        <f t="shared" si="92"/>
        <v>0</v>
      </c>
      <c r="AC598" s="859"/>
      <c r="AD598" s="863"/>
      <c r="AE598" s="859"/>
      <c r="AF598" s="859"/>
      <c r="AG598" s="864"/>
      <c r="AH598" s="865"/>
      <c r="AI598" s="757">
        <f t="shared" si="96"/>
        <v>0</v>
      </c>
      <c r="AJ598" s="758">
        <f t="shared" si="97"/>
        <v>0</v>
      </c>
    </row>
    <row r="599" spans="1:36" x14ac:dyDescent="0.2">
      <c r="A599" s="1197" t="s">
        <v>148</v>
      </c>
      <c r="B599" s="1096" t="s">
        <v>291</v>
      </c>
      <c r="C599" s="1203" t="s">
        <v>259</v>
      </c>
      <c r="D599" s="1191"/>
      <c r="E599" s="1099"/>
      <c r="F599" s="1100"/>
      <c r="G599" s="859"/>
      <c r="H599" s="860"/>
      <c r="I599" s="861"/>
      <c r="J599" s="862"/>
      <c r="K599" s="859"/>
      <c r="L599" s="863"/>
      <c r="M599" s="859"/>
      <c r="N599" s="859"/>
      <c r="O599" s="752">
        <f t="shared" si="90"/>
        <v>0</v>
      </c>
      <c r="P599" s="862"/>
      <c r="Q599" s="860"/>
      <c r="R599" s="753">
        <f t="shared" si="93"/>
        <v>0</v>
      </c>
      <c r="S599" s="752">
        <f t="shared" si="94"/>
        <v>0</v>
      </c>
      <c r="T599" s="754">
        <f t="shared" si="95"/>
        <v>0</v>
      </c>
      <c r="U599" s="859"/>
      <c r="V599" s="863"/>
      <c r="W599" s="859"/>
      <c r="X599" s="859"/>
      <c r="Y599" s="755">
        <f t="shared" si="91"/>
        <v>0</v>
      </c>
      <c r="Z599" s="864"/>
      <c r="AA599" s="863"/>
      <c r="AB599" s="756">
        <f t="shared" si="92"/>
        <v>0</v>
      </c>
      <c r="AC599" s="859"/>
      <c r="AD599" s="863"/>
      <c r="AE599" s="859"/>
      <c r="AF599" s="859"/>
      <c r="AG599" s="864"/>
      <c r="AH599" s="865"/>
      <c r="AI599" s="757">
        <f t="shared" si="96"/>
        <v>0</v>
      </c>
      <c r="AJ599" s="758">
        <f t="shared" si="97"/>
        <v>0</v>
      </c>
    </row>
    <row r="600" spans="1:36" x14ac:dyDescent="0.2">
      <c r="A600" s="1197" t="s">
        <v>148</v>
      </c>
      <c r="B600" s="1096" t="s">
        <v>292</v>
      </c>
      <c r="C600" s="1211" t="s">
        <v>34</v>
      </c>
      <c r="D600" s="1212"/>
      <c r="E600" s="1099"/>
      <c r="F600" s="1100"/>
      <c r="G600" s="859"/>
      <c r="H600" s="860"/>
      <c r="I600" s="861"/>
      <c r="J600" s="862"/>
      <c r="K600" s="859"/>
      <c r="L600" s="863"/>
      <c r="M600" s="859"/>
      <c r="N600" s="859"/>
      <c r="O600" s="752">
        <f t="shared" si="90"/>
        <v>0</v>
      </c>
      <c r="P600" s="862"/>
      <c r="Q600" s="860"/>
      <c r="R600" s="753">
        <f t="shared" si="93"/>
        <v>0</v>
      </c>
      <c r="S600" s="752">
        <f t="shared" si="94"/>
        <v>0</v>
      </c>
      <c r="T600" s="754">
        <f t="shared" si="95"/>
        <v>0</v>
      </c>
      <c r="U600" s="859"/>
      <c r="V600" s="863"/>
      <c r="W600" s="859"/>
      <c r="X600" s="859"/>
      <c r="Y600" s="755">
        <f t="shared" si="91"/>
        <v>0</v>
      </c>
      <c r="Z600" s="864"/>
      <c r="AA600" s="863"/>
      <c r="AB600" s="756">
        <f t="shared" si="92"/>
        <v>0</v>
      </c>
      <c r="AC600" s="859"/>
      <c r="AD600" s="863"/>
      <c r="AE600" s="859"/>
      <c r="AF600" s="859"/>
      <c r="AG600" s="864"/>
      <c r="AH600" s="865"/>
      <c r="AI600" s="757">
        <f t="shared" si="96"/>
        <v>0</v>
      </c>
      <c r="AJ600" s="758">
        <f t="shared" si="97"/>
        <v>0</v>
      </c>
    </row>
    <row r="601" spans="1:36" x14ac:dyDescent="0.2">
      <c r="A601" s="1197" t="s">
        <v>148</v>
      </c>
      <c r="B601" s="1096" t="s">
        <v>292</v>
      </c>
      <c r="C601" s="1213" t="s">
        <v>1159</v>
      </c>
      <c r="D601" s="1098"/>
      <c r="E601" s="1099"/>
      <c r="F601" s="1100"/>
      <c r="G601" s="859"/>
      <c r="H601" s="860"/>
      <c r="I601" s="861"/>
      <c r="J601" s="862"/>
      <c r="K601" s="859"/>
      <c r="L601" s="863"/>
      <c r="M601" s="859"/>
      <c r="N601" s="859"/>
      <c r="O601" s="752">
        <f t="shared" si="90"/>
        <v>0</v>
      </c>
      <c r="P601" s="862"/>
      <c r="Q601" s="860"/>
      <c r="R601" s="753">
        <f t="shared" si="93"/>
        <v>0</v>
      </c>
      <c r="S601" s="752">
        <f t="shared" si="94"/>
        <v>0</v>
      </c>
      <c r="T601" s="754">
        <f t="shared" si="95"/>
        <v>0</v>
      </c>
      <c r="U601" s="859">
        <v>1275277</v>
      </c>
      <c r="V601" s="863">
        <v>1280164</v>
      </c>
      <c r="W601" s="859"/>
      <c r="X601" s="859"/>
      <c r="Y601" s="755">
        <f t="shared" si="91"/>
        <v>0</v>
      </c>
      <c r="Z601" s="864"/>
      <c r="AA601" s="863"/>
      <c r="AB601" s="756">
        <f t="shared" si="92"/>
        <v>0</v>
      </c>
      <c r="AC601" s="859"/>
      <c r="AD601" s="863"/>
      <c r="AE601" s="859"/>
      <c r="AF601" s="859"/>
      <c r="AG601" s="864"/>
      <c r="AH601" s="865"/>
      <c r="AI601" s="757">
        <f t="shared" si="96"/>
        <v>1275277</v>
      </c>
      <c r="AJ601" s="758">
        <f t="shared" si="97"/>
        <v>1280164</v>
      </c>
    </row>
    <row r="602" spans="1:36" x14ac:dyDescent="0.2">
      <c r="A602" s="1197" t="s">
        <v>148</v>
      </c>
      <c r="B602" s="1096" t="s">
        <v>209</v>
      </c>
      <c r="C602" s="1208" t="s">
        <v>250</v>
      </c>
      <c r="D602" s="1207"/>
      <c r="E602" s="1099"/>
      <c r="F602" s="1100"/>
      <c r="G602" s="859"/>
      <c r="H602" s="860"/>
      <c r="I602" s="861"/>
      <c r="J602" s="862"/>
      <c r="K602" s="859"/>
      <c r="L602" s="863"/>
      <c r="M602" s="859"/>
      <c r="N602" s="859"/>
      <c r="O602" s="752">
        <f t="shared" si="90"/>
        <v>0</v>
      </c>
      <c r="P602" s="862"/>
      <c r="Q602" s="860"/>
      <c r="R602" s="753">
        <f t="shared" si="93"/>
        <v>0</v>
      </c>
      <c r="S602" s="752">
        <f t="shared" si="94"/>
        <v>0</v>
      </c>
      <c r="T602" s="754">
        <f t="shared" si="95"/>
        <v>0</v>
      </c>
      <c r="U602" s="859"/>
      <c r="V602" s="863"/>
      <c r="W602" s="859"/>
      <c r="X602" s="859"/>
      <c r="Y602" s="755">
        <f t="shared" si="91"/>
        <v>0</v>
      </c>
      <c r="Z602" s="864"/>
      <c r="AA602" s="863"/>
      <c r="AB602" s="756">
        <f t="shared" si="92"/>
        <v>0</v>
      </c>
      <c r="AC602" s="859"/>
      <c r="AD602" s="863"/>
      <c r="AE602" s="859"/>
      <c r="AF602" s="859"/>
      <c r="AG602" s="864"/>
      <c r="AH602" s="865"/>
      <c r="AI602" s="757">
        <f t="shared" si="96"/>
        <v>0</v>
      </c>
      <c r="AJ602" s="758">
        <f t="shared" si="97"/>
        <v>0</v>
      </c>
    </row>
    <row r="603" spans="1:36" x14ac:dyDescent="0.2">
      <c r="A603" s="1197" t="s">
        <v>148</v>
      </c>
      <c r="B603" s="1096" t="s">
        <v>210</v>
      </c>
      <c r="C603" s="1208" t="s">
        <v>311</v>
      </c>
      <c r="D603" s="1207"/>
      <c r="E603" s="1099"/>
      <c r="F603" s="1100"/>
      <c r="G603" s="859"/>
      <c r="H603" s="860"/>
      <c r="I603" s="861"/>
      <c r="J603" s="862"/>
      <c r="K603" s="859"/>
      <c r="L603" s="863"/>
      <c r="M603" s="859"/>
      <c r="N603" s="859"/>
      <c r="O603" s="752">
        <f t="shared" si="90"/>
        <v>0</v>
      </c>
      <c r="P603" s="862"/>
      <c r="Q603" s="860"/>
      <c r="R603" s="753">
        <f t="shared" si="93"/>
        <v>0</v>
      </c>
      <c r="S603" s="752">
        <f t="shared" si="94"/>
        <v>0</v>
      </c>
      <c r="T603" s="754">
        <f t="shared" si="95"/>
        <v>0</v>
      </c>
      <c r="U603" s="859"/>
      <c r="V603" s="863"/>
      <c r="W603" s="859"/>
      <c r="X603" s="859"/>
      <c r="Y603" s="755">
        <f t="shared" si="91"/>
        <v>0</v>
      </c>
      <c r="Z603" s="864"/>
      <c r="AA603" s="863"/>
      <c r="AB603" s="756">
        <f t="shared" si="92"/>
        <v>0</v>
      </c>
      <c r="AC603" s="859"/>
      <c r="AD603" s="863"/>
      <c r="AE603" s="859"/>
      <c r="AF603" s="859"/>
      <c r="AG603" s="864"/>
      <c r="AH603" s="865"/>
      <c r="AI603" s="757">
        <f t="shared" si="96"/>
        <v>0</v>
      </c>
      <c r="AJ603" s="758">
        <f t="shared" si="97"/>
        <v>0</v>
      </c>
    </row>
    <row r="604" spans="1:36" x14ac:dyDescent="0.2">
      <c r="A604" s="1197" t="s">
        <v>148</v>
      </c>
      <c r="B604" s="1096" t="s">
        <v>204</v>
      </c>
      <c r="C604" s="1208" t="s">
        <v>249</v>
      </c>
      <c r="D604" s="1207"/>
      <c r="E604" s="1099"/>
      <c r="F604" s="1100"/>
      <c r="G604" s="859"/>
      <c r="H604" s="860"/>
      <c r="I604" s="861"/>
      <c r="J604" s="862"/>
      <c r="K604" s="859"/>
      <c r="L604" s="863"/>
      <c r="M604" s="859"/>
      <c r="N604" s="859"/>
      <c r="O604" s="752">
        <f t="shared" si="90"/>
        <v>0</v>
      </c>
      <c r="P604" s="862"/>
      <c r="Q604" s="860"/>
      <c r="R604" s="753">
        <f t="shared" si="93"/>
        <v>0</v>
      </c>
      <c r="S604" s="752">
        <f t="shared" si="94"/>
        <v>0</v>
      </c>
      <c r="T604" s="754">
        <f t="shared" si="95"/>
        <v>0</v>
      </c>
      <c r="U604" s="859"/>
      <c r="V604" s="863"/>
      <c r="W604" s="859"/>
      <c r="X604" s="859"/>
      <c r="Y604" s="755">
        <f t="shared" si="91"/>
        <v>0</v>
      </c>
      <c r="Z604" s="864"/>
      <c r="AA604" s="863"/>
      <c r="AB604" s="756">
        <f t="shared" si="92"/>
        <v>0</v>
      </c>
      <c r="AC604" s="859"/>
      <c r="AD604" s="863"/>
      <c r="AE604" s="859"/>
      <c r="AF604" s="859"/>
      <c r="AG604" s="864"/>
      <c r="AH604" s="865"/>
      <c r="AI604" s="757">
        <f t="shared" si="96"/>
        <v>0</v>
      </c>
      <c r="AJ604" s="758">
        <f t="shared" si="97"/>
        <v>0</v>
      </c>
    </row>
    <row r="605" spans="1:36" x14ac:dyDescent="0.2">
      <c r="A605" s="1197" t="s">
        <v>148</v>
      </c>
      <c r="B605" s="1096" t="s">
        <v>205</v>
      </c>
      <c r="C605" s="1208" t="s">
        <v>222</v>
      </c>
      <c r="D605" s="1207"/>
      <c r="E605" s="1099"/>
      <c r="F605" s="1100"/>
      <c r="G605" s="859"/>
      <c r="H605" s="860"/>
      <c r="I605" s="861"/>
      <c r="J605" s="862"/>
      <c r="K605" s="859"/>
      <c r="L605" s="863"/>
      <c r="M605" s="859"/>
      <c r="N605" s="859"/>
      <c r="O605" s="752">
        <f t="shared" si="90"/>
        <v>0</v>
      </c>
      <c r="P605" s="862"/>
      <c r="Q605" s="860"/>
      <c r="R605" s="753">
        <f t="shared" si="93"/>
        <v>0</v>
      </c>
      <c r="S605" s="752">
        <f t="shared" si="94"/>
        <v>0</v>
      </c>
      <c r="T605" s="754">
        <f t="shared" si="95"/>
        <v>0</v>
      </c>
      <c r="U605" s="859"/>
      <c r="V605" s="863"/>
      <c r="W605" s="859"/>
      <c r="X605" s="859"/>
      <c r="Y605" s="755">
        <f t="shared" si="91"/>
        <v>0</v>
      </c>
      <c r="Z605" s="864"/>
      <c r="AA605" s="863"/>
      <c r="AB605" s="756">
        <f t="shared" si="92"/>
        <v>0</v>
      </c>
      <c r="AC605" s="859"/>
      <c r="AD605" s="863"/>
      <c r="AE605" s="859"/>
      <c r="AF605" s="859"/>
      <c r="AG605" s="864"/>
      <c r="AH605" s="865"/>
      <c r="AI605" s="757">
        <f t="shared" si="96"/>
        <v>0</v>
      </c>
      <c r="AJ605" s="758">
        <f t="shared" si="97"/>
        <v>0</v>
      </c>
    </row>
    <row r="606" spans="1:36" x14ac:dyDescent="0.2">
      <c r="A606" s="1197" t="s">
        <v>148</v>
      </c>
      <c r="B606" s="1096" t="s">
        <v>218</v>
      </c>
      <c r="C606" s="1208" t="s">
        <v>311</v>
      </c>
      <c r="D606" s="1207"/>
      <c r="E606" s="1099"/>
      <c r="F606" s="1100"/>
      <c r="G606" s="859"/>
      <c r="H606" s="860"/>
      <c r="I606" s="861"/>
      <c r="J606" s="862"/>
      <c r="K606" s="859"/>
      <c r="L606" s="863"/>
      <c r="M606" s="859"/>
      <c r="N606" s="859"/>
      <c r="O606" s="752">
        <f t="shared" si="90"/>
        <v>0</v>
      </c>
      <c r="P606" s="862"/>
      <c r="Q606" s="860"/>
      <c r="R606" s="753">
        <f t="shared" si="93"/>
        <v>0</v>
      </c>
      <c r="S606" s="752">
        <f t="shared" si="94"/>
        <v>0</v>
      </c>
      <c r="T606" s="754">
        <f t="shared" si="95"/>
        <v>0</v>
      </c>
      <c r="U606" s="859"/>
      <c r="V606" s="863"/>
      <c r="W606" s="859"/>
      <c r="X606" s="859"/>
      <c r="Y606" s="755">
        <f t="shared" si="91"/>
        <v>0</v>
      </c>
      <c r="Z606" s="864"/>
      <c r="AA606" s="863"/>
      <c r="AB606" s="756">
        <f t="shared" si="92"/>
        <v>0</v>
      </c>
      <c r="AC606" s="859"/>
      <c r="AD606" s="863"/>
      <c r="AE606" s="859"/>
      <c r="AF606" s="859"/>
      <c r="AG606" s="864"/>
      <c r="AH606" s="865"/>
      <c r="AI606" s="757">
        <f t="shared" si="96"/>
        <v>0</v>
      </c>
      <c r="AJ606" s="758">
        <f t="shared" si="97"/>
        <v>0</v>
      </c>
    </row>
    <row r="607" spans="1:36" x14ac:dyDescent="0.2">
      <c r="A607" s="1197" t="s">
        <v>148</v>
      </c>
      <c r="B607" s="1096" t="s">
        <v>219</v>
      </c>
      <c r="C607" s="1208" t="s">
        <v>249</v>
      </c>
      <c r="D607" s="1207"/>
      <c r="E607" s="1099"/>
      <c r="F607" s="1100"/>
      <c r="G607" s="859"/>
      <c r="H607" s="860"/>
      <c r="I607" s="861"/>
      <c r="J607" s="862"/>
      <c r="K607" s="859"/>
      <c r="L607" s="863"/>
      <c r="M607" s="859"/>
      <c r="N607" s="859"/>
      <c r="O607" s="752">
        <f t="shared" si="90"/>
        <v>0</v>
      </c>
      <c r="P607" s="862"/>
      <c r="Q607" s="860"/>
      <c r="R607" s="753">
        <f t="shared" si="93"/>
        <v>0</v>
      </c>
      <c r="S607" s="752">
        <f t="shared" si="94"/>
        <v>0</v>
      </c>
      <c r="T607" s="754">
        <f t="shared" si="95"/>
        <v>0</v>
      </c>
      <c r="U607" s="859"/>
      <c r="V607" s="863"/>
      <c r="W607" s="859"/>
      <c r="X607" s="859"/>
      <c r="Y607" s="755">
        <f t="shared" si="91"/>
        <v>0</v>
      </c>
      <c r="Z607" s="864"/>
      <c r="AA607" s="863"/>
      <c r="AB607" s="756">
        <f t="shared" si="92"/>
        <v>0</v>
      </c>
      <c r="AC607" s="859"/>
      <c r="AD607" s="863"/>
      <c r="AE607" s="859"/>
      <c r="AF607" s="859"/>
      <c r="AG607" s="864"/>
      <c r="AH607" s="865"/>
      <c r="AI607" s="757">
        <f t="shared" si="96"/>
        <v>0</v>
      </c>
      <c r="AJ607" s="758">
        <f t="shared" si="97"/>
        <v>0</v>
      </c>
    </row>
    <row r="608" spans="1:36" x14ac:dyDescent="0.2">
      <c r="A608" s="1197" t="s">
        <v>148</v>
      </c>
      <c r="B608" s="1096" t="s">
        <v>292</v>
      </c>
      <c r="C608" s="1213" t="s">
        <v>1160</v>
      </c>
      <c r="D608" s="1098"/>
      <c r="E608" s="1099"/>
      <c r="F608" s="1100"/>
      <c r="G608" s="859"/>
      <c r="H608" s="860"/>
      <c r="I608" s="861"/>
      <c r="J608" s="862"/>
      <c r="K608" s="859"/>
      <c r="L608" s="863"/>
      <c r="M608" s="859"/>
      <c r="N608" s="859"/>
      <c r="O608" s="752">
        <f t="shared" si="90"/>
        <v>0</v>
      </c>
      <c r="P608" s="862"/>
      <c r="Q608" s="860"/>
      <c r="R608" s="753">
        <f t="shared" si="93"/>
        <v>0</v>
      </c>
      <c r="S608" s="752">
        <f t="shared" si="94"/>
        <v>0</v>
      </c>
      <c r="T608" s="754">
        <f t="shared" si="95"/>
        <v>0</v>
      </c>
      <c r="U608" s="859"/>
      <c r="V608" s="863"/>
      <c r="W608" s="859"/>
      <c r="X608" s="859"/>
      <c r="Y608" s="755">
        <f t="shared" si="91"/>
        <v>0</v>
      </c>
      <c r="Z608" s="864"/>
      <c r="AA608" s="863"/>
      <c r="AB608" s="756">
        <f t="shared" si="92"/>
        <v>0</v>
      </c>
      <c r="AC608" s="859"/>
      <c r="AD608" s="863"/>
      <c r="AE608" s="859"/>
      <c r="AF608" s="859"/>
      <c r="AG608" s="864"/>
      <c r="AH608" s="865"/>
      <c r="AI608" s="757">
        <f t="shared" si="96"/>
        <v>0</v>
      </c>
      <c r="AJ608" s="758">
        <f t="shared" si="97"/>
        <v>0</v>
      </c>
    </row>
    <row r="609" spans="1:36" x14ac:dyDescent="0.2">
      <c r="A609" s="1197" t="s">
        <v>148</v>
      </c>
      <c r="B609" s="1096" t="s">
        <v>209</v>
      </c>
      <c r="C609" s="1208" t="s">
        <v>250</v>
      </c>
      <c r="D609" s="1207"/>
      <c r="E609" s="1099"/>
      <c r="F609" s="1100"/>
      <c r="G609" s="859"/>
      <c r="H609" s="860"/>
      <c r="I609" s="861"/>
      <c r="J609" s="862"/>
      <c r="K609" s="859"/>
      <c r="L609" s="863"/>
      <c r="M609" s="859"/>
      <c r="N609" s="859"/>
      <c r="O609" s="752">
        <f t="shared" si="90"/>
        <v>0</v>
      </c>
      <c r="P609" s="862"/>
      <c r="Q609" s="860"/>
      <c r="R609" s="753">
        <f t="shared" si="93"/>
        <v>0</v>
      </c>
      <c r="S609" s="752">
        <f t="shared" si="94"/>
        <v>0</v>
      </c>
      <c r="T609" s="754">
        <f t="shared" si="95"/>
        <v>0</v>
      </c>
      <c r="U609" s="859"/>
      <c r="V609" s="863"/>
      <c r="W609" s="859"/>
      <c r="X609" s="859"/>
      <c r="Y609" s="755">
        <f t="shared" si="91"/>
        <v>0</v>
      </c>
      <c r="Z609" s="864"/>
      <c r="AA609" s="863"/>
      <c r="AB609" s="756">
        <f t="shared" si="92"/>
        <v>0</v>
      </c>
      <c r="AC609" s="859"/>
      <c r="AD609" s="863"/>
      <c r="AE609" s="859"/>
      <c r="AF609" s="859"/>
      <c r="AG609" s="864"/>
      <c r="AH609" s="865"/>
      <c r="AI609" s="757">
        <f t="shared" si="96"/>
        <v>0</v>
      </c>
      <c r="AJ609" s="758">
        <f t="shared" si="97"/>
        <v>0</v>
      </c>
    </row>
    <row r="610" spans="1:36" x14ac:dyDescent="0.2">
      <c r="A610" s="1197" t="s">
        <v>148</v>
      </c>
      <c r="B610" s="1096" t="s">
        <v>210</v>
      </c>
      <c r="C610" s="1208" t="s">
        <v>311</v>
      </c>
      <c r="D610" s="1207"/>
      <c r="E610" s="1099"/>
      <c r="F610" s="1100"/>
      <c r="G610" s="859"/>
      <c r="H610" s="860"/>
      <c r="I610" s="861"/>
      <c r="J610" s="862"/>
      <c r="K610" s="859"/>
      <c r="L610" s="863"/>
      <c r="M610" s="859"/>
      <c r="N610" s="859"/>
      <c r="O610" s="752">
        <f t="shared" si="90"/>
        <v>0</v>
      </c>
      <c r="P610" s="862"/>
      <c r="Q610" s="860"/>
      <c r="R610" s="753">
        <f t="shared" si="93"/>
        <v>0</v>
      </c>
      <c r="S610" s="752">
        <f t="shared" si="94"/>
        <v>0</v>
      </c>
      <c r="T610" s="754">
        <f t="shared" si="95"/>
        <v>0</v>
      </c>
      <c r="U610" s="859"/>
      <c r="V610" s="863"/>
      <c r="W610" s="859"/>
      <c r="X610" s="859"/>
      <c r="Y610" s="755">
        <f t="shared" si="91"/>
        <v>0</v>
      </c>
      <c r="Z610" s="864"/>
      <c r="AA610" s="863"/>
      <c r="AB610" s="756">
        <f t="shared" si="92"/>
        <v>0</v>
      </c>
      <c r="AC610" s="859"/>
      <c r="AD610" s="863"/>
      <c r="AE610" s="859"/>
      <c r="AF610" s="859"/>
      <c r="AG610" s="864"/>
      <c r="AH610" s="865"/>
      <c r="AI610" s="757">
        <f t="shared" si="96"/>
        <v>0</v>
      </c>
      <c r="AJ610" s="758">
        <f t="shared" si="97"/>
        <v>0</v>
      </c>
    </row>
    <row r="611" spans="1:36" x14ac:dyDescent="0.2">
      <c r="A611" s="1197" t="s">
        <v>148</v>
      </c>
      <c r="B611" s="1096" t="s">
        <v>204</v>
      </c>
      <c r="C611" s="1208" t="s">
        <v>249</v>
      </c>
      <c r="D611" s="1207"/>
      <c r="E611" s="1099"/>
      <c r="F611" s="1100"/>
      <c r="G611" s="859"/>
      <c r="H611" s="860"/>
      <c r="I611" s="861"/>
      <c r="J611" s="862"/>
      <c r="K611" s="859"/>
      <c r="L611" s="863"/>
      <c r="M611" s="859"/>
      <c r="N611" s="859"/>
      <c r="O611" s="752">
        <f t="shared" si="90"/>
        <v>0</v>
      </c>
      <c r="P611" s="862"/>
      <c r="Q611" s="860"/>
      <c r="R611" s="753">
        <f t="shared" si="93"/>
        <v>0</v>
      </c>
      <c r="S611" s="752">
        <f t="shared" si="94"/>
        <v>0</v>
      </c>
      <c r="T611" s="754">
        <f t="shared" si="95"/>
        <v>0</v>
      </c>
      <c r="U611" s="859">
        <v>151874</v>
      </c>
      <c r="V611" s="863">
        <v>137498</v>
      </c>
      <c r="W611" s="859"/>
      <c r="X611" s="859"/>
      <c r="Y611" s="755">
        <f t="shared" si="91"/>
        <v>0</v>
      </c>
      <c r="Z611" s="864"/>
      <c r="AA611" s="863"/>
      <c r="AB611" s="756">
        <f t="shared" si="92"/>
        <v>0</v>
      </c>
      <c r="AC611" s="859"/>
      <c r="AD611" s="863"/>
      <c r="AE611" s="859"/>
      <c r="AF611" s="859"/>
      <c r="AG611" s="864"/>
      <c r="AH611" s="865"/>
      <c r="AI611" s="757">
        <f t="shared" si="96"/>
        <v>151874</v>
      </c>
      <c r="AJ611" s="758">
        <f t="shared" si="97"/>
        <v>137498</v>
      </c>
    </row>
    <row r="612" spans="1:36" x14ac:dyDescent="0.2">
      <c r="A612" s="1197" t="s">
        <v>148</v>
      </c>
      <c r="B612" s="1096" t="s">
        <v>205</v>
      </c>
      <c r="C612" s="1208" t="s">
        <v>222</v>
      </c>
      <c r="D612" s="1207"/>
      <c r="E612" s="1099"/>
      <c r="F612" s="1100"/>
      <c r="G612" s="859"/>
      <c r="H612" s="860"/>
      <c r="I612" s="861"/>
      <c r="J612" s="862"/>
      <c r="K612" s="859"/>
      <c r="L612" s="863"/>
      <c r="M612" s="859"/>
      <c r="N612" s="859"/>
      <c r="O612" s="752">
        <f t="shared" si="90"/>
        <v>0</v>
      </c>
      <c r="P612" s="862"/>
      <c r="Q612" s="860"/>
      <c r="R612" s="753">
        <f t="shared" si="93"/>
        <v>0</v>
      </c>
      <c r="S612" s="752">
        <f t="shared" si="94"/>
        <v>0</v>
      </c>
      <c r="T612" s="754">
        <f t="shared" si="95"/>
        <v>0</v>
      </c>
      <c r="U612" s="859"/>
      <c r="V612" s="863"/>
      <c r="W612" s="859"/>
      <c r="X612" s="859"/>
      <c r="Y612" s="755">
        <f t="shared" si="91"/>
        <v>0</v>
      </c>
      <c r="Z612" s="864"/>
      <c r="AA612" s="863"/>
      <c r="AB612" s="756">
        <f t="shared" si="92"/>
        <v>0</v>
      </c>
      <c r="AC612" s="859"/>
      <c r="AD612" s="863"/>
      <c r="AE612" s="859"/>
      <c r="AF612" s="859"/>
      <c r="AG612" s="864"/>
      <c r="AH612" s="865"/>
      <c r="AI612" s="757">
        <f t="shared" si="96"/>
        <v>0</v>
      </c>
      <c r="AJ612" s="758">
        <f t="shared" si="97"/>
        <v>0</v>
      </c>
    </row>
    <row r="613" spans="1:36" x14ac:dyDescent="0.2">
      <c r="A613" s="1197" t="s">
        <v>148</v>
      </c>
      <c r="B613" s="1096" t="s">
        <v>218</v>
      </c>
      <c r="C613" s="1208" t="s">
        <v>311</v>
      </c>
      <c r="D613" s="1207"/>
      <c r="E613" s="1099"/>
      <c r="F613" s="1100"/>
      <c r="G613" s="859"/>
      <c r="H613" s="860"/>
      <c r="I613" s="861"/>
      <c r="J613" s="862"/>
      <c r="K613" s="859"/>
      <c r="L613" s="863"/>
      <c r="M613" s="859"/>
      <c r="N613" s="859"/>
      <c r="O613" s="752">
        <f t="shared" si="90"/>
        <v>0</v>
      </c>
      <c r="P613" s="862"/>
      <c r="Q613" s="860"/>
      <c r="R613" s="753">
        <f t="shared" si="93"/>
        <v>0</v>
      </c>
      <c r="S613" s="752">
        <f t="shared" si="94"/>
        <v>0</v>
      </c>
      <c r="T613" s="754">
        <f t="shared" si="95"/>
        <v>0</v>
      </c>
      <c r="U613" s="859"/>
      <c r="V613" s="863"/>
      <c r="W613" s="859"/>
      <c r="X613" s="859"/>
      <c r="Y613" s="755">
        <f t="shared" si="91"/>
        <v>0</v>
      </c>
      <c r="Z613" s="864"/>
      <c r="AA613" s="863"/>
      <c r="AB613" s="756">
        <f t="shared" si="92"/>
        <v>0</v>
      </c>
      <c r="AC613" s="859"/>
      <c r="AD613" s="863"/>
      <c r="AE613" s="859"/>
      <c r="AF613" s="859"/>
      <c r="AG613" s="864"/>
      <c r="AH613" s="865"/>
      <c r="AI613" s="757">
        <f t="shared" si="96"/>
        <v>0</v>
      </c>
      <c r="AJ613" s="758">
        <f t="shared" si="97"/>
        <v>0</v>
      </c>
    </row>
    <row r="614" spans="1:36" x14ac:dyDescent="0.2">
      <c r="A614" s="1197" t="s">
        <v>148</v>
      </c>
      <c r="B614" s="1096" t="s">
        <v>219</v>
      </c>
      <c r="C614" s="1208" t="s">
        <v>249</v>
      </c>
      <c r="D614" s="1207"/>
      <c r="E614" s="1099"/>
      <c r="F614" s="1100"/>
      <c r="G614" s="859"/>
      <c r="H614" s="860"/>
      <c r="I614" s="861"/>
      <c r="J614" s="862"/>
      <c r="K614" s="859"/>
      <c r="L614" s="863"/>
      <c r="M614" s="859"/>
      <c r="N614" s="859"/>
      <c r="O614" s="752">
        <f t="shared" si="90"/>
        <v>0</v>
      </c>
      <c r="P614" s="862"/>
      <c r="Q614" s="860"/>
      <c r="R614" s="753">
        <f t="shared" si="93"/>
        <v>0</v>
      </c>
      <c r="S614" s="752">
        <f t="shared" si="94"/>
        <v>0</v>
      </c>
      <c r="T614" s="754">
        <f t="shared" si="95"/>
        <v>0</v>
      </c>
      <c r="U614" s="859">
        <v>90618</v>
      </c>
      <c r="V614" s="863">
        <v>87493</v>
      </c>
      <c r="W614" s="859"/>
      <c r="X614" s="859"/>
      <c r="Y614" s="755">
        <f t="shared" si="91"/>
        <v>0</v>
      </c>
      <c r="Z614" s="864"/>
      <c r="AA614" s="863"/>
      <c r="AB614" s="756">
        <f t="shared" si="92"/>
        <v>0</v>
      </c>
      <c r="AC614" s="859"/>
      <c r="AD614" s="863"/>
      <c r="AE614" s="859"/>
      <c r="AF614" s="859"/>
      <c r="AG614" s="864"/>
      <c r="AH614" s="865"/>
      <c r="AI614" s="757">
        <f t="shared" si="96"/>
        <v>90618</v>
      </c>
      <c r="AJ614" s="758">
        <f t="shared" si="97"/>
        <v>87493</v>
      </c>
    </row>
    <row r="615" spans="1:36" x14ac:dyDescent="0.2">
      <c r="A615" s="1197" t="s">
        <v>148</v>
      </c>
      <c r="B615" s="1096" t="s">
        <v>292</v>
      </c>
      <c r="C615" s="1213" t="s">
        <v>1161</v>
      </c>
      <c r="D615" s="1098"/>
      <c r="E615" s="1099"/>
      <c r="F615" s="1100"/>
      <c r="G615" s="859"/>
      <c r="H615" s="860"/>
      <c r="I615" s="861"/>
      <c r="J615" s="862"/>
      <c r="K615" s="859"/>
      <c r="L615" s="863"/>
      <c r="M615" s="859"/>
      <c r="N615" s="859"/>
      <c r="O615" s="752">
        <f t="shared" si="90"/>
        <v>0</v>
      </c>
      <c r="P615" s="862"/>
      <c r="Q615" s="860"/>
      <c r="R615" s="753">
        <f t="shared" si="93"/>
        <v>0</v>
      </c>
      <c r="S615" s="752">
        <f t="shared" si="94"/>
        <v>0</v>
      </c>
      <c r="T615" s="754">
        <f t="shared" si="95"/>
        <v>0</v>
      </c>
      <c r="U615" s="859"/>
      <c r="V615" s="863"/>
      <c r="W615" s="859"/>
      <c r="X615" s="859"/>
      <c r="Y615" s="755">
        <f t="shared" si="91"/>
        <v>0</v>
      </c>
      <c r="Z615" s="864"/>
      <c r="AA615" s="863"/>
      <c r="AB615" s="756">
        <f t="shared" si="92"/>
        <v>0</v>
      </c>
      <c r="AC615" s="859"/>
      <c r="AD615" s="863"/>
      <c r="AE615" s="859"/>
      <c r="AF615" s="859"/>
      <c r="AG615" s="864"/>
      <c r="AH615" s="865"/>
      <c r="AI615" s="757">
        <f t="shared" si="96"/>
        <v>0</v>
      </c>
      <c r="AJ615" s="758">
        <f t="shared" si="97"/>
        <v>0</v>
      </c>
    </row>
    <row r="616" spans="1:36" x14ac:dyDescent="0.2">
      <c r="A616" s="1197" t="s">
        <v>148</v>
      </c>
      <c r="B616" s="1096" t="s">
        <v>209</v>
      </c>
      <c r="C616" s="1208" t="s">
        <v>250</v>
      </c>
      <c r="D616" s="1207"/>
      <c r="E616" s="1099"/>
      <c r="F616" s="1100"/>
      <c r="G616" s="859"/>
      <c r="H616" s="860"/>
      <c r="I616" s="861"/>
      <c r="J616" s="862"/>
      <c r="K616" s="859"/>
      <c r="L616" s="863"/>
      <c r="M616" s="859"/>
      <c r="N616" s="859"/>
      <c r="O616" s="752">
        <f t="shared" si="90"/>
        <v>0</v>
      </c>
      <c r="P616" s="862"/>
      <c r="Q616" s="860"/>
      <c r="R616" s="753">
        <f t="shared" si="93"/>
        <v>0</v>
      </c>
      <c r="S616" s="752">
        <f t="shared" si="94"/>
        <v>0</v>
      </c>
      <c r="T616" s="754">
        <f t="shared" si="95"/>
        <v>0</v>
      </c>
      <c r="U616" s="859"/>
      <c r="V616" s="863"/>
      <c r="W616" s="859"/>
      <c r="X616" s="859"/>
      <c r="Y616" s="755">
        <f t="shared" si="91"/>
        <v>0</v>
      </c>
      <c r="Z616" s="864"/>
      <c r="AA616" s="863"/>
      <c r="AB616" s="756">
        <f t="shared" si="92"/>
        <v>0</v>
      </c>
      <c r="AC616" s="859"/>
      <c r="AD616" s="863"/>
      <c r="AE616" s="859"/>
      <c r="AF616" s="859"/>
      <c r="AG616" s="864"/>
      <c r="AH616" s="865"/>
      <c r="AI616" s="757">
        <f t="shared" si="96"/>
        <v>0</v>
      </c>
      <c r="AJ616" s="758">
        <f t="shared" si="97"/>
        <v>0</v>
      </c>
    </row>
    <row r="617" spans="1:36" x14ac:dyDescent="0.2">
      <c r="A617" s="1197" t="s">
        <v>148</v>
      </c>
      <c r="B617" s="1096" t="s">
        <v>210</v>
      </c>
      <c r="C617" s="1208" t="s">
        <v>311</v>
      </c>
      <c r="D617" s="1207"/>
      <c r="E617" s="1099"/>
      <c r="F617" s="1100"/>
      <c r="G617" s="859"/>
      <c r="H617" s="860"/>
      <c r="I617" s="861"/>
      <c r="J617" s="862"/>
      <c r="K617" s="859"/>
      <c r="L617" s="863"/>
      <c r="M617" s="859"/>
      <c r="N617" s="859"/>
      <c r="O617" s="752">
        <f t="shared" si="90"/>
        <v>0</v>
      </c>
      <c r="P617" s="862"/>
      <c r="Q617" s="860"/>
      <c r="R617" s="753">
        <f t="shared" si="93"/>
        <v>0</v>
      </c>
      <c r="S617" s="752">
        <f t="shared" si="94"/>
        <v>0</v>
      </c>
      <c r="T617" s="754">
        <f t="shared" si="95"/>
        <v>0</v>
      </c>
      <c r="U617" s="859"/>
      <c r="V617" s="863"/>
      <c r="W617" s="859"/>
      <c r="X617" s="859"/>
      <c r="Y617" s="755">
        <f t="shared" si="91"/>
        <v>0</v>
      </c>
      <c r="Z617" s="864"/>
      <c r="AA617" s="863"/>
      <c r="AB617" s="756">
        <f t="shared" si="92"/>
        <v>0</v>
      </c>
      <c r="AC617" s="859"/>
      <c r="AD617" s="863"/>
      <c r="AE617" s="859"/>
      <c r="AF617" s="859"/>
      <c r="AG617" s="864"/>
      <c r="AH617" s="865"/>
      <c r="AI617" s="757">
        <f t="shared" si="96"/>
        <v>0</v>
      </c>
      <c r="AJ617" s="758">
        <f t="shared" si="97"/>
        <v>0</v>
      </c>
    </row>
    <row r="618" spans="1:36" x14ac:dyDescent="0.2">
      <c r="A618" s="1197" t="s">
        <v>148</v>
      </c>
      <c r="B618" s="1096" t="s">
        <v>204</v>
      </c>
      <c r="C618" s="1208" t="s">
        <v>249</v>
      </c>
      <c r="D618" s="1207"/>
      <c r="E618" s="1099"/>
      <c r="F618" s="1100"/>
      <c r="G618" s="859"/>
      <c r="H618" s="860"/>
      <c r="I618" s="861"/>
      <c r="J618" s="862"/>
      <c r="K618" s="859"/>
      <c r="L618" s="863"/>
      <c r="M618" s="859"/>
      <c r="N618" s="859"/>
      <c r="O618" s="752">
        <f t="shared" si="90"/>
        <v>0</v>
      </c>
      <c r="P618" s="862"/>
      <c r="Q618" s="860"/>
      <c r="R618" s="753">
        <f t="shared" si="93"/>
        <v>0</v>
      </c>
      <c r="S618" s="752">
        <f t="shared" si="94"/>
        <v>0</v>
      </c>
      <c r="T618" s="754">
        <f t="shared" si="95"/>
        <v>0</v>
      </c>
      <c r="U618" s="859">
        <v>40690</v>
      </c>
      <c r="V618" s="863">
        <v>17520</v>
      </c>
      <c r="W618" s="859"/>
      <c r="X618" s="859"/>
      <c r="Y618" s="755">
        <f t="shared" si="91"/>
        <v>0</v>
      </c>
      <c r="Z618" s="864"/>
      <c r="AA618" s="863"/>
      <c r="AB618" s="756">
        <f t="shared" si="92"/>
        <v>0</v>
      </c>
      <c r="AC618" s="859"/>
      <c r="AD618" s="863"/>
      <c r="AE618" s="859"/>
      <c r="AF618" s="859"/>
      <c r="AG618" s="864"/>
      <c r="AH618" s="865"/>
      <c r="AI618" s="757">
        <f t="shared" si="96"/>
        <v>40690</v>
      </c>
      <c r="AJ618" s="758">
        <f t="shared" si="97"/>
        <v>17520</v>
      </c>
    </row>
    <row r="619" spans="1:36" x14ac:dyDescent="0.2">
      <c r="A619" s="1197" t="s">
        <v>148</v>
      </c>
      <c r="B619" s="1096" t="s">
        <v>205</v>
      </c>
      <c r="C619" s="1208" t="s">
        <v>222</v>
      </c>
      <c r="D619" s="1207"/>
      <c r="E619" s="1099"/>
      <c r="F619" s="1100"/>
      <c r="G619" s="859"/>
      <c r="H619" s="860"/>
      <c r="I619" s="861"/>
      <c r="J619" s="862"/>
      <c r="K619" s="859"/>
      <c r="L619" s="863"/>
      <c r="M619" s="859"/>
      <c r="N619" s="859"/>
      <c r="O619" s="752">
        <f t="shared" si="90"/>
        <v>0</v>
      </c>
      <c r="P619" s="862"/>
      <c r="Q619" s="860"/>
      <c r="R619" s="753">
        <f t="shared" si="93"/>
        <v>0</v>
      </c>
      <c r="S619" s="752">
        <f t="shared" si="94"/>
        <v>0</v>
      </c>
      <c r="T619" s="754">
        <f t="shared" si="95"/>
        <v>0</v>
      </c>
      <c r="U619" s="859"/>
      <c r="V619" s="863"/>
      <c r="W619" s="859"/>
      <c r="X619" s="859"/>
      <c r="Y619" s="755">
        <f t="shared" si="91"/>
        <v>0</v>
      </c>
      <c r="Z619" s="864"/>
      <c r="AA619" s="863"/>
      <c r="AB619" s="756">
        <f t="shared" si="92"/>
        <v>0</v>
      </c>
      <c r="AC619" s="859"/>
      <c r="AD619" s="863"/>
      <c r="AE619" s="859"/>
      <c r="AF619" s="859"/>
      <c r="AG619" s="864"/>
      <c r="AH619" s="865"/>
      <c r="AI619" s="757">
        <f t="shared" si="96"/>
        <v>0</v>
      </c>
      <c r="AJ619" s="758">
        <f t="shared" si="97"/>
        <v>0</v>
      </c>
    </row>
    <row r="620" spans="1:36" x14ac:dyDescent="0.2">
      <c r="A620" s="1197" t="s">
        <v>148</v>
      </c>
      <c r="B620" s="1096" t="s">
        <v>218</v>
      </c>
      <c r="C620" s="1208" t="s">
        <v>311</v>
      </c>
      <c r="D620" s="1207"/>
      <c r="E620" s="1099"/>
      <c r="F620" s="1100"/>
      <c r="G620" s="859"/>
      <c r="H620" s="860"/>
      <c r="I620" s="861"/>
      <c r="J620" s="862"/>
      <c r="K620" s="859"/>
      <c r="L620" s="863"/>
      <c r="M620" s="859"/>
      <c r="N620" s="859"/>
      <c r="O620" s="752">
        <f t="shared" si="90"/>
        <v>0</v>
      </c>
      <c r="P620" s="862"/>
      <c r="Q620" s="860"/>
      <c r="R620" s="753">
        <f t="shared" si="93"/>
        <v>0</v>
      </c>
      <c r="S620" s="752">
        <f t="shared" si="94"/>
        <v>0</v>
      </c>
      <c r="T620" s="754">
        <f t="shared" si="95"/>
        <v>0</v>
      </c>
      <c r="U620" s="859"/>
      <c r="V620" s="863"/>
      <c r="W620" s="859"/>
      <c r="X620" s="859"/>
      <c r="Y620" s="755">
        <f t="shared" si="91"/>
        <v>0</v>
      </c>
      <c r="Z620" s="864"/>
      <c r="AA620" s="863"/>
      <c r="AB620" s="756">
        <f t="shared" si="92"/>
        <v>0</v>
      </c>
      <c r="AC620" s="859"/>
      <c r="AD620" s="863"/>
      <c r="AE620" s="859"/>
      <c r="AF620" s="859"/>
      <c r="AG620" s="864"/>
      <c r="AH620" s="865"/>
      <c r="AI620" s="757">
        <f t="shared" si="96"/>
        <v>0</v>
      </c>
      <c r="AJ620" s="758">
        <f t="shared" si="97"/>
        <v>0</v>
      </c>
    </row>
    <row r="621" spans="1:36" x14ac:dyDescent="0.2">
      <c r="A621" s="1197" t="s">
        <v>148</v>
      </c>
      <c r="B621" s="1096" t="s">
        <v>219</v>
      </c>
      <c r="C621" s="1208" t="s">
        <v>249</v>
      </c>
      <c r="D621" s="1207"/>
      <c r="E621" s="1099"/>
      <c r="F621" s="1100"/>
      <c r="G621" s="859"/>
      <c r="H621" s="860"/>
      <c r="I621" s="861"/>
      <c r="J621" s="862"/>
      <c r="K621" s="859"/>
      <c r="L621" s="863"/>
      <c r="M621" s="859"/>
      <c r="N621" s="859"/>
      <c r="O621" s="752">
        <f t="shared" si="90"/>
        <v>0</v>
      </c>
      <c r="P621" s="862"/>
      <c r="Q621" s="860"/>
      <c r="R621" s="753">
        <f t="shared" si="93"/>
        <v>0</v>
      </c>
      <c r="S621" s="752">
        <f t="shared" si="94"/>
        <v>0</v>
      </c>
      <c r="T621" s="754">
        <f t="shared" si="95"/>
        <v>0</v>
      </c>
      <c r="U621" s="859">
        <v>0</v>
      </c>
      <c r="V621" s="863">
        <v>0</v>
      </c>
      <c r="W621" s="859"/>
      <c r="X621" s="859"/>
      <c r="Y621" s="755">
        <f t="shared" si="91"/>
        <v>0</v>
      </c>
      <c r="Z621" s="864"/>
      <c r="AA621" s="863"/>
      <c r="AB621" s="756">
        <f t="shared" si="92"/>
        <v>0</v>
      </c>
      <c r="AC621" s="859"/>
      <c r="AD621" s="863"/>
      <c r="AE621" s="859"/>
      <c r="AF621" s="859"/>
      <c r="AG621" s="864"/>
      <c r="AH621" s="865"/>
      <c r="AI621" s="757">
        <f t="shared" si="96"/>
        <v>0</v>
      </c>
      <c r="AJ621" s="758">
        <f t="shared" si="97"/>
        <v>0</v>
      </c>
    </row>
    <row r="622" spans="1:36" x14ac:dyDescent="0.2">
      <c r="A622" s="1197" t="s">
        <v>148</v>
      </c>
      <c r="B622" s="1096" t="s">
        <v>292</v>
      </c>
      <c r="C622" s="1213" t="s">
        <v>1162</v>
      </c>
      <c r="D622" s="1098"/>
      <c r="E622" s="1099"/>
      <c r="F622" s="1100"/>
      <c r="G622" s="859"/>
      <c r="H622" s="860"/>
      <c r="I622" s="861"/>
      <c r="J622" s="862"/>
      <c r="K622" s="859"/>
      <c r="L622" s="863"/>
      <c r="M622" s="859"/>
      <c r="N622" s="859"/>
      <c r="O622" s="752">
        <f t="shared" si="90"/>
        <v>0</v>
      </c>
      <c r="P622" s="862"/>
      <c r="Q622" s="860"/>
      <c r="R622" s="753">
        <f t="shared" si="93"/>
        <v>0</v>
      </c>
      <c r="S622" s="752">
        <f t="shared" si="94"/>
        <v>0</v>
      </c>
      <c r="T622" s="754">
        <f t="shared" si="95"/>
        <v>0</v>
      </c>
      <c r="U622" s="859"/>
      <c r="V622" s="863"/>
      <c r="W622" s="859"/>
      <c r="X622" s="859"/>
      <c r="Y622" s="755">
        <f t="shared" si="91"/>
        <v>0</v>
      </c>
      <c r="Z622" s="864"/>
      <c r="AA622" s="863"/>
      <c r="AB622" s="756">
        <f t="shared" si="92"/>
        <v>0</v>
      </c>
      <c r="AC622" s="859"/>
      <c r="AD622" s="863"/>
      <c r="AE622" s="859"/>
      <c r="AF622" s="859"/>
      <c r="AG622" s="864"/>
      <c r="AH622" s="865"/>
      <c r="AI622" s="757">
        <f t="shared" si="96"/>
        <v>0</v>
      </c>
      <c r="AJ622" s="758">
        <f t="shared" si="97"/>
        <v>0</v>
      </c>
    </row>
    <row r="623" spans="1:36" x14ac:dyDescent="0.2">
      <c r="A623" s="1197" t="s">
        <v>148</v>
      </c>
      <c r="B623" s="1096" t="s">
        <v>209</v>
      </c>
      <c r="C623" s="1208" t="s">
        <v>250</v>
      </c>
      <c r="D623" s="1207"/>
      <c r="E623" s="1099"/>
      <c r="F623" s="1100"/>
      <c r="G623" s="859"/>
      <c r="H623" s="860"/>
      <c r="I623" s="861"/>
      <c r="J623" s="862"/>
      <c r="K623" s="859"/>
      <c r="L623" s="863"/>
      <c r="M623" s="859"/>
      <c r="N623" s="859"/>
      <c r="O623" s="752">
        <f t="shared" si="90"/>
        <v>0</v>
      </c>
      <c r="P623" s="862"/>
      <c r="Q623" s="860"/>
      <c r="R623" s="753">
        <f t="shared" si="93"/>
        <v>0</v>
      </c>
      <c r="S623" s="752">
        <f t="shared" si="94"/>
        <v>0</v>
      </c>
      <c r="T623" s="754">
        <f t="shared" si="95"/>
        <v>0</v>
      </c>
      <c r="U623" s="859"/>
      <c r="V623" s="863"/>
      <c r="W623" s="859"/>
      <c r="X623" s="859"/>
      <c r="Y623" s="755">
        <f t="shared" si="91"/>
        <v>0</v>
      </c>
      <c r="Z623" s="864"/>
      <c r="AA623" s="863"/>
      <c r="AB623" s="756">
        <f t="shared" si="92"/>
        <v>0</v>
      </c>
      <c r="AC623" s="859"/>
      <c r="AD623" s="863"/>
      <c r="AE623" s="859"/>
      <c r="AF623" s="859"/>
      <c r="AG623" s="864"/>
      <c r="AH623" s="865"/>
      <c r="AI623" s="757">
        <f t="shared" si="96"/>
        <v>0</v>
      </c>
      <c r="AJ623" s="758">
        <f t="shared" si="97"/>
        <v>0</v>
      </c>
    </row>
    <row r="624" spans="1:36" x14ac:dyDescent="0.2">
      <c r="A624" s="1197" t="s">
        <v>148</v>
      </c>
      <c r="B624" s="1096" t="s">
        <v>210</v>
      </c>
      <c r="C624" s="1208" t="s">
        <v>311</v>
      </c>
      <c r="D624" s="1207"/>
      <c r="E624" s="1099"/>
      <c r="F624" s="1100"/>
      <c r="G624" s="859"/>
      <c r="H624" s="860"/>
      <c r="I624" s="861"/>
      <c r="J624" s="862"/>
      <c r="K624" s="859"/>
      <c r="L624" s="863"/>
      <c r="M624" s="859"/>
      <c r="N624" s="859"/>
      <c r="O624" s="752">
        <f t="shared" si="90"/>
        <v>0</v>
      </c>
      <c r="P624" s="862"/>
      <c r="Q624" s="860"/>
      <c r="R624" s="753">
        <f t="shared" si="93"/>
        <v>0</v>
      </c>
      <c r="S624" s="752">
        <f t="shared" si="94"/>
        <v>0</v>
      </c>
      <c r="T624" s="754">
        <f t="shared" si="95"/>
        <v>0</v>
      </c>
      <c r="U624" s="859"/>
      <c r="V624" s="863"/>
      <c r="W624" s="859"/>
      <c r="X624" s="859"/>
      <c r="Y624" s="755">
        <f t="shared" si="91"/>
        <v>0</v>
      </c>
      <c r="Z624" s="864"/>
      <c r="AA624" s="863"/>
      <c r="AB624" s="756">
        <f t="shared" si="92"/>
        <v>0</v>
      </c>
      <c r="AC624" s="859"/>
      <c r="AD624" s="863"/>
      <c r="AE624" s="859"/>
      <c r="AF624" s="859"/>
      <c r="AG624" s="864"/>
      <c r="AH624" s="865"/>
      <c r="AI624" s="757">
        <f t="shared" si="96"/>
        <v>0</v>
      </c>
      <c r="AJ624" s="758">
        <f t="shared" si="97"/>
        <v>0</v>
      </c>
    </row>
    <row r="625" spans="1:36" x14ac:dyDescent="0.2">
      <c r="A625" s="1197" t="s">
        <v>148</v>
      </c>
      <c r="B625" s="1096" t="s">
        <v>204</v>
      </c>
      <c r="C625" s="1208" t="s">
        <v>249</v>
      </c>
      <c r="D625" s="1207"/>
      <c r="E625" s="1099"/>
      <c r="F625" s="1100"/>
      <c r="G625" s="859"/>
      <c r="H625" s="860"/>
      <c r="I625" s="861"/>
      <c r="J625" s="862"/>
      <c r="K625" s="859"/>
      <c r="L625" s="863"/>
      <c r="M625" s="859"/>
      <c r="N625" s="859"/>
      <c r="O625" s="752">
        <f t="shared" si="90"/>
        <v>0</v>
      </c>
      <c r="P625" s="862"/>
      <c r="Q625" s="860"/>
      <c r="R625" s="753">
        <f t="shared" si="93"/>
        <v>0</v>
      </c>
      <c r="S625" s="752">
        <f t="shared" si="94"/>
        <v>0</v>
      </c>
      <c r="T625" s="754">
        <f t="shared" si="95"/>
        <v>0</v>
      </c>
      <c r="U625" s="859">
        <v>90000</v>
      </c>
      <c r="V625" s="863">
        <v>95000</v>
      </c>
      <c r="W625" s="859"/>
      <c r="X625" s="859"/>
      <c r="Y625" s="755">
        <f t="shared" si="91"/>
        <v>0</v>
      </c>
      <c r="Z625" s="864"/>
      <c r="AA625" s="863"/>
      <c r="AB625" s="756">
        <f t="shared" si="92"/>
        <v>0</v>
      </c>
      <c r="AC625" s="859"/>
      <c r="AD625" s="863"/>
      <c r="AE625" s="859"/>
      <c r="AF625" s="859"/>
      <c r="AG625" s="864"/>
      <c r="AH625" s="865"/>
      <c r="AI625" s="757">
        <f t="shared" si="96"/>
        <v>90000</v>
      </c>
      <c r="AJ625" s="758">
        <f t="shared" si="97"/>
        <v>95000</v>
      </c>
    </row>
    <row r="626" spans="1:36" x14ac:dyDescent="0.2">
      <c r="A626" s="1197" t="s">
        <v>148</v>
      </c>
      <c r="B626" s="1096" t="s">
        <v>205</v>
      </c>
      <c r="C626" s="1208" t="s">
        <v>222</v>
      </c>
      <c r="D626" s="1207"/>
      <c r="E626" s="1099"/>
      <c r="F626" s="1100"/>
      <c r="G626" s="859"/>
      <c r="H626" s="860"/>
      <c r="I626" s="861"/>
      <c r="J626" s="862"/>
      <c r="K626" s="859"/>
      <c r="L626" s="863"/>
      <c r="M626" s="859"/>
      <c r="N626" s="859"/>
      <c r="O626" s="752">
        <f t="shared" si="90"/>
        <v>0</v>
      </c>
      <c r="P626" s="862"/>
      <c r="Q626" s="860"/>
      <c r="R626" s="753">
        <f t="shared" si="93"/>
        <v>0</v>
      </c>
      <c r="S626" s="752">
        <f t="shared" si="94"/>
        <v>0</v>
      </c>
      <c r="T626" s="754">
        <f t="shared" si="95"/>
        <v>0</v>
      </c>
      <c r="U626" s="859"/>
      <c r="V626" s="863"/>
      <c r="W626" s="859"/>
      <c r="X626" s="859"/>
      <c r="Y626" s="755">
        <f t="shared" si="91"/>
        <v>0</v>
      </c>
      <c r="Z626" s="864"/>
      <c r="AA626" s="863"/>
      <c r="AB626" s="756">
        <f t="shared" si="92"/>
        <v>0</v>
      </c>
      <c r="AC626" s="859"/>
      <c r="AD626" s="863"/>
      <c r="AE626" s="859"/>
      <c r="AF626" s="859"/>
      <c r="AG626" s="864"/>
      <c r="AH626" s="865"/>
      <c r="AI626" s="757">
        <f t="shared" si="96"/>
        <v>0</v>
      </c>
      <c r="AJ626" s="758">
        <f t="shared" si="97"/>
        <v>0</v>
      </c>
    </row>
    <row r="627" spans="1:36" x14ac:dyDescent="0.2">
      <c r="A627" s="1197" t="s">
        <v>148</v>
      </c>
      <c r="B627" s="1096" t="s">
        <v>218</v>
      </c>
      <c r="C627" s="1208" t="s">
        <v>311</v>
      </c>
      <c r="D627" s="1207"/>
      <c r="E627" s="1099"/>
      <c r="F627" s="1100"/>
      <c r="G627" s="859"/>
      <c r="H627" s="860"/>
      <c r="I627" s="861"/>
      <c r="J627" s="862"/>
      <c r="K627" s="859"/>
      <c r="L627" s="863"/>
      <c r="M627" s="859"/>
      <c r="N627" s="859"/>
      <c r="O627" s="752">
        <f t="shared" si="90"/>
        <v>0</v>
      </c>
      <c r="P627" s="862"/>
      <c r="Q627" s="860"/>
      <c r="R627" s="753">
        <f t="shared" si="93"/>
        <v>0</v>
      </c>
      <c r="S627" s="752">
        <f t="shared" si="94"/>
        <v>0</v>
      </c>
      <c r="T627" s="754">
        <f t="shared" si="95"/>
        <v>0</v>
      </c>
      <c r="U627" s="859"/>
      <c r="V627" s="863"/>
      <c r="W627" s="859"/>
      <c r="X627" s="859"/>
      <c r="Y627" s="755">
        <f t="shared" si="91"/>
        <v>0</v>
      </c>
      <c r="Z627" s="864"/>
      <c r="AA627" s="863"/>
      <c r="AB627" s="756">
        <f t="shared" si="92"/>
        <v>0</v>
      </c>
      <c r="AC627" s="859"/>
      <c r="AD627" s="863"/>
      <c r="AE627" s="859"/>
      <c r="AF627" s="859"/>
      <c r="AG627" s="864"/>
      <c r="AH627" s="865"/>
      <c r="AI627" s="757">
        <f t="shared" si="96"/>
        <v>0</v>
      </c>
      <c r="AJ627" s="758">
        <f t="shared" si="97"/>
        <v>0</v>
      </c>
    </row>
    <row r="628" spans="1:36" x14ac:dyDescent="0.2">
      <c r="A628" s="1197" t="s">
        <v>148</v>
      </c>
      <c r="B628" s="1096" t="s">
        <v>219</v>
      </c>
      <c r="C628" s="1208" t="s">
        <v>249</v>
      </c>
      <c r="D628" s="1207"/>
      <c r="E628" s="1099"/>
      <c r="F628" s="1100"/>
      <c r="G628" s="859"/>
      <c r="H628" s="860"/>
      <c r="I628" s="861"/>
      <c r="J628" s="862"/>
      <c r="K628" s="859"/>
      <c r="L628" s="863"/>
      <c r="M628" s="859"/>
      <c r="N628" s="859"/>
      <c r="O628" s="752">
        <f t="shared" si="90"/>
        <v>0</v>
      </c>
      <c r="P628" s="862"/>
      <c r="Q628" s="860"/>
      <c r="R628" s="753">
        <f t="shared" si="93"/>
        <v>0</v>
      </c>
      <c r="S628" s="752">
        <f t="shared" si="94"/>
        <v>0</v>
      </c>
      <c r="T628" s="754">
        <f t="shared" si="95"/>
        <v>0</v>
      </c>
      <c r="U628" s="859">
        <v>30000</v>
      </c>
      <c r="V628" s="863">
        <v>25000</v>
      </c>
      <c r="W628" s="859"/>
      <c r="X628" s="859"/>
      <c r="Y628" s="755">
        <f t="shared" si="91"/>
        <v>0</v>
      </c>
      <c r="Z628" s="864"/>
      <c r="AA628" s="863"/>
      <c r="AB628" s="756">
        <f t="shared" si="92"/>
        <v>0</v>
      </c>
      <c r="AC628" s="859"/>
      <c r="AD628" s="863"/>
      <c r="AE628" s="859"/>
      <c r="AF628" s="859"/>
      <c r="AG628" s="864"/>
      <c r="AH628" s="865"/>
      <c r="AI628" s="757">
        <f t="shared" si="96"/>
        <v>30000</v>
      </c>
      <c r="AJ628" s="758">
        <f t="shared" si="97"/>
        <v>25000</v>
      </c>
    </row>
    <row r="629" spans="1:36" x14ac:dyDescent="0.2">
      <c r="A629" s="1197" t="s">
        <v>148</v>
      </c>
      <c r="B629" s="1096" t="s">
        <v>292</v>
      </c>
      <c r="C629" s="1213" t="s">
        <v>1163</v>
      </c>
      <c r="D629" s="1098"/>
      <c r="E629" s="1099"/>
      <c r="F629" s="1100"/>
      <c r="G629" s="859"/>
      <c r="H629" s="860"/>
      <c r="I629" s="861"/>
      <c r="J629" s="862"/>
      <c r="K629" s="859"/>
      <c r="L629" s="863"/>
      <c r="M629" s="859"/>
      <c r="N629" s="859"/>
      <c r="O629" s="752">
        <f t="shared" si="90"/>
        <v>0</v>
      </c>
      <c r="P629" s="862"/>
      <c r="Q629" s="860"/>
      <c r="R629" s="753">
        <f t="shared" si="93"/>
        <v>0</v>
      </c>
      <c r="S629" s="752">
        <f t="shared" si="94"/>
        <v>0</v>
      </c>
      <c r="T629" s="754">
        <f t="shared" si="95"/>
        <v>0</v>
      </c>
      <c r="U629" s="859"/>
      <c r="V629" s="863"/>
      <c r="W629" s="859"/>
      <c r="X629" s="859"/>
      <c r="Y629" s="755">
        <f t="shared" si="91"/>
        <v>0</v>
      </c>
      <c r="Z629" s="864"/>
      <c r="AA629" s="863"/>
      <c r="AB629" s="756">
        <f t="shared" si="92"/>
        <v>0</v>
      </c>
      <c r="AC629" s="859"/>
      <c r="AD629" s="863"/>
      <c r="AE629" s="859"/>
      <c r="AF629" s="859"/>
      <c r="AG629" s="864"/>
      <c r="AH629" s="865"/>
      <c r="AI629" s="757">
        <f t="shared" si="96"/>
        <v>0</v>
      </c>
      <c r="AJ629" s="758">
        <f t="shared" si="97"/>
        <v>0</v>
      </c>
    </row>
    <row r="630" spans="1:36" x14ac:dyDescent="0.2">
      <c r="A630" s="1197" t="s">
        <v>148</v>
      </c>
      <c r="B630" s="1096" t="s">
        <v>209</v>
      </c>
      <c r="C630" s="1208" t="s">
        <v>250</v>
      </c>
      <c r="D630" s="1207"/>
      <c r="E630" s="1099"/>
      <c r="F630" s="1100"/>
      <c r="G630" s="859"/>
      <c r="H630" s="860"/>
      <c r="I630" s="861"/>
      <c r="J630" s="862"/>
      <c r="K630" s="859"/>
      <c r="L630" s="863"/>
      <c r="M630" s="859"/>
      <c r="N630" s="859"/>
      <c r="O630" s="752">
        <f t="shared" si="90"/>
        <v>0</v>
      </c>
      <c r="P630" s="862"/>
      <c r="Q630" s="860"/>
      <c r="R630" s="753">
        <f t="shared" si="93"/>
        <v>0</v>
      </c>
      <c r="S630" s="752">
        <f t="shared" si="94"/>
        <v>0</v>
      </c>
      <c r="T630" s="754">
        <f t="shared" si="95"/>
        <v>0</v>
      </c>
      <c r="U630" s="859"/>
      <c r="V630" s="863"/>
      <c r="W630" s="859"/>
      <c r="X630" s="859"/>
      <c r="Y630" s="755">
        <f t="shared" si="91"/>
        <v>0</v>
      </c>
      <c r="Z630" s="864"/>
      <c r="AA630" s="863"/>
      <c r="AB630" s="756">
        <f t="shared" si="92"/>
        <v>0</v>
      </c>
      <c r="AC630" s="859"/>
      <c r="AD630" s="863"/>
      <c r="AE630" s="859"/>
      <c r="AF630" s="859"/>
      <c r="AG630" s="864"/>
      <c r="AH630" s="865"/>
      <c r="AI630" s="757">
        <f t="shared" si="96"/>
        <v>0</v>
      </c>
      <c r="AJ630" s="758">
        <f t="shared" si="97"/>
        <v>0</v>
      </c>
    </row>
    <row r="631" spans="1:36" x14ac:dyDescent="0.2">
      <c r="A631" s="1197" t="s">
        <v>148</v>
      </c>
      <c r="B631" s="1096" t="s">
        <v>210</v>
      </c>
      <c r="C631" s="1208" t="s">
        <v>311</v>
      </c>
      <c r="D631" s="1207"/>
      <c r="E631" s="1099"/>
      <c r="F631" s="1100"/>
      <c r="G631" s="859"/>
      <c r="H631" s="860"/>
      <c r="I631" s="861"/>
      <c r="J631" s="862"/>
      <c r="K631" s="859"/>
      <c r="L631" s="863"/>
      <c r="M631" s="859"/>
      <c r="N631" s="859"/>
      <c r="O631" s="752">
        <f t="shared" si="90"/>
        <v>0</v>
      </c>
      <c r="P631" s="862"/>
      <c r="Q631" s="860"/>
      <c r="R631" s="753">
        <f t="shared" si="93"/>
        <v>0</v>
      </c>
      <c r="S631" s="752">
        <f t="shared" si="94"/>
        <v>0</v>
      </c>
      <c r="T631" s="754">
        <f t="shared" si="95"/>
        <v>0</v>
      </c>
      <c r="U631" s="859"/>
      <c r="V631" s="863"/>
      <c r="W631" s="859"/>
      <c r="X631" s="859"/>
      <c r="Y631" s="755">
        <f t="shared" si="91"/>
        <v>0</v>
      </c>
      <c r="Z631" s="864"/>
      <c r="AA631" s="863"/>
      <c r="AB631" s="756">
        <f t="shared" si="92"/>
        <v>0</v>
      </c>
      <c r="AC631" s="859"/>
      <c r="AD631" s="863"/>
      <c r="AE631" s="859"/>
      <c r="AF631" s="859"/>
      <c r="AG631" s="864"/>
      <c r="AH631" s="865"/>
      <c r="AI631" s="757">
        <f t="shared" si="96"/>
        <v>0</v>
      </c>
      <c r="AJ631" s="758">
        <f t="shared" si="97"/>
        <v>0</v>
      </c>
    </row>
    <row r="632" spans="1:36" x14ac:dyDescent="0.2">
      <c r="A632" s="1197" t="s">
        <v>148</v>
      </c>
      <c r="B632" s="1096" t="s">
        <v>204</v>
      </c>
      <c r="C632" s="1208" t="s">
        <v>249</v>
      </c>
      <c r="D632" s="1207"/>
      <c r="E632" s="1099"/>
      <c r="F632" s="1100"/>
      <c r="G632" s="859"/>
      <c r="H632" s="860"/>
      <c r="I632" s="861"/>
      <c r="J632" s="862"/>
      <c r="K632" s="859"/>
      <c r="L632" s="863"/>
      <c r="M632" s="859"/>
      <c r="N632" s="859"/>
      <c r="O632" s="752">
        <f t="shared" si="90"/>
        <v>0</v>
      </c>
      <c r="P632" s="862"/>
      <c r="Q632" s="860"/>
      <c r="R632" s="753">
        <f t="shared" si="93"/>
        <v>0</v>
      </c>
      <c r="S632" s="752">
        <f t="shared" si="94"/>
        <v>0</v>
      </c>
      <c r="T632" s="754">
        <f t="shared" si="95"/>
        <v>0</v>
      </c>
      <c r="U632" s="859">
        <v>24250</v>
      </c>
      <c r="V632" s="863">
        <v>50638</v>
      </c>
      <c r="W632" s="859"/>
      <c r="X632" s="859"/>
      <c r="Y632" s="755">
        <f t="shared" si="91"/>
        <v>0</v>
      </c>
      <c r="Z632" s="864"/>
      <c r="AA632" s="863"/>
      <c r="AB632" s="756">
        <f t="shared" si="92"/>
        <v>0</v>
      </c>
      <c r="AC632" s="859"/>
      <c r="AD632" s="863"/>
      <c r="AE632" s="859"/>
      <c r="AF632" s="859"/>
      <c r="AG632" s="864"/>
      <c r="AH632" s="865"/>
      <c r="AI632" s="757">
        <f t="shared" si="96"/>
        <v>24250</v>
      </c>
      <c r="AJ632" s="758">
        <f t="shared" si="97"/>
        <v>50638</v>
      </c>
    </row>
    <row r="633" spans="1:36" x14ac:dyDescent="0.2">
      <c r="A633" s="1197" t="s">
        <v>148</v>
      </c>
      <c r="B633" s="1096" t="s">
        <v>205</v>
      </c>
      <c r="C633" s="1208" t="s">
        <v>222</v>
      </c>
      <c r="D633" s="1207"/>
      <c r="E633" s="1099"/>
      <c r="F633" s="1100"/>
      <c r="G633" s="859"/>
      <c r="H633" s="860"/>
      <c r="I633" s="861"/>
      <c r="J633" s="862"/>
      <c r="K633" s="859"/>
      <c r="L633" s="863"/>
      <c r="M633" s="859"/>
      <c r="N633" s="859"/>
      <c r="O633" s="752">
        <f t="shared" si="90"/>
        <v>0</v>
      </c>
      <c r="P633" s="862"/>
      <c r="Q633" s="860"/>
      <c r="R633" s="753">
        <f t="shared" si="93"/>
        <v>0</v>
      </c>
      <c r="S633" s="752">
        <f t="shared" si="94"/>
        <v>0</v>
      </c>
      <c r="T633" s="754">
        <f t="shared" si="95"/>
        <v>0</v>
      </c>
      <c r="U633" s="859"/>
      <c r="V633" s="863"/>
      <c r="W633" s="859"/>
      <c r="X633" s="859"/>
      <c r="Y633" s="755">
        <f t="shared" si="91"/>
        <v>0</v>
      </c>
      <c r="Z633" s="864"/>
      <c r="AA633" s="863"/>
      <c r="AB633" s="756">
        <f t="shared" si="92"/>
        <v>0</v>
      </c>
      <c r="AC633" s="859"/>
      <c r="AD633" s="863"/>
      <c r="AE633" s="859"/>
      <c r="AF633" s="859"/>
      <c r="AG633" s="864"/>
      <c r="AH633" s="865"/>
      <c r="AI633" s="757">
        <f t="shared" si="96"/>
        <v>0</v>
      </c>
      <c r="AJ633" s="758">
        <f t="shared" si="97"/>
        <v>0</v>
      </c>
    </row>
    <row r="634" spans="1:36" x14ac:dyDescent="0.2">
      <c r="A634" s="1197" t="s">
        <v>148</v>
      </c>
      <c r="B634" s="1096" t="s">
        <v>218</v>
      </c>
      <c r="C634" s="1208" t="s">
        <v>311</v>
      </c>
      <c r="D634" s="1207"/>
      <c r="E634" s="1099"/>
      <c r="F634" s="1100"/>
      <c r="G634" s="859"/>
      <c r="H634" s="860"/>
      <c r="I634" s="861"/>
      <c r="J634" s="862"/>
      <c r="K634" s="859"/>
      <c r="L634" s="863"/>
      <c r="M634" s="859"/>
      <c r="N634" s="859"/>
      <c r="O634" s="752">
        <f t="shared" si="90"/>
        <v>0</v>
      </c>
      <c r="P634" s="862"/>
      <c r="Q634" s="860"/>
      <c r="R634" s="753">
        <f t="shared" si="93"/>
        <v>0</v>
      </c>
      <c r="S634" s="752">
        <f t="shared" si="94"/>
        <v>0</v>
      </c>
      <c r="T634" s="754">
        <f t="shared" si="95"/>
        <v>0</v>
      </c>
      <c r="U634" s="859"/>
      <c r="V634" s="863"/>
      <c r="W634" s="859"/>
      <c r="X634" s="859"/>
      <c r="Y634" s="755">
        <f t="shared" si="91"/>
        <v>0</v>
      </c>
      <c r="Z634" s="864"/>
      <c r="AA634" s="863"/>
      <c r="AB634" s="756">
        <f t="shared" si="92"/>
        <v>0</v>
      </c>
      <c r="AC634" s="859"/>
      <c r="AD634" s="863"/>
      <c r="AE634" s="859"/>
      <c r="AF634" s="859"/>
      <c r="AG634" s="864"/>
      <c r="AH634" s="865"/>
      <c r="AI634" s="757">
        <f t="shared" si="96"/>
        <v>0</v>
      </c>
      <c r="AJ634" s="758">
        <f t="shared" si="97"/>
        <v>0</v>
      </c>
    </row>
    <row r="635" spans="1:36" x14ac:dyDescent="0.2">
      <c r="A635" s="1197" t="s">
        <v>148</v>
      </c>
      <c r="B635" s="1096" t="s">
        <v>219</v>
      </c>
      <c r="C635" s="1208" t="s">
        <v>249</v>
      </c>
      <c r="D635" s="1207"/>
      <c r="E635" s="1099"/>
      <c r="F635" s="1100"/>
      <c r="G635" s="859"/>
      <c r="H635" s="860"/>
      <c r="I635" s="861"/>
      <c r="J635" s="862"/>
      <c r="K635" s="859"/>
      <c r="L635" s="863"/>
      <c r="M635" s="859"/>
      <c r="N635" s="859"/>
      <c r="O635" s="752">
        <f t="shared" si="90"/>
        <v>0</v>
      </c>
      <c r="P635" s="862"/>
      <c r="Q635" s="860"/>
      <c r="R635" s="753">
        <f t="shared" si="93"/>
        <v>0</v>
      </c>
      <c r="S635" s="752">
        <f t="shared" si="94"/>
        <v>0</v>
      </c>
      <c r="T635" s="754">
        <f t="shared" si="95"/>
        <v>0</v>
      </c>
      <c r="U635" s="859">
        <v>93394</v>
      </c>
      <c r="V635" s="863">
        <v>113635</v>
      </c>
      <c r="W635" s="859"/>
      <c r="X635" s="859"/>
      <c r="Y635" s="755">
        <f t="shared" si="91"/>
        <v>0</v>
      </c>
      <c r="Z635" s="864"/>
      <c r="AA635" s="863"/>
      <c r="AB635" s="756">
        <f t="shared" si="92"/>
        <v>0</v>
      </c>
      <c r="AC635" s="859"/>
      <c r="AD635" s="863"/>
      <c r="AE635" s="859"/>
      <c r="AF635" s="859"/>
      <c r="AG635" s="864"/>
      <c r="AH635" s="865"/>
      <c r="AI635" s="757">
        <f t="shared" si="96"/>
        <v>93394</v>
      </c>
      <c r="AJ635" s="758">
        <f t="shared" si="97"/>
        <v>113635</v>
      </c>
    </row>
    <row r="636" spans="1:36" x14ac:dyDescent="0.2">
      <c r="A636" s="1197" t="s">
        <v>148</v>
      </c>
      <c r="B636" s="1096" t="s">
        <v>292</v>
      </c>
      <c r="C636" s="1213" t="s">
        <v>1164</v>
      </c>
      <c r="D636" s="1098"/>
      <c r="E636" s="1099"/>
      <c r="F636" s="1100"/>
      <c r="G636" s="859"/>
      <c r="H636" s="860"/>
      <c r="I636" s="861"/>
      <c r="J636" s="862"/>
      <c r="K636" s="859"/>
      <c r="L636" s="863"/>
      <c r="M636" s="859"/>
      <c r="N636" s="859"/>
      <c r="O636" s="752">
        <f t="shared" si="90"/>
        <v>0</v>
      </c>
      <c r="P636" s="862"/>
      <c r="Q636" s="860"/>
      <c r="R636" s="753">
        <f t="shared" si="93"/>
        <v>0</v>
      </c>
      <c r="S636" s="752">
        <f t="shared" si="94"/>
        <v>0</v>
      </c>
      <c r="T636" s="754">
        <f t="shared" si="95"/>
        <v>0</v>
      </c>
      <c r="U636" s="859"/>
      <c r="V636" s="863"/>
      <c r="W636" s="859"/>
      <c r="X636" s="859"/>
      <c r="Y636" s="755">
        <f t="shared" si="91"/>
        <v>0</v>
      </c>
      <c r="Z636" s="864"/>
      <c r="AA636" s="863"/>
      <c r="AB636" s="756">
        <f t="shared" si="92"/>
        <v>0</v>
      </c>
      <c r="AC636" s="859"/>
      <c r="AD636" s="863"/>
      <c r="AE636" s="859"/>
      <c r="AF636" s="859"/>
      <c r="AG636" s="864"/>
      <c r="AH636" s="865"/>
      <c r="AI636" s="757">
        <f t="shared" si="96"/>
        <v>0</v>
      </c>
      <c r="AJ636" s="758">
        <f t="shared" si="97"/>
        <v>0</v>
      </c>
    </row>
    <row r="637" spans="1:36" x14ac:dyDescent="0.2">
      <c r="A637" s="1197" t="s">
        <v>148</v>
      </c>
      <c r="B637" s="1096" t="s">
        <v>209</v>
      </c>
      <c r="C637" s="1208" t="s">
        <v>250</v>
      </c>
      <c r="D637" s="1207"/>
      <c r="E637" s="1099"/>
      <c r="F637" s="1100"/>
      <c r="G637" s="859"/>
      <c r="H637" s="860"/>
      <c r="I637" s="861"/>
      <c r="J637" s="862"/>
      <c r="K637" s="859"/>
      <c r="L637" s="863"/>
      <c r="M637" s="859"/>
      <c r="N637" s="859"/>
      <c r="O637" s="752">
        <f t="shared" si="90"/>
        <v>0</v>
      </c>
      <c r="P637" s="862"/>
      <c r="Q637" s="860"/>
      <c r="R637" s="753">
        <f t="shared" si="93"/>
        <v>0</v>
      </c>
      <c r="S637" s="752">
        <f t="shared" si="94"/>
        <v>0</v>
      </c>
      <c r="T637" s="754">
        <f t="shared" si="95"/>
        <v>0</v>
      </c>
      <c r="U637" s="859"/>
      <c r="V637" s="863"/>
      <c r="W637" s="859"/>
      <c r="X637" s="859"/>
      <c r="Y637" s="755">
        <f t="shared" si="91"/>
        <v>0</v>
      </c>
      <c r="Z637" s="864"/>
      <c r="AA637" s="863"/>
      <c r="AB637" s="756">
        <f t="shared" si="92"/>
        <v>0</v>
      </c>
      <c r="AC637" s="859"/>
      <c r="AD637" s="863"/>
      <c r="AE637" s="859"/>
      <c r="AF637" s="859"/>
      <c r="AG637" s="864"/>
      <c r="AH637" s="865"/>
      <c r="AI637" s="757">
        <f t="shared" si="96"/>
        <v>0</v>
      </c>
      <c r="AJ637" s="758">
        <f t="shared" si="97"/>
        <v>0</v>
      </c>
    </row>
    <row r="638" spans="1:36" x14ac:dyDescent="0.2">
      <c r="A638" s="1197" t="s">
        <v>148</v>
      </c>
      <c r="B638" s="1096" t="s">
        <v>210</v>
      </c>
      <c r="C638" s="1208" t="s">
        <v>311</v>
      </c>
      <c r="D638" s="1207"/>
      <c r="E638" s="1099"/>
      <c r="F638" s="1100"/>
      <c r="G638" s="859"/>
      <c r="H638" s="860"/>
      <c r="I638" s="861"/>
      <c r="J638" s="862"/>
      <c r="K638" s="859"/>
      <c r="L638" s="863"/>
      <c r="M638" s="859"/>
      <c r="N638" s="859"/>
      <c r="O638" s="752">
        <f t="shared" si="90"/>
        <v>0</v>
      </c>
      <c r="P638" s="862"/>
      <c r="Q638" s="860"/>
      <c r="R638" s="753">
        <f t="shared" si="93"/>
        <v>0</v>
      </c>
      <c r="S638" s="752">
        <f t="shared" si="94"/>
        <v>0</v>
      </c>
      <c r="T638" s="754">
        <f t="shared" si="95"/>
        <v>0</v>
      </c>
      <c r="U638" s="859"/>
      <c r="V638" s="863"/>
      <c r="W638" s="859"/>
      <c r="X638" s="859"/>
      <c r="Y638" s="755">
        <f t="shared" si="91"/>
        <v>0</v>
      </c>
      <c r="Z638" s="864"/>
      <c r="AA638" s="863"/>
      <c r="AB638" s="756">
        <f t="shared" si="92"/>
        <v>0</v>
      </c>
      <c r="AC638" s="859"/>
      <c r="AD638" s="863"/>
      <c r="AE638" s="859"/>
      <c r="AF638" s="859"/>
      <c r="AG638" s="864"/>
      <c r="AH638" s="865"/>
      <c r="AI638" s="757">
        <f t="shared" si="96"/>
        <v>0</v>
      </c>
      <c r="AJ638" s="758">
        <f t="shared" si="97"/>
        <v>0</v>
      </c>
    </row>
    <row r="639" spans="1:36" x14ac:dyDescent="0.2">
      <c r="A639" s="1197" t="s">
        <v>148</v>
      </c>
      <c r="B639" s="1096" t="s">
        <v>204</v>
      </c>
      <c r="C639" s="1208" t="s">
        <v>249</v>
      </c>
      <c r="D639" s="1207"/>
      <c r="E639" s="1099"/>
      <c r="F639" s="1100"/>
      <c r="G639" s="859"/>
      <c r="H639" s="860"/>
      <c r="I639" s="861"/>
      <c r="J639" s="862"/>
      <c r="K639" s="859"/>
      <c r="L639" s="863"/>
      <c r="M639" s="859"/>
      <c r="N639" s="859"/>
      <c r="O639" s="752">
        <f t="shared" si="90"/>
        <v>0</v>
      </c>
      <c r="P639" s="862"/>
      <c r="Q639" s="860"/>
      <c r="R639" s="753">
        <f t="shared" si="93"/>
        <v>0</v>
      </c>
      <c r="S639" s="752">
        <f t="shared" si="94"/>
        <v>0</v>
      </c>
      <c r="T639" s="754">
        <f t="shared" si="95"/>
        <v>0</v>
      </c>
      <c r="U639" s="859">
        <v>63750</v>
      </c>
      <c r="V639" s="863">
        <v>56250</v>
      </c>
      <c r="W639" s="859"/>
      <c r="X639" s="859"/>
      <c r="Y639" s="755">
        <f t="shared" si="91"/>
        <v>0</v>
      </c>
      <c r="Z639" s="864"/>
      <c r="AA639" s="863"/>
      <c r="AB639" s="756">
        <f t="shared" si="92"/>
        <v>0</v>
      </c>
      <c r="AC639" s="859"/>
      <c r="AD639" s="863"/>
      <c r="AE639" s="859"/>
      <c r="AF639" s="859"/>
      <c r="AG639" s="864"/>
      <c r="AH639" s="865"/>
      <c r="AI639" s="757">
        <f t="shared" si="96"/>
        <v>63750</v>
      </c>
      <c r="AJ639" s="758">
        <f t="shared" si="97"/>
        <v>56250</v>
      </c>
    </row>
    <row r="640" spans="1:36" x14ac:dyDescent="0.2">
      <c r="A640" s="1197" t="s">
        <v>148</v>
      </c>
      <c r="B640" s="1096" t="s">
        <v>205</v>
      </c>
      <c r="C640" s="1208" t="s">
        <v>222</v>
      </c>
      <c r="D640" s="1207"/>
      <c r="E640" s="1099"/>
      <c r="F640" s="1100"/>
      <c r="G640" s="859"/>
      <c r="H640" s="860"/>
      <c r="I640" s="861"/>
      <c r="J640" s="862"/>
      <c r="K640" s="859"/>
      <c r="L640" s="863"/>
      <c r="M640" s="859"/>
      <c r="N640" s="859"/>
      <c r="O640" s="752">
        <f t="shared" si="90"/>
        <v>0</v>
      </c>
      <c r="P640" s="862"/>
      <c r="Q640" s="860"/>
      <c r="R640" s="753">
        <f t="shared" si="93"/>
        <v>0</v>
      </c>
      <c r="S640" s="752">
        <f t="shared" si="94"/>
        <v>0</v>
      </c>
      <c r="T640" s="754">
        <f t="shared" si="95"/>
        <v>0</v>
      </c>
      <c r="U640" s="859"/>
      <c r="V640" s="863"/>
      <c r="W640" s="859"/>
      <c r="X640" s="859"/>
      <c r="Y640" s="755">
        <f t="shared" si="91"/>
        <v>0</v>
      </c>
      <c r="Z640" s="864"/>
      <c r="AA640" s="863"/>
      <c r="AB640" s="756">
        <f t="shared" si="92"/>
        <v>0</v>
      </c>
      <c r="AC640" s="859"/>
      <c r="AD640" s="863"/>
      <c r="AE640" s="859"/>
      <c r="AF640" s="859"/>
      <c r="AG640" s="864"/>
      <c r="AH640" s="865"/>
      <c r="AI640" s="757">
        <f t="shared" si="96"/>
        <v>0</v>
      </c>
      <c r="AJ640" s="758">
        <f t="shared" si="97"/>
        <v>0</v>
      </c>
    </row>
    <row r="641" spans="1:36" x14ac:dyDescent="0.2">
      <c r="A641" s="1197" t="s">
        <v>148</v>
      </c>
      <c r="B641" s="1096" t="s">
        <v>218</v>
      </c>
      <c r="C641" s="1208" t="s">
        <v>311</v>
      </c>
      <c r="D641" s="1207"/>
      <c r="E641" s="1099"/>
      <c r="F641" s="1100"/>
      <c r="G641" s="859"/>
      <c r="H641" s="860"/>
      <c r="I641" s="861"/>
      <c r="J641" s="862"/>
      <c r="K641" s="859"/>
      <c r="L641" s="863"/>
      <c r="M641" s="859"/>
      <c r="N641" s="859"/>
      <c r="O641" s="752">
        <f t="shared" si="90"/>
        <v>0</v>
      </c>
      <c r="P641" s="862"/>
      <c r="Q641" s="860"/>
      <c r="R641" s="753">
        <f t="shared" si="93"/>
        <v>0</v>
      </c>
      <c r="S641" s="752">
        <f t="shared" si="94"/>
        <v>0</v>
      </c>
      <c r="T641" s="754">
        <f t="shared" si="95"/>
        <v>0</v>
      </c>
      <c r="U641" s="859"/>
      <c r="V641" s="863"/>
      <c r="W641" s="859"/>
      <c r="X641" s="859"/>
      <c r="Y641" s="755">
        <f t="shared" si="91"/>
        <v>0</v>
      </c>
      <c r="Z641" s="864"/>
      <c r="AA641" s="863"/>
      <c r="AB641" s="756">
        <f t="shared" si="92"/>
        <v>0</v>
      </c>
      <c r="AC641" s="859"/>
      <c r="AD641" s="863"/>
      <c r="AE641" s="859"/>
      <c r="AF641" s="859"/>
      <c r="AG641" s="864"/>
      <c r="AH641" s="865"/>
      <c r="AI641" s="757">
        <f t="shared" si="96"/>
        <v>0</v>
      </c>
      <c r="AJ641" s="758">
        <f t="shared" si="97"/>
        <v>0</v>
      </c>
    </row>
    <row r="642" spans="1:36" x14ac:dyDescent="0.2">
      <c r="A642" s="1197" t="s">
        <v>148</v>
      </c>
      <c r="B642" s="1096" t="s">
        <v>219</v>
      </c>
      <c r="C642" s="1208" t="s">
        <v>249</v>
      </c>
      <c r="D642" s="1207"/>
      <c r="E642" s="1099"/>
      <c r="F642" s="1100"/>
      <c r="G642" s="859"/>
      <c r="H642" s="860"/>
      <c r="I642" s="861"/>
      <c r="J642" s="862"/>
      <c r="K642" s="859"/>
      <c r="L642" s="863"/>
      <c r="M642" s="859"/>
      <c r="N642" s="859"/>
      <c r="O642" s="752">
        <f t="shared" si="90"/>
        <v>0</v>
      </c>
      <c r="P642" s="862"/>
      <c r="Q642" s="860"/>
      <c r="R642" s="753">
        <f t="shared" si="93"/>
        <v>0</v>
      </c>
      <c r="S642" s="752">
        <f t="shared" si="94"/>
        <v>0</v>
      </c>
      <c r="T642" s="754">
        <f t="shared" si="95"/>
        <v>0</v>
      </c>
      <c r="U642" s="859">
        <v>42123</v>
      </c>
      <c r="V642" s="863">
        <v>20000</v>
      </c>
      <c r="W642" s="859"/>
      <c r="X642" s="859"/>
      <c r="Y642" s="755">
        <f t="shared" si="91"/>
        <v>0</v>
      </c>
      <c r="Z642" s="864"/>
      <c r="AA642" s="863"/>
      <c r="AB642" s="756">
        <f t="shared" si="92"/>
        <v>0</v>
      </c>
      <c r="AC642" s="859"/>
      <c r="AD642" s="863"/>
      <c r="AE642" s="859"/>
      <c r="AF642" s="859"/>
      <c r="AG642" s="864"/>
      <c r="AH642" s="865"/>
      <c r="AI642" s="757">
        <f t="shared" si="96"/>
        <v>42123</v>
      </c>
      <c r="AJ642" s="758">
        <f t="shared" si="97"/>
        <v>20000</v>
      </c>
    </row>
    <row r="643" spans="1:36" x14ac:dyDescent="0.2">
      <c r="A643" s="1197" t="s">
        <v>148</v>
      </c>
      <c r="B643" s="1096" t="s">
        <v>292</v>
      </c>
      <c r="C643" s="1213" t="s">
        <v>1165</v>
      </c>
      <c r="D643" s="1098"/>
      <c r="E643" s="1099"/>
      <c r="F643" s="1100"/>
      <c r="G643" s="859"/>
      <c r="H643" s="860"/>
      <c r="I643" s="861"/>
      <c r="J643" s="862"/>
      <c r="K643" s="859"/>
      <c r="L643" s="863"/>
      <c r="M643" s="859"/>
      <c r="N643" s="859"/>
      <c r="O643" s="752">
        <f t="shared" si="90"/>
        <v>0</v>
      </c>
      <c r="P643" s="862"/>
      <c r="Q643" s="860"/>
      <c r="R643" s="753">
        <f t="shared" si="93"/>
        <v>0</v>
      </c>
      <c r="S643" s="752">
        <f t="shared" si="94"/>
        <v>0</v>
      </c>
      <c r="T643" s="754">
        <f t="shared" si="95"/>
        <v>0</v>
      </c>
      <c r="U643" s="859"/>
      <c r="V643" s="863"/>
      <c r="W643" s="859"/>
      <c r="X643" s="859"/>
      <c r="Y643" s="755">
        <f t="shared" si="91"/>
        <v>0</v>
      </c>
      <c r="Z643" s="864"/>
      <c r="AA643" s="863"/>
      <c r="AB643" s="756">
        <f t="shared" si="92"/>
        <v>0</v>
      </c>
      <c r="AC643" s="859"/>
      <c r="AD643" s="863"/>
      <c r="AE643" s="859"/>
      <c r="AF643" s="859"/>
      <c r="AG643" s="864"/>
      <c r="AH643" s="865"/>
      <c r="AI643" s="757">
        <f t="shared" si="96"/>
        <v>0</v>
      </c>
      <c r="AJ643" s="758">
        <f t="shared" si="97"/>
        <v>0</v>
      </c>
    </row>
    <row r="644" spans="1:36" x14ac:dyDescent="0.2">
      <c r="A644" s="1197" t="s">
        <v>148</v>
      </c>
      <c r="B644" s="1096" t="s">
        <v>209</v>
      </c>
      <c r="C644" s="1208" t="s">
        <v>250</v>
      </c>
      <c r="D644" s="1207"/>
      <c r="E644" s="1099"/>
      <c r="F644" s="1100"/>
      <c r="G644" s="859"/>
      <c r="H644" s="860"/>
      <c r="I644" s="861"/>
      <c r="J644" s="862"/>
      <c r="K644" s="859"/>
      <c r="L644" s="863"/>
      <c r="M644" s="859"/>
      <c r="N644" s="859"/>
      <c r="O644" s="752">
        <f t="shared" si="90"/>
        <v>0</v>
      </c>
      <c r="P644" s="862"/>
      <c r="Q644" s="860"/>
      <c r="R644" s="753">
        <f t="shared" si="93"/>
        <v>0</v>
      </c>
      <c r="S644" s="752">
        <f t="shared" si="94"/>
        <v>0</v>
      </c>
      <c r="T644" s="754">
        <f t="shared" si="95"/>
        <v>0</v>
      </c>
      <c r="U644" s="859"/>
      <c r="V644" s="863"/>
      <c r="W644" s="859"/>
      <c r="X644" s="859"/>
      <c r="Y644" s="755">
        <f t="shared" si="91"/>
        <v>0</v>
      </c>
      <c r="Z644" s="864"/>
      <c r="AA644" s="863"/>
      <c r="AB644" s="756">
        <f t="shared" si="92"/>
        <v>0</v>
      </c>
      <c r="AC644" s="859"/>
      <c r="AD644" s="863"/>
      <c r="AE644" s="859"/>
      <c r="AF644" s="859"/>
      <c r="AG644" s="864"/>
      <c r="AH644" s="865"/>
      <c r="AI644" s="757">
        <f t="shared" si="96"/>
        <v>0</v>
      </c>
      <c r="AJ644" s="758">
        <f t="shared" si="97"/>
        <v>0</v>
      </c>
    </row>
    <row r="645" spans="1:36" x14ac:dyDescent="0.2">
      <c r="A645" s="1197" t="s">
        <v>148</v>
      </c>
      <c r="B645" s="1096" t="s">
        <v>210</v>
      </c>
      <c r="C645" s="1208" t="s">
        <v>311</v>
      </c>
      <c r="D645" s="1207"/>
      <c r="E645" s="1099"/>
      <c r="F645" s="1100"/>
      <c r="G645" s="859"/>
      <c r="H645" s="860"/>
      <c r="I645" s="861"/>
      <c r="J645" s="862"/>
      <c r="K645" s="859"/>
      <c r="L645" s="863"/>
      <c r="M645" s="859"/>
      <c r="N645" s="859"/>
      <c r="O645" s="752">
        <f t="shared" si="90"/>
        <v>0</v>
      </c>
      <c r="P645" s="862"/>
      <c r="Q645" s="860"/>
      <c r="R645" s="753">
        <f t="shared" si="93"/>
        <v>0</v>
      </c>
      <c r="S645" s="752">
        <f t="shared" si="94"/>
        <v>0</v>
      </c>
      <c r="T645" s="754">
        <f t="shared" si="95"/>
        <v>0</v>
      </c>
      <c r="U645" s="859"/>
      <c r="V645" s="863"/>
      <c r="W645" s="859"/>
      <c r="X645" s="859"/>
      <c r="Y645" s="755">
        <f t="shared" si="91"/>
        <v>0</v>
      </c>
      <c r="Z645" s="864"/>
      <c r="AA645" s="863"/>
      <c r="AB645" s="756">
        <f t="shared" si="92"/>
        <v>0</v>
      </c>
      <c r="AC645" s="859"/>
      <c r="AD645" s="863"/>
      <c r="AE645" s="859"/>
      <c r="AF645" s="859"/>
      <c r="AG645" s="864"/>
      <c r="AH645" s="865"/>
      <c r="AI645" s="757">
        <f t="shared" si="96"/>
        <v>0</v>
      </c>
      <c r="AJ645" s="758">
        <f t="shared" si="97"/>
        <v>0</v>
      </c>
    </row>
    <row r="646" spans="1:36" x14ac:dyDescent="0.2">
      <c r="A646" s="1197" t="s">
        <v>148</v>
      </c>
      <c r="B646" s="1096" t="s">
        <v>204</v>
      </c>
      <c r="C646" s="1208" t="s">
        <v>249</v>
      </c>
      <c r="D646" s="1207"/>
      <c r="E646" s="1099"/>
      <c r="F646" s="1100"/>
      <c r="G646" s="859"/>
      <c r="H646" s="860"/>
      <c r="I646" s="861"/>
      <c r="J646" s="862"/>
      <c r="K646" s="859"/>
      <c r="L646" s="863"/>
      <c r="M646" s="859"/>
      <c r="N646" s="859"/>
      <c r="O646" s="752">
        <f t="shared" si="90"/>
        <v>0</v>
      </c>
      <c r="P646" s="862"/>
      <c r="Q646" s="860"/>
      <c r="R646" s="753">
        <f t="shared" si="93"/>
        <v>0</v>
      </c>
      <c r="S646" s="752">
        <f t="shared" si="94"/>
        <v>0</v>
      </c>
      <c r="T646" s="754">
        <f t="shared" si="95"/>
        <v>0</v>
      </c>
      <c r="U646" s="859">
        <v>95630</v>
      </c>
      <c r="V646" s="863">
        <v>70160</v>
      </c>
      <c r="W646" s="859"/>
      <c r="X646" s="859"/>
      <c r="Y646" s="755">
        <f t="shared" si="91"/>
        <v>0</v>
      </c>
      <c r="Z646" s="864"/>
      <c r="AA646" s="863"/>
      <c r="AB646" s="756">
        <f t="shared" si="92"/>
        <v>0</v>
      </c>
      <c r="AC646" s="859"/>
      <c r="AD646" s="863"/>
      <c r="AE646" s="859"/>
      <c r="AF646" s="859"/>
      <c r="AG646" s="864"/>
      <c r="AH646" s="865"/>
      <c r="AI646" s="757">
        <f t="shared" si="96"/>
        <v>95630</v>
      </c>
      <c r="AJ646" s="758">
        <f t="shared" si="97"/>
        <v>70160</v>
      </c>
    </row>
    <row r="647" spans="1:36" x14ac:dyDescent="0.2">
      <c r="A647" s="1197" t="s">
        <v>148</v>
      </c>
      <c r="B647" s="1096" t="s">
        <v>205</v>
      </c>
      <c r="C647" s="1208" t="s">
        <v>222</v>
      </c>
      <c r="D647" s="1207"/>
      <c r="E647" s="1099"/>
      <c r="F647" s="1100"/>
      <c r="G647" s="859"/>
      <c r="H647" s="860"/>
      <c r="I647" s="861"/>
      <c r="J647" s="862"/>
      <c r="K647" s="859"/>
      <c r="L647" s="863"/>
      <c r="M647" s="859"/>
      <c r="N647" s="859"/>
      <c r="O647" s="752">
        <f t="shared" si="90"/>
        <v>0</v>
      </c>
      <c r="P647" s="862"/>
      <c r="Q647" s="860"/>
      <c r="R647" s="753">
        <f t="shared" si="93"/>
        <v>0</v>
      </c>
      <c r="S647" s="752">
        <f t="shared" si="94"/>
        <v>0</v>
      </c>
      <c r="T647" s="754">
        <f t="shared" si="95"/>
        <v>0</v>
      </c>
      <c r="U647" s="859"/>
      <c r="V647" s="863"/>
      <c r="W647" s="859"/>
      <c r="X647" s="859"/>
      <c r="Y647" s="755">
        <f t="shared" si="91"/>
        <v>0</v>
      </c>
      <c r="Z647" s="864"/>
      <c r="AA647" s="863"/>
      <c r="AB647" s="756">
        <f t="shared" si="92"/>
        <v>0</v>
      </c>
      <c r="AC647" s="859"/>
      <c r="AD647" s="863"/>
      <c r="AE647" s="859"/>
      <c r="AF647" s="859"/>
      <c r="AG647" s="864"/>
      <c r="AH647" s="865"/>
      <c r="AI647" s="757">
        <f t="shared" si="96"/>
        <v>0</v>
      </c>
      <c r="AJ647" s="758">
        <f t="shared" si="97"/>
        <v>0</v>
      </c>
    </row>
    <row r="648" spans="1:36" x14ac:dyDescent="0.2">
      <c r="A648" s="1197" t="s">
        <v>148</v>
      </c>
      <c r="B648" s="1096" t="s">
        <v>218</v>
      </c>
      <c r="C648" s="1208" t="s">
        <v>311</v>
      </c>
      <c r="D648" s="1207"/>
      <c r="E648" s="1099"/>
      <c r="F648" s="1100"/>
      <c r="G648" s="859"/>
      <c r="H648" s="860"/>
      <c r="I648" s="861"/>
      <c r="J648" s="862"/>
      <c r="K648" s="859"/>
      <c r="L648" s="863"/>
      <c r="M648" s="859"/>
      <c r="N648" s="859"/>
      <c r="O648" s="752">
        <f t="shared" si="90"/>
        <v>0</v>
      </c>
      <c r="P648" s="862"/>
      <c r="Q648" s="860"/>
      <c r="R648" s="753">
        <f t="shared" si="93"/>
        <v>0</v>
      </c>
      <c r="S648" s="752">
        <f t="shared" si="94"/>
        <v>0</v>
      </c>
      <c r="T648" s="754">
        <f t="shared" si="95"/>
        <v>0</v>
      </c>
      <c r="U648" s="859"/>
      <c r="V648" s="863"/>
      <c r="W648" s="859"/>
      <c r="X648" s="859"/>
      <c r="Y648" s="755">
        <f t="shared" si="91"/>
        <v>0</v>
      </c>
      <c r="Z648" s="864"/>
      <c r="AA648" s="863"/>
      <c r="AB648" s="756">
        <f t="shared" si="92"/>
        <v>0</v>
      </c>
      <c r="AC648" s="859"/>
      <c r="AD648" s="863"/>
      <c r="AE648" s="859"/>
      <c r="AF648" s="859"/>
      <c r="AG648" s="864"/>
      <c r="AH648" s="865"/>
      <c r="AI648" s="757">
        <f t="shared" si="96"/>
        <v>0</v>
      </c>
      <c r="AJ648" s="758">
        <f t="shared" si="97"/>
        <v>0</v>
      </c>
    </row>
    <row r="649" spans="1:36" x14ac:dyDescent="0.2">
      <c r="A649" s="1197" t="s">
        <v>148</v>
      </c>
      <c r="B649" s="1096" t="s">
        <v>219</v>
      </c>
      <c r="C649" s="1208" t="s">
        <v>249</v>
      </c>
      <c r="D649" s="1207"/>
      <c r="E649" s="1099"/>
      <c r="F649" s="1100"/>
      <c r="G649" s="859"/>
      <c r="H649" s="860"/>
      <c r="I649" s="861"/>
      <c r="J649" s="862"/>
      <c r="K649" s="859"/>
      <c r="L649" s="863"/>
      <c r="M649" s="859"/>
      <c r="N649" s="859"/>
      <c r="O649" s="752">
        <f t="shared" si="90"/>
        <v>0</v>
      </c>
      <c r="P649" s="862"/>
      <c r="Q649" s="860"/>
      <c r="R649" s="753">
        <f t="shared" si="93"/>
        <v>0</v>
      </c>
      <c r="S649" s="752">
        <f t="shared" si="94"/>
        <v>0</v>
      </c>
      <c r="T649" s="754">
        <f t="shared" si="95"/>
        <v>0</v>
      </c>
      <c r="U649" s="859"/>
      <c r="V649" s="863"/>
      <c r="W649" s="859"/>
      <c r="X649" s="859"/>
      <c r="Y649" s="755">
        <f t="shared" si="91"/>
        <v>0</v>
      </c>
      <c r="Z649" s="864"/>
      <c r="AA649" s="863"/>
      <c r="AB649" s="756">
        <f t="shared" si="92"/>
        <v>0</v>
      </c>
      <c r="AC649" s="859"/>
      <c r="AD649" s="863"/>
      <c r="AE649" s="859"/>
      <c r="AF649" s="859"/>
      <c r="AG649" s="864"/>
      <c r="AH649" s="865"/>
      <c r="AI649" s="757">
        <f t="shared" si="96"/>
        <v>0</v>
      </c>
      <c r="AJ649" s="758">
        <f t="shared" si="97"/>
        <v>0</v>
      </c>
    </row>
    <row r="650" spans="1:36" x14ac:dyDescent="0.2">
      <c r="A650" s="1197" t="s">
        <v>148</v>
      </c>
      <c r="B650" s="1096" t="s">
        <v>292</v>
      </c>
      <c r="C650" s="1213" t="s">
        <v>1166</v>
      </c>
      <c r="D650" s="1098"/>
      <c r="E650" s="1099"/>
      <c r="F650" s="1100"/>
      <c r="G650" s="859"/>
      <c r="H650" s="860"/>
      <c r="I650" s="861"/>
      <c r="J650" s="862"/>
      <c r="K650" s="859"/>
      <c r="L650" s="863"/>
      <c r="M650" s="859"/>
      <c r="N650" s="859"/>
      <c r="O650" s="752">
        <f t="shared" si="90"/>
        <v>0</v>
      </c>
      <c r="P650" s="862"/>
      <c r="Q650" s="860"/>
      <c r="R650" s="753">
        <f t="shared" si="93"/>
        <v>0</v>
      </c>
      <c r="S650" s="752">
        <f t="shared" si="94"/>
        <v>0</v>
      </c>
      <c r="T650" s="754">
        <f t="shared" si="95"/>
        <v>0</v>
      </c>
      <c r="U650" s="859"/>
      <c r="V650" s="863"/>
      <c r="W650" s="859"/>
      <c r="X650" s="859"/>
      <c r="Y650" s="755">
        <f t="shared" si="91"/>
        <v>0</v>
      </c>
      <c r="Z650" s="864"/>
      <c r="AA650" s="863"/>
      <c r="AB650" s="756">
        <f t="shared" si="92"/>
        <v>0</v>
      </c>
      <c r="AC650" s="859"/>
      <c r="AD650" s="863"/>
      <c r="AE650" s="859"/>
      <c r="AF650" s="859"/>
      <c r="AG650" s="864"/>
      <c r="AH650" s="865"/>
      <c r="AI650" s="757">
        <f t="shared" si="96"/>
        <v>0</v>
      </c>
      <c r="AJ650" s="758">
        <f t="shared" si="97"/>
        <v>0</v>
      </c>
    </row>
    <row r="651" spans="1:36" x14ac:dyDescent="0.2">
      <c r="A651" s="1197" t="s">
        <v>148</v>
      </c>
      <c r="B651" s="1096" t="s">
        <v>209</v>
      </c>
      <c r="C651" s="1208" t="s">
        <v>250</v>
      </c>
      <c r="D651" s="1207"/>
      <c r="E651" s="1099"/>
      <c r="F651" s="1100"/>
      <c r="G651" s="859"/>
      <c r="H651" s="860"/>
      <c r="I651" s="861"/>
      <c r="J651" s="862"/>
      <c r="K651" s="859"/>
      <c r="L651" s="863"/>
      <c r="M651" s="859"/>
      <c r="N651" s="859"/>
      <c r="O651" s="752">
        <f t="shared" ref="O651:O714" si="98">SUM(M651:N651)</f>
        <v>0</v>
      </c>
      <c r="P651" s="862"/>
      <c r="Q651" s="860"/>
      <c r="R651" s="753">
        <f t="shared" si="93"/>
        <v>0</v>
      </c>
      <c r="S651" s="752">
        <f t="shared" si="94"/>
        <v>0</v>
      </c>
      <c r="T651" s="754">
        <f t="shared" si="95"/>
        <v>0</v>
      </c>
      <c r="U651" s="859"/>
      <c r="V651" s="863"/>
      <c r="W651" s="859"/>
      <c r="X651" s="859"/>
      <c r="Y651" s="755">
        <f t="shared" ref="Y651:Y714" si="99">SUM(W651:X651)</f>
        <v>0</v>
      </c>
      <c r="Z651" s="864"/>
      <c r="AA651" s="863"/>
      <c r="AB651" s="756">
        <f t="shared" ref="AB651:AB714" si="100">SUM(Z651:AA651)</f>
        <v>0</v>
      </c>
      <c r="AC651" s="859"/>
      <c r="AD651" s="863"/>
      <c r="AE651" s="859"/>
      <c r="AF651" s="859"/>
      <c r="AG651" s="864"/>
      <c r="AH651" s="865"/>
      <c r="AI651" s="757">
        <f t="shared" si="96"/>
        <v>0</v>
      </c>
      <c r="AJ651" s="758">
        <f t="shared" si="97"/>
        <v>0</v>
      </c>
    </row>
    <row r="652" spans="1:36" x14ac:dyDescent="0.2">
      <c r="A652" s="1197" t="s">
        <v>148</v>
      </c>
      <c r="B652" s="1096" t="s">
        <v>210</v>
      </c>
      <c r="C652" s="1208" t="s">
        <v>311</v>
      </c>
      <c r="D652" s="1207"/>
      <c r="E652" s="1099"/>
      <c r="F652" s="1100"/>
      <c r="G652" s="859"/>
      <c r="H652" s="860"/>
      <c r="I652" s="861"/>
      <c r="J652" s="862"/>
      <c r="K652" s="859"/>
      <c r="L652" s="863"/>
      <c r="M652" s="859"/>
      <c r="N652" s="859"/>
      <c r="O652" s="752">
        <f t="shared" si="98"/>
        <v>0</v>
      </c>
      <c r="P652" s="862"/>
      <c r="Q652" s="860"/>
      <c r="R652" s="753">
        <f t="shared" ref="R652:R715" si="101">SUM(P652:Q652)</f>
        <v>0</v>
      </c>
      <c r="S652" s="752">
        <f t="shared" ref="S652:S715" si="102">SUM(G652,I652,K652,M652)</f>
        <v>0</v>
      </c>
      <c r="T652" s="754">
        <f t="shared" ref="T652:T715" si="103">SUM(H652,J652,L652,P652)</f>
        <v>0</v>
      </c>
      <c r="U652" s="859"/>
      <c r="V652" s="863"/>
      <c r="W652" s="859"/>
      <c r="X652" s="859"/>
      <c r="Y652" s="755">
        <f t="shared" si="99"/>
        <v>0</v>
      </c>
      <c r="Z652" s="864"/>
      <c r="AA652" s="863"/>
      <c r="AB652" s="756">
        <f t="shared" si="100"/>
        <v>0</v>
      </c>
      <c r="AC652" s="859"/>
      <c r="AD652" s="863"/>
      <c r="AE652" s="859"/>
      <c r="AF652" s="859"/>
      <c r="AG652" s="864"/>
      <c r="AH652" s="865"/>
      <c r="AI652" s="757">
        <f t="shared" ref="AI652:AI715" si="104">SUM(S652,U652,W652,AC652,AE652)</f>
        <v>0</v>
      </c>
      <c r="AJ652" s="758">
        <f t="shared" ref="AJ652:AJ715" si="105">SUM(T652,V652,Z652,AD652,AG652)</f>
        <v>0</v>
      </c>
    </row>
    <row r="653" spans="1:36" x14ac:dyDescent="0.2">
      <c r="A653" s="1197" t="s">
        <v>148</v>
      </c>
      <c r="B653" s="1096" t="s">
        <v>204</v>
      </c>
      <c r="C653" s="1208" t="s">
        <v>249</v>
      </c>
      <c r="D653" s="1207"/>
      <c r="E653" s="1099"/>
      <c r="F653" s="1100"/>
      <c r="G653" s="859"/>
      <c r="H653" s="860"/>
      <c r="I653" s="861"/>
      <c r="J653" s="862"/>
      <c r="K653" s="859"/>
      <c r="L653" s="863"/>
      <c r="M653" s="859"/>
      <c r="N653" s="859"/>
      <c r="O653" s="752">
        <f t="shared" si="98"/>
        <v>0</v>
      </c>
      <c r="P653" s="862"/>
      <c r="Q653" s="860"/>
      <c r="R653" s="753">
        <f t="shared" si="101"/>
        <v>0</v>
      </c>
      <c r="S653" s="752">
        <f t="shared" si="102"/>
        <v>0</v>
      </c>
      <c r="T653" s="754">
        <f t="shared" si="103"/>
        <v>0</v>
      </c>
      <c r="U653" s="859">
        <v>17500</v>
      </c>
      <c r="V653" s="863">
        <v>20000</v>
      </c>
      <c r="W653" s="859"/>
      <c r="X653" s="859"/>
      <c r="Y653" s="755">
        <f t="shared" si="99"/>
        <v>0</v>
      </c>
      <c r="Z653" s="864"/>
      <c r="AA653" s="863"/>
      <c r="AB653" s="756">
        <f t="shared" si="100"/>
        <v>0</v>
      </c>
      <c r="AC653" s="859"/>
      <c r="AD653" s="863"/>
      <c r="AE653" s="859"/>
      <c r="AF653" s="859"/>
      <c r="AG653" s="864"/>
      <c r="AH653" s="865"/>
      <c r="AI653" s="757">
        <f t="shared" si="104"/>
        <v>17500</v>
      </c>
      <c r="AJ653" s="758">
        <f t="shared" si="105"/>
        <v>20000</v>
      </c>
    </row>
    <row r="654" spans="1:36" x14ac:dyDescent="0.2">
      <c r="A654" s="1197" t="s">
        <v>148</v>
      </c>
      <c r="B654" s="1096" t="s">
        <v>205</v>
      </c>
      <c r="C654" s="1208" t="s">
        <v>222</v>
      </c>
      <c r="D654" s="1207"/>
      <c r="E654" s="1099"/>
      <c r="F654" s="1100"/>
      <c r="G654" s="859"/>
      <c r="H654" s="860"/>
      <c r="I654" s="861"/>
      <c r="J654" s="862"/>
      <c r="K654" s="859"/>
      <c r="L654" s="863"/>
      <c r="M654" s="859"/>
      <c r="N654" s="859"/>
      <c r="O654" s="752">
        <f t="shared" si="98"/>
        <v>0</v>
      </c>
      <c r="P654" s="862"/>
      <c r="Q654" s="860"/>
      <c r="R654" s="753">
        <f t="shared" si="101"/>
        <v>0</v>
      </c>
      <c r="S654" s="752">
        <f t="shared" si="102"/>
        <v>0</v>
      </c>
      <c r="T654" s="754">
        <f t="shared" si="103"/>
        <v>0</v>
      </c>
      <c r="U654" s="859"/>
      <c r="V654" s="863"/>
      <c r="W654" s="859"/>
      <c r="X654" s="859"/>
      <c r="Y654" s="755">
        <f t="shared" si="99"/>
        <v>0</v>
      </c>
      <c r="Z654" s="864"/>
      <c r="AA654" s="863"/>
      <c r="AB654" s="756">
        <f t="shared" si="100"/>
        <v>0</v>
      </c>
      <c r="AC654" s="859"/>
      <c r="AD654" s="863"/>
      <c r="AE654" s="859"/>
      <c r="AF654" s="859"/>
      <c r="AG654" s="864"/>
      <c r="AH654" s="865"/>
      <c r="AI654" s="757">
        <f t="shared" si="104"/>
        <v>0</v>
      </c>
      <c r="AJ654" s="758">
        <f t="shared" si="105"/>
        <v>0</v>
      </c>
    </row>
    <row r="655" spans="1:36" x14ac:dyDescent="0.2">
      <c r="A655" s="1197" t="s">
        <v>148</v>
      </c>
      <c r="B655" s="1096" t="s">
        <v>218</v>
      </c>
      <c r="C655" s="1208" t="s">
        <v>311</v>
      </c>
      <c r="D655" s="1207"/>
      <c r="E655" s="1099"/>
      <c r="F655" s="1100"/>
      <c r="G655" s="859"/>
      <c r="H655" s="860"/>
      <c r="I655" s="861"/>
      <c r="J655" s="862"/>
      <c r="K655" s="859"/>
      <c r="L655" s="863"/>
      <c r="M655" s="859"/>
      <c r="N655" s="859"/>
      <c r="O655" s="752">
        <f t="shared" si="98"/>
        <v>0</v>
      </c>
      <c r="P655" s="862"/>
      <c r="Q655" s="860"/>
      <c r="R655" s="753">
        <f t="shared" si="101"/>
        <v>0</v>
      </c>
      <c r="S655" s="752">
        <f t="shared" si="102"/>
        <v>0</v>
      </c>
      <c r="T655" s="754">
        <f t="shared" si="103"/>
        <v>0</v>
      </c>
      <c r="U655" s="859"/>
      <c r="V655" s="863"/>
      <c r="W655" s="859"/>
      <c r="X655" s="859"/>
      <c r="Y655" s="755">
        <f t="shared" si="99"/>
        <v>0</v>
      </c>
      <c r="Z655" s="864"/>
      <c r="AA655" s="863"/>
      <c r="AB655" s="756">
        <f t="shared" si="100"/>
        <v>0</v>
      </c>
      <c r="AC655" s="859"/>
      <c r="AD655" s="863"/>
      <c r="AE655" s="859"/>
      <c r="AF655" s="859"/>
      <c r="AG655" s="864"/>
      <c r="AH655" s="865"/>
      <c r="AI655" s="757">
        <f t="shared" si="104"/>
        <v>0</v>
      </c>
      <c r="AJ655" s="758">
        <f t="shared" si="105"/>
        <v>0</v>
      </c>
    </row>
    <row r="656" spans="1:36" x14ac:dyDescent="0.2">
      <c r="A656" s="1197" t="s">
        <v>148</v>
      </c>
      <c r="B656" s="1096" t="s">
        <v>219</v>
      </c>
      <c r="C656" s="1208" t="s">
        <v>249</v>
      </c>
      <c r="D656" s="1207"/>
      <c r="E656" s="1099"/>
      <c r="F656" s="1100"/>
      <c r="G656" s="859"/>
      <c r="H656" s="860"/>
      <c r="I656" s="861"/>
      <c r="J656" s="862"/>
      <c r="K656" s="859"/>
      <c r="L656" s="863"/>
      <c r="M656" s="859"/>
      <c r="N656" s="859"/>
      <c r="O656" s="752">
        <f t="shared" si="98"/>
        <v>0</v>
      </c>
      <c r="P656" s="862"/>
      <c r="Q656" s="860"/>
      <c r="R656" s="753">
        <f t="shared" si="101"/>
        <v>0</v>
      </c>
      <c r="S656" s="752">
        <f t="shared" si="102"/>
        <v>0</v>
      </c>
      <c r="T656" s="754">
        <f t="shared" si="103"/>
        <v>0</v>
      </c>
      <c r="U656" s="859">
        <v>15000</v>
      </c>
      <c r="V656" s="863">
        <v>0</v>
      </c>
      <c r="W656" s="859"/>
      <c r="X656" s="859"/>
      <c r="Y656" s="755">
        <f t="shared" si="99"/>
        <v>0</v>
      </c>
      <c r="Z656" s="864"/>
      <c r="AA656" s="863"/>
      <c r="AB656" s="756">
        <f t="shared" si="100"/>
        <v>0</v>
      </c>
      <c r="AC656" s="859"/>
      <c r="AD656" s="863"/>
      <c r="AE656" s="859"/>
      <c r="AF656" s="859"/>
      <c r="AG656" s="864"/>
      <c r="AH656" s="865"/>
      <c r="AI656" s="757">
        <f t="shared" si="104"/>
        <v>15000</v>
      </c>
      <c r="AJ656" s="758">
        <f t="shared" si="105"/>
        <v>0</v>
      </c>
    </row>
    <row r="657" spans="1:36" x14ac:dyDescent="0.2">
      <c r="A657" s="1197" t="s">
        <v>148</v>
      </c>
      <c r="B657" s="1096" t="s">
        <v>292</v>
      </c>
      <c r="C657" s="1213" t="s">
        <v>1167</v>
      </c>
      <c r="D657" s="1098"/>
      <c r="E657" s="1099"/>
      <c r="F657" s="1100"/>
      <c r="G657" s="859"/>
      <c r="H657" s="860"/>
      <c r="I657" s="861"/>
      <c r="J657" s="862"/>
      <c r="K657" s="859"/>
      <c r="L657" s="863"/>
      <c r="M657" s="859"/>
      <c r="N657" s="859"/>
      <c r="O657" s="752">
        <f t="shared" si="98"/>
        <v>0</v>
      </c>
      <c r="P657" s="862"/>
      <c r="Q657" s="860"/>
      <c r="R657" s="753">
        <f t="shared" si="101"/>
        <v>0</v>
      </c>
      <c r="S657" s="752">
        <f t="shared" si="102"/>
        <v>0</v>
      </c>
      <c r="T657" s="754">
        <f t="shared" si="103"/>
        <v>0</v>
      </c>
      <c r="U657" s="859"/>
      <c r="V657" s="863"/>
      <c r="W657" s="859"/>
      <c r="X657" s="859"/>
      <c r="Y657" s="755">
        <f t="shared" si="99"/>
        <v>0</v>
      </c>
      <c r="Z657" s="864"/>
      <c r="AA657" s="863"/>
      <c r="AB657" s="756">
        <f t="shared" si="100"/>
        <v>0</v>
      </c>
      <c r="AC657" s="859"/>
      <c r="AD657" s="863"/>
      <c r="AE657" s="859"/>
      <c r="AF657" s="859"/>
      <c r="AG657" s="864"/>
      <c r="AH657" s="865"/>
      <c r="AI657" s="757">
        <f t="shared" si="104"/>
        <v>0</v>
      </c>
      <c r="AJ657" s="758">
        <f t="shared" si="105"/>
        <v>0</v>
      </c>
    </row>
    <row r="658" spans="1:36" x14ac:dyDescent="0.2">
      <c r="A658" s="1197" t="s">
        <v>148</v>
      </c>
      <c r="B658" s="1096" t="s">
        <v>209</v>
      </c>
      <c r="C658" s="1208" t="s">
        <v>250</v>
      </c>
      <c r="D658" s="1207"/>
      <c r="E658" s="1099"/>
      <c r="F658" s="1100"/>
      <c r="G658" s="859"/>
      <c r="H658" s="860"/>
      <c r="I658" s="861"/>
      <c r="J658" s="862"/>
      <c r="K658" s="859"/>
      <c r="L658" s="863"/>
      <c r="M658" s="859"/>
      <c r="N658" s="859"/>
      <c r="O658" s="752">
        <f t="shared" si="98"/>
        <v>0</v>
      </c>
      <c r="P658" s="862"/>
      <c r="Q658" s="860"/>
      <c r="R658" s="753">
        <f t="shared" si="101"/>
        <v>0</v>
      </c>
      <c r="S658" s="752">
        <f t="shared" si="102"/>
        <v>0</v>
      </c>
      <c r="T658" s="754">
        <f t="shared" si="103"/>
        <v>0</v>
      </c>
      <c r="U658" s="859"/>
      <c r="V658" s="863"/>
      <c r="W658" s="859"/>
      <c r="X658" s="859"/>
      <c r="Y658" s="755">
        <f t="shared" si="99"/>
        <v>0</v>
      </c>
      <c r="Z658" s="864"/>
      <c r="AA658" s="863"/>
      <c r="AB658" s="756">
        <f t="shared" si="100"/>
        <v>0</v>
      </c>
      <c r="AC658" s="859"/>
      <c r="AD658" s="863"/>
      <c r="AE658" s="859"/>
      <c r="AF658" s="859"/>
      <c r="AG658" s="864"/>
      <c r="AH658" s="865"/>
      <c r="AI658" s="757">
        <f t="shared" si="104"/>
        <v>0</v>
      </c>
      <c r="AJ658" s="758">
        <f t="shared" si="105"/>
        <v>0</v>
      </c>
    </row>
    <row r="659" spans="1:36" x14ac:dyDescent="0.2">
      <c r="A659" s="1197" t="s">
        <v>148</v>
      </c>
      <c r="B659" s="1096" t="s">
        <v>210</v>
      </c>
      <c r="C659" s="1208" t="s">
        <v>311</v>
      </c>
      <c r="D659" s="1207"/>
      <c r="E659" s="1099"/>
      <c r="F659" s="1100"/>
      <c r="G659" s="859"/>
      <c r="H659" s="860"/>
      <c r="I659" s="861"/>
      <c r="J659" s="862"/>
      <c r="K659" s="859"/>
      <c r="L659" s="863"/>
      <c r="M659" s="859"/>
      <c r="N659" s="859"/>
      <c r="O659" s="752">
        <f t="shared" si="98"/>
        <v>0</v>
      </c>
      <c r="P659" s="862"/>
      <c r="Q659" s="860"/>
      <c r="R659" s="753">
        <f t="shared" si="101"/>
        <v>0</v>
      </c>
      <c r="S659" s="752">
        <f t="shared" si="102"/>
        <v>0</v>
      </c>
      <c r="T659" s="754">
        <f t="shared" si="103"/>
        <v>0</v>
      </c>
      <c r="U659" s="859"/>
      <c r="V659" s="863"/>
      <c r="W659" s="859"/>
      <c r="X659" s="859"/>
      <c r="Y659" s="755">
        <f t="shared" si="99"/>
        <v>0</v>
      </c>
      <c r="Z659" s="864"/>
      <c r="AA659" s="863"/>
      <c r="AB659" s="756">
        <f t="shared" si="100"/>
        <v>0</v>
      </c>
      <c r="AC659" s="859"/>
      <c r="AD659" s="863"/>
      <c r="AE659" s="859"/>
      <c r="AF659" s="859"/>
      <c r="AG659" s="864"/>
      <c r="AH659" s="865"/>
      <c r="AI659" s="757">
        <f t="shared" si="104"/>
        <v>0</v>
      </c>
      <c r="AJ659" s="758">
        <f t="shared" si="105"/>
        <v>0</v>
      </c>
    </row>
    <row r="660" spans="1:36" x14ac:dyDescent="0.2">
      <c r="A660" s="1197" t="s">
        <v>148</v>
      </c>
      <c r="B660" s="1096" t="s">
        <v>204</v>
      </c>
      <c r="C660" s="1208" t="s">
        <v>249</v>
      </c>
      <c r="D660" s="1207"/>
      <c r="E660" s="1099"/>
      <c r="F660" s="1100"/>
      <c r="G660" s="859"/>
      <c r="H660" s="860"/>
      <c r="I660" s="861"/>
      <c r="J660" s="862"/>
      <c r="K660" s="859"/>
      <c r="L660" s="863"/>
      <c r="M660" s="859"/>
      <c r="N660" s="859"/>
      <c r="O660" s="752">
        <f t="shared" si="98"/>
        <v>0</v>
      </c>
      <c r="P660" s="862"/>
      <c r="Q660" s="860"/>
      <c r="R660" s="753">
        <f t="shared" si="101"/>
        <v>0</v>
      </c>
      <c r="S660" s="752">
        <f t="shared" si="102"/>
        <v>0</v>
      </c>
      <c r="T660" s="754">
        <f t="shared" si="103"/>
        <v>0</v>
      </c>
      <c r="U660" s="859">
        <v>51176</v>
      </c>
      <c r="V660" s="863">
        <v>45377</v>
      </c>
      <c r="W660" s="859"/>
      <c r="X660" s="859"/>
      <c r="Y660" s="755">
        <f t="shared" si="99"/>
        <v>0</v>
      </c>
      <c r="Z660" s="864"/>
      <c r="AA660" s="863"/>
      <c r="AB660" s="756">
        <f t="shared" si="100"/>
        <v>0</v>
      </c>
      <c r="AC660" s="859"/>
      <c r="AD660" s="863"/>
      <c r="AE660" s="859"/>
      <c r="AF660" s="859"/>
      <c r="AG660" s="864"/>
      <c r="AH660" s="865"/>
      <c r="AI660" s="757">
        <f t="shared" si="104"/>
        <v>51176</v>
      </c>
      <c r="AJ660" s="758">
        <f t="shared" si="105"/>
        <v>45377</v>
      </c>
    </row>
    <row r="661" spans="1:36" x14ac:dyDescent="0.2">
      <c r="A661" s="1197" t="s">
        <v>148</v>
      </c>
      <c r="B661" s="1096" t="s">
        <v>205</v>
      </c>
      <c r="C661" s="1208" t="s">
        <v>222</v>
      </c>
      <c r="D661" s="1207"/>
      <c r="E661" s="1099"/>
      <c r="F661" s="1100"/>
      <c r="G661" s="859"/>
      <c r="H661" s="860"/>
      <c r="I661" s="861"/>
      <c r="J661" s="862"/>
      <c r="K661" s="859"/>
      <c r="L661" s="863"/>
      <c r="M661" s="859"/>
      <c r="N661" s="859"/>
      <c r="O661" s="752">
        <f t="shared" si="98"/>
        <v>0</v>
      </c>
      <c r="P661" s="862"/>
      <c r="Q661" s="860"/>
      <c r="R661" s="753">
        <f t="shared" si="101"/>
        <v>0</v>
      </c>
      <c r="S661" s="752">
        <f t="shared" si="102"/>
        <v>0</v>
      </c>
      <c r="T661" s="754">
        <f t="shared" si="103"/>
        <v>0</v>
      </c>
      <c r="U661" s="859"/>
      <c r="V661" s="863"/>
      <c r="W661" s="859"/>
      <c r="X661" s="859"/>
      <c r="Y661" s="755">
        <f t="shared" si="99"/>
        <v>0</v>
      </c>
      <c r="Z661" s="864"/>
      <c r="AA661" s="863"/>
      <c r="AB661" s="756">
        <f t="shared" si="100"/>
        <v>0</v>
      </c>
      <c r="AC661" s="859"/>
      <c r="AD661" s="863"/>
      <c r="AE661" s="859"/>
      <c r="AF661" s="859"/>
      <c r="AG661" s="864"/>
      <c r="AH661" s="865"/>
      <c r="AI661" s="757">
        <f t="shared" si="104"/>
        <v>0</v>
      </c>
      <c r="AJ661" s="758">
        <f t="shared" si="105"/>
        <v>0</v>
      </c>
    </row>
    <row r="662" spans="1:36" x14ac:dyDescent="0.2">
      <c r="A662" s="1197" t="s">
        <v>148</v>
      </c>
      <c r="B662" s="1096" t="s">
        <v>218</v>
      </c>
      <c r="C662" s="1208" t="s">
        <v>311</v>
      </c>
      <c r="D662" s="1207"/>
      <c r="E662" s="1099"/>
      <c r="F662" s="1100"/>
      <c r="G662" s="859"/>
      <c r="H662" s="860"/>
      <c r="I662" s="861"/>
      <c r="J662" s="862"/>
      <c r="K662" s="859"/>
      <c r="L662" s="863"/>
      <c r="M662" s="859"/>
      <c r="N662" s="859"/>
      <c r="O662" s="752">
        <f t="shared" si="98"/>
        <v>0</v>
      </c>
      <c r="P662" s="862"/>
      <c r="Q662" s="860"/>
      <c r="R662" s="753">
        <f t="shared" si="101"/>
        <v>0</v>
      </c>
      <c r="S662" s="752">
        <f t="shared" si="102"/>
        <v>0</v>
      </c>
      <c r="T662" s="754">
        <f t="shared" si="103"/>
        <v>0</v>
      </c>
      <c r="U662" s="859"/>
      <c r="V662" s="863"/>
      <c r="W662" s="859"/>
      <c r="X662" s="859"/>
      <c r="Y662" s="755">
        <f t="shared" si="99"/>
        <v>0</v>
      </c>
      <c r="Z662" s="864"/>
      <c r="AA662" s="863"/>
      <c r="AB662" s="756">
        <f t="shared" si="100"/>
        <v>0</v>
      </c>
      <c r="AC662" s="859"/>
      <c r="AD662" s="863"/>
      <c r="AE662" s="859"/>
      <c r="AF662" s="859"/>
      <c r="AG662" s="864"/>
      <c r="AH662" s="865"/>
      <c r="AI662" s="757">
        <f t="shared" si="104"/>
        <v>0</v>
      </c>
      <c r="AJ662" s="758">
        <f t="shared" si="105"/>
        <v>0</v>
      </c>
    </row>
    <row r="663" spans="1:36" x14ac:dyDescent="0.2">
      <c r="A663" s="1197" t="s">
        <v>148</v>
      </c>
      <c r="B663" s="1096" t="s">
        <v>219</v>
      </c>
      <c r="C663" s="1208" t="s">
        <v>249</v>
      </c>
      <c r="D663" s="1207"/>
      <c r="E663" s="1099"/>
      <c r="F663" s="1100"/>
      <c r="G663" s="859"/>
      <c r="H663" s="860"/>
      <c r="I663" s="861"/>
      <c r="J663" s="862"/>
      <c r="K663" s="859"/>
      <c r="L663" s="863"/>
      <c r="M663" s="859"/>
      <c r="N663" s="859"/>
      <c r="O663" s="752">
        <f t="shared" si="98"/>
        <v>0</v>
      </c>
      <c r="P663" s="862"/>
      <c r="Q663" s="860"/>
      <c r="R663" s="753">
        <f t="shared" si="101"/>
        <v>0</v>
      </c>
      <c r="S663" s="752">
        <f t="shared" si="102"/>
        <v>0</v>
      </c>
      <c r="T663" s="754">
        <f t="shared" si="103"/>
        <v>0</v>
      </c>
      <c r="U663" s="859"/>
      <c r="V663" s="863"/>
      <c r="W663" s="859"/>
      <c r="X663" s="859"/>
      <c r="Y663" s="755">
        <f t="shared" si="99"/>
        <v>0</v>
      </c>
      <c r="Z663" s="864"/>
      <c r="AA663" s="863"/>
      <c r="AB663" s="756">
        <f t="shared" si="100"/>
        <v>0</v>
      </c>
      <c r="AC663" s="859"/>
      <c r="AD663" s="863"/>
      <c r="AE663" s="859"/>
      <c r="AF663" s="859"/>
      <c r="AG663" s="864"/>
      <c r="AH663" s="865"/>
      <c r="AI663" s="757">
        <f t="shared" si="104"/>
        <v>0</v>
      </c>
      <c r="AJ663" s="758">
        <f t="shared" si="105"/>
        <v>0</v>
      </c>
    </row>
    <row r="664" spans="1:36" x14ac:dyDescent="0.2">
      <c r="A664" s="1197" t="s">
        <v>148</v>
      </c>
      <c r="B664" s="1096" t="s">
        <v>292</v>
      </c>
      <c r="C664" s="1213" t="s">
        <v>1168</v>
      </c>
      <c r="D664" s="1098"/>
      <c r="E664" s="1099"/>
      <c r="F664" s="1100"/>
      <c r="G664" s="859"/>
      <c r="H664" s="860"/>
      <c r="I664" s="861"/>
      <c r="J664" s="862"/>
      <c r="K664" s="859"/>
      <c r="L664" s="863"/>
      <c r="M664" s="859"/>
      <c r="N664" s="859"/>
      <c r="O664" s="752">
        <f t="shared" si="98"/>
        <v>0</v>
      </c>
      <c r="P664" s="862"/>
      <c r="Q664" s="860"/>
      <c r="R664" s="753">
        <f t="shared" si="101"/>
        <v>0</v>
      </c>
      <c r="S664" s="752">
        <f t="shared" si="102"/>
        <v>0</v>
      </c>
      <c r="T664" s="754">
        <f t="shared" si="103"/>
        <v>0</v>
      </c>
      <c r="U664" s="859"/>
      <c r="V664" s="863"/>
      <c r="W664" s="859"/>
      <c r="X664" s="859"/>
      <c r="Y664" s="755">
        <f t="shared" si="99"/>
        <v>0</v>
      </c>
      <c r="Z664" s="864"/>
      <c r="AA664" s="863"/>
      <c r="AB664" s="756">
        <f t="shared" si="100"/>
        <v>0</v>
      </c>
      <c r="AC664" s="859"/>
      <c r="AD664" s="863"/>
      <c r="AE664" s="859"/>
      <c r="AF664" s="859"/>
      <c r="AG664" s="864"/>
      <c r="AH664" s="865"/>
      <c r="AI664" s="757">
        <f t="shared" si="104"/>
        <v>0</v>
      </c>
      <c r="AJ664" s="758">
        <f t="shared" si="105"/>
        <v>0</v>
      </c>
    </row>
    <row r="665" spans="1:36" x14ac:dyDescent="0.2">
      <c r="A665" s="1197" t="s">
        <v>148</v>
      </c>
      <c r="B665" s="1096" t="s">
        <v>209</v>
      </c>
      <c r="C665" s="1208" t="s">
        <v>250</v>
      </c>
      <c r="D665" s="1207"/>
      <c r="E665" s="1099"/>
      <c r="F665" s="1100"/>
      <c r="G665" s="859"/>
      <c r="H665" s="860"/>
      <c r="I665" s="861"/>
      <c r="J665" s="862"/>
      <c r="K665" s="859"/>
      <c r="L665" s="863"/>
      <c r="M665" s="859"/>
      <c r="N665" s="859"/>
      <c r="O665" s="752">
        <f t="shared" si="98"/>
        <v>0</v>
      </c>
      <c r="P665" s="862"/>
      <c r="Q665" s="860"/>
      <c r="R665" s="753">
        <f t="shared" si="101"/>
        <v>0</v>
      </c>
      <c r="S665" s="752">
        <f t="shared" si="102"/>
        <v>0</v>
      </c>
      <c r="T665" s="754">
        <f t="shared" si="103"/>
        <v>0</v>
      </c>
      <c r="U665" s="859"/>
      <c r="V665" s="863"/>
      <c r="W665" s="859"/>
      <c r="X665" s="859"/>
      <c r="Y665" s="755">
        <f t="shared" si="99"/>
        <v>0</v>
      </c>
      <c r="Z665" s="864"/>
      <c r="AA665" s="863"/>
      <c r="AB665" s="756">
        <f t="shared" si="100"/>
        <v>0</v>
      </c>
      <c r="AC665" s="859"/>
      <c r="AD665" s="863"/>
      <c r="AE665" s="859"/>
      <c r="AF665" s="859"/>
      <c r="AG665" s="864"/>
      <c r="AH665" s="865"/>
      <c r="AI665" s="757">
        <f t="shared" si="104"/>
        <v>0</v>
      </c>
      <c r="AJ665" s="758">
        <f t="shared" si="105"/>
        <v>0</v>
      </c>
    </row>
    <row r="666" spans="1:36" x14ac:dyDescent="0.2">
      <c r="A666" s="1197" t="s">
        <v>148</v>
      </c>
      <c r="B666" s="1096" t="s">
        <v>210</v>
      </c>
      <c r="C666" s="1208" t="s">
        <v>311</v>
      </c>
      <c r="D666" s="1207"/>
      <c r="E666" s="1099"/>
      <c r="F666" s="1100"/>
      <c r="G666" s="859"/>
      <c r="H666" s="860"/>
      <c r="I666" s="861"/>
      <c r="J666" s="862"/>
      <c r="K666" s="859"/>
      <c r="L666" s="863"/>
      <c r="M666" s="859"/>
      <c r="N666" s="859"/>
      <c r="O666" s="752">
        <f t="shared" si="98"/>
        <v>0</v>
      </c>
      <c r="P666" s="862"/>
      <c r="Q666" s="860"/>
      <c r="R666" s="753">
        <f t="shared" si="101"/>
        <v>0</v>
      </c>
      <c r="S666" s="752">
        <f t="shared" si="102"/>
        <v>0</v>
      </c>
      <c r="T666" s="754">
        <f t="shared" si="103"/>
        <v>0</v>
      </c>
      <c r="U666" s="859"/>
      <c r="V666" s="863"/>
      <c r="W666" s="859"/>
      <c r="X666" s="859"/>
      <c r="Y666" s="755">
        <f t="shared" si="99"/>
        <v>0</v>
      </c>
      <c r="Z666" s="864"/>
      <c r="AA666" s="863"/>
      <c r="AB666" s="756">
        <f t="shared" si="100"/>
        <v>0</v>
      </c>
      <c r="AC666" s="859"/>
      <c r="AD666" s="863"/>
      <c r="AE666" s="859"/>
      <c r="AF666" s="859"/>
      <c r="AG666" s="864"/>
      <c r="AH666" s="865"/>
      <c r="AI666" s="757">
        <f t="shared" si="104"/>
        <v>0</v>
      </c>
      <c r="AJ666" s="758">
        <f t="shared" si="105"/>
        <v>0</v>
      </c>
    </row>
    <row r="667" spans="1:36" x14ac:dyDescent="0.2">
      <c r="A667" s="1197" t="s">
        <v>148</v>
      </c>
      <c r="B667" s="1096" t="s">
        <v>204</v>
      </c>
      <c r="C667" s="1208" t="s">
        <v>249</v>
      </c>
      <c r="D667" s="1207"/>
      <c r="E667" s="1099"/>
      <c r="F667" s="1100"/>
      <c r="G667" s="859"/>
      <c r="H667" s="860"/>
      <c r="I667" s="861"/>
      <c r="J667" s="862"/>
      <c r="K667" s="859"/>
      <c r="L667" s="863"/>
      <c r="M667" s="859"/>
      <c r="N667" s="859"/>
      <c r="O667" s="752">
        <f t="shared" si="98"/>
        <v>0</v>
      </c>
      <c r="P667" s="862"/>
      <c r="Q667" s="860"/>
      <c r="R667" s="753">
        <f t="shared" si="101"/>
        <v>0</v>
      </c>
      <c r="S667" s="752">
        <f t="shared" si="102"/>
        <v>0</v>
      </c>
      <c r="T667" s="754">
        <f t="shared" si="103"/>
        <v>0</v>
      </c>
      <c r="U667" s="859"/>
      <c r="V667" s="863"/>
      <c r="W667" s="859"/>
      <c r="X667" s="859"/>
      <c r="Y667" s="755">
        <f t="shared" si="99"/>
        <v>0</v>
      </c>
      <c r="Z667" s="864"/>
      <c r="AA667" s="863"/>
      <c r="AB667" s="756">
        <f t="shared" si="100"/>
        <v>0</v>
      </c>
      <c r="AC667" s="859"/>
      <c r="AD667" s="863"/>
      <c r="AE667" s="859"/>
      <c r="AF667" s="859"/>
      <c r="AG667" s="864"/>
      <c r="AH667" s="865"/>
      <c r="AI667" s="757">
        <f t="shared" si="104"/>
        <v>0</v>
      </c>
      <c r="AJ667" s="758">
        <f t="shared" si="105"/>
        <v>0</v>
      </c>
    </row>
    <row r="668" spans="1:36" x14ac:dyDescent="0.2">
      <c r="A668" s="1197" t="s">
        <v>148</v>
      </c>
      <c r="B668" s="1096" t="s">
        <v>205</v>
      </c>
      <c r="C668" s="1208" t="s">
        <v>222</v>
      </c>
      <c r="D668" s="1207"/>
      <c r="E668" s="1099"/>
      <c r="F668" s="1100"/>
      <c r="G668" s="859"/>
      <c r="H668" s="860"/>
      <c r="I668" s="861"/>
      <c r="J668" s="862"/>
      <c r="K668" s="859"/>
      <c r="L668" s="863"/>
      <c r="M668" s="859"/>
      <c r="N668" s="859"/>
      <c r="O668" s="752">
        <f t="shared" si="98"/>
        <v>0</v>
      </c>
      <c r="P668" s="862"/>
      <c r="Q668" s="860"/>
      <c r="R668" s="753">
        <f t="shared" si="101"/>
        <v>0</v>
      </c>
      <c r="S668" s="752">
        <f t="shared" si="102"/>
        <v>0</v>
      </c>
      <c r="T668" s="754">
        <f t="shared" si="103"/>
        <v>0</v>
      </c>
      <c r="U668" s="859"/>
      <c r="V668" s="863"/>
      <c r="W668" s="859"/>
      <c r="X668" s="859"/>
      <c r="Y668" s="755">
        <f t="shared" si="99"/>
        <v>0</v>
      </c>
      <c r="Z668" s="864"/>
      <c r="AA668" s="863"/>
      <c r="AB668" s="756">
        <f t="shared" si="100"/>
        <v>0</v>
      </c>
      <c r="AC668" s="859"/>
      <c r="AD668" s="863"/>
      <c r="AE668" s="859"/>
      <c r="AF668" s="859"/>
      <c r="AG668" s="864"/>
      <c r="AH668" s="865"/>
      <c r="AI668" s="757">
        <f t="shared" si="104"/>
        <v>0</v>
      </c>
      <c r="AJ668" s="758">
        <f t="shared" si="105"/>
        <v>0</v>
      </c>
    </row>
    <row r="669" spans="1:36" x14ac:dyDescent="0.2">
      <c r="A669" s="1197" t="s">
        <v>148</v>
      </c>
      <c r="B669" s="1096" t="s">
        <v>218</v>
      </c>
      <c r="C669" s="1208" t="s">
        <v>311</v>
      </c>
      <c r="D669" s="1207"/>
      <c r="E669" s="1099"/>
      <c r="F669" s="1100"/>
      <c r="G669" s="859"/>
      <c r="H669" s="860"/>
      <c r="I669" s="861"/>
      <c r="J669" s="862"/>
      <c r="K669" s="859"/>
      <c r="L669" s="863"/>
      <c r="M669" s="859"/>
      <c r="N669" s="859"/>
      <c r="O669" s="752">
        <f t="shared" si="98"/>
        <v>0</v>
      </c>
      <c r="P669" s="862"/>
      <c r="Q669" s="860"/>
      <c r="R669" s="753">
        <f t="shared" si="101"/>
        <v>0</v>
      </c>
      <c r="S669" s="752">
        <f t="shared" si="102"/>
        <v>0</v>
      </c>
      <c r="T669" s="754">
        <f t="shared" si="103"/>
        <v>0</v>
      </c>
      <c r="U669" s="859"/>
      <c r="V669" s="863"/>
      <c r="W669" s="859"/>
      <c r="X669" s="859"/>
      <c r="Y669" s="755">
        <f t="shared" si="99"/>
        <v>0</v>
      </c>
      <c r="Z669" s="864"/>
      <c r="AA669" s="863"/>
      <c r="AB669" s="756">
        <f t="shared" si="100"/>
        <v>0</v>
      </c>
      <c r="AC669" s="859"/>
      <c r="AD669" s="863"/>
      <c r="AE669" s="859"/>
      <c r="AF669" s="859"/>
      <c r="AG669" s="864"/>
      <c r="AH669" s="865"/>
      <c r="AI669" s="757">
        <f t="shared" si="104"/>
        <v>0</v>
      </c>
      <c r="AJ669" s="758">
        <f t="shared" si="105"/>
        <v>0</v>
      </c>
    </row>
    <row r="670" spans="1:36" x14ac:dyDescent="0.2">
      <c r="A670" s="1197" t="s">
        <v>148</v>
      </c>
      <c r="B670" s="1096" t="s">
        <v>219</v>
      </c>
      <c r="C670" s="1208" t="s">
        <v>249</v>
      </c>
      <c r="D670" s="1207"/>
      <c r="E670" s="1099"/>
      <c r="F670" s="1100"/>
      <c r="G670" s="859"/>
      <c r="H670" s="860"/>
      <c r="I670" s="861"/>
      <c r="J670" s="862"/>
      <c r="K670" s="859"/>
      <c r="L670" s="863"/>
      <c r="M670" s="859"/>
      <c r="N670" s="859"/>
      <c r="O670" s="752">
        <f t="shared" si="98"/>
        <v>0</v>
      </c>
      <c r="P670" s="862"/>
      <c r="Q670" s="860"/>
      <c r="R670" s="753">
        <f t="shared" si="101"/>
        <v>0</v>
      </c>
      <c r="S670" s="752">
        <f t="shared" si="102"/>
        <v>0</v>
      </c>
      <c r="T670" s="754">
        <f t="shared" si="103"/>
        <v>0</v>
      </c>
      <c r="U670" s="859"/>
      <c r="V670" s="863"/>
      <c r="W670" s="859"/>
      <c r="X670" s="859"/>
      <c r="Y670" s="755">
        <f t="shared" si="99"/>
        <v>0</v>
      </c>
      <c r="Z670" s="864"/>
      <c r="AA670" s="863"/>
      <c r="AB670" s="756">
        <f t="shared" si="100"/>
        <v>0</v>
      </c>
      <c r="AC670" s="859"/>
      <c r="AD670" s="863"/>
      <c r="AE670" s="859"/>
      <c r="AF670" s="859"/>
      <c r="AG670" s="864"/>
      <c r="AH670" s="865"/>
      <c r="AI670" s="757">
        <f t="shared" si="104"/>
        <v>0</v>
      </c>
      <c r="AJ670" s="758">
        <f t="shared" si="105"/>
        <v>0</v>
      </c>
    </row>
    <row r="671" spans="1:36" x14ac:dyDescent="0.2">
      <c r="A671" s="1197" t="s">
        <v>148</v>
      </c>
      <c r="B671" s="1096" t="s">
        <v>292</v>
      </c>
      <c r="C671" s="1213" t="s">
        <v>1169</v>
      </c>
      <c r="D671" s="1098"/>
      <c r="E671" s="1099"/>
      <c r="F671" s="1100"/>
      <c r="G671" s="859"/>
      <c r="H671" s="860"/>
      <c r="I671" s="861"/>
      <c r="J671" s="862"/>
      <c r="K671" s="859"/>
      <c r="L671" s="863"/>
      <c r="M671" s="859"/>
      <c r="N671" s="859"/>
      <c r="O671" s="752">
        <f t="shared" si="98"/>
        <v>0</v>
      </c>
      <c r="P671" s="862"/>
      <c r="Q671" s="860"/>
      <c r="R671" s="753">
        <f t="shared" si="101"/>
        <v>0</v>
      </c>
      <c r="S671" s="752">
        <f t="shared" si="102"/>
        <v>0</v>
      </c>
      <c r="T671" s="754">
        <f t="shared" si="103"/>
        <v>0</v>
      </c>
      <c r="U671" s="859"/>
      <c r="V671" s="863"/>
      <c r="W671" s="859"/>
      <c r="X671" s="859"/>
      <c r="Y671" s="755">
        <f t="shared" si="99"/>
        <v>0</v>
      </c>
      <c r="Z671" s="864"/>
      <c r="AA671" s="863"/>
      <c r="AB671" s="756">
        <f t="shared" si="100"/>
        <v>0</v>
      </c>
      <c r="AC671" s="859"/>
      <c r="AD671" s="863"/>
      <c r="AE671" s="859"/>
      <c r="AF671" s="859"/>
      <c r="AG671" s="864"/>
      <c r="AH671" s="865"/>
      <c r="AI671" s="757">
        <f t="shared" si="104"/>
        <v>0</v>
      </c>
      <c r="AJ671" s="758">
        <f t="shared" si="105"/>
        <v>0</v>
      </c>
    </row>
    <row r="672" spans="1:36" x14ac:dyDescent="0.2">
      <c r="A672" s="1197" t="s">
        <v>148</v>
      </c>
      <c r="B672" s="1096" t="s">
        <v>209</v>
      </c>
      <c r="C672" s="1208" t="s">
        <v>250</v>
      </c>
      <c r="D672" s="1207"/>
      <c r="E672" s="1099"/>
      <c r="F672" s="1100"/>
      <c r="G672" s="859"/>
      <c r="H672" s="860"/>
      <c r="I672" s="861"/>
      <c r="J672" s="862"/>
      <c r="K672" s="859"/>
      <c r="L672" s="863"/>
      <c r="M672" s="859"/>
      <c r="N672" s="859"/>
      <c r="O672" s="752">
        <f t="shared" si="98"/>
        <v>0</v>
      </c>
      <c r="P672" s="862"/>
      <c r="Q672" s="860"/>
      <c r="R672" s="753">
        <f t="shared" si="101"/>
        <v>0</v>
      </c>
      <c r="S672" s="752">
        <f t="shared" si="102"/>
        <v>0</v>
      </c>
      <c r="T672" s="754">
        <f t="shared" si="103"/>
        <v>0</v>
      </c>
      <c r="U672" s="859"/>
      <c r="V672" s="863"/>
      <c r="W672" s="859"/>
      <c r="X672" s="859"/>
      <c r="Y672" s="755">
        <f t="shared" si="99"/>
        <v>0</v>
      </c>
      <c r="Z672" s="864"/>
      <c r="AA672" s="863"/>
      <c r="AB672" s="756">
        <f t="shared" si="100"/>
        <v>0</v>
      </c>
      <c r="AC672" s="859"/>
      <c r="AD672" s="863"/>
      <c r="AE672" s="859"/>
      <c r="AF672" s="859"/>
      <c r="AG672" s="864"/>
      <c r="AH672" s="865"/>
      <c r="AI672" s="757">
        <f t="shared" si="104"/>
        <v>0</v>
      </c>
      <c r="AJ672" s="758">
        <f t="shared" si="105"/>
        <v>0</v>
      </c>
    </row>
    <row r="673" spans="1:36" x14ac:dyDescent="0.2">
      <c r="A673" s="1197" t="s">
        <v>148</v>
      </c>
      <c r="B673" s="1096" t="s">
        <v>210</v>
      </c>
      <c r="C673" s="1208" t="s">
        <v>311</v>
      </c>
      <c r="D673" s="1207"/>
      <c r="E673" s="1099"/>
      <c r="F673" s="1100"/>
      <c r="G673" s="859"/>
      <c r="H673" s="860"/>
      <c r="I673" s="861"/>
      <c r="J673" s="862"/>
      <c r="K673" s="859"/>
      <c r="L673" s="863"/>
      <c r="M673" s="859"/>
      <c r="N673" s="859"/>
      <c r="O673" s="752">
        <f t="shared" si="98"/>
        <v>0</v>
      </c>
      <c r="P673" s="862"/>
      <c r="Q673" s="860"/>
      <c r="R673" s="753">
        <f t="shared" si="101"/>
        <v>0</v>
      </c>
      <c r="S673" s="752">
        <f t="shared" si="102"/>
        <v>0</v>
      </c>
      <c r="T673" s="754">
        <f t="shared" si="103"/>
        <v>0</v>
      </c>
      <c r="U673" s="859"/>
      <c r="V673" s="863"/>
      <c r="W673" s="859"/>
      <c r="X673" s="859"/>
      <c r="Y673" s="755">
        <f t="shared" si="99"/>
        <v>0</v>
      </c>
      <c r="Z673" s="864"/>
      <c r="AA673" s="863"/>
      <c r="AB673" s="756">
        <f t="shared" si="100"/>
        <v>0</v>
      </c>
      <c r="AC673" s="859"/>
      <c r="AD673" s="863"/>
      <c r="AE673" s="859"/>
      <c r="AF673" s="859"/>
      <c r="AG673" s="864"/>
      <c r="AH673" s="865"/>
      <c r="AI673" s="757">
        <f t="shared" si="104"/>
        <v>0</v>
      </c>
      <c r="AJ673" s="758">
        <f t="shared" si="105"/>
        <v>0</v>
      </c>
    </row>
    <row r="674" spans="1:36" x14ac:dyDescent="0.2">
      <c r="A674" s="1197" t="s">
        <v>148</v>
      </c>
      <c r="B674" s="1096" t="s">
        <v>204</v>
      </c>
      <c r="C674" s="1208" t="s">
        <v>249</v>
      </c>
      <c r="D674" s="1207"/>
      <c r="E674" s="1099"/>
      <c r="F674" s="1100"/>
      <c r="G674" s="859"/>
      <c r="H674" s="860"/>
      <c r="I674" s="861"/>
      <c r="J674" s="862"/>
      <c r="K674" s="859"/>
      <c r="L674" s="863"/>
      <c r="M674" s="859"/>
      <c r="N674" s="859"/>
      <c r="O674" s="752">
        <f t="shared" si="98"/>
        <v>0</v>
      </c>
      <c r="P674" s="862"/>
      <c r="Q674" s="860"/>
      <c r="R674" s="753">
        <f t="shared" si="101"/>
        <v>0</v>
      </c>
      <c r="S674" s="752">
        <f t="shared" si="102"/>
        <v>0</v>
      </c>
      <c r="T674" s="754">
        <f t="shared" si="103"/>
        <v>0</v>
      </c>
      <c r="U674" s="859">
        <v>131247</v>
      </c>
      <c r="V674" s="863">
        <v>111423</v>
      </c>
      <c r="W674" s="859"/>
      <c r="X674" s="859"/>
      <c r="Y674" s="755">
        <f t="shared" si="99"/>
        <v>0</v>
      </c>
      <c r="Z674" s="864"/>
      <c r="AA674" s="863"/>
      <c r="AB674" s="756">
        <f t="shared" si="100"/>
        <v>0</v>
      </c>
      <c r="AC674" s="859"/>
      <c r="AD674" s="863"/>
      <c r="AE674" s="859"/>
      <c r="AF674" s="859"/>
      <c r="AG674" s="864"/>
      <c r="AH674" s="865"/>
      <c r="AI674" s="757">
        <f t="shared" si="104"/>
        <v>131247</v>
      </c>
      <c r="AJ674" s="758">
        <f t="shared" si="105"/>
        <v>111423</v>
      </c>
    </row>
    <row r="675" spans="1:36" x14ac:dyDescent="0.2">
      <c r="A675" s="1197" t="s">
        <v>148</v>
      </c>
      <c r="B675" s="1096" t="s">
        <v>205</v>
      </c>
      <c r="C675" s="1208" t="s">
        <v>222</v>
      </c>
      <c r="D675" s="1207"/>
      <c r="E675" s="1099"/>
      <c r="F675" s="1100"/>
      <c r="G675" s="859"/>
      <c r="H675" s="860"/>
      <c r="I675" s="861"/>
      <c r="J675" s="862"/>
      <c r="K675" s="859"/>
      <c r="L675" s="863"/>
      <c r="M675" s="859"/>
      <c r="N675" s="859"/>
      <c r="O675" s="752">
        <f t="shared" si="98"/>
        <v>0</v>
      </c>
      <c r="P675" s="862"/>
      <c r="Q675" s="860"/>
      <c r="R675" s="753">
        <f t="shared" si="101"/>
        <v>0</v>
      </c>
      <c r="S675" s="752">
        <f t="shared" si="102"/>
        <v>0</v>
      </c>
      <c r="T675" s="754">
        <f t="shared" si="103"/>
        <v>0</v>
      </c>
      <c r="U675" s="859"/>
      <c r="V675" s="863"/>
      <c r="W675" s="859"/>
      <c r="X675" s="859"/>
      <c r="Y675" s="755">
        <f t="shared" si="99"/>
        <v>0</v>
      </c>
      <c r="Z675" s="864"/>
      <c r="AA675" s="863"/>
      <c r="AB675" s="756">
        <f t="shared" si="100"/>
        <v>0</v>
      </c>
      <c r="AC675" s="859"/>
      <c r="AD675" s="863"/>
      <c r="AE675" s="859"/>
      <c r="AF675" s="859"/>
      <c r="AG675" s="864"/>
      <c r="AH675" s="865"/>
      <c r="AI675" s="757">
        <f t="shared" si="104"/>
        <v>0</v>
      </c>
      <c r="AJ675" s="758">
        <f t="shared" si="105"/>
        <v>0</v>
      </c>
    </row>
    <row r="676" spans="1:36" x14ac:dyDescent="0.2">
      <c r="A676" s="1197" t="s">
        <v>148</v>
      </c>
      <c r="B676" s="1096" t="s">
        <v>218</v>
      </c>
      <c r="C676" s="1208" t="s">
        <v>311</v>
      </c>
      <c r="D676" s="1207"/>
      <c r="E676" s="1099"/>
      <c r="F676" s="1100"/>
      <c r="G676" s="859"/>
      <c r="H676" s="860"/>
      <c r="I676" s="861"/>
      <c r="J676" s="862"/>
      <c r="K676" s="859"/>
      <c r="L676" s="863"/>
      <c r="M676" s="859"/>
      <c r="N676" s="859"/>
      <c r="O676" s="752">
        <f t="shared" si="98"/>
        <v>0</v>
      </c>
      <c r="P676" s="862"/>
      <c r="Q676" s="860"/>
      <c r="R676" s="753">
        <f t="shared" si="101"/>
        <v>0</v>
      </c>
      <c r="S676" s="752">
        <f t="shared" si="102"/>
        <v>0</v>
      </c>
      <c r="T676" s="754">
        <f t="shared" si="103"/>
        <v>0</v>
      </c>
      <c r="U676" s="859"/>
      <c r="V676" s="863"/>
      <c r="W676" s="859"/>
      <c r="X676" s="859"/>
      <c r="Y676" s="755">
        <f t="shared" si="99"/>
        <v>0</v>
      </c>
      <c r="Z676" s="864"/>
      <c r="AA676" s="863"/>
      <c r="AB676" s="756">
        <f t="shared" si="100"/>
        <v>0</v>
      </c>
      <c r="AC676" s="859"/>
      <c r="AD676" s="863"/>
      <c r="AE676" s="859"/>
      <c r="AF676" s="859"/>
      <c r="AG676" s="864"/>
      <c r="AH676" s="865"/>
      <c r="AI676" s="757">
        <f t="shared" si="104"/>
        <v>0</v>
      </c>
      <c r="AJ676" s="758">
        <f t="shared" si="105"/>
        <v>0</v>
      </c>
    </row>
    <row r="677" spans="1:36" x14ac:dyDescent="0.2">
      <c r="A677" s="1197" t="s">
        <v>148</v>
      </c>
      <c r="B677" s="1096" t="s">
        <v>219</v>
      </c>
      <c r="C677" s="1208" t="s">
        <v>249</v>
      </c>
      <c r="D677" s="1207"/>
      <c r="E677" s="1099"/>
      <c r="F677" s="1100"/>
      <c r="G677" s="859"/>
      <c r="H677" s="860"/>
      <c r="I677" s="861"/>
      <c r="J677" s="862"/>
      <c r="K677" s="859"/>
      <c r="L677" s="863"/>
      <c r="M677" s="859"/>
      <c r="N677" s="859"/>
      <c r="O677" s="752">
        <f t="shared" si="98"/>
        <v>0</v>
      </c>
      <c r="P677" s="862"/>
      <c r="Q677" s="860"/>
      <c r="R677" s="753">
        <f t="shared" si="101"/>
        <v>0</v>
      </c>
      <c r="S677" s="752">
        <f t="shared" si="102"/>
        <v>0</v>
      </c>
      <c r="T677" s="754">
        <f t="shared" si="103"/>
        <v>0</v>
      </c>
      <c r="U677" s="859"/>
      <c r="V677" s="863"/>
      <c r="W677" s="859"/>
      <c r="X677" s="859"/>
      <c r="Y677" s="755">
        <f t="shared" si="99"/>
        <v>0</v>
      </c>
      <c r="Z677" s="864"/>
      <c r="AA677" s="863"/>
      <c r="AB677" s="756">
        <f t="shared" si="100"/>
        <v>0</v>
      </c>
      <c r="AC677" s="859"/>
      <c r="AD677" s="863"/>
      <c r="AE677" s="859"/>
      <c r="AF677" s="859"/>
      <c r="AG677" s="864"/>
      <c r="AH677" s="865"/>
      <c r="AI677" s="757">
        <f t="shared" si="104"/>
        <v>0</v>
      </c>
      <c r="AJ677" s="758">
        <f t="shared" si="105"/>
        <v>0</v>
      </c>
    </row>
    <row r="678" spans="1:36" x14ac:dyDescent="0.2">
      <c r="A678" s="1197" t="s">
        <v>148</v>
      </c>
      <c r="B678" s="1096" t="s">
        <v>292</v>
      </c>
      <c r="C678" s="1213" t="s">
        <v>1170</v>
      </c>
      <c r="D678" s="1098"/>
      <c r="E678" s="1099"/>
      <c r="F678" s="1100"/>
      <c r="G678" s="859"/>
      <c r="H678" s="860"/>
      <c r="I678" s="861"/>
      <c r="J678" s="862"/>
      <c r="K678" s="859"/>
      <c r="L678" s="863"/>
      <c r="M678" s="859"/>
      <c r="N678" s="859"/>
      <c r="O678" s="752">
        <f t="shared" si="98"/>
        <v>0</v>
      </c>
      <c r="P678" s="862"/>
      <c r="Q678" s="860"/>
      <c r="R678" s="753">
        <f t="shared" si="101"/>
        <v>0</v>
      </c>
      <c r="S678" s="752">
        <f t="shared" si="102"/>
        <v>0</v>
      </c>
      <c r="T678" s="754">
        <f t="shared" si="103"/>
        <v>0</v>
      </c>
      <c r="U678" s="859"/>
      <c r="V678" s="863"/>
      <c r="W678" s="859"/>
      <c r="X678" s="859"/>
      <c r="Y678" s="755">
        <f t="shared" si="99"/>
        <v>0</v>
      </c>
      <c r="Z678" s="864"/>
      <c r="AA678" s="863"/>
      <c r="AB678" s="756">
        <f t="shared" si="100"/>
        <v>0</v>
      </c>
      <c r="AC678" s="859"/>
      <c r="AD678" s="863"/>
      <c r="AE678" s="859"/>
      <c r="AF678" s="859"/>
      <c r="AG678" s="864"/>
      <c r="AH678" s="865"/>
      <c r="AI678" s="757">
        <f t="shared" si="104"/>
        <v>0</v>
      </c>
      <c r="AJ678" s="758">
        <f t="shared" si="105"/>
        <v>0</v>
      </c>
    </row>
    <row r="679" spans="1:36" x14ac:dyDescent="0.2">
      <c r="A679" s="1197" t="s">
        <v>148</v>
      </c>
      <c r="B679" s="1096" t="s">
        <v>209</v>
      </c>
      <c r="C679" s="1208" t="s">
        <v>250</v>
      </c>
      <c r="D679" s="1207"/>
      <c r="E679" s="1099"/>
      <c r="F679" s="1100"/>
      <c r="G679" s="859"/>
      <c r="H679" s="860"/>
      <c r="I679" s="861"/>
      <c r="J679" s="862"/>
      <c r="K679" s="859"/>
      <c r="L679" s="863"/>
      <c r="M679" s="859"/>
      <c r="N679" s="859"/>
      <c r="O679" s="752">
        <f t="shared" si="98"/>
        <v>0</v>
      </c>
      <c r="P679" s="862"/>
      <c r="Q679" s="860"/>
      <c r="R679" s="753">
        <f t="shared" si="101"/>
        <v>0</v>
      </c>
      <c r="S679" s="752">
        <f t="shared" si="102"/>
        <v>0</v>
      </c>
      <c r="T679" s="754">
        <f t="shared" si="103"/>
        <v>0</v>
      </c>
      <c r="U679" s="859"/>
      <c r="V679" s="863"/>
      <c r="W679" s="859"/>
      <c r="X679" s="859"/>
      <c r="Y679" s="755">
        <f t="shared" si="99"/>
        <v>0</v>
      </c>
      <c r="Z679" s="864"/>
      <c r="AA679" s="863"/>
      <c r="AB679" s="756">
        <f t="shared" si="100"/>
        <v>0</v>
      </c>
      <c r="AC679" s="859"/>
      <c r="AD679" s="863"/>
      <c r="AE679" s="859"/>
      <c r="AF679" s="859"/>
      <c r="AG679" s="864"/>
      <c r="AH679" s="865"/>
      <c r="AI679" s="757">
        <f t="shared" si="104"/>
        <v>0</v>
      </c>
      <c r="AJ679" s="758">
        <f t="shared" si="105"/>
        <v>0</v>
      </c>
    </row>
    <row r="680" spans="1:36" x14ac:dyDescent="0.2">
      <c r="A680" s="1197" t="s">
        <v>148</v>
      </c>
      <c r="B680" s="1096" t="s">
        <v>210</v>
      </c>
      <c r="C680" s="1208" t="s">
        <v>311</v>
      </c>
      <c r="D680" s="1207"/>
      <c r="E680" s="1099"/>
      <c r="F680" s="1100"/>
      <c r="G680" s="859"/>
      <c r="H680" s="860"/>
      <c r="I680" s="861"/>
      <c r="J680" s="862"/>
      <c r="K680" s="859"/>
      <c r="L680" s="863"/>
      <c r="M680" s="859"/>
      <c r="N680" s="859"/>
      <c r="O680" s="752">
        <f t="shared" si="98"/>
        <v>0</v>
      </c>
      <c r="P680" s="862"/>
      <c r="Q680" s="860"/>
      <c r="R680" s="753">
        <f t="shared" si="101"/>
        <v>0</v>
      </c>
      <c r="S680" s="752">
        <f t="shared" si="102"/>
        <v>0</v>
      </c>
      <c r="T680" s="754">
        <f t="shared" si="103"/>
        <v>0</v>
      </c>
      <c r="U680" s="859">
        <v>83105</v>
      </c>
      <c r="V680" s="863">
        <v>75562</v>
      </c>
      <c r="W680" s="859"/>
      <c r="X680" s="859"/>
      <c r="Y680" s="755">
        <f t="shared" si="99"/>
        <v>0</v>
      </c>
      <c r="Z680" s="864"/>
      <c r="AA680" s="863"/>
      <c r="AB680" s="756">
        <f t="shared" si="100"/>
        <v>0</v>
      </c>
      <c r="AC680" s="859"/>
      <c r="AD680" s="863"/>
      <c r="AE680" s="859"/>
      <c r="AF680" s="859"/>
      <c r="AG680" s="864"/>
      <c r="AH680" s="865"/>
      <c r="AI680" s="757">
        <f t="shared" si="104"/>
        <v>83105</v>
      </c>
      <c r="AJ680" s="758">
        <f t="shared" si="105"/>
        <v>75562</v>
      </c>
    </row>
    <row r="681" spans="1:36" x14ac:dyDescent="0.2">
      <c r="A681" s="1197" t="s">
        <v>148</v>
      </c>
      <c r="B681" s="1096" t="s">
        <v>204</v>
      </c>
      <c r="C681" s="1208" t="s">
        <v>249</v>
      </c>
      <c r="D681" s="1207"/>
      <c r="E681" s="1099"/>
      <c r="F681" s="1100"/>
      <c r="G681" s="859"/>
      <c r="H681" s="860"/>
      <c r="I681" s="861"/>
      <c r="J681" s="862"/>
      <c r="K681" s="859"/>
      <c r="L681" s="863"/>
      <c r="M681" s="859"/>
      <c r="N681" s="859"/>
      <c r="O681" s="752">
        <f t="shared" si="98"/>
        <v>0</v>
      </c>
      <c r="P681" s="862"/>
      <c r="Q681" s="860"/>
      <c r="R681" s="753">
        <f t="shared" si="101"/>
        <v>0</v>
      </c>
      <c r="S681" s="752">
        <f t="shared" si="102"/>
        <v>0</v>
      </c>
      <c r="T681" s="754">
        <f t="shared" si="103"/>
        <v>0</v>
      </c>
      <c r="U681" s="859"/>
      <c r="V681" s="863"/>
      <c r="W681" s="859"/>
      <c r="X681" s="859"/>
      <c r="Y681" s="755">
        <f t="shared" si="99"/>
        <v>0</v>
      </c>
      <c r="Z681" s="864"/>
      <c r="AA681" s="863"/>
      <c r="AB681" s="756">
        <f t="shared" si="100"/>
        <v>0</v>
      </c>
      <c r="AC681" s="859"/>
      <c r="AD681" s="863"/>
      <c r="AE681" s="859"/>
      <c r="AF681" s="859"/>
      <c r="AG681" s="864"/>
      <c r="AH681" s="865"/>
      <c r="AI681" s="757">
        <f t="shared" si="104"/>
        <v>0</v>
      </c>
      <c r="AJ681" s="758">
        <f t="shared" si="105"/>
        <v>0</v>
      </c>
    </row>
    <row r="682" spans="1:36" x14ac:dyDescent="0.2">
      <c r="A682" s="1197" t="s">
        <v>148</v>
      </c>
      <c r="B682" s="1096" t="s">
        <v>205</v>
      </c>
      <c r="C682" s="1208" t="s">
        <v>222</v>
      </c>
      <c r="D682" s="1207"/>
      <c r="E682" s="1099"/>
      <c r="F682" s="1100"/>
      <c r="G682" s="859"/>
      <c r="H682" s="860"/>
      <c r="I682" s="861"/>
      <c r="J682" s="862"/>
      <c r="K682" s="859"/>
      <c r="L682" s="863"/>
      <c r="M682" s="859"/>
      <c r="N682" s="859"/>
      <c r="O682" s="752">
        <f t="shared" si="98"/>
        <v>0</v>
      </c>
      <c r="P682" s="862"/>
      <c r="Q682" s="860"/>
      <c r="R682" s="753">
        <f t="shared" si="101"/>
        <v>0</v>
      </c>
      <c r="S682" s="752">
        <f t="shared" si="102"/>
        <v>0</v>
      </c>
      <c r="T682" s="754">
        <f t="shared" si="103"/>
        <v>0</v>
      </c>
      <c r="U682" s="859"/>
      <c r="V682" s="863"/>
      <c r="W682" s="859"/>
      <c r="X682" s="859"/>
      <c r="Y682" s="755">
        <f t="shared" si="99"/>
        <v>0</v>
      </c>
      <c r="Z682" s="864"/>
      <c r="AA682" s="863"/>
      <c r="AB682" s="756">
        <f t="shared" si="100"/>
        <v>0</v>
      </c>
      <c r="AC682" s="859"/>
      <c r="AD682" s="863"/>
      <c r="AE682" s="859"/>
      <c r="AF682" s="859"/>
      <c r="AG682" s="864"/>
      <c r="AH682" s="865"/>
      <c r="AI682" s="757">
        <f t="shared" si="104"/>
        <v>0</v>
      </c>
      <c r="AJ682" s="758">
        <f t="shared" si="105"/>
        <v>0</v>
      </c>
    </row>
    <row r="683" spans="1:36" x14ac:dyDescent="0.2">
      <c r="A683" s="1197" t="s">
        <v>148</v>
      </c>
      <c r="B683" s="1096" t="s">
        <v>218</v>
      </c>
      <c r="C683" s="1208" t="s">
        <v>311</v>
      </c>
      <c r="D683" s="1207"/>
      <c r="E683" s="1099"/>
      <c r="F683" s="1100"/>
      <c r="G683" s="859"/>
      <c r="H683" s="860"/>
      <c r="I683" s="861"/>
      <c r="J683" s="862"/>
      <c r="K683" s="859"/>
      <c r="L683" s="863"/>
      <c r="M683" s="859"/>
      <c r="N683" s="859"/>
      <c r="O683" s="752">
        <f t="shared" si="98"/>
        <v>0</v>
      </c>
      <c r="P683" s="862"/>
      <c r="Q683" s="860"/>
      <c r="R683" s="753">
        <f t="shared" si="101"/>
        <v>0</v>
      </c>
      <c r="S683" s="752">
        <f t="shared" si="102"/>
        <v>0</v>
      </c>
      <c r="T683" s="754">
        <f t="shared" si="103"/>
        <v>0</v>
      </c>
      <c r="U683" s="859">
        <v>1241</v>
      </c>
      <c r="V683" s="863">
        <v>1124</v>
      </c>
      <c r="W683" s="859"/>
      <c r="X683" s="859"/>
      <c r="Y683" s="755">
        <f t="shared" si="99"/>
        <v>0</v>
      </c>
      <c r="Z683" s="864"/>
      <c r="AA683" s="863"/>
      <c r="AB683" s="756">
        <f t="shared" si="100"/>
        <v>0</v>
      </c>
      <c r="AC683" s="859"/>
      <c r="AD683" s="863"/>
      <c r="AE683" s="859"/>
      <c r="AF683" s="859"/>
      <c r="AG683" s="864"/>
      <c r="AH683" s="865"/>
      <c r="AI683" s="757">
        <f t="shared" si="104"/>
        <v>1241</v>
      </c>
      <c r="AJ683" s="758">
        <f t="shared" si="105"/>
        <v>1124</v>
      </c>
    </row>
    <row r="684" spans="1:36" x14ac:dyDescent="0.2">
      <c r="A684" s="1197" t="s">
        <v>148</v>
      </c>
      <c r="B684" s="1096" t="s">
        <v>219</v>
      </c>
      <c r="C684" s="1208" t="s">
        <v>249</v>
      </c>
      <c r="D684" s="1207"/>
      <c r="E684" s="1099"/>
      <c r="F684" s="1100"/>
      <c r="G684" s="859"/>
      <c r="H684" s="860"/>
      <c r="I684" s="861"/>
      <c r="J684" s="862"/>
      <c r="K684" s="859"/>
      <c r="L684" s="863"/>
      <c r="M684" s="859"/>
      <c r="N684" s="859"/>
      <c r="O684" s="752">
        <f t="shared" si="98"/>
        <v>0</v>
      </c>
      <c r="P684" s="862"/>
      <c r="Q684" s="860"/>
      <c r="R684" s="753">
        <f t="shared" si="101"/>
        <v>0</v>
      </c>
      <c r="S684" s="752">
        <f t="shared" si="102"/>
        <v>0</v>
      </c>
      <c r="T684" s="754">
        <f t="shared" si="103"/>
        <v>0</v>
      </c>
      <c r="U684" s="859"/>
      <c r="V684" s="863"/>
      <c r="W684" s="859"/>
      <c r="X684" s="859"/>
      <c r="Y684" s="755">
        <f t="shared" si="99"/>
        <v>0</v>
      </c>
      <c r="Z684" s="864"/>
      <c r="AA684" s="863"/>
      <c r="AB684" s="756">
        <f t="shared" si="100"/>
        <v>0</v>
      </c>
      <c r="AC684" s="859"/>
      <c r="AD684" s="863"/>
      <c r="AE684" s="859"/>
      <c r="AF684" s="859"/>
      <c r="AG684" s="864"/>
      <c r="AH684" s="865"/>
      <c r="AI684" s="757">
        <f t="shared" si="104"/>
        <v>0</v>
      </c>
      <c r="AJ684" s="758">
        <f t="shared" si="105"/>
        <v>0</v>
      </c>
    </row>
    <row r="685" spans="1:36" x14ac:dyDescent="0.2">
      <c r="A685" s="1197" t="s">
        <v>148</v>
      </c>
      <c r="B685" s="1096" t="s">
        <v>292</v>
      </c>
      <c r="C685" s="1213" t="s">
        <v>1171</v>
      </c>
      <c r="D685" s="1098"/>
      <c r="E685" s="1099"/>
      <c r="F685" s="1100"/>
      <c r="G685" s="859"/>
      <c r="H685" s="860"/>
      <c r="I685" s="861"/>
      <c r="J685" s="862"/>
      <c r="K685" s="859"/>
      <c r="L685" s="863"/>
      <c r="M685" s="859"/>
      <c r="N685" s="859"/>
      <c r="O685" s="752">
        <f t="shared" si="98"/>
        <v>0</v>
      </c>
      <c r="P685" s="862"/>
      <c r="Q685" s="860"/>
      <c r="R685" s="753">
        <f t="shared" si="101"/>
        <v>0</v>
      </c>
      <c r="S685" s="752">
        <f t="shared" si="102"/>
        <v>0</v>
      </c>
      <c r="T685" s="754">
        <f t="shared" si="103"/>
        <v>0</v>
      </c>
      <c r="U685" s="859"/>
      <c r="V685" s="863"/>
      <c r="W685" s="859"/>
      <c r="X685" s="859"/>
      <c r="Y685" s="755">
        <f t="shared" si="99"/>
        <v>0</v>
      </c>
      <c r="Z685" s="864"/>
      <c r="AA685" s="863"/>
      <c r="AB685" s="756">
        <f t="shared" si="100"/>
        <v>0</v>
      </c>
      <c r="AC685" s="859"/>
      <c r="AD685" s="863"/>
      <c r="AE685" s="859"/>
      <c r="AF685" s="859"/>
      <c r="AG685" s="864"/>
      <c r="AH685" s="865"/>
      <c r="AI685" s="757">
        <f t="shared" si="104"/>
        <v>0</v>
      </c>
      <c r="AJ685" s="758">
        <f t="shared" si="105"/>
        <v>0</v>
      </c>
    </row>
    <row r="686" spans="1:36" x14ac:dyDescent="0.2">
      <c r="A686" s="1197" t="s">
        <v>148</v>
      </c>
      <c r="B686" s="1096" t="s">
        <v>209</v>
      </c>
      <c r="C686" s="1208" t="s">
        <v>250</v>
      </c>
      <c r="D686" s="1207"/>
      <c r="E686" s="1099"/>
      <c r="F686" s="1100"/>
      <c r="G686" s="859"/>
      <c r="H686" s="860"/>
      <c r="I686" s="861"/>
      <c r="J686" s="862"/>
      <c r="K686" s="859"/>
      <c r="L686" s="863"/>
      <c r="M686" s="859"/>
      <c r="N686" s="859"/>
      <c r="O686" s="752">
        <f t="shared" si="98"/>
        <v>0</v>
      </c>
      <c r="P686" s="862"/>
      <c r="Q686" s="860"/>
      <c r="R686" s="753">
        <f t="shared" si="101"/>
        <v>0</v>
      </c>
      <c r="S686" s="752">
        <f t="shared" si="102"/>
        <v>0</v>
      </c>
      <c r="T686" s="754">
        <f t="shared" si="103"/>
        <v>0</v>
      </c>
      <c r="U686" s="859"/>
      <c r="V686" s="863"/>
      <c r="W686" s="859"/>
      <c r="X686" s="859"/>
      <c r="Y686" s="755">
        <f t="shared" si="99"/>
        <v>0</v>
      </c>
      <c r="Z686" s="864"/>
      <c r="AA686" s="863"/>
      <c r="AB686" s="756">
        <f t="shared" si="100"/>
        <v>0</v>
      </c>
      <c r="AC686" s="859"/>
      <c r="AD686" s="863"/>
      <c r="AE686" s="859"/>
      <c r="AF686" s="859"/>
      <c r="AG686" s="864"/>
      <c r="AH686" s="865"/>
      <c r="AI686" s="757">
        <f t="shared" si="104"/>
        <v>0</v>
      </c>
      <c r="AJ686" s="758">
        <f t="shared" si="105"/>
        <v>0</v>
      </c>
    </row>
    <row r="687" spans="1:36" x14ac:dyDescent="0.2">
      <c r="A687" s="1197" t="s">
        <v>148</v>
      </c>
      <c r="B687" s="1096" t="s">
        <v>210</v>
      </c>
      <c r="C687" s="1208" t="s">
        <v>311</v>
      </c>
      <c r="D687" s="1207"/>
      <c r="E687" s="1099"/>
      <c r="F687" s="1100"/>
      <c r="G687" s="859"/>
      <c r="H687" s="860"/>
      <c r="I687" s="861"/>
      <c r="J687" s="862"/>
      <c r="K687" s="859"/>
      <c r="L687" s="863"/>
      <c r="M687" s="859"/>
      <c r="N687" s="859"/>
      <c r="O687" s="752">
        <f t="shared" si="98"/>
        <v>0</v>
      </c>
      <c r="P687" s="862"/>
      <c r="Q687" s="860"/>
      <c r="R687" s="753">
        <f t="shared" si="101"/>
        <v>0</v>
      </c>
      <c r="S687" s="752">
        <f t="shared" si="102"/>
        <v>0</v>
      </c>
      <c r="T687" s="754">
        <f t="shared" si="103"/>
        <v>0</v>
      </c>
      <c r="U687" s="859">
        <v>82937</v>
      </c>
      <c r="V687" s="863">
        <v>60800</v>
      </c>
      <c r="W687" s="859"/>
      <c r="X687" s="859"/>
      <c r="Y687" s="755">
        <f t="shared" si="99"/>
        <v>0</v>
      </c>
      <c r="Z687" s="864"/>
      <c r="AA687" s="863"/>
      <c r="AB687" s="756">
        <f t="shared" si="100"/>
        <v>0</v>
      </c>
      <c r="AC687" s="859"/>
      <c r="AD687" s="863"/>
      <c r="AE687" s="859"/>
      <c r="AF687" s="859"/>
      <c r="AG687" s="864"/>
      <c r="AH687" s="865"/>
      <c r="AI687" s="757">
        <f t="shared" si="104"/>
        <v>82937</v>
      </c>
      <c r="AJ687" s="758">
        <f t="shared" si="105"/>
        <v>60800</v>
      </c>
    </row>
    <row r="688" spans="1:36" x14ac:dyDescent="0.2">
      <c r="A688" s="1197" t="s">
        <v>148</v>
      </c>
      <c r="B688" s="1096" t="s">
        <v>204</v>
      </c>
      <c r="C688" s="1208" t="s">
        <v>249</v>
      </c>
      <c r="D688" s="1207"/>
      <c r="E688" s="1099"/>
      <c r="F688" s="1100"/>
      <c r="G688" s="859"/>
      <c r="H688" s="860"/>
      <c r="I688" s="861"/>
      <c r="J688" s="862"/>
      <c r="K688" s="859"/>
      <c r="L688" s="863"/>
      <c r="M688" s="859"/>
      <c r="N688" s="859"/>
      <c r="O688" s="752">
        <f t="shared" si="98"/>
        <v>0</v>
      </c>
      <c r="P688" s="862"/>
      <c r="Q688" s="860"/>
      <c r="R688" s="753">
        <f t="shared" si="101"/>
        <v>0</v>
      </c>
      <c r="S688" s="752">
        <f t="shared" si="102"/>
        <v>0</v>
      </c>
      <c r="T688" s="754">
        <f t="shared" si="103"/>
        <v>0</v>
      </c>
      <c r="U688" s="859"/>
      <c r="V688" s="863"/>
      <c r="W688" s="859"/>
      <c r="X688" s="859"/>
      <c r="Y688" s="755">
        <f t="shared" si="99"/>
        <v>0</v>
      </c>
      <c r="Z688" s="864"/>
      <c r="AA688" s="863"/>
      <c r="AB688" s="756">
        <f t="shared" si="100"/>
        <v>0</v>
      </c>
      <c r="AC688" s="859"/>
      <c r="AD688" s="863"/>
      <c r="AE688" s="859"/>
      <c r="AF688" s="859"/>
      <c r="AG688" s="864"/>
      <c r="AH688" s="865"/>
      <c r="AI688" s="757">
        <f t="shared" si="104"/>
        <v>0</v>
      </c>
      <c r="AJ688" s="758">
        <f t="shared" si="105"/>
        <v>0</v>
      </c>
    </row>
    <row r="689" spans="1:36" x14ac:dyDescent="0.2">
      <c r="A689" s="1197" t="s">
        <v>148</v>
      </c>
      <c r="B689" s="1096" t="s">
        <v>205</v>
      </c>
      <c r="C689" s="1208" t="s">
        <v>222</v>
      </c>
      <c r="D689" s="1207"/>
      <c r="E689" s="1099"/>
      <c r="F689" s="1100"/>
      <c r="G689" s="859"/>
      <c r="H689" s="860"/>
      <c r="I689" s="861"/>
      <c r="J689" s="862"/>
      <c r="K689" s="859"/>
      <c r="L689" s="863"/>
      <c r="M689" s="859"/>
      <c r="N689" s="859"/>
      <c r="O689" s="752">
        <f t="shared" si="98"/>
        <v>0</v>
      </c>
      <c r="P689" s="862"/>
      <c r="Q689" s="860"/>
      <c r="R689" s="753">
        <f t="shared" si="101"/>
        <v>0</v>
      </c>
      <c r="S689" s="752">
        <f t="shared" si="102"/>
        <v>0</v>
      </c>
      <c r="T689" s="754">
        <f t="shared" si="103"/>
        <v>0</v>
      </c>
      <c r="U689" s="859"/>
      <c r="V689" s="863"/>
      <c r="W689" s="859"/>
      <c r="X689" s="859"/>
      <c r="Y689" s="755">
        <f t="shared" si="99"/>
        <v>0</v>
      </c>
      <c r="Z689" s="864"/>
      <c r="AA689" s="863"/>
      <c r="AB689" s="756">
        <f t="shared" si="100"/>
        <v>0</v>
      </c>
      <c r="AC689" s="859"/>
      <c r="AD689" s="863"/>
      <c r="AE689" s="859"/>
      <c r="AF689" s="859"/>
      <c r="AG689" s="864"/>
      <c r="AH689" s="865"/>
      <c r="AI689" s="757">
        <f t="shared" si="104"/>
        <v>0</v>
      </c>
      <c r="AJ689" s="758">
        <f t="shared" si="105"/>
        <v>0</v>
      </c>
    </row>
    <row r="690" spans="1:36" x14ac:dyDescent="0.2">
      <c r="A690" s="1197" t="s">
        <v>148</v>
      </c>
      <c r="B690" s="1096" t="s">
        <v>218</v>
      </c>
      <c r="C690" s="1208" t="s">
        <v>311</v>
      </c>
      <c r="D690" s="1207"/>
      <c r="E690" s="1099"/>
      <c r="F690" s="1100"/>
      <c r="G690" s="859"/>
      <c r="H690" s="860"/>
      <c r="I690" s="861"/>
      <c r="J690" s="862"/>
      <c r="K690" s="859"/>
      <c r="L690" s="863"/>
      <c r="M690" s="859"/>
      <c r="N690" s="859"/>
      <c r="O690" s="752">
        <f t="shared" si="98"/>
        <v>0</v>
      </c>
      <c r="P690" s="862"/>
      <c r="Q690" s="860"/>
      <c r="R690" s="753">
        <f t="shared" si="101"/>
        <v>0</v>
      </c>
      <c r="S690" s="752">
        <f t="shared" si="102"/>
        <v>0</v>
      </c>
      <c r="T690" s="754">
        <f t="shared" si="103"/>
        <v>0</v>
      </c>
      <c r="U690" s="859">
        <v>0</v>
      </c>
      <c r="V690" s="863">
        <v>1604</v>
      </c>
      <c r="W690" s="859"/>
      <c r="X690" s="859"/>
      <c r="Y690" s="755">
        <f t="shared" si="99"/>
        <v>0</v>
      </c>
      <c r="Z690" s="864"/>
      <c r="AA690" s="863"/>
      <c r="AB690" s="756">
        <f t="shared" si="100"/>
        <v>0</v>
      </c>
      <c r="AC690" s="859"/>
      <c r="AD690" s="863"/>
      <c r="AE690" s="859"/>
      <c r="AF690" s="859"/>
      <c r="AG690" s="864"/>
      <c r="AH690" s="865"/>
      <c r="AI690" s="757">
        <f t="shared" si="104"/>
        <v>0</v>
      </c>
      <c r="AJ690" s="758">
        <f t="shared" si="105"/>
        <v>1604</v>
      </c>
    </row>
    <row r="691" spans="1:36" x14ac:dyDescent="0.2">
      <c r="A691" s="1197" t="s">
        <v>148</v>
      </c>
      <c r="B691" s="1096" t="s">
        <v>219</v>
      </c>
      <c r="C691" s="1208" t="s">
        <v>249</v>
      </c>
      <c r="D691" s="1207"/>
      <c r="E691" s="1099"/>
      <c r="F691" s="1100"/>
      <c r="G691" s="859"/>
      <c r="H691" s="860"/>
      <c r="I691" s="861"/>
      <c r="J691" s="862"/>
      <c r="K691" s="859"/>
      <c r="L691" s="863"/>
      <c r="M691" s="859"/>
      <c r="N691" s="859"/>
      <c r="O691" s="752">
        <f t="shared" si="98"/>
        <v>0</v>
      </c>
      <c r="P691" s="862"/>
      <c r="Q691" s="860"/>
      <c r="R691" s="753">
        <f t="shared" si="101"/>
        <v>0</v>
      </c>
      <c r="S691" s="752">
        <f t="shared" si="102"/>
        <v>0</v>
      </c>
      <c r="T691" s="754">
        <f t="shared" si="103"/>
        <v>0</v>
      </c>
      <c r="U691" s="859"/>
      <c r="V691" s="863"/>
      <c r="W691" s="859"/>
      <c r="X691" s="859"/>
      <c r="Y691" s="755">
        <f t="shared" si="99"/>
        <v>0</v>
      </c>
      <c r="Z691" s="864"/>
      <c r="AA691" s="863"/>
      <c r="AB691" s="756">
        <f t="shared" si="100"/>
        <v>0</v>
      </c>
      <c r="AC691" s="859"/>
      <c r="AD691" s="863"/>
      <c r="AE691" s="859"/>
      <c r="AF691" s="859"/>
      <c r="AG691" s="864"/>
      <c r="AH691" s="865"/>
      <c r="AI691" s="757">
        <f t="shared" si="104"/>
        <v>0</v>
      </c>
      <c r="AJ691" s="758">
        <f t="shared" si="105"/>
        <v>0</v>
      </c>
    </row>
    <row r="692" spans="1:36" x14ac:dyDescent="0.2">
      <c r="A692" s="1197" t="s">
        <v>148</v>
      </c>
      <c r="B692" s="1096" t="s">
        <v>292</v>
      </c>
      <c r="C692" s="1213" t="s">
        <v>1172</v>
      </c>
      <c r="D692" s="1098"/>
      <c r="E692" s="1099"/>
      <c r="F692" s="1100"/>
      <c r="G692" s="859"/>
      <c r="H692" s="860"/>
      <c r="I692" s="861"/>
      <c r="J692" s="862"/>
      <c r="K692" s="859"/>
      <c r="L692" s="863"/>
      <c r="M692" s="859"/>
      <c r="N692" s="859"/>
      <c r="O692" s="752">
        <f t="shared" si="98"/>
        <v>0</v>
      </c>
      <c r="P692" s="862"/>
      <c r="Q692" s="860"/>
      <c r="R692" s="753">
        <f t="shared" si="101"/>
        <v>0</v>
      </c>
      <c r="S692" s="752">
        <f t="shared" si="102"/>
        <v>0</v>
      </c>
      <c r="T692" s="754">
        <f t="shared" si="103"/>
        <v>0</v>
      </c>
      <c r="U692" s="859"/>
      <c r="V692" s="863"/>
      <c r="W692" s="859"/>
      <c r="X692" s="859"/>
      <c r="Y692" s="755">
        <f t="shared" si="99"/>
        <v>0</v>
      </c>
      <c r="Z692" s="864"/>
      <c r="AA692" s="863"/>
      <c r="AB692" s="756">
        <f t="shared" si="100"/>
        <v>0</v>
      </c>
      <c r="AC692" s="859"/>
      <c r="AD692" s="863"/>
      <c r="AE692" s="859"/>
      <c r="AF692" s="859"/>
      <c r="AG692" s="864"/>
      <c r="AH692" s="865"/>
      <c r="AI692" s="757">
        <f t="shared" si="104"/>
        <v>0</v>
      </c>
      <c r="AJ692" s="758">
        <f t="shared" si="105"/>
        <v>0</v>
      </c>
    </row>
    <row r="693" spans="1:36" x14ac:dyDescent="0.2">
      <c r="A693" s="1197" t="s">
        <v>148</v>
      </c>
      <c r="B693" s="1096" t="s">
        <v>209</v>
      </c>
      <c r="C693" s="1208" t="s">
        <v>250</v>
      </c>
      <c r="D693" s="1207"/>
      <c r="E693" s="1099"/>
      <c r="F693" s="1100"/>
      <c r="G693" s="859"/>
      <c r="H693" s="860"/>
      <c r="I693" s="861"/>
      <c r="J693" s="862"/>
      <c r="K693" s="859"/>
      <c r="L693" s="863"/>
      <c r="M693" s="859"/>
      <c r="N693" s="859"/>
      <c r="O693" s="752">
        <f t="shared" si="98"/>
        <v>0</v>
      </c>
      <c r="P693" s="862"/>
      <c r="Q693" s="860"/>
      <c r="R693" s="753">
        <f t="shared" si="101"/>
        <v>0</v>
      </c>
      <c r="S693" s="752">
        <f t="shared" si="102"/>
        <v>0</v>
      </c>
      <c r="T693" s="754">
        <f t="shared" si="103"/>
        <v>0</v>
      </c>
      <c r="U693" s="859"/>
      <c r="V693" s="863"/>
      <c r="W693" s="859"/>
      <c r="X693" s="859"/>
      <c r="Y693" s="755">
        <f t="shared" si="99"/>
        <v>0</v>
      </c>
      <c r="Z693" s="864"/>
      <c r="AA693" s="863"/>
      <c r="AB693" s="756">
        <f t="shared" si="100"/>
        <v>0</v>
      </c>
      <c r="AC693" s="859"/>
      <c r="AD693" s="863"/>
      <c r="AE693" s="859"/>
      <c r="AF693" s="859"/>
      <c r="AG693" s="864"/>
      <c r="AH693" s="865"/>
      <c r="AI693" s="757">
        <f t="shared" si="104"/>
        <v>0</v>
      </c>
      <c r="AJ693" s="758">
        <f t="shared" si="105"/>
        <v>0</v>
      </c>
    </row>
    <row r="694" spans="1:36" x14ac:dyDescent="0.2">
      <c r="A694" s="1197" t="s">
        <v>148</v>
      </c>
      <c r="B694" s="1096" t="s">
        <v>210</v>
      </c>
      <c r="C694" s="1208" t="s">
        <v>311</v>
      </c>
      <c r="D694" s="1207"/>
      <c r="E694" s="1099"/>
      <c r="F694" s="1100"/>
      <c r="G694" s="859"/>
      <c r="H694" s="860"/>
      <c r="I694" s="861"/>
      <c r="J694" s="862"/>
      <c r="K694" s="859"/>
      <c r="L694" s="863"/>
      <c r="M694" s="859"/>
      <c r="N694" s="859"/>
      <c r="O694" s="752">
        <f t="shared" si="98"/>
        <v>0</v>
      </c>
      <c r="P694" s="862"/>
      <c r="Q694" s="860"/>
      <c r="R694" s="753">
        <f t="shared" si="101"/>
        <v>0</v>
      </c>
      <c r="S694" s="752">
        <f t="shared" si="102"/>
        <v>0</v>
      </c>
      <c r="T694" s="754">
        <f t="shared" si="103"/>
        <v>0</v>
      </c>
      <c r="U694" s="859"/>
      <c r="V694" s="863"/>
      <c r="W694" s="859"/>
      <c r="X694" s="859"/>
      <c r="Y694" s="755">
        <f t="shared" si="99"/>
        <v>0</v>
      </c>
      <c r="Z694" s="864"/>
      <c r="AA694" s="863"/>
      <c r="AB694" s="756">
        <f t="shared" si="100"/>
        <v>0</v>
      </c>
      <c r="AC694" s="859"/>
      <c r="AD694" s="863"/>
      <c r="AE694" s="859"/>
      <c r="AF694" s="859"/>
      <c r="AG694" s="864"/>
      <c r="AH694" s="865"/>
      <c r="AI694" s="757">
        <f t="shared" si="104"/>
        <v>0</v>
      </c>
      <c r="AJ694" s="758">
        <f t="shared" si="105"/>
        <v>0</v>
      </c>
    </row>
    <row r="695" spans="1:36" x14ac:dyDescent="0.2">
      <c r="A695" s="1197" t="s">
        <v>148</v>
      </c>
      <c r="B695" s="1096" t="s">
        <v>204</v>
      </c>
      <c r="C695" s="1208" t="s">
        <v>249</v>
      </c>
      <c r="D695" s="1207"/>
      <c r="E695" s="1099"/>
      <c r="F695" s="1100"/>
      <c r="G695" s="859"/>
      <c r="H695" s="860"/>
      <c r="I695" s="861"/>
      <c r="J695" s="862"/>
      <c r="K695" s="859"/>
      <c r="L695" s="863"/>
      <c r="M695" s="859"/>
      <c r="N695" s="859"/>
      <c r="O695" s="752">
        <f t="shared" si="98"/>
        <v>0</v>
      </c>
      <c r="P695" s="862"/>
      <c r="Q695" s="860"/>
      <c r="R695" s="753">
        <f t="shared" si="101"/>
        <v>0</v>
      </c>
      <c r="S695" s="752">
        <f t="shared" si="102"/>
        <v>0</v>
      </c>
      <c r="T695" s="754">
        <f t="shared" si="103"/>
        <v>0</v>
      </c>
      <c r="U695" s="859"/>
      <c r="V695" s="863"/>
      <c r="W695" s="859"/>
      <c r="X695" s="859"/>
      <c r="Y695" s="755">
        <f t="shared" si="99"/>
        <v>0</v>
      </c>
      <c r="Z695" s="864"/>
      <c r="AA695" s="863"/>
      <c r="AB695" s="756">
        <f t="shared" si="100"/>
        <v>0</v>
      </c>
      <c r="AC695" s="859"/>
      <c r="AD695" s="863"/>
      <c r="AE695" s="859"/>
      <c r="AF695" s="859"/>
      <c r="AG695" s="864"/>
      <c r="AH695" s="865"/>
      <c r="AI695" s="757">
        <f t="shared" si="104"/>
        <v>0</v>
      </c>
      <c r="AJ695" s="758">
        <f t="shared" si="105"/>
        <v>0</v>
      </c>
    </row>
    <row r="696" spans="1:36" x14ac:dyDescent="0.2">
      <c r="A696" s="1197" t="s">
        <v>148</v>
      </c>
      <c r="B696" s="1096" t="s">
        <v>205</v>
      </c>
      <c r="C696" s="1208" t="s">
        <v>222</v>
      </c>
      <c r="D696" s="1207"/>
      <c r="E696" s="1099"/>
      <c r="F696" s="1100"/>
      <c r="G696" s="859"/>
      <c r="H696" s="860"/>
      <c r="I696" s="861"/>
      <c r="J696" s="862"/>
      <c r="K696" s="859"/>
      <c r="L696" s="863"/>
      <c r="M696" s="859"/>
      <c r="N696" s="859"/>
      <c r="O696" s="752">
        <f t="shared" si="98"/>
        <v>0</v>
      </c>
      <c r="P696" s="862"/>
      <c r="Q696" s="860"/>
      <c r="R696" s="753">
        <f t="shared" si="101"/>
        <v>0</v>
      </c>
      <c r="S696" s="752">
        <f t="shared" si="102"/>
        <v>0</v>
      </c>
      <c r="T696" s="754">
        <f t="shared" si="103"/>
        <v>0</v>
      </c>
      <c r="U696" s="859"/>
      <c r="V696" s="863"/>
      <c r="W696" s="859"/>
      <c r="X696" s="859"/>
      <c r="Y696" s="755">
        <f t="shared" si="99"/>
        <v>0</v>
      </c>
      <c r="Z696" s="864"/>
      <c r="AA696" s="863"/>
      <c r="AB696" s="756">
        <f t="shared" si="100"/>
        <v>0</v>
      </c>
      <c r="AC696" s="859"/>
      <c r="AD696" s="863"/>
      <c r="AE696" s="859"/>
      <c r="AF696" s="859"/>
      <c r="AG696" s="864"/>
      <c r="AH696" s="865"/>
      <c r="AI696" s="757">
        <f t="shared" si="104"/>
        <v>0</v>
      </c>
      <c r="AJ696" s="758">
        <f t="shared" si="105"/>
        <v>0</v>
      </c>
    </row>
    <row r="697" spans="1:36" x14ac:dyDescent="0.2">
      <c r="A697" s="1197" t="s">
        <v>148</v>
      </c>
      <c r="B697" s="1096" t="s">
        <v>218</v>
      </c>
      <c r="C697" s="1208" t="s">
        <v>311</v>
      </c>
      <c r="D697" s="1207"/>
      <c r="E697" s="1099"/>
      <c r="F697" s="1100"/>
      <c r="G697" s="859"/>
      <c r="H697" s="860"/>
      <c r="I697" s="861"/>
      <c r="J697" s="862"/>
      <c r="K697" s="859"/>
      <c r="L697" s="863"/>
      <c r="M697" s="859"/>
      <c r="N697" s="859"/>
      <c r="O697" s="752">
        <f t="shared" si="98"/>
        <v>0</v>
      </c>
      <c r="P697" s="862"/>
      <c r="Q697" s="860"/>
      <c r="R697" s="753">
        <f t="shared" si="101"/>
        <v>0</v>
      </c>
      <c r="S697" s="752">
        <f t="shared" si="102"/>
        <v>0</v>
      </c>
      <c r="T697" s="754">
        <f t="shared" si="103"/>
        <v>0</v>
      </c>
      <c r="U697" s="859">
        <v>366000</v>
      </c>
      <c r="V697" s="863">
        <v>366000</v>
      </c>
      <c r="W697" s="859"/>
      <c r="X697" s="859"/>
      <c r="Y697" s="755">
        <f t="shared" si="99"/>
        <v>0</v>
      </c>
      <c r="Z697" s="864"/>
      <c r="AA697" s="863"/>
      <c r="AB697" s="756">
        <f t="shared" si="100"/>
        <v>0</v>
      </c>
      <c r="AC697" s="859"/>
      <c r="AD697" s="863"/>
      <c r="AE697" s="859"/>
      <c r="AF697" s="859"/>
      <c r="AG697" s="864"/>
      <c r="AH697" s="865"/>
      <c r="AI697" s="757">
        <f t="shared" si="104"/>
        <v>366000</v>
      </c>
      <c r="AJ697" s="758">
        <f t="shared" si="105"/>
        <v>366000</v>
      </c>
    </row>
    <row r="698" spans="1:36" x14ac:dyDescent="0.2">
      <c r="A698" s="1197" t="s">
        <v>148</v>
      </c>
      <c r="B698" s="1096" t="s">
        <v>219</v>
      </c>
      <c r="C698" s="1208" t="s">
        <v>249</v>
      </c>
      <c r="D698" s="1207"/>
      <c r="E698" s="1099"/>
      <c r="F698" s="1100"/>
      <c r="G698" s="859"/>
      <c r="H698" s="860"/>
      <c r="I698" s="861"/>
      <c r="J698" s="862"/>
      <c r="K698" s="859"/>
      <c r="L698" s="863"/>
      <c r="M698" s="859"/>
      <c r="N698" s="859"/>
      <c r="O698" s="752">
        <f t="shared" si="98"/>
        <v>0</v>
      </c>
      <c r="P698" s="862"/>
      <c r="Q698" s="860"/>
      <c r="R698" s="753">
        <f t="shared" si="101"/>
        <v>0</v>
      </c>
      <c r="S698" s="752">
        <f t="shared" si="102"/>
        <v>0</v>
      </c>
      <c r="T698" s="754">
        <f t="shared" si="103"/>
        <v>0</v>
      </c>
      <c r="U698" s="859">
        <v>114000</v>
      </c>
      <c r="V698" s="863">
        <v>114000</v>
      </c>
      <c r="W698" s="859"/>
      <c r="X698" s="859"/>
      <c r="Y698" s="755">
        <f t="shared" si="99"/>
        <v>0</v>
      </c>
      <c r="Z698" s="864"/>
      <c r="AA698" s="863"/>
      <c r="AB698" s="756">
        <f t="shared" si="100"/>
        <v>0</v>
      </c>
      <c r="AC698" s="859"/>
      <c r="AD698" s="863"/>
      <c r="AE698" s="859"/>
      <c r="AF698" s="859"/>
      <c r="AG698" s="864"/>
      <c r="AH698" s="865"/>
      <c r="AI698" s="757">
        <f t="shared" si="104"/>
        <v>114000</v>
      </c>
      <c r="AJ698" s="758">
        <f t="shared" si="105"/>
        <v>114000</v>
      </c>
    </row>
    <row r="699" spans="1:36" x14ac:dyDescent="0.2">
      <c r="A699" s="1197" t="s">
        <v>148</v>
      </c>
      <c r="B699" s="1096" t="s">
        <v>292</v>
      </c>
      <c r="C699" s="1213" t="s">
        <v>1173</v>
      </c>
      <c r="D699" s="1098"/>
      <c r="E699" s="1099"/>
      <c r="F699" s="1100"/>
      <c r="G699" s="859"/>
      <c r="H699" s="860"/>
      <c r="I699" s="861"/>
      <c r="J699" s="862"/>
      <c r="K699" s="859"/>
      <c r="L699" s="863"/>
      <c r="M699" s="859"/>
      <c r="N699" s="859"/>
      <c r="O699" s="752">
        <f t="shared" si="98"/>
        <v>0</v>
      </c>
      <c r="P699" s="862"/>
      <c r="Q699" s="860"/>
      <c r="R699" s="753">
        <f t="shared" si="101"/>
        <v>0</v>
      </c>
      <c r="S699" s="752">
        <f t="shared" si="102"/>
        <v>0</v>
      </c>
      <c r="T699" s="754">
        <f t="shared" si="103"/>
        <v>0</v>
      </c>
      <c r="U699" s="859"/>
      <c r="V699" s="863"/>
      <c r="W699" s="859"/>
      <c r="X699" s="859"/>
      <c r="Y699" s="755">
        <f t="shared" si="99"/>
        <v>0</v>
      </c>
      <c r="Z699" s="864"/>
      <c r="AA699" s="863"/>
      <c r="AB699" s="756">
        <f t="shared" si="100"/>
        <v>0</v>
      </c>
      <c r="AC699" s="859"/>
      <c r="AD699" s="863"/>
      <c r="AE699" s="859"/>
      <c r="AF699" s="859"/>
      <c r="AG699" s="864"/>
      <c r="AH699" s="865"/>
      <c r="AI699" s="757">
        <f t="shared" si="104"/>
        <v>0</v>
      </c>
      <c r="AJ699" s="758">
        <f t="shared" si="105"/>
        <v>0</v>
      </c>
    </row>
    <row r="700" spans="1:36" x14ac:dyDescent="0.2">
      <c r="A700" s="1197" t="s">
        <v>148</v>
      </c>
      <c r="B700" s="1096" t="s">
        <v>209</v>
      </c>
      <c r="C700" s="1208" t="s">
        <v>250</v>
      </c>
      <c r="D700" s="1207"/>
      <c r="E700" s="1099"/>
      <c r="F700" s="1100"/>
      <c r="G700" s="859"/>
      <c r="H700" s="860"/>
      <c r="I700" s="861"/>
      <c r="J700" s="862"/>
      <c r="K700" s="859"/>
      <c r="L700" s="863"/>
      <c r="M700" s="859"/>
      <c r="N700" s="859"/>
      <c r="O700" s="752">
        <f t="shared" si="98"/>
        <v>0</v>
      </c>
      <c r="P700" s="862"/>
      <c r="Q700" s="860"/>
      <c r="R700" s="753">
        <f t="shared" si="101"/>
        <v>0</v>
      </c>
      <c r="S700" s="752">
        <f t="shared" si="102"/>
        <v>0</v>
      </c>
      <c r="T700" s="754">
        <f t="shared" si="103"/>
        <v>0</v>
      </c>
      <c r="U700" s="859"/>
      <c r="V700" s="863"/>
      <c r="W700" s="859"/>
      <c r="X700" s="859"/>
      <c r="Y700" s="755">
        <f t="shared" si="99"/>
        <v>0</v>
      </c>
      <c r="Z700" s="864"/>
      <c r="AA700" s="863"/>
      <c r="AB700" s="756">
        <f t="shared" si="100"/>
        <v>0</v>
      </c>
      <c r="AC700" s="859"/>
      <c r="AD700" s="863"/>
      <c r="AE700" s="859"/>
      <c r="AF700" s="859"/>
      <c r="AG700" s="864"/>
      <c r="AH700" s="865"/>
      <c r="AI700" s="757">
        <f t="shared" si="104"/>
        <v>0</v>
      </c>
      <c r="AJ700" s="758">
        <f t="shared" si="105"/>
        <v>0</v>
      </c>
    </row>
    <row r="701" spans="1:36" x14ac:dyDescent="0.2">
      <c r="A701" s="1197" t="s">
        <v>148</v>
      </c>
      <c r="B701" s="1096" t="s">
        <v>210</v>
      </c>
      <c r="C701" s="1208" t="s">
        <v>311</v>
      </c>
      <c r="D701" s="1207"/>
      <c r="E701" s="1099"/>
      <c r="F701" s="1100"/>
      <c r="G701" s="859"/>
      <c r="H701" s="860"/>
      <c r="I701" s="861"/>
      <c r="J701" s="862"/>
      <c r="K701" s="859"/>
      <c r="L701" s="863"/>
      <c r="M701" s="859"/>
      <c r="N701" s="859"/>
      <c r="O701" s="752">
        <f t="shared" si="98"/>
        <v>0</v>
      </c>
      <c r="P701" s="862"/>
      <c r="Q701" s="860"/>
      <c r="R701" s="753">
        <f t="shared" si="101"/>
        <v>0</v>
      </c>
      <c r="S701" s="752">
        <f t="shared" si="102"/>
        <v>0</v>
      </c>
      <c r="T701" s="754">
        <f t="shared" si="103"/>
        <v>0</v>
      </c>
      <c r="U701" s="859">
        <v>80000</v>
      </c>
      <c r="V701" s="863">
        <v>80000</v>
      </c>
      <c r="W701" s="859"/>
      <c r="X701" s="859"/>
      <c r="Y701" s="755">
        <f t="shared" si="99"/>
        <v>0</v>
      </c>
      <c r="Z701" s="864"/>
      <c r="AA701" s="863"/>
      <c r="AB701" s="756">
        <f t="shared" si="100"/>
        <v>0</v>
      </c>
      <c r="AC701" s="859"/>
      <c r="AD701" s="863"/>
      <c r="AE701" s="859"/>
      <c r="AF701" s="859"/>
      <c r="AG701" s="864"/>
      <c r="AH701" s="865"/>
      <c r="AI701" s="757">
        <f t="shared" si="104"/>
        <v>80000</v>
      </c>
      <c r="AJ701" s="758">
        <f t="shared" si="105"/>
        <v>80000</v>
      </c>
    </row>
    <row r="702" spans="1:36" x14ac:dyDescent="0.2">
      <c r="A702" s="1197" t="s">
        <v>148</v>
      </c>
      <c r="B702" s="1096" t="s">
        <v>204</v>
      </c>
      <c r="C702" s="1208" t="s">
        <v>249</v>
      </c>
      <c r="D702" s="1207"/>
      <c r="E702" s="1099"/>
      <c r="F702" s="1100"/>
      <c r="G702" s="859"/>
      <c r="H702" s="860"/>
      <c r="I702" s="861"/>
      <c r="J702" s="862"/>
      <c r="K702" s="859"/>
      <c r="L702" s="863"/>
      <c r="M702" s="859"/>
      <c r="N702" s="859"/>
      <c r="O702" s="752">
        <f t="shared" si="98"/>
        <v>0</v>
      </c>
      <c r="P702" s="862"/>
      <c r="Q702" s="860"/>
      <c r="R702" s="753">
        <f t="shared" si="101"/>
        <v>0</v>
      </c>
      <c r="S702" s="752">
        <f t="shared" si="102"/>
        <v>0</v>
      </c>
      <c r="T702" s="754">
        <f t="shared" si="103"/>
        <v>0</v>
      </c>
      <c r="U702" s="859"/>
      <c r="V702" s="863"/>
      <c r="W702" s="859"/>
      <c r="X702" s="859"/>
      <c r="Y702" s="755">
        <f t="shared" si="99"/>
        <v>0</v>
      </c>
      <c r="Z702" s="864"/>
      <c r="AA702" s="863"/>
      <c r="AB702" s="756">
        <f t="shared" si="100"/>
        <v>0</v>
      </c>
      <c r="AC702" s="859"/>
      <c r="AD702" s="863"/>
      <c r="AE702" s="859"/>
      <c r="AF702" s="859"/>
      <c r="AG702" s="864"/>
      <c r="AH702" s="865"/>
      <c r="AI702" s="757">
        <f t="shared" si="104"/>
        <v>0</v>
      </c>
      <c r="AJ702" s="758">
        <f t="shared" si="105"/>
        <v>0</v>
      </c>
    </row>
    <row r="703" spans="1:36" x14ac:dyDescent="0.2">
      <c r="A703" s="1197" t="s">
        <v>148</v>
      </c>
      <c r="B703" s="1096" t="s">
        <v>205</v>
      </c>
      <c r="C703" s="1208" t="s">
        <v>222</v>
      </c>
      <c r="D703" s="1207"/>
      <c r="E703" s="1099"/>
      <c r="F703" s="1100"/>
      <c r="G703" s="859"/>
      <c r="H703" s="860"/>
      <c r="I703" s="861"/>
      <c r="J703" s="862"/>
      <c r="K703" s="859"/>
      <c r="L703" s="863"/>
      <c r="M703" s="859"/>
      <c r="N703" s="859"/>
      <c r="O703" s="752">
        <f t="shared" si="98"/>
        <v>0</v>
      </c>
      <c r="P703" s="862"/>
      <c r="Q703" s="860"/>
      <c r="R703" s="753">
        <f t="shared" si="101"/>
        <v>0</v>
      </c>
      <c r="S703" s="752">
        <f t="shared" si="102"/>
        <v>0</v>
      </c>
      <c r="T703" s="754">
        <f t="shared" si="103"/>
        <v>0</v>
      </c>
      <c r="U703" s="859"/>
      <c r="V703" s="863"/>
      <c r="W703" s="859"/>
      <c r="X703" s="859"/>
      <c r="Y703" s="755">
        <f t="shared" si="99"/>
        <v>0</v>
      </c>
      <c r="Z703" s="864"/>
      <c r="AA703" s="863"/>
      <c r="AB703" s="756">
        <f t="shared" si="100"/>
        <v>0</v>
      </c>
      <c r="AC703" s="859"/>
      <c r="AD703" s="863"/>
      <c r="AE703" s="859"/>
      <c r="AF703" s="859"/>
      <c r="AG703" s="864"/>
      <c r="AH703" s="865"/>
      <c r="AI703" s="757">
        <f t="shared" si="104"/>
        <v>0</v>
      </c>
      <c r="AJ703" s="758">
        <f t="shared" si="105"/>
        <v>0</v>
      </c>
    </row>
    <row r="704" spans="1:36" x14ac:dyDescent="0.2">
      <c r="A704" s="1197" t="s">
        <v>148</v>
      </c>
      <c r="B704" s="1096" t="s">
        <v>218</v>
      </c>
      <c r="C704" s="1208" t="s">
        <v>311</v>
      </c>
      <c r="D704" s="1207"/>
      <c r="E704" s="1099"/>
      <c r="F704" s="1100"/>
      <c r="G704" s="859"/>
      <c r="H704" s="860"/>
      <c r="I704" s="861"/>
      <c r="J704" s="862"/>
      <c r="K704" s="859"/>
      <c r="L704" s="863"/>
      <c r="M704" s="859"/>
      <c r="N704" s="859"/>
      <c r="O704" s="752">
        <f t="shared" si="98"/>
        <v>0</v>
      </c>
      <c r="P704" s="862"/>
      <c r="Q704" s="860"/>
      <c r="R704" s="753">
        <f t="shared" si="101"/>
        <v>0</v>
      </c>
      <c r="S704" s="752">
        <f t="shared" si="102"/>
        <v>0</v>
      </c>
      <c r="T704" s="754">
        <f t="shared" si="103"/>
        <v>0</v>
      </c>
      <c r="U704" s="859">
        <v>20000</v>
      </c>
      <c r="V704" s="863">
        <v>20000</v>
      </c>
      <c r="W704" s="859"/>
      <c r="X704" s="859"/>
      <c r="Y704" s="755">
        <f t="shared" si="99"/>
        <v>0</v>
      </c>
      <c r="Z704" s="864"/>
      <c r="AA704" s="863"/>
      <c r="AB704" s="756">
        <f t="shared" si="100"/>
        <v>0</v>
      </c>
      <c r="AC704" s="859"/>
      <c r="AD704" s="863"/>
      <c r="AE704" s="859"/>
      <c r="AF704" s="859"/>
      <c r="AG704" s="864"/>
      <c r="AH704" s="865"/>
      <c r="AI704" s="757">
        <f t="shared" si="104"/>
        <v>20000</v>
      </c>
      <c r="AJ704" s="758">
        <f t="shared" si="105"/>
        <v>20000</v>
      </c>
    </row>
    <row r="705" spans="1:36" x14ac:dyDescent="0.2">
      <c r="A705" s="1197" t="s">
        <v>148</v>
      </c>
      <c r="B705" s="1096" t="s">
        <v>219</v>
      </c>
      <c r="C705" s="1208" t="s">
        <v>249</v>
      </c>
      <c r="D705" s="1207"/>
      <c r="E705" s="1099"/>
      <c r="F705" s="1100"/>
      <c r="G705" s="859"/>
      <c r="H705" s="860"/>
      <c r="I705" s="861"/>
      <c r="J705" s="862"/>
      <c r="K705" s="859"/>
      <c r="L705" s="863"/>
      <c r="M705" s="859"/>
      <c r="N705" s="859"/>
      <c r="O705" s="752">
        <f t="shared" si="98"/>
        <v>0</v>
      </c>
      <c r="P705" s="862"/>
      <c r="Q705" s="860"/>
      <c r="R705" s="753">
        <f t="shared" si="101"/>
        <v>0</v>
      </c>
      <c r="S705" s="752">
        <f t="shared" si="102"/>
        <v>0</v>
      </c>
      <c r="T705" s="754">
        <f t="shared" si="103"/>
        <v>0</v>
      </c>
      <c r="U705" s="859"/>
      <c r="V705" s="863"/>
      <c r="W705" s="859"/>
      <c r="X705" s="859"/>
      <c r="Y705" s="755">
        <f t="shared" si="99"/>
        <v>0</v>
      </c>
      <c r="Z705" s="864"/>
      <c r="AA705" s="863"/>
      <c r="AB705" s="756">
        <f t="shared" si="100"/>
        <v>0</v>
      </c>
      <c r="AC705" s="859"/>
      <c r="AD705" s="863"/>
      <c r="AE705" s="859"/>
      <c r="AF705" s="859"/>
      <c r="AG705" s="864"/>
      <c r="AH705" s="865"/>
      <c r="AI705" s="757">
        <f t="shared" si="104"/>
        <v>0</v>
      </c>
      <c r="AJ705" s="758">
        <f t="shared" si="105"/>
        <v>0</v>
      </c>
    </row>
    <row r="706" spans="1:36" x14ac:dyDescent="0.2">
      <c r="A706" s="1197" t="s">
        <v>148</v>
      </c>
      <c r="B706" s="1096" t="s">
        <v>292</v>
      </c>
      <c r="C706" s="1213" t="s">
        <v>1174</v>
      </c>
      <c r="D706" s="1098"/>
      <c r="E706" s="1099"/>
      <c r="F706" s="1100"/>
      <c r="G706" s="859"/>
      <c r="H706" s="860"/>
      <c r="I706" s="861"/>
      <c r="J706" s="862"/>
      <c r="K706" s="859"/>
      <c r="L706" s="863"/>
      <c r="M706" s="859"/>
      <c r="N706" s="859"/>
      <c r="O706" s="752">
        <f t="shared" si="98"/>
        <v>0</v>
      </c>
      <c r="P706" s="862"/>
      <c r="Q706" s="860"/>
      <c r="R706" s="753">
        <f t="shared" si="101"/>
        <v>0</v>
      </c>
      <c r="S706" s="752">
        <f t="shared" si="102"/>
        <v>0</v>
      </c>
      <c r="T706" s="754">
        <f t="shared" si="103"/>
        <v>0</v>
      </c>
      <c r="U706" s="859"/>
      <c r="V706" s="863"/>
      <c r="W706" s="859"/>
      <c r="X706" s="859"/>
      <c r="Y706" s="755">
        <f t="shared" si="99"/>
        <v>0</v>
      </c>
      <c r="Z706" s="864"/>
      <c r="AA706" s="863"/>
      <c r="AB706" s="756">
        <f t="shared" si="100"/>
        <v>0</v>
      </c>
      <c r="AC706" s="859"/>
      <c r="AD706" s="863"/>
      <c r="AE706" s="859"/>
      <c r="AF706" s="859"/>
      <c r="AG706" s="864"/>
      <c r="AH706" s="865"/>
      <c r="AI706" s="757">
        <f t="shared" si="104"/>
        <v>0</v>
      </c>
      <c r="AJ706" s="758">
        <f t="shared" si="105"/>
        <v>0</v>
      </c>
    </row>
    <row r="707" spans="1:36" x14ac:dyDescent="0.2">
      <c r="A707" s="1197" t="s">
        <v>148</v>
      </c>
      <c r="B707" s="1096" t="s">
        <v>209</v>
      </c>
      <c r="C707" s="1208" t="s">
        <v>250</v>
      </c>
      <c r="D707" s="1207"/>
      <c r="E707" s="1099"/>
      <c r="F707" s="1100"/>
      <c r="G707" s="859"/>
      <c r="H707" s="860"/>
      <c r="I707" s="861"/>
      <c r="J707" s="862"/>
      <c r="K707" s="859"/>
      <c r="L707" s="863"/>
      <c r="M707" s="859"/>
      <c r="N707" s="859"/>
      <c r="O707" s="752">
        <f t="shared" si="98"/>
        <v>0</v>
      </c>
      <c r="P707" s="862"/>
      <c r="Q707" s="860"/>
      <c r="R707" s="753">
        <f t="shared" si="101"/>
        <v>0</v>
      </c>
      <c r="S707" s="752">
        <f t="shared" si="102"/>
        <v>0</v>
      </c>
      <c r="T707" s="754">
        <f t="shared" si="103"/>
        <v>0</v>
      </c>
      <c r="U707" s="859"/>
      <c r="V707" s="863"/>
      <c r="W707" s="859"/>
      <c r="X707" s="859"/>
      <c r="Y707" s="755">
        <f t="shared" si="99"/>
        <v>0</v>
      </c>
      <c r="Z707" s="864"/>
      <c r="AA707" s="863"/>
      <c r="AB707" s="756">
        <f t="shared" si="100"/>
        <v>0</v>
      </c>
      <c r="AC707" s="859"/>
      <c r="AD707" s="863"/>
      <c r="AE707" s="859"/>
      <c r="AF707" s="859"/>
      <c r="AG707" s="864"/>
      <c r="AH707" s="865"/>
      <c r="AI707" s="757">
        <f t="shared" si="104"/>
        <v>0</v>
      </c>
      <c r="AJ707" s="758">
        <f t="shared" si="105"/>
        <v>0</v>
      </c>
    </row>
    <row r="708" spans="1:36" x14ac:dyDescent="0.2">
      <c r="A708" s="1197" t="s">
        <v>148</v>
      </c>
      <c r="B708" s="1096" t="s">
        <v>210</v>
      </c>
      <c r="C708" s="1208" t="s">
        <v>311</v>
      </c>
      <c r="D708" s="1207"/>
      <c r="E708" s="1099"/>
      <c r="F708" s="1100"/>
      <c r="G708" s="859"/>
      <c r="H708" s="860"/>
      <c r="I708" s="861"/>
      <c r="J708" s="862"/>
      <c r="K708" s="859"/>
      <c r="L708" s="863"/>
      <c r="M708" s="859"/>
      <c r="N708" s="859"/>
      <c r="O708" s="752">
        <f t="shared" si="98"/>
        <v>0</v>
      </c>
      <c r="P708" s="862"/>
      <c r="Q708" s="860"/>
      <c r="R708" s="753">
        <f t="shared" si="101"/>
        <v>0</v>
      </c>
      <c r="S708" s="752">
        <f t="shared" si="102"/>
        <v>0</v>
      </c>
      <c r="T708" s="754">
        <f t="shared" si="103"/>
        <v>0</v>
      </c>
      <c r="U708" s="859"/>
      <c r="V708" s="863"/>
      <c r="W708" s="859"/>
      <c r="X708" s="859"/>
      <c r="Y708" s="755">
        <f t="shared" si="99"/>
        <v>0</v>
      </c>
      <c r="Z708" s="864"/>
      <c r="AA708" s="863"/>
      <c r="AB708" s="756">
        <f t="shared" si="100"/>
        <v>0</v>
      </c>
      <c r="AC708" s="859"/>
      <c r="AD708" s="863"/>
      <c r="AE708" s="859"/>
      <c r="AF708" s="859"/>
      <c r="AG708" s="864"/>
      <c r="AH708" s="865"/>
      <c r="AI708" s="757">
        <f t="shared" si="104"/>
        <v>0</v>
      </c>
      <c r="AJ708" s="758">
        <f t="shared" si="105"/>
        <v>0</v>
      </c>
    </row>
    <row r="709" spans="1:36" x14ac:dyDescent="0.2">
      <c r="A709" s="1197" t="s">
        <v>148</v>
      </c>
      <c r="B709" s="1096" t="s">
        <v>204</v>
      </c>
      <c r="C709" s="1208" t="s">
        <v>249</v>
      </c>
      <c r="D709" s="1207"/>
      <c r="E709" s="1099"/>
      <c r="F709" s="1100"/>
      <c r="G709" s="859"/>
      <c r="H709" s="860"/>
      <c r="I709" s="861"/>
      <c r="J709" s="862"/>
      <c r="K709" s="859"/>
      <c r="L709" s="863"/>
      <c r="M709" s="859"/>
      <c r="N709" s="859"/>
      <c r="O709" s="752">
        <f t="shared" si="98"/>
        <v>0</v>
      </c>
      <c r="P709" s="862"/>
      <c r="Q709" s="860"/>
      <c r="R709" s="753">
        <f t="shared" si="101"/>
        <v>0</v>
      </c>
      <c r="S709" s="752">
        <f t="shared" si="102"/>
        <v>0</v>
      </c>
      <c r="T709" s="754">
        <f t="shared" si="103"/>
        <v>0</v>
      </c>
      <c r="U709" s="859">
        <v>176650</v>
      </c>
      <c r="V709" s="863">
        <v>144500</v>
      </c>
      <c r="W709" s="859"/>
      <c r="X709" s="859"/>
      <c r="Y709" s="755">
        <f t="shared" si="99"/>
        <v>0</v>
      </c>
      <c r="Z709" s="864"/>
      <c r="AA709" s="863"/>
      <c r="AB709" s="756">
        <f t="shared" si="100"/>
        <v>0</v>
      </c>
      <c r="AC709" s="859"/>
      <c r="AD709" s="863"/>
      <c r="AE709" s="859"/>
      <c r="AF709" s="859"/>
      <c r="AG709" s="864"/>
      <c r="AH709" s="865"/>
      <c r="AI709" s="757">
        <f t="shared" si="104"/>
        <v>176650</v>
      </c>
      <c r="AJ709" s="758">
        <f t="shared" si="105"/>
        <v>144500</v>
      </c>
    </row>
    <row r="710" spans="1:36" x14ac:dyDescent="0.2">
      <c r="A710" s="1197" t="s">
        <v>148</v>
      </c>
      <c r="B710" s="1096" t="s">
        <v>205</v>
      </c>
      <c r="C710" s="1208" t="s">
        <v>222</v>
      </c>
      <c r="D710" s="1207"/>
      <c r="E710" s="1099"/>
      <c r="F710" s="1100"/>
      <c r="G710" s="859"/>
      <c r="H710" s="860"/>
      <c r="I710" s="861"/>
      <c r="J710" s="862"/>
      <c r="K710" s="859"/>
      <c r="L710" s="863"/>
      <c r="M710" s="859"/>
      <c r="N710" s="859"/>
      <c r="O710" s="752">
        <f t="shared" si="98"/>
        <v>0</v>
      </c>
      <c r="P710" s="862"/>
      <c r="Q710" s="860"/>
      <c r="R710" s="753">
        <f t="shared" si="101"/>
        <v>0</v>
      </c>
      <c r="S710" s="752">
        <f t="shared" si="102"/>
        <v>0</v>
      </c>
      <c r="T710" s="754">
        <f t="shared" si="103"/>
        <v>0</v>
      </c>
      <c r="U710" s="859"/>
      <c r="V710" s="863"/>
      <c r="W710" s="859"/>
      <c r="X710" s="859"/>
      <c r="Y710" s="755">
        <f t="shared" si="99"/>
        <v>0</v>
      </c>
      <c r="Z710" s="864"/>
      <c r="AA710" s="863"/>
      <c r="AB710" s="756">
        <f t="shared" si="100"/>
        <v>0</v>
      </c>
      <c r="AC710" s="859"/>
      <c r="AD710" s="863"/>
      <c r="AE710" s="859"/>
      <c r="AF710" s="859"/>
      <c r="AG710" s="864"/>
      <c r="AH710" s="865"/>
      <c r="AI710" s="757">
        <f t="shared" si="104"/>
        <v>0</v>
      </c>
      <c r="AJ710" s="758">
        <f t="shared" si="105"/>
        <v>0</v>
      </c>
    </row>
    <row r="711" spans="1:36" x14ac:dyDescent="0.2">
      <c r="A711" s="1197" t="s">
        <v>148</v>
      </c>
      <c r="B711" s="1096" t="s">
        <v>218</v>
      </c>
      <c r="C711" s="1208" t="s">
        <v>311</v>
      </c>
      <c r="D711" s="1207"/>
      <c r="E711" s="1099"/>
      <c r="F711" s="1100"/>
      <c r="G711" s="859"/>
      <c r="H711" s="860"/>
      <c r="I711" s="861"/>
      <c r="J711" s="862"/>
      <c r="K711" s="859"/>
      <c r="L711" s="863"/>
      <c r="M711" s="859"/>
      <c r="N711" s="859"/>
      <c r="O711" s="752">
        <f t="shared" si="98"/>
        <v>0</v>
      </c>
      <c r="P711" s="862"/>
      <c r="Q711" s="860"/>
      <c r="R711" s="753">
        <f t="shared" si="101"/>
        <v>0</v>
      </c>
      <c r="S711" s="752">
        <f t="shared" si="102"/>
        <v>0</v>
      </c>
      <c r="T711" s="754">
        <f t="shared" si="103"/>
        <v>0</v>
      </c>
      <c r="U711" s="859"/>
      <c r="V711" s="863"/>
      <c r="W711" s="859"/>
      <c r="X711" s="859"/>
      <c r="Y711" s="755">
        <f t="shared" si="99"/>
        <v>0</v>
      </c>
      <c r="Z711" s="864"/>
      <c r="AA711" s="863"/>
      <c r="AB711" s="756">
        <f t="shared" si="100"/>
        <v>0</v>
      </c>
      <c r="AC711" s="859"/>
      <c r="AD711" s="863"/>
      <c r="AE711" s="859"/>
      <c r="AF711" s="859"/>
      <c r="AG711" s="864"/>
      <c r="AH711" s="865"/>
      <c r="AI711" s="757">
        <f t="shared" si="104"/>
        <v>0</v>
      </c>
      <c r="AJ711" s="758">
        <f t="shared" si="105"/>
        <v>0</v>
      </c>
    </row>
    <row r="712" spans="1:36" x14ac:dyDescent="0.2">
      <c r="A712" s="1197" t="s">
        <v>148</v>
      </c>
      <c r="B712" s="1096" t="s">
        <v>219</v>
      </c>
      <c r="C712" s="1208" t="s">
        <v>249</v>
      </c>
      <c r="D712" s="1207"/>
      <c r="E712" s="1099"/>
      <c r="F712" s="1100"/>
      <c r="G712" s="859"/>
      <c r="H712" s="860"/>
      <c r="I712" s="861"/>
      <c r="J712" s="862"/>
      <c r="K712" s="859"/>
      <c r="L712" s="863"/>
      <c r="M712" s="859"/>
      <c r="N712" s="859"/>
      <c r="O712" s="752">
        <f t="shared" si="98"/>
        <v>0</v>
      </c>
      <c r="P712" s="862"/>
      <c r="Q712" s="860"/>
      <c r="R712" s="753">
        <f t="shared" si="101"/>
        <v>0</v>
      </c>
      <c r="S712" s="752">
        <f t="shared" si="102"/>
        <v>0</v>
      </c>
      <c r="T712" s="754">
        <f t="shared" si="103"/>
        <v>0</v>
      </c>
      <c r="U712" s="859">
        <v>158500</v>
      </c>
      <c r="V712" s="863">
        <v>69000</v>
      </c>
      <c r="W712" s="859"/>
      <c r="X712" s="859"/>
      <c r="Y712" s="755">
        <f t="shared" si="99"/>
        <v>0</v>
      </c>
      <c r="Z712" s="864"/>
      <c r="AA712" s="863"/>
      <c r="AB712" s="756">
        <f t="shared" si="100"/>
        <v>0</v>
      </c>
      <c r="AC712" s="859"/>
      <c r="AD712" s="863"/>
      <c r="AE712" s="859"/>
      <c r="AF712" s="859"/>
      <c r="AG712" s="864"/>
      <c r="AH712" s="865"/>
      <c r="AI712" s="757">
        <f t="shared" si="104"/>
        <v>158500</v>
      </c>
      <c r="AJ712" s="758">
        <f t="shared" si="105"/>
        <v>69000</v>
      </c>
    </row>
    <row r="713" spans="1:36" x14ac:dyDescent="0.2">
      <c r="A713" s="1197" t="s">
        <v>148</v>
      </c>
      <c r="B713" s="1096" t="s">
        <v>292</v>
      </c>
      <c r="C713" s="1213" t="s">
        <v>1175</v>
      </c>
      <c r="D713" s="1098"/>
      <c r="E713" s="1099"/>
      <c r="F713" s="1100"/>
      <c r="G713" s="859"/>
      <c r="H713" s="860"/>
      <c r="I713" s="861"/>
      <c r="J713" s="862"/>
      <c r="K713" s="859"/>
      <c r="L713" s="863"/>
      <c r="M713" s="859"/>
      <c r="N713" s="859"/>
      <c r="O713" s="752">
        <f t="shared" si="98"/>
        <v>0</v>
      </c>
      <c r="P713" s="862"/>
      <c r="Q713" s="860"/>
      <c r="R713" s="753">
        <f t="shared" si="101"/>
        <v>0</v>
      </c>
      <c r="S713" s="752">
        <f t="shared" si="102"/>
        <v>0</v>
      </c>
      <c r="T713" s="754">
        <f t="shared" si="103"/>
        <v>0</v>
      </c>
      <c r="U713" s="859"/>
      <c r="V713" s="863"/>
      <c r="W713" s="859"/>
      <c r="X713" s="859"/>
      <c r="Y713" s="755">
        <f t="shared" si="99"/>
        <v>0</v>
      </c>
      <c r="Z713" s="864"/>
      <c r="AA713" s="863"/>
      <c r="AB713" s="756">
        <f t="shared" si="100"/>
        <v>0</v>
      </c>
      <c r="AC713" s="859"/>
      <c r="AD713" s="863"/>
      <c r="AE713" s="859"/>
      <c r="AF713" s="859"/>
      <c r="AG713" s="864"/>
      <c r="AH713" s="865"/>
      <c r="AI713" s="757">
        <f t="shared" si="104"/>
        <v>0</v>
      </c>
      <c r="AJ713" s="758">
        <f t="shared" si="105"/>
        <v>0</v>
      </c>
    </row>
    <row r="714" spans="1:36" x14ac:dyDescent="0.2">
      <c r="A714" s="1197" t="s">
        <v>148</v>
      </c>
      <c r="B714" s="1096" t="s">
        <v>209</v>
      </c>
      <c r="C714" s="1208" t="s">
        <v>250</v>
      </c>
      <c r="D714" s="1207"/>
      <c r="E714" s="1099"/>
      <c r="F714" s="1100"/>
      <c r="G714" s="859"/>
      <c r="H714" s="860"/>
      <c r="I714" s="861"/>
      <c r="J714" s="862"/>
      <c r="K714" s="859"/>
      <c r="L714" s="863"/>
      <c r="M714" s="859"/>
      <c r="N714" s="859"/>
      <c r="O714" s="752">
        <f t="shared" si="98"/>
        <v>0</v>
      </c>
      <c r="P714" s="862"/>
      <c r="Q714" s="860"/>
      <c r="R714" s="753">
        <f t="shared" si="101"/>
        <v>0</v>
      </c>
      <c r="S714" s="752">
        <f t="shared" si="102"/>
        <v>0</v>
      </c>
      <c r="T714" s="754">
        <f t="shared" si="103"/>
        <v>0</v>
      </c>
      <c r="U714" s="859"/>
      <c r="V714" s="863"/>
      <c r="W714" s="859"/>
      <c r="X714" s="859"/>
      <c r="Y714" s="755">
        <f t="shared" si="99"/>
        <v>0</v>
      </c>
      <c r="Z714" s="864"/>
      <c r="AA714" s="863"/>
      <c r="AB714" s="756">
        <f t="shared" si="100"/>
        <v>0</v>
      </c>
      <c r="AC714" s="859"/>
      <c r="AD714" s="863"/>
      <c r="AE714" s="859"/>
      <c r="AF714" s="859"/>
      <c r="AG714" s="864"/>
      <c r="AH714" s="865"/>
      <c r="AI714" s="757">
        <f t="shared" si="104"/>
        <v>0</v>
      </c>
      <c r="AJ714" s="758">
        <f t="shared" si="105"/>
        <v>0</v>
      </c>
    </row>
    <row r="715" spans="1:36" x14ac:dyDescent="0.2">
      <c r="A715" s="1197" t="s">
        <v>148</v>
      </c>
      <c r="B715" s="1096" t="s">
        <v>210</v>
      </c>
      <c r="C715" s="1208" t="s">
        <v>311</v>
      </c>
      <c r="D715" s="1207"/>
      <c r="E715" s="1099"/>
      <c r="F715" s="1100"/>
      <c r="G715" s="859"/>
      <c r="H715" s="860"/>
      <c r="I715" s="861"/>
      <c r="J715" s="862"/>
      <c r="K715" s="859"/>
      <c r="L715" s="863"/>
      <c r="M715" s="859"/>
      <c r="N715" s="859"/>
      <c r="O715" s="752">
        <f t="shared" ref="O715:O778" si="106">SUM(M715:N715)</f>
        <v>0</v>
      </c>
      <c r="P715" s="862"/>
      <c r="Q715" s="860"/>
      <c r="R715" s="753">
        <f t="shared" si="101"/>
        <v>0</v>
      </c>
      <c r="S715" s="752">
        <f t="shared" si="102"/>
        <v>0</v>
      </c>
      <c r="T715" s="754">
        <f t="shared" si="103"/>
        <v>0</v>
      </c>
      <c r="U715" s="859"/>
      <c r="V715" s="863"/>
      <c r="W715" s="859"/>
      <c r="X715" s="859"/>
      <c r="Y715" s="755">
        <f t="shared" ref="Y715:Y778" si="107">SUM(W715:X715)</f>
        <v>0</v>
      </c>
      <c r="Z715" s="864"/>
      <c r="AA715" s="863"/>
      <c r="AB715" s="756">
        <f t="shared" ref="AB715:AB778" si="108">SUM(Z715:AA715)</f>
        <v>0</v>
      </c>
      <c r="AC715" s="859"/>
      <c r="AD715" s="863"/>
      <c r="AE715" s="859"/>
      <c r="AF715" s="859"/>
      <c r="AG715" s="864"/>
      <c r="AH715" s="865"/>
      <c r="AI715" s="757">
        <f t="shared" si="104"/>
        <v>0</v>
      </c>
      <c r="AJ715" s="758">
        <f t="shared" si="105"/>
        <v>0</v>
      </c>
    </row>
    <row r="716" spans="1:36" x14ac:dyDescent="0.2">
      <c r="A716" s="1197" t="s">
        <v>148</v>
      </c>
      <c r="B716" s="1096" t="s">
        <v>204</v>
      </c>
      <c r="C716" s="1208" t="s">
        <v>249</v>
      </c>
      <c r="D716" s="1207"/>
      <c r="E716" s="1099"/>
      <c r="F716" s="1100"/>
      <c r="G716" s="859"/>
      <c r="H716" s="860"/>
      <c r="I716" s="861"/>
      <c r="J716" s="862"/>
      <c r="K716" s="859"/>
      <c r="L716" s="863"/>
      <c r="M716" s="859"/>
      <c r="N716" s="859"/>
      <c r="O716" s="752">
        <f t="shared" si="106"/>
        <v>0</v>
      </c>
      <c r="P716" s="862"/>
      <c r="Q716" s="860"/>
      <c r="R716" s="753">
        <f t="shared" ref="R716:R779" si="109">SUM(P716:Q716)</f>
        <v>0</v>
      </c>
      <c r="S716" s="752">
        <f t="shared" ref="S716:S779" si="110">SUM(G716,I716,K716,M716)</f>
        <v>0</v>
      </c>
      <c r="T716" s="754">
        <f t="shared" ref="T716:T779" si="111">SUM(H716,J716,L716,P716)</f>
        <v>0</v>
      </c>
      <c r="U716" s="859"/>
      <c r="V716" s="863"/>
      <c r="W716" s="859"/>
      <c r="X716" s="859"/>
      <c r="Y716" s="755">
        <f t="shared" si="107"/>
        <v>0</v>
      </c>
      <c r="Z716" s="864"/>
      <c r="AA716" s="863"/>
      <c r="AB716" s="756">
        <f t="shared" si="108"/>
        <v>0</v>
      </c>
      <c r="AC716" s="859"/>
      <c r="AD716" s="863"/>
      <c r="AE716" s="859"/>
      <c r="AF716" s="859"/>
      <c r="AG716" s="864"/>
      <c r="AH716" s="865"/>
      <c r="AI716" s="757">
        <f t="shared" ref="AI716:AI779" si="112">SUM(S716,U716,W716,AC716,AE716)</f>
        <v>0</v>
      </c>
      <c r="AJ716" s="758">
        <f t="shared" ref="AJ716:AJ779" si="113">SUM(T716,V716,Z716,AD716,AG716)</f>
        <v>0</v>
      </c>
    </row>
    <row r="717" spans="1:36" x14ac:dyDescent="0.2">
      <c r="A717" s="1197" t="s">
        <v>148</v>
      </c>
      <c r="B717" s="1096" t="s">
        <v>205</v>
      </c>
      <c r="C717" s="1208" t="s">
        <v>222</v>
      </c>
      <c r="D717" s="1207"/>
      <c r="E717" s="1099"/>
      <c r="F717" s="1100"/>
      <c r="G717" s="859"/>
      <c r="H717" s="860"/>
      <c r="I717" s="861"/>
      <c r="J717" s="862"/>
      <c r="K717" s="859"/>
      <c r="L717" s="863"/>
      <c r="M717" s="859"/>
      <c r="N717" s="859"/>
      <c r="O717" s="752">
        <f t="shared" si="106"/>
        <v>0</v>
      </c>
      <c r="P717" s="862"/>
      <c r="Q717" s="860"/>
      <c r="R717" s="753">
        <f t="shared" si="109"/>
        <v>0</v>
      </c>
      <c r="S717" s="752">
        <f t="shared" si="110"/>
        <v>0</v>
      </c>
      <c r="T717" s="754">
        <f t="shared" si="111"/>
        <v>0</v>
      </c>
      <c r="U717" s="859"/>
      <c r="V717" s="863"/>
      <c r="W717" s="859"/>
      <c r="X717" s="859"/>
      <c r="Y717" s="755">
        <f t="shared" si="107"/>
        <v>0</v>
      </c>
      <c r="Z717" s="864"/>
      <c r="AA717" s="863"/>
      <c r="AB717" s="756">
        <f t="shared" si="108"/>
        <v>0</v>
      </c>
      <c r="AC717" s="859"/>
      <c r="AD717" s="863"/>
      <c r="AE717" s="859"/>
      <c r="AF717" s="859"/>
      <c r="AG717" s="864"/>
      <c r="AH717" s="865"/>
      <c r="AI717" s="757">
        <f t="shared" si="112"/>
        <v>0</v>
      </c>
      <c r="AJ717" s="758">
        <f t="shared" si="113"/>
        <v>0</v>
      </c>
    </row>
    <row r="718" spans="1:36" x14ac:dyDescent="0.2">
      <c r="A718" s="1197" t="s">
        <v>148</v>
      </c>
      <c r="B718" s="1096" t="s">
        <v>218</v>
      </c>
      <c r="C718" s="1208" t="s">
        <v>311</v>
      </c>
      <c r="D718" s="1207"/>
      <c r="E718" s="1099"/>
      <c r="F718" s="1100"/>
      <c r="G718" s="859"/>
      <c r="H718" s="860"/>
      <c r="I718" s="861"/>
      <c r="J718" s="862"/>
      <c r="K718" s="859"/>
      <c r="L718" s="863"/>
      <c r="M718" s="859"/>
      <c r="N718" s="859"/>
      <c r="O718" s="752">
        <f t="shared" si="106"/>
        <v>0</v>
      </c>
      <c r="P718" s="862"/>
      <c r="Q718" s="860"/>
      <c r="R718" s="753">
        <f t="shared" si="109"/>
        <v>0</v>
      </c>
      <c r="S718" s="752">
        <f t="shared" si="110"/>
        <v>0</v>
      </c>
      <c r="T718" s="754">
        <f t="shared" si="111"/>
        <v>0</v>
      </c>
      <c r="U718" s="859"/>
      <c r="V718" s="863"/>
      <c r="W718" s="859"/>
      <c r="X718" s="859"/>
      <c r="Y718" s="755">
        <f t="shared" si="107"/>
        <v>0</v>
      </c>
      <c r="Z718" s="864"/>
      <c r="AA718" s="863"/>
      <c r="AB718" s="756">
        <f t="shared" si="108"/>
        <v>0</v>
      </c>
      <c r="AC718" s="859"/>
      <c r="AD718" s="863"/>
      <c r="AE718" s="859"/>
      <c r="AF718" s="859"/>
      <c r="AG718" s="864"/>
      <c r="AH718" s="865"/>
      <c r="AI718" s="757">
        <f t="shared" si="112"/>
        <v>0</v>
      </c>
      <c r="AJ718" s="758">
        <f t="shared" si="113"/>
        <v>0</v>
      </c>
    </row>
    <row r="719" spans="1:36" x14ac:dyDescent="0.2">
      <c r="A719" s="1197" t="s">
        <v>148</v>
      </c>
      <c r="B719" s="1096" t="s">
        <v>219</v>
      </c>
      <c r="C719" s="1208" t="s">
        <v>249</v>
      </c>
      <c r="D719" s="1207"/>
      <c r="E719" s="1099"/>
      <c r="F719" s="1100"/>
      <c r="G719" s="859"/>
      <c r="H719" s="860"/>
      <c r="I719" s="861"/>
      <c r="J719" s="862"/>
      <c r="K719" s="859"/>
      <c r="L719" s="863"/>
      <c r="M719" s="859"/>
      <c r="N719" s="859"/>
      <c r="O719" s="752">
        <f t="shared" si="106"/>
        <v>0</v>
      </c>
      <c r="P719" s="862"/>
      <c r="Q719" s="860"/>
      <c r="R719" s="753">
        <f t="shared" si="109"/>
        <v>0</v>
      </c>
      <c r="S719" s="752">
        <f t="shared" si="110"/>
        <v>0</v>
      </c>
      <c r="T719" s="754">
        <f t="shared" si="111"/>
        <v>0</v>
      </c>
      <c r="U719" s="859">
        <v>16000</v>
      </c>
      <c r="V719" s="863">
        <v>23834</v>
      </c>
      <c r="W719" s="859"/>
      <c r="X719" s="859"/>
      <c r="Y719" s="755">
        <f t="shared" si="107"/>
        <v>0</v>
      </c>
      <c r="Z719" s="864"/>
      <c r="AA719" s="863"/>
      <c r="AB719" s="756">
        <f t="shared" si="108"/>
        <v>0</v>
      </c>
      <c r="AC719" s="859"/>
      <c r="AD719" s="863"/>
      <c r="AE719" s="859"/>
      <c r="AF719" s="859"/>
      <c r="AG719" s="864"/>
      <c r="AH719" s="865"/>
      <c r="AI719" s="757">
        <f t="shared" si="112"/>
        <v>16000</v>
      </c>
      <c r="AJ719" s="758">
        <f t="shared" si="113"/>
        <v>23834</v>
      </c>
    </row>
    <row r="720" spans="1:36" x14ac:dyDescent="0.2">
      <c r="A720" s="1197" t="s">
        <v>148</v>
      </c>
      <c r="B720" s="1096" t="s">
        <v>292</v>
      </c>
      <c r="C720" s="1213" t="s">
        <v>1176</v>
      </c>
      <c r="D720" s="1098"/>
      <c r="E720" s="1099"/>
      <c r="F720" s="1100"/>
      <c r="G720" s="859"/>
      <c r="H720" s="860"/>
      <c r="I720" s="861"/>
      <c r="J720" s="862"/>
      <c r="K720" s="859"/>
      <c r="L720" s="863"/>
      <c r="M720" s="859"/>
      <c r="N720" s="859"/>
      <c r="O720" s="752">
        <f t="shared" si="106"/>
        <v>0</v>
      </c>
      <c r="P720" s="862"/>
      <c r="Q720" s="860"/>
      <c r="R720" s="753">
        <f t="shared" si="109"/>
        <v>0</v>
      </c>
      <c r="S720" s="752">
        <f t="shared" si="110"/>
        <v>0</v>
      </c>
      <c r="T720" s="754">
        <f t="shared" si="111"/>
        <v>0</v>
      </c>
      <c r="U720" s="859"/>
      <c r="V720" s="1214"/>
      <c r="W720" s="859"/>
      <c r="X720" s="859"/>
      <c r="Y720" s="755">
        <f t="shared" si="107"/>
        <v>0</v>
      </c>
      <c r="Z720" s="864"/>
      <c r="AA720" s="863"/>
      <c r="AB720" s="756">
        <f t="shared" si="108"/>
        <v>0</v>
      </c>
      <c r="AC720" s="859"/>
      <c r="AD720" s="863"/>
      <c r="AE720" s="859"/>
      <c r="AF720" s="859"/>
      <c r="AG720" s="864"/>
      <c r="AH720" s="865"/>
      <c r="AI720" s="757">
        <f t="shared" si="112"/>
        <v>0</v>
      </c>
      <c r="AJ720" s="758">
        <f t="shared" si="113"/>
        <v>0</v>
      </c>
    </row>
    <row r="721" spans="1:36" x14ac:dyDescent="0.2">
      <c r="A721" s="1197" t="s">
        <v>148</v>
      </c>
      <c r="B721" s="1096" t="s">
        <v>209</v>
      </c>
      <c r="C721" s="1208" t="s">
        <v>250</v>
      </c>
      <c r="D721" s="1207"/>
      <c r="E721" s="1099"/>
      <c r="F721" s="1100"/>
      <c r="G721" s="859"/>
      <c r="H721" s="860"/>
      <c r="I721" s="861"/>
      <c r="J721" s="862"/>
      <c r="K721" s="859"/>
      <c r="L721" s="863"/>
      <c r="M721" s="859"/>
      <c r="N721" s="859"/>
      <c r="O721" s="752">
        <f t="shared" si="106"/>
        <v>0</v>
      </c>
      <c r="P721" s="862"/>
      <c r="Q721" s="860"/>
      <c r="R721" s="753">
        <f t="shared" si="109"/>
        <v>0</v>
      </c>
      <c r="S721" s="752">
        <f t="shared" si="110"/>
        <v>0</v>
      </c>
      <c r="T721" s="754">
        <f t="shared" si="111"/>
        <v>0</v>
      </c>
      <c r="U721" s="859"/>
      <c r="V721" s="863"/>
      <c r="W721" s="859"/>
      <c r="X721" s="859"/>
      <c r="Y721" s="755">
        <f t="shared" si="107"/>
        <v>0</v>
      </c>
      <c r="Z721" s="864"/>
      <c r="AA721" s="863"/>
      <c r="AB721" s="756">
        <f t="shared" si="108"/>
        <v>0</v>
      </c>
      <c r="AC721" s="859"/>
      <c r="AD721" s="863"/>
      <c r="AE721" s="859"/>
      <c r="AF721" s="859"/>
      <c r="AG721" s="864"/>
      <c r="AH721" s="865"/>
      <c r="AI721" s="757">
        <f t="shared" si="112"/>
        <v>0</v>
      </c>
      <c r="AJ721" s="758">
        <f t="shared" si="113"/>
        <v>0</v>
      </c>
    </row>
    <row r="722" spans="1:36" x14ac:dyDescent="0.2">
      <c r="A722" s="1197" t="s">
        <v>148</v>
      </c>
      <c r="B722" s="1096" t="s">
        <v>210</v>
      </c>
      <c r="C722" s="1208" t="s">
        <v>311</v>
      </c>
      <c r="D722" s="1207"/>
      <c r="E722" s="1099"/>
      <c r="F722" s="1100"/>
      <c r="G722" s="859"/>
      <c r="H722" s="860"/>
      <c r="I722" s="861"/>
      <c r="J722" s="862"/>
      <c r="K722" s="859"/>
      <c r="L722" s="863"/>
      <c r="M722" s="859"/>
      <c r="N722" s="859"/>
      <c r="O722" s="752">
        <f t="shared" si="106"/>
        <v>0</v>
      </c>
      <c r="P722" s="862"/>
      <c r="Q722" s="860"/>
      <c r="R722" s="753">
        <f t="shared" si="109"/>
        <v>0</v>
      </c>
      <c r="S722" s="752">
        <f t="shared" si="110"/>
        <v>0</v>
      </c>
      <c r="T722" s="754">
        <f t="shared" si="111"/>
        <v>0</v>
      </c>
      <c r="U722" s="859"/>
      <c r="V722" s="863"/>
      <c r="W722" s="859"/>
      <c r="X722" s="859"/>
      <c r="Y722" s="755">
        <f t="shared" si="107"/>
        <v>0</v>
      </c>
      <c r="Z722" s="864"/>
      <c r="AA722" s="863"/>
      <c r="AB722" s="756">
        <f t="shared" si="108"/>
        <v>0</v>
      </c>
      <c r="AC722" s="859"/>
      <c r="AD722" s="863"/>
      <c r="AE722" s="859"/>
      <c r="AF722" s="859"/>
      <c r="AG722" s="864"/>
      <c r="AH722" s="865"/>
      <c r="AI722" s="757">
        <f t="shared" si="112"/>
        <v>0</v>
      </c>
      <c r="AJ722" s="758">
        <f t="shared" si="113"/>
        <v>0</v>
      </c>
    </row>
    <row r="723" spans="1:36" x14ac:dyDescent="0.2">
      <c r="A723" s="1197" t="s">
        <v>148</v>
      </c>
      <c r="B723" s="1096" t="s">
        <v>204</v>
      </c>
      <c r="C723" s="1208" t="s">
        <v>249</v>
      </c>
      <c r="D723" s="1207"/>
      <c r="E723" s="1099"/>
      <c r="F723" s="1100"/>
      <c r="G723" s="859"/>
      <c r="H723" s="860"/>
      <c r="I723" s="861"/>
      <c r="J723" s="862"/>
      <c r="K723" s="859"/>
      <c r="L723" s="863"/>
      <c r="M723" s="859"/>
      <c r="N723" s="859"/>
      <c r="O723" s="752">
        <f t="shared" si="106"/>
        <v>0</v>
      </c>
      <c r="P723" s="862"/>
      <c r="Q723" s="860"/>
      <c r="R723" s="753">
        <f t="shared" si="109"/>
        <v>0</v>
      </c>
      <c r="S723" s="752">
        <f t="shared" si="110"/>
        <v>0</v>
      </c>
      <c r="T723" s="754">
        <f t="shared" si="111"/>
        <v>0</v>
      </c>
      <c r="U723" s="859">
        <v>137028</v>
      </c>
      <c r="V723" s="863">
        <v>129482</v>
      </c>
      <c r="W723" s="859"/>
      <c r="X723" s="859"/>
      <c r="Y723" s="755">
        <f t="shared" si="107"/>
        <v>0</v>
      </c>
      <c r="Z723" s="864"/>
      <c r="AA723" s="863"/>
      <c r="AB723" s="756">
        <f t="shared" si="108"/>
        <v>0</v>
      </c>
      <c r="AC723" s="859"/>
      <c r="AD723" s="863"/>
      <c r="AE723" s="859"/>
      <c r="AF723" s="859"/>
      <c r="AG723" s="864"/>
      <c r="AH723" s="865"/>
      <c r="AI723" s="757">
        <f t="shared" si="112"/>
        <v>137028</v>
      </c>
      <c r="AJ723" s="758">
        <f t="shared" si="113"/>
        <v>129482</v>
      </c>
    </row>
    <row r="724" spans="1:36" x14ac:dyDescent="0.2">
      <c r="A724" s="1197" t="s">
        <v>148</v>
      </c>
      <c r="B724" s="1096" t="s">
        <v>205</v>
      </c>
      <c r="C724" s="1208" t="s">
        <v>222</v>
      </c>
      <c r="D724" s="1207"/>
      <c r="E724" s="1099"/>
      <c r="F724" s="1100"/>
      <c r="G724" s="859"/>
      <c r="H724" s="860"/>
      <c r="I724" s="861"/>
      <c r="J724" s="862"/>
      <c r="K724" s="859"/>
      <c r="L724" s="863"/>
      <c r="M724" s="859"/>
      <c r="N724" s="859"/>
      <c r="O724" s="752">
        <f t="shared" si="106"/>
        <v>0</v>
      </c>
      <c r="P724" s="862"/>
      <c r="Q724" s="860"/>
      <c r="R724" s="753">
        <f t="shared" si="109"/>
        <v>0</v>
      </c>
      <c r="S724" s="752">
        <f t="shared" si="110"/>
        <v>0</v>
      </c>
      <c r="T724" s="754">
        <f t="shared" si="111"/>
        <v>0</v>
      </c>
      <c r="U724" s="859"/>
      <c r="V724" s="863"/>
      <c r="W724" s="859"/>
      <c r="X724" s="859"/>
      <c r="Y724" s="755">
        <f t="shared" si="107"/>
        <v>0</v>
      </c>
      <c r="Z724" s="864"/>
      <c r="AA724" s="863"/>
      <c r="AB724" s="756">
        <f t="shared" si="108"/>
        <v>0</v>
      </c>
      <c r="AC724" s="859"/>
      <c r="AD724" s="863"/>
      <c r="AE724" s="859"/>
      <c r="AF724" s="859"/>
      <c r="AG724" s="864"/>
      <c r="AH724" s="865"/>
      <c r="AI724" s="757">
        <f t="shared" si="112"/>
        <v>0</v>
      </c>
      <c r="AJ724" s="758">
        <f t="shared" si="113"/>
        <v>0</v>
      </c>
    </row>
    <row r="725" spans="1:36" x14ac:dyDescent="0.2">
      <c r="A725" s="1197" t="s">
        <v>148</v>
      </c>
      <c r="B725" s="1096" t="s">
        <v>218</v>
      </c>
      <c r="C725" s="1208" t="s">
        <v>311</v>
      </c>
      <c r="D725" s="1207"/>
      <c r="E725" s="1099"/>
      <c r="F725" s="1100"/>
      <c r="G725" s="859"/>
      <c r="H725" s="860"/>
      <c r="I725" s="861"/>
      <c r="J725" s="862"/>
      <c r="K725" s="859"/>
      <c r="L725" s="863"/>
      <c r="M725" s="859"/>
      <c r="N725" s="859"/>
      <c r="O725" s="752">
        <f t="shared" si="106"/>
        <v>0</v>
      </c>
      <c r="P725" s="862"/>
      <c r="Q725" s="860"/>
      <c r="R725" s="753">
        <f t="shared" si="109"/>
        <v>0</v>
      </c>
      <c r="S725" s="752">
        <f t="shared" si="110"/>
        <v>0</v>
      </c>
      <c r="T725" s="754">
        <f t="shared" si="111"/>
        <v>0</v>
      </c>
      <c r="U725" s="859"/>
      <c r="V725" s="863"/>
      <c r="W725" s="859"/>
      <c r="X725" s="859"/>
      <c r="Y725" s="755">
        <f t="shared" si="107"/>
        <v>0</v>
      </c>
      <c r="Z725" s="864"/>
      <c r="AA725" s="863"/>
      <c r="AB725" s="756">
        <f t="shared" si="108"/>
        <v>0</v>
      </c>
      <c r="AC725" s="859"/>
      <c r="AD725" s="863"/>
      <c r="AE725" s="859"/>
      <c r="AF725" s="859"/>
      <c r="AG725" s="864"/>
      <c r="AH725" s="865"/>
      <c r="AI725" s="757">
        <f t="shared" si="112"/>
        <v>0</v>
      </c>
      <c r="AJ725" s="758">
        <f t="shared" si="113"/>
        <v>0</v>
      </c>
    </row>
    <row r="726" spans="1:36" x14ac:dyDescent="0.2">
      <c r="A726" s="1197" t="s">
        <v>148</v>
      </c>
      <c r="B726" s="1096" t="s">
        <v>219</v>
      </c>
      <c r="C726" s="1208" t="s">
        <v>249</v>
      </c>
      <c r="D726" s="1207"/>
      <c r="E726" s="1099"/>
      <c r="F726" s="1100"/>
      <c r="G726" s="859"/>
      <c r="H726" s="860"/>
      <c r="I726" s="861"/>
      <c r="J726" s="862"/>
      <c r="K726" s="859"/>
      <c r="L726" s="863"/>
      <c r="M726" s="859"/>
      <c r="N726" s="859"/>
      <c r="O726" s="752">
        <f t="shared" si="106"/>
        <v>0</v>
      </c>
      <c r="P726" s="862"/>
      <c r="Q726" s="860"/>
      <c r="R726" s="753">
        <f t="shared" si="109"/>
        <v>0</v>
      </c>
      <c r="S726" s="752">
        <f t="shared" si="110"/>
        <v>0</v>
      </c>
      <c r="T726" s="754">
        <f t="shared" si="111"/>
        <v>0</v>
      </c>
      <c r="U726" s="859">
        <v>32308</v>
      </c>
      <c r="V726" s="863">
        <v>30511</v>
      </c>
      <c r="W726" s="859"/>
      <c r="X726" s="859"/>
      <c r="Y726" s="755">
        <f t="shared" si="107"/>
        <v>0</v>
      </c>
      <c r="Z726" s="864"/>
      <c r="AA726" s="863"/>
      <c r="AB726" s="756">
        <f t="shared" si="108"/>
        <v>0</v>
      </c>
      <c r="AC726" s="859"/>
      <c r="AD726" s="863"/>
      <c r="AE726" s="859"/>
      <c r="AF726" s="859"/>
      <c r="AG726" s="864"/>
      <c r="AH726" s="865"/>
      <c r="AI726" s="757">
        <f t="shared" si="112"/>
        <v>32308</v>
      </c>
      <c r="AJ726" s="758">
        <f t="shared" si="113"/>
        <v>30511</v>
      </c>
    </row>
    <row r="727" spans="1:36" x14ac:dyDescent="0.2">
      <c r="A727" s="1197" t="s">
        <v>148</v>
      </c>
      <c r="B727" s="1096" t="s">
        <v>292</v>
      </c>
      <c r="C727" s="1213" t="s">
        <v>1177</v>
      </c>
      <c r="D727" s="1098"/>
      <c r="E727" s="1099"/>
      <c r="F727" s="1100"/>
      <c r="G727" s="859"/>
      <c r="H727" s="860"/>
      <c r="I727" s="861"/>
      <c r="J727" s="862"/>
      <c r="K727" s="859"/>
      <c r="L727" s="863"/>
      <c r="M727" s="859"/>
      <c r="N727" s="859"/>
      <c r="O727" s="752">
        <f t="shared" si="106"/>
        <v>0</v>
      </c>
      <c r="P727" s="862"/>
      <c r="Q727" s="860"/>
      <c r="R727" s="753">
        <f t="shared" si="109"/>
        <v>0</v>
      </c>
      <c r="S727" s="752">
        <f t="shared" si="110"/>
        <v>0</v>
      </c>
      <c r="T727" s="754">
        <f t="shared" si="111"/>
        <v>0</v>
      </c>
      <c r="U727" s="859">
        <v>251919</v>
      </c>
      <c r="V727" s="863">
        <v>269791</v>
      </c>
      <c r="W727" s="859"/>
      <c r="X727" s="859"/>
      <c r="Y727" s="755">
        <f t="shared" si="107"/>
        <v>0</v>
      </c>
      <c r="Z727" s="864"/>
      <c r="AA727" s="863"/>
      <c r="AB727" s="756">
        <f t="shared" si="108"/>
        <v>0</v>
      </c>
      <c r="AC727" s="859"/>
      <c r="AD727" s="863"/>
      <c r="AE727" s="859"/>
      <c r="AF727" s="859"/>
      <c r="AG727" s="864"/>
      <c r="AH727" s="865"/>
      <c r="AI727" s="757">
        <f t="shared" si="112"/>
        <v>251919</v>
      </c>
      <c r="AJ727" s="758">
        <f t="shared" si="113"/>
        <v>269791</v>
      </c>
    </row>
    <row r="728" spans="1:36" x14ac:dyDescent="0.2">
      <c r="A728" s="1197" t="s">
        <v>148</v>
      </c>
      <c r="B728" s="1096" t="s">
        <v>310</v>
      </c>
      <c r="C728" s="1097" t="s">
        <v>311</v>
      </c>
      <c r="D728" s="1098"/>
      <c r="E728" s="1099"/>
      <c r="F728" s="1100"/>
      <c r="G728" s="859"/>
      <c r="H728" s="860"/>
      <c r="I728" s="861"/>
      <c r="J728" s="862"/>
      <c r="K728" s="859"/>
      <c r="L728" s="863"/>
      <c r="M728" s="859"/>
      <c r="N728" s="859"/>
      <c r="O728" s="752">
        <f t="shared" si="106"/>
        <v>0</v>
      </c>
      <c r="P728" s="862"/>
      <c r="Q728" s="860"/>
      <c r="R728" s="753">
        <f t="shared" si="109"/>
        <v>0</v>
      </c>
      <c r="S728" s="752">
        <f t="shared" si="110"/>
        <v>0</v>
      </c>
      <c r="T728" s="754">
        <f t="shared" si="111"/>
        <v>0</v>
      </c>
      <c r="U728" s="859"/>
      <c r="V728" s="863"/>
      <c r="W728" s="859"/>
      <c r="X728" s="859"/>
      <c r="Y728" s="755">
        <f t="shared" si="107"/>
        <v>0</v>
      </c>
      <c r="Z728" s="864"/>
      <c r="AA728" s="863"/>
      <c r="AB728" s="756">
        <f t="shared" si="108"/>
        <v>0</v>
      </c>
      <c r="AC728" s="859"/>
      <c r="AD728" s="863"/>
      <c r="AE728" s="859"/>
      <c r="AF728" s="859"/>
      <c r="AG728" s="864"/>
      <c r="AH728" s="865"/>
      <c r="AI728" s="757">
        <f t="shared" si="112"/>
        <v>0</v>
      </c>
      <c r="AJ728" s="758">
        <f t="shared" si="113"/>
        <v>0</v>
      </c>
    </row>
    <row r="729" spans="1:36" x14ac:dyDescent="0.2">
      <c r="A729" s="1197" t="s">
        <v>148</v>
      </c>
      <c r="B729" s="1096" t="s">
        <v>251</v>
      </c>
      <c r="C729" s="1097" t="s">
        <v>249</v>
      </c>
      <c r="D729" s="1098"/>
      <c r="E729" s="1099"/>
      <c r="F729" s="1100"/>
      <c r="G729" s="859"/>
      <c r="H729" s="860"/>
      <c r="I729" s="861"/>
      <c r="J729" s="862"/>
      <c r="K729" s="859"/>
      <c r="L729" s="863"/>
      <c r="M729" s="859"/>
      <c r="N729" s="859"/>
      <c r="O729" s="752">
        <f t="shared" si="106"/>
        <v>0</v>
      </c>
      <c r="P729" s="862"/>
      <c r="Q729" s="860"/>
      <c r="R729" s="753">
        <f t="shared" si="109"/>
        <v>0</v>
      </c>
      <c r="S729" s="752">
        <f t="shared" si="110"/>
        <v>0</v>
      </c>
      <c r="T729" s="754">
        <f t="shared" si="111"/>
        <v>0</v>
      </c>
      <c r="U729" s="859"/>
      <c r="V729" s="863"/>
      <c r="W729" s="859"/>
      <c r="X729" s="859"/>
      <c r="Y729" s="755">
        <f t="shared" si="107"/>
        <v>0</v>
      </c>
      <c r="Z729" s="864"/>
      <c r="AA729" s="863"/>
      <c r="AB729" s="756">
        <f t="shared" si="108"/>
        <v>0</v>
      </c>
      <c r="AC729" s="859"/>
      <c r="AD729" s="863"/>
      <c r="AE729" s="859"/>
      <c r="AF729" s="859"/>
      <c r="AG729" s="864"/>
      <c r="AH729" s="865"/>
      <c r="AI729" s="757">
        <f t="shared" si="112"/>
        <v>0</v>
      </c>
      <c r="AJ729" s="758">
        <f t="shared" si="113"/>
        <v>0</v>
      </c>
    </row>
    <row r="730" spans="1:36" x14ac:dyDescent="0.2">
      <c r="A730" s="1197" t="s">
        <v>148</v>
      </c>
      <c r="B730" s="1096" t="s">
        <v>209</v>
      </c>
      <c r="C730" s="1215" t="s">
        <v>250</v>
      </c>
      <c r="D730" s="1098"/>
      <c r="E730" s="1099"/>
      <c r="F730" s="1100"/>
      <c r="G730" s="859"/>
      <c r="H730" s="860"/>
      <c r="I730" s="861"/>
      <c r="J730" s="862"/>
      <c r="K730" s="859"/>
      <c r="L730" s="863"/>
      <c r="M730" s="859"/>
      <c r="N730" s="859"/>
      <c r="O730" s="752">
        <f t="shared" si="106"/>
        <v>0</v>
      </c>
      <c r="P730" s="862"/>
      <c r="Q730" s="860"/>
      <c r="R730" s="753">
        <f t="shared" si="109"/>
        <v>0</v>
      </c>
      <c r="S730" s="752">
        <f t="shared" si="110"/>
        <v>0</v>
      </c>
      <c r="T730" s="754">
        <f t="shared" si="111"/>
        <v>0</v>
      </c>
      <c r="U730" s="859"/>
      <c r="V730" s="863"/>
      <c r="W730" s="859"/>
      <c r="X730" s="859"/>
      <c r="Y730" s="755">
        <f t="shared" si="107"/>
        <v>0</v>
      </c>
      <c r="Z730" s="864"/>
      <c r="AA730" s="863"/>
      <c r="AB730" s="756">
        <f t="shared" si="108"/>
        <v>0</v>
      </c>
      <c r="AC730" s="859"/>
      <c r="AD730" s="863"/>
      <c r="AE730" s="859"/>
      <c r="AF730" s="859"/>
      <c r="AG730" s="864"/>
      <c r="AH730" s="865"/>
      <c r="AI730" s="757">
        <f t="shared" si="112"/>
        <v>0</v>
      </c>
      <c r="AJ730" s="758">
        <f t="shared" si="113"/>
        <v>0</v>
      </c>
    </row>
    <row r="731" spans="1:36" x14ac:dyDescent="0.2">
      <c r="A731" s="1197" t="s">
        <v>148</v>
      </c>
      <c r="B731" s="1096" t="s">
        <v>210</v>
      </c>
      <c r="C731" s="1208" t="s">
        <v>311</v>
      </c>
      <c r="D731" s="1207"/>
      <c r="E731" s="1099"/>
      <c r="F731" s="1100"/>
      <c r="G731" s="859"/>
      <c r="H731" s="860"/>
      <c r="I731" s="861"/>
      <c r="J731" s="862"/>
      <c r="K731" s="859"/>
      <c r="L731" s="863"/>
      <c r="M731" s="859"/>
      <c r="N731" s="859"/>
      <c r="O731" s="752">
        <f t="shared" si="106"/>
        <v>0</v>
      </c>
      <c r="P731" s="862"/>
      <c r="Q731" s="860"/>
      <c r="R731" s="753">
        <f t="shared" si="109"/>
        <v>0</v>
      </c>
      <c r="S731" s="752">
        <f t="shared" si="110"/>
        <v>0</v>
      </c>
      <c r="T731" s="754">
        <f t="shared" si="111"/>
        <v>0</v>
      </c>
      <c r="U731" s="859"/>
      <c r="V731" s="863"/>
      <c r="W731" s="859"/>
      <c r="X731" s="859"/>
      <c r="Y731" s="755">
        <f t="shared" si="107"/>
        <v>0</v>
      </c>
      <c r="Z731" s="864"/>
      <c r="AA731" s="863"/>
      <c r="AB731" s="756">
        <f t="shared" si="108"/>
        <v>0</v>
      </c>
      <c r="AC731" s="859"/>
      <c r="AD731" s="863"/>
      <c r="AE731" s="859"/>
      <c r="AF731" s="859"/>
      <c r="AG731" s="864"/>
      <c r="AH731" s="865"/>
      <c r="AI731" s="757">
        <f t="shared" si="112"/>
        <v>0</v>
      </c>
      <c r="AJ731" s="758">
        <f t="shared" si="113"/>
        <v>0</v>
      </c>
    </row>
    <row r="732" spans="1:36" x14ac:dyDescent="0.2">
      <c r="A732" s="1197" t="s">
        <v>148</v>
      </c>
      <c r="B732" s="1096" t="s">
        <v>204</v>
      </c>
      <c r="C732" s="1208" t="s">
        <v>249</v>
      </c>
      <c r="D732" s="1207"/>
      <c r="E732" s="1099"/>
      <c r="F732" s="1100"/>
      <c r="G732" s="859"/>
      <c r="H732" s="860"/>
      <c r="I732" s="861"/>
      <c r="J732" s="862"/>
      <c r="K732" s="859"/>
      <c r="L732" s="863"/>
      <c r="M732" s="859"/>
      <c r="N732" s="859"/>
      <c r="O732" s="752">
        <f t="shared" si="106"/>
        <v>0</v>
      </c>
      <c r="P732" s="862"/>
      <c r="Q732" s="860"/>
      <c r="R732" s="753">
        <f t="shared" si="109"/>
        <v>0</v>
      </c>
      <c r="S732" s="752">
        <f t="shared" si="110"/>
        <v>0</v>
      </c>
      <c r="T732" s="754">
        <f t="shared" si="111"/>
        <v>0</v>
      </c>
      <c r="U732" s="859"/>
      <c r="V732" s="863"/>
      <c r="W732" s="859"/>
      <c r="X732" s="859"/>
      <c r="Y732" s="755">
        <f t="shared" si="107"/>
        <v>0</v>
      </c>
      <c r="Z732" s="864"/>
      <c r="AA732" s="863"/>
      <c r="AB732" s="756">
        <f t="shared" si="108"/>
        <v>0</v>
      </c>
      <c r="AC732" s="859"/>
      <c r="AD732" s="863"/>
      <c r="AE732" s="859"/>
      <c r="AF732" s="859"/>
      <c r="AG732" s="864"/>
      <c r="AH732" s="865"/>
      <c r="AI732" s="757">
        <f t="shared" si="112"/>
        <v>0</v>
      </c>
      <c r="AJ732" s="758">
        <f t="shared" si="113"/>
        <v>0</v>
      </c>
    </row>
    <row r="733" spans="1:36" x14ac:dyDescent="0.2">
      <c r="A733" s="1197" t="s">
        <v>148</v>
      </c>
      <c r="B733" s="1096" t="s">
        <v>205</v>
      </c>
      <c r="C733" s="1208" t="s">
        <v>222</v>
      </c>
      <c r="D733" s="1207"/>
      <c r="E733" s="1099"/>
      <c r="F733" s="1100"/>
      <c r="G733" s="859"/>
      <c r="H733" s="860"/>
      <c r="I733" s="861"/>
      <c r="J733" s="862"/>
      <c r="K733" s="859"/>
      <c r="L733" s="863"/>
      <c r="M733" s="859"/>
      <c r="N733" s="859"/>
      <c r="O733" s="752">
        <f t="shared" si="106"/>
        <v>0</v>
      </c>
      <c r="P733" s="862"/>
      <c r="Q733" s="860"/>
      <c r="R733" s="753">
        <f t="shared" si="109"/>
        <v>0</v>
      </c>
      <c r="S733" s="752">
        <f t="shared" si="110"/>
        <v>0</v>
      </c>
      <c r="T733" s="754">
        <f t="shared" si="111"/>
        <v>0</v>
      </c>
      <c r="U733" s="859"/>
      <c r="V733" s="863"/>
      <c r="W733" s="859"/>
      <c r="X733" s="859"/>
      <c r="Y733" s="755">
        <f t="shared" si="107"/>
        <v>0</v>
      </c>
      <c r="Z733" s="864"/>
      <c r="AA733" s="863"/>
      <c r="AB733" s="756">
        <f t="shared" si="108"/>
        <v>0</v>
      </c>
      <c r="AC733" s="859"/>
      <c r="AD733" s="863"/>
      <c r="AE733" s="859"/>
      <c r="AF733" s="859"/>
      <c r="AG733" s="864"/>
      <c r="AH733" s="865"/>
      <c r="AI733" s="757">
        <f t="shared" si="112"/>
        <v>0</v>
      </c>
      <c r="AJ733" s="758">
        <f t="shared" si="113"/>
        <v>0</v>
      </c>
    </row>
    <row r="734" spans="1:36" x14ac:dyDescent="0.2">
      <c r="A734" s="1197" t="s">
        <v>148</v>
      </c>
      <c r="B734" s="1096" t="s">
        <v>218</v>
      </c>
      <c r="C734" s="1208" t="s">
        <v>311</v>
      </c>
      <c r="D734" s="1207"/>
      <c r="E734" s="1099"/>
      <c r="F734" s="1100"/>
      <c r="G734" s="859"/>
      <c r="H734" s="860"/>
      <c r="I734" s="861"/>
      <c r="J734" s="862"/>
      <c r="K734" s="859"/>
      <c r="L734" s="863"/>
      <c r="M734" s="859"/>
      <c r="N734" s="859"/>
      <c r="O734" s="752">
        <f t="shared" si="106"/>
        <v>0</v>
      </c>
      <c r="P734" s="862"/>
      <c r="Q734" s="860"/>
      <c r="R734" s="753">
        <f t="shared" si="109"/>
        <v>0</v>
      </c>
      <c r="S734" s="752">
        <f t="shared" si="110"/>
        <v>0</v>
      </c>
      <c r="T734" s="754">
        <f t="shared" si="111"/>
        <v>0</v>
      </c>
      <c r="U734" s="859"/>
      <c r="V734" s="863"/>
      <c r="W734" s="859"/>
      <c r="X734" s="859"/>
      <c r="Y734" s="755">
        <f t="shared" si="107"/>
        <v>0</v>
      </c>
      <c r="Z734" s="864"/>
      <c r="AA734" s="863"/>
      <c r="AB734" s="756">
        <f t="shared" si="108"/>
        <v>0</v>
      </c>
      <c r="AC734" s="859"/>
      <c r="AD734" s="863"/>
      <c r="AE734" s="859"/>
      <c r="AF734" s="859"/>
      <c r="AG734" s="864"/>
      <c r="AH734" s="865"/>
      <c r="AI734" s="757">
        <f t="shared" si="112"/>
        <v>0</v>
      </c>
      <c r="AJ734" s="758">
        <f t="shared" si="113"/>
        <v>0</v>
      </c>
    </row>
    <row r="735" spans="1:36" x14ac:dyDescent="0.2">
      <c r="A735" s="1197" t="s">
        <v>148</v>
      </c>
      <c r="B735" s="1096" t="s">
        <v>219</v>
      </c>
      <c r="C735" s="1208" t="s">
        <v>249</v>
      </c>
      <c r="D735" s="1207"/>
      <c r="E735" s="1099"/>
      <c r="F735" s="1100"/>
      <c r="G735" s="859"/>
      <c r="H735" s="860"/>
      <c r="I735" s="861"/>
      <c r="J735" s="862"/>
      <c r="K735" s="859"/>
      <c r="L735" s="863"/>
      <c r="M735" s="859"/>
      <c r="N735" s="859"/>
      <c r="O735" s="752">
        <f t="shared" si="106"/>
        <v>0</v>
      </c>
      <c r="P735" s="862"/>
      <c r="Q735" s="860"/>
      <c r="R735" s="753">
        <f t="shared" si="109"/>
        <v>0</v>
      </c>
      <c r="S735" s="752">
        <f t="shared" si="110"/>
        <v>0</v>
      </c>
      <c r="T735" s="754">
        <f t="shared" si="111"/>
        <v>0</v>
      </c>
      <c r="U735" s="859"/>
      <c r="V735" s="863"/>
      <c r="W735" s="859"/>
      <c r="X735" s="859"/>
      <c r="Y735" s="755">
        <f t="shared" si="107"/>
        <v>0</v>
      </c>
      <c r="Z735" s="864"/>
      <c r="AA735" s="863"/>
      <c r="AB735" s="756">
        <f t="shared" si="108"/>
        <v>0</v>
      </c>
      <c r="AC735" s="859"/>
      <c r="AD735" s="863"/>
      <c r="AE735" s="859"/>
      <c r="AF735" s="859"/>
      <c r="AG735" s="864"/>
      <c r="AH735" s="865"/>
      <c r="AI735" s="757">
        <f t="shared" si="112"/>
        <v>0</v>
      </c>
      <c r="AJ735" s="758">
        <f t="shared" si="113"/>
        <v>0</v>
      </c>
    </row>
    <row r="736" spans="1:36" x14ac:dyDescent="0.2">
      <c r="A736" s="1197" t="s">
        <v>148</v>
      </c>
      <c r="B736" s="1096" t="s">
        <v>292</v>
      </c>
      <c r="C736" s="1213" t="s">
        <v>1178</v>
      </c>
      <c r="D736" s="1098"/>
      <c r="E736" s="1099"/>
      <c r="F736" s="1100"/>
      <c r="G736" s="859"/>
      <c r="H736" s="860"/>
      <c r="I736" s="861"/>
      <c r="J736" s="862"/>
      <c r="K736" s="859"/>
      <c r="L736" s="863"/>
      <c r="M736" s="859"/>
      <c r="N736" s="859"/>
      <c r="O736" s="752">
        <f t="shared" si="106"/>
        <v>0</v>
      </c>
      <c r="P736" s="862"/>
      <c r="Q736" s="860"/>
      <c r="R736" s="753">
        <f t="shared" si="109"/>
        <v>0</v>
      </c>
      <c r="S736" s="752">
        <f t="shared" si="110"/>
        <v>0</v>
      </c>
      <c r="T736" s="754">
        <f t="shared" si="111"/>
        <v>0</v>
      </c>
      <c r="U736" s="859"/>
      <c r="V736" s="863"/>
      <c r="W736" s="859"/>
      <c r="X736" s="859"/>
      <c r="Y736" s="755">
        <f t="shared" si="107"/>
        <v>0</v>
      </c>
      <c r="Z736" s="864"/>
      <c r="AA736" s="863"/>
      <c r="AB736" s="756">
        <f t="shared" si="108"/>
        <v>0</v>
      </c>
      <c r="AC736" s="859"/>
      <c r="AD736" s="863"/>
      <c r="AE736" s="859"/>
      <c r="AF736" s="859"/>
      <c r="AG736" s="864"/>
      <c r="AH736" s="865"/>
      <c r="AI736" s="757">
        <f t="shared" si="112"/>
        <v>0</v>
      </c>
      <c r="AJ736" s="758">
        <f t="shared" si="113"/>
        <v>0</v>
      </c>
    </row>
    <row r="737" spans="1:36" x14ac:dyDescent="0.2">
      <c r="A737" s="1197" t="s">
        <v>148</v>
      </c>
      <c r="B737" s="1096" t="s">
        <v>310</v>
      </c>
      <c r="C737" s="1097" t="s">
        <v>311</v>
      </c>
      <c r="D737" s="1098"/>
      <c r="E737" s="1099"/>
      <c r="F737" s="1100"/>
      <c r="G737" s="859"/>
      <c r="H737" s="860"/>
      <c r="I737" s="861"/>
      <c r="J737" s="862"/>
      <c r="K737" s="859"/>
      <c r="L737" s="863"/>
      <c r="M737" s="859"/>
      <c r="N737" s="859"/>
      <c r="O737" s="752">
        <f t="shared" si="106"/>
        <v>0</v>
      </c>
      <c r="P737" s="862"/>
      <c r="Q737" s="860"/>
      <c r="R737" s="753">
        <f t="shared" si="109"/>
        <v>0</v>
      </c>
      <c r="S737" s="752">
        <f t="shared" si="110"/>
        <v>0</v>
      </c>
      <c r="T737" s="754">
        <f t="shared" si="111"/>
        <v>0</v>
      </c>
      <c r="U737" s="859">
        <v>7500</v>
      </c>
      <c r="V737" s="863">
        <v>7500</v>
      </c>
      <c r="W737" s="859"/>
      <c r="X737" s="859"/>
      <c r="Y737" s="755">
        <f t="shared" si="107"/>
        <v>0</v>
      </c>
      <c r="Z737" s="864"/>
      <c r="AA737" s="863"/>
      <c r="AB737" s="756">
        <f t="shared" si="108"/>
        <v>0</v>
      </c>
      <c r="AC737" s="859"/>
      <c r="AD737" s="863"/>
      <c r="AE737" s="859"/>
      <c r="AF737" s="859"/>
      <c r="AG737" s="864"/>
      <c r="AH737" s="865"/>
      <c r="AI737" s="757">
        <f t="shared" si="112"/>
        <v>7500</v>
      </c>
      <c r="AJ737" s="758">
        <f t="shared" si="113"/>
        <v>7500</v>
      </c>
    </row>
    <row r="738" spans="1:36" x14ac:dyDescent="0.2">
      <c r="A738" s="1197" t="s">
        <v>148</v>
      </c>
      <c r="B738" s="1096" t="s">
        <v>251</v>
      </c>
      <c r="C738" s="1097" t="s">
        <v>249</v>
      </c>
      <c r="D738" s="1098"/>
      <c r="E738" s="1099"/>
      <c r="F738" s="1100"/>
      <c r="G738" s="859"/>
      <c r="H738" s="860"/>
      <c r="I738" s="861"/>
      <c r="J738" s="862"/>
      <c r="K738" s="859"/>
      <c r="L738" s="863"/>
      <c r="M738" s="859"/>
      <c r="N738" s="859"/>
      <c r="O738" s="752">
        <f t="shared" si="106"/>
        <v>0</v>
      </c>
      <c r="P738" s="862"/>
      <c r="Q738" s="860"/>
      <c r="R738" s="753">
        <f t="shared" si="109"/>
        <v>0</v>
      </c>
      <c r="S738" s="752">
        <f t="shared" si="110"/>
        <v>0</v>
      </c>
      <c r="T738" s="754">
        <f t="shared" si="111"/>
        <v>0</v>
      </c>
      <c r="U738" s="859">
        <v>20000</v>
      </c>
      <c r="V738" s="863">
        <v>20000</v>
      </c>
      <c r="W738" s="859"/>
      <c r="X738" s="859"/>
      <c r="Y738" s="755">
        <f t="shared" si="107"/>
        <v>0</v>
      </c>
      <c r="Z738" s="864"/>
      <c r="AA738" s="863"/>
      <c r="AB738" s="756">
        <f t="shared" si="108"/>
        <v>0</v>
      </c>
      <c r="AC738" s="859"/>
      <c r="AD738" s="863"/>
      <c r="AE738" s="859"/>
      <c r="AF738" s="859"/>
      <c r="AG738" s="864"/>
      <c r="AH738" s="865"/>
      <c r="AI738" s="757">
        <f t="shared" si="112"/>
        <v>20000</v>
      </c>
      <c r="AJ738" s="758">
        <f t="shared" si="113"/>
        <v>20000</v>
      </c>
    </row>
    <row r="739" spans="1:36" x14ac:dyDescent="0.2">
      <c r="A739" s="1197" t="s">
        <v>148</v>
      </c>
      <c r="B739" s="1096" t="s">
        <v>209</v>
      </c>
      <c r="C739" s="1215" t="s">
        <v>250</v>
      </c>
      <c r="D739" s="1098"/>
      <c r="E739" s="1099"/>
      <c r="F739" s="1100"/>
      <c r="G739" s="859"/>
      <c r="H739" s="860"/>
      <c r="I739" s="861"/>
      <c r="J739" s="862"/>
      <c r="K739" s="859"/>
      <c r="L739" s="863"/>
      <c r="M739" s="859"/>
      <c r="N739" s="859"/>
      <c r="O739" s="752">
        <f t="shared" si="106"/>
        <v>0</v>
      </c>
      <c r="P739" s="862"/>
      <c r="Q739" s="860"/>
      <c r="R739" s="753">
        <f t="shared" si="109"/>
        <v>0</v>
      </c>
      <c r="S739" s="752">
        <f t="shared" si="110"/>
        <v>0</v>
      </c>
      <c r="T739" s="754">
        <f t="shared" si="111"/>
        <v>0</v>
      </c>
      <c r="U739" s="859"/>
      <c r="V739" s="863"/>
      <c r="W739" s="859"/>
      <c r="X739" s="859"/>
      <c r="Y739" s="755">
        <f t="shared" si="107"/>
        <v>0</v>
      </c>
      <c r="Z739" s="864"/>
      <c r="AA739" s="863"/>
      <c r="AB739" s="756">
        <f t="shared" si="108"/>
        <v>0</v>
      </c>
      <c r="AC739" s="859"/>
      <c r="AD739" s="863"/>
      <c r="AE739" s="859"/>
      <c r="AF739" s="859"/>
      <c r="AG739" s="864"/>
      <c r="AH739" s="865"/>
      <c r="AI739" s="757">
        <f t="shared" si="112"/>
        <v>0</v>
      </c>
      <c r="AJ739" s="758">
        <f t="shared" si="113"/>
        <v>0</v>
      </c>
    </row>
    <row r="740" spans="1:36" x14ac:dyDescent="0.2">
      <c r="A740" s="1197" t="s">
        <v>148</v>
      </c>
      <c r="B740" s="1096" t="s">
        <v>210</v>
      </c>
      <c r="C740" s="1208" t="s">
        <v>311</v>
      </c>
      <c r="D740" s="1207"/>
      <c r="E740" s="1099"/>
      <c r="F740" s="1100"/>
      <c r="G740" s="859"/>
      <c r="H740" s="860"/>
      <c r="I740" s="861"/>
      <c r="J740" s="862"/>
      <c r="K740" s="859"/>
      <c r="L740" s="863"/>
      <c r="M740" s="859"/>
      <c r="N740" s="859"/>
      <c r="O740" s="752">
        <f t="shared" si="106"/>
        <v>0</v>
      </c>
      <c r="P740" s="862"/>
      <c r="Q740" s="860"/>
      <c r="R740" s="753">
        <f t="shared" si="109"/>
        <v>0</v>
      </c>
      <c r="S740" s="752">
        <f t="shared" si="110"/>
        <v>0</v>
      </c>
      <c r="T740" s="754">
        <f t="shared" si="111"/>
        <v>0</v>
      </c>
      <c r="U740" s="859"/>
      <c r="V740" s="863"/>
      <c r="W740" s="859"/>
      <c r="X740" s="859"/>
      <c r="Y740" s="755">
        <f t="shared" si="107"/>
        <v>0</v>
      </c>
      <c r="Z740" s="864"/>
      <c r="AA740" s="863"/>
      <c r="AB740" s="756">
        <f t="shared" si="108"/>
        <v>0</v>
      </c>
      <c r="AC740" s="859"/>
      <c r="AD740" s="863"/>
      <c r="AE740" s="859"/>
      <c r="AF740" s="859"/>
      <c r="AG740" s="864"/>
      <c r="AH740" s="865"/>
      <c r="AI740" s="757">
        <f t="shared" si="112"/>
        <v>0</v>
      </c>
      <c r="AJ740" s="758">
        <f t="shared" si="113"/>
        <v>0</v>
      </c>
    </row>
    <row r="741" spans="1:36" x14ac:dyDescent="0.2">
      <c r="A741" s="1197" t="s">
        <v>148</v>
      </c>
      <c r="B741" s="1096" t="s">
        <v>204</v>
      </c>
      <c r="C741" s="1208" t="s">
        <v>249</v>
      </c>
      <c r="D741" s="1207"/>
      <c r="E741" s="1099"/>
      <c r="F741" s="1100"/>
      <c r="G741" s="859"/>
      <c r="H741" s="860"/>
      <c r="I741" s="861"/>
      <c r="J741" s="862"/>
      <c r="K741" s="859"/>
      <c r="L741" s="863"/>
      <c r="M741" s="859"/>
      <c r="N741" s="859"/>
      <c r="O741" s="752">
        <f t="shared" si="106"/>
        <v>0</v>
      </c>
      <c r="P741" s="862"/>
      <c r="Q741" s="860"/>
      <c r="R741" s="753">
        <f t="shared" si="109"/>
        <v>0</v>
      </c>
      <c r="S741" s="752">
        <f t="shared" si="110"/>
        <v>0</v>
      </c>
      <c r="T741" s="754">
        <f t="shared" si="111"/>
        <v>0</v>
      </c>
      <c r="U741" s="859"/>
      <c r="V741" s="863"/>
      <c r="W741" s="859"/>
      <c r="X741" s="859"/>
      <c r="Y741" s="755">
        <f t="shared" si="107"/>
        <v>0</v>
      </c>
      <c r="Z741" s="864"/>
      <c r="AA741" s="863"/>
      <c r="AB741" s="756">
        <f t="shared" si="108"/>
        <v>0</v>
      </c>
      <c r="AC741" s="859"/>
      <c r="AD741" s="863"/>
      <c r="AE741" s="859"/>
      <c r="AF741" s="859"/>
      <c r="AG741" s="864"/>
      <c r="AH741" s="865"/>
      <c r="AI741" s="757">
        <f t="shared" si="112"/>
        <v>0</v>
      </c>
      <c r="AJ741" s="758">
        <f t="shared" si="113"/>
        <v>0</v>
      </c>
    </row>
    <row r="742" spans="1:36" x14ac:dyDescent="0.2">
      <c r="A742" s="1197" t="s">
        <v>148</v>
      </c>
      <c r="B742" s="1096" t="s">
        <v>205</v>
      </c>
      <c r="C742" s="1208" t="s">
        <v>222</v>
      </c>
      <c r="D742" s="1207"/>
      <c r="E742" s="1099"/>
      <c r="F742" s="1100"/>
      <c r="G742" s="859"/>
      <c r="H742" s="860"/>
      <c r="I742" s="861"/>
      <c r="J742" s="862"/>
      <c r="K742" s="859"/>
      <c r="L742" s="863"/>
      <c r="M742" s="859"/>
      <c r="N742" s="859"/>
      <c r="O742" s="752">
        <f t="shared" si="106"/>
        <v>0</v>
      </c>
      <c r="P742" s="862"/>
      <c r="Q742" s="860"/>
      <c r="R742" s="753">
        <f t="shared" si="109"/>
        <v>0</v>
      </c>
      <c r="S742" s="752">
        <f t="shared" si="110"/>
        <v>0</v>
      </c>
      <c r="T742" s="754">
        <f t="shared" si="111"/>
        <v>0</v>
      </c>
      <c r="U742" s="859"/>
      <c r="V742" s="863"/>
      <c r="W742" s="859"/>
      <c r="X742" s="859"/>
      <c r="Y742" s="755">
        <f t="shared" si="107"/>
        <v>0</v>
      </c>
      <c r="Z742" s="864"/>
      <c r="AA742" s="863"/>
      <c r="AB742" s="756">
        <f t="shared" si="108"/>
        <v>0</v>
      </c>
      <c r="AC742" s="859"/>
      <c r="AD742" s="863"/>
      <c r="AE742" s="859"/>
      <c r="AF742" s="859"/>
      <c r="AG742" s="864"/>
      <c r="AH742" s="865"/>
      <c r="AI742" s="757">
        <f t="shared" si="112"/>
        <v>0</v>
      </c>
      <c r="AJ742" s="758">
        <f t="shared" si="113"/>
        <v>0</v>
      </c>
    </row>
    <row r="743" spans="1:36" x14ac:dyDescent="0.2">
      <c r="A743" s="1197" t="s">
        <v>148</v>
      </c>
      <c r="B743" s="1096" t="s">
        <v>218</v>
      </c>
      <c r="C743" s="1208" t="s">
        <v>311</v>
      </c>
      <c r="D743" s="1207"/>
      <c r="E743" s="1099"/>
      <c r="F743" s="1100"/>
      <c r="G743" s="859"/>
      <c r="H743" s="860"/>
      <c r="I743" s="861"/>
      <c r="J743" s="862"/>
      <c r="K743" s="859"/>
      <c r="L743" s="863"/>
      <c r="M743" s="859"/>
      <c r="N743" s="859"/>
      <c r="O743" s="752">
        <f t="shared" si="106"/>
        <v>0</v>
      </c>
      <c r="P743" s="862"/>
      <c r="Q743" s="860"/>
      <c r="R743" s="753">
        <f t="shared" si="109"/>
        <v>0</v>
      </c>
      <c r="S743" s="752">
        <f t="shared" si="110"/>
        <v>0</v>
      </c>
      <c r="T743" s="754">
        <f t="shared" si="111"/>
        <v>0</v>
      </c>
      <c r="U743" s="859"/>
      <c r="V743" s="863"/>
      <c r="W743" s="859"/>
      <c r="X743" s="859"/>
      <c r="Y743" s="755">
        <f t="shared" si="107"/>
        <v>0</v>
      </c>
      <c r="Z743" s="864"/>
      <c r="AA743" s="863"/>
      <c r="AB743" s="756">
        <f t="shared" si="108"/>
        <v>0</v>
      </c>
      <c r="AC743" s="859"/>
      <c r="AD743" s="863"/>
      <c r="AE743" s="859"/>
      <c r="AF743" s="859"/>
      <c r="AG743" s="864"/>
      <c r="AH743" s="865"/>
      <c r="AI743" s="757">
        <f t="shared" si="112"/>
        <v>0</v>
      </c>
      <c r="AJ743" s="758">
        <f t="shared" si="113"/>
        <v>0</v>
      </c>
    </row>
    <row r="744" spans="1:36" x14ac:dyDescent="0.2">
      <c r="A744" s="1197" t="s">
        <v>148</v>
      </c>
      <c r="B744" s="1096" t="s">
        <v>219</v>
      </c>
      <c r="C744" s="1208" t="s">
        <v>249</v>
      </c>
      <c r="D744" s="1207"/>
      <c r="E744" s="1099"/>
      <c r="F744" s="1100"/>
      <c r="G744" s="859"/>
      <c r="H744" s="860"/>
      <c r="I744" s="861"/>
      <c r="J744" s="862"/>
      <c r="K744" s="859"/>
      <c r="L744" s="863"/>
      <c r="M744" s="859"/>
      <c r="N744" s="859"/>
      <c r="O744" s="752">
        <f t="shared" si="106"/>
        <v>0</v>
      </c>
      <c r="P744" s="862"/>
      <c r="Q744" s="860"/>
      <c r="R744" s="753">
        <f t="shared" si="109"/>
        <v>0</v>
      </c>
      <c r="S744" s="752">
        <f t="shared" si="110"/>
        <v>0</v>
      </c>
      <c r="T744" s="754">
        <f t="shared" si="111"/>
        <v>0</v>
      </c>
      <c r="U744" s="859"/>
      <c r="V744" s="863"/>
      <c r="W744" s="859"/>
      <c r="X744" s="859"/>
      <c r="Y744" s="755">
        <f t="shared" si="107"/>
        <v>0</v>
      </c>
      <c r="Z744" s="864"/>
      <c r="AA744" s="863"/>
      <c r="AB744" s="756">
        <f t="shared" si="108"/>
        <v>0</v>
      </c>
      <c r="AC744" s="859"/>
      <c r="AD744" s="863"/>
      <c r="AE744" s="859"/>
      <c r="AF744" s="859"/>
      <c r="AG744" s="864"/>
      <c r="AH744" s="865"/>
      <c r="AI744" s="757">
        <f t="shared" si="112"/>
        <v>0</v>
      </c>
      <c r="AJ744" s="758">
        <f t="shared" si="113"/>
        <v>0</v>
      </c>
    </row>
    <row r="745" spans="1:36" x14ac:dyDescent="0.2">
      <c r="A745" s="1197" t="s">
        <v>148</v>
      </c>
      <c r="B745" s="1096" t="s">
        <v>292</v>
      </c>
      <c r="C745" s="1213" t="s">
        <v>1179</v>
      </c>
      <c r="D745" s="1098"/>
      <c r="E745" s="1099"/>
      <c r="F745" s="1100"/>
      <c r="G745" s="859"/>
      <c r="H745" s="860"/>
      <c r="I745" s="861"/>
      <c r="J745" s="862"/>
      <c r="K745" s="859"/>
      <c r="L745" s="863"/>
      <c r="M745" s="859"/>
      <c r="N745" s="859"/>
      <c r="O745" s="752">
        <f t="shared" si="106"/>
        <v>0</v>
      </c>
      <c r="P745" s="862"/>
      <c r="Q745" s="860"/>
      <c r="R745" s="753">
        <f t="shared" si="109"/>
        <v>0</v>
      </c>
      <c r="S745" s="752">
        <f t="shared" si="110"/>
        <v>0</v>
      </c>
      <c r="T745" s="754">
        <f t="shared" si="111"/>
        <v>0</v>
      </c>
      <c r="U745" s="859"/>
      <c r="V745" s="863"/>
      <c r="W745" s="859"/>
      <c r="X745" s="859"/>
      <c r="Y745" s="755">
        <f t="shared" si="107"/>
        <v>0</v>
      </c>
      <c r="Z745" s="864"/>
      <c r="AA745" s="863"/>
      <c r="AB745" s="756">
        <f t="shared" si="108"/>
        <v>0</v>
      </c>
      <c r="AC745" s="859"/>
      <c r="AD745" s="863"/>
      <c r="AE745" s="859"/>
      <c r="AF745" s="859"/>
      <c r="AG745" s="864"/>
      <c r="AH745" s="865"/>
      <c r="AI745" s="757">
        <f t="shared" si="112"/>
        <v>0</v>
      </c>
      <c r="AJ745" s="758">
        <f t="shared" si="113"/>
        <v>0</v>
      </c>
    </row>
    <row r="746" spans="1:36" x14ac:dyDescent="0.2">
      <c r="A746" s="1197" t="s">
        <v>148</v>
      </c>
      <c r="B746" s="1096" t="s">
        <v>310</v>
      </c>
      <c r="C746" s="1097" t="s">
        <v>311</v>
      </c>
      <c r="D746" s="1098"/>
      <c r="E746" s="1099"/>
      <c r="F746" s="1100"/>
      <c r="G746" s="859"/>
      <c r="H746" s="860"/>
      <c r="I746" s="861"/>
      <c r="J746" s="862"/>
      <c r="K746" s="859"/>
      <c r="L746" s="863"/>
      <c r="M746" s="859"/>
      <c r="N746" s="859"/>
      <c r="O746" s="752">
        <f t="shared" si="106"/>
        <v>0</v>
      </c>
      <c r="P746" s="862"/>
      <c r="Q746" s="860"/>
      <c r="R746" s="753">
        <f t="shared" si="109"/>
        <v>0</v>
      </c>
      <c r="S746" s="752">
        <f t="shared" si="110"/>
        <v>0</v>
      </c>
      <c r="T746" s="754">
        <f t="shared" si="111"/>
        <v>0</v>
      </c>
      <c r="U746" s="859"/>
      <c r="V746" s="863"/>
      <c r="W746" s="859"/>
      <c r="X746" s="859"/>
      <c r="Y746" s="755">
        <f t="shared" si="107"/>
        <v>0</v>
      </c>
      <c r="Z746" s="864"/>
      <c r="AA746" s="863"/>
      <c r="AB746" s="756">
        <f t="shared" si="108"/>
        <v>0</v>
      </c>
      <c r="AC746" s="859"/>
      <c r="AD746" s="863"/>
      <c r="AE746" s="859"/>
      <c r="AF746" s="859"/>
      <c r="AG746" s="864"/>
      <c r="AH746" s="865"/>
      <c r="AI746" s="757">
        <f t="shared" si="112"/>
        <v>0</v>
      </c>
      <c r="AJ746" s="758">
        <f t="shared" si="113"/>
        <v>0</v>
      </c>
    </row>
    <row r="747" spans="1:36" x14ac:dyDescent="0.2">
      <c r="A747" s="1197" t="s">
        <v>148</v>
      </c>
      <c r="B747" s="1096" t="s">
        <v>251</v>
      </c>
      <c r="C747" s="1097" t="s">
        <v>249</v>
      </c>
      <c r="D747" s="1098"/>
      <c r="E747" s="1099"/>
      <c r="F747" s="1100"/>
      <c r="G747" s="859"/>
      <c r="H747" s="860"/>
      <c r="I747" s="861"/>
      <c r="J747" s="862"/>
      <c r="K747" s="859"/>
      <c r="L747" s="863"/>
      <c r="M747" s="859"/>
      <c r="N747" s="859"/>
      <c r="O747" s="752">
        <f t="shared" si="106"/>
        <v>0</v>
      </c>
      <c r="P747" s="862"/>
      <c r="Q747" s="860"/>
      <c r="R747" s="753">
        <f t="shared" si="109"/>
        <v>0</v>
      </c>
      <c r="S747" s="752">
        <f t="shared" si="110"/>
        <v>0</v>
      </c>
      <c r="T747" s="754">
        <f t="shared" si="111"/>
        <v>0</v>
      </c>
      <c r="U747" s="859">
        <v>1311924</v>
      </c>
      <c r="V747" s="863">
        <v>1399500</v>
      </c>
      <c r="W747" s="859"/>
      <c r="X747" s="859"/>
      <c r="Y747" s="755">
        <f t="shared" si="107"/>
        <v>0</v>
      </c>
      <c r="Z747" s="864"/>
      <c r="AA747" s="863"/>
      <c r="AB747" s="756">
        <f t="shared" si="108"/>
        <v>0</v>
      </c>
      <c r="AC747" s="859"/>
      <c r="AD747" s="863"/>
      <c r="AE747" s="859"/>
      <c r="AF747" s="859"/>
      <c r="AG747" s="864"/>
      <c r="AH747" s="865"/>
      <c r="AI747" s="757">
        <f t="shared" si="112"/>
        <v>1311924</v>
      </c>
      <c r="AJ747" s="758">
        <f t="shared" si="113"/>
        <v>1399500</v>
      </c>
    </row>
    <row r="748" spans="1:36" x14ac:dyDescent="0.2">
      <c r="A748" s="1197" t="s">
        <v>148</v>
      </c>
      <c r="B748" s="1096" t="s">
        <v>209</v>
      </c>
      <c r="C748" s="1215" t="s">
        <v>250</v>
      </c>
      <c r="D748" s="1098"/>
      <c r="E748" s="1099"/>
      <c r="F748" s="1100"/>
      <c r="G748" s="859"/>
      <c r="H748" s="860"/>
      <c r="I748" s="861"/>
      <c r="J748" s="862"/>
      <c r="K748" s="859"/>
      <c r="L748" s="863"/>
      <c r="M748" s="859"/>
      <c r="N748" s="859"/>
      <c r="O748" s="752">
        <f t="shared" si="106"/>
        <v>0</v>
      </c>
      <c r="P748" s="862"/>
      <c r="Q748" s="860"/>
      <c r="R748" s="753">
        <f t="shared" si="109"/>
        <v>0</v>
      </c>
      <c r="S748" s="752">
        <f t="shared" si="110"/>
        <v>0</v>
      </c>
      <c r="T748" s="754">
        <f t="shared" si="111"/>
        <v>0</v>
      </c>
      <c r="U748" s="859"/>
      <c r="V748" s="863"/>
      <c r="W748" s="859"/>
      <c r="X748" s="859"/>
      <c r="Y748" s="755">
        <f t="shared" si="107"/>
        <v>0</v>
      </c>
      <c r="Z748" s="864"/>
      <c r="AA748" s="863"/>
      <c r="AB748" s="756">
        <f t="shared" si="108"/>
        <v>0</v>
      </c>
      <c r="AC748" s="859"/>
      <c r="AD748" s="863"/>
      <c r="AE748" s="859"/>
      <c r="AF748" s="859"/>
      <c r="AG748" s="864"/>
      <c r="AH748" s="865"/>
      <c r="AI748" s="757">
        <f t="shared" si="112"/>
        <v>0</v>
      </c>
      <c r="AJ748" s="758">
        <f t="shared" si="113"/>
        <v>0</v>
      </c>
    </row>
    <row r="749" spans="1:36" x14ac:dyDescent="0.2">
      <c r="A749" s="1197" t="s">
        <v>148</v>
      </c>
      <c r="B749" s="1096" t="s">
        <v>210</v>
      </c>
      <c r="C749" s="1208" t="s">
        <v>311</v>
      </c>
      <c r="D749" s="1207"/>
      <c r="E749" s="1099"/>
      <c r="F749" s="1100"/>
      <c r="G749" s="859"/>
      <c r="H749" s="860"/>
      <c r="I749" s="861"/>
      <c r="J749" s="862"/>
      <c r="K749" s="859"/>
      <c r="L749" s="863"/>
      <c r="M749" s="859"/>
      <c r="N749" s="859"/>
      <c r="O749" s="752">
        <f t="shared" si="106"/>
        <v>0</v>
      </c>
      <c r="P749" s="862"/>
      <c r="Q749" s="860"/>
      <c r="R749" s="753">
        <f t="shared" si="109"/>
        <v>0</v>
      </c>
      <c r="S749" s="752">
        <f t="shared" si="110"/>
        <v>0</v>
      </c>
      <c r="T749" s="754">
        <f t="shared" si="111"/>
        <v>0</v>
      </c>
      <c r="U749" s="859"/>
      <c r="V749" s="863"/>
      <c r="W749" s="859"/>
      <c r="X749" s="859"/>
      <c r="Y749" s="755">
        <f t="shared" si="107"/>
        <v>0</v>
      </c>
      <c r="Z749" s="864"/>
      <c r="AA749" s="863"/>
      <c r="AB749" s="756">
        <f t="shared" si="108"/>
        <v>0</v>
      </c>
      <c r="AC749" s="859"/>
      <c r="AD749" s="863"/>
      <c r="AE749" s="859"/>
      <c r="AF749" s="859"/>
      <c r="AG749" s="864"/>
      <c r="AH749" s="865"/>
      <c r="AI749" s="757">
        <f t="shared" si="112"/>
        <v>0</v>
      </c>
      <c r="AJ749" s="758">
        <f t="shared" si="113"/>
        <v>0</v>
      </c>
    </row>
    <row r="750" spans="1:36" x14ac:dyDescent="0.2">
      <c r="A750" s="1197" t="s">
        <v>148</v>
      </c>
      <c r="B750" s="1096" t="s">
        <v>204</v>
      </c>
      <c r="C750" s="1208" t="s">
        <v>249</v>
      </c>
      <c r="D750" s="1207"/>
      <c r="E750" s="1099"/>
      <c r="F750" s="1100"/>
      <c r="G750" s="859"/>
      <c r="H750" s="860"/>
      <c r="I750" s="861"/>
      <c r="J750" s="862"/>
      <c r="K750" s="859"/>
      <c r="L750" s="863"/>
      <c r="M750" s="859"/>
      <c r="N750" s="859"/>
      <c r="O750" s="752">
        <f t="shared" si="106"/>
        <v>0</v>
      </c>
      <c r="P750" s="862"/>
      <c r="Q750" s="860"/>
      <c r="R750" s="753">
        <f t="shared" si="109"/>
        <v>0</v>
      </c>
      <c r="S750" s="752">
        <f t="shared" si="110"/>
        <v>0</v>
      </c>
      <c r="T750" s="754">
        <f t="shared" si="111"/>
        <v>0</v>
      </c>
      <c r="U750" s="859"/>
      <c r="V750" s="863"/>
      <c r="W750" s="859"/>
      <c r="X750" s="859"/>
      <c r="Y750" s="755">
        <f t="shared" si="107"/>
        <v>0</v>
      </c>
      <c r="Z750" s="864"/>
      <c r="AA750" s="863"/>
      <c r="AB750" s="756">
        <f t="shared" si="108"/>
        <v>0</v>
      </c>
      <c r="AC750" s="859"/>
      <c r="AD750" s="863"/>
      <c r="AE750" s="859"/>
      <c r="AF750" s="859"/>
      <c r="AG750" s="864"/>
      <c r="AH750" s="865"/>
      <c r="AI750" s="757">
        <f t="shared" si="112"/>
        <v>0</v>
      </c>
      <c r="AJ750" s="758">
        <f t="shared" si="113"/>
        <v>0</v>
      </c>
    </row>
    <row r="751" spans="1:36" x14ac:dyDescent="0.2">
      <c r="A751" s="1197" t="s">
        <v>148</v>
      </c>
      <c r="B751" s="1096" t="s">
        <v>205</v>
      </c>
      <c r="C751" s="1208" t="s">
        <v>222</v>
      </c>
      <c r="D751" s="1207"/>
      <c r="E751" s="1099"/>
      <c r="F751" s="1100"/>
      <c r="G751" s="859"/>
      <c r="H751" s="860"/>
      <c r="I751" s="861"/>
      <c r="J751" s="862"/>
      <c r="K751" s="859"/>
      <c r="L751" s="863"/>
      <c r="M751" s="859"/>
      <c r="N751" s="859"/>
      <c r="O751" s="752">
        <f t="shared" si="106"/>
        <v>0</v>
      </c>
      <c r="P751" s="862"/>
      <c r="Q751" s="860"/>
      <c r="R751" s="753">
        <f t="shared" si="109"/>
        <v>0</v>
      </c>
      <c r="S751" s="752">
        <f t="shared" si="110"/>
        <v>0</v>
      </c>
      <c r="T751" s="754">
        <f t="shared" si="111"/>
        <v>0</v>
      </c>
      <c r="U751" s="859"/>
      <c r="V751" s="863"/>
      <c r="W751" s="859"/>
      <c r="X751" s="859"/>
      <c r="Y751" s="755">
        <f t="shared" si="107"/>
        <v>0</v>
      </c>
      <c r="Z751" s="864"/>
      <c r="AA751" s="863"/>
      <c r="AB751" s="756">
        <f t="shared" si="108"/>
        <v>0</v>
      </c>
      <c r="AC751" s="859"/>
      <c r="AD751" s="863"/>
      <c r="AE751" s="859"/>
      <c r="AF751" s="859"/>
      <c r="AG751" s="864"/>
      <c r="AH751" s="865"/>
      <c r="AI751" s="757">
        <f t="shared" si="112"/>
        <v>0</v>
      </c>
      <c r="AJ751" s="758">
        <f t="shared" si="113"/>
        <v>0</v>
      </c>
    </row>
    <row r="752" spans="1:36" x14ac:dyDescent="0.2">
      <c r="A752" s="1197" t="s">
        <v>148</v>
      </c>
      <c r="B752" s="1096" t="s">
        <v>218</v>
      </c>
      <c r="C752" s="1208" t="s">
        <v>311</v>
      </c>
      <c r="D752" s="1207"/>
      <c r="E752" s="1099"/>
      <c r="F752" s="1100"/>
      <c r="G752" s="859"/>
      <c r="H752" s="860"/>
      <c r="I752" s="861"/>
      <c r="J752" s="862"/>
      <c r="K752" s="859"/>
      <c r="L752" s="863"/>
      <c r="M752" s="859"/>
      <c r="N752" s="859"/>
      <c r="O752" s="752">
        <f t="shared" si="106"/>
        <v>0</v>
      </c>
      <c r="P752" s="862"/>
      <c r="Q752" s="860"/>
      <c r="R752" s="753">
        <f t="shared" si="109"/>
        <v>0</v>
      </c>
      <c r="S752" s="752">
        <f t="shared" si="110"/>
        <v>0</v>
      </c>
      <c r="T752" s="754">
        <f t="shared" si="111"/>
        <v>0</v>
      </c>
      <c r="U752" s="859"/>
      <c r="V752" s="863"/>
      <c r="W752" s="859"/>
      <c r="X752" s="859"/>
      <c r="Y752" s="755">
        <f t="shared" si="107"/>
        <v>0</v>
      </c>
      <c r="Z752" s="864"/>
      <c r="AA752" s="863"/>
      <c r="AB752" s="756">
        <f t="shared" si="108"/>
        <v>0</v>
      </c>
      <c r="AC752" s="859"/>
      <c r="AD752" s="863"/>
      <c r="AE752" s="859"/>
      <c r="AF752" s="859"/>
      <c r="AG752" s="864"/>
      <c r="AH752" s="865"/>
      <c r="AI752" s="757">
        <f t="shared" si="112"/>
        <v>0</v>
      </c>
      <c r="AJ752" s="758">
        <f t="shared" si="113"/>
        <v>0</v>
      </c>
    </row>
    <row r="753" spans="1:36" x14ac:dyDescent="0.2">
      <c r="A753" s="1197" t="s">
        <v>148</v>
      </c>
      <c r="B753" s="1096" t="s">
        <v>219</v>
      </c>
      <c r="C753" s="1208" t="s">
        <v>249</v>
      </c>
      <c r="D753" s="1207"/>
      <c r="E753" s="1099"/>
      <c r="F753" s="1100"/>
      <c r="G753" s="859"/>
      <c r="H753" s="860"/>
      <c r="I753" s="861"/>
      <c r="J753" s="862"/>
      <c r="K753" s="859"/>
      <c r="L753" s="863"/>
      <c r="M753" s="859"/>
      <c r="N753" s="859"/>
      <c r="O753" s="752">
        <f t="shared" si="106"/>
        <v>0</v>
      </c>
      <c r="P753" s="862"/>
      <c r="Q753" s="860"/>
      <c r="R753" s="753">
        <f t="shared" si="109"/>
        <v>0</v>
      </c>
      <c r="S753" s="752">
        <f t="shared" si="110"/>
        <v>0</v>
      </c>
      <c r="T753" s="754">
        <f t="shared" si="111"/>
        <v>0</v>
      </c>
      <c r="U753" s="859"/>
      <c r="V753" s="863"/>
      <c r="W753" s="859"/>
      <c r="X753" s="859"/>
      <c r="Y753" s="755">
        <f t="shared" si="107"/>
        <v>0</v>
      </c>
      <c r="Z753" s="864"/>
      <c r="AA753" s="863"/>
      <c r="AB753" s="756">
        <f t="shared" si="108"/>
        <v>0</v>
      </c>
      <c r="AC753" s="859"/>
      <c r="AD753" s="863"/>
      <c r="AE753" s="859"/>
      <c r="AF753" s="859"/>
      <c r="AG753" s="864"/>
      <c r="AH753" s="865"/>
      <c r="AI753" s="757">
        <f t="shared" si="112"/>
        <v>0</v>
      </c>
      <c r="AJ753" s="758">
        <f t="shared" si="113"/>
        <v>0</v>
      </c>
    </row>
    <row r="754" spans="1:36" x14ac:dyDescent="0.2">
      <c r="A754" s="1197" t="s">
        <v>148</v>
      </c>
      <c r="B754" s="1096" t="s">
        <v>293</v>
      </c>
      <c r="C754" s="1211" t="s">
        <v>121</v>
      </c>
      <c r="D754" s="1212"/>
      <c r="E754" s="1099"/>
      <c r="F754" s="1100"/>
      <c r="G754" s="859"/>
      <c r="H754" s="860"/>
      <c r="I754" s="861"/>
      <c r="J754" s="862"/>
      <c r="K754" s="859"/>
      <c r="L754" s="863"/>
      <c r="M754" s="859"/>
      <c r="N754" s="859"/>
      <c r="O754" s="752">
        <f t="shared" si="106"/>
        <v>0</v>
      </c>
      <c r="P754" s="862"/>
      <c r="Q754" s="860"/>
      <c r="R754" s="753">
        <f t="shared" si="109"/>
        <v>0</v>
      </c>
      <c r="S754" s="752">
        <f t="shared" si="110"/>
        <v>0</v>
      </c>
      <c r="T754" s="754">
        <f t="shared" si="111"/>
        <v>0</v>
      </c>
      <c r="U754" s="859"/>
      <c r="V754" s="863"/>
      <c r="W754" s="859"/>
      <c r="X754" s="859"/>
      <c r="Y754" s="755">
        <f t="shared" si="107"/>
        <v>0</v>
      </c>
      <c r="Z754" s="864"/>
      <c r="AA754" s="863"/>
      <c r="AB754" s="756">
        <f t="shared" si="108"/>
        <v>0</v>
      </c>
      <c r="AC754" s="859"/>
      <c r="AD754" s="863"/>
      <c r="AE754" s="859"/>
      <c r="AF754" s="859"/>
      <c r="AG754" s="864"/>
      <c r="AH754" s="865"/>
      <c r="AI754" s="757">
        <f t="shared" si="112"/>
        <v>0</v>
      </c>
      <c r="AJ754" s="758">
        <f t="shared" si="113"/>
        <v>0</v>
      </c>
    </row>
    <row r="755" spans="1:36" x14ac:dyDescent="0.2">
      <c r="A755" s="1197" t="s">
        <v>148</v>
      </c>
      <c r="B755" s="1096" t="s">
        <v>252</v>
      </c>
      <c r="C755" s="1208" t="s">
        <v>311</v>
      </c>
      <c r="D755" s="1207"/>
      <c r="E755" s="1099"/>
      <c r="F755" s="1100"/>
      <c r="G755" s="859"/>
      <c r="H755" s="860"/>
      <c r="I755" s="861"/>
      <c r="J755" s="862"/>
      <c r="K755" s="859"/>
      <c r="L755" s="863"/>
      <c r="M755" s="859"/>
      <c r="N755" s="859"/>
      <c r="O755" s="752">
        <f t="shared" si="106"/>
        <v>0</v>
      </c>
      <c r="P755" s="862"/>
      <c r="Q755" s="860"/>
      <c r="R755" s="753">
        <f t="shared" si="109"/>
        <v>0</v>
      </c>
      <c r="S755" s="752">
        <f t="shared" si="110"/>
        <v>0</v>
      </c>
      <c r="T755" s="754">
        <f t="shared" si="111"/>
        <v>0</v>
      </c>
      <c r="U755" s="859"/>
      <c r="V755" s="863"/>
      <c r="W755" s="859"/>
      <c r="X755" s="859"/>
      <c r="Y755" s="755">
        <f t="shared" si="107"/>
        <v>0</v>
      </c>
      <c r="Z755" s="864"/>
      <c r="AA755" s="863"/>
      <c r="AB755" s="756">
        <f t="shared" si="108"/>
        <v>0</v>
      </c>
      <c r="AC755" s="859"/>
      <c r="AD755" s="863"/>
      <c r="AE755" s="859"/>
      <c r="AF755" s="859"/>
      <c r="AG755" s="864"/>
      <c r="AH755" s="865"/>
      <c r="AI755" s="757">
        <f t="shared" si="112"/>
        <v>0</v>
      </c>
      <c r="AJ755" s="758">
        <f t="shared" si="113"/>
        <v>0</v>
      </c>
    </row>
    <row r="756" spans="1:36" x14ac:dyDescent="0.2">
      <c r="A756" s="1197" t="s">
        <v>148</v>
      </c>
      <c r="B756" s="1096" t="s">
        <v>253</v>
      </c>
      <c r="C756" s="1208" t="s">
        <v>249</v>
      </c>
      <c r="D756" s="1207"/>
      <c r="E756" s="1099"/>
      <c r="F756" s="1100"/>
      <c r="G756" s="859"/>
      <c r="H756" s="860"/>
      <c r="I756" s="861"/>
      <c r="J756" s="862"/>
      <c r="K756" s="859"/>
      <c r="L756" s="863"/>
      <c r="M756" s="859"/>
      <c r="N756" s="859"/>
      <c r="O756" s="752">
        <f t="shared" si="106"/>
        <v>0</v>
      </c>
      <c r="P756" s="862"/>
      <c r="Q756" s="860"/>
      <c r="R756" s="753">
        <f t="shared" si="109"/>
        <v>0</v>
      </c>
      <c r="S756" s="752">
        <f t="shared" si="110"/>
        <v>0</v>
      </c>
      <c r="T756" s="754">
        <f t="shared" si="111"/>
        <v>0</v>
      </c>
      <c r="U756" s="859"/>
      <c r="V756" s="863"/>
      <c r="W756" s="859"/>
      <c r="X756" s="859"/>
      <c r="Y756" s="755">
        <f t="shared" si="107"/>
        <v>0</v>
      </c>
      <c r="Z756" s="864"/>
      <c r="AA756" s="863"/>
      <c r="AB756" s="756">
        <f t="shared" si="108"/>
        <v>0</v>
      </c>
      <c r="AC756" s="859"/>
      <c r="AD756" s="863"/>
      <c r="AE756" s="859"/>
      <c r="AF756" s="859"/>
      <c r="AG756" s="864"/>
      <c r="AH756" s="865"/>
      <c r="AI756" s="757">
        <f t="shared" si="112"/>
        <v>0</v>
      </c>
      <c r="AJ756" s="758">
        <f t="shared" si="113"/>
        <v>0</v>
      </c>
    </row>
    <row r="757" spans="1:36" x14ac:dyDescent="0.2">
      <c r="A757" s="1197" t="s">
        <v>148</v>
      </c>
      <c r="B757" s="1096" t="s">
        <v>294</v>
      </c>
      <c r="C757" s="1211" t="s">
        <v>307</v>
      </c>
      <c r="D757" s="1212"/>
      <c r="E757" s="1099"/>
      <c r="F757" s="1100"/>
      <c r="G757" s="859"/>
      <c r="H757" s="860"/>
      <c r="I757" s="861"/>
      <c r="J757" s="862"/>
      <c r="K757" s="859"/>
      <c r="L757" s="863"/>
      <c r="M757" s="859"/>
      <c r="N757" s="859"/>
      <c r="O757" s="752">
        <f t="shared" si="106"/>
        <v>0</v>
      </c>
      <c r="P757" s="862"/>
      <c r="Q757" s="860"/>
      <c r="R757" s="753">
        <f t="shared" si="109"/>
        <v>0</v>
      </c>
      <c r="S757" s="752">
        <f t="shared" si="110"/>
        <v>0</v>
      </c>
      <c r="T757" s="754">
        <f t="shared" si="111"/>
        <v>0</v>
      </c>
      <c r="U757" s="859"/>
      <c r="V757" s="863"/>
      <c r="W757" s="859"/>
      <c r="X757" s="859"/>
      <c r="Y757" s="755">
        <f t="shared" si="107"/>
        <v>0</v>
      </c>
      <c r="Z757" s="864"/>
      <c r="AA757" s="863"/>
      <c r="AB757" s="756">
        <f t="shared" si="108"/>
        <v>0</v>
      </c>
      <c r="AC757" s="859"/>
      <c r="AD757" s="863"/>
      <c r="AE757" s="859"/>
      <c r="AF757" s="859"/>
      <c r="AG757" s="864"/>
      <c r="AH757" s="865"/>
      <c r="AI757" s="757">
        <f t="shared" si="112"/>
        <v>0</v>
      </c>
      <c r="AJ757" s="758">
        <f t="shared" si="113"/>
        <v>0</v>
      </c>
    </row>
    <row r="758" spans="1:36" x14ac:dyDescent="0.2">
      <c r="A758" s="1197" t="s">
        <v>148</v>
      </c>
      <c r="B758" s="1096" t="s">
        <v>254</v>
      </c>
      <c r="C758" s="1208" t="s">
        <v>311</v>
      </c>
      <c r="D758" s="1207"/>
      <c r="E758" s="1099"/>
      <c r="F758" s="1100"/>
      <c r="G758" s="859"/>
      <c r="H758" s="860"/>
      <c r="I758" s="861"/>
      <c r="J758" s="862"/>
      <c r="K758" s="859"/>
      <c r="L758" s="863"/>
      <c r="M758" s="859"/>
      <c r="N758" s="859"/>
      <c r="O758" s="752">
        <f t="shared" si="106"/>
        <v>0</v>
      </c>
      <c r="P758" s="862"/>
      <c r="Q758" s="860"/>
      <c r="R758" s="753">
        <f t="shared" si="109"/>
        <v>0</v>
      </c>
      <c r="S758" s="752">
        <f t="shared" si="110"/>
        <v>0</v>
      </c>
      <c r="T758" s="754">
        <f t="shared" si="111"/>
        <v>0</v>
      </c>
      <c r="U758" s="859"/>
      <c r="V758" s="863"/>
      <c r="W758" s="859"/>
      <c r="X758" s="859"/>
      <c r="Y758" s="755">
        <f t="shared" si="107"/>
        <v>0</v>
      </c>
      <c r="Z758" s="864"/>
      <c r="AA758" s="863"/>
      <c r="AB758" s="756">
        <f t="shared" si="108"/>
        <v>0</v>
      </c>
      <c r="AC758" s="859"/>
      <c r="AD758" s="863"/>
      <c r="AE758" s="859"/>
      <c r="AF758" s="859"/>
      <c r="AG758" s="864"/>
      <c r="AH758" s="865"/>
      <c r="AI758" s="757">
        <f t="shared" si="112"/>
        <v>0</v>
      </c>
      <c r="AJ758" s="758">
        <f t="shared" si="113"/>
        <v>0</v>
      </c>
    </row>
    <row r="759" spans="1:36" x14ac:dyDescent="0.2">
      <c r="A759" s="1197" t="s">
        <v>148</v>
      </c>
      <c r="B759" s="1096" t="s">
        <v>255</v>
      </c>
      <c r="C759" s="1208" t="s">
        <v>249</v>
      </c>
      <c r="D759" s="1207"/>
      <c r="E759" s="1099"/>
      <c r="F759" s="1100"/>
      <c r="G759" s="859"/>
      <c r="H759" s="860"/>
      <c r="I759" s="861"/>
      <c r="J759" s="862"/>
      <c r="K759" s="859"/>
      <c r="L759" s="863"/>
      <c r="M759" s="859"/>
      <c r="N759" s="859"/>
      <c r="O759" s="752">
        <f t="shared" si="106"/>
        <v>0</v>
      </c>
      <c r="P759" s="862"/>
      <c r="Q759" s="860"/>
      <c r="R759" s="753">
        <f t="shared" si="109"/>
        <v>0</v>
      </c>
      <c r="S759" s="752">
        <f t="shared" si="110"/>
        <v>0</v>
      </c>
      <c r="T759" s="754">
        <f t="shared" si="111"/>
        <v>0</v>
      </c>
      <c r="U759" s="859"/>
      <c r="V759" s="863"/>
      <c r="W759" s="859"/>
      <c r="X759" s="859"/>
      <c r="Y759" s="755">
        <f t="shared" si="107"/>
        <v>0</v>
      </c>
      <c r="Z759" s="864"/>
      <c r="AA759" s="863"/>
      <c r="AB759" s="756">
        <f t="shared" si="108"/>
        <v>0</v>
      </c>
      <c r="AC759" s="859"/>
      <c r="AD759" s="863"/>
      <c r="AE759" s="859"/>
      <c r="AF759" s="859"/>
      <c r="AG759" s="864"/>
      <c r="AH759" s="865"/>
      <c r="AI759" s="757">
        <f t="shared" si="112"/>
        <v>0</v>
      </c>
      <c r="AJ759" s="758">
        <f t="shared" si="113"/>
        <v>0</v>
      </c>
    </row>
    <row r="760" spans="1:36" ht="14.25" x14ac:dyDescent="0.3">
      <c r="A760" s="934" t="s">
        <v>149</v>
      </c>
      <c r="B760" s="935" t="s">
        <v>264</v>
      </c>
      <c r="C760" s="936" t="s">
        <v>675</v>
      </c>
      <c r="D760" s="937"/>
      <c r="E760" s="938">
        <v>133951</v>
      </c>
      <c r="F760" s="939">
        <v>1</v>
      </c>
      <c r="G760" s="940">
        <v>144002039</v>
      </c>
      <c r="H760" s="941">
        <v>180169782</v>
      </c>
      <c r="I760" s="942"/>
      <c r="J760" s="943"/>
      <c r="K760" s="944"/>
      <c r="L760" s="945"/>
      <c r="M760" s="944">
        <v>261154535.21599999</v>
      </c>
      <c r="N760" s="944">
        <v>4111349.88</v>
      </c>
      <c r="O760" s="752">
        <f t="shared" si="106"/>
        <v>265265885.09599999</v>
      </c>
      <c r="P760" s="946">
        <v>231143534</v>
      </c>
      <c r="Q760" s="941">
        <v>3143429.28</v>
      </c>
      <c r="R760" s="753">
        <f t="shared" si="109"/>
        <v>234286963.28</v>
      </c>
      <c r="S760" s="752">
        <f t="shared" si="110"/>
        <v>405156574.21599996</v>
      </c>
      <c r="T760" s="754">
        <f t="shared" si="111"/>
        <v>411313316</v>
      </c>
      <c r="U760" s="944"/>
      <c r="V760" s="945"/>
      <c r="W760" s="944"/>
      <c r="X760" s="944"/>
      <c r="Y760" s="755">
        <f t="shared" si="107"/>
        <v>0</v>
      </c>
      <c r="Z760" s="947"/>
      <c r="AA760" s="945"/>
      <c r="AB760" s="756">
        <f t="shared" si="108"/>
        <v>0</v>
      </c>
      <c r="AC760" s="944"/>
      <c r="AD760" s="945"/>
      <c r="AE760" s="944"/>
      <c r="AF760" s="944"/>
      <c r="AG760" s="947"/>
      <c r="AH760" s="948"/>
      <c r="AI760" s="757">
        <f t="shared" si="112"/>
        <v>405156574.21599996</v>
      </c>
      <c r="AJ760" s="758">
        <f t="shared" si="113"/>
        <v>411313316</v>
      </c>
    </row>
    <row r="761" spans="1:36" ht="14.25" x14ac:dyDescent="0.3">
      <c r="A761" s="934" t="s">
        <v>149</v>
      </c>
      <c r="B761" s="935" t="s">
        <v>264</v>
      </c>
      <c r="C761" s="949" t="s">
        <v>676</v>
      </c>
      <c r="D761" s="950"/>
      <c r="E761" s="951">
        <v>133951</v>
      </c>
      <c r="F761" s="939">
        <v>1</v>
      </c>
      <c r="G761" s="944"/>
      <c r="H761" s="952"/>
      <c r="I761" s="942">
        <v>540666</v>
      </c>
      <c r="J761" s="943">
        <v>540666</v>
      </c>
      <c r="K761" s="944"/>
      <c r="L761" s="945"/>
      <c r="M761" s="944"/>
      <c r="N761" s="944"/>
      <c r="O761" s="752">
        <f t="shared" si="106"/>
        <v>0</v>
      </c>
      <c r="P761" s="943"/>
      <c r="Q761" s="941"/>
      <c r="R761" s="753">
        <f t="shared" si="109"/>
        <v>0</v>
      </c>
      <c r="S761" s="752">
        <f t="shared" si="110"/>
        <v>540666</v>
      </c>
      <c r="T761" s="754">
        <f t="shared" si="111"/>
        <v>540666</v>
      </c>
      <c r="U761" s="944"/>
      <c r="V761" s="945"/>
      <c r="W761" s="944"/>
      <c r="X761" s="944"/>
      <c r="Y761" s="755">
        <f t="shared" si="107"/>
        <v>0</v>
      </c>
      <c r="Z761" s="947"/>
      <c r="AA761" s="945"/>
      <c r="AB761" s="756">
        <f t="shared" si="108"/>
        <v>0</v>
      </c>
      <c r="AC761" s="944"/>
      <c r="AD761" s="945"/>
      <c r="AE761" s="944"/>
      <c r="AF761" s="944"/>
      <c r="AG761" s="947"/>
      <c r="AH761" s="948"/>
      <c r="AI761" s="757">
        <f t="shared" si="112"/>
        <v>540666</v>
      </c>
      <c r="AJ761" s="758">
        <f t="shared" si="113"/>
        <v>540666</v>
      </c>
    </row>
    <row r="762" spans="1:36" ht="14.25" x14ac:dyDescent="0.3">
      <c r="A762" s="934" t="s">
        <v>149</v>
      </c>
      <c r="B762" s="935" t="s">
        <v>264</v>
      </c>
      <c r="C762" s="949" t="s">
        <v>677</v>
      </c>
      <c r="D762" s="950"/>
      <c r="E762" s="951">
        <v>133951</v>
      </c>
      <c r="F762" s="939">
        <v>1</v>
      </c>
      <c r="G762" s="944"/>
      <c r="H762" s="952"/>
      <c r="I762" s="942">
        <v>2341466</v>
      </c>
      <c r="J762" s="946">
        <v>2341466</v>
      </c>
      <c r="K762" s="944"/>
      <c r="L762" s="945"/>
      <c r="M762" s="944"/>
      <c r="N762" s="944"/>
      <c r="O762" s="752">
        <f t="shared" si="106"/>
        <v>0</v>
      </c>
      <c r="P762" s="943"/>
      <c r="Q762" s="941"/>
      <c r="R762" s="753">
        <f t="shared" si="109"/>
        <v>0</v>
      </c>
      <c r="S762" s="752">
        <f t="shared" si="110"/>
        <v>2341466</v>
      </c>
      <c r="T762" s="754">
        <f t="shared" si="111"/>
        <v>2341466</v>
      </c>
      <c r="U762" s="944"/>
      <c r="V762" s="945"/>
      <c r="W762" s="944"/>
      <c r="X762" s="944"/>
      <c r="Y762" s="755">
        <f t="shared" si="107"/>
        <v>0</v>
      </c>
      <c r="Z762" s="947"/>
      <c r="AA762" s="945"/>
      <c r="AB762" s="756">
        <f t="shared" si="108"/>
        <v>0</v>
      </c>
      <c r="AC762" s="944">
        <v>25447</v>
      </c>
      <c r="AD762" s="953">
        <v>25447</v>
      </c>
      <c r="AE762" s="944"/>
      <c r="AF762" s="944"/>
      <c r="AG762" s="947"/>
      <c r="AH762" s="948"/>
      <c r="AI762" s="757">
        <f t="shared" si="112"/>
        <v>2366913</v>
      </c>
      <c r="AJ762" s="758">
        <f t="shared" si="113"/>
        <v>2366913</v>
      </c>
    </row>
    <row r="763" spans="1:36" ht="14.25" x14ac:dyDescent="0.3">
      <c r="A763" s="934" t="s">
        <v>149</v>
      </c>
      <c r="B763" s="935" t="s">
        <v>280</v>
      </c>
      <c r="C763" s="949" t="s">
        <v>678</v>
      </c>
      <c r="D763" s="950"/>
      <c r="E763" s="951">
        <v>133951</v>
      </c>
      <c r="F763" s="939">
        <v>1</v>
      </c>
      <c r="G763" s="944"/>
      <c r="H763" s="952"/>
      <c r="I763" s="942"/>
      <c r="J763" s="943"/>
      <c r="K763" s="944"/>
      <c r="L763" s="945"/>
      <c r="M763" s="944"/>
      <c r="N763" s="944"/>
      <c r="O763" s="752">
        <f t="shared" si="106"/>
        <v>0</v>
      </c>
      <c r="P763" s="943"/>
      <c r="Q763" s="941"/>
      <c r="R763" s="753">
        <f t="shared" si="109"/>
        <v>0</v>
      </c>
      <c r="S763" s="752">
        <f t="shared" si="110"/>
        <v>0</v>
      </c>
      <c r="T763" s="754">
        <f t="shared" si="111"/>
        <v>0</v>
      </c>
      <c r="U763" s="944"/>
      <c r="V763" s="945"/>
      <c r="W763" s="944"/>
      <c r="X763" s="944"/>
      <c r="Y763" s="755">
        <f t="shared" si="107"/>
        <v>0</v>
      </c>
      <c r="Z763" s="947"/>
      <c r="AA763" s="945"/>
      <c r="AB763" s="756">
        <f t="shared" si="108"/>
        <v>0</v>
      </c>
      <c r="AC763" s="944">
        <v>26909795</v>
      </c>
      <c r="AD763" s="953">
        <v>30117725</v>
      </c>
      <c r="AE763" s="944">
        <v>9497901</v>
      </c>
      <c r="AF763" s="944"/>
      <c r="AG763" s="954">
        <v>12532971</v>
      </c>
      <c r="AH763" s="948"/>
      <c r="AI763" s="757">
        <f t="shared" si="112"/>
        <v>36407696</v>
      </c>
      <c r="AJ763" s="758">
        <f t="shared" si="113"/>
        <v>42650696</v>
      </c>
    </row>
    <row r="764" spans="1:36" ht="14.25" x14ac:dyDescent="0.3">
      <c r="A764" s="934" t="s">
        <v>149</v>
      </c>
      <c r="B764" s="935" t="s">
        <v>271</v>
      </c>
      <c r="C764" s="955" t="s">
        <v>309</v>
      </c>
      <c r="D764" s="950"/>
      <c r="E764" s="951">
        <v>137351</v>
      </c>
      <c r="F764" s="939">
        <v>1</v>
      </c>
      <c r="G764" s="944"/>
      <c r="H764" s="952"/>
      <c r="I764" s="942"/>
      <c r="J764" s="943"/>
      <c r="K764" s="944"/>
      <c r="L764" s="945"/>
      <c r="M764" s="944"/>
      <c r="N764" s="944"/>
      <c r="O764" s="752">
        <f t="shared" si="106"/>
        <v>0</v>
      </c>
      <c r="P764" s="943"/>
      <c r="Q764" s="941"/>
      <c r="R764" s="753">
        <f t="shared" si="109"/>
        <v>0</v>
      </c>
      <c r="S764" s="752">
        <f t="shared" si="110"/>
        <v>0</v>
      </c>
      <c r="T764" s="754">
        <f t="shared" si="111"/>
        <v>0</v>
      </c>
      <c r="U764" s="944"/>
      <c r="V764" s="945"/>
      <c r="W764" s="944"/>
      <c r="X764" s="944"/>
      <c r="Y764" s="755">
        <f t="shared" si="107"/>
        <v>0</v>
      </c>
      <c r="Z764" s="947"/>
      <c r="AA764" s="945"/>
      <c r="AB764" s="756">
        <f t="shared" si="108"/>
        <v>0</v>
      </c>
      <c r="AC764" s="944"/>
      <c r="AD764" s="945"/>
      <c r="AE764" s="944"/>
      <c r="AF764" s="944"/>
      <c r="AG764" s="947"/>
      <c r="AH764" s="948"/>
      <c r="AI764" s="757">
        <f t="shared" si="112"/>
        <v>0</v>
      </c>
      <c r="AJ764" s="758">
        <f t="shared" si="113"/>
        <v>0</v>
      </c>
    </row>
    <row r="765" spans="1:36" ht="14.25" x14ac:dyDescent="0.3">
      <c r="A765" s="934" t="s">
        <v>149</v>
      </c>
      <c r="B765" s="935" t="s">
        <v>264</v>
      </c>
      <c r="C765" s="956" t="s">
        <v>679</v>
      </c>
      <c r="D765" s="957"/>
      <c r="E765" s="951">
        <v>134097</v>
      </c>
      <c r="F765" s="958">
        <v>1</v>
      </c>
      <c r="G765" s="940">
        <v>183742301</v>
      </c>
      <c r="H765" s="941">
        <v>281098267</v>
      </c>
      <c r="I765" s="942"/>
      <c r="J765" s="943"/>
      <c r="K765" s="944"/>
      <c r="L765" s="945"/>
      <c r="M765" s="944">
        <v>211436025.39120001</v>
      </c>
      <c r="N765" s="944">
        <v>2738169.94</v>
      </c>
      <c r="O765" s="752">
        <f t="shared" si="106"/>
        <v>214174195.3312</v>
      </c>
      <c r="P765" s="946">
        <v>321427655</v>
      </c>
      <c r="Q765" s="941">
        <v>2082630.14</v>
      </c>
      <c r="R765" s="753">
        <f t="shared" si="109"/>
        <v>323510285.13999999</v>
      </c>
      <c r="S765" s="752">
        <f t="shared" si="110"/>
        <v>395178326.39120001</v>
      </c>
      <c r="T765" s="754">
        <f t="shared" si="111"/>
        <v>602525922</v>
      </c>
      <c r="U765" s="944"/>
      <c r="V765" s="945"/>
      <c r="W765" s="944"/>
      <c r="X765" s="944"/>
      <c r="Y765" s="755">
        <f t="shared" si="107"/>
        <v>0</v>
      </c>
      <c r="Z765" s="947"/>
      <c r="AA765" s="945"/>
      <c r="AB765" s="756">
        <f t="shared" si="108"/>
        <v>0</v>
      </c>
      <c r="AC765" s="944"/>
      <c r="AD765" s="945"/>
      <c r="AE765" s="944"/>
      <c r="AF765" s="944"/>
      <c r="AG765" s="947"/>
      <c r="AH765" s="948"/>
      <c r="AI765" s="757">
        <f t="shared" si="112"/>
        <v>395178326.39120001</v>
      </c>
      <c r="AJ765" s="758">
        <f t="shared" si="113"/>
        <v>602525922</v>
      </c>
    </row>
    <row r="766" spans="1:36" ht="14.25" x14ac:dyDescent="0.3">
      <c r="A766" s="934" t="s">
        <v>149</v>
      </c>
      <c r="B766" s="935" t="s">
        <v>264</v>
      </c>
      <c r="C766" s="949" t="s">
        <v>676</v>
      </c>
      <c r="D766" s="950"/>
      <c r="E766" s="951">
        <v>134097</v>
      </c>
      <c r="F766" s="958">
        <v>1</v>
      </c>
      <c r="G766" s="944"/>
      <c r="H766" s="952"/>
      <c r="I766" s="942">
        <v>1467667</v>
      </c>
      <c r="J766" s="943">
        <v>1467667</v>
      </c>
      <c r="K766" s="944"/>
      <c r="L766" s="945"/>
      <c r="M766" s="944"/>
      <c r="N766" s="944"/>
      <c r="O766" s="752">
        <f t="shared" si="106"/>
        <v>0</v>
      </c>
      <c r="P766" s="943"/>
      <c r="Q766" s="941"/>
      <c r="R766" s="753">
        <f t="shared" si="109"/>
        <v>0</v>
      </c>
      <c r="S766" s="752">
        <f t="shared" si="110"/>
        <v>1467667</v>
      </c>
      <c r="T766" s="754">
        <f t="shared" si="111"/>
        <v>1467667</v>
      </c>
      <c r="U766" s="944"/>
      <c r="V766" s="945"/>
      <c r="W766" s="944"/>
      <c r="X766" s="944"/>
      <c r="Y766" s="755">
        <f t="shared" si="107"/>
        <v>0</v>
      </c>
      <c r="Z766" s="947"/>
      <c r="AA766" s="945"/>
      <c r="AB766" s="756">
        <f t="shared" si="108"/>
        <v>0</v>
      </c>
      <c r="AC766" s="944"/>
      <c r="AD766" s="945"/>
      <c r="AE766" s="944"/>
      <c r="AF766" s="944"/>
      <c r="AG766" s="947"/>
      <c r="AH766" s="948"/>
      <c r="AI766" s="757">
        <f t="shared" si="112"/>
        <v>1467667</v>
      </c>
      <c r="AJ766" s="758">
        <f t="shared" si="113"/>
        <v>1467667</v>
      </c>
    </row>
    <row r="767" spans="1:36" ht="14.25" x14ac:dyDescent="0.3">
      <c r="A767" s="934" t="s">
        <v>149</v>
      </c>
      <c r="B767" s="935" t="s">
        <v>264</v>
      </c>
      <c r="C767" s="949" t="s">
        <v>677</v>
      </c>
      <c r="D767" s="950"/>
      <c r="E767" s="951">
        <v>134097</v>
      </c>
      <c r="F767" s="958">
        <v>1</v>
      </c>
      <c r="G767" s="944"/>
      <c r="H767" s="952"/>
      <c r="I767" s="942">
        <v>1866409</v>
      </c>
      <c r="J767" s="946">
        <v>1866406</v>
      </c>
      <c r="K767" s="944"/>
      <c r="L767" s="945"/>
      <c r="M767" s="944"/>
      <c r="N767" s="944"/>
      <c r="O767" s="752">
        <f t="shared" si="106"/>
        <v>0</v>
      </c>
      <c r="P767" s="943"/>
      <c r="Q767" s="941"/>
      <c r="R767" s="753">
        <f t="shared" si="109"/>
        <v>0</v>
      </c>
      <c r="S767" s="752">
        <f t="shared" si="110"/>
        <v>1866409</v>
      </c>
      <c r="T767" s="754">
        <f t="shared" si="111"/>
        <v>1866406</v>
      </c>
      <c r="U767" s="944"/>
      <c r="V767" s="945"/>
      <c r="W767" s="944"/>
      <c r="X767" s="944"/>
      <c r="Y767" s="755">
        <f t="shared" si="107"/>
        <v>0</v>
      </c>
      <c r="Z767" s="947"/>
      <c r="AA767" s="945"/>
      <c r="AB767" s="756">
        <f t="shared" si="108"/>
        <v>0</v>
      </c>
      <c r="AC767" s="944">
        <v>60964</v>
      </c>
      <c r="AD767" s="953">
        <v>60964</v>
      </c>
      <c r="AE767" s="944"/>
      <c r="AF767" s="944"/>
      <c r="AG767" s="947"/>
      <c r="AH767" s="948"/>
      <c r="AI767" s="757">
        <f t="shared" si="112"/>
        <v>1927373</v>
      </c>
      <c r="AJ767" s="758">
        <f t="shared" si="113"/>
        <v>1927370</v>
      </c>
    </row>
    <row r="768" spans="1:36" ht="14.25" x14ac:dyDescent="0.3">
      <c r="A768" s="934" t="s">
        <v>149</v>
      </c>
      <c r="B768" s="935" t="s">
        <v>280</v>
      </c>
      <c r="C768" s="949" t="s">
        <v>678</v>
      </c>
      <c r="D768" s="950"/>
      <c r="E768" s="951">
        <v>134097</v>
      </c>
      <c r="F768" s="958">
        <v>1</v>
      </c>
      <c r="G768" s="944"/>
      <c r="H768" s="952"/>
      <c r="I768" s="942"/>
      <c r="J768" s="943"/>
      <c r="K768" s="944"/>
      <c r="L768" s="945"/>
      <c r="M768" s="944"/>
      <c r="N768" s="944"/>
      <c r="O768" s="752">
        <f t="shared" si="106"/>
        <v>0</v>
      </c>
      <c r="P768" s="943"/>
      <c r="Q768" s="941"/>
      <c r="R768" s="753">
        <f t="shared" si="109"/>
        <v>0</v>
      </c>
      <c r="S768" s="752">
        <f t="shared" si="110"/>
        <v>0</v>
      </c>
      <c r="T768" s="754">
        <f t="shared" si="111"/>
        <v>0</v>
      </c>
      <c r="U768" s="944"/>
      <c r="V768" s="945"/>
      <c r="W768" s="944"/>
      <c r="X768" s="944"/>
      <c r="Y768" s="755">
        <f t="shared" si="107"/>
        <v>0</v>
      </c>
      <c r="Z768" s="947"/>
      <c r="AA768" s="945"/>
      <c r="AB768" s="756">
        <f t="shared" si="108"/>
        <v>0</v>
      </c>
      <c r="AC768" s="940">
        <v>33218086</v>
      </c>
      <c r="AD768" s="953">
        <v>34069946</v>
      </c>
      <c r="AE768" s="944">
        <v>11572716</v>
      </c>
      <c r="AF768" s="944"/>
      <c r="AG768" s="954">
        <v>11572716</v>
      </c>
      <c r="AH768" s="948"/>
      <c r="AI768" s="757">
        <f t="shared" si="112"/>
        <v>44790802</v>
      </c>
      <c r="AJ768" s="758">
        <f t="shared" si="113"/>
        <v>45642662</v>
      </c>
    </row>
    <row r="769" spans="1:36" ht="14.25" x14ac:dyDescent="0.3">
      <c r="A769" s="934" t="s">
        <v>149</v>
      </c>
      <c r="B769" s="935" t="s">
        <v>280</v>
      </c>
      <c r="C769" s="949" t="s">
        <v>680</v>
      </c>
      <c r="D769" s="950"/>
      <c r="E769" s="951">
        <v>134097</v>
      </c>
      <c r="F769" s="958">
        <v>1</v>
      </c>
      <c r="G769" s="944"/>
      <c r="H769" s="952"/>
      <c r="I769" s="942"/>
      <c r="J769" s="943"/>
      <c r="K769" s="944"/>
      <c r="L769" s="945"/>
      <c r="M769" s="944"/>
      <c r="N769" s="944"/>
      <c r="O769" s="752">
        <f t="shared" si="106"/>
        <v>0</v>
      </c>
      <c r="P769" s="943"/>
      <c r="Q769" s="941"/>
      <c r="R769" s="753">
        <f t="shared" si="109"/>
        <v>0</v>
      </c>
      <c r="S769" s="752">
        <f t="shared" si="110"/>
        <v>0</v>
      </c>
      <c r="T769" s="754">
        <f t="shared" si="111"/>
        <v>0</v>
      </c>
      <c r="U769" s="944"/>
      <c r="V769" s="945"/>
      <c r="W769" s="944"/>
      <c r="X769" s="944"/>
      <c r="Y769" s="755">
        <f t="shared" si="107"/>
        <v>0</v>
      </c>
      <c r="Z769" s="947"/>
      <c r="AA769" s="945"/>
      <c r="AB769" s="756">
        <f t="shared" si="108"/>
        <v>0</v>
      </c>
      <c r="AC769" s="944">
        <v>770762</v>
      </c>
      <c r="AD769" s="953">
        <v>1056231</v>
      </c>
      <c r="AE769" s="944"/>
      <c r="AF769" s="944"/>
      <c r="AG769" s="947"/>
      <c r="AH769" s="948"/>
      <c r="AI769" s="757">
        <f t="shared" si="112"/>
        <v>770762</v>
      </c>
      <c r="AJ769" s="758">
        <f t="shared" si="113"/>
        <v>1056231</v>
      </c>
    </row>
    <row r="770" spans="1:36" ht="14.25" x14ac:dyDescent="0.3">
      <c r="A770" s="934" t="s">
        <v>149</v>
      </c>
      <c r="B770" s="935" t="s">
        <v>266</v>
      </c>
      <c r="C770" s="955" t="s">
        <v>319</v>
      </c>
      <c r="D770" s="950"/>
      <c r="E770" s="951">
        <v>134097</v>
      </c>
      <c r="F770" s="958">
        <v>1</v>
      </c>
      <c r="G770" s="944"/>
      <c r="H770" s="952"/>
      <c r="I770" s="942">
        <v>396525</v>
      </c>
      <c r="J770" s="943">
        <v>396525</v>
      </c>
      <c r="K770" s="944"/>
      <c r="L770" s="945"/>
      <c r="M770" s="944"/>
      <c r="N770" s="944"/>
      <c r="O770" s="752">
        <f t="shared" si="106"/>
        <v>0</v>
      </c>
      <c r="P770" s="943"/>
      <c r="Q770" s="941"/>
      <c r="R770" s="753">
        <f t="shared" si="109"/>
        <v>0</v>
      </c>
      <c r="S770" s="752">
        <f t="shared" si="110"/>
        <v>396525</v>
      </c>
      <c r="T770" s="754">
        <f t="shared" si="111"/>
        <v>396525</v>
      </c>
      <c r="U770" s="944"/>
      <c r="V770" s="945"/>
      <c r="W770" s="944"/>
      <c r="X770" s="944"/>
      <c r="Y770" s="755">
        <f t="shared" si="107"/>
        <v>0</v>
      </c>
      <c r="Z770" s="947"/>
      <c r="AA770" s="945"/>
      <c r="AB770" s="756">
        <f t="shared" si="108"/>
        <v>0</v>
      </c>
      <c r="AC770" s="944"/>
      <c r="AD770" s="945"/>
      <c r="AE770" s="944"/>
      <c r="AF770" s="944"/>
      <c r="AG770" s="947"/>
      <c r="AH770" s="948"/>
      <c r="AI770" s="757">
        <f t="shared" si="112"/>
        <v>396525</v>
      </c>
      <c r="AJ770" s="758">
        <f t="shared" si="113"/>
        <v>396525</v>
      </c>
    </row>
    <row r="771" spans="1:36" ht="14.25" x14ac:dyDescent="0.3">
      <c r="A771" s="934" t="s">
        <v>149</v>
      </c>
      <c r="B771" s="935" t="s">
        <v>266</v>
      </c>
      <c r="C771" s="949" t="s">
        <v>681</v>
      </c>
      <c r="D771" s="950"/>
      <c r="E771" s="951">
        <v>134097</v>
      </c>
      <c r="F771" s="958">
        <v>1</v>
      </c>
      <c r="G771" s="944"/>
      <c r="H771" s="952"/>
      <c r="I771" s="942"/>
      <c r="J771" s="943"/>
      <c r="K771" s="944"/>
      <c r="L771" s="945"/>
      <c r="M771" s="944"/>
      <c r="N771" s="944"/>
      <c r="O771" s="752">
        <f t="shared" si="106"/>
        <v>0</v>
      </c>
      <c r="P771" s="943"/>
      <c r="Q771" s="941"/>
      <c r="R771" s="753">
        <f t="shared" si="109"/>
        <v>0</v>
      </c>
      <c r="S771" s="752">
        <f t="shared" si="110"/>
        <v>0</v>
      </c>
      <c r="T771" s="754">
        <f t="shared" si="111"/>
        <v>0</v>
      </c>
      <c r="U771" s="944"/>
      <c r="V771" s="945"/>
      <c r="W771" s="944"/>
      <c r="X771" s="944"/>
      <c r="Y771" s="755">
        <f t="shared" si="107"/>
        <v>0</v>
      </c>
      <c r="Z771" s="947"/>
      <c r="AA771" s="945"/>
      <c r="AB771" s="756">
        <f t="shared" si="108"/>
        <v>0</v>
      </c>
      <c r="AC771" s="944"/>
      <c r="AD771" s="945"/>
      <c r="AE771" s="944"/>
      <c r="AF771" s="944"/>
      <c r="AG771" s="947"/>
      <c r="AH771" s="948"/>
      <c r="AI771" s="757">
        <f t="shared" si="112"/>
        <v>0</v>
      </c>
      <c r="AJ771" s="758">
        <f t="shared" si="113"/>
        <v>0</v>
      </c>
    </row>
    <row r="772" spans="1:36" ht="14.25" x14ac:dyDescent="0.3">
      <c r="A772" s="934" t="s">
        <v>149</v>
      </c>
      <c r="B772" s="935" t="s">
        <v>266</v>
      </c>
      <c r="C772" s="949" t="s">
        <v>682</v>
      </c>
      <c r="D772" s="950"/>
      <c r="E772" s="951">
        <v>134097</v>
      </c>
      <c r="F772" s="958">
        <v>1</v>
      </c>
      <c r="G772" s="944"/>
      <c r="H772" s="952"/>
      <c r="I772" s="942">
        <v>14622183</v>
      </c>
      <c r="J772" s="943">
        <v>15685691</v>
      </c>
      <c r="K772" s="944"/>
      <c r="L772" s="945"/>
      <c r="M772" s="944"/>
      <c r="N772" s="944"/>
      <c r="O772" s="752">
        <f t="shared" si="106"/>
        <v>0</v>
      </c>
      <c r="P772" s="943"/>
      <c r="Q772" s="941"/>
      <c r="R772" s="753">
        <f t="shared" si="109"/>
        <v>0</v>
      </c>
      <c r="S772" s="752">
        <f t="shared" si="110"/>
        <v>14622183</v>
      </c>
      <c r="T772" s="754">
        <f t="shared" si="111"/>
        <v>15685691</v>
      </c>
      <c r="U772" s="944"/>
      <c r="V772" s="945"/>
      <c r="W772" s="944"/>
      <c r="X772" s="944"/>
      <c r="Y772" s="755">
        <f t="shared" si="107"/>
        <v>0</v>
      </c>
      <c r="Z772" s="947"/>
      <c r="AA772" s="945"/>
      <c r="AB772" s="756">
        <f t="shared" si="108"/>
        <v>0</v>
      </c>
      <c r="AC772" s="944"/>
      <c r="AD772" s="945"/>
      <c r="AE772" s="944"/>
      <c r="AF772" s="944"/>
      <c r="AG772" s="947"/>
      <c r="AH772" s="948"/>
      <c r="AI772" s="757">
        <f t="shared" si="112"/>
        <v>14622183</v>
      </c>
      <c r="AJ772" s="758">
        <f t="shared" si="113"/>
        <v>15685691</v>
      </c>
    </row>
    <row r="773" spans="1:36" ht="14.25" x14ac:dyDescent="0.3">
      <c r="A773" s="934" t="s">
        <v>149</v>
      </c>
      <c r="B773" s="935" t="s">
        <v>271</v>
      </c>
      <c r="C773" s="955" t="s">
        <v>309</v>
      </c>
      <c r="D773" s="950"/>
      <c r="E773" s="951">
        <v>134097</v>
      </c>
      <c r="F773" s="958">
        <v>1</v>
      </c>
      <c r="G773" s="944"/>
      <c r="H773" s="952"/>
      <c r="I773" s="942"/>
      <c r="J773" s="943"/>
      <c r="K773" s="944"/>
      <c r="L773" s="945"/>
      <c r="M773" s="944"/>
      <c r="N773" s="944"/>
      <c r="O773" s="752">
        <f t="shared" si="106"/>
        <v>0</v>
      </c>
      <c r="P773" s="943"/>
      <c r="Q773" s="941"/>
      <c r="R773" s="753">
        <f t="shared" si="109"/>
        <v>0</v>
      </c>
      <c r="S773" s="752">
        <f t="shared" si="110"/>
        <v>0</v>
      </c>
      <c r="T773" s="754">
        <f t="shared" si="111"/>
        <v>0</v>
      </c>
      <c r="U773" s="944"/>
      <c r="V773" s="945"/>
      <c r="W773" s="944"/>
      <c r="X773" s="944"/>
      <c r="Y773" s="755">
        <f t="shared" si="107"/>
        <v>0</v>
      </c>
      <c r="Z773" s="947"/>
      <c r="AA773" s="945"/>
      <c r="AB773" s="756">
        <f t="shared" si="108"/>
        <v>0</v>
      </c>
      <c r="AC773" s="944"/>
      <c r="AD773" s="945"/>
      <c r="AE773" s="944"/>
      <c r="AF773" s="944"/>
      <c r="AG773" s="947"/>
      <c r="AH773" s="948"/>
      <c r="AI773" s="757">
        <f t="shared" si="112"/>
        <v>0</v>
      </c>
      <c r="AJ773" s="758">
        <f t="shared" si="113"/>
        <v>0</v>
      </c>
    </row>
    <row r="774" spans="1:36" ht="14.25" x14ac:dyDescent="0.3">
      <c r="A774" s="934" t="s">
        <v>149</v>
      </c>
      <c r="B774" s="935" t="s">
        <v>264</v>
      </c>
      <c r="C774" s="956" t="s">
        <v>683</v>
      </c>
      <c r="D774" s="957"/>
      <c r="E774" s="951">
        <v>132903</v>
      </c>
      <c r="F774" s="958">
        <v>1</v>
      </c>
      <c r="G774" s="940">
        <v>169739027</v>
      </c>
      <c r="H774" s="941">
        <v>231379810</v>
      </c>
      <c r="I774" s="942"/>
      <c r="J774" s="943"/>
      <c r="K774" s="944"/>
      <c r="L774" s="945"/>
      <c r="M774" s="944">
        <v>259522578.1672</v>
      </c>
      <c r="N774" s="944">
        <v>4657345.88</v>
      </c>
      <c r="O774" s="752">
        <f t="shared" si="106"/>
        <v>264179924.04719999</v>
      </c>
      <c r="P774" s="946">
        <v>265735348</v>
      </c>
      <c r="Q774" s="941">
        <v>3968254.73</v>
      </c>
      <c r="R774" s="753">
        <f t="shared" si="109"/>
        <v>269703602.73000002</v>
      </c>
      <c r="S774" s="752">
        <f t="shared" si="110"/>
        <v>429261605.16719997</v>
      </c>
      <c r="T774" s="754">
        <f t="shared" si="111"/>
        <v>497115158</v>
      </c>
      <c r="U774" s="944"/>
      <c r="V774" s="945"/>
      <c r="W774" s="944"/>
      <c r="X774" s="944"/>
      <c r="Y774" s="755">
        <f t="shared" si="107"/>
        <v>0</v>
      </c>
      <c r="Z774" s="947"/>
      <c r="AA774" s="945"/>
      <c r="AB774" s="756">
        <f t="shared" si="108"/>
        <v>0</v>
      </c>
      <c r="AC774" s="944"/>
      <c r="AD774" s="945"/>
      <c r="AE774" s="944"/>
      <c r="AF774" s="944"/>
      <c r="AG774" s="947"/>
      <c r="AH774" s="948"/>
      <c r="AI774" s="757">
        <f t="shared" si="112"/>
        <v>429261605.16719997</v>
      </c>
      <c r="AJ774" s="758">
        <f t="shared" si="113"/>
        <v>497115158</v>
      </c>
    </row>
    <row r="775" spans="1:36" ht="14.25" x14ac:dyDescent="0.3">
      <c r="A775" s="934" t="s">
        <v>149</v>
      </c>
      <c r="B775" s="935" t="s">
        <v>264</v>
      </c>
      <c r="C775" s="949" t="s">
        <v>676</v>
      </c>
      <c r="D775" s="950"/>
      <c r="E775" s="951">
        <v>132903</v>
      </c>
      <c r="F775" s="958">
        <v>1</v>
      </c>
      <c r="G775" s="944"/>
      <c r="H775" s="952"/>
      <c r="I775" s="942">
        <v>858405</v>
      </c>
      <c r="J775" s="943">
        <v>858405</v>
      </c>
      <c r="K775" s="944"/>
      <c r="L775" s="945"/>
      <c r="M775" s="944"/>
      <c r="N775" s="944"/>
      <c r="O775" s="752">
        <f t="shared" si="106"/>
        <v>0</v>
      </c>
      <c r="P775" s="946"/>
      <c r="Q775" s="941"/>
      <c r="R775" s="753">
        <f t="shared" si="109"/>
        <v>0</v>
      </c>
      <c r="S775" s="752">
        <f t="shared" si="110"/>
        <v>858405</v>
      </c>
      <c r="T775" s="754">
        <f t="shared" si="111"/>
        <v>858405</v>
      </c>
      <c r="U775" s="944"/>
      <c r="V775" s="945"/>
      <c r="W775" s="944"/>
      <c r="X775" s="944"/>
      <c r="Y775" s="755">
        <f t="shared" si="107"/>
        <v>0</v>
      </c>
      <c r="Z775" s="947"/>
      <c r="AA775" s="945"/>
      <c r="AB775" s="756">
        <f t="shared" si="108"/>
        <v>0</v>
      </c>
      <c r="AC775" s="944"/>
      <c r="AD775" s="945"/>
      <c r="AE775" s="944"/>
      <c r="AF775" s="944"/>
      <c r="AG775" s="947"/>
      <c r="AH775" s="948"/>
      <c r="AI775" s="757">
        <f t="shared" si="112"/>
        <v>858405</v>
      </c>
      <c r="AJ775" s="758">
        <f t="shared" si="113"/>
        <v>858405</v>
      </c>
    </row>
    <row r="776" spans="1:36" ht="14.25" x14ac:dyDescent="0.3">
      <c r="A776" s="934" t="s">
        <v>149</v>
      </c>
      <c r="B776" s="935" t="s">
        <v>264</v>
      </c>
      <c r="C776" s="949" t="s">
        <v>677</v>
      </c>
      <c r="D776" s="950"/>
      <c r="E776" s="951">
        <v>132903</v>
      </c>
      <c r="F776" s="958">
        <v>1</v>
      </c>
      <c r="G776" s="944"/>
      <c r="H776" s="952"/>
      <c r="I776" s="942">
        <v>2002312</v>
      </c>
      <c r="J776" s="946">
        <v>2002312</v>
      </c>
      <c r="K776" s="944"/>
      <c r="L776" s="945"/>
      <c r="M776" s="944"/>
      <c r="N776" s="944"/>
      <c r="O776" s="752">
        <f t="shared" si="106"/>
        <v>0</v>
      </c>
      <c r="P776" s="943"/>
      <c r="Q776" s="941"/>
      <c r="R776" s="753">
        <f t="shared" si="109"/>
        <v>0</v>
      </c>
      <c r="S776" s="752">
        <f t="shared" si="110"/>
        <v>2002312</v>
      </c>
      <c r="T776" s="754">
        <f t="shared" si="111"/>
        <v>2002312</v>
      </c>
      <c r="U776" s="944"/>
      <c r="V776" s="945"/>
      <c r="W776" s="944"/>
      <c r="X776" s="944"/>
      <c r="Y776" s="755">
        <f t="shared" si="107"/>
        <v>0</v>
      </c>
      <c r="Z776" s="947"/>
      <c r="AA776" s="945"/>
      <c r="AB776" s="756">
        <f t="shared" si="108"/>
        <v>0</v>
      </c>
      <c r="AC776" s="944"/>
      <c r="AD776" s="945"/>
      <c r="AE776" s="944"/>
      <c r="AF776" s="944"/>
      <c r="AG776" s="947"/>
      <c r="AH776" s="948"/>
      <c r="AI776" s="757">
        <f t="shared" si="112"/>
        <v>2002312</v>
      </c>
      <c r="AJ776" s="758">
        <f t="shared" si="113"/>
        <v>2002312</v>
      </c>
    </row>
    <row r="777" spans="1:36" ht="14.25" x14ac:dyDescent="0.3">
      <c r="A777" s="934" t="s">
        <v>149</v>
      </c>
      <c r="B777" s="935" t="s">
        <v>280</v>
      </c>
      <c r="C777" s="949" t="s">
        <v>678</v>
      </c>
      <c r="D777" s="950"/>
      <c r="E777" s="951">
        <v>132903</v>
      </c>
      <c r="F777" s="958">
        <v>1</v>
      </c>
      <c r="G777" s="944"/>
      <c r="H777" s="952"/>
      <c r="I777" s="942"/>
      <c r="J777" s="943"/>
      <c r="K777" s="944"/>
      <c r="L777" s="945"/>
      <c r="M777" s="944"/>
      <c r="N777" s="944"/>
      <c r="O777" s="752">
        <f t="shared" si="106"/>
        <v>0</v>
      </c>
      <c r="P777" s="943"/>
      <c r="Q777" s="941"/>
      <c r="R777" s="753">
        <f t="shared" si="109"/>
        <v>0</v>
      </c>
      <c r="S777" s="752">
        <f t="shared" si="110"/>
        <v>0</v>
      </c>
      <c r="T777" s="754">
        <f t="shared" si="111"/>
        <v>0</v>
      </c>
      <c r="U777" s="944"/>
      <c r="V777" s="945"/>
      <c r="W777" s="944"/>
      <c r="X777" s="944"/>
      <c r="Y777" s="755">
        <f t="shared" si="107"/>
        <v>0</v>
      </c>
      <c r="Z777" s="947"/>
      <c r="AA777" s="945"/>
      <c r="AB777" s="756">
        <f t="shared" si="108"/>
        <v>0</v>
      </c>
      <c r="AC777" s="940">
        <v>22989863</v>
      </c>
      <c r="AD777" s="945">
        <v>24251830</v>
      </c>
      <c r="AE777" s="944">
        <v>8180191</v>
      </c>
      <c r="AF777" s="944"/>
      <c r="AG777" s="954">
        <v>10547071</v>
      </c>
      <c r="AH777" s="948"/>
      <c r="AI777" s="757">
        <f t="shared" si="112"/>
        <v>31170054</v>
      </c>
      <c r="AJ777" s="758">
        <f t="shared" si="113"/>
        <v>34798901</v>
      </c>
    </row>
    <row r="778" spans="1:36" ht="14.25" x14ac:dyDescent="0.3">
      <c r="A778" s="934" t="s">
        <v>149</v>
      </c>
      <c r="B778" s="935" t="s">
        <v>266</v>
      </c>
      <c r="C778" s="955" t="s">
        <v>319</v>
      </c>
      <c r="D778" s="950"/>
      <c r="E778" s="951">
        <v>132903</v>
      </c>
      <c r="F778" s="958">
        <v>1</v>
      </c>
      <c r="G778" s="944"/>
      <c r="H778" s="952"/>
      <c r="I778" s="942"/>
      <c r="J778" s="943"/>
      <c r="K778" s="944"/>
      <c r="L778" s="945"/>
      <c r="M778" s="944"/>
      <c r="N778" s="944"/>
      <c r="O778" s="752">
        <f t="shared" si="106"/>
        <v>0</v>
      </c>
      <c r="P778" s="943"/>
      <c r="Q778" s="941"/>
      <c r="R778" s="753">
        <f t="shared" si="109"/>
        <v>0</v>
      </c>
      <c r="S778" s="752">
        <f t="shared" si="110"/>
        <v>0</v>
      </c>
      <c r="T778" s="754">
        <f t="shared" si="111"/>
        <v>0</v>
      </c>
      <c r="U778" s="944"/>
      <c r="V778" s="945"/>
      <c r="W778" s="944"/>
      <c r="X778" s="944"/>
      <c r="Y778" s="755">
        <f t="shared" si="107"/>
        <v>0</v>
      </c>
      <c r="Z778" s="947"/>
      <c r="AA778" s="945"/>
      <c r="AB778" s="756">
        <f t="shared" si="108"/>
        <v>0</v>
      </c>
      <c r="AC778" s="944"/>
      <c r="AD778" s="945"/>
      <c r="AE778" s="944"/>
      <c r="AF778" s="944"/>
      <c r="AG778" s="947"/>
      <c r="AH778" s="948"/>
      <c r="AI778" s="757">
        <f t="shared" si="112"/>
        <v>0</v>
      </c>
      <c r="AJ778" s="758">
        <f t="shared" si="113"/>
        <v>0</v>
      </c>
    </row>
    <row r="779" spans="1:36" ht="14.25" x14ac:dyDescent="0.3">
      <c r="A779" s="934" t="s">
        <v>149</v>
      </c>
      <c r="B779" s="935" t="s">
        <v>266</v>
      </c>
      <c r="C779" s="949" t="s">
        <v>684</v>
      </c>
      <c r="D779" s="950"/>
      <c r="E779" s="951">
        <v>132903</v>
      </c>
      <c r="F779" s="958">
        <v>1</v>
      </c>
      <c r="G779" s="944"/>
      <c r="H779" s="952"/>
      <c r="I779" s="942">
        <v>822012</v>
      </c>
      <c r="J779" s="946">
        <v>1126462</v>
      </c>
      <c r="K779" s="944"/>
      <c r="L779" s="945"/>
      <c r="M779" s="944"/>
      <c r="N779" s="944"/>
      <c r="O779" s="752">
        <f t="shared" ref="O779:O842" si="114">SUM(M779:N779)</f>
        <v>0</v>
      </c>
      <c r="P779" s="943"/>
      <c r="Q779" s="941"/>
      <c r="R779" s="753">
        <f t="shared" si="109"/>
        <v>0</v>
      </c>
      <c r="S779" s="752">
        <f t="shared" si="110"/>
        <v>822012</v>
      </c>
      <c r="T779" s="754">
        <f t="shared" si="111"/>
        <v>1126462</v>
      </c>
      <c r="U779" s="944"/>
      <c r="V779" s="945"/>
      <c r="W779" s="944"/>
      <c r="X779" s="944"/>
      <c r="Y779" s="755">
        <f t="shared" ref="Y779:Y842" si="115">SUM(W779:X779)</f>
        <v>0</v>
      </c>
      <c r="Z779" s="947"/>
      <c r="AA779" s="945"/>
      <c r="AB779" s="756">
        <f t="shared" ref="AB779:AB842" si="116">SUM(Z779:AA779)</f>
        <v>0</v>
      </c>
      <c r="AC779" s="944"/>
      <c r="AD779" s="945"/>
      <c r="AE779" s="944"/>
      <c r="AF779" s="944"/>
      <c r="AG779" s="947"/>
      <c r="AH779" s="948"/>
      <c r="AI779" s="757">
        <f t="shared" si="112"/>
        <v>822012</v>
      </c>
      <c r="AJ779" s="758">
        <f t="shared" si="113"/>
        <v>1126462</v>
      </c>
    </row>
    <row r="780" spans="1:36" ht="14.25" x14ac:dyDescent="0.3">
      <c r="A780" s="934" t="s">
        <v>149</v>
      </c>
      <c r="B780" s="935" t="s">
        <v>271</v>
      </c>
      <c r="C780" s="955" t="s">
        <v>309</v>
      </c>
      <c r="D780" s="950"/>
      <c r="E780" s="951">
        <v>132903</v>
      </c>
      <c r="F780" s="958">
        <v>1</v>
      </c>
      <c r="G780" s="944"/>
      <c r="H780" s="952"/>
      <c r="I780" s="942"/>
      <c r="J780" s="943"/>
      <c r="K780" s="944"/>
      <c r="L780" s="945"/>
      <c r="M780" s="944"/>
      <c r="N780" s="944"/>
      <c r="O780" s="752">
        <f t="shared" si="114"/>
        <v>0</v>
      </c>
      <c r="P780" s="943"/>
      <c r="Q780" s="941"/>
      <c r="R780" s="753">
        <f t="shared" ref="R780:R843" si="117">SUM(P780:Q780)</f>
        <v>0</v>
      </c>
      <c r="S780" s="752">
        <f t="shared" ref="S780:S843" si="118">SUM(G780,I780,K780,M780)</f>
        <v>0</v>
      </c>
      <c r="T780" s="754">
        <f t="shared" ref="T780:T843" si="119">SUM(H780,J780,L780,P780)</f>
        <v>0</v>
      </c>
      <c r="U780" s="944"/>
      <c r="V780" s="945"/>
      <c r="W780" s="944"/>
      <c r="X780" s="944"/>
      <c r="Y780" s="755">
        <f t="shared" si="115"/>
        <v>0</v>
      </c>
      <c r="Z780" s="947"/>
      <c r="AA780" s="945"/>
      <c r="AB780" s="756">
        <f t="shared" si="116"/>
        <v>0</v>
      </c>
      <c r="AC780" s="944"/>
      <c r="AD780" s="945"/>
      <c r="AE780" s="944"/>
      <c r="AF780" s="944"/>
      <c r="AG780" s="947"/>
      <c r="AH780" s="948"/>
      <c r="AI780" s="757">
        <f t="shared" ref="AI780:AI843" si="120">SUM(S780,U780,W780,AC780,AE780)</f>
        <v>0</v>
      </c>
      <c r="AJ780" s="758">
        <f t="shared" ref="AJ780:AJ843" si="121">SUM(T780,V780,Z780,AD780,AG780)</f>
        <v>0</v>
      </c>
    </row>
    <row r="781" spans="1:36" ht="14.25" x14ac:dyDescent="0.3">
      <c r="A781" s="934" t="s">
        <v>149</v>
      </c>
      <c r="B781" s="935" t="s">
        <v>264</v>
      </c>
      <c r="C781" s="956" t="s">
        <v>685</v>
      </c>
      <c r="D781" s="957"/>
      <c r="E781" s="951">
        <v>134130</v>
      </c>
      <c r="F781" s="958">
        <v>1</v>
      </c>
      <c r="G781" s="944">
        <v>239709077</v>
      </c>
      <c r="H781" s="941">
        <v>333379108</v>
      </c>
      <c r="I781" s="942"/>
      <c r="J781" s="943"/>
      <c r="K781" s="944"/>
      <c r="L781" s="945"/>
      <c r="M781" s="944">
        <v>318801731.68239999</v>
      </c>
      <c r="N781" s="944">
        <v>4553606.6399999997</v>
      </c>
      <c r="O781" s="752">
        <f t="shared" si="114"/>
        <v>323355338.32239997</v>
      </c>
      <c r="P781" s="946">
        <v>319931712</v>
      </c>
      <c r="Q781" s="941">
        <v>3578573.42</v>
      </c>
      <c r="R781" s="753">
        <f t="shared" si="117"/>
        <v>323510285.42000002</v>
      </c>
      <c r="S781" s="752">
        <f t="shared" si="118"/>
        <v>558510808.68239999</v>
      </c>
      <c r="T781" s="754">
        <f t="shared" si="119"/>
        <v>653310820</v>
      </c>
      <c r="U781" s="944"/>
      <c r="V781" s="945"/>
      <c r="W781" s="944"/>
      <c r="X781" s="944"/>
      <c r="Y781" s="755">
        <f t="shared" si="115"/>
        <v>0</v>
      </c>
      <c r="Z781" s="947"/>
      <c r="AA781" s="945"/>
      <c r="AB781" s="756">
        <f t="shared" si="116"/>
        <v>0</v>
      </c>
      <c r="AC781" s="944"/>
      <c r="AD781" s="945"/>
      <c r="AE781" s="944"/>
      <c r="AF781" s="944"/>
      <c r="AG781" s="947"/>
      <c r="AH781" s="948"/>
      <c r="AI781" s="757">
        <f t="shared" si="120"/>
        <v>558510808.68239999</v>
      </c>
      <c r="AJ781" s="758">
        <f t="shared" si="121"/>
        <v>653310820</v>
      </c>
    </row>
    <row r="782" spans="1:36" ht="14.25" x14ac:dyDescent="0.3">
      <c r="A782" s="934" t="s">
        <v>149</v>
      </c>
      <c r="B782" s="935" t="s">
        <v>264</v>
      </c>
      <c r="C782" s="949" t="s">
        <v>676</v>
      </c>
      <c r="D782" s="950"/>
      <c r="E782" s="951">
        <v>134130</v>
      </c>
      <c r="F782" s="958">
        <v>1</v>
      </c>
      <c r="G782" s="944"/>
      <c r="H782" s="952"/>
      <c r="I782" s="942">
        <v>1737381</v>
      </c>
      <c r="J782" s="943">
        <v>1737381</v>
      </c>
      <c r="K782" s="944"/>
      <c r="L782" s="945"/>
      <c r="M782" s="944"/>
      <c r="N782" s="944"/>
      <c r="O782" s="752">
        <f t="shared" si="114"/>
        <v>0</v>
      </c>
      <c r="P782" s="943"/>
      <c r="Q782" s="941"/>
      <c r="R782" s="753">
        <f t="shared" si="117"/>
        <v>0</v>
      </c>
      <c r="S782" s="752">
        <f t="shared" si="118"/>
        <v>1737381</v>
      </c>
      <c r="T782" s="754">
        <f t="shared" si="119"/>
        <v>1737381</v>
      </c>
      <c r="U782" s="944"/>
      <c r="V782" s="945"/>
      <c r="W782" s="944"/>
      <c r="X782" s="944"/>
      <c r="Y782" s="755">
        <f t="shared" si="115"/>
        <v>0</v>
      </c>
      <c r="Z782" s="947"/>
      <c r="AA782" s="945"/>
      <c r="AB782" s="756">
        <f t="shared" si="116"/>
        <v>0</v>
      </c>
      <c r="AC782" s="944"/>
      <c r="AD782" s="945"/>
      <c r="AE782" s="944"/>
      <c r="AF782" s="944"/>
      <c r="AG782" s="947"/>
      <c r="AH782" s="948"/>
      <c r="AI782" s="757">
        <f t="shared" si="120"/>
        <v>1737381</v>
      </c>
      <c r="AJ782" s="758">
        <f t="shared" si="121"/>
        <v>1737381</v>
      </c>
    </row>
    <row r="783" spans="1:36" ht="14.25" x14ac:dyDescent="0.3">
      <c r="A783" s="934" t="s">
        <v>149</v>
      </c>
      <c r="B783" s="935" t="s">
        <v>264</v>
      </c>
      <c r="C783" s="949" t="s">
        <v>677</v>
      </c>
      <c r="D783" s="950"/>
      <c r="E783" s="951">
        <v>134130</v>
      </c>
      <c r="F783" s="958">
        <v>1</v>
      </c>
      <c r="G783" s="944"/>
      <c r="H783" s="952"/>
      <c r="I783" s="942">
        <v>4180872</v>
      </c>
      <c r="J783" s="946">
        <v>4180872</v>
      </c>
      <c r="K783" s="944"/>
      <c r="L783" s="945"/>
      <c r="M783" s="944"/>
      <c r="N783" s="944"/>
      <c r="O783" s="752">
        <f t="shared" si="114"/>
        <v>0</v>
      </c>
      <c r="P783" s="943"/>
      <c r="Q783" s="941"/>
      <c r="R783" s="753">
        <f t="shared" si="117"/>
        <v>0</v>
      </c>
      <c r="S783" s="752">
        <f t="shared" si="118"/>
        <v>4180872</v>
      </c>
      <c r="T783" s="754">
        <f t="shared" si="119"/>
        <v>4180872</v>
      </c>
      <c r="U783" s="944"/>
      <c r="V783" s="945"/>
      <c r="W783" s="944"/>
      <c r="X783" s="944"/>
      <c r="Y783" s="755">
        <f t="shared" si="115"/>
        <v>0</v>
      </c>
      <c r="Z783" s="947"/>
      <c r="AA783" s="945"/>
      <c r="AB783" s="756">
        <f t="shared" si="116"/>
        <v>0</v>
      </c>
      <c r="AC783" s="944">
        <v>1245416</v>
      </c>
      <c r="AD783" s="953">
        <v>1245416</v>
      </c>
      <c r="AE783" s="944"/>
      <c r="AF783" s="944"/>
      <c r="AG783" s="947"/>
      <c r="AH783" s="948"/>
      <c r="AI783" s="757">
        <f t="shared" si="120"/>
        <v>5426288</v>
      </c>
      <c r="AJ783" s="758">
        <f t="shared" si="121"/>
        <v>5426288</v>
      </c>
    </row>
    <row r="784" spans="1:36" ht="14.25" x14ac:dyDescent="0.3">
      <c r="A784" s="934" t="s">
        <v>149</v>
      </c>
      <c r="B784" s="935" t="s">
        <v>280</v>
      </c>
      <c r="C784" s="949" t="s">
        <v>678</v>
      </c>
      <c r="D784" s="950"/>
      <c r="E784" s="951">
        <v>134130</v>
      </c>
      <c r="F784" s="958">
        <v>1</v>
      </c>
      <c r="G784" s="944"/>
      <c r="H784" s="952"/>
      <c r="I784" s="942"/>
      <c r="J784" s="943"/>
      <c r="K784" s="944"/>
      <c r="L784" s="945"/>
      <c r="M784" s="944"/>
      <c r="N784" s="944"/>
      <c r="O784" s="752">
        <f t="shared" si="114"/>
        <v>0</v>
      </c>
      <c r="P784" s="943"/>
      <c r="Q784" s="941"/>
      <c r="R784" s="753">
        <f t="shared" si="117"/>
        <v>0</v>
      </c>
      <c r="S784" s="752">
        <f t="shared" si="118"/>
        <v>0</v>
      </c>
      <c r="T784" s="754">
        <f t="shared" si="119"/>
        <v>0</v>
      </c>
      <c r="U784" s="944"/>
      <c r="V784" s="945"/>
      <c r="W784" s="944"/>
      <c r="X784" s="944"/>
      <c r="Y784" s="755">
        <f t="shared" si="115"/>
        <v>0</v>
      </c>
      <c r="Z784" s="947"/>
      <c r="AA784" s="945"/>
      <c r="AB784" s="756">
        <f t="shared" si="116"/>
        <v>0</v>
      </c>
      <c r="AC784" s="944">
        <v>93115462</v>
      </c>
      <c r="AD784" s="953">
        <v>106517352</v>
      </c>
      <c r="AE784" s="944">
        <v>38463434</v>
      </c>
      <c r="AF784" s="944"/>
      <c r="AG784" s="954">
        <v>38463434</v>
      </c>
      <c r="AH784" s="948"/>
      <c r="AI784" s="757">
        <f t="shared" si="120"/>
        <v>131578896</v>
      </c>
      <c r="AJ784" s="758">
        <f t="shared" si="121"/>
        <v>144980786</v>
      </c>
    </row>
    <row r="785" spans="1:36" ht="14.25" x14ac:dyDescent="0.3">
      <c r="A785" s="934" t="s">
        <v>149</v>
      </c>
      <c r="B785" s="935" t="s">
        <v>280</v>
      </c>
      <c r="C785" s="949" t="s">
        <v>680</v>
      </c>
      <c r="D785" s="950"/>
      <c r="E785" s="951">
        <v>134130</v>
      </c>
      <c r="F785" s="958">
        <v>1</v>
      </c>
      <c r="G785" s="944"/>
      <c r="H785" s="952"/>
      <c r="I785" s="942"/>
      <c r="J785" s="943"/>
      <c r="K785" s="944"/>
      <c r="L785" s="945"/>
      <c r="M785" s="944"/>
      <c r="N785" s="944"/>
      <c r="O785" s="752">
        <f t="shared" si="114"/>
        <v>0</v>
      </c>
      <c r="P785" s="943"/>
      <c r="Q785" s="941"/>
      <c r="R785" s="753">
        <f t="shared" si="117"/>
        <v>0</v>
      </c>
      <c r="S785" s="752">
        <f t="shared" si="118"/>
        <v>0</v>
      </c>
      <c r="T785" s="754">
        <f t="shared" si="119"/>
        <v>0</v>
      </c>
      <c r="U785" s="944"/>
      <c r="V785" s="945"/>
      <c r="W785" s="944"/>
      <c r="X785" s="944"/>
      <c r="Y785" s="755">
        <f t="shared" si="115"/>
        <v>0</v>
      </c>
      <c r="Z785" s="947"/>
      <c r="AA785" s="945"/>
      <c r="AB785" s="756">
        <f t="shared" si="116"/>
        <v>0</v>
      </c>
      <c r="AC785" s="944">
        <v>665642</v>
      </c>
      <c r="AD785" s="953">
        <v>912177</v>
      </c>
      <c r="AE785" s="944"/>
      <c r="AF785" s="944"/>
      <c r="AG785" s="947"/>
      <c r="AH785" s="948"/>
      <c r="AI785" s="757">
        <f t="shared" si="120"/>
        <v>665642</v>
      </c>
      <c r="AJ785" s="758">
        <f t="shared" si="121"/>
        <v>912177</v>
      </c>
    </row>
    <row r="786" spans="1:36" ht="14.25" x14ac:dyDescent="0.3">
      <c r="A786" s="934" t="s">
        <v>149</v>
      </c>
      <c r="B786" s="935" t="s">
        <v>280</v>
      </c>
      <c r="C786" s="949" t="s">
        <v>686</v>
      </c>
      <c r="D786" s="950"/>
      <c r="E786" s="951">
        <v>134130</v>
      </c>
      <c r="F786" s="958">
        <v>1</v>
      </c>
      <c r="G786" s="944"/>
      <c r="H786" s="952"/>
      <c r="I786" s="942"/>
      <c r="J786" s="943"/>
      <c r="K786" s="944"/>
      <c r="L786" s="945"/>
      <c r="M786" s="944"/>
      <c r="N786" s="944"/>
      <c r="O786" s="752">
        <f t="shared" si="114"/>
        <v>0</v>
      </c>
      <c r="P786" s="943"/>
      <c r="Q786" s="941"/>
      <c r="R786" s="753">
        <f t="shared" si="117"/>
        <v>0</v>
      </c>
      <c r="S786" s="752">
        <f t="shared" si="118"/>
        <v>0</v>
      </c>
      <c r="T786" s="754">
        <f t="shared" si="119"/>
        <v>0</v>
      </c>
      <c r="U786" s="944"/>
      <c r="V786" s="945"/>
      <c r="W786" s="944"/>
      <c r="X786" s="944"/>
      <c r="Y786" s="755">
        <f t="shared" si="115"/>
        <v>0</v>
      </c>
      <c r="Z786" s="947"/>
      <c r="AA786" s="945"/>
      <c r="AB786" s="756">
        <f t="shared" si="116"/>
        <v>0</v>
      </c>
      <c r="AC786" s="944">
        <v>693670</v>
      </c>
      <c r="AD786" s="953">
        <v>950586</v>
      </c>
      <c r="AE786" s="944"/>
      <c r="AF786" s="944"/>
      <c r="AG786" s="947"/>
      <c r="AH786" s="948"/>
      <c r="AI786" s="757">
        <f t="shared" si="120"/>
        <v>693670</v>
      </c>
      <c r="AJ786" s="758">
        <f t="shared" si="121"/>
        <v>950586</v>
      </c>
    </row>
    <row r="787" spans="1:36" ht="14.25" x14ac:dyDescent="0.3">
      <c r="A787" s="934" t="s">
        <v>149</v>
      </c>
      <c r="B787" s="935" t="s">
        <v>266</v>
      </c>
      <c r="C787" s="955" t="s">
        <v>319</v>
      </c>
      <c r="D787" s="950"/>
      <c r="E787" s="951">
        <v>134130</v>
      </c>
      <c r="F787" s="958">
        <v>1</v>
      </c>
      <c r="G787" s="944"/>
      <c r="H787" s="952"/>
      <c r="I787" s="942">
        <v>396525</v>
      </c>
      <c r="J787" s="943">
        <v>396525</v>
      </c>
      <c r="K787" s="944"/>
      <c r="L787" s="945"/>
      <c r="M787" s="944"/>
      <c r="N787" s="944"/>
      <c r="O787" s="752">
        <f t="shared" si="114"/>
        <v>0</v>
      </c>
      <c r="P787" s="943"/>
      <c r="Q787" s="941"/>
      <c r="R787" s="753">
        <f t="shared" si="117"/>
        <v>0</v>
      </c>
      <c r="S787" s="752">
        <f t="shared" si="118"/>
        <v>396525</v>
      </c>
      <c r="T787" s="754">
        <f t="shared" si="119"/>
        <v>396525</v>
      </c>
      <c r="U787" s="944"/>
      <c r="V787" s="945"/>
      <c r="W787" s="944"/>
      <c r="X787" s="944"/>
      <c r="Y787" s="755">
        <f t="shared" si="115"/>
        <v>0</v>
      </c>
      <c r="Z787" s="947"/>
      <c r="AA787" s="945"/>
      <c r="AB787" s="756">
        <f t="shared" si="116"/>
        <v>0</v>
      </c>
      <c r="AC787" s="944">
        <v>396526</v>
      </c>
      <c r="AD787" s="945">
        <v>396526</v>
      </c>
      <c r="AE787" s="944"/>
      <c r="AF787" s="944"/>
      <c r="AG787" s="947"/>
      <c r="AH787" s="948"/>
      <c r="AI787" s="757">
        <f t="shared" si="120"/>
        <v>793051</v>
      </c>
      <c r="AJ787" s="758">
        <f t="shared" si="121"/>
        <v>793051</v>
      </c>
    </row>
    <row r="788" spans="1:36" ht="14.25" x14ac:dyDescent="0.3">
      <c r="A788" s="934" t="s">
        <v>149</v>
      </c>
      <c r="B788" s="935" t="s">
        <v>266</v>
      </c>
      <c r="C788" s="949" t="s">
        <v>682</v>
      </c>
      <c r="D788" s="950"/>
      <c r="E788" s="951">
        <v>134130</v>
      </c>
      <c r="F788" s="958">
        <v>1</v>
      </c>
      <c r="G788" s="944"/>
      <c r="H788" s="952"/>
      <c r="I788" s="942">
        <v>7317553</v>
      </c>
      <c r="J788" s="943">
        <v>7879690</v>
      </c>
      <c r="K788" s="944"/>
      <c r="L788" s="945"/>
      <c r="M788" s="944"/>
      <c r="N788" s="944"/>
      <c r="O788" s="752">
        <f t="shared" si="114"/>
        <v>0</v>
      </c>
      <c r="P788" s="943"/>
      <c r="Q788" s="941"/>
      <c r="R788" s="753">
        <f t="shared" si="117"/>
        <v>0</v>
      </c>
      <c r="S788" s="752">
        <f t="shared" si="118"/>
        <v>7317553</v>
      </c>
      <c r="T788" s="754">
        <f t="shared" si="119"/>
        <v>7879690</v>
      </c>
      <c r="U788" s="944"/>
      <c r="V788" s="945"/>
      <c r="W788" s="944"/>
      <c r="X788" s="944"/>
      <c r="Y788" s="755">
        <f t="shared" si="115"/>
        <v>0</v>
      </c>
      <c r="Z788" s="947"/>
      <c r="AA788" s="945"/>
      <c r="AB788" s="756">
        <f t="shared" si="116"/>
        <v>0</v>
      </c>
      <c r="AC788" s="944"/>
      <c r="AD788" s="945"/>
      <c r="AE788" s="944"/>
      <c r="AF788" s="944"/>
      <c r="AG788" s="947"/>
      <c r="AH788" s="948"/>
      <c r="AI788" s="757">
        <f t="shared" si="120"/>
        <v>7317553</v>
      </c>
      <c r="AJ788" s="758">
        <f t="shared" si="121"/>
        <v>7879690</v>
      </c>
    </row>
    <row r="789" spans="1:36" ht="14.25" x14ac:dyDescent="0.3">
      <c r="A789" s="934" t="s">
        <v>149</v>
      </c>
      <c r="B789" s="935" t="s">
        <v>268</v>
      </c>
      <c r="C789" s="955" t="s">
        <v>257</v>
      </c>
      <c r="D789" s="950"/>
      <c r="E789" s="951">
        <v>134130</v>
      </c>
      <c r="F789" s="958">
        <v>1</v>
      </c>
      <c r="G789" s="944"/>
      <c r="H789" s="952"/>
      <c r="I789" s="959">
        <v>136170810</v>
      </c>
      <c r="J789" s="943">
        <v>140867350</v>
      </c>
      <c r="K789" s="944"/>
      <c r="L789" s="945"/>
      <c r="M789" s="944"/>
      <c r="N789" s="944"/>
      <c r="O789" s="752">
        <f t="shared" si="114"/>
        <v>0</v>
      </c>
      <c r="P789" s="943"/>
      <c r="Q789" s="941"/>
      <c r="R789" s="753">
        <f t="shared" si="117"/>
        <v>0</v>
      </c>
      <c r="S789" s="752">
        <f t="shared" si="118"/>
        <v>136170810</v>
      </c>
      <c r="T789" s="754">
        <f t="shared" si="119"/>
        <v>140867350</v>
      </c>
      <c r="U789" s="944"/>
      <c r="V789" s="945"/>
      <c r="W789" s="944"/>
      <c r="X789" s="944"/>
      <c r="Y789" s="755">
        <f t="shared" si="115"/>
        <v>0</v>
      </c>
      <c r="Z789" s="947"/>
      <c r="AA789" s="945"/>
      <c r="AB789" s="756">
        <f t="shared" si="116"/>
        <v>0</v>
      </c>
      <c r="AC789" s="944"/>
      <c r="AD789" s="945"/>
      <c r="AE789" s="944"/>
      <c r="AF789" s="944"/>
      <c r="AG789" s="947"/>
      <c r="AH789" s="948"/>
      <c r="AI789" s="757">
        <f t="shared" si="120"/>
        <v>136170810</v>
      </c>
      <c r="AJ789" s="758">
        <f t="shared" si="121"/>
        <v>140867350</v>
      </c>
    </row>
    <row r="790" spans="1:36" ht="14.25" x14ac:dyDescent="0.3">
      <c r="A790" s="934" t="s">
        <v>149</v>
      </c>
      <c r="B790" s="935" t="s">
        <v>271</v>
      </c>
      <c r="C790" s="955" t="s">
        <v>309</v>
      </c>
      <c r="D790" s="950"/>
      <c r="E790" s="951">
        <v>134130</v>
      </c>
      <c r="F790" s="958">
        <v>1</v>
      </c>
      <c r="G790" s="944"/>
      <c r="H790" s="952"/>
      <c r="I790" s="942"/>
      <c r="J790" s="943"/>
      <c r="K790" s="944"/>
      <c r="L790" s="945"/>
      <c r="M790" s="944"/>
      <c r="N790" s="944"/>
      <c r="O790" s="752">
        <f t="shared" si="114"/>
        <v>0</v>
      </c>
      <c r="P790" s="943"/>
      <c r="Q790" s="941"/>
      <c r="R790" s="753">
        <f t="shared" si="117"/>
        <v>0</v>
      </c>
      <c r="S790" s="752">
        <f t="shared" si="118"/>
        <v>0</v>
      </c>
      <c r="T790" s="754">
        <f t="shared" si="119"/>
        <v>0</v>
      </c>
      <c r="U790" s="944"/>
      <c r="V790" s="945"/>
      <c r="W790" s="944"/>
      <c r="X790" s="944"/>
      <c r="Y790" s="755">
        <f t="shared" si="115"/>
        <v>0</v>
      </c>
      <c r="Z790" s="947"/>
      <c r="AA790" s="945"/>
      <c r="AB790" s="756">
        <f t="shared" si="116"/>
        <v>0</v>
      </c>
      <c r="AC790" s="944"/>
      <c r="AD790" s="945"/>
      <c r="AE790" s="944"/>
      <c r="AF790" s="944"/>
      <c r="AG790" s="947"/>
      <c r="AH790" s="948"/>
      <c r="AI790" s="757">
        <f t="shared" si="120"/>
        <v>0</v>
      </c>
      <c r="AJ790" s="758">
        <f t="shared" si="121"/>
        <v>0</v>
      </c>
    </row>
    <row r="791" spans="1:36" ht="14.25" x14ac:dyDescent="0.3">
      <c r="A791" s="934" t="s">
        <v>149</v>
      </c>
      <c r="B791" s="935" t="s">
        <v>264</v>
      </c>
      <c r="C791" s="956" t="s">
        <v>687</v>
      </c>
      <c r="D791" s="957"/>
      <c r="E791" s="951">
        <v>137351</v>
      </c>
      <c r="F791" s="958">
        <v>1</v>
      </c>
      <c r="G791" s="944">
        <v>178901301</v>
      </c>
      <c r="H791" s="941">
        <v>237006347</v>
      </c>
      <c r="I791" s="942"/>
      <c r="J791" s="943"/>
      <c r="K791" s="944"/>
      <c r="L791" s="945"/>
      <c r="M791" s="944">
        <v>184647930.8184</v>
      </c>
      <c r="N791" s="944">
        <v>4209629.16</v>
      </c>
      <c r="O791" s="752">
        <f t="shared" si="114"/>
        <v>188857559.97839999</v>
      </c>
      <c r="P791" s="946">
        <v>184234647</v>
      </c>
      <c r="Q791" s="941">
        <v>3178067.62</v>
      </c>
      <c r="R791" s="753">
        <f t="shared" si="117"/>
        <v>187412714.62</v>
      </c>
      <c r="S791" s="752">
        <f t="shared" si="118"/>
        <v>363549231.81840003</v>
      </c>
      <c r="T791" s="754">
        <f t="shared" si="119"/>
        <v>421240994</v>
      </c>
      <c r="U791" s="944"/>
      <c r="V791" s="945"/>
      <c r="W791" s="944"/>
      <c r="X791" s="944"/>
      <c r="Y791" s="755">
        <f t="shared" si="115"/>
        <v>0</v>
      </c>
      <c r="Z791" s="947"/>
      <c r="AA791" s="945"/>
      <c r="AB791" s="756">
        <f t="shared" si="116"/>
        <v>0</v>
      </c>
      <c r="AC791" s="944"/>
      <c r="AD791" s="945"/>
      <c r="AE791" s="944"/>
      <c r="AF791" s="944"/>
      <c r="AG791" s="947"/>
      <c r="AH791" s="948"/>
      <c r="AI791" s="757">
        <f t="shared" si="120"/>
        <v>363549231.81840003</v>
      </c>
      <c r="AJ791" s="758">
        <f t="shared" si="121"/>
        <v>421240994</v>
      </c>
    </row>
    <row r="792" spans="1:36" ht="14.25" x14ac:dyDescent="0.3">
      <c r="A792" s="934" t="s">
        <v>149</v>
      </c>
      <c r="B792" s="935" t="s">
        <v>264</v>
      </c>
      <c r="C792" s="949" t="s">
        <v>676</v>
      </c>
      <c r="D792" s="950"/>
      <c r="E792" s="951">
        <v>137351</v>
      </c>
      <c r="F792" s="958">
        <v>1</v>
      </c>
      <c r="G792" s="944"/>
      <c r="H792" s="952"/>
      <c r="I792" s="942">
        <v>801368</v>
      </c>
      <c r="J792" s="946">
        <v>801368</v>
      </c>
      <c r="K792" s="944"/>
      <c r="L792" s="945"/>
      <c r="M792" s="944"/>
      <c r="N792" s="944"/>
      <c r="O792" s="752">
        <f t="shared" si="114"/>
        <v>0</v>
      </c>
      <c r="P792" s="943"/>
      <c r="Q792" s="941"/>
      <c r="R792" s="753">
        <f t="shared" si="117"/>
        <v>0</v>
      </c>
      <c r="S792" s="752">
        <f t="shared" si="118"/>
        <v>801368</v>
      </c>
      <c r="T792" s="754">
        <f t="shared" si="119"/>
        <v>801368</v>
      </c>
      <c r="U792" s="944"/>
      <c r="V792" s="945"/>
      <c r="W792" s="944"/>
      <c r="X792" s="944"/>
      <c r="Y792" s="755">
        <f t="shared" si="115"/>
        <v>0</v>
      </c>
      <c r="Z792" s="947"/>
      <c r="AA792" s="945"/>
      <c r="AB792" s="756">
        <f t="shared" si="116"/>
        <v>0</v>
      </c>
      <c r="AC792" s="944"/>
      <c r="AD792" s="945"/>
      <c r="AE792" s="944"/>
      <c r="AF792" s="944"/>
      <c r="AG792" s="947"/>
      <c r="AH792" s="948"/>
      <c r="AI792" s="757">
        <f t="shared" si="120"/>
        <v>801368</v>
      </c>
      <c r="AJ792" s="758">
        <f t="shared" si="121"/>
        <v>801368</v>
      </c>
    </row>
    <row r="793" spans="1:36" ht="14.25" x14ac:dyDescent="0.3">
      <c r="A793" s="934" t="s">
        <v>149</v>
      </c>
      <c r="B793" s="935" t="s">
        <v>264</v>
      </c>
      <c r="C793" s="949" t="s">
        <v>677</v>
      </c>
      <c r="D793" s="950"/>
      <c r="E793" s="951">
        <v>137351</v>
      </c>
      <c r="F793" s="958">
        <v>1</v>
      </c>
      <c r="G793" s="944"/>
      <c r="H793" s="952"/>
      <c r="I793" s="942">
        <v>2833975</v>
      </c>
      <c r="J793" s="946">
        <v>2833974</v>
      </c>
      <c r="K793" s="944"/>
      <c r="L793" s="945"/>
      <c r="M793" s="944"/>
      <c r="N793" s="944"/>
      <c r="O793" s="752">
        <f t="shared" si="114"/>
        <v>0</v>
      </c>
      <c r="P793" s="943"/>
      <c r="Q793" s="941"/>
      <c r="R793" s="753">
        <f t="shared" si="117"/>
        <v>0</v>
      </c>
      <c r="S793" s="752">
        <f t="shared" si="118"/>
        <v>2833975</v>
      </c>
      <c r="T793" s="754">
        <f t="shared" si="119"/>
        <v>2833974</v>
      </c>
      <c r="U793" s="944"/>
      <c r="V793" s="945"/>
      <c r="W793" s="944"/>
      <c r="X793" s="944"/>
      <c r="Y793" s="755">
        <f t="shared" si="115"/>
        <v>0</v>
      </c>
      <c r="Z793" s="947"/>
      <c r="AA793" s="945"/>
      <c r="AB793" s="756">
        <f t="shared" si="116"/>
        <v>0</v>
      </c>
      <c r="AC793" s="944">
        <v>435115</v>
      </c>
      <c r="AD793" s="953">
        <v>435115</v>
      </c>
      <c r="AE793" s="944"/>
      <c r="AF793" s="944"/>
      <c r="AG793" s="947"/>
      <c r="AH793" s="948"/>
      <c r="AI793" s="757">
        <f t="shared" si="120"/>
        <v>3269090</v>
      </c>
      <c r="AJ793" s="758">
        <f t="shared" si="121"/>
        <v>3269089</v>
      </c>
    </row>
    <row r="794" spans="1:36" ht="14.25" x14ac:dyDescent="0.3">
      <c r="A794" s="934" t="s">
        <v>149</v>
      </c>
      <c r="B794" s="935" t="s">
        <v>280</v>
      </c>
      <c r="C794" s="949" t="s">
        <v>678</v>
      </c>
      <c r="D794" s="950"/>
      <c r="E794" s="951">
        <v>137351</v>
      </c>
      <c r="F794" s="958">
        <v>1</v>
      </c>
      <c r="G794" s="944"/>
      <c r="H794" s="952"/>
      <c r="I794" s="942"/>
      <c r="J794" s="943"/>
      <c r="K794" s="944"/>
      <c r="L794" s="945"/>
      <c r="M794" s="944"/>
      <c r="N794" s="944"/>
      <c r="O794" s="752">
        <f t="shared" si="114"/>
        <v>0</v>
      </c>
      <c r="P794" s="943"/>
      <c r="Q794" s="941"/>
      <c r="R794" s="753">
        <f t="shared" si="117"/>
        <v>0</v>
      </c>
      <c r="S794" s="752">
        <f t="shared" si="118"/>
        <v>0</v>
      </c>
      <c r="T794" s="754">
        <f t="shared" si="119"/>
        <v>0</v>
      </c>
      <c r="U794" s="944"/>
      <c r="V794" s="945"/>
      <c r="W794" s="944"/>
      <c r="X794" s="944"/>
      <c r="Y794" s="755">
        <f t="shared" si="115"/>
        <v>0</v>
      </c>
      <c r="Z794" s="947"/>
      <c r="AA794" s="945"/>
      <c r="AB794" s="756">
        <f t="shared" si="116"/>
        <v>0</v>
      </c>
      <c r="AC794" s="940">
        <v>65857893</v>
      </c>
      <c r="AD794" s="945">
        <v>71495597</v>
      </c>
      <c r="AE794" s="940">
        <v>52707893</v>
      </c>
      <c r="AF794" s="944"/>
      <c r="AG794" s="954">
        <v>54895487</v>
      </c>
      <c r="AH794" s="948"/>
      <c r="AI794" s="757">
        <f t="shared" si="120"/>
        <v>118565786</v>
      </c>
      <c r="AJ794" s="758">
        <f t="shared" si="121"/>
        <v>126391084</v>
      </c>
    </row>
    <row r="795" spans="1:36" ht="14.25" x14ac:dyDescent="0.3">
      <c r="A795" s="934" t="s">
        <v>149</v>
      </c>
      <c r="B795" s="935" t="s">
        <v>271</v>
      </c>
      <c r="C795" s="955" t="s">
        <v>309</v>
      </c>
      <c r="D795" s="950"/>
      <c r="E795" s="951">
        <v>137351</v>
      </c>
      <c r="F795" s="958">
        <v>1</v>
      </c>
      <c r="G795" s="944"/>
      <c r="H795" s="952"/>
      <c r="I795" s="942">
        <v>396525</v>
      </c>
      <c r="J795" s="943">
        <v>396525</v>
      </c>
      <c r="K795" s="944"/>
      <c r="L795" s="945"/>
      <c r="M795" s="944"/>
      <c r="N795" s="944"/>
      <c r="O795" s="752">
        <f t="shared" si="114"/>
        <v>0</v>
      </c>
      <c r="P795" s="943"/>
      <c r="Q795" s="941"/>
      <c r="R795" s="753">
        <f t="shared" si="117"/>
        <v>0</v>
      </c>
      <c r="S795" s="752">
        <f t="shared" si="118"/>
        <v>396525</v>
      </c>
      <c r="T795" s="754">
        <f t="shared" si="119"/>
        <v>396525</v>
      </c>
      <c r="U795" s="944"/>
      <c r="V795" s="945"/>
      <c r="W795" s="944"/>
      <c r="X795" s="944"/>
      <c r="Y795" s="755">
        <f t="shared" si="115"/>
        <v>0</v>
      </c>
      <c r="Z795" s="947"/>
      <c r="AA795" s="945"/>
      <c r="AB795" s="756">
        <f t="shared" si="116"/>
        <v>0</v>
      </c>
      <c r="AC795" s="944"/>
      <c r="AD795" s="945"/>
      <c r="AE795" s="944"/>
      <c r="AF795" s="944"/>
      <c r="AG795" s="947"/>
      <c r="AH795" s="948"/>
      <c r="AI795" s="757">
        <f t="shared" si="120"/>
        <v>396525</v>
      </c>
      <c r="AJ795" s="758">
        <f t="shared" si="121"/>
        <v>396525</v>
      </c>
    </row>
    <row r="796" spans="1:36" ht="14.25" x14ac:dyDescent="0.3">
      <c r="A796" s="934" t="s">
        <v>149</v>
      </c>
      <c r="B796" s="935" t="s">
        <v>271</v>
      </c>
      <c r="C796" s="949" t="s">
        <v>688</v>
      </c>
      <c r="D796" s="950"/>
      <c r="E796" s="951">
        <v>137351</v>
      </c>
      <c r="F796" s="958">
        <v>1</v>
      </c>
      <c r="G796" s="944"/>
      <c r="H796" s="952"/>
      <c r="I796" s="942">
        <v>0</v>
      </c>
      <c r="J796" s="943">
        <v>0</v>
      </c>
      <c r="K796" s="944"/>
      <c r="L796" s="945"/>
      <c r="M796" s="944"/>
      <c r="N796" s="944"/>
      <c r="O796" s="752">
        <f t="shared" si="114"/>
        <v>0</v>
      </c>
      <c r="P796" s="943"/>
      <c r="Q796" s="941"/>
      <c r="R796" s="753">
        <f t="shared" si="117"/>
        <v>0</v>
      </c>
      <c r="S796" s="752">
        <f t="shared" si="118"/>
        <v>0</v>
      </c>
      <c r="T796" s="754">
        <f t="shared" si="119"/>
        <v>0</v>
      </c>
      <c r="U796" s="944"/>
      <c r="V796" s="945"/>
      <c r="W796" s="944"/>
      <c r="X796" s="944"/>
      <c r="Y796" s="755">
        <f t="shared" si="115"/>
        <v>0</v>
      </c>
      <c r="Z796" s="947"/>
      <c r="AA796" s="945"/>
      <c r="AB796" s="756">
        <f t="shared" si="116"/>
        <v>0</v>
      </c>
      <c r="AC796" s="944"/>
      <c r="AD796" s="945"/>
      <c r="AE796" s="944"/>
      <c r="AF796" s="944"/>
      <c r="AG796" s="947"/>
      <c r="AH796" s="948"/>
      <c r="AI796" s="757">
        <f t="shared" si="120"/>
        <v>0</v>
      </c>
      <c r="AJ796" s="758">
        <f t="shared" si="121"/>
        <v>0</v>
      </c>
    </row>
    <row r="797" spans="1:36" ht="14.25" x14ac:dyDescent="0.3">
      <c r="A797" s="934" t="s">
        <v>149</v>
      </c>
      <c r="B797" s="935" t="s">
        <v>272</v>
      </c>
      <c r="C797" s="955" t="s">
        <v>509</v>
      </c>
      <c r="D797" s="950"/>
      <c r="E797" s="951">
        <v>137351</v>
      </c>
      <c r="F797" s="958">
        <v>1</v>
      </c>
      <c r="G797" s="944"/>
      <c r="H797" s="952"/>
      <c r="I797" s="942"/>
      <c r="J797" s="943"/>
      <c r="K797" s="944"/>
      <c r="L797" s="945"/>
      <c r="M797" s="944"/>
      <c r="N797" s="944"/>
      <c r="O797" s="752">
        <f t="shared" si="114"/>
        <v>0</v>
      </c>
      <c r="P797" s="943"/>
      <c r="Q797" s="941"/>
      <c r="R797" s="753">
        <f t="shared" si="117"/>
        <v>0</v>
      </c>
      <c r="S797" s="752">
        <f t="shared" si="118"/>
        <v>0</v>
      </c>
      <c r="T797" s="754">
        <f t="shared" si="119"/>
        <v>0</v>
      </c>
      <c r="U797" s="944"/>
      <c r="V797" s="945"/>
      <c r="W797" s="944"/>
      <c r="X797" s="944"/>
      <c r="Y797" s="755">
        <f t="shared" si="115"/>
        <v>0</v>
      </c>
      <c r="Z797" s="947"/>
      <c r="AA797" s="945"/>
      <c r="AB797" s="756">
        <f t="shared" si="116"/>
        <v>0</v>
      </c>
      <c r="AC797" s="944"/>
      <c r="AD797" s="945"/>
      <c r="AE797" s="944"/>
      <c r="AF797" s="944"/>
      <c r="AG797" s="947"/>
      <c r="AH797" s="948"/>
      <c r="AI797" s="757">
        <f t="shared" si="120"/>
        <v>0</v>
      </c>
      <c r="AJ797" s="758">
        <f t="shared" si="121"/>
        <v>0</v>
      </c>
    </row>
    <row r="798" spans="1:36" ht="14.25" x14ac:dyDescent="0.3">
      <c r="A798" s="934" t="s">
        <v>149</v>
      </c>
      <c r="B798" s="935" t="s">
        <v>272</v>
      </c>
      <c r="C798" s="949" t="s">
        <v>689</v>
      </c>
      <c r="D798" s="950"/>
      <c r="E798" s="951">
        <v>137351</v>
      </c>
      <c r="F798" s="958">
        <v>1</v>
      </c>
      <c r="G798" s="944"/>
      <c r="H798" s="952"/>
      <c r="I798" s="942"/>
      <c r="J798" s="943"/>
      <c r="K798" s="944"/>
      <c r="L798" s="945"/>
      <c r="M798" s="944"/>
      <c r="N798" s="944"/>
      <c r="O798" s="752">
        <f t="shared" si="114"/>
        <v>0</v>
      </c>
      <c r="P798" s="943"/>
      <c r="Q798" s="941"/>
      <c r="R798" s="753">
        <f t="shared" si="117"/>
        <v>0</v>
      </c>
      <c r="S798" s="752">
        <f t="shared" si="118"/>
        <v>0</v>
      </c>
      <c r="T798" s="754">
        <f t="shared" si="119"/>
        <v>0</v>
      </c>
      <c r="U798" s="944"/>
      <c r="V798" s="945"/>
      <c r="W798" s="944"/>
      <c r="X798" s="944"/>
      <c r="Y798" s="755">
        <f t="shared" si="115"/>
        <v>0</v>
      </c>
      <c r="Z798" s="947"/>
      <c r="AA798" s="945"/>
      <c r="AB798" s="756">
        <f t="shared" si="116"/>
        <v>0</v>
      </c>
      <c r="AC798" s="944">
        <v>959893</v>
      </c>
      <c r="AD798" s="953">
        <v>1315410</v>
      </c>
      <c r="AE798" s="944"/>
      <c r="AF798" s="944"/>
      <c r="AG798" s="947"/>
      <c r="AH798" s="948"/>
      <c r="AI798" s="757">
        <f t="shared" si="120"/>
        <v>959893</v>
      </c>
      <c r="AJ798" s="758">
        <f t="shared" si="121"/>
        <v>1315410</v>
      </c>
    </row>
    <row r="799" spans="1:36" ht="14.25" x14ac:dyDescent="0.3">
      <c r="A799" s="934" t="s">
        <v>149</v>
      </c>
      <c r="B799" s="935" t="s">
        <v>264</v>
      </c>
      <c r="C799" s="956" t="s">
        <v>690</v>
      </c>
      <c r="D799" s="937" t="s">
        <v>1130</v>
      </c>
      <c r="E799" s="951">
        <v>133669</v>
      </c>
      <c r="F799" s="958">
        <v>2</v>
      </c>
      <c r="G799" s="944">
        <v>105414476</v>
      </c>
      <c r="H799" s="941">
        <v>134534266</v>
      </c>
      <c r="I799" s="942"/>
      <c r="J799" s="943"/>
      <c r="K799" s="944"/>
      <c r="L799" s="945"/>
      <c r="M799" s="944">
        <v>114182180.752</v>
      </c>
      <c r="N799" s="944">
        <v>2208553.8199999998</v>
      </c>
      <c r="O799" s="752">
        <f t="shared" si="114"/>
        <v>116390734.572</v>
      </c>
      <c r="P799" s="946">
        <v>123055364</v>
      </c>
      <c r="Q799" s="941">
        <v>1918098.03</v>
      </c>
      <c r="R799" s="753">
        <f t="shared" si="117"/>
        <v>124973462.03</v>
      </c>
      <c r="S799" s="752">
        <f t="shared" si="118"/>
        <v>219596656.752</v>
      </c>
      <c r="T799" s="754">
        <f t="shared" si="119"/>
        <v>257589630</v>
      </c>
      <c r="U799" s="944"/>
      <c r="V799" s="945"/>
      <c r="W799" s="944"/>
      <c r="X799" s="944"/>
      <c r="Y799" s="755">
        <f t="shared" si="115"/>
        <v>0</v>
      </c>
      <c r="Z799" s="947"/>
      <c r="AA799" s="945"/>
      <c r="AB799" s="756">
        <f t="shared" si="116"/>
        <v>0</v>
      </c>
      <c r="AC799" s="944"/>
      <c r="AD799" s="945"/>
      <c r="AE799" s="944"/>
      <c r="AF799" s="944"/>
      <c r="AG799" s="947"/>
      <c r="AH799" s="948"/>
      <c r="AI799" s="757">
        <f t="shared" si="120"/>
        <v>219596656.752</v>
      </c>
      <c r="AJ799" s="758">
        <f t="shared" si="121"/>
        <v>257589630</v>
      </c>
    </row>
    <row r="800" spans="1:36" ht="14.25" x14ac:dyDescent="0.3">
      <c r="A800" s="934" t="s">
        <v>149</v>
      </c>
      <c r="B800" s="935" t="s">
        <v>272</v>
      </c>
      <c r="C800" s="949" t="s">
        <v>676</v>
      </c>
      <c r="D800" s="950"/>
      <c r="E800" s="951">
        <v>133669</v>
      </c>
      <c r="F800" s="958">
        <v>2</v>
      </c>
      <c r="G800" s="944"/>
      <c r="H800" s="952"/>
      <c r="I800" s="942">
        <v>399658</v>
      </c>
      <c r="J800" s="943">
        <v>399658</v>
      </c>
      <c r="K800" s="944"/>
      <c r="L800" s="945"/>
      <c r="M800" s="944"/>
      <c r="N800" s="944"/>
      <c r="O800" s="752">
        <f t="shared" si="114"/>
        <v>0</v>
      </c>
      <c r="P800" s="943"/>
      <c r="Q800" s="941"/>
      <c r="R800" s="753">
        <f t="shared" si="117"/>
        <v>0</v>
      </c>
      <c r="S800" s="752">
        <f t="shared" si="118"/>
        <v>399658</v>
      </c>
      <c r="T800" s="754">
        <f t="shared" si="119"/>
        <v>399658</v>
      </c>
      <c r="U800" s="944"/>
      <c r="V800" s="945"/>
      <c r="W800" s="944"/>
      <c r="X800" s="944"/>
      <c r="Y800" s="755">
        <f t="shared" si="115"/>
        <v>0</v>
      </c>
      <c r="Z800" s="947"/>
      <c r="AA800" s="945"/>
      <c r="AB800" s="756">
        <f t="shared" si="116"/>
        <v>0</v>
      </c>
      <c r="AC800" s="944"/>
      <c r="AD800" s="945"/>
      <c r="AE800" s="944"/>
      <c r="AF800" s="944"/>
      <c r="AG800" s="947"/>
      <c r="AH800" s="948"/>
      <c r="AI800" s="757">
        <f t="shared" si="120"/>
        <v>399658</v>
      </c>
      <c r="AJ800" s="758">
        <f t="shared" si="121"/>
        <v>399658</v>
      </c>
    </row>
    <row r="801" spans="1:36" ht="14.25" x14ac:dyDescent="0.3">
      <c r="A801" s="934" t="s">
        <v>149</v>
      </c>
      <c r="B801" s="935" t="s">
        <v>272</v>
      </c>
      <c r="C801" s="949" t="s">
        <v>677</v>
      </c>
      <c r="D801" s="950"/>
      <c r="E801" s="951">
        <v>133669</v>
      </c>
      <c r="F801" s="958">
        <v>2</v>
      </c>
      <c r="G801" s="944"/>
      <c r="H801" s="952"/>
      <c r="I801" s="942">
        <v>1555218</v>
      </c>
      <c r="J801" s="946">
        <v>1555218</v>
      </c>
      <c r="K801" s="944"/>
      <c r="L801" s="945"/>
      <c r="M801" s="944"/>
      <c r="N801" s="944"/>
      <c r="O801" s="752">
        <f t="shared" si="114"/>
        <v>0</v>
      </c>
      <c r="P801" s="943"/>
      <c r="Q801" s="941"/>
      <c r="R801" s="753">
        <f t="shared" si="117"/>
        <v>0</v>
      </c>
      <c r="S801" s="752">
        <f t="shared" si="118"/>
        <v>1555218</v>
      </c>
      <c r="T801" s="754">
        <f t="shared" si="119"/>
        <v>1555218</v>
      </c>
      <c r="U801" s="944"/>
      <c r="V801" s="945"/>
      <c r="W801" s="944"/>
      <c r="X801" s="944"/>
      <c r="Y801" s="755">
        <f t="shared" si="115"/>
        <v>0</v>
      </c>
      <c r="Z801" s="947"/>
      <c r="AA801" s="945"/>
      <c r="AB801" s="756">
        <f t="shared" si="116"/>
        <v>0</v>
      </c>
      <c r="AC801" s="944"/>
      <c r="AD801" s="945"/>
      <c r="AE801" s="944"/>
      <c r="AF801" s="944"/>
      <c r="AG801" s="947"/>
      <c r="AH801" s="948"/>
      <c r="AI801" s="757">
        <f t="shared" si="120"/>
        <v>1555218</v>
      </c>
      <c r="AJ801" s="758">
        <f t="shared" si="121"/>
        <v>1555218</v>
      </c>
    </row>
    <row r="802" spans="1:36" ht="14.25" x14ac:dyDescent="0.3">
      <c r="A802" s="934" t="s">
        <v>149</v>
      </c>
      <c r="B802" s="935" t="s">
        <v>280</v>
      </c>
      <c r="C802" s="949" t="s">
        <v>678</v>
      </c>
      <c r="D802" s="950"/>
      <c r="E802" s="951">
        <v>133669</v>
      </c>
      <c r="F802" s="958">
        <v>2</v>
      </c>
      <c r="G802" s="944"/>
      <c r="H802" s="952"/>
      <c r="I802" s="942"/>
      <c r="J802" s="946"/>
      <c r="K802" s="944"/>
      <c r="L802" s="945"/>
      <c r="M802" s="944"/>
      <c r="N802" s="944"/>
      <c r="O802" s="752">
        <f t="shared" si="114"/>
        <v>0</v>
      </c>
      <c r="P802" s="943"/>
      <c r="Q802" s="941"/>
      <c r="R802" s="753">
        <f t="shared" si="117"/>
        <v>0</v>
      </c>
      <c r="S802" s="752">
        <f t="shared" si="118"/>
        <v>0</v>
      </c>
      <c r="T802" s="754">
        <f t="shared" si="119"/>
        <v>0</v>
      </c>
      <c r="U802" s="944"/>
      <c r="V802" s="945"/>
      <c r="W802" s="944"/>
      <c r="X802" s="944"/>
      <c r="Y802" s="755">
        <f t="shared" si="115"/>
        <v>0</v>
      </c>
      <c r="Z802" s="947"/>
      <c r="AA802" s="945"/>
      <c r="AB802" s="756">
        <f t="shared" si="116"/>
        <v>0</v>
      </c>
      <c r="AC802" s="944">
        <v>12778503</v>
      </c>
      <c r="AD802" s="953">
        <v>14535791</v>
      </c>
      <c r="AE802" s="944">
        <v>4196880</v>
      </c>
      <c r="AF802" s="944"/>
      <c r="AG802" s="954">
        <v>6158280</v>
      </c>
      <c r="AH802" s="948"/>
      <c r="AI802" s="757">
        <f t="shared" si="120"/>
        <v>16975383</v>
      </c>
      <c r="AJ802" s="758">
        <f t="shared" si="121"/>
        <v>20694071</v>
      </c>
    </row>
    <row r="803" spans="1:36" ht="14.25" x14ac:dyDescent="0.3">
      <c r="A803" s="934" t="s">
        <v>149</v>
      </c>
      <c r="B803" s="935" t="s">
        <v>272</v>
      </c>
      <c r="C803" s="955" t="s">
        <v>509</v>
      </c>
      <c r="D803" s="950"/>
      <c r="E803" s="951">
        <v>133669</v>
      </c>
      <c r="F803" s="958">
        <v>2</v>
      </c>
      <c r="G803" s="944"/>
      <c r="H803" s="952"/>
      <c r="I803" s="942"/>
      <c r="J803" s="943"/>
      <c r="K803" s="944"/>
      <c r="L803" s="945"/>
      <c r="M803" s="944"/>
      <c r="N803" s="944"/>
      <c r="O803" s="752">
        <f t="shared" si="114"/>
        <v>0</v>
      </c>
      <c r="P803" s="943"/>
      <c r="Q803" s="941"/>
      <c r="R803" s="753">
        <f t="shared" si="117"/>
        <v>0</v>
      </c>
      <c r="S803" s="752">
        <f t="shared" si="118"/>
        <v>0</v>
      </c>
      <c r="T803" s="754">
        <f t="shared" si="119"/>
        <v>0</v>
      </c>
      <c r="U803" s="944"/>
      <c r="V803" s="945"/>
      <c r="W803" s="944"/>
      <c r="X803" s="944"/>
      <c r="Y803" s="755">
        <f t="shared" si="115"/>
        <v>0</v>
      </c>
      <c r="Z803" s="947"/>
      <c r="AA803" s="945"/>
      <c r="AB803" s="756">
        <f t="shared" si="116"/>
        <v>0</v>
      </c>
      <c r="AC803" s="944"/>
      <c r="AD803" s="945"/>
      <c r="AE803" s="944"/>
      <c r="AF803" s="944"/>
      <c r="AG803" s="947"/>
      <c r="AH803" s="948"/>
      <c r="AI803" s="757">
        <f t="shared" si="120"/>
        <v>0</v>
      </c>
      <c r="AJ803" s="758">
        <f t="shared" si="121"/>
        <v>0</v>
      </c>
    </row>
    <row r="804" spans="1:36" ht="14.25" x14ac:dyDescent="0.3">
      <c r="A804" s="934" t="s">
        <v>149</v>
      </c>
      <c r="B804" s="935" t="s">
        <v>272</v>
      </c>
      <c r="C804" s="949" t="s">
        <v>684</v>
      </c>
      <c r="D804" s="950"/>
      <c r="E804" s="951">
        <v>133669</v>
      </c>
      <c r="F804" s="958">
        <v>2</v>
      </c>
      <c r="G804" s="944"/>
      <c r="H804" s="952"/>
      <c r="I804" s="942">
        <v>520579</v>
      </c>
      <c r="J804" s="946">
        <v>713387</v>
      </c>
      <c r="K804" s="944"/>
      <c r="L804" s="945"/>
      <c r="M804" s="944"/>
      <c r="N804" s="944"/>
      <c r="O804" s="752">
        <f t="shared" si="114"/>
        <v>0</v>
      </c>
      <c r="P804" s="943"/>
      <c r="Q804" s="941"/>
      <c r="R804" s="753">
        <f t="shared" si="117"/>
        <v>0</v>
      </c>
      <c r="S804" s="752">
        <f t="shared" si="118"/>
        <v>520579</v>
      </c>
      <c r="T804" s="754">
        <f t="shared" si="119"/>
        <v>713387</v>
      </c>
      <c r="U804" s="944"/>
      <c r="V804" s="945"/>
      <c r="W804" s="944"/>
      <c r="X804" s="944"/>
      <c r="Y804" s="755">
        <f t="shared" si="115"/>
        <v>0</v>
      </c>
      <c r="Z804" s="947"/>
      <c r="AA804" s="945"/>
      <c r="AB804" s="756">
        <f t="shared" si="116"/>
        <v>0</v>
      </c>
      <c r="AC804" s="944"/>
      <c r="AD804" s="945"/>
      <c r="AE804" s="944"/>
      <c r="AF804" s="944"/>
      <c r="AG804" s="947"/>
      <c r="AH804" s="948"/>
      <c r="AI804" s="757">
        <f t="shared" si="120"/>
        <v>520579</v>
      </c>
      <c r="AJ804" s="758">
        <f t="shared" si="121"/>
        <v>713387</v>
      </c>
    </row>
    <row r="805" spans="1:36" ht="14.25" x14ac:dyDescent="0.3">
      <c r="A805" s="934" t="s">
        <v>149</v>
      </c>
      <c r="B805" s="935" t="s">
        <v>266</v>
      </c>
      <c r="C805" s="955" t="s">
        <v>319</v>
      </c>
      <c r="D805" s="950"/>
      <c r="E805" s="951">
        <v>133669</v>
      </c>
      <c r="F805" s="958">
        <v>2</v>
      </c>
      <c r="G805" s="944"/>
      <c r="H805" s="952"/>
      <c r="I805" s="942"/>
      <c r="J805" s="943"/>
      <c r="K805" s="944"/>
      <c r="L805" s="945"/>
      <c r="M805" s="944"/>
      <c r="N805" s="944"/>
      <c r="O805" s="752">
        <f t="shared" si="114"/>
        <v>0</v>
      </c>
      <c r="P805" s="943"/>
      <c r="Q805" s="941"/>
      <c r="R805" s="753">
        <f t="shared" si="117"/>
        <v>0</v>
      </c>
      <c r="S805" s="752">
        <f t="shared" si="118"/>
        <v>0</v>
      </c>
      <c r="T805" s="754">
        <f t="shared" si="119"/>
        <v>0</v>
      </c>
      <c r="U805" s="944"/>
      <c r="V805" s="945"/>
      <c r="W805" s="944"/>
      <c r="X805" s="944"/>
      <c r="Y805" s="755">
        <f t="shared" si="115"/>
        <v>0</v>
      </c>
      <c r="Z805" s="947"/>
      <c r="AA805" s="945"/>
      <c r="AB805" s="756">
        <f t="shared" si="116"/>
        <v>0</v>
      </c>
      <c r="AC805" s="944"/>
      <c r="AD805" s="945"/>
      <c r="AE805" s="944"/>
      <c r="AF805" s="944"/>
      <c r="AG805" s="947"/>
      <c r="AH805" s="948"/>
      <c r="AI805" s="757">
        <f t="shared" si="120"/>
        <v>0</v>
      </c>
      <c r="AJ805" s="758">
        <f t="shared" si="121"/>
        <v>0</v>
      </c>
    </row>
    <row r="806" spans="1:36" ht="14.25" x14ac:dyDescent="0.3">
      <c r="A806" s="934" t="s">
        <v>149</v>
      </c>
      <c r="B806" s="935" t="s">
        <v>266</v>
      </c>
      <c r="C806" s="949" t="s">
        <v>682</v>
      </c>
      <c r="D806" s="950"/>
      <c r="E806" s="951">
        <v>133669</v>
      </c>
      <c r="F806" s="958">
        <v>2</v>
      </c>
      <c r="G806" s="944"/>
      <c r="H806" s="952"/>
      <c r="I806" s="942">
        <v>13920039</v>
      </c>
      <c r="J806" s="946">
        <v>15171391</v>
      </c>
      <c r="K806" s="944"/>
      <c r="L806" s="945"/>
      <c r="M806" s="944"/>
      <c r="N806" s="944"/>
      <c r="O806" s="752">
        <f t="shared" si="114"/>
        <v>0</v>
      </c>
      <c r="P806" s="943"/>
      <c r="Q806" s="941"/>
      <c r="R806" s="753">
        <f t="shared" si="117"/>
        <v>0</v>
      </c>
      <c r="S806" s="752">
        <f t="shared" si="118"/>
        <v>13920039</v>
      </c>
      <c r="T806" s="754">
        <f t="shared" si="119"/>
        <v>15171391</v>
      </c>
      <c r="U806" s="944"/>
      <c r="V806" s="945"/>
      <c r="W806" s="944"/>
      <c r="X806" s="944"/>
      <c r="Y806" s="755">
        <f t="shared" si="115"/>
        <v>0</v>
      </c>
      <c r="Z806" s="947"/>
      <c r="AA806" s="945"/>
      <c r="AB806" s="756">
        <f t="shared" si="116"/>
        <v>0</v>
      </c>
      <c r="AC806" s="944"/>
      <c r="AD806" s="945"/>
      <c r="AE806" s="944"/>
      <c r="AF806" s="944"/>
      <c r="AG806" s="947"/>
      <c r="AH806" s="948"/>
      <c r="AI806" s="757">
        <f t="shared" si="120"/>
        <v>13920039</v>
      </c>
      <c r="AJ806" s="758">
        <f t="shared" si="121"/>
        <v>15171391</v>
      </c>
    </row>
    <row r="807" spans="1:36" ht="14.25" x14ac:dyDescent="0.3">
      <c r="A807" s="934" t="s">
        <v>149</v>
      </c>
      <c r="B807" s="935" t="s">
        <v>271</v>
      </c>
      <c r="C807" s="955" t="s">
        <v>309</v>
      </c>
      <c r="D807" s="950"/>
      <c r="E807" s="951">
        <v>133669</v>
      </c>
      <c r="F807" s="958">
        <v>2</v>
      </c>
      <c r="G807" s="944"/>
      <c r="H807" s="952"/>
      <c r="I807" s="942"/>
      <c r="J807" s="943"/>
      <c r="K807" s="944"/>
      <c r="L807" s="945"/>
      <c r="M807" s="944"/>
      <c r="N807" s="944"/>
      <c r="O807" s="752">
        <f t="shared" si="114"/>
        <v>0</v>
      </c>
      <c r="P807" s="943"/>
      <c r="Q807" s="941"/>
      <c r="R807" s="753">
        <f t="shared" si="117"/>
        <v>0</v>
      </c>
      <c r="S807" s="752">
        <f t="shared" si="118"/>
        <v>0</v>
      </c>
      <c r="T807" s="754">
        <f t="shared" si="119"/>
        <v>0</v>
      </c>
      <c r="U807" s="944"/>
      <c r="V807" s="945"/>
      <c r="W807" s="944"/>
      <c r="X807" s="944"/>
      <c r="Y807" s="755">
        <f t="shared" si="115"/>
        <v>0</v>
      </c>
      <c r="Z807" s="947"/>
      <c r="AA807" s="945"/>
      <c r="AB807" s="756">
        <f t="shared" si="116"/>
        <v>0</v>
      </c>
      <c r="AC807" s="944"/>
      <c r="AD807" s="945"/>
      <c r="AE807" s="944"/>
      <c r="AF807" s="944"/>
      <c r="AG807" s="947"/>
      <c r="AH807" s="948"/>
      <c r="AI807" s="757">
        <f t="shared" si="120"/>
        <v>0</v>
      </c>
      <c r="AJ807" s="758">
        <f t="shared" si="121"/>
        <v>0</v>
      </c>
    </row>
    <row r="808" spans="1:36" ht="14.25" x14ac:dyDescent="0.3">
      <c r="A808" s="934" t="s">
        <v>149</v>
      </c>
      <c r="B808" s="935" t="s">
        <v>264</v>
      </c>
      <c r="C808" s="956" t="s">
        <v>691</v>
      </c>
      <c r="D808" s="937"/>
      <c r="E808" s="951">
        <v>133650</v>
      </c>
      <c r="F808" s="958">
        <v>3</v>
      </c>
      <c r="G808" s="944">
        <v>75662081</v>
      </c>
      <c r="H808" s="941">
        <v>94711127</v>
      </c>
      <c r="I808" s="942"/>
      <c r="J808" s="943"/>
      <c r="K808" s="944"/>
      <c r="L808" s="945"/>
      <c r="M808" s="944">
        <v>70716476.933599994</v>
      </c>
      <c r="N808" s="944">
        <v>1171161.42</v>
      </c>
      <c r="O808" s="752">
        <f t="shared" si="114"/>
        <v>71887638.353599995</v>
      </c>
      <c r="P808" s="946">
        <v>73144276</v>
      </c>
      <c r="Q808" s="941">
        <v>874618.06</v>
      </c>
      <c r="R808" s="753">
        <f t="shared" si="117"/>
        <v>74018894.060000002</v>
      </c>
      <c r="S808" s="752">
        <f t="shared" si="118"/>
        <v>146378557.93360001</v>
      </c>
      <c r="T808" s="754">
        <f t="shared" si="119"/>
        <v>167855403</v>
      </c>
      <c r="U808" s="944"/>
      <c r="V808" s="945"/>
      <c r="W808" s="944"/>
      <c r="X808" s="944"/>
      <c r="Y808" s="755">
        <f t="shared" si="115"/>
        <v>0</v>
      </c>
      <c r="Z808" s="947"/>
      <c r="AA808" s="945"/>
      <c r="AB808" s="756">
        <f t="shared" si="116"/>
        <v>0</v>
      </c>
      <c r="AC808" s="944"/>
      <c r="AD808" s="945"/>
      <c r="AE808" s="944"/>
      <c r="AF808" s="944"/>
      <c r="AG808" s="947"/>
      <c r="AH808" s="948"/>
      <c r="AI808" s="757">
        <f t="shared" si="120"/>
        <v>146378557.93360001</v>
      </c>
      <c r="AJ808" s="758">
        <f t="shared" si="121"/>
        <v>167855403</v>
      </c>
    </row>
    <row r="809" spans="1:36" ht="14.25" x14ac:dyDescent="0.3">
      <c r="A809" s="934" t="s">
        <v>149</v>
      </c>
      <c r="B809" s="935" t="s">
        <v>264</v>
      </c>
      <c r="C809" s="949" t="s">
        <v>676</v>
      </c>
      <c r="D809" s="950"/>
      <c r="E809" s="951">
        <v>133650</v>
      </c>
      <c r="F809" s="958">
        <v>3</v>
      </c>
      <c r="G809" s="944"/>
      <c r="H809" s="952"/>
      <c r="I809" s="942">
        <v>624417</v>
      </c>
      <c r="J809" s="943">
        <v>624417</v>
      </c>
      <c r="K809" s="944"/>
      <c r="L809" s="945"/>
      <c r="M809" s="944"/>
      <c r="N809" s="944"/>
      <c r="O809" s="752">
        <f t="shared" si="114"/>
        <v>0</v>
      </c>
      <c r="P809" s="943"/>
      <c r="Q809" s="941"/>
      <c r="R809" s="753">
        <f t="shared" si="117"/>
        <v>0</v>
      </c>
      <c r="S809" s="752">
        <f t="shared" si="118"/>
        <v>624417</v>
      </c>
      <c r="T809" s="754">
        <f t="shared" si="119"/>
        <v>624417</v>
      </c>
      <c r="U809" s="944"/>
      <c r="V809" s="945"/>
      <c r="W809" s="944"/>
      <c r="X809" s="944"/>
      <c r="Y809" s="755">
        <f t="shared" si="115"/>
        <v>0</v>
      </c>
      <c r="Z809" s="947"/>
      <c r="AA809" s="945"/>
      <c r="AB809" s="756">
        <f t="shared" si="116"/>
        <v>0</v>
      </c>
      <c r="AC809" s="944"/>
      <c r="AD809" s="945"/>
      <c r="AE809" s="944"/>
      <c r="AF809" s="944"/>
      <c r="AG809" s="947"/>
      <c r="AH809" s="948"/>
      <c r="AI809" s="757">
        <f t="shared" si="120"/>
        <v>624417</v>
      </c>
      <c r="AJ809" s="758">
        <f t="shared" si="121"/>
        <v>624417</v>
      </c>
    </row>
    <row r="810" spans="1:36" ht="14.25" x14ac:dyDescent="0.3">
      <c r="A810" s="934" t="s">
        <v>149</v>
      </c>
      <c r="B810" s="935" t="s">
        <v>264</v>
      </c>
      <c r="C810" s="949" t="s">
        <v>677</v>
      </c>
      <c r="D810" s="950"/>
      <c r="E810" s="951">
        <v>133650</v>
      </c>
      <c r="F810" s="958">
        <v>3</v>
      </c>
      <c r="G810" s="944"/>
      <c r="H810" s="952"/>
      <c r="I810" s="942">
        <v>1172091</v>
      </c>
      <c r="J810" s="946">
        <v>1172091</v>
      </c>
      <c r="K810" s="944"/>
      <c r="L810" s="945"/>
      <c r="M810" s="944"/>
      <c r="N810" s="944"/>
      <c r="O810" s="752">
        <f t="shared" si="114"/>
        <v>0</v>
      </c>
      <c r="P810" s="943"/>
      <c r="Q810" s="941"/>
      <c r="R810" s="753">
        <f t="shared" si="117"/>
        <v>0</v>
      </c>
      <c r="S810" s="752">
        <f t="shared" si="118"/>
        <v>1172091</v>
      </c>
      <c r="T810" s="754">
        <f t="shared" si="119"/>
        <v>1172091</v>
      </c>
      <c r="U810" s="944"/>
      <c r="V810" s="945"/>
      <c r="W810" s="944"/>
      <c r="X810" s="944"/>
      <c r="Y810" s="755">
        <f t="shared" si="115"/>
        <v>0</v>
      </c>
      <c r="Z810" s="947"/>
      <c r="AA810" s="945"/>
      <c r="AB810" s="756">
        <f t="shared" si="116"/>
        <v>0</v>
      </c>
      <c r="AC810" s="944"/>
      <c r="AD810" s="945"/>
      <c r="AE810" s="944"/>
      <c r="AF810" s="944"/>
      <c r="AG810" s="947"/>
      <c r="AH810" s="948"/>
      <c r="AI810" s="757">
        <f t="shared" si="120"/>
        <v>1172091</v>
      </c>
      <c r="AJ810" s="758">
        <f t="shared" si="121"/>
        <v>1172091</v>
      </c>
    </row>
    <row r="811" spans="1:36" ht="14.25" x14ac:dyDescent="0.3">
      <c r="A811" s="934" t="s">
        <v>149</v>
      </c>
      <c r="B811" s="935" t="s">
        <v>266</v>
      </c>
      <c r="C811" s="955" t="s">
        <v>319</v>
      </c>
      <c r="D811" s="950"/>
      <c r="E811" s="951">
        <v>133650</v>
      </c>
      <c r="F811" s="958">
        <v>3</v>
      </c>
      <c r="G811" s="944"/>
      <c r="H811" s="952"/>
      <c r="I811" s="942"/>
      <c r="J811" s="943"/>
      <c r="K811" s="944"/>
      <c r="L811" s="945"/>
      <c r="M811" s="944"/>
      <c r="N811" s="944"/>
      <c r="O811" s="752">
        <f t="shared" si="114"/>
        <v>0</v>
      </c>
      <c r="P811" s="943"/>
      <c r="Q811" s="941"/>
      <c r="R811" s="753">
        <f t="shared" si="117"/>
        <v>0</v>
      </c>
      <c r="S811" s="752">
        <f t="shared" si="118"/>
        <v>0</v>
      </c>
      <c r="T811" s="754">
        <f t="shared" si="119"/>
        <v>0</v>
      </c>
      <c r="U811" s="944"/>
      <c r="V811" s="945"/>
      <c r="W811" s="944"/>
      <c r="X811" s="944"/>
      <c r="Y811" s="755">
        <f t="shared" si="115"/>
        <v>0</v>
      </c>
      <c r="Z811" s="947"/>
      <c r="AA811" s="945"/>
      <c r="AB811" s="756">
        <f t="shared" si="116"/>
        <v>0</v>
      </c>
      <c r="AC811" s="944"/>
      <c r="AD811" s="945"/>
      <c r="AE811" s="944"/>
      <c r="AF811" s="944"/>
      <c r="AG811" s="947"/>
      <c r="AH811" s="948"/>
      <c r="AI811" s="757">
        <f t="shared" si="120"/>
        <v>0</v>
      </c>
      <c r="AJ811" s="758">
        <f t="shared" si="121"/>
        <v>0</v>
      </c>
    </row>
    <row r="812" spans="1:36" ht="14.25" x14ac:dyDescent="0.3">
      <c r="A812" s="934" t="s">
        <v>149</v>
      </c>
      <c r="B812" s="935" t="s">
        <v>266</v>
      </c>
      <c r="C812" s="949" t="s">
        <v>682</v>
      </c>
      <c r="D812" s="950"/>
      <c r="E812" s="951">
        <v>133650</v>
      </c>
      <c r="F812" s="958">
        <v>3</v>
      </c>
      <c r="G812" s="944"/>
      <c r="H812" s="952"/>
      <c r="I812" s="942">
        <v>3277272</v>
      </c>
      <c r="J812" s="943">
        <v>3450190</v>
      </c>
      <c r="K812" s="944"/>
      <c r="L812" s="945"/>
      <c r="M812" s="944"/>
      <c r="N812" s="944"/>
      <c r="O812" s="752">
        <f t="shared" si="114"/>
        <v>0</v>
      </c>
      <c r="P812" s="943"/>
      <c r="Q812" s="941"/>
      <c r="R812" s="753">
        <f t="shared" si="117"/>
        <v>0</v>
      </c>
      <c r="S812" s="752">
        <f t="shared" si="118"/>
        <v>3277272</v>
      </c>
      <c r="T812" s="754">
        <f t="shared" si="119"/>
        <v>3450190</v>
      </c>
      <c r="U812" s="944"/>
      <c r="V812" s="945"/>
      <c r="W812" s="944"/>
      <c r="X812" s="944"/>
      <c r="Y812" s="755">
        <f t="shared" si="115"/>
        <v>0</v>
      </c>
      <c r="Z812" s="947"/>
      <c r="AA812" s="945"/>
      <c r="AB812" s="756">
        <f t="shared" si="116"/>
        <v>0</v>
      </c>
      <c r="AC812" s="944"/>
      <c r="AD812" s="945"/>
      <c r="AE812" s="944"/>
      <c r="AF812" s="944"/>
      <c r="AG812" s="947"/>
      <c r="AH812" s="948"/>
      <c r="AI812" s="757">
        <f t="shared" si="120"/>
        <v>3277272</v>
      </c>
      <c r="AJ812" s="758">
        <f t="shared" si="121"/>
        <v>3450190</v>
      </c>
    </row>
    <row r="813" spans="1:36" ht="14.25" x14ac:dyDescent="0.3">
      <c r="A813" s="934" t="s">
        <v>149</v>
      </c>
      <c r="B813" s="935" t="s">
        <v>264</v>
      </c>
      <c r="C813" s="956" t="s">
        <v>692</v>
      </c>
      <c r="D813" s="957"/>
      <c r="E813" s="951">
        <v>136172</v>
      </c>
      <c r="F813" s="958">
        <v>3</v>
      </c>
      <c r="G813" s="944">
        <v>65240743</v>
      </c>
      <c r="H813" s="941">
        <v>75395378</v>
      </c>
      <c r="I813" s="942"/>
      <c r="J813" s="943"/>
      <c r="K813" s="944"/>
      <c r="L813" s="945"/>
      <c r="M813" s="944">
        <v>66996490.521600001</v>
      </c>
      <c r="N813" s="944">
        <v>1444159.42</v>
      </c>
      <c r="O813" s="752">
        <f t="shared" si="114"/>
        <v>68440649.941599995</v>
      </c>
      <c r="P813" s="946">
        <v>69015945</v>
      </c>
      <c r="Q813" s="941">
        <v>1086777.8899999999</v>
      </c>
      <c r="R813" s="753">
        <f t="shared" si="117"/>
        <v>70102722.890000001</v>
      </c>
      <c r="S813" s="752">
        <f t="shared" si="118"/>
        <v>132237233.52160001</v>
      </c>
      <c r="T813" s="754">
        <f t="shared" si="119"/>
        <v>144411323</v>
      </c>
      <c r="U813" s="944"/>
      <c r="V813" s="945"/>
      <c r="W813" s="944"/>
      <c r="X813" s="944"/>
      <c r="Y813" s="755">
        <f t="shared" si="115"/>
        <v>0</v>
      </c>
      <c r="Z813" s="947"/>
      <c r="AA813" s="945"/>
      <c r="AB813" s="756">
        <f t="shared" si="116"/>
        <v>0</v>
      </c>
      <c r="AC813" s="944"/>
      <c r="AD813" s="945"/>
      <c r="AE813" s="944"/>
      <c r="AF813" s="944"/>
      <c r="AG813" s="947"/>
      <c r="AH813" s="948"/>
      <c r="AI813" s="757">
        <f t="shared" si="120"/>
        <v>132237233.52160001</v>
      </c>
      <c r="AJ813" s="758">
        <f t="shared" si="121"/>
        <v>144411323</v>
      </c>
    </row>
    <row r="814" spans="1:36" ht="14.25" x14ac:dyDescent="0.3">
      <c r="A814" s="934" t="s">
        <v>149</v>
      </c>
      <c r="B814" s="935" t="s">
        <v>264</v>
      </c>
      <c r="C814" s="949" t="s">
        <v>676</v>
      </c>
      <c r="D814" s="950"/>
      <c r="E814" s="951">
        <v>136172</v>
      </c>
      <c r="F814" s="958">
        <v>3</v>
      </c>
      <c r="G814" s="944"/>
      <c r="H814" s="952"/>
      <c r="I814" s="942">
        <v>200570</v>
      </c>
      <c r="J814" s="943">
        <v>200570</v>
      </c>
      <c r="K814" s="944"/>
      <c r="L814" s="945"/>
      <c r="M814" s="944"/>
      <c r="N814" s="944"/>
      <c r="O814" s="752">
        <f t="shared" si="114"/>
        <v>0</v>
      </c>
      <c r="P814" s="943"/>
      <c r="Q814" s="941"/>
      <c r="R814" s="753">
        <f t="shared" si="117"/>
        <v>0</v>
      </c>
      <c r="S814" s="752">
        <f t="shared" si="118"/>
        <v>200570</v>
      </c>
      <c r="T814" s="754">
        <f t="shared" si="119"/>
        <v>200570</v>
      </c>
      <c r="U814" s="944"/>
      <c r="V814" s="945"/>
      <c r="W814" s="944"/>
      <c r="X814" s="944"/>
      <c r="Y814" s="755">
        <f t="shared" si="115"/>
        <v>0</v>
      </c>
      <c r="Z814" s="947"/>
      <c r="AA814" s="945"/>
      <c r="AB814" s="756">
        <f t="shared" si="116"/>
        <v>0</v>
      </c>
      <c r="AC814" s="944"/>
      <c r="AD814" s="945"/>
      <c r="AE814" s="944"/>
      <c r="AF814" s="944"/>
      <c r="AG814" s="947"/>
      <c r="AH814" s="948"/>
      <c r="AI814" s="757">
        <f t="shared" si="120"/>
        <v>200570</v>
      </c>
      <c r="AJ814" s="758">
        <f t="shared" si="121"/>
        <v>200570</v>
      </c>
    </row>
    <row r="815" spans="1:36" ht="14.25" x14ac:dyDescent="0.3">
      <c r="A815" s="934" t="s">
        <v>149</v>
      </c>
      <c r="B815" s="935" t="s">
        <v>264</v>
      </c>
      <c r="C815" s="949" t="s">
        <v>677</v>
      </c>
      <c r="D815" s="950"/>
      <c r="E815" s="951">
        <v>136172</v>
      </c>
      <c r="F815" s="958">
        <v>3</v>
      </c>
      <c r="G815" s="944"/>
      <c r="H815" s="952"/>
      <c r="I815" s="942">
        <v>904133</v>
      </c>
      <c r="J815" s="943">
        <v>904133</v>
      </c>
      <c r="K815" s="944"/>
      <c r="L815" s="945"/>
      <c r="M815" s="944"/>
      <c r="N815" s="944"/>
      <c r="O815" s="752">
        <f t="shared" si="114"/>
        <v>0</v>
      </c>
      <c r="P815" s="943"/>
      <c r="Q815" s="941"/>
      <c r="R815" s="753">
        <f t="shared" si="117"/>
        <v>0</v>
      </c>
      <c r="S815" s="752">
        <f t="shared" si="118"/>
        <v>904133</v>
      </c>
      <c r="T815" s="754">
        <f t="shared" si="119"/>
        <v>904133</v>
      </c>
      <c r="U815" s="944"/>
      <c r="V815" s="945"/>
      <c r="W815" s="944"/>
      <c r="X815" s="944"/>
      <c r="Y815" s="755">
        <f t="shared" si="115"/>
        <v>0</v>
      </c>
      <c r="Z815" s="947"/>
      <c r="AA815" s="945"/>
      <c r="AB815" s="756">
        <f t="shared" si="116"/>
        <v>0</v>
      </c>
      <c r="AC815" s="944"/>
      <c r="AD815" s="945"/>
      <c r="AE815" s="944"/>
      <c r="AF815" s="944"/>
      <c r="AG815" s="947"/>
      <c r="AH815" s="948"/>
      <c r="AI815" s="757">
        <f t="shared" si="120"/>
        <v>904133</v>
      </c>
      <c r="AJ815" s="758">
        <f t="shared" si="121"/>
        <v>904133</v>
      </c>
    </row>
    <row r="816" spans="1:36" ht="14.25" x14ac:dyDescent="0.3">
      <c r="A816" s="934" t="s">
        <v>149</v>
      </c>
      <c r="B816" s="935" t="s">
        <v>264</v>
      </c>
      <c r="C816" s="956" t="s">
        <v>693</v>
      </c>
      <c r="D816" s="957"/>
      <c r="E816" s="951">
        <v>138354</v>
      </c>
      <c r="F816" s="958">
        <v>3</v>
      </c>
      <c r="G816" s="944">
        <v>43994565</v>
      </c>
      <c r="H816" s="941">
        <v>67337405</v>
      </c>
      <c r="I816" s="942"/>
      <c r="J816" s="943"/>
      <c r="K816" s="944"/>
      <c r="L816" s="945"/>
      <c r="M816" s="944">
        <v>51104257.680799998</v>
      </c>
      <c r="N816" s="944">
        <v>963682.94</v>
      </c>
      <c r="O816" s="752">
        <f t="shared" si="114"/>
        <v>52067940.620799996</v>
      </c>
      <c r="P816" s="946">
        <v>52754548</v>
      </c>
      <c r="Q816" s="941">
        <v>818330.76</v>
      </c>
      <c r="R816" s="753">
        <f t="shared" si="117"/>
        <v>53572878.759999998</v>
      </c>
      <c r="S816" s="752">
        <f t="shared" si="118"/>
        <v>95098822.680799991</v>
      </c>
      <c r="T816" s="754">
        <f t="shared" si="119"/>
        <v>120091953</v>
      </c>
      <c r="U816" s="944"/>
      <c r="V816" s="945"/>
      <c r="W816" s="944"/>
      <c r="X816" s="944"/>
      <c r="Y816" s="755">
        <f t="shared" si="115"/>
        <v>0</v>
      </c>
      <c r="Z816" s="947"/>
      <c r="AA816" s="945"/>
      <c r="AB816" s="756">
        <f t="shared" si="116"/>
        <v>0</v>
      </c>
      <c r="AC816" s="944"/>
      <c r="AD816" s="945"/>
      <c r="AE816" s="944"/>
      <c r="AF816" s="944"/>
      <c r="AG816" s="947"/>
      <c r="AH816" s="948"/>
      <c r="AI816" s="757">
        <f t="shared" si="120"/>
        <v>95098822.680799991</v>
      </c>
      <c r="AJ816" s="758">
        <f t="shared" si="121"/>
        <v>120091953</v>
      </c>
    </row>
    <row r="817" spans="1:36" ht="14.25" x14ac:dyDescent="0.3">
      <c r="A817" s="934" t="s">
        <v>149</v>
      </c>
      <c r="B817" s="935" t="s">
        <v>264</v>
      </c>
      <c r="C817" s="949" t="s">
        <v>676</v>
      </c>
      <c r="D817" s="950"/>
      <c r="E817" s="951">
        <v>138354</v>
      </c>
      <c r="F817" s="958">
        <v>3</v>
      </c>
      <c r="G817" s="944"/>
      <c r="H817" s="952"/>
      <c r="I817" s="942">
        <v>157766</v>
      </c>
      <c r="J817" s="943">
        <v>157766</v>
      </c>
      <c r="K817" s="944"/>
      <c r="L817" s="945"/>
      <c r="M817" s="944"/>
      <c r="N817" s="944"/>
      <c r="O817" s="752">
        <f t="shared" si="114"/>
        <v>0</v>
      </c>
      <c r="P817" s="943"/>
      <c r="Q817" s="941"/>
      <c r="R817" s="753">
        <f t="shared" si="117"/>
        <v>0</v>
      </c>
      <c r="S817" s="752">
        <f t="shared" si="118"/>
        <v>157766</v>
      </c>
      <c r="T817" s="754">
        <f t="shared" si="119"/>
        <v>157766</v>
      </c>
      <c r="U817" s="944"/>
      <c r="V817" s="945"/>
      <c r="W817" s="944"/>
      <c r="X817" s="944"/>
      <c r="Y817" s="755">
        <f t="shared" si="115"/>
        <v>0</v>
      </c>
      <c r="Z817" s="947"/>
      <c r="AA817" s="945"/>
      <c r="AB817" s="756">
        <f t="shared" si="116"/>
        <v>0</v>
      </c>
      <c r="AC817" s="944"/>
      <c r="AD817" s="945"/>
      <c r="AE817" s="944"/>
      <c r="AF817" s="944"/>
      <c r="AG817" s="947"/>
      <c r="AH817" s="948"/>
      <c r="AI817" s="757">
        <f t="shared" si="120"/>
        <v>157766</v>
      </c>
      <c r="AJ817" s="758">
        <f t="shared" si="121"/>
        <v>157766</v>
      </c>
    </row>
    <row r="818" spans="1:36" ht="14.25" x14ac:dyDescent="0.3">
      <c r="A818" s="934" t="s">
        <v>149</v>
      </c>
      <c r="B818" s="935" t="s">
        <v>264</v>
      </c>
      <c r="C818" s="949" t="s">
        <v>677</v>
      </c>
      <c r="D818" s="950"/>
      <c r="E818" s="951">
        <v>138354</v>
      </c>
      <c r="F818" s="958">
        <v>3</v>
      </c>
      <c r="G818" s="944"/>
      <c r="H818" s="952"/>
      <c r="I818" s="942">
        <v>706795</v>
      </c>
      <c r="J818" s="943">
        <v>706794</v>
      </c>
      <c r="K818" s="944"/>
      <c r="L818" s="945"/>
      <c r="M818" s="944"/>
      <c r="N818" s="944"/>
      <c r="O818" s="752">
        <f t="shared" si="114"/>
        <v>0</v>
      </c>
      <c r="P818" s="960"/>
      <c r="Q818" s="941"/>
      <c r="R818" s="753">
        <f t="shared" si="117"/>
        <v>0</v>
      </c>
      <c r="S818" s="752">
        <f t="shared" si="118"/>
        <v>706795</v>
      </c>
      <c r="T818" s="754">
        <f t="shared" si="119"/>
        <v>706794</v>
      </c>
      <c r="U818" s="944"/>
      <c r="V818" s="945"/>
      <c r="W818" s="944"/>
      <c r="X818" s="944"/>
      <c r="Y818" s="755">
        <f t="shared" si="115"/>
        <v>0</v>
      </c>
      <c r="Z818" s="947"/>
      <c r="AA818" s="945"/>
      <c r="AB818" s="756">
        <f t="shared" si="116"/>
        <v>0</v>
      </c>
      <c r="AC818" s="944"/>
      <c r="AD818" s="945"/>
      <c r="AE818" s="944"/>
      <c r="AF818" s="944"/>
      <c r="AG818" s="947"/>
      <c r="AH818" s="948"/>
      <c r="AI818" s="757">
        <f t="shared" si="120"/>
        <v>706795</v>
      </c>
      <c r="AJ818" s="758">
        <f t="shared" si="121"/>
        <v>706794</v>
      </c>
    </row>
    <row r="819" spans="1:36" ht="14.25" x14ac:dyDescent="0.3">
      <c r="A819" s="934" t="s">
        <v>149</v>
      </c>
      <c r="B819" s="935" t="s">
        <v>264</v>
      </c>
      <c r="C819" s="956" t="s">
        <v>694</v>
      </c>
      <c r="D819" s="957"/>
      <c r="E819" s="951">
        <v>433660</v>
      </c>
      <c r="F819" s="958">
        <v>4</v>
      </c>
      <c r="G819" s="944">
        <v>41444084</v>
      </c>
      <c r="H819" s="941">
        <v>55191063</v>
      </c>
      <c r="I819" s="942"/>
      <c r="J819" s="943"/>
      <c r="K819" s="944"/>
      <c r="L819" s="945"/>
      <c r="M819" s="944">
        <v>59772181.347199999</v>
      </c>
      <c r="N819" s="944">
        <v>1149321.58</v>
      </c>
      <c r="O819" s="752">
        <f t="shared" si="114"/>
        <v>60921502.927199997</v>
      </c>
      <c r="P819" s="946">
        <v>61039484</v>
      </c>
      <c r="Q819" s="941">
        <v>933070.26</v>
      </c>
      <c r="R819" s="753">
        <f t="shared" si="117"/>
        <v>61972554.259999998</v>
      </c>
      <c r="S819" s="752">
        <f t="shared" si="118"/>
        <v>101216265.34720001</v>
      </c>
      <c r="T819" s="754">
        <f t="shared" si="119"/>
        <v>116230547</v>
      </c>
      <c r="U819" s="944"/>
      <c r="V819" s="945"/>
      <c r="W819" s="944"/>
      <c r="X819" s="944"/>
      <c r="Y819" s="755">
        <f t="shared" si="115"/>
        <v>0</v>
      </c>
      <c r="Z819" s="947"/>
      <c r="AA819" s="945"/>
      <c r="AB819" s="756">
        <f t="shared" si="116"/>
        <v>0</v>
      </c>
      <c r="AC819" s="944"/>
      <c r="AD819" s="945"/>
      <c r="AE819" s="944"/>
      <c r="AF819" s="944"/>
      <c r="AG819" s="945"/>
      <c r="AH819" s="948"/>
      <c r="AI819" s="757">
        <f t="shared" si="120"/>
        <v>101216265.34720001</v>
      </c>
      <c r="AJ819" s="758">
        <f t="shared" si="121"/>
        <v>116230547</v>
      </c>
    </row>
    <row r="820" spans="1:36" ht="14.25" x14ac:dyDescent="0.3">
      <c r="A820" s="934" t="s">
        <v>149</v>
      </c>
      <c r="B820" s="935" t="s">
        <v>264</v>
      </c>
      <c r="C820" s="949" t="s">
        <v>676</v>
      </c>
      <c r="D820" s="950"/>
      <c r="E820" s="951">
        <v>433660</v>
      </c>
      <c r="F820" s="958">
        <v>4</v>
      </c>
      <c r="G820" s="944"/>
      <c r="H820" s="952"/>
      <c r="I820" s="942">
        <v>98073</v>
      </c>
      <c r="J820" s="943">
        <v>98073</v>
      </c>
      <c r="K820" s="944"/>
      <c r="L820" s="945"/>
      <c r="M820" s="944"/>
      <c r="N820" s="944"/>
      <c r="O820" s="752">
        <f t="shared" si="114"/>
        <v>0</v>
      </c>
      <c r="P820" s="943"/>
      <c r="Q820" s="952"/>
      <c r="R820" s="753">
        <f t="shared" si="117"/>
        <v>0</v>
      </c>
      <c r="S820" s="752">
        <f t="shared" si="118"/>
        <v>98073</v>
      </c>
      <c r="T820" s="754">
        <f t="shared" si="119"/>
        <v>98073</v>
      </c>
      <c r="U820" s="944"/>
      <c r="V820" s="945"/>
      <c r="W820" s="944"/>
      <c r="X820" s="944"/>
      <c r="Y820" s="755">
        <f t="shared" si="115"/>
        <v>0</v>
      </c>
      <c r="Z820" s="947"/>
      <c r="AA820" s="945"/>
      <c r="AB820" s="756">
        <f t="shared" si="116"/>
        <v>0</v>
      </c>
      <c r="AC820" s="944"/>
      <c r="AD820" s="945"/>
      <c r="AE820" s="944"/>
      <c r="AF820" s="944"/>
      <c r="AG820" s="947"/>
      <c r="AH820" s="948"/>
      <c r="AI820" s="757">
        <f t="shared" si="120"/>
        <v>98073</v>
      </c>
      <c r="AJ820" s="758">
        <f t="shared" si="121"/>
        <v>98073</v>
      </c>
    </row>
    <row r="821" spans="1:36" ht="14.25" x14ac:dyDescent="0.3">
      <c r="A821" s="934" t="s">
        <v>149</v>
      </c>
      <c r="B821" s="935" t="s">
        <v>264</v>
      </c>
      <c r="C821" s="949" t="s">
        <v>677</v>
      </c>
      <c r="D821" s="950"/>
      <c r="E821" s="951">
        <v>433660</v>
      </c>
      <c r="F821" s="958">
        <v>4</v>
      </c>
      <c r="G821" s="944"/>
      <c r="H821" s="952"/>
      <c r="I821" s="942">
        <v>600862</v>
      </c>
      <c r="J821" s="943">
        <v>600862</v>
      </c>
      <c r="K821" s="944"/>
      <c r="L821" s="945"/>
      <c r="M821" s="944"/>
      <c r="N821" s="944"/>
      <c r="O821" s="752">
        <f t="shared" si="114"/>
        <v>0</v>
      </c>
      <c r="P821" s="943"/>
      <c r="Q821" s="952"/>
      <c r="R821" s="753">
        <f t="shared" si="117"/>
        <v>0</v>
      </c>
      <c r="S821" s="752">
        <f t="shared" si="118"/>
        <v>600862</v>
      </c>
      <c r="T821" s="754">
        <f t="shared" si="119"/>
        <v>600862</v>
      </c>
      <c r="U821" s="944"/>
      <c r="V821" s="945"/>
      <c r="W821" s="944"/>
      <c r="X821" s="944"/>
      <c r="Y821" s="755">
        <f t="shared" si="115"/>
        <v>0</v>
      </c>
      <c r="Z821" s="947"/>
      <c r="AA821" s="945"/>
      <c r="AB821" s="756">
        <f t="shared" si="116"/>
        <v>0</v>
      </c>
      <c r="AC821" s="944"/>
      <c r="AD821" s="945"/>
      <c r="AE821" s="944"/>
      <c r="AF821" s="944"/>
      <c r="AG821" s="947"/>
      <c r="AH821" s="948"/>
      <c r="AI821" s="757">
        <f t="shared" si="120"/>
        <v>600862</v>
      </c>
      <c r="AJ821" s="758">
        <f t="shared" si="121"/>
        <v>600862</v>
      </c>
    </row>
    <row r="822" spans="1:36" ht="14.25" x14ac:dyDescent="0.3">
      <c r="A822" s="934" t="s">
        <v>149</v>
      </c>
      <c r="B822" s="935" t="s">
        <v>264</v>
      </c>
      <c r="C822" s="956" t="s">
        <v>695</v>
      </c>
      <c r="D822" s="957"/>
      <c r="E822" s="951">
        <v>262129</v>
      </c>
      <c r="F822" s="958">
        <v>6</v>
      </c>
      <c r="G822" s="944">
        <v>13590274</v>
      </c>
      <c r="H822" s="941">
        <v>16739914</v>
      </c>
      <c r="I822" s="942"/>
      <c r="J822" s="943"/>
      <c r="K822" s="944"/>
      <c r="L822" s="945"/>
      <c r="M822" s="944">
        <v>6100592.4896</v>
      </c>
      <c r="N822" s="944">
        <v>92819.32</v>
      </c>
      <c r="O822" s="752">
        <f t="shared" si="114"/>
        <v>6193411.8096000003</v>
      </c>
      <c r="P822" s="946">
        <v>6157918</v>
      </c>
      <c r="Q822" s="941">
        <v>67111.78</v>
      </c>
      <c r="R822" s="753">
        <f t="shared" si="117"/>
        <v>6225029.7800000003</v>
      </c>
      <c r="S822" s="752">
        <f t="shared" si="118"/>
        <v>19690866.489599999</v>
      </c>
      <c r="T822" s="754">
        <f t="shared" si="119"/>
        <v>22897832</v>
      </c>
      <c r="U822" s="944"/>
      <c r="V822" s="945"/>
      <c r="W822" s="944"/>
      <c r="X822" s="944"/>
      <c r="Y822" s="755">
        <f t="shared" si="115"/>
        <v>0</v>
      </c>
      <c r="Z822" s="947"/>
      <c r="AA822" s="945"/>
      <c r="AB822" s="756">
        <f t="shared" si="116"/>
        <v>0</v>
      </c>
      <c r="AC822" s="944"/>
      <c r="AD822" s="945"/>
      <c r="AE822" s="944"/>
      <c r="AF822" s="944"/>
      <c r="AG822" s="947"/>
      <c r="AH822" s="948"/>
      <c r="AI822" s="757">
        <f t="shared" si="120"/>
        <v>19690866.489599999</v>
      </c>
      <c r="AJ822" s="758">
        <f t="shared" si="121"/>
        <v>22897832</v>
      </c>
    </row>
    <row r="823" spans="1:36" ht="14.25" x14ac:dyDescent="0.3">
      <c r="A823" s="934" t="s">
        <v>149</v>
      </c>
      <c r="B823" s="935" t="s">
        <v>264</v>
      </c>
      <c r="C823" s="949" t="s">
        <v>676</v>
      </c>
      <c r="D823" s="950"/>
      <c r="E823" s="951">
        <v>262129</v>
      </c>
      <c r="F823" s="958">
        <v>6</v>
      </c>
      <c r="G823" s="944"/>
      <c r="H823" s="952"/>
      <c r="I823" s="942">
        <v>204407</v>
      </c>
      <c r="J823" s="943">
        <v>204407</v>
      </c>
      <c r="K823" s="944"/>
      <c r="L823" s="945"/>
      <c r="M823" s="944"/>
      <c r="N823" s="944"/>
      <c r="O823" s="752">
        <f t="shared" si="114"/>
        <v>0</v>
      </c>
      <c r="P823" s="943"/>
      <c r="Q823" s="952"/>
      <c r="R823" s="753">
        <f t="shared" si="117"/>
        <v>0</v>
      </c>
      <c r="S823" s="752">
        <f t="shared" si="118"/>
        <v>204407</v>
      </c>
      <c r="T823" s="754">
        <f t="shared" si="119"/>
        <v>204407</v>
      </c>
      <c r="U823" s="944"/>
      <c r="V823" s="945"/>
      <c r="W823" s="944"/>
      <c r="X823" s="944"/>
      <c r="Y823" s="755">
        <f t="shared" si="115"/>
        <v>0</v>
      </c>
      <c r="Z823" s="947"/>
      <c r="AA823" s="945"/>
      <c r="AB823" s="756">
        <f t="shared" si="116"/>
        <v>0</v>
      </c>
      <c r="AC823" s="944"/>
      <c r="AD823" s="945"/>
      <c r="AE823" s="944"/>
      <c r="AF823" s="944"/>
      <c r="AG823" s="947"/>
      <c r="AH823" s="948"/>
      <c r="AI823" s="757">
        <f t="shared" si="120"/>
        <v>204407</v>
      </c>
      <c r="AJ823" s="758">
        <f t="shared" si="121"/>
        <v>204407</v>
      </c>
    </row>
    <row r="824" spans="1:36" ht="14.25" x14ac:dyDescent="0.3">
      <c r="A824" s="934" t="s">
        <v>149</v>
      </c>
      <c r="B824" s="935" t="s">
        <v>264</v>
      </c>
      <c r="C824" s="949" t="s">
        <v>677</v>
      </c>
      <c r="D824" s="950"/>
      <c r="E824" s="951">
        <v>262129</v>
      </c>
      <c r="F824" s="958">
        <v>6</v>
      </c>
      <c r="G824" s="944"/>
      <c r="H824" s="952"/>
      <c r="I824" s="942">
        <v>285717</v>
      </c>
      <c r="J824" s="943">
        <v>285719</v>
      </c>
      <c r="K824" s="944"/>
      <c r="L824" s="945"/>
      <c r="M824" s="944"/>
      <c r="N824" s="944"/>
      <c r="O824" s="752">
        <f t="shared" si="114"/>
        <v>0</v>
      </c>
      <c r="P824" s="943"/>
      <c r="Q824" s="952"/>
      <c r="R824" s="753">
        <f t="shared" si="117"/>
        <v>0</v>
      </c>
      <c r="S824" s="752">
        <f t="shared" si="118"/>
        <v>285717</v>
      </c>
      <c r="T824" s="754">
        <f t="shared" si="119"/>
        <v>285719</v>
      </c>
      <c r="U824" s="944"/>
      <c r="V824" s="945"/>
      <c r="W824" s="944"/>
      <c r="X824" s="944"/>
      <c r="Y824" s="755">
        <f t="shared" si="115"/>
        <v>0</v>
      </c>
      <c r="Z824" s="947"/>
      <c r="AA824" s="945"/>
      <c r="AB824" s="756">
        <f t="shared" si="116"/>
        <v>0</v>
      </c>
      <c r="AC824" s="944"/>
      <c r="AD824" s="945"/>
      <c r="AE824" s="944"/>
      <c r="AF824" s="944"/>
      <c r="AG824" s="947"/>
      <c r="AH824" s="948"/>
      <c r="AI824" s="757">
        <f t="shared" si="120"/>
        <v>285717</v>
      </c>
      <c r="AJ824" s="758">
        <f t="shared" si="121"/>
        <v>285719</v>
      </c>
    </row>
    <row r="825" spans="1:36" ht="14.25" x14ac:dyDescent="0.3">
      <c r="A825" s="961" t="s">
        <v>149</v>
      </c>
      <c r="B825" s="962" t="s">
        <v>264</v>
      </c>
      <c r="C825" s="962" t="s">
        <v>696</v>
      </c>
      <c r="D825" s="963"/>
      <c r="E825" s="964" t="s">
        <v>697</v>
      </c>
      <c r="F825" s="965">
        <v>99</v>
      </c>
      <c r="G825" s="944">
        <v>22411504</v>
      </c>
      <c r="H825" s="941">
        <v>28647064</v>
      </c>
      <c r="I825" s="942"/>
      <c r="J825" s="943"/>
      <c r="K825" s="944"/>
      <c r="L825" s="945"/>
      <c r="M825" s="944">
        <v>6028073</v>
      </c>
      <c r="N825" s="944">
        <v>0</v>
      </c>
      <c r="O825" s="752">
        <f t="shared" si="114"/>
        <v>6028073</v>
      </c>
      <c r="P825" s="946"/>
      <c r="Q825" s="952"/>
      <c r="R825" s="753">
        <f t="shared" si="117"/>
        <v>0</v>
      </c>
      <c r="S825" s="752">
        <f t="shared" si="118"/>
        <v>28439577</v>
      </c>
      <c r="T825" s="754">
        <f t="shared" si="119"/>
        <v>28647064</v>
      </c>
      <c r="U825" s="944"/>
      <c r="V825" s="945"/>
      <c r="W825" s="944"/>
      <c r="X825" s="944"/>
      <c r="Y825" s="755">
        <f t="shared" si="115"/>
        <v>0</v>
      </c>
      <c r="Z825" s="947"/>
      <c r="AA825" s="945"/>
      <c r="AB825" s="756">
        <f t="shared" si="116"/>
        <v>0</v>
      </c>
      <c r="AC825" s="944"/>
      <c r="AD825" s="945"/>
      <c r="AE825" s="944"/>
      <c r="AF825" s="944"/>
      <c r="AG825" s="947"/>
      <c r="AH825" s="948"/>
      <c r="AI825" s="757">
        <f t="shared" si="120"/>
        <v>28439577</v>
      </c>
      <c r="AJ825" s="758">
        <f t="shared" si="121"/>
        <v>28647064</v>
      </c>
    </row>
    <row r="826" spans="1:36" ht="14.25" x14ac:dyDescent="0.3">
      <c r="A826" s="961" t="s">
        <v>149</v>
      </c>
      <c r="B826" s="962" t="s">
        <v>272</v>
      </c>
      <c r="C826" s="966" t="s">
        <v>676</v>
      </c>
      <c r="D826" s="963"/>
      <c r="E826" s="964" t="s">
        <v>697</v>
      </c>
      <c r="F826" s="965">
        <v>99</v>
      </c>
      <c r="G826" s="944"/>
      <c r="H826" s="952"/>
      <c r="I826" s="942">
        <v>50000</v>
      </c>
      <c r="J826" s="943">
        <v>50000</v>
      </c>
      <c r="K826" s="944"/>
      <c r="L826" s="945"/>
      <c r="M826" s="944"/>
      <c r="N826" s="944"/>
      <c r="O826" s="752">
        <f t="shared" si="114"/>
        <v>0</v>
      </c>
      <c r="P826" s="943"/>
      <c r="Q826" s="952"/>
      <c r="R826" s="753">
        <f t="shared" si="117"/>
        <v>0</v>
      </c>
      <c r="S826" s="752">
        <f t="shared" si="118"/>
        <v>50000</v>
      </c>
      <c r="T826" s="754">
        <f t="shared" si="119"/>
        <v>50000</v>
      </c>
      <c r="U826" s="944"/>
      <c r="V826" s="945"/>
      <c r="W826" s="944"/>
      <c r="X826" s="944"/>
      <c r="Y826" s="755">
        <f t="shared" si="115"/>
        <v>0</v>
      </c>
      <c r="Z826" s="947"/>
      <c r="AA826" s="945"/>
      <c r="AB826" s="756">
        <f t="shared" si="116"/>
        <v>0</v>
      </c>
      <c r="AC826" s="944"/>
      <c r="AD826" s="945"/>
      <c r="AE826" s="944"/>
      <c r="AF826" s="944"/>
      <c r="AG826" s="947"/>
      <c r="AH826" s="948"/>
      <c r="AI826" s="757">
        <f t="shared" si="120"/>
        <v>50000</v>
      </c>
      <c r="AJ826" s="758">
        <f t="shared" si="121"/>
        <v>50000</v>
      </c>
    </row>
    <row r="827" spans="1:36" ht="14.25" x14ac:dyDescent="0.3">
      <c r="A827" s="961" t="s">
        <v>149</v>
      </c>
      <c r="B827" s="962" t="s">
        <v>272</v>
      </c>
      <c r="C827" s="966" t="s">
        <v>677</v>
      </c>
      <c r="D827" s="963"/>
      <c r="E827" s="964" t="s">
        <v>697</v>
      </c>
      <c r="F827" s="965">
        <v>99</v>
      </c>
      <c r="G827" s="944"/>
      <c r="H827" s="952"/>
      <c r="I827" s="942"/>
      <c r="J827" s="946"/>
      <c r="K827" s="944"/>
      <c r="L827" s="945"/>
      <c r="M827" s="944"/>
      <c r="N827" s="944"/>
      <c r="O827" s="752">
        <f t="shared" si="114"/>
        <v>0</v>
      </c>
      <c r="P827" s="943"/>
      <c r="Q827" s="952"/>
      <c r="R827" s="753">
        <f t="shared" si="117"/>
        <v>0</v>
      </c>
      <c r="S827" s="752">
        <f t="shared" si="118"/>
        <v>0</v>
      </c>
      <c r="T827" s="754">
        <f t="shared" si="119"/>
        <v>0</v>
      </c>
      <c r="U827" s="944"/>
      <c r="V827" s="945"/>
      <c r="W827" s="944"/>
      <c r="X827" s="944"/>
      <c r="Y827" s="755">
        <f t="shared" si="115"/>
        <v>0</v>
      </c>
      <c r="Z827" s="947"/>
      <c r="AA827" s="945"/>
      <c r="AB827" s="756">
        <f t="shared" si="116"/>
        <v>0</v>
      </c>
      <c r="AC827" s="944"/>
      <c r="AD827" s="945"/>
      <c r="AE827" s="944"/>
      <c r="AF827" s="944"/>
      <c r="AG827" s="947"/>
      <c r="AH827" s="948"/>
      <c r="AI827" s="757">
        <f t="shared" si="120"/>
        <v>0</v>
      </c>
      <c r="AJ827" s="758">
        <f t="shared" si="121"/>
        <v>0</v>
      </c>
    </row>
    <row r="828" spans="1:36" ht="14.25" x14ac:dyDescent="0.3">
      <c r="A828" s="961" t="s">
        <v>149</v>
      </c>
      <c r="B828" s="962" t="s">
        <v>271</v>
      </c>
      <c r="C828" s="966" t="s">
        <v>688</v>
      </c>
      <c r="D828" s="963"/>
      <c r="E828" s="964" t="s">
        <v>697</v>
      </c>
      <c r="F828" s="965">
        <v>99</v>
      </c>
      <c r="G828" s="944"/>
      <c r="H828" s="952"/>
      <c r="I828" s="959">
        <v>5022319</v>
      </c>
      <c r="J828" s="946">
        <v>5029456</v>
      </c>
      <c r="K828" s="944"/>
      <c r="L828" s="945"/>
      <c r="M828" s="944"/>
      <c r="N828" s="944"/>
      <c r="O828" s="752">
        <f t="shared" si="114"/>
        <v>0</v>
      </c>
      <c r="P828" s="943"/>
      <c r="Q828" s="952"/>
      <c r="R828" s="753">
        <f t="shared" si="117"/>
        <v>0</v>
      </c>
      <c r="S828" s="752">
        <f t="shared" si="118"/>
        <v>5022319</v>
      </c>
      <c r="T828" s="754">
        <f t="shared" si="119"/>
        <v>5029456</v>
      </c>
      <c r="U828" s="944"/>
      <c r="V828" s="945"/>
      <c r="W828" s="944"/>
      <c r="X828" s="944"/>
      <c r="Y828" s="755">
        <f t="shared" si="115"/>
        <v>0</v>
      </c>
      <c r="Z828" s="947"/>
      <c r="AA828" s="945"/>
      <c r="AB828" s="756">
        <f t="shared" si="116"/>
        <v>0</v>
      </c>
      <c r="AC828" s="944"/>
      <c r="AD828" s="945"/>
      <c r="AE828" s="944"/>
      <c r="AF828" s="944"/>
      <c r="AG828" s="947"/>
      <c r="AH828" s="948"/>
      <c r="AI828" s="757">
        <f t="shared" si="120"/>
        <v>5022319</v>
      </c>
      <c r="AJ828" s="758">
        <f t="shared" si="121"/>
        <v>5029456</v>
      </c>
    </row>
    <row r="829" spans="1:36" ht="14.25" x14ac:dyDescent="0.3">
      <c r="A829" s="934" t="s">
        <v>149</v>
      </c>
      <c r="B829" s="935" t="s">
        <v>303</v>
      </c>
      <c r="C829" s="957" t="s">
        <v>698</v>
      </c>
      <c r="D829" s="957"/>
      <c r="E829" s="951"/>
      <c r="F829" s="958"/>
      <c r="G829" s="944"/>
      <c r="H829" s="952"/>
      <c r="I829" s="942"/>
      <c r="J829" s="967"/>
      <c r="K829" s="944"/>
      <c r="L829" s="945"/>
      <c r="M829" s="944"/>
      <c r="N829" s="944"/>
      <c r="O829" s="752">
        <f t="shared" si="114"/>
        <v>0</v>
      </c>
      <c r="P829" s="943"/>
      <c r="Q829" s="952"/>
      <c r="R829" s="753">
        <f t="shared" si="117"/>
        <v>0</v>
      </c>
      <c r="S829" s="752">
        <f t="shared" si="118"/>
        <v>0</v>
      </c>
      <c r="T829" s="754">
        <f t="shared" si="119"/>
        <v>0</v>
      </c>
      <c r="U829" s="944"/>
      <c r="V829" s="945"/>
      <c r="W829" s="944"/>
      <c r="X829" s="944"/>
      <c r="Y829" s="755">
        <f t="shared" si="115"/>
        <v>0</v>
      </c>
      <c r="Z829" s="947"/>
      <c r="AA829" s="945"/>
      <c r="AB829" s="756">
        <f t="shared" si="116"/>
        <v>0</v>
      </c>
      <c r="AC829" s="944"/>
      <c r="AD829" s="945"/>
      <c r="AE829" s="944"/>
      <c r="AF829" s="944"/>
      <c r="AG829" s="947"/>
      <c r="AH829" s="948"/>
      <c r="AI829" s="757">
        <f t="shared" si="120"/>
        <v>0</v>
      </c>
      <c r="AJ829" s="758">
        <f t="shared" si="121"/>
        <v>0</v>
      </c>
    </row>
    <row r="830" spans="1:36" ht="12.75" customHeight="1" x14ac:dyDescent="0.3">
      <c r="A830" s="934" t="s">
        <v>149</v>
      </c>
      <c r="B830" s="935" t="s">
        <v>274</v>
      </c>
      <c r="C830" s="955" t="s">
        <v>319</v>
      </c>
      <c r="D830" s="950"/>
      <c r="E830" s="951"/>
      <c r="F830" s="958"/>
      <c r="G830" s="944"/>
      <c r="H830" s="952"/>
      <c r="I830" s="942"/>
      <c r="J830" s="967"/>
      <c r="K830" s="944"/>
      <c r="L830" s="945"/>
      <c r="M830" s="944"/>
      <c r="N830" s="944"/>
      <c r="O830" s="752">
        <f t="shared" si="114"/>
        <v>0</v>
      </c>
      <c r="P830" s="943"/>
      <c r="Q830" s="952"/>
      <c r="R830" s="753">
        <f t="shared" si="117"/>
        <v>0</v>
      </c>
      <c r="S830" s="752">
        <f t="shared" si="118"/>
        <v>0</v>
      </c>
      <c r="T830" s="754">
        <f t="shared" si="119"/>
        <v>0</v>
      </c>
      <c r="U830" s="944"/>
      <c r="V830" s="945"/>
      <c r="W830" s="944"/>
      <c r="X830" s="944"/>
      <c r="Y830" s="755">
        <f t="shared" si="115"/>
        <v>0</v>
      </c>
      <c r="Z830" s="947"/>
      <c r="AA830" s="945"/>
      <c r="AB830" s="756">
        <f t="shared" si="116"/>
        <v>0</v>
      </c>
      <c r="AC830" s="944"/>
      <c r="AD830" s="945"/>
      <c r="AE830" s="944"/>
      <c r="AF830" s="944"/>
      <c r="AG830" s="947"/>
      <c r="AH830" s="948"/>
      <c r="AI830" s="757">
        <f t="shared" si="120"/>
        <v>0</v>
      </c>
      <c r="AJ830" s="758">
        <f t="shared" si="121"/>
        <v>0</v>
      </c>
    </row>
    <row r="831" spans="1:36" ht="12.75" customHeight="1" x14ac:dyDescent="0.3">
      <c r="A831" s="934" t="s">
        <v>149</v>
      </c>
      <c r="B831" s="935" t="s">
        <v>278</v>
      </c>
      <c r="C831" s="955" t="s">
        <v>309</v>
      </c>
      <c r="D831" s="950"/>
      <c r="E831" s="951"/>
      <c r="F831" s="958"/>
      <c r="G831" s="944"/>
      <c r="H831" s="952"/>
      <c r="I831" s="942"/>
      <c r="J831" s="943"/>
      <c r="K831" s="944"/>
      <c r="L831" s="945"/>
      <c r="M831" s="944"/>
      <c r="N831" s="944"/>
      <c r="O831" s="752">
        <f t="shared" si="114"/>
        <v>0</v>
      </c>
      <c r="P831" s="943"/>
      <c r="Q831" s="952"/>
      <c r="R831" s="753">
        <f t="shared" si="117"/>
        <v>0</v>
      </c>
      <c r="S831" s="752">
        <f t="shared" si="118"/>
        <v>0</v>
      </c>
      <c r="T831" s="754">
        <f t="shared" si="119"/>
        <v>0</v>
      </c>
      <c r="U831" s="944"/>
      <c r="V831" s="945"/>
      <c r="W831" s="944"/>
      <c r="X831" s="944"/>
      <c r="Y831" s="755">
        <f t="shared" si="115"/>
        <v>0</v>
      </c>
      <c r="Z831" s="947"/>
      <c r="AA831" s="945"/>
      <c r="AB831" s="756">
        <f t="shared" si="116"/>
        <v>0</v>
      </c>
      <c r="AC831" s="944"/>
      <c r="AD831" s="945"/>
      <c r="AE831" s="944"/>
      <c r="AF831" s="944"/>
      <c r="AG831" s="947"/>
      <c r="AH831" s="948"/>
      <c r="AI831" s="757">
        <f t="shared" si="120"/>
        <v>0</v>
      </c>
      <c r="AJ831" s="758">
        <f t="shared" si="121"/>
        <v>0</v>
      </c>
    </row>
    <row r="832" spans="1:36" ht="14.25" x14ac:dyDescent="0.3">
      <c r="A832" s="934" t="s">
        <v>149</v>
      </c>
      <c r="B832" s="935" t="s">
        <v>278</v>
      </c>
      <c r="C832" s="949" t="s">
        <v>699</v>
      </c>
      <c r="D832" s="950"/>
      <c r="E832" s="951"/>
      <c r="F832" s="958"/>
      <c r="G832" s="944"/>
      <c r="H832" s="952"/>
      <c r="I832" s="942">
        <v>10576930</v>
      </c>
      <c r="J832" s="946">
        <v>10576930</v>
      </c>
      <c r="K832" s="944"/>
      <c r="L832" s="945"/>
      <c r="M832" s="944"/>
      <c r="N832" s="944"/>
      <c r="O832" s="752">
        <f t="shared" si="114"/>
        <v>0</v>
      </c>
      <c r="P832" s="943"/>
      <c r="Q832" s="952"/>
      <c r="R832" s="753">
        <f t="shared" si="117"/>
        <v>0</v>
      </c>
      <c r="S832" s="752">
        <f t="shared" si="118"/>
        <v>10576930</v>
      </c>
      <c r="T832" s="754">
        <f t="shared" si="119"/>
        <v>10576930</v>
      </c>
      <c r="U832" s="944"/>
      <c r="V832" s="945"/>
      <c r="W832" s="944"/>
      <c r="X832" s="944"/>
      <c r="Y832" s="755">
        <f t="shared" si="115"/>
        <v>0</v>
      </c>
      <c r="Z832" s="947"/>
      <c r="AA832" s="945"/>
      <c r="AB832" s="756">
        <f t="shared" si="116"/>
        <v>0</v>
      </c>
      <c r="AC832" s="944"/>
      <c r="AD832" s="945"/>
      <c r="AE832" s="944"/>
      <c r="AF832" s="944"/>
      <c r="AG832" s="947"/>
      <c r="AH832" s="948"/>
      <c r="AI832" s="757">
        <f t="shared" si="120"/>
        <v>10576930</v>
      </c>
      <c r="AJ832" s="758">
        <f t="shared" si="121"/>
        <v>10576930</v>
      </c>
    </row>
    <row r="833" spans="1:36" ht="14.25" x14ac:dyDescent="0.3">
      <c r="A833" s="934" t="s">
        <v>149</v>
      </c>
      <c r="B833" s="935" t="s">
        <v>278</v>
      </c>
      <c r="C833" s="949" t="s">
        <v>700</v>
      </c>
      <c r="D833" s="950"/>
      <c r="E833" s="951"/>
      <c r="F833" s="958"/>
      <c r="G833" s="944"/>
      <c r="H833" s="952"/>
      <c r="I833" s="942">
        <v>2739184</v>
      </c>
      <c r="J833" s="946">
        <v>2739184</v>
      </c>
      <c r="K833" s="944"/>
      <c r="L833" s="945"/>
      <c r="M833" s="944"/>
      <c r="N833" s="944"/>
      <c r="O833" s="752">
        <f t="shared" si="114"/>
        <v>0</v>
      </c>
      <c r="P833" s="943"/>
      <c r="Q833" s="952"/>
      <c r="R833" s="753">
        <f t="shared" si="117"/>
        <v>0</v>
      </c>
      <c r="S833" s="752">
        <f t="shared" si="118"/>
        <v>2739184</v>
      </c>
      <c r="T833" s="754">
        <f t="shared" si="119"/>
        <v>2739184</v>
      </c>
      <c r="U833" s="944"/>
      <c r="V833" s="945"/>
      <c r="W833" s="944"/>
      <c r="X833" s="944"/>
      <c r="Y833" s="755">
        <f t="shared" si="115"/>
        <v>0</v>
      </c>
      <c r="Z833" s="947"/>
      <c r="AA833" s="945"/>
      <c r="AB833" s="756">
        <f t="shared" si="116"/>
        <v>0</v>
      </c>
      <c r="AC833" s="944"/>
      <c r="AD833" s="945"/>
      <c r="AE833" s="944"/>
      <c r="AF833" s="944"/>
      <c r="AG833" s="947"/>
      <c r="AH833" s="948"/>
      <c r="AI833" s="757">
        <f t="shared" si="120"/>
        <v>2739184</v>
      </c>
      <c r="AJ833" s="758">
        <f t="shared" si="121"/>
        <v>2739184</v>
      </c>
    </row>
    <row r="834" spans="1:36" ht="14.25" x14ac:dyDescent="0.3">
      <c r="A834" s="934" t="s">
        <v>149</v>
      </c>
      <c r="B834" s="935" t="s">
        <v>279</v>
      </c>
      <c r="C834" s="955" t="s">
        <v>509</v>
      </c>
      <c r="D834" s="950"/>
      <c r="E834" s="951"/>
      <c r="F834" s="958"/>
      <c r="G834" s="944"/>
      <c r="H834" s="952"/>
      <c r="I834" s="942"/>
      <c r="J834" s="943"/>
      <c r="K834" s="944"/>
      <c r="L834" s="945"/>
      <c r="M834" s="944"/>
      <c r="N834" s="944"/>
      <c r="O834" s="752">
        <f t="shared" si="114"/>
        <v>0</v>
      </c>
      <c r="P834" s="943"/>
      <c r="Q834" s="952"/>
      <c r="R834" s="753">
        <f t="shared" si="117"/>
        <v>0</v>
      </c>
      <c r="S834" s="752">
        <f t="shared" si="118"/>
        <v>0</v>
      </c>
      <c r="T834" s="754">
        <f t="shared" si="119"/>
        <v>0</v>
      </c>
      <c r="U834" s="944"/>
      <c r="V834" s="945"/>
      <c r="W834" s="944"/>
      <c r="X834" s="944"/>
      <c r="Y834" s="755">
        <f t="shared" si="115"/>
        <v>0</v>
      </c>
      <c r="Z834" s="947"/>
      <c r="AA834" s="945"/>
      <c r="AB834" s="756">
        <f t="shared" si="116"/>
        <v>0</v>
      </c>
      <c r="AC834" s="944"/>
      <c r="AD834" s="945"/>
      <c r="AE834" s="944"/>
      <c r="AF834" s="944"/>
      <c r="AG834" s="947"/>
      <c r="AH834" s="948"/>
      <c r="AI834" s="757">
        <f t="shared" si="120"/>
        <v>0</v>
      </c>
      <c r="AJ834" s="758">
        <f t="shared" si="121"/>
        <v>0</v>
      </c>
    </row>
    <row r="835" spans="1:36" ht="14.25" x14ac:dyDescent="0.3">
      <c r="A835" s="934" t="s">
        <v>149</v>
      </c>
      <c r="B835" s="935" t="s">
        <v>279</v>
      </c>
      <c r="C835" s="949" t="s">
        <v>701</v>
      </c>
      <c r="D835" s="950"/>
      <c r="E835" s="951"/>
      <c r="F835" s="958"/>
      <c r="G835" s="944"/>
      <c r="H835" s="952"/>
      <c r="I835" s="942"/>
      <c r="J835" s="943"/>
      <c r="K835" s="944"/>
      <c r="L835" s="945"/>
      <c r="M835" s="944"/>
      <c r="N835" s="944"/>
      <c r="O835" s="752">
        <f t="shared" si="114"/>
        <v>0</v>
      </c>
      <c r="P835" s="943"/>
      <c r="Q835" s="952"/>
      <c r="R835" s="753">
        <f t="shared" si="117"/>
        <v>0</v>
      </c>
      <c r="S835" s="752">
        <f t="shared" si="118"/>
        <v>0</v>
      </c>
      <c r="T835" s="754">
        <f t="shared" si="119"/>
        <v>0</v>
      </c>
      <c r="U835" s="944"/>
      <c r="V835" s="945"/>
      <c r="W835" s="944"/>
      <c r="X835" s="944"/>
      <c r="Y835" s="755">
        <f t="shared" si="115"/>
        <v>0</v>
      </c>
      <c r="Z835" s="947"/>
      <c r="AA835" s="945"/>
      <c r="AB835" s="756">
        <f t="shared" si="116"/>
        <v>0</v>
      </c>
      <c r="AC835" s="944"/>
      <c r="AD835" s="945"/>
      <c r="AE835" s="944"/>
      <c r="AF835" s="944"/>
      <c r="AG835" s="947"/>
      <c r="AH835" s="948"/>
      <c r="AI835" s="757">
        <f t="shared" si="120"/>
        <v>0</v>
      </c>
      <c r="AJ835" s="758">
        <f t="shared" si="121"/>
        <v>0</v>
      </c>
    </row>
    <row r="836" spans="1:36" ht="14.25" x14ac:dyDescent="0.3">
      <c r="A836" s="934" t="s">
        <v>149</v>
      </c>
      <c r="B836" s="935" t="s">
        <v>281</v>
      </c>
      <c r="C836" s="957" t="s">
        <v>109</v>
      </c>
      <c r="D836" s="957"/>
      <c r="E836" s="951"/>
      <c r="F836" s="958"/>
      <c r="G836" s="944"/>
      <c r="H836" s="952"/>
      <c r="I836" s="942"/>
      <c r="J836" s="943"/>
      <c r="K836" s="944"/>
      <c r="L836" s="945"/>
      <c r="M836" s="944"/>
      <c r="N836" s="944"/>
      <c r="O836" s="752">
        <f t="shared" si="114"/>
        <v>0</v>
      </c>
      <c r="P836" s="943"/>
      <c r="Q836" s="952"/>
      <c r="R836" s="753">
        <f t="shared" si="117"/>
        <v>0</v>
      </c>
      <c r="S836" s="752">
        <f t="shared" si="118"/>
        <v>0</v>
      </c>
      <c r="T836" s="754">
        <f t="shared" si="119"/>
        <v>0</v>
      </c>
      <c r="U836" s="944"/>
      <c r="V836" s="945"/>
      <c r="W836" s="944"/>
      <c r="X836" s="944"/>
      <c r="Y836" s="755">
        <f t="shared" si="115"/>
        <v>0</v>
      </c>
      <c r="Z836" s="947"/>
      <c r="AA836" s="945"/>
      <c r="AB836" s="756">
        <f t="shared" si="116"/>
        <v>0</v>
      </c>
      <c r="AC836" s="944"/>
      <c r="AD836" s="945"/>
      <c r="AE836" s="944"/>
      <c r="AF836" s="944"/>
      <c r="AG836" s="947"/>
      <c r="AH836" s="948"/>
      <c r="AI836" s="757">
        <f t="shared" si="120"/>
        <v>0</v>
      </c>
      <c r="AJ836" s="758">
        <f t="shared" si="121"/>
        <v>0</v>
      </c>
    </row>
    <row r="837" spans="1:36" ht="14.25" x14ac:dyDescent="0.3">
      <c r="A837" s="934" t="s">
        <v>149</v>
      </c>
      <c r="B837" s="935" t="s">
        <v>282</v>
      </c>
      <c r="C837" s="955" t="s">
        <v>140</v>
      </c>
      <c r="D837" s="950"/>
      <c r="E837" s="951"/>
      <c r="F837" s="958"/>
      <c r="G837" s="944"/>
      <c r="H837" s="952"/>
      <c r="I837" s="942"/>
      <c r="J837" s="943"/>
      <c r="K837" s="944"/>
      <c r="L837" s="945"/>
      <c r="M837" s="944"/>
      <c r="N837" s="944"/>
      <c r="O837" s="752">
        <f t="shared" si="114"/>
        <v>0</v>
      </c>
      <c r="P837" s="943"/>
      <c r="Q837" s="952"/>
      <c r="R837" s="753">
        <f t="shared" si="117"/>
        <v>0</v>
      </c>
      <c r="S837" s="752">
        <f t="shared" si="118"/>
        <v>0</v>
      </c>
      <c r="T837" s="754">
        <f t="shared" si="119"/>
        <v>0</v>
      </c>
      <c r="U837" s="944"/>
      <c r="V837" s="945"/>
      <c r="W837" s="944"/>
      <c r="X837" s="944"/>
      <c r="Y837" s="755">
        <f t="shared" si="115"/>
        <v>0</v>
      </c>
      <c r="Z837" s="947"/>
      <c r="AA837" s="945"/>
      <c r="AB837" s="756">
        <f t="shared" si="116"/>
        <v>0</v>
      </c>
      <c r="AC837" s="944"/>
      <c r="AD837" s="945"/>
      <c r="AE837" s="944"/>
      <c r="AF837" s="944"/>
      <c r="AG837" s="947"/>
      <c r="AH837" s="948"/>
      <c r="AI837" s="757">
        <f t="shared" si="120"/>
        <v>0</v>
      </c>
      <c r="AJ837" s="758">
        <f t="shared" si="121"/>
        <v>0</v>
      </c>
    </row>
    <row r="838" spans="1:36" ht="14.25" x14ac:dyDescent="0.3">
      <c r="A838" s="934" t="s">
        <v>149</v>
      </c>
      <c r="B838" s="935" t="s">
        <v>282</v>
      </c>
      <c r="C838" s="949" t="s">
        <v>702</v>
      </c>
      <c r="D838" s="950"/>
      <c r="E838" s="951"/>
      <c r="F838" s="968"/>
      <c r="G838" s="944"/>
      <c r="H838" s="952"/>
      <c r="I838" s="942"/>
      <c r="J838" s="943"/>
      <c r="K838" s="944"/>
      <c r="L838" s="945"/>
      <c r="M838" s="944"/>
      <c r="N838" s="944"/>
      <c r="O838" s="752">
        <f t="shared" si="114"/>
        <v>0</v>
      </c>
      <c r="P838" s="943"/>
      <c r="Q838" s="952"/>
      <c r="R838" s="753">
        <f t="shared" si="117"/>
        <v>0</v>
      </c>
      <c r="S838" s="752">
        <f t="shared" si="118"/>
        <v>0</v>
      </c>
      <c r="T838" s="754">
        <f t="shared" si="119"/>
        <v>0</v>
      </c>
      <c r="U838" s="944">
        <v>6320950</v>
      </c>
      <c r="V838" s="953">
        <v>6550307</v>
      </c>
      <c r="W838" s="944"/>
      <c r="X838" s="944"/>
      <c r="Y838" s="755">
        <f t="shared" si="115"/>
        <v>0</v>
      </c>
      <c r="Z838" s="947"/>
      <c r="AA838" s="945"/>
      <c r="AB838" s="756">
        <f t="shared" si="116"/>
        <v>0</v>
      </c>
      <c r="AC838" s="944"/>
      <c r="AD838" s="945"/>
      <c r="AE838" s="944"/>
      <c r="AF838" s="944"/>
      <c r="AG838" s="947"/>
      <c r="AH838" s="948"/>
      <c r="AI838" s="757">
        <f t="shared" si="120"/>
        <v>6320950</v>
      </c>
      <c r="AJ838" s="758">
        <f t="shared" si="121"/>
        <v>6550307</v>
      </c>
    </row>
    <row r="839" spans="1:36" ht="14.25" x14ac:dyDescent="0.3">
      <c r="A839" s="934" t="s">
        <v>149</v>
      </c>
      <c r="B839" s="935" t="s">
        <v>284</v>
      </c>
      <c r="C839" s="955" t="s">
        <v>138</v>
      </c>
      <c r="D839" s="950"/>
      <c r="E839" s="951"/>
      <c r="F839" s="958"/>
      <c r="G839" s="944"/>
      <c r="H839" s="952"/>
      <c r="I839" s="942"/>
      <c r="J839" s="943"/>
      <c r="K839" s="944"/>
      <c r="L839" s="945"/>
      <c r="M839" s="944"/>
      <c r="N839" s="944"/>
      <c r="O839" s="752">
        <f t="shared" si="114"/>
        <v>0</v>
      </c>
      <c r="P839" s="943"/>
      <c r="Q839" s="952"/>
      <c r="R839" s="753">
        <f t="shared" si="117"/>
        <v>0</v>
      </c>
      <c r="S839" s="752">
        <f t="shared" si="118"/>
        <v>0</v>
      </c>
      <c r="T839" s="754">
        <f t="shared" si="119"/>
        <v>0</v>
      </c>
      <c r="U839" s="944"/>
      <c r="V839" s="945"/>
      <c r="W839" s="944"/>
      <c r="X839" s="944"/>
      <c r="Y839" s="755">
        <f t="shared" si="115"/>
        <v>0</v>
      </c>
      <c r="Z839" s="947"/>
      <c r="AA839" s="945"/>
      <c r="AB839" s="756">
        <f t="shared" si="116"/>
        <v>0</v>
      </c>
      <c r="AC839" s="944"/>
      <c r="AD839" s="945"/>
      <c r="AE839" s="944"/>
      <c r="AF839" s="944"/>
      <c r="AG839" s="947"/>
      <c r="AH839" s="948"/>
      <c r="AI839" s="757">
        <f t="shared" si="120"/>
        <v>0</v>
      </c>
      <c r="AJ839" s="758">
        <f t="shared" si="121"/>
        <v>0</v>
      </c>
    </row>
    <row r="840" spans="1:36" ht="14.25" x14ac:dyDescent="0.3">
      <c r="A840" s="934" t="s">
        <v>149</v>
      </c>
      <c r="B840" s="935" t="s">
        <v>284</v>
      </c>
      <c r="C840" s="949" t="s">
        <v>703</v>
      </c>
      <c r="D840" s="950"/>
      <c r="E840" s="951"/>
      <c r="F840" s="958"/>
      <c r="G840" s="944"/>
      <c r="H840" s="952"/>
      <c r="I840" s="942"/>
      <c r="J840" s="943"/>
      <c r="K840" s="944"/>
      <c r="L840" s="945"/>
      <c r="M840" s="944"/>
      <c r="N840" s="944"/>
      <c r="O840" s="752">
        <f t="shared" si="114"/>
        <v>0</v>
      </c>
      <c r="P840" s="943"/>
      <c r="Q840" s="952"/>
      <c r="R840" s="753">
        <f t="shared" si="117"/>
        <v>0</v>
      </c>
      <c r="S840" s="752">
        <f t="shared" si="118"/>
        <v>0</v>
      </c>
      <c r="T840" s="754">
        <f t="shared" si="119"/>
        <v>0</v>
      </c>
      <c r="U840" s="944">
        <v>206550</v>
      </c>
      <c r="V840" s="953">
        <v>193550</v>
      </c>
      <c r="W840" s="944"/>
      <c r="X840" s="944"/>
      <c r="Y840" s="755">
        <f t="shared" si="115"/>
        <v>0</v>
      </c>
      <c r="Z840" s="947"/>
      <c r="AA840" s="945"/>
      <c r="AB840" s="756">
        <f t="shared" si="116"/>
        <v>0</v>
      </c>
      <c r="AC840" s="944"/>
      <c r="AD840" s="945"/>
      <c r="AE840" s="944"/>
      <c r="AF840" s="944"/>
      <c r="AG840" s="947"/>
      <c r="AH840" s="948"/>
      <c r="AI840" s="757">
        <f t="shared" si="120"/>
        <v>206550</v>
      </c>
      <c r="AJ840" s="758">
        <f t="shared" si="121"/>
        <v>193550</v>
      </c>
    </row>
    <row r="841" spans="1:36" ht="14.25" x14ac:dyDescent="0.3">
      <c r="A841" s="934" t="s">
        <v>149</v>
      </c>
      <c r="B841" s="935" t="s">
        <v>285</v>
      </c>
      <c r="C841" s="955" t="s">
        <v>646</v>
      </c>
      <c r="D841" s="950"/>
      <c r="E841" s="951"/>
      <c r="F841" s="958"/>
      <c r="G841" s="944"/>
      <c r="H841" s="952"/>
      <c r="I841" s="942"/>
      <c r="J841" s="943"/>
      <c r="K841" s="944"/>
      <c r="L841" s="945"/>
      <c r="M841" s="944"/>
      <c r="N841" s="944"/>
      <c r="O841" s="752">
        <f t="shared" si="114"/>
        <v>0</v>
      </c>
      <c r="P841" s="943"/>
      <c r="Q841" s="952"/>
      <c r="R841" s="753">
        <f t="shared" si="117"/>
        <v>0</v>
      </c>
      <c r="S841" s="752">
        <f t="shared" si="118"/>
        <v>0</v>
      </c>
      <c r="T841" s="754">
        <f t="shared" si="119"/>
        <v>0</v>
      </c>
      <c r="U841" s="944"/>
      <c r="V841" s="953"/>
      <c r="W841" s="944"/>
      <c r="X841" s="944"/>
      <c r="Y841" s="755">
        <f t="shared" si="115"/>
        <v>0</v>
      </c>
      <c r="Z841" s="947"/>
      <c r="AA841" s="945"/>
      <c r="AB841" s="756">
        <f t="shared" si="116"/>
        <v>0</v>
      </c>
      <c r="AC841" s="944"/>
      <c r="AD841" s="945"/>
      <c r="AE841" s="944"/>
      <c r="AF841" s="944"/>
      <c r="AG841" s="947"/>
      <c r="AH841" s="948"/>
      <c r="AI841" s="757">
        <f t="shared" si="120"/>
        <v>0</v>
      </c>
      <c r="AJ841" s="758">
        <f t="shared" si="121"/>
        <v>0</v>
      </c>
    </row>
    <row r="842" spans="1:36" ht="14.25" x14ac:dyDescent="0.3">
      <c r="A842" s="934" t="s">
        <v>149</v>
      </c>
      <c r="B842" s="935" t="s">
        <v>286</v>
      </c>
      <c r="C842" s="957" t="s">
        <v>565</v>
      </c>
      <c r="D842" s="957"/>
      <c r="E842" s="951"/>
      <c r="F842" s="958"/>
      <c r="G842" s="944"/>
      <c r="H842" s="952"/>
      <c r="I842" s="942"/>
      <c r="J842" s="943"/>
      <c r="K842" s="944"/>
      <c r="L842" s="945"/>
      <c r="M842" s="944"/>
      <c r="N842" s="944"/>
      <c r="O842" s="752">
        <f t="shared" si="114"/>
        <v>0</v>
      </c>
      <c r="P842" s="943"/>
      <c r="Q842" s="952"/>
      <c r="R842" s="753">
        <f t="shared" si="117"/>
        <v>0</v>
      </c>
      <c r="S842" s="752">
        <f t="shared" si="118"/>
        <v>0</v>
      </c>
      <c r="T842" s="754">
        <f t="shared" si="119"/>
        <v>0</v>
      </c>
      <c r="U842" s="944"/>
      <c r="V842" s="945"/>
      <c r="W842" s="944"/>
      <c r="X842" s="944"/>
      <c r="Y842" s="755">
        <f t="shared" si="115"/>
        <v>0</v>
      </c>
      <c r="Z842" s="947"/>
      <c r="AA842" s="945"/>
      <c r="AB842" s="756">
        <f t="shared" si="116"/>
        <v>0</v>
      </c>
      <c r="AC842" s="944"/>
      <c r="AD842" s="945"/>
      <c r="AE842" s="944"/>
      <c r="AF842" s="944"/>
      <c r="AG842" s="947"/>
      <c r="AH842" s="948"/>
      <c r="AI842" s="757">
        <f t="shared" si="120"/>
        <v>0</v>
      </c>
      <c r="AJ842" s="758">
        <f t="shared" si="121"/>
        <v>0</v>
      </c>
    </row>
    <row r="843" spans="1:36" ht="14.25" x14ac:dyDescent="0.3">
      <c r="A843" s="934" t="s">
        <v>149</v>
      </c>
      <c r="B843" s="935" t="s">
        <v>286</v>
      </c>
      <c r="C843" s="949" t="s">
        <v>704</v>
      </c>
      <c r="D843" s="950"/>
      <c r="E843" s="951"/>
      <c r="F843" s="958"/>
      <c r="G843" s="944"/>
      <c r="H843" s="952"/>
      <c r="I843" s="942"/>
      <c r="J843" s="943"/>
      <c r="K843" s="944"/>
      <c r="L843" s="945"/>
      <c r="M843" s="944"/>
      <c r="N843" s="944"/>
      <c r="O843" s="752">
        <f t="shared" ref="O843:O906" si="122">SUM(M843:N843)</f>
        <v>0</v>
      </c>
      <c r="P843" s="943"/>
      <c r="Q843" s="952"/>
      <c r="R843" s="753">
        <f t="shared" si="117"/>
        <v>0</v>
      </c>
      <c r="S843" s="752">
        <f t="shared" si="118"/>
        <v>0</v>
      </c>
      <c r="T843" s="754">
        <f t="shared" si="119"/>
        <v>0</v>
      </c>
      <c r="U843" s="944"/>
      <c r="V843" s="945"/>
      <c r="W843" s="944"/>
      <c r="X843" s="944"/>
      <c r="Y843" s="755">
        <f t="shared" ref="Y843:Y906" si="123">SUM(W843:X843)</f>
        <v>0</v>
      </c>
      <c r="Z843" s="947"/>
      <c r="AA843" s="945"/>
      <c r="AB843" s="756">
        <f t="shared" ref="AB843:AB906" si="124">SUM(Z843:AA843)</f>
        <v>0</v>
      </c>
      <c r="AC843" s="944"/>
      <c r="AD843" s="945"/>
      <c r="AE843" s="944"/>
      <c r="AF843" s="944"/>
      <c r="AG843" s="947"/>
      <c r="AH843" s="948"/>
      <c r="AI843" s="757">
        <f t="shared" si="120"/>
        <v>0</v>
      </c>
      <c r="AJ843" s="758">
        <f t="shared" si="121"/>
        <v>0</v>
      </c>
    </row>
    <row r="844" spans="1:36" ht="14.25" x14ac:dyDescent="0.3">
      <c r="A844" s="934" t="s">
        <v>149</v>
      </c>
      <c r="B844" s="935" t="s">
        <v>286</v>
      </c>
      <c r="C844" s="949" t="s">
        <v>705</v>
      </c>
      <c r="D844" s="950"/>
      <c r="E844" s="951"/>
      <c r="F844" s="958"/>
      <c r="G844" s="944"/>
      <c r="H844" s="952"/>
      <c r="I844" s="942"/>
      <c r="J844" s="943"/>
      <c r="K844" s="944"/>
      <c r="L844" s="945"/>
      <c r="M844" s="944"/>
      <c r="N844" s="944"/>
      <c r="O844" s="752">
        <f t="shared" si="122"/>
        <v>0</v>
      </c>
      <c r="P844" s="943"/>
      <c r="Q844" s="952"/>
      <c r="R844" s="753">
        <f t="shared" ref="R844:R907" si="125">SUM(P844:Q844)</f>
        <v>0</v>
      </c>
      <c r="S844" s="752">
        <f t="shared" ref="S844:S907" si="126">SUM(G844,I844,K844,M844)</f>
        <v>0</v>
      </c>
      <c r="T844" s="754">
        <f t="shared" ref="T844:T907" si="127">SUM(H844,J844,L844,P844)</f>
        <v>0</v>
      </c>
      <c r="U844" s="944"/>
      <c r="V844" s="945"/>
      <c r="W844" s="944"/>
      <c r="X844" s="944"/>
      <c r="Y844" s="755">
        <f t="shared" si="123"/>
        <v>0</v>
      </c>
      <c r="Z844" s="947"/>
      <c r="AA844" s="945"/>
      <c r="AB844" s="756">
        <f t="shared" si="124"/>
        <v>0</v>
      </c>
      <c r="AC844" s="944"/>
      <c r="AD844" s="945"/>
      <c r="AE844" s="944"/>
      <c r="AF844" s="944"/>
      <c r="AG844" s="947"/>
      <c r="AH844" s="948"/>
      <c r="AI844" s="757">
        <f t="shared" ref="AI844:AI907" si="128">SUM(S844,U844,W844,AC844,AE844)</f>
        <v>0</v>
      </c>
      <c r="AJ844" s="758">
        <f t="shared" ref="AJ844:AJ907" si="129">SUM(T844,V844,Z844,AD844,AG844)</f>
        <v>0</v>
      </c>
    </row>
    <row r="845" spans="1:36" ht="14.25" x14ac:dyDescent="0.3">
      <c r="A845" s="934" t="s">
        <v>149</v>
      </c>
      <c r="B845" s="935" t="s">
        <v>286</v>
      </c>
      <c r="C845" s="949" t="s">
        <v>706</v>
      </c>
      <c r="D845" s="950"/>
      <c r="E845" s="951"/>
      <c r="F845" s="958"/>
      <c r="G845" s="944"/>
      <c r="H845" s="952"/>
      <c r="I845" s="942"/>
      <c r="J845" s="943"/>
      <c r="K845" s="944"/>
      <c r="L845" s="945"/>
      <c r="M845" s="944"/>
      <c r="N845" s="944"/>
      <c r="O845" s="752">
        <f t="shared" si="122"/>
        <v>0</v>
      </c>
      <c r="P845" s="943"/>
      <c r="Q845" s="952"/>
      <c r="R845" s="753">
        <f t="shared" si="125"/>
        <v>0</v>
      </c>
      <c r="S845" s="752">
        <f t="shared" si="126"/>
        <v>0</v>
      </c>
      <c r="T845" s="754">
        <f t="shared" si="127"/>
        <v>0</v>
      </c>
      <c r="U845" s="944">
        <v>1040409</v>
      </c>
      <c r="V845" s="953">
        <v>1425747</v>
      </c>
      <c r="W845" s="944"/>
      <c r="X845" s="944"/>
      <c r="Y845" s="755">
        <f t="shared" si="123"/>
        <v>0</v>
      </c>
      <c r="Z845" s="947"/>
      <c r="AA845" s="945"/>
      <c r="AB845" s="756">
        <f t="shared" si="124"/>
        <v>0</v>
      </c>
      <c r="AC845" s="944"/>
      <c r="AD845" s="945"/>
      <c r="AE845" s="944"/>
      <c r="AF845" s="944"/>
      <c r="AG845" s="947"/>
      <c r="AH845" s="948"/>
      <c r="AI845" s="757">
        <f t="shared" si="128"/>
        <v>1040409</v>
      </c>
      <c r="AJ845" s="758">
        <f t="shared" si="129"/>
        <v>1425747</v>
      </c>
    </row>
    <row r="846" spans="1:36" ht="14.25" x14ac:dyDescent="0.3">
      <c r="A846" s="934" t="s">
        <v>149</v>
      </c>
      <c r="B846" s="935" t="s">
        <v>286</v>
      </c>
      <c r="C846" s="949" t="s">
        <v>707</v>
      </c>
      <c r="D846" s="950"/>
      <c r="E846" s="951"/>
      <c r="F846" s="958"/>
      <c r="G846" s="944"/>
      <c r="H846" s="952"/>
      <c r="I846" s="942"/>
      <c r="J846" s="943"/>
      <c r="K846" s="944"/>
      <c r="L846" s="945"/>
      <c r="M846" s="944"/>
      <c r="N846" s="944"/>
      <c r="O846" s="752">
        <f t="shared" si="122"/>
        <v>0</v>
      </c>
      <c r="P846" s="943"/>
      <c r="Q846" s="952"/>
      <c r="R846" s="753">
        <f t="shared" si="125"/>
        <v>0</v>
      </c>
      <c r="S846" s="752">
        <f t="shared" si="126"/>
        <v>0</v>
      </c>
      <c r="T846" s="754">
        <f t="shared" si="127"/>
        <v>0</v>
      </c>
      <c r="U846" s="944"/>
      <c r="V846" s="945"/>
      <c r="W846" s="944"/>
      <c r="X846" s="944"/>
      <c r="Y846" s="755">
        <f t="shared" si="123"/>
        <v>0</v>
      </c>
      <c r="Z846" s="947"/>
      <c r="AA846" s="945"/>
      <c r="AB846" s="756">
        <f t="shared" si="124"/>
        <v>0</v>
      </c>
      <c r="AC846" s="944"/>
      <c r="AD846" s="945"/>
      <c r="AE846" s="944"/>
      <c r="AF846" s="944"/>
      <c r="AG846" s="947"/>
      <c r="AH846" s="948"/>
      <c r="AI846" s="757">
        <f t="shared" si="128"/>
        <v>0</v>
      </c>
      <c r="AJ846" s="758">
        <f t="shared" si="129"/>
        <v>0</v>
      </c>
    </row>
    <row r="847" spans="1:36" ht="14.25" x14ac:dyDescent="0.3">
      <c r="A847" s="934" t="s">
        <v>149</v>
      </c>
      <c r="B847" s="935" t="s">
        <v>286</v>
      </c>
      <c r="C847" s="949" t="s">
        <v>708</v>
      </c>
      <c r="D847" s="950"/>
      <c r="E847" s="951"/>
      <c r="F847" s="958"/>
      <c r="G847" s="944"/>
      <c r="H847" s="952"/>
      <c r="I847" s="942"/>
      <c r="J847" s="943"/>
      <c r="K847" s="944"/>
      <c r="L847" s="945"/>
      <c r="M847" s="944"/>
      <c r="N847" s="944"/>
      <c r="O847" s="752">
        <f t="shared" si="122"/>
        <v>0</v>
      </c>
      <c r="P847" s="943"/>
      <c r="Q847" s="952"/>
      <c r="R847" s="753">
        <f t="shared" si="125"/>
        <v>0</v>
      </c>
      <c r="S847" s="752">
        <f t="shared" si="126"/>
        <v>0</v>
      </c>
      <c r="T847" s="754">
        <f t="shared" si="127"/>
        <v>0</v>
      </c>
      <c r="U847" s="944">
        <v>3460111</v>
      </c>
      <c r="V847" s="953">
        <v>3960111</v>
      </c>
      <c r="W847" s="944"/>
      <c r="X847" s="944"/>
      <c r="Y847" s="755">
        <f t="shared" si="123"/>
        <v>0</v>
      </c>
      <c r="Z847" s="947"/>
      <c r="AA847" s="945"/>
      <c r="AB847" s="756">
        <f t="shared" si="124"/>
        <v>0</v>
      </c>
      <c r="AC847" s="944"/>
      <c r="AD847" s="945"/>
      <c r="AE847" s="944"/>
      <c r="AF847" s="944"/>
      <c r="AG847" s="947"/>
      <c r="AH847" s="948"/>
      <c r="AI847" s="757">
        <f t="shared" si="128"/>
        <v>3460111</v>
      </c>
      <c r="AJ847" s="758">
        <f t="shared" si="129"/>
        <v>3960111</v>
      </c>
    </row>
    <row r="848" spans="1:36" ht="14.25" x14ac:dyDescent="0.3">
      <c r="A848" s="934" t="s">
        <v>149</v>
      </c>
      <c r="B848" s="935" t="s">
        <v>286</v>
      </c>
      <c r="C848" s="949" t="s">
        <v>709</v>
      </c>
      <c r="D848" s="950"/>
      <c r="E848" s="951"/>
      <c r="F848" s="958"/>
      <c r="G848" s="944"/>
      <c r="H848" s="952"/>
      <c r="I848" s="942"/>
      <c r="J848" s="943"/>
      <c r="K848" s="944"/>
      <c r="L848" s="945"/>
      <c r="M848" s="944"/>
      <c r="N848" s="944"/>
      <c r="O848" s="752">
        <f t="shared" si="122"/>
        <v>0</v>
      </c>
      <c r="P848" s="943"/>
      <c r="Q848" s="952"/>
      <c r="R848" s="753">
        <f t="shared" si="125"/>
        <v>0</v>
      </c>
      <c r="S848" s="752">
        <f t="shared" si="126"/>
        <v>0</v>
      </c>
      <c r="T848" s="754">
        <f t="shared" si="127"/>
        <v>0</v>
      </c>
      <c r="U848" s="944">
        <v>2749526</v>
      </c>
      <c r="V848" s="953">
        <v>2929526</v>
      </c>
      <c r="W848" s="944"/>
      <c r="X848" s="944"/>
      <c r="Y848" s="755">
        <f t="shared" si="123"/>
        <v>0</v>
      </c>
      <c r="Z848" s="947"/>
      <c r="AA848" s="945"/>
      <c r="AB848" s="756">
        <f t="shared" si="124"/>
        <v>0</v>
      </c>
      <c r="AC848" s="944"/>
      <c r="AD848" s="945"/>
      <c r="AE848" s="944"/>
      <c r="AF848" s="944"/>
      <c r="AG848" s="947"/>
      <c r="AH848" s="948"/>
      <c r="AI848" s="757">
        <f t="shared" si="128"/>
        <v>2749526</v>
      </c>
      <c r="AJ848" s="758">
        <f t="shared" si="129"/>
        <v>2929526</v>
      </c>
    </row>
    <row r="849" spans="1:36" ht="14.25" x14ac:dyDescent="0.3">
      <c r="A849" s="934" t="s">
        <v>149</v>
      </c>
      <c r="B849" s="935" t="s">
        <v>286</v>
      </c>
      <c r="C849" s="949" t="s">
        <v>710</v>
      </c>
      <c r="D849" s="950"/>
      <c r="E849" s="951"/>
      <c r="F849" s="958"/>
      <c r="G849" s="944"/>
      <c r="H849" s="952"/>
      <c r="I849" s="942"/>
      <c r="J849" s="943"/>
      <c r="K849" s="944"/>
      <c r="L849" s="945"/>
      <c r="M849" s="944"/>
      <c r="N849" s="944"/>
      <c r="O849" s="752">
        <f t="shared" si="122"/>
        <v>0</v>
      </c>
      <c r="P849" s="943"/>
      <c r="Q849" s="952"/>
      <c r="R849" s="753">
        <f t="shared" si="125"/>
        <v>0</v>
      </c>
      <c r="S849" s="752">
        <f t="shared" si="126"/>
        <v>0</v>
      </c>
      <c r="T849" s="754">
        <f t="shared" si="127"/>
        <v>0</v>
      </c>
      <c r="U849" s="944">
        <v>3032048</v>
      </c>
      <c r="V849" s="953">
        <v>3532048</v>
      </c>
      <c r="W849" s="944"/>
      <c r="X849" s="944"/>
      <c r="Y849" s="755">
        <f t="shared" si="123"/>
        <v>0</v>
      </c>
      <c r="Z849" s="947"/>
      <c r="AA849" s="945"/>
      <c r="AB849" s="756">
        <f t="shared" si="124"/>
        <v>0</v>
      </c>
      <c r="AC849" s="944"/>
      <c r="AD849" s="945"/>
      <c r="AE849" s="944"/>
      <c r="AF849" s="944"/>
      <c r="AG849" s="945"/>
      <c r="AH849" s="948"/>
      <c r="AI849" s="757">
        <f t="shared" si="128"/>
        <v>3032048</v>
      </c>
      <c r="AJ849" s="758">
        <f t="shared" si="129"/>
        <v>3532048</v>
      </c>
    </row>
    <row r="850" spans="1:36" ht="14.25" x14ac:dyDescent="0.3">
      <c r="A850" s="934" t="s">
        <v>149</v>
      </c>
      <c r="B850" s="935" t="s">
        <v>286</v>
      </c>
      <c r="C850" s="949" t="s">
        <v>711</v>
      </c>
      <c r="D850" s="950"/>
      <c r="E850" s="951"/>
      <c r="F850" s="958"/>
      <c r="G850" s="944"/>
      <c r="H850" s="952"/>
      <c r="I850" s="942"/>
      <c r="J850" s="943"/>
      <c r="K850" s="944"/>
      <c r="L850" s="945"/>
      <c r="M850" s="944"/>
      <c r="N850" s="944"/>
      <c r="O850" s="752">
        <f t="shared" si="122"/>
        <v>0</v>
      </c>
      <c r="P850" s="943"/>
      <c r="Q850" s="952"/>
      <c r="R850" s="753">
        <f t="shared" si="125"/>
        <v>0</v>
      </c>
      <c r="S850" s="752">
        <f t="shared" si="126"/>
        <v>0</v>
      </c>
      <c r="T850" s="754">
        <f t="shared" si="127"/>
        <v>0</v>
      </c>
      <c r="U850" s="944">
        <v>119858</v>
      </c>
      <c r="V850" s="953">
        <v>519858</v>
      </c>
      <c r="W850" s="944"/>
      <c r="X850" s="944"/>
      <c r="Y850" s="755">
        <f t="shared" si="123"/>
        <v>0</v>
      </c>
      <c r="Z850" s="947"/>
      <c r="AA850" s="945"/>
      <c r="AB850" s="756">
        <f t="shared" si="124"/>
        <v>0</v>
      </c>
      <c r="AC850" s="944"/>
      <c r="AD850" s="945"/>
      <c r="AE850" s="944"/>
      <c r="AF850" s="944"/>
      <c r="AG850" s="947"/>
      <c r="AH850" s="948"/>
      <c r="AI850" s="757">
        <f t="shared" si="128"/>
        <v>119858</v>
      </c>
      <c r="AJ850" s="758">
        <f t="shared" si="129"/>
        <v>519858</v>
      </c>
    </row>
    <row r="851" spans="1:36" ht="14.25" x14ac:dyDescent="0.3">
      <c r="A851" s="934" t="s">
        <v>149</v>
      </c>
      <c r="B851" s="935" t="s">
        <v>287</v>
      </c>
      <c r="C851" s="957" t="s">
        <v>570</v>
      </c>
      <c r="D851" s="957"/>
      <c r="E851" s="951"/>
      <c r="F851" s="958"/>
      <c r="G851" s="944"/>
      <c r="H851" s="952"/>
      <c r="I851" s="942"/>
      <c r="J851" s="943"/>
      <c r="K851" s="944"/>
      <c r="L851" s="945"/>
      <c r="M851" s="944"/>
      <c r="N851" s="944"/>
      <c r="O851" s="752">
        <f t="shared" si="122"/>
        <v>0</v>
      </c>
      <c r="P851" s="943"/>
      <c r="Q851" s="952"/>
      <c r="R851" s="753">
        <f t="shared" si="125"/>
        <v>0</v>
      </c>
      <c r="S851" s="752">
        <f t="shared" si="126"/>
        <v>0</v>
      </c>
      <c r="T851" s="754">
        <f t="shared" si="127"/>
        <v>0</v>
      </c>
      <c r="U851" s="944"/>
      <c r="V851" s="953"/>
      <c r="W851" s="944"/>
      <c r="X851" s="944"/>
      <c r="Y851" s="755">
        <f t="shared" si="123"/>
        <v>0</v>
      </c>
      <c r="Z851" s="947"/>
      <c r="AA851" s="945"/>
      <c r="AB851" s="756">
        <f t="shared" si="124"/>
        <v>0</v>
      </c>
      <c r="AC851" s="944"/>
      <c r="AD851" s="945"/>
      <c r="AE851" s="944"/>
      <c r="AF851" s="944"/>
      <c r="AG851" s="947"/>
      <c r="AH851" s="948"/>
      <c r="AI851" s="757">
        <f t="shared" si="128"/>
        <v>0</v>
      </c>
      <c r="AJ851" s="758">
        <f t="shared" si="129"/>
        <v>0</v>
      </c>
    </row>
    <row r="852" spans="1:36" ht="14.25" x14ac:dyDescent="0.3">
      <c r="A852" s="934" t="s">
        <v>149</v>
      </c>
      <c r="B852" s="935" t="s">
        <v>288</v>
      </c>
      <c r="C852" s="955" t="s">
        <v>571</v>
      </c>
      <c r="D852" s="950"/>
      <c r="E852" s="951"/>
      <c r="F852" s="958"/>
      <c r="G852" s="944"/>
      <c r="H852" s="952"/>
      <c r="I852" s="942"/>
      <c r="J852" s="943"/>
      <c r="K852" s="944"/>
      <c r="L852" s="945"/>
      <c r="M852" s="944"/>
      <c r="N852" s="944"/>
      <c r="O852" s="752">
        <f t="shared" si="122"/>
        <v>0</v>
      </c>
      <c r="P852" s="943"/>
      <c r="Q852" s="952"/>
      <c r="R852" s="753">
        <f t="shared" si="125"/>
        <v>0</v>
      </c>
      <c r="S852" s="752">
        <f t="shared" si="126"/>
        <v>0</v>
      </c>
      <c r="T852" s="754">
        <f t="shared" si="127"/>
        <v>0</v>
      </c>
      <c r="U852" s="944"/>
      <c r="V852" s="945"/>
      <c r="W852" s="944"/>
      <c r="X852" s="944"/>
      <c r="Y852" s="755">
        <f t="shared" si="123"/>
        <v>0</v>
      </c>
      <c r="Z852" s="947"/>
      <c r="AA852" s="945"/>
      <c r="AB852" s="756">
        <f t="shared" si="124"/>
        <v>0</v>
      </c>
      <c r="AC852" s="944"/>
      <c r="AD852" s="945"/>
      <c r="AE852" s="944"/>
      <c r="AF852" s="944"/>
      <c r="AG852" s="947"/>
      <c r="AH852" s="948"/>
      <c r="AI852" s="757">
        <f t="shared" si="128"/>
        <v>0</v>
      </c>
      <c r="AJ852" s="758">
        <f t="shared" si="129"/>
        <v>0</v>
      </c>
    </row>
    <row r="853" spans="1:36" ht="14.25" x14ac:dyDescent="0.3">
      <c r="A853" s="934" t="s">
        <v>149</v>
      </c>
      <c r="B853" s="935" t="s">
        <v>289</v>
      </c>
      <c r="C853" s="955" t="s">
        <v>573</v>
      </c>
      <c r="D853" s="950"/>
      <c r="E853" s="951"/>
      <c r="F853" s="958"/>
      <c r="G853" s="944"/>
      <c r="H853" s="952"/>
      <c r="I853" s="942"/>
      <c r="J853" s="943"/>
      <c r="K853" s="944"/>
      <c r="L853" s="945"/>
      <c r="M853" s="944"/>
      <c r="N853" s="944"/>
      <c r="O853" s="752">
        <f t="shared" si="122"/>
        <v>0</v>
      </c>
      <c r="P853" s="943"/>
      <c r="Q853" s="952"/>
      <c r="R853" s="753">
        <f t="shared" si="125"/>
        <v>0</v>
      </c>
      <c r="S853" s="752">
        <f t="shared" si="126"/>
        <v>0</v>
      </c>
      <c r="T853" s="754">
        <f t="shared" si="127"/>
        <v>0</v>
      </c>
      <c r="U853" s="944"/>
      <c r="V853" s="945"/>
      <c r="W853" s="944"/>
      <c r="X853" s="944"/>
      <c r="Y853" s="755">
        <f t="shared" si="123"/>
        <v>0</v>
      </c>
      <c r="Z853" s="947"/>
      <c r="AA853" s="945"/>
      <c r="AB853" s="756">
        <f t="shared" si="124"/>
        <v>0</v>
      </c>
      <c r="AC853" s="944"/>
      <c r="AD853" s="945"/>
      <c r="AE853" s="944"/>
      <c r="AF853" s="944"/>
      <c r="AG853" s="947"/>
      <c r="AH853" s="948"/>
      <c r="AI853" s="757">
        <f t="shared" si="128"/>
        <v>0</v>
      </c>
      <c r="AJ853" s="758">
        <f t="shared" si="129"/>
        <v>0</v>
      </c>
    </row>
    <row r="854" spans="1:36" ht="14.25" x14ac:dyDescent="0.3">
      <c r="A854" s="934" t="s">
        <v>149</v>
      </c>
      <c r="B854" s="935" t="s">
        <v>290</v>
      </c>
      <c r="C854" s="955" t="s">
        <v>137</v>
      </c>
      <c r="D854" s="950"/>
      <c r="E854" s="951"/>
      <c r="F854" s="958"/>
      <c r="G854" s="944"/>
      <c r="H854" s="952"/>
      <c r="I854" s="942"/>
      <c r="J854" s="943"/>
      <c r="K854" s="944"/>
      <c r="L854" s="945"/>
      <c r="M854" s="944"/>
      <c r="N854" s="944"/>
      <c r="O854" s="752">
        <f t="shared" si="122"/>
        <v>0</v>
      </c>
      <c r="P854" s="943"/>
      <c r="Q854" s="952"/>
      <c r="R854" s="753">
        <f t="shared" si="125"/>
        <v>0</v>
      </c>
      <c r="S854" s="752">
        <f t="shared" si="126"/>
        <v>0</v>
      </c>
      <c r="T854" s="754">
        <f t="shared" si="127"/>
        <v>0</v>
      </c>
      <c r="U854" s="944"/>
      <c r="V854" s="945"/>
      <c r="W854" s="944"/>
      <c r="X854" s="944"/>
      <c r="Y854" s="755">
        <f t="shared" si="123"/>
        <v>0</v>
      </c>
      <c r="Z854" s="947"/>
      <c r="AA854" s="945"/>
      <c r="AB854" s="756">
        <f t="shared" si="124"/>
        <v>0</v>
      </c>
      <c r="AC854" s="944"/>
      <c r="AD854" s="945"/>
      <c r="AE854" s="944"/>
      <c r="AF854" s="944"/>
      <c r="AG854" s="947"/>
      <c r="AH854" s="948"/>
      <c r="AI854" s="757">
        <f t="shared" si="128"/>
        <v>0</v>
      </c>
      <c r="AJ854" s="758">
        <f t="shared" si="129"/>
        <v>0</v>
      </c>
    </row>
    <row r="855" spans="1:36" ht="14.25" x14ac:dyDescent="0.3">
      <c r="A855" s="934" t="s">
        <v>149</v>
      </c>
      <c r="B855" s="935" t="s">
        <v>290</v>
      </c>
      <c r="C855" s="949" t="s">
        <v>712</v>
      </c>
      <c r="D855" s="950"/>
      <c r="E855" s="951"/>
      <c r="F855" s="958"/>
      <c r="G855" s="944"/>
      <c r="H855" s="952"/>
      <c r="I855" s="942"/>
      <c r="J855" s="943"/>
      <c r="K855" s="944"/>
      <c r="L855" s="945"/>
      <c r="M855" s="944"/>
      <c r="N855" s="944"/>
      <c r="O855" s="752">
        <f t="shared" si="122"/>
        <v>0</v>
      </c>
      <c r="P855" s="943"/>
      <c r="Q855" s="952"/>
      <c r="R855" s="753">
        <f t="shared" si="125"/>
        <v>0</v>
      </c>
      <c r="S855" s="752">
        <f t="shared" si="126"/>
        <v>0</v>
      </c>
      <c r="T855" s="754">
        <f t="shared" si="127"/>
        <v>0</v>
      </c>
      <c r="U855" s="944">
        <v>100000</v>
      </c>
      <c r="V855" s="945"/>
      <c r="W855" s="944"/>
      <c r="X855" s="944"/>
      <c r="Y855" s="755">
        <f t="shared" si="123"/>
        <v>0</v>
      </c>
      <c r="Z855" s="947"/>
      <c r="AA855" s="945"/>
      <c r="AB855" s="756">
        <f t="shared" si="124"/>
        <v>0</v>
      </c>
      <c r="AC855" s="944"/>
      <c r="AD855" s="945"/>
      <c r="AE855" s="944"/>
      <c r="AF855" s="944"/>
      <c r="AG855" s="947"/>
      <c r="AH855" s="948"/>
      <c r="AI855" s="757">
        <f t="shared" si="128"/>
        <v>100000</v>
      </c>
      <c r="AJ855" s="758">
        <f t="shared" si="129"/>
        <v>0</v>
      </c>
    </row>
    <row r="856" spans="1:36" ht="14.25" x14ac:dyDescent="0.3">
      <c r="A856" s="934" t="s">
        <v>149</v>
      </c>
      <c r="B856" s="935" t="s">
        <v>290</v>
      </c>
      <c r="C856" s="949" t="s">
        <v>713</v>
      </c>
      <c r="D856" s="950"/>
      <c r="E856" s="951"/>
      <c r="F856" s="958"/>
      <c r="G856" s="944"/>
      <c r="H856" s="952"/>
      <c r="I856" s="942"/>
      <c r="J856" s="943"/>
      <c r="K856" s="944"/>
      <c r="L856" s="945"/>
      <c r="M856" s="944"/>
      <c r="N856" s="944"/>
      <c r="O856" s="752">
        <f t="shared" si="122"/>
        <v>0</v>
      </c>
      <c r="P856" s="943"/>
      <c r="Q856" s="952"/>
      <c r="R856" s="753">
        <f t="shared" si="125"/>
        <v>0</v>
      </c>
      <c r="S856" s="752">
        <f t="shared" si="126"/>
        <v>0</v>
      </c>
      <c r="T856" s="754">
        <f t="shared" si="127"/>
        <v>0</v>
      </c>
      <c r="U856" s="944">
        <v>39214</v>
      </c>
      <c r="V856" s="945">
        <v>39214</v>
      </c>
      <c r="W856" s="944"/>
      <c r="X856" s="944"/>
      <c r="Y856" s="755">
        <f t="shared" si="123"/>
        <v>0</v>
      </c>
      <c r="Z856" s="947"/>
      <c r="AA856" s="945"/>
      <c r="AB856" s="756">
        <f t="shared" si="124"/>
        <v>0</v>
      </c>
      <c r="AC856" s="944"/>
      <c r="AD856" s="945"/>
      <c r="AE856" s="944"/>
      <c r="AF856" s="944"/>
      <c r="AG856" s="947"/>
      <c r="AH856" s="948"/>
      <c r="AI856" s="757">
        <f t="shared" si="128"/>
        <v>39214</v>
      </c>
      <c r="AJ856" s="758">
        <f t="shared" si="129"/>
        <v>39214</v>
      </c>
    </row>
    <row r="857" spans="1:36" ht="14.25" x14ac:dyDescent="0.3">
      <c r="A857" s="934" t="s">
        <v>149</v>
      </c>
      <c r="B857" s="935" t="s">
        <v>290</v>
      </c>
      <c r="C857" s="949" t="s">
        <v>714</v>
      </c>
      <c r="D857" s="950"/>
      <c r="E857" s="951"/>
      <c r="F857" s="958"/>
      <c r="G857" s="944"/>
      <c r="H857" s="952"/>
      <c r="I857" s="942"/>
      <c r="J857" s="943"/>
      <c r="K857" s="944"/>
      <c r="L857" s="945"/>
      <c r="M857" s="944"/>
      <c r="N857" s="944"/>
      <c r="O857" s="752">
        <f t="shared" si="122"/>
        <v>0</v>
      </c>
      <c r="P857" s="943"/>
      <c r="Q857" s="952"/>
      <c r="R857" s="753">
        <f t="shared" si="125"/>
        <v>0</v>
      </c>
      <c r="S857" s="752">
        <f t="shared" si="126"/>
        <v>0</v>
      </c>
      <c r="T857" s="754">
        <f t="shared" si="127"/>
        <v>0</v>
      </c>
      <c r="U857" s="944">
        <v>1000000</v>
      </c>
      <c r="V857" s="953">
        <v>500000</v>
      </c>
      <c r="W857" s="944"/>
      <c r="X857" s="944"/>
      <c r="Y857" s="755">
        <f t="shared" si="123"/>
        <v>0</v>
      </c>
      <c r="Z857" s="947"/>
      <c r="AA857" s="945"/>
      <c r="AB857" s="756">
        <f t="shared" si="124"/>
        <v>0</v>
      </c>
      <c r="AC857" s="944"/>
      <c r="AD857" s="945"/>
      <c r="AE857" s="944"/>
      <c r="AF857" s="944"/>
      <c r="AG857" s="947"/>
      <c r="AH857" s="948"/>
      <c r="AI857" s="757">
        <f t="shared" si="128"/>
        <v>1000000</v>
      </c>
      <c r="AJ857" s="758">
        <f t="shared" si="129"/>
        <v>500000</v>
      </c>
    </row>
    <row r="858" spans="1:36" ht="14.25" x14ac:dyDescent="0.3">
      <c r="A858" s="934" t="s">
        <v>149</v>
      </c>
      <c r="B858" s="935" t="s">
        <v>290</v>
      </c>
      <c r="C858" s="949" t="s">
        <v>715</v>
      </c>
      <c r="D858" s="950"/>
      <c r="E858" s="951"/>
      <c r="F858" s="958"/>
      <c r="G858" s="944"/>
      <c r="H858" s="952"/>
      <c r="I858" s="942"/>
      <c r="J858" s="943"/>
      <c r="K858" s="944"/>
      <c r="L858" s="945"/>
      <c r="M858" s="944"/>
      <c r="N858" s="944"/>
      <c r="O858" s="752">
        <f t="shared" si="122"/>
        <v>0</v>
      </c>
      <c r="P858" s="943"/>
      <c r="Q858" s="952"/>
      <c r="R858" s="753">
        <f t="shared" si="125"/>
        <v>0</v>
      </c>
      <c r="S858" s="752">
        <f t="shared" si="126"/>
        <v>0</v>
      </c>
      <c r="T858" s="754">
        <f t="shared" si="127"/>
        <v>0</v>
      </c>
      <c r="U858" s="944">
        <v>523520</v>
      </c>
      <c r="V858" s="953">
        <v>705000</v>
      </c>
      <c r="W858" s="944"/>
      <c r="X858" s="944"/>
      <c r="Y858" s="755">
        <f t="shared" si="123"/>
        <v>0</v>
      </c>
      <c r="Z858" s="947"/>
      <c r="AA858" s="945"/>
      <c r="AB858" s="756">
        <f t="shared" si="124"/>
        <v>0</v>
      </c>
      <c r="AC858" s="944"/>
      <c r="AD858" s="945"/>
      <c r="AE858" s="944"/>
      <c r="AF858" s="944"/>
      <c r="AG858" s="947"/>
      <c r="AH858" s="948"/>
      <c r="AI858" s="757">
        <f t="shared" si="128"/>
        <v>523520</v>
      </c>
      <c r="AJ858" s="758">
        <f t="shared" si="129"/>
        <v>705000</v>
      </c>
    </row>
    <row r="859" spans="1:36" ht="14.25" x14ac:dyDescent="0.3">
      <c r="A859" s="934" t="s">
        <v>149</v>
      </c>
      <c r="B859" s="935" t="s">
        <v>290</v>
      </c>
      <c r="C859" s="949" t="s">
        <v>716</v>
      </c>
      <c r="D859" s="950"/>
      <c r="E859" s="951"/>
      <c r="F859" s="958"/>
      <c r="G859" s="944"/>
      <c r="H859" s="952"/>
      <c r="I859" s="942"/>
      <c r="J859" s="943"/>
      <c r="K859" s="944"/>
      <c r="L859" s="945"/>
      <c r="M859" s="944"/>
      <c r="N859" s="944"/>
      <c r="O859" s="752">
        <f t="shared" si="122"/>
        <v>0</v>
      </c>
      <c r="P859" s="943"/>
      <c r="Q859" s="952"/>
      <c r="R859" s="753">
        <f t="shared" si="125"/>
        <v>0</v>
      </c>
      <c r="S859" s="752">
        <f t="shared" si="126"/>
        <v>0</v>
      </c>
      <c r="T859" s="754">
        <f t="shared" si="127"/>
        <v>0</v>
      </c>
      <c r="U859" s="944">
        <v>1018050</v>
      </c>
      <c r="V859" s="953">
        <v>1691010</v>
      </c>
      <c r="W859" s="944"/>
      <c r="X859" s="944"/>
      <c r="Y859" s="755">
        <f t="shared" si="123"/>
        <v>0</v>
      </c>
      <c r="Z859" s="947"/>
      <c r="AA859" s="945"/>
      <c r="AB859" s="756">
        <f t="shared" si="124"/>
        <v>0</v>
      </c>
      <c r="AC859" s="944"/>
      <c r="AD859" s="945"/>
      <c r="AE859" s="944"/>
      <c r="AF859" s="944"/>
      <c r="AG859" s="947"/>
      <c r="AH859" s="948"/>
      <c r="AI859" s="757">
        <f t="shared" si="128"/>
        <v>1018050</v>
      </c>
      <c r="AJ859" s="758">
        <f t="shared" si="129"/>
        <v>1691010</v>
      </c>
    </row>
    <row r="860" spans="1:36" ht="14.25" x14ac:dyDescent="0.3">
      <c r="A860" s="934" t="s">
        <v>149</v>
      </c>
      <c r="B860" s="935" t="s">
        <v>291</v>
      </c>
      <c r="C860" s="957" t="s">
        <v>574</v>
      </c>
      <c r="D860" s="957"/>
      <c r="E860" s="951"/>
      <c r="F860" s="958"/>
      <c r="G860" s="944"/>
      <c r="H860" s="952"/>
      <c r="I860" s="942"/>
      <c r="J860" s="943"/>
      <c r="K860" s="944"/>
      <c r="L860" s="945"/>
      <c r="M860" s="944"/>
      <c r="N860" s="944"/>
      <c r="O860" s="752">
        <f t="shared" si="122"/>
        <v>0</v>
      </c>
      <c r="P860" s="943"/>
      <c r="Q860" s="952"/>
      <c r="R860" s="753">
        <f t="shared" si="125"/>
        <v>0</v>
      </c>
      <c r="S860" s="752">
        <f t="shared" si="126"/>
        <v>0</v>
      </c>
      <c r="T860" s="754">
        <f t="shared" si="127"/>
        <v>0</v>
      </c>
      <c r="U860" s="944"/>
      <c r="V860" s="953"/>
      <c r="W860" s="944"/>
      <c r="X860" s="944"/>
      <c r="Y860" s="755">
        <f t="shared" si="123"/>
        <v>0</v>
      </c>
      <c r="Z860" s="947"/>
      <c r="AA860" s="945"/>
      <c r="AB860" s="756">
        <f t="shared" si="124"/>
        <v>0</v>
      </c>
      <c r="AC860" s="944"/>
      <c r="AD860" s="945"/>
      <c r="AE860" s="944"/>
      <c r="AF860" s="944"/>
      <c r="AG860" s="947"/>
      <c r="AH860" s="948"/>
      <c r="AI860" s="757">
        <f t="shared" si="128"/>
        <v>0</v>
      </c>
      <c r="AJ860" s="758">
        <f t="shared" si="129"/>
        <v>0</v>
      </c>
    </row>
    <row r="861" spans="1:36" ht="14.25" x14ac:dyDescent="0.3">
      <c r="A861" s="934" t="s">
        <v>149</v>
      </c>
      <c r="B861" s="935" t="s">
        <v>292</v>
      </c>
      <c r="C861" s="969" t="s">
        <v>34</v>
      </c>
      <c r="D861" s="970"/>
      <c r="E861" s="951"/>
      <c r="F861" s="958"/>
      <c r="G861" s="944"/>
      <c r="H861" s="952"/>
      <c r="I861" s="942"/>
      <c r="J861" s="943"/>
      <c r="K861" s="944"/>
      <c r="L861" s="945"/>
      <c r="M861" s="944"/>
      <c r="N861" s="944"/>
      <c r="O861" s="752">
        <f t="shared" si="122"/>
        <v>0</v>
      </c>
      <c r="P861" s="943"/>
      <c r="Q861" s="952"/>
      <c r="R861" s="753">
        <f t="shared" si="125"/>
        <v>0</v>
      </c>
      <c r="S861" s="752">
        <f t="shared" si="126"/>
        <v>0</v>
      </c>
      <c r="T861" s="754">
        <f t="shared" si="127"/>
        <v>0</v>
      </c>
      <c r="U861" s="944"/>
      <c r="V861" s="945"/>
      <c r="W861" s="944"/>
      <c r="X861" s="944"/>
      <c r="Y861" s="755">
        <f t="shared" si="123"/>
        <v>0</v>
      </c>
      <c r="Z861" s="947"/>
      <c r="AA861" s="945"/>
      <c r="AB861" s="756">
        <f t="shared" si="124"/>
        <v>0</v>
      </c>
      <c r="AC861" s="944"/>
      <c r="AD861" s="945"/>
      <c r="AE861" s="944"/>
      <c r="AF861" s="944"/>
      <c r="AG861" s="947"/>
      <c r="AH861" s="948"/>
      <c r="AI861" s="757">
        <f t="shared" si="128"/>
        <v>0</v>
      </c>
      <c r="AJ861" s="758">
        <f t="shared" si="129"/>
        <v>0</v>
      </c>
    </row>
    <row r="862" spans="1:36" ht="14.25" x14ac:dyDescent="0.3">
      <c r="A862" s="934" t="s">
        <v>149</v>
      </c>
      <c r="B862" s="935" t="s">
        <v>292</v>
      </c>
      <c r="C862" s="971" t="s">
        <v>717</v>
      </c>
      <c r="D862" s="972"/>
      <c r="E862" s="951"/>
      <c r="F862" s="958"/>
      <c r="G862" s="944"/>
      <c r="H862" s="952"/>
      <c r="I862" s="942"/>
      <c r="J862" s="943"/>
      <c r="K862" s="944"/>
      <c r="L862" s="945"/>
      <c r="M862" s="944"/>
      <c r="N862" s="944"/>
      <c r="O862" s="752">
        <f t="shared" si="122"/>
        <v>0</v>
      </c>
      <c r="P862" s="943"/>
      <c r="Q862" s="952"/>
      <c r="R862" s="753">
        <f t="shared" si="125"/>
        <v>0</v>
      </c>
      <c r="S862" s="752">
        <f t="shared" si="126"/>
        <v>0</v>
      </c>
      <c r="T862" s="754">
        <f t="shared" si="127"/>
        <v>0</v>
      </c>
      <c r="U862" s="944"/>
      <c r="V862" s="945"/>
      <c r="W862" s="944"/>
      <c r="X862" s="944"/>
      <c r="Y862" s="755">
        <f t="shared" si="123"/>
        <v>0</v>
      </c>
      <c r="Z862" s="947"/>
      <c r="AA862" s="945"/>
      <c r="AB862" s="756">
        <f t="shared" si="124"/>
        <v>0</v>
      </c>
      <c r="AC862" s="944"/>
      <c r="AD862" s="945"/>
      <c r="AE862" s="944"/>
      <c r="AF862" s="944"/>
      <c r="AG862" s="947"/>
      <c r="AH862" s="948"/>
      <c r="AI862" s="757">
        <f t="shared" si="128"/>
        <v>0</v>
      </c>
      <c r="AJ862" s="758">
        <f t="shared" si="129"/>
        <v>0</v>
      </c>
    </row>
    <row r="863" spans="1:36" ht="14.25" x14ac:dyDescent="0.3">
      <c r="A863" s="934" t="s">
        <v>149</v>
      </c>
      <c r="B863" s="973" t="s">
        <v>310</v>
      </c>
      <c r="C863" s="974" t="s">
        <v>311</v>
      </c>
      <c r="D863" s="972"/>
      <c r="E863" s="951"/>
      <c r="F863" s="958"/>
      <c r="G863" s="944"/>
      <c r="H863" s="952"/>
      <c r="I863" s="942"/>
      <c r="J863" s="943"/>
      <c r="K863" s="944"/>
      <c r="L863" s="945"/>
      <c r="M863" s="944"/>
      <c r="N863" s="944"/>
      <c r="O863" s="752">
        <f t="shared" si="122"/>
        <v>0</v>
      </c>
      <c r="P863" s="943"/>
      <c r="Q863" s="952"/>
      <c r="R863" s="753">
        <f t="shared" si="125"/>
        <v>0</v>
      </c>
      <c r="S863" s="752">
        <f t="shared" si="126"/>
        <v>0</v>
      </c>
      <c r="T863" s="754">
        <f t="shared" si="127"/>
        <v>0</v>
      </c>
      <c r="U863" s="944"/>
      <c r="V863" s="945"/>
      <c r="W863" s="944"/>
      <c r="X863" s="944"/>
      <c r="Y863" s="755">
        <f t="shared" si="123"/>
        <v>0</v>
      </c>
      <c r="Z863" s="947"/>
      <c r="AA863" s="945"/>
      <c r="AB863" s="756">
        <f t="shared" si="124"/>
        <v>0</v>
      </c>
      <c r="AC863" s="944"/>
      <c r="AD863" s="945"/>
      <c r="AE863" s="944"/>
      <c r="AF863" s="944"/>
      <c r="AG863" s="947"/>
      <c r="AH863" s="948"/>
      <c r="AI863" s="757">
        <f t="shared" si="128"/>
        <v>0</v>
      </c>
      <c r="AJ863" s="758">
        <f t="shared" si="129"/>
        <v>0</v>
      </c>
    </row>
    <row r="864" spans="1:36" ht="14.25" x14ac:dyDescent="0.3">
      <c r="A864" s="934" t="s">
        <v>149</v>
      </c>
      <c r="B864" s="973" t="s">
        <v>251</v>
      </c>
      <c r="C864" s="974" t="s">
        <v>249</v>
      </c>
      <c r="D864" s="972"/>
      <c r="E864" s="951"/>
      <c r="F864" s="958"/>
      <c r="G864" s="944"/>
      <c r="H864" s="952"/>
      <c r="I864" s="942"/>
      <c r="J864" s="943"/>
      <c r="K864" s="944"/>
      <c r="L864" s="945"/>
      <c r="M864" s="944"/>
      <c r="N864" s="944"/>
      <c r="O864" s="752">
        <f t="shared" si="122"/>
        <v>0</v>
      </c>
      <c r="P864" s="943"/>
      <c r="Q864" s="952"/>
      <c r="R864" s="753">
        <f t="shared" si="125"/>
        <v>0</v>
      </c>
      <c r="S864" s="752">
        <f t="shared" si="126"/>
        <v>0</v>
      </c>
      <c r="T864" s="754">
        <f t="shared" si="127"/>
        <v>0</v>
      </c>
      <c r="U864" s="944">
        <v>329408935</v>
      </c>
      <c r="V864" s="945">
        <v>309413826</v>
      </c>
      <c r="W864" s="944"/>
      <c r="X864" s="944"/>
      <c r="Y864" s="755">
        <f t="shared" si="123"/>
        <v>0</v>
      </c>
      <c r="Z864" s="947"/>
      <c r="AA864" s="945"/>
      <c r="AB864" s="756">
        <f t="shared" si="124"/>
        <v>0</v>
      </c>
      <c r="AC864" s="944"/>
      <c r="AD864" s="945"/>
      <c r="AE864" s="944"/>
      <c r="AF864" s="944"/>
      <c r="AG864" s="947"/>
      <c r="AH864" s="948"/>
      <c r="AI864" s="757">
        <f t="shared" si="128"/>
        <v>329408935</v>
      </c>
      <c r="AJ864" s="758">
        <f t="shared" si="129"/>
        <v>309413826</v>
      </c>
    </row>
    <row r="865" spans="1:36" ht="14.25" x14ac:dyDescent="0.3">
      <c r="A865" s="934" t="s">
        <v>149</v>
      </c>
      <c r="B865" s="973" t="s">
        <v>209</v>
      </c>
      <c r="C865" s="974" t="s">
        <v>576</v>
      </c>
      <c r="D865" s="972"/>
      <c r="E865" s="975"/>
      <c r="F865" s="976"/>
      <c r="G865" s="944"/>
      <c r="H865" s="952"/>
      <c r="I865" s="942"/>
      <c r="J865" s="943"/>
      <c r="K865" s="944"/>
      <c r="L865" s="945"/>
      <c r="M865" s="944"/>
      <c r="N865" s="944"/>
      <c r="O865" s="752">
        <f t="shared" si="122"/>
        <v>0</v>
      </c>
      <c r="P865" s="943"/>
      <c r="Q865" s="952"/>
      <c r="R865" s="753">
        <f t="shared" si="125"/>
        <v>0</v>
      </c>
      <c r="S865" s="752">
        <f t="shared" si="126"/>
        <v>0</v>
      </c>
      <c r="T865" s="754">
        <f t="shared" si="127"/>
        <v>0</v>
      </c>
      <c r="U865" s="944"/>
      <c r="V865" s="945"/>
      <c r="W865" s="944"/>
      <c r="X865" s="944"/>
      <c r="Y865" s="755">
        <f t="shared" si="123"/>
        <v>0</v>
      </c>
      <c r="Z865" s="947"/>
      <c r="AA865" s="945"/>
      <c r="AB865" s="756">
        <f t="shared" si="124"/>
        <v>0</v>
      </c>
      <c r="AC865" s="944"/>
      <c r="AD865" s="945"/>
      <c r="AE865" s="944"/>
      <c r="AF865" s="944"/>
      <c r="AG865" s="947"/>
      <c r="AH865" s="948"/>
      <c r="AI865" s="757">
        <f t="shared" si="128"/>
        <v>0</v>
      </c>
      <c r="AJ865" s="758">
        <f t="shared" si="129"/>
        <v>0</v>
      </c>
    </row>
    <row r="866" spans="1:36" ht="14.25" x14ac:dyDescent="0.3">
      <c r="A866" s="934" t="s">
        <v>149</v>
      </c>
      <c r="B866" s="973" t="s">
        <v>210</v>
      </c>
      <c r="C866" s="974" t="s">
        <v>311</v>
      </c>
      <c r="D866" s="972"/>
      <c r="E866" s="975"/>
      <c r="F866" s="976"/>
      <c r="G866" s="944"/>
      <c r="H866" s="952"/>
      <c r="I866" s="942"/>
      <c r="J866" s="943"/>
      <c r="K866" s="944"/>
      <c r="L866" s="945"/>
      <c r="M866" s="944"/>
      <c r="N866" s="944"/>
      <c r="O866" s="752">
        <f t="shared" si="122"/>
        <v>0</v>
      </c>
      <c r="P866" s="943"/>
      <c r="Q866" s="952"/>
      <c r="R866" s="753">
        <f t="shared" si="125"/>
        <v>0</v>
      </c>
      <c r="S866" s="752">
        <f t="shared" si="126"/>
        <v>0</v>
      </c>
      <c r="T866" s="754">
        <f t="shared" si="127"/>
        <v>0</v>
      </c>
      <c r="U866" s="944"/>
      <c r="V866" s="945"/>
      <c r="W866" s="944"/>
      <c r="X866" s="944"/>
      <c r="Y866" s="755">
        <f t="shared" si="123"/>
        <v>0</v>
      </c>
      <c r="Z866" s="947"/>
      <c r="AA866" s="945"/>
      <c r="AB866" s="756">
        <f t="shared" si="124"/>
        <v>0</v>
      </c>
      <c r="AC866" s="944"/>
      <c r="AD866" s="945"/>
      <c r="AE866" s="944"/>
      <c r="AF866" s="944"/>
      <c r="AG866" s="947"/>
      <c r="AH866" s="948"/>
      <c r="AI866" s="757">
        <f t="shared" si="128"/>
        <v>0</v>
      </c>
      <c r="AJ866" s="758">
        <f t="shared" si="129"/>
        <v>0</v>
      </c>
    </row>
    <row r="867" spans="1:36" ht="14.25" x14ac:dyDescent="0.3">
      <c r="A867" s="934" t="s">
        <v>149</v>
      </c>
      <c r="B867" s="973" t="s">
        <v>204</v>
      </c>
      <c r="C867" s="974" t="s">
        <v>249</v>
      </c>
      <c r="D867" s="972"/>
      <c r="E867" s="975"/>
      <c r="F867" s="976"/>
      <c r="G867" s="944"/>
      <c r="H867" s="952"/>
      <c r="I867" s="942"/>
      <c r="J867" s="943"/>
      <c r="K867" s="944"/>
      <c r="L867" s="945"/>
      <c r="M867" s="944"/>
      <c r="N867" s="944"/>
      <c r="O867" s="752">
        <f t="shared" si="122"/>
        <v>0</v>
      </c>
      <c r="P867" s="943"/>
      <c r="Q867" s="952"/>
      <c r="R867" s="753">
        <f t="shared" si="125"/>
        <v>0</v>
      </c>
      <c r="S867" s="752">
        <f t="shared" si="126"/>
        <v>0</v>
      </c>
      <c r="T867" s="754">
        <f t="shared" si="127"/>
        <v>0</v>
      </c>
      <c r="U867" s="944"/>
      <c r="V867" s="945"/>
      <c r="W867" s="944"/>
      <c r="X867" s="944"/>
      <c r="Y867" s="755">
        <f t="shared" si="123"/>
        <v>0</v>
      </c>
      <c r="Z867" s="947"/>
      <c r="AA867" s="945"/>
      <c r="AB867" s="756">
        <f t="shared" si="124"/>
        <v>0</v>
      </c>
      <c r="AC867" s="944"/>
      <c r="AD867" s="945"/>
      <c r="AE867" s="944"/>
      <c r="AF867" s="944"/>
      <c r="AG867" s="947"/>
      <c r="AH867" s="948"/>
      <c r="AI867" s="757">
        <f t="shared" si="128"/>
        <v>0</v>
      </c>
      <c r="AJ867" s="758">
        <f t="shared" si="129"/>
        <v>0</v>
      </c>
    </row>
    <row r="868" spans="1:36" ht="14.25" x14ac:dyDescent="0.3">
      <c r="A868" s="934" t="s">
        <v>149</v>
      </c>
      <c r="B868" s="973" t="s">
        <v>205</v>
      </c>
      <c r="C868" s="974" t="s">
        <v>577</v>
      </c>
      <c r="D868" s="972"/>
      <c r="E868" s="975"/>
      <c r="F868" s="976"/>
      <c r="G868" s="944"/>
      <c r="H868" s="952"/>
      <c r="I868" s="942"/>
      <c r="J868" s="943"/>
      <c r="K868" s="944"/>
      <c r="L868" s="945"/>
      <c r="M868" s="944"/>
      <c r="N868" s="944"/>
      <c r="O868" s="752">
        <f t="shared" si="122"/>
        <v>0</v>
      </c>
      <c r="P868" s="943"/>
      <c r="Q868" s="952"/>
      <c r="R868" s="753">
        <f t="shared" si="125"/>
        <v>0</v>
      </c>
      <c r="S868" s="752">
        <f t="shared" si="126"/>
        <v>0</v>
      </c>
      <c r="T868" s="754">
        <f t="shared" si="127"/>
        <v>0</v>
      </c>
      <c r="U868" s="944"/>
      <c r="V868" s="945"/>
      <c r="W868" s="944"/>
      <c r="X868" s="944"/>
      <c r="Y868" s="755">
        <f t="shared" si="123"/>
        <v>0</v>
      </c>
      <c r="Z868" s="947"/>
      <c r="AA868" s="945"/>
      <c r="AB868" s="756">
        <f t="shared" si="124"/>
        <v>0</v>
      </c>
      <c r="AC868" s="944"/>
      <c r="AD868" s="945"/>
      <c r="AE868" s="944"/>
      <c r="AF868" s="944"/>
      <c r="AG868" s="947"/>
      <c r="AH868" s="948"/>
      <c r="AI868" s="757">
        <f t="shared" si="128"/>
        <v>0</v>
      </c>
      <c r="AJ868" s="758">
        <f t="shared" si="129"/>
        <v>0</v>
      </c>
    </row>
    <row r="869" spans="1:36" ht="14.25" x14ac:dyDescent="0.3">
      <c r="A869" s="934" t="s">
        <v>149</v>
      </c>
      <c r="B869" s="973" t="s">
        <v>218</v>
      </c>
      <c r="C869" s="974" t="s">
        <v>311</v>
      </c>
      <c r="D869" s="972"/>
      <c r="E869" s="975"/>
      <c r="F869" s="976"/>
      <c r="G869" s="944"/>
      <c r="H869" s="952"/>
      <c r="I869" s="942"/>
      <c r="J869" s="943"/>
      <c r="K869" s="944"/>
      <c r="L869" s="945"/>
      <c r="M869" s="944"/>
      <c r="N869" s="944"/>
      <c r="O869" s="752">
        <f t="shared" si="122"/>
        <v>0</v>
      </c>
      <c r="P869" s="943"/>
      <c r="Q869" s="952"/>
      <c r="R869" s="753">
        <f t="shared" si="125"/>
        <v>0</v>
      </c>
      <c r="S869" s="752">
        <f t="shared" si="126"/>
        <v>0</v>
      </c>
      <c r="T869" s="754">
        <f t="shared" si="127"/>
        <v>0</v>
      </c>
      <c r="U869" s="944"/>
      <c r="V869" s="945"/>
      <c r="W869" s="944"/>
      <c r="X869" s="944"/>
      <c r="Y869" s="755">
        <f t="shared" si="123"/>
        <v>0</v>
      </c>
      <c r="Z869" s="947"/>
      <c r="AA869" s="945"/>
      <c r="AB869" s="756">
        <f t="shared" si="124"/>
        <v>0</v>
      </c>
      <c r="AC869" s="944"/>
      <c r="AD869" s="945"/>
      <c r="AE869" s="944"/>
      <c r="AF869" s="944"/>
      <c r="AG869" s="947"/>
      <c r="AH869" s="948"/>
      <c r="AI869" s="757">
        <f t="shared" si="128"/>
        <v>0</v>
      </c>
      <c r="AJ869" s="758">
        <f t="shared" si="129"/>
        <v>0</v>
      </c>
    </row>
    <row r="870" spans="1:36" ht="14.25" x14ac:dyDescent="0.3">
      <c r="A870" s="934" t="s">
        <v>149</v>
      </c>
      <c r="B870" s="973" t="s">
        <v>219</v>
      </c>
      <c r="C870" s="974" t="s">
        <v>249</v>
      </c>
      <c r="D870" s="972"/>
      <c r="E870" s="975"/>
      <c r="F870" s="976"/>
      <c r="G870" s="944"/>
      <c r="H870" s="952"/>
      <c r="I870" s="942"/>
      <c r="J870" s="943"/>
      <c r="K870" s="944"/>
      <c r="L870" s="945"/>
      <c r="M870" s="944"/>
      <c r="N870" s="944"/>
      <c r="O870" s="752">
        <f t="shared" si="122"/>
        <v>0</v>
      </c>
      <c r="P870" s="943"/>
      <c r="Q870" s="952"/>
      <c r="R870" s="753">
        <f t="shared" si="125"/>
        <v>0</v>
      </c>
      <c r="S870" s="752">
        <f t="shared" si="126"/>
        <v>0</v>
      </c>
      <c r="T870" s="754">
        <f t="shared" si="127"/>
        <v>0</v>
      </c>
      <c r="U870" s="944"/>
      <c r="V870" s="945"/>
      <c r="W870" s="944"/>
      <c r="X870" s="944"/>
      <c r="Y870" s="755">
        <f t="shared" si="123"/>
        <v>0</v>
      </c>
      <c r="Z870" s="947"/>
      <c r="AA870" s="945"/>
      <c r="AB870" s="756">
        <f t="shared" si="124"/>
        <v>0</v>
      </c>
      <c r="AC870" s="944"/>
      <c r="AD870" s="945"/>
      <c r="AE870" s="944"/>
      <c r="AF870" s="944"/>
      <c r="AG870" s="947"/>
      <c r="AH870" s="948"/>
      <c r="AI870" s="757">
        <f t="shared" si="128"/>
        <v>0</v>
      </c>
      <c r="AJ870" s="758">
        <f t="shared" si="129"/>
        <v>0</v>
      </c>
    </row>
    <row r="871" spans="1:36" ht="14.25" x14ac:dyDescent="0.3">
      <c r="A871" s="934" t="s">
        <v>149</v>
      </c>
      <c r="B871" s="935" t="s">
        <v>292</v>
      </c>
      <c r="C871" s="971" t="s">
        <v>718</v>
      </c>
      <c r="D871" s="972"/>
      <c r="E871" s="951"/>
      <c r="F871" s="958"/>
      <c r="G871" s="944"/>
      <c r="H871" s="952"/>
      <c r="I871" s="942"/>
      <c r="J871" s="943"/>
      <c r="K871" s="944"/>
      <c r="L871" s="945"/>
      <c r="M871" s="944"/>
      <c r="N871" s="944"/>
      <c r="O871" s="752">
        <f t="shared" si="122"/>
        <v>0</v>
      </c>
      <c r="P871" s="943"/>
      <c r="Q871" s="952"/>
      <c r="R871" s="753">
        <f t="shared" si="125"/>
        <v>0</v>
      </c>
      <c r="S871" s="752">
        <f t="shared" si="126"/>
        <v>0</v>
      </c>
      <c r="T871" s="754">
        <f t="shared" si="127"/>
        <v>0</v>
      </c>
      <c r="U871" s="944"/>
      <c r="V871" s="945"/>
      <c r="W871" s="944"/>
      <c r="X871" s="944"/>
      <c r="Y871" s="755">
        <f t="shared" si="123"/>
        <v>0</v>
      </c>
      <c r="Z871" s="947"/>
      <c r="AA871" s="945"/>
      <c r="AB871" s="756">
        <f t="shared" si="124"/>
        <v>0</v>
      </c>
      <c r="AC871" s="944"/>
      <c r="AD871" s="945"/>
      <c r="AE871" s="944"/>
      <c r="AF871" s="944"/>
      <c r="AG871" s="947"/>
      <c r="AH871" s="948"/>
      <c r="AI871" s="757">
        <f t="shared" si="128"/>
        <v>0</v>
      </c>
      <c r="AJ871" s="758">
        <f t="shared" si="129"/>
        <v>0</v>
      </c>
    </row>
    <row r="872" spans="1:36" ht="14.25" x14ac:dyDescent="0.3">
      <c r="A872" s="934" t="s">
        <v>149</v>
      </c>
      <c r="B872" s="973" t="s">
        <v>310</v>
      </c>
      <c r="C872" s="974" t="s">
        <v>311</v>
      </c>
      <c r="D872" s="972"/>
      <c r="E872" s="951"/>
      <c r="F872" s="958"/>
      <c r="G872" s="944"/>
      <c r="H872" s="952"/>
      <c r="I872" s="942"/>
      <c r="J872" s="943"/>
      <c r="K872" s="944"/>
      <c r="L872" s="945"/>
      <c r="M872" s="944"/>
      <c r="N872" s="944"/>
      <c r="O872" s="752">
        <f t="shared" si="122"/>
        <v>0</v>
      </c>
      <c r="P872" s="943"/>
      <c r="Q872" s="952"/>
      <c r="R872" s="753">
        <f t="shared" si="125"/>
        <v>0</v>
      </c>
      <c r="S872" s="752">
        <f t="shared" si="126"/>
        <v>0</v>
      </c>
      <c r="T872" s="754">
        <f t="shared" si="127"/>
        <v>0</v>
      </c>
      <c r="U872" s="944"/>
      <c r="V872" s="945"/>
      <c r="W872" s="944"/>
      <c r="X872" s="944"/>
      <c r="Y872" s="755">
        <f t="shared" si="123"/>
        <v>0</v>
      </c>
      <c r="Z872" s="947"/>
      <c r="AA872" s="945"/>
      <c r="AB872" s="756">
        <f t="shared" si="124"/>
        <v>0</v>
      </c>
      <c r="AC872" s="944"/>
      <c r="AD872" s="945"/>
      <c r="AE872" s="944"/>
      <c r="AF872" s="944"/>
      <c r="AG872" s="947"/>
      <c r="AH872" s="948"/>
      <c r="AI872" s="757">
        <f t="shared" si="128"/>
        <v>0</v>
      </c>
      <c r="AJ872" s="758">
        <f t="shared" si="129"/>
        <v>0</v>
      </c>
    </row>
    <row r="873" spans="1:36" ht="14.25" x14ac:dyDescent="0.3">
      <c r="A873" s="934" t="s">
        <v>149</v>
      </c>
      <c r="B873" s="973" t="s">
        <v>251</v>
      </c>
      <c r="C873" s="974" t="s">
        <v>249</v>
      </c>
      <c r="D873" s="972"/>
      <c r="E873" s="951"/>
      <c r="F873" s="958"/>
      <c r="G873" s="944"/>
      <c r="H873" s="952"/>
      <c r="I873" s="942"/>
      <c r="J873" s="943"/>
      <c r="K873" s="944"/>
      <c r="L873" s="945"/>
      <c r="M873" s="944"/>
      <c r="N873" s="944"/>
      <c r="O873" s="752">
        <f t="shared" si="122"/>
        <v>0</v>
      </c>
      <c r="P873" s="943"/>
      <c r="Q873" s="952"/>
      <c r="R873" s="753">
        <f t="shared" si="125"/>
        <v>0</v>
      </c>
      <c r="S873" s="752">
        <f t="shared" si="126"/>
        <v>0</v>
      </c>
      <c r="T873" s="754">
        <f t="shared" si="127"/>
        <v>0</v>
      </c>
      <c r="U873" s="944">
        <v>2895907</v>
      </c>
      <c r="V873" s="953">
        <v>2895907</v>
      </c>
      <c r="W873" s="944"/>
      <c r="X873" s="944"/>
      <c r="Y873" s="755">
        <f t="shared" si="123"/>
        <v>0</v>
      </c>
      <c r="Z873" s="947"/>
      <c r="AA873" s="945"/>
      <c r="AB873" s="756">
        <f t="shared" si="124"/>
        <v>0</v>
      </c>
      <c r="AC873" s="944"/>
      <c r="AD873" s="945"/>
      <c r="AE873" s="944"/>
      <c r="AF873" s="944"/>
      <c r="AG873" s="947"/>
      <c r="AH873" s="948"/>
      <c r="AI873" s="757">
        <f t="shared" si="128"/>
        <v>2895907</v>
      </c>
      <c r="AJ873" s="758">
        <f t="shared" si="129"/>
        <v>2895907</v>
      </c>
    </row>
    <row r="874" spans="1:36" ht="14.25" x14ac:dyDescent="0.3">
      <c r="A874" s="934" t="s">
        <v>149</v>
      </c>
      <c r="B874" s="973" t="s">
        <v>209</v>
      </c>
      <c r="C874" s="974" t="s">
        <v>576</v>
      </c>
      <c r="D874" s="972"/>
      <c r="E874" s="975"/>
      <c r="F874" s="976"/>
      <c r="G874" s="944"/>
      <c r="H874" s="952"/>
      <c r="I874" s="942"/>
      <c r="J874" s="943"/>
      <c r="K874" s="944"/>
      <c r="L874" s="945"/>
      <c r="M874" s="944"/>
      <c r="N874" s="944"/>
      <c r="O874" s="752">
        <f t="shared" si="122"/>
        <v>0</v>
      </c>
      <c r="P874" s="943"/>
      <c r="Q874" s="952"/>
      <c r="R874" s="753">
        <f t="shared" si="125"/>
        <v>0</v>
      </c>
      <c r="S874" s="752">
        <f t="shared" si="126"/>
        <v>0</v>
      </c>
      <c r="T874" s="754">
        <f t="shared" si="127"/>
        <v>0</v>
      </c>
      <c r="U874" s="944"/>
      <c r="V874" s="953"/>
      <c r="W874" s="944"/>
      <c r="X874" s="944"/>
      <c r="Y874" s="755">
        <f t="shared" si="123"/>
        <v>0</v>
      </c>
      <c r="Z874" s="947"/>
      <c r="AA874" s="945"/>
      <c r="AB874" s="756">
        <f t="shared" si="124"/>
        <v>0</v>
      </c>
      <c r="AC874" s="944"/>
      <c r="AD874" s="945"/>
      <c r="AE874" s="944"/>
      <c r="AF874" s="944"/>
      <c r="AG874" s="947"/>
      <c r="AH874" s="948"/>
      <c r="AI874" s="757">
        <f t="shared" si="128"/>
        <v>0</v>
      </c>
      <c r="AJ874" s="758">
        <f t="shared" si="129"/>
        <v>0</v>
      </c>
    </row>
    <row r="875" spans="1:36" ht="14.25" x14ac:dyDescent="0.3">
      <c r="A875" s="934" t="s">
        <v>149</v>
      </c>
      <c r="B875" s="973" t="s">
        <v>210</v>
      </c>
      <c r="C875" s="974" t="s">
        <v>311</v>
      </c>
      <c r="D875" s="972"/>
      <c r="E875" s="975"/>
      <c r="F875" s="976"/>
      <c r="G875" s="944"/>
      <c r="H875" s="952"/>
      <c r="I875" s="942"/>
      <c r="J875" s="943"/>
      <c r="K875" s="944"/>
      <c r="L875" s="945"/>
      <c r="M875" s="944"/>
      <c r="N875" s="944"/>
      <c r="O875" s="752">
        <f t="shared" si="122"/>
        <v>0</v>
      </c>
      <c r="P875" s="943"/>
      <c r="Q875" s="952"/>
      <c r="R875" s="753">
        <f t="shared" si="125"/>
        <v>0</v>
      </c>
      <c r="S875" s="752">
        <f t="shared" si="126"/>
        <v>0</v>
      </c>
      <c r="T875" s="754">
        <f t="shared" si="127"/>
        <v>0</v>
      </c>
      <c r="U875" s="944"/>
      <c r="V875" s="953"/>
      <c r="W875" s="944"/>
      <c r="X875" s="944"/>
      <c r="Y875" s="755">
        <f t="shared" si="123"/>
        <v>0</v>
      </c>
      <c r="Z875" s="947"/>
      <c r="AA875" s="945"/>
      <c r="AB875" s="756">
        <f t="shared" si="124"/>
        <v>0</v>
      </c>
      <c r="AC875" s="944"/>
      <c r="AD875" s="945"/>
      <c r="AE875" s="944"/>
      <c r="AF875" s="944"/>
      <c r="AG875" s="947"/>
      <c r="AH875" s="948"/>
      <c r="AI875" s="757">
        <f t="shared" si="128"/>
        <v>0</v>
      </c>
      <c r="AJ875" s="758">
        <f t="shared" si="129"/>
        <v>0</v>
      </c>
    </row>
    <row r="876" spans="1:36" ht="14.25" x14ac:dyDescent="0.3">
      <c r="A876" s="934" t="s">
        <v>149</v>
      </c>
      <c r="B876" s="973" t="s">
        <v>204</v>
      </c>
      <c r="C876" s="974" t="s">
        <v>249</v>
      </c>
      <c r="D876" s="972"/>
      <c r="E876" s="975"/>
      <c r="F876" s="976"/>
      <c r="G876" s="944"/>
      <c r="H876" s="952"/>
      <c r="I876" s="942"/>
      <c r="J876" s="943"/>
      <c r="K876" s="944"/>
      <c r="L876" s="945"/>
      <c r="M876" s="944"/>
      <c r="N876" s="944"/>
      <c r="O876" s="752">
        <f t="shared" si="122"/>
        <v>0</v>
      </c>
      <c r="P876" s="943"/>
      <c r="Q876" s="952"/>
      <c r="R876" s="753">
        <f t="shared" si="125"/>
        <v>0</v>
      </c>
      <c r="S876" s="752">
        <f t="shared" si="126"/>
        <v>0</v>
      </c>
      <c r="T876" s="754">
        <f t="shared" si="127"/>
        <v>0</v>
      </c>
      <c r="U876" s="944"/>
      <c r="V876" s="953"/>
      <c r="W876" s="944"/>
      <c r="X876" s="944"/>
      <c r="Y876" s="755">
        <f t="shared" si="123"/>
        <v>0</v>
      </c>
      <c r="Z876" s="947"/>
      <c r="AA876" s="945"/>
      <c r="AB876" s="756">
        <f t="shared" si="124"/>
        <v>0</v>
      </c>
      <c r="AC876" s="944"/>
      <c r="AD876" s="945"/>
      <c r="AE876" s="944"/>
      <c r="AF876" s="944"/>
      <c r="AG876" s="947"/>
      <c r="AH876" s="948"/>
      <c r="AI876" s="757">
        <f t="shared" si="128"/>
        <v>0</v>
      </c>
      <c r="AJ876" s="758">
        <f t="shared" si="129"/>
        <v>0</v>
      </c>
    </row>
    <row r="877" spans="1:36" ht="14.25" x14ac:dyDescent="0.3">
      <c r="A877" s="934" t="s">
        <v>149</v>
      </c>
      <c r="B877" s="973" t="s">
        <v>205</v>
      </c>
      <c r="C877" s="974" t="s">
        <v>577</v>
      </c>
      <c r="D877" s="972"/>
      <c r="E877" s="975"/>
      <c r="F877" s="976"/>
      <c r="G877" s="944"/>
      <c r="H877" s="952"/>
      <c r="I877" s="942"/>
      <c r="J877" s="943"/>
      <c r="K877" s="944"/>
      <c r="L877" s="945"/>
      <c r="M877" s="944"/>
      <c r="N877" s="944"/>
      <c r="O877" s="752">
        <f t="shared" si="122"/>
        <v>0</v>
      </c>
      <c r="P877" s="943"/>
      <c r="Q877" s="952"/>
      <c r="R877" s="753">
        <f t="shared" si="125"/>
        <v>0</v>
      </c>
      <c r="S877" s="752">
        <f t="shared" si="126"/>
        <v>0</v>
      </c>
      <c r="T877" s="754">
        <f t="shared" si="127"/>
        <v>0</v>
      </c>
      <c r="U877" s="944"/>
      <c r="V877" s="945"/>
      <c r="W877" s="944"/>
      <c r="X877" s="944"/>
      <c r="Y877" s="755">
        <f t="shared" si="123"/>
        <v>0</v>
      </c>
      <c r="Z877" s="947"/>
      <c r="AA877" s="945"/>
      <c r="AB877" s="756">
        <f t="shared" si="124"/>
        <v>0</v>
      </c>
      <c r="AC877" s="944"/>
      <c r="AD877" s="945"/>
      <c r="AE877" s="944"/>
      <c r="AF877" s="944"/>
      <c r="AG877" s="947"/>
      <c r="AH877" s="948"/>
      <c r="AI877" s="757">
        <f t="shared" si="128"/>
        <v>0</v>
      </c>
      <c r="AJ877" s="758">
        <f t="shared" si="129"/>
        <v>0</v>
      </c>
    </row>
    <row r="878" spans="1:36" ht="14.25" x14ac:dyDescent="0.3">
      <c r="A878" s="934" t="s">
        <v>149</v>
      </c>
      <c r="B878" s="973" t="s">
        <v>218</v>
      </c>
      <c r="C878" s="974" t="s">
        <v>311</v>
      </c>
      <c r="D878" s="972"/>
      <c r="E878" s="975"/>
      <c r="F878" s="976"/>
      <c r="G878" s="944"/>
      <c r="H878" s="952"/>
      <c r="I878" s="942"/>
      <c r="J878" s="943"/>
      <c r="K878" s="944"/>
      <c r="L878" s="945"/>
      <c r="M878" s="944"/>
      <c r="N878" s="944"/>
      <c r="O878" s="752">
        <f t="shared" si="122"/>
        <v>0</v>
      </c>
      <c r="P878" s="943"/>
      <c r="Q878" s="952"/>
      <c r="R878" s="753">
        <f t="shared" si="125"/>
        <v>0</v>
      </c>
      <c r="S878" s="752">
        <f t="shared" si="126"/>
        <v>0</v>
      </c>
      <c r="T878" s="754">
        <f t="shared" si="127"/>
        <v>0</v>
      </c>
      <c r="U878" s="944"/>
      <c r="V878" s="945"/>
      <c r="W878" s="944"/>
      <c r="X878" s="944"/>
      <c r="Y878" s="755">
        <f t="shared" si="123"/>
        <v>0</v>
      </c>
      <c r="Z878" s="947"/>
      <c r="AA878" s="945"/>
      <c r="AB878" s="756">
        <f t="shared" si="124"/>
        <v>0</v>
      </c>
      <c r="AC878" s="944"/>
      <c r="AD878" s="945"/>
      <c r="AE878" s="944"/>
      <c r="AF878" s="944"/>
      <c r="AG878" s="947"/>
      <c r="AH878" s="948"/>
      <c r="AI878" s="757">
        <f t="shared" si="128"/>
        <v>0</v>
      </c>
      <c r="AJ878" s="758">
        <f t="shared" si="129"/>
        <v>0</v>
      </c>
    </row>
    <row r="879" spans="1:36" ht="14.25" x14ac:dyDescent="0.3">
      <c r="A879" s="934" t="s">
        <v>149</v>
      </c>
      <c r="B879" s="973" t="s">
        <v>219</v>
      </c>
      <c r="C879" s="974" t="s">
        <v>249</v>
      </c>
      <c r="D879" s="972"/>
      <c r="E879" s="975"/>
      <c r="F879" s="976"/>
      <c r="G879" s="944"/>
      <c r="H879" s="952"/>
      <c r="I879" s="942"/>
      <c r="J879" s="943"/>
      <c r="K879" s="944"/>
      <c r="L879" s="945"/>
      <c r="M879" s="944"/>
      <c r="N879" s="944"/>
      <c r="O879" s="752">
        <f t="shared" si="122"/>
        <v>0</v>
      </c>
      <c r="P879" s="943"/>
      <c r="Q879" s="952"/>
      <c r="R879" s="753">
        <f t="shared" si="125"/>
        <v>0</v>
      </c>
      <c r="S879" s="752">
        <f t="shared" si="126"/>
        <v>0</v>
      </c>
      <c r="T879" s="754">
        <f t="shared" si="127"/>
        <v>0</v>
      </c>
      <c r="U879" s="944"/>
      <c r="V879" s="945"/>
      <c r="W879" s="944"/>
      <c r="X879" s="944"/>
      <c r="Y879" s="755">
        <f t="shared" si="123"/>
        <v>0</v>
      </c>
      <c r="Z879" s="947"/>
      <c r="AA879" s="945"/>
      <c r="AB879" s="756">
        <f t="shared" si="124"/>
        <v>0</v>
      </c>
      <c r="AC879" s="944"/>
      <c r="AD879" s="945"/>
      <c r="AE879" s="944"/>
      <c r="AF879" s="944"/>
      <c r="AG879" s="947"/>
      <c r="AH879" s="948"/>
      <c r="AI879" s="757">
        <f t="shared" si="128"/>
        <v>0</v>
      </c>
      <c r="AJ879" s="758">
        <f t="shared" si="129"/>
        <v>0</v>
      </c>
    </row>
    <row r="880" spans="1:36" ht="14.25" x14ac:dyDescent="0.3">
      <c r="A880" s="934" t="s">
        <v>149</v>
      </c>
      <c r="B880" s="935" t="s">
        <v>292</v>
      </c>
      <c r="C880" s="971" t="s">
        <v>719</v>
      </c>
      <c r="D880" s="972"/>
      <c r="E880" s="951"/>
      <c r="F880" s="958"/>
      <c r="G880" s="944"/>
      <c r="H880" s="952"/>
      <c r="I880" s="942"/>
      <c r="J880" s="943"/>
      <c r="K880" s="944"/>
      <c r="L880" s="945"/>
      <c r="M880" s="944"/>
      <c r="N880" s="944"/>
      <c r="O880" s="752">
        <f t="shared" si="122"/>
        <v>0</v>
      </c>
      <c r="P880" s="943"/>
      <c r="Q880" s="952"/>
      <c r="R880" s="753">
        <f t="shared" si="125"/>
        <v>0</v>
      </c>
      <c r="S880" s="752">
        <f t="shared" si="126"/>
        <v>0</v>
      </c>
      <c r="T880" s="754">
        <f t="shared" si="127"/>
        <v>0</v>
      </c>
      <c r="U880" s="944"/>
      <c r="V880" s="945"/>
      <c r="W880" s="944"/>
      <c r="X880" s="944"/>
      <c r="Y880" s="755">
        <f t="shared" si="123"/>
        <v>0</v>
      </c>
      <c r="Z880" s="947"/>
      <c r="AA880" s="945"/>
      <c r="AB880" s="756">
        <f t="shared" si="124"/>
        <v>0</v>
      </c>
      <c r="AC880" s="944"/>
      <c r="AD880" s="945"/>
      <c r="AE880" s="944"/>
      <c r="AF880" s="944"/>
      <c r="AG880" s="947"/>
      <c r="AH880" s="948"/>
      <c r="AI880" s="757">
        <f t="shared" si="128"/>
        <v>0</v>
      </c>
      <c r="AJ880" s="758">
        <f t="shared" si="129"/>
        <v>0</v>
      </c>
    </row>
    <row r="881" spans="1:36" ht="14.25" x14ac:dyDescent="0.3">
      <c r="A881" s="934" t="s">
        <v>149</v>
      </c>
      <c r="B881" s="973" t="s">
        <v>310</v>
      </c>
      <c r="C881" s="974" t="s">
        <v>311</v>
      </c>
      <c r="D881" s="972"/>
      <c r="E881" s="951"/>
      <c r="F881" s="958"/>
      <c r="G881" s="944"/>
      <c r="H881" s="952"/>
      <c r="I881" s="942"/>
      <c r="J881" s="943"/>
      <c r="K881" s="944"/>
      <c r="L881" s="945"/>
      <c r="M881" s="977"/>
      <c r="N881" s="944"/>
      <c r="O881" s="752">
        <f t="shared" si="122"/>
        <v>0</v>
      </c>
      <c r="P881" s="978"/>
      <c r="Q881" s="952"/>
      <c r="R881" s="753">
        <f t="shared" si="125"/>
        <v>0</v>
      </c>
      <c r="S881" s="752">
        <f t="shared" si="126"/>
        <v>0</v>
      </c>
      <c r="T881" s="754">
        <f t="shared" si="127"/>
        <v>0</v>
      </c>
      <c r="U881" s="944">
        <v>1569922</v>
      </c>
      <c r="V881" s="945">
        <v>1569922</v>
      </c>
      <c r="W881" s="944"/>
      <c r="X881" s="944"/>
      <c r="Y881" s="755">
        <f t="shared" si="123"/>
        <v>0</v>
      </c>
      <c r="Z881" s="947"/>
      <c r="AA881" s="945"/>
      <c r="AB881" s="756">
        <f t="shared" si="124"/>
        <v>0</v>
      </c>
      <c r="AC881" s="944"/>
      <c r="AD881" s="945"/>
      <c r="AE881" s="944"/>
      <c r="AF881" s="944"/>
      <c r="AG881" s="947"/>
      <c r="AH881" s="948"/>
      <c r="AI881" s="757">
        <f t="shared" si="128"/>
        <v>1569922</v>
      </c>
      <c r="AJ881" s="758">
        <f t="shared" si="129"/>
        <v>1569922</v>
      </c>
    </row>
    <row r="882" spans="1:36" ht="14.25" x14ac:dyDescent="0.3">
      <c r="A882" s="934" t="s">
        <v>149</v>
      </c>
      <c r="B882" s="973" t="s">
        <v>251</v>
      </c>
      <c r="C882" s="974" t="s">
        <v>249</v>
      </c>
      <c r="D882" s="972"/>
      <c r="E882" s="951"/>
      <c r="F882" s="958"/>
      <c r="G882" s="944"/>
      <c r="H882" s="952"/>
      <c r="I882" s="942"/>
      <c r="J882" s="943"/>
      <c r="K882" s="944"/>
      <c r="L882" s="945"/>
      <c r="M882" s="977"/>
      <c r="N882" s="944"/>
      <c r="O882" s="752">
        <f t="shared" si="122"/>
        <v>0</v>
      </c>
      <c r="P882" s="978"/>
      <c r="Q882" s="952"/>
      <c r="R882" s="753">
        <f t="shared" si="125"/>
        <v>0</v>
      </c>
      <c r="S882" s="752">
        <f t="shared" si="126"/>
        <v>0</v>
      </c>
      <c r="T882" s="754">
        <f t="shared" si="127"/>
        <v>0</v>
      </c>
      <c r="U882" s="944"/>
      <c r="V882" s="945"/>
      <c r="W882" s="944"/>
      <c r="X882" s="944"/>
      <c r="Y882" s="755">
        <f t="shared" si="123"/>
        <v>0</v>
      </c>
      <c r="Z882" s="947"/>
      <c r="AA882" s="945"/>
      <c r="AB882" s="756">
        <f t="shared" si="124"/>
        <v>0</v>
      </c>
      <c r="AC882" s="944"/>
      <c r="AD882" s="945"/>
      <c r="AE882" s="944"/>
      <c r="AF882" s="944"/>
      <c r="AG882" s="947"/>
      <c r="AH882" s="948"/>
      <c r="AI882" s="757">
        <f t="shared" si="128"/>
        <v>0</v>
      </c>
      <c r="AJ882" s="758">
        <f t="shared" si="129"/>
        <v>0</v>
      </c>
    </row>
    <row r="883" spans="1:36" ht="14.25" x14ac:dyDescent="0.3">
      <c r="A883" s="934" t="s">
        <v>149</v>
      </c>
      <c r="B883" s="973" t="s">
        <v>209</v>
      </c>
      <c r="C883" s="974" t="s">
        <v>576</v>
      </c>
      <c r="D883" s="972"/>
      <c r="E883" s="975"/>
      <c r="F883" s="976"/>
      <c r="G883" s="944"/>
      <c r="H883" s="952"/>
      <c r="I883" s="942"/>
      <c r="J883" s="943"/>
      <c r="K883" s="944"/>
      <c r="L883" s="945"/>
      <c r="M883" s="977"/>
      <c r="N883" s="944"/>
      <c r="O883" s="752">
        <f t="shared" si="122"/>
        <v>0</v>
      </c>
      <c r="P883" s="978"/>
      <c r="Q883" s="952"/>
      <c r="R883" s="753">
        <f t="shared" si="125"/>
        <v>0</v>
      </c>
      <c r="S883" s="752">
        <f t="shared" si="126"/>
        <v>0</v>
      </c>
      <c r="T883" s="754">
        <f t="shared" si="127"/>
        <v>0</v>
      </c>
      <c r="U883" s="944"/>
      <c r="V883" s="945"/>
      <c r="W883" s="944"/>
      <c r="X883" s="944"/>
      <c r="Y883" s="755">
        <f t="shared" si="123"/>
        <v>0</v>
      </c>
      <c r="Z883" s="947"/>
      <c r="AA883" s="945"/>
      <c r="AB883" s="756">
        <f t="shared" si="124"/>
        <v>0</v>
      </c>
      <c r="AC883" s="944"/>
      <c r="AD883" s="945"/>
      <c r="AE883" s="944"/>
      <c r="AF883" s="944"/>
      <c r="AG883" s="947"/>
      <c r="AH883" s="948"/>
      <c r="AI883" s="757">
        <f t="shared" si="128"/>
        <v>0</v>
      </c>
      <c r="AJ883" s="758">
        <f t="shared" si="129"/>
        <v>0</v>
      </c>
    </row>
    <row r="884" spans="1:36" ht="14.25" x14ac:dyDescent="0.3">
      <c r="A884" s="934" t="s">
        <v>149</v>
      </c>
      <c r="B884" s="973" t="s">
        <v>210</v>
      </c>
      <c r="C884" s="974" t="s">
        <v>311</v>
      </c>
      <c r="D884" s="972"/>
      <c r="E884" s="975"/>
      <c r="F884" s="976"/>
      <c r="G884" s="944"/>
      <c r="H884" s="952"/>
      <c r="I884" s="942"/>
      <c r="J884" s="943"/>
      <c r="K884" s="944"/>
      <c r="L884" s="945"/>
      <c r="M884" s="977"/>
      <c r="N884" s="944"/>
      <c r="O884" s="752">
        <f t="shared" si="122"/>
        <v>0</v>
      </c>
      <c r="P884" s="978"/>
      <c r="Q884" s="952"/>
      <c r="R884" s="753">
        <f t="shared" si="125"/>
        <v>0</v>
      </c>
      <c r="S884" s="752">
        <f t="shared" si="126"/>
        <v>0</v>
      </c>
      <c r="T884" s="754">
        <f t="shared" si="127"/>
        <v>0</v>
      </c>
      <c r="U884" s="944"/>
      <c r="V884" s="945"/>
      <c r="W884" s="944"/>
      <c r="X884" s="944"/>
      <c r="Y884" s="755">
        <f t="shared" si="123"/>
        <v>0</v>
      </c>
      <c r="Z884" s="947"/>
      <c r="AA884" s="945"/>
      <c r="AB884" s="756">
        <f t="shared" si="124"/>
        <v>0</v>
      </c>
      <c r="AC884" s="944"/>
      <c r="AD884" s="945"/>
      <c r="AE884" s="944"/>
      <c r="AF884" s="944"/>
      <c r="AG884" s="947"/>
      <c r="AH884" s="948"/>
      <c r="AI884" s="757">
        <f t="shared" si="128"/>
        <v>0</v>
      </c>
      <c r="AJ884" s="758">
        <f t="shared" si="129"/>
        <v>0</v>
      </c>
    </row>
    <row r="885" spans="1:36" ht="14.25" x14ac:dyDescent="0.3">
      <c r="A885" s="934" t="s">
        <v>149</v>
      </c>
      <c r="B885" s="973" t="s">
        <v>204</v>
      </c>
      <c r="C885" s="974" t="s">
        <v>249</v>
      </c>
      <c r="D885" s="972"/>
      <c r="E885" s="975"/>
      <c r="F885" s="976"/>
      <c r="G885" s="944"/>
      <c r="H885" s="952"/>
      <c r="I885" s="942"/>
      <c r="J885" s="943"/>
      <c r="K885" s="944"/>
      <c r="L885" s="945"/>
      <c r="M885" s="977"/>
      <c r="N885" s="944"/>
      <c r="O885" s="752">
        <f t="shared" si="122"/>
        <v>0</v>
      </c>
      <c r="P885" s="978"/>
      <c r="Q885" s="952"/>
      <c r="R885" s="753">
        <f t="shared" si="125"/>
        <v>0</v>
      </c>
      <c r="S885" s="752">
        <f t="shared" si="126"/>
        <v>0</v>
      </c>
      <c r="T885" s="754">
        <f t="shared" si="127"/>
        <v>0</v>
      </c>
      <c r="U885" s="944"/>
      <c r="V885" s="945"/>
      <c r="W885" s="944"/>
      <c r="X885" s="944"/>
      <c r="Y885" s="755">
        <f t="shared" si="123"/>
        <v>0</v>
      </c>
      <c r="Z885" s="947"/>
      <c r="AA885" s="945"/>
      <c r="AB885" s="756">
        <f t="shared" si="124"/>
        <v>0</v>
      </c>
      <c r="AC885" s="944"/>
      <c r="AD885" s="945"/>
      <c r="AE885" s="944"/>
      <c r="AF885" s="944"/>
      <c r="AG885" s="947"/>
      <c r="AH885" s="948"/>
      <c r="AI885" s="757">
        <f t="shared" si="128"/>
        <v>0</v>
      </c>
      <c r="AJ885" s="758">
        <f t="shared" si="129"/>
        <v>0</v>
      </c>
    </row>
    <row r="886" spans="1:36" ht="14.25" x14ac:dyDescent="0.3">
      <c r="A886" s="934" t="s">
        <v>149</v>
      </c>
      <c r="B886" s="973" t="s">
        <v>205</v>
      </c>
      <c r="C886" s="974" t="s">
        <v>577</v>
      </c>
      <c r="D886" s="972"/>
      <c r="E886" s="975"/>
      <c r="F886" s="976"/>
      <c r="G886" s="944"/>
      <c r="H886" s="952"/>
      <c r="I886" s="942"/>
      <c r="J886" s="943"/>
      <c r="K886" s="944"/>
      <c r="L886" s="945"/>
      <c r="M886" s="977"/>
      <c r="N886" s="944"/>
      <c r="O886" s="752">
        <f t="shared" si="122"/>
        <v>0</v>
      </c>
      <c r="P886" s="978"/>
      <c r="Q886" s="952"/>
      <c r="R886" s="753">
        <f t="shared" si="125"/>
        <v>0</v>
      </c>
      <c r="S886" s="752">
        <f t="shared" si="126"/>
        <v>0</v>
      </c>
      <c r="T886" s="754">
        <f t="shared" si="127"/>
        <v>0</v>
      </c>
      <c r="U886" s="944"/>
      <c r="V886" s="945"/>
      <c r="W886" s="944"/>
      <c r="X886" s="944"/>
      <c r="Y886" s="755">
        <f t="shared" si="123"/>
        <v>0</v>
      </c>
      <c r="Z886" s="947"/>
      <c r="AA886" s="945"/>
      <c r="AB886" s="756">
        <f t="shared" si="124"/>
        <v>0</v>
      </c>
      <c r="AC886" s="944"/>
      <c r="AD886" s="945"/>
      <c r="AE886" s="944"/>
      <c r="AF886" s="944"/>
      <c r="AG886" s="947"/>
      <c r="AH886" s="948"/>
      <c r="AI886" s="757">
        <f t="shared" si="128"/>
        <v>0</v>
      </c>
      <c r="AJ886" s="758">
        <f t="shared" si="129"/>
        <v>0</v>
      </c>
    </row>
    <row r="887" spans="1:36" ht="14.25" x14ac:dyDescent="0.3">
      <c r="A887" s="934" t="s">
        <v>149</v>
      </c>
      <c r="B887" s="973" t="s">
        <v>218</v>
      </c>
      <c r="C887" s="974" t="s">
        <v>311</v>
      </c>
      <c r="D887" s="972"/>
      <c r="E887" s="975"/>
      <c r="F887" s="976"/>
      <c r="G887" s="944"/>
      <c r="H887" s="952"/>
      <c r="I887" s="942"/>
      <c r="J887" s="943"/>
      <c r="K887" s="944"/>
      <c r="L887" s="945"/>
      <c r="M887" s="977"/>
      <c r="N887" s="944"/>
      <c r="O887" s="752">
        <f t="shared" si="122"/>
        <v>0</v>
      </c>
      <c r="P887" s="978"/>
      <c r="Q887" s="952"/>
      <c r="R887" s="753">
        <f t="shared" si="125"/>
        <v>0</v>
      </c>
      <c r="S887" s="752">
        <f t="shared" si="126"/>
        <v>0</v>
      </c>
      <c r="T887" s="754">
        <f t="shared" si="127"/>
        <v>0</v>
      </c>
      <c r="U887" s="944"/>
      <c r="V887" s="945"/>
      <c r="W887" s="944"/>
      <c r="X887" s="944"/>
      <c r="Y887" s="755">
        <f t="shared" si="123"/>
        <v>0</v>
      </c>
      <c r="Z887" s="947"/>
      <c r="AA887" s="945"/>
      <c r="AB887" s="756">
        <f t="shared" si="124"/>
        <v>0</v>
      </c>
      <c r="AC887" s="944"/>
      <c r="AD887" s="945"/>
      <c r="AE887" s="944"/>
      <c r="AF887" s="944"/>
      <c r="AG887" s="947"/>
      <c r="AH887" s="948"/>
      <c r="AI887" s="757">
        <f t="shared" si="128"/>
        <v>0</v>
      </c>
      <c r="AJ887" s="758">
        <f t="shared" si="129"/>
        <v>0</v>
      </c>
    </row>
    <row r="888" spans="1:36" ht="14.25" x14ac:dyDescent="0.3">
      <c r="A888" s="934" t="s">
        <v>149</v>
      </c>
      <c r="B888" s="973" t="s">
        <v>219</v>
      </c>
      <c r="C888" s="974" t="s">
        <v>249</v>
      </c>
      <c r="D888" s="972"/>
      <c r="E888" s="975"/>
      <c r="F888" s="976"/>
      <c r="G888" s="944"/>
      <c r="H888" s="952"/>
      <c r="I888" s="942"/>
      <c r="J888" s="943"/>
      <c r="K888" s="944"/>
      <c r="L888" s="945"/>
      <c r="M888" s="977"/>
      <c r="N888" s="944"/>
      <c r="O888" s="752">
        <f t="shared" si="122"/>
        <v>0</v>
      </c>
      <c r="P888" s="978"/>
      <c r="Q888" s="952"/>
      <c r="R888" s="753">
        <f t="shared" si="125"/>
        <v>0</v>
      </c>
      <c r="S888" s="752">
        <f t="shared" si="126"/>
        <v>0</v>
      </c>
      <c r="T888" s="754">
        <f t="shared" si="127"/>
        <v>0</v>
      </c>
      <c r="U888" s="944"/>
      <c r="V888" s="945"/>
      <c r="W888" s="944"/>
      <c r="X888" s="944"/>
      <c r="Y888" s="755">
        <f t="shared" si="123"/>
        <v>0</v>
      </c>
      <c r="Z888" s="947"/>
      <c r="AA888" s="945"/>
      <c r="AB888" s="756">
        <f t="shared" si="124"/>
        <v>0</v>
      </c>
      <c r="AC888" s="944"/>
      <c r="AD888" s="945"/>
      <c r="AE888" s="944"/>
      <c r="AF888" s="944"/>
      <c r="AG888" s="947"/>
      <c r="AH888" s="948"/>
      <c r="AI888" s="757">
        <f t="shared" si="128"/>
        <v>0</v>
      </c>
      <c r="AJ888" s="758">
        <f t="shared" si="129"/>
        <v>0</v>
      </c>
    </row>
    <row r="889" spans="1:36" ht="14.25" x14ac:dyDescent="0.3">
      <c r="A889" s="934" t="s">
        <v>149</v>
      </c>
      <c r="B889" s="935" t="s">
        <v>292</v>
      </c>
      <c r="C889" s="971" t="s">
        <v>720</v>
      </c>
      <c r="D889" s="972"/>
      <c r="E889" s="951"/>
      <c r="F889" s="958"/>
      <c r="G889" s="944"/>
      <c r="H889" s="952"/>
      <c r="I889" s="942"/>
      <c r="J889" s="943"/>
      <c r="K889" s="944"/>
      <c r="L889" s="945"/>
      <c r="M889" s="977"/>
      <c r="N889" s="944"/>
      <c r="O889" s="752">
        <f t="shared" si="122"/>
        <v>0</v>
      </c>
      <c r="P889" s="978"/>
      <c r="Q889" s="952"/>
      <c r="R889" s="753">
        <f t="shared" si="125"/>
        <v>0</v>
      </c>
      <c r="S889" s="752">
        <f t="shared" si="126"/>
        <v>0</v>
      </c>
      <c r="T889" s="754">
        <f t="shared" si="127"/>
        <v>0</v>
      </c>
      <c r="U889" s="944"/>
      <c r="V889" s="945"/>
      <c r="W889" s="944"/>
      <c r="X889" s="944"/>
      <c r="Y889" s="755">
        <f t="shared" si="123"/>
        <v>0</v>
      </c>
      <c r="Z889" s="947"/>
      <c r="AA889" s="945"/>
      <c r="AB889" s="756">
        <f t="shared" si="124"/>
        <v>0</v>
      </c>
      <c r="AC889" s="944"/>
      <c r="AD889" s="945"/>
      <c r="AE889" s="944"/>
      <c r="AF889" s="944"/>
      <c r="AG889" s="947"/>
      <c r="AH889" s="948"/>
      <c r="AI889" s="757">
        <f t="shared" si="128"/>
        <v>0</v>
      </c>
      <c r="AJ889" s="758">
        <f t="shared" si="129"/>
        <v>0</v>
      </c>
    </row>
    <row r="890" spans="1:36" ht="14.25" x14ac:dyDescent="0.3">
      <c r="A890" s="934" t="s">
        <v>149</v>
      </c>
      <c r="B890" s="973" t="s">
        <v>310</v>
      </c>
      <c r="C890" s="974" t="s">
        <v>311</v>
      </c>
      <c r="D890" s="972"/>
      <c r="E890" s="951"/>
      <c r="F890" s="958"/>
      <c r="G890" s="944"/>
      <c r="H890" s="952"/>
      <c r="I890" s="942"/>
      <c r="J890" s="943"/>
      <c r="K890" s="944"/>
      <c r="L890" s="945"/>
      <c r="M890" s="977"/>
      <c r="N890" s="944"/>
      <c r="O890" s="752">
        <f t="shared" si="122"/>
        <v>0</v>
      </c>
      <c r="P890" s="978"/>
      <c r="Q890" s="952"/>
      <c r="R890" s="753">
        <f t="shared" si="125"/>
        <v>0</v>
      </c>
      <c r="S890" s="752">
        <f t="shared" si="126"/>
        <v>0</v>
      </c>
      <c r="T890" s="754">
        <f t="shared" si="127"/>
        <v>0</v>
      </c>
      <c r="U890" s="944">
        <v>49500</v>
      </c>
      <c r="V890" s="945">
        <v>50000</v>
      </c>
      <c r="W890" s="944"/>
      <c r="X890" s="944"/>
      <c r="Y890" s="755">
        <f t="shared" si="123"/>
        <v>0</v>
      </c>
      <c r="Z890" s="947"/>
      <c r="AA890" s="945"/>
      <c r="AB890" s="756">
        <f t="shared" si="124"/>
        <v>0</v>
      </c>
      <c r="AC890" s="944"/>
      <c r="AD890" s="945"/>
      <c r="AE890" s="944"/>
      <c r="AF890" s="944"/>
      <c r="AG890" s="947"/>
      <c r="AH890" s="948"/>
      <c r="AI890" s="757">
        <f t="shared" si="128"/>
        <v>49500</v>
      </c>
      <c r="AJ890" s="758">
        <f t="shared" si="129"/>
        <v>50000</v>
      </c>
    </row>
    <row r="891" spans="1:36" ht="14.25" x14ac:dyDescent="0.3">
      <c r="A891" s="934" t="s">
        <v>149</v>
      </c>
      <c r="B891" s="973" t="s">
        <v>251</v>
      </c>
      <c r="C891" s="974" t="s">
        <v>249</v>
      </c>
      <c r="D891" s="972"/>
      <c r="E891" s="951"/>
      <c r="F891" s="958"/>
      <c r="G891" s="944"/>
      <c r="H891" s="952"/>
      <c r="I891" s="942"/>
      <c r="J891" s="943"/>
      <c r="K891" s="944"/>
      <c r="L891" s="945"/>
      <c r="M891" s="977"/>
      <c r="N891" s="944"/>
      <c r="O891" s="752">
        <f t="shared" si="122"/>
        <v>0</v>
      </c>
      <c r="P891" s="978"/>
      <c r="Q891" s="952"/>
      <c r="R891" s="753">
        <f t="shared" si="125"/>
        <v>0</v>
      </c>
      <c r="S891" s="752">
        <f t="shared" si="126"/>
        <v>0</v>
      </c>
      <c r="T891" s="754">
        <f t="shared" si="127"/>
        <v>0</v>
      </c>
      <c r="U891" s="944"/>
      <c r="V891" s="945"/>
      <c r="W891" s="944"/>
      <c r="X891" s="944"/>
      <c r="Y891" s="755">
        <f t="shared" si="123"/>
        <v>0</v>
      </c>
      <c r="Z891" s="947"/>
      <c r="AA891" s="945"/>
      <c r="AB891" s="756">
        <f t="shared" si="124"/>
        <v>0</v>
      </c>
      <c r="AC891" s="944"/>
      <c r="AD891" s="945"/>
      <c r="AE891" s="944"/>
      <c r="AF891" s="944"/>
      <c r="AG891" s="947"/>
      <c r="AH891" s="948"/>
      <c r="AI891" s="757">
        <f t="shared" si="128"/>
        <v>0</v>
      </c>
      <c r="AJ891" s="758">
        <f t="shared" si="129"/>
        <v>0</v>
      </c>
    </row>
    <row r="892" spans="1:36" ht="14.25" x14ac:dyDescent="0.3">
      <c r="A892" s="934" t="s">
        <v>149</v>
      </c>
      <c r="B892" s="973" t="s">
        <v>209</v>
      </c>
      <c r="C892" s="974" t="s">
        <v>576</v>
      </c>
      <c r="D892" s="972"/>
      <c r="E892" s="975"/>
      <c r="F892" s="976"/>
      <c r="G892" s="944"/>
      <c r="H892" s="952"/>
      <c r="I892" s="942"/>
      <c r="J892" s="943"/>
      <c r="K892" s="944"/>
      <c r="L892" s="945"/>
      <c r="M892" s="977"/>
      <c r="N892" s="944"/>
      <c r="O892" s="752">
        <f t="shared" si="122"/>
        <v>0</v>
      </c>
      <c r="P892" s="978"/>
      <c r="Q892" s="952"/>
      <c r="R892" s="753">
        <f t="shared" si="125"/>
        <v>0</v>
      </c>
      <c r="S892" s="752">
        <f t="shared" si="126"/>
        <v>0</v>
      </c>
      <c r="T892" s="754">
        <f t="shared" si="127"/>
        <v>0</v>
      </c>
      <c r="U892" s="944"/>
      <c r="V892" s="945"/>
      <c r="W892" s="944"/>
      <c r="X892" s="944"/>
      <c r="Y892" s="755">
        <f t="shared" si="123"/>
        <v>0</v>
      </c>
      <c r="Z892" s="947"/>
      <c r="AA892" s="945"/>
      <c r="AB892" s="756">
        <f t="shared" si="124"/>
        <v>0</v>
      </c>
      <c r="AC892" s="944"/>
      <c r="AD892" s="945"/>
      <c r="AE892" s="944"/>
      <c r="AF892" s="944"/>
      <c r="AG892" s="947"/>
      <c r="AH892" s="948"/>
      <c r="AI892" s="757">
        <f t="shared" si="128"/>
        <v>0</v>
      </c>
      <c r="AJ892" s="758">
        <f t="shared" si="129"/>
        <v>0</v>
      </c>
    </row>
    <row r="893" spans="1:36" ht="14.25" x14ac:dyDescent="0.3">
      <c r="A893" s="934" t="s">
        <v>149</v>
      </c>
      <c r="B893" s="973" t="s">
        <v>210</v>
      </c>
      <c r="C893" s="974" t="s">
        <v>311</v>
      </c>
      <c r="D893" s="972"/>
      <c r="E893" s="975"/>
      <c r="F893" s="976"/>
      <c r="G893" s="944"/>
      <c r="H893" s="952"/>
      <c r="I893" s="942"/>
      <c r="J893" s="943"/>
      <c r="K893" s="944"/>
      <c r="L893" s="945"/>
      <c r="M893" s="977"/>
      <c r="N893" s="944"/>
      <c r="O893" s="752">
        <f t="shared" si="122"/>
        <v>0</v>
      </c>
      <c r="P893" s="978"/>
      <c r="Q893" s="952"/>
      <c r="R893" s="753">
        <f t="shared" si="125"/>
        <v>0</v>
      </c>
      <c r="S893" s="752">
        <f t="shared" si="126"/>
        <v>0</v>
      </c>
      <c r="T893" s="754">
        <f t="shared" si="127"/>
        <v>0</v>
      </c>
      <c r="U893" s="944"/>
      <c r="V893" s="945"/>
      <c r="W893" s="944"/>
      <c r="X893" s="944"/>
      <c r="Y893" s="755">
        <f t="shared" si="123"/>
        <v>0</v>
      </c>
      <c r="Z893" s="947"/>
      <c r="AA893" s="945"/>
      <c r="AB893" s="756">
        <f t="shared" si="124"/>
        <v>0</v>
      </c>
      <c r="AC893" s="944"/>
      <c r="AD893" s="945"/>
      <c r="AE893" s="944"/>
      <c r="AF893" s="944"/>
      <c r="AG893" s="947"/>
      <c r="AH893" s="948"/>
      <c r="AI893" s="757">
        <f t="shared" si="128"/>
        <v>0</v>
      </c>
      <c r="AJ893" s="758">
        <f t="shared" si="129"/>
        <v>0</v>
      </c>
    </row>
    <row r="894" spans="1:36" ht="14.25" x14ac:dyDescent="0.3">
      <c r="A894" s="934" t="s">
        <v>149</v>
      </c>
      <c r="B894" s="973" t="s">
        <v>204</v>
      </c>
      <c r="C894" s="974" t="s">
        <v>249</v>
      </c>
      <c r="D894" s="972"/>
      <c r="E894" s="975"/>
      <c r="F894" s="976"/>
      <c r="G894" s="944"/>
      <c r="H894" s="952"/>
      <c r="I894" s="942"/>
      <c r="J894" s="943"/>
      <c r="K894" s="944"/>
      <c r="L894" s="945"/>
      <c r="M894" s="977"/>
      <c r="N894" s="944"/>
      <c r="O894" s="752">
        <f t="shared" si="122"/>
        <v>0</v>
      </c>
      <c r="P894" s="978"/>
      <c r="Q894" s="952"/>
      <c r="R894" s="753">
        <f t="shared" si="125"/>
        <v>0</v>
      </c>
      <c r="S894" s="752">
        <f t="shared" si="126"/>
        <v>0</v>
      </c>
      <c r="T894" s="754">
        <f t="shared" si="127"/>
        <v>0</v>
      </c>
      <c r="U894" s="944"/>
      <c r="V894" s="945"/>
      <c r="W894" s="944"/>
      <c r="X894" s="944"/>
      <c r="Y894" s="755">
        <f t="shared" si="123"/>
        <v>0</v>
      </c>
      <c r="Z894" s="947"/>
      <c r="AA894" s="945"/>
      <c r="AB894" s="756">
        <f t="shared" si="124"/>
        <v>0</v>
      </c>
      <c r="AC894" s="944"/>
      <c r="AD894" s="945"/>
      <c r="AE894" s="944"/>
      <c r="AF894" s="944"/>
      <c r="AG894" s="947"/>
      <c r="AH894" s="948"/>
      <c r="AI894" s="757">
        <f t="shared" si="128"/>
        <v>0</v>
      </c>
      <c r="AJ894" s="758">
        <f t="shared" si="129"/>
        <v>0</v>
      </c>
    </row>
    <row r="895" spans="1:36" ht="14.25" x14ac:dyDescent="0.3">
      <c r="A895" s="934" t="s">
        <v>149</v>
      </c>
      <c r="B895" s="973" t="s">
        <v>205</v>
      </c>
      <c r="C895" s="974" t="s">
        <v>577</v>
      </c>
      <c r="D895" s="972"/>
      <c r="E895" s="975"/>
      <c r="F895" s="976"/>
      <c r="G895" s="944"/>
      <c r="H895" s="952"/>
      <c r="I895" s="942"/>
      <c r="J895" s="943"/>
      <c r="K895" s="944"/>
      <c r="L895" s="945"/>
      <c r="M895" s="977"/>
      <c r="N895" s="944"/>
      <c r="O895" s="752">
        <f t="shared" si="122"/>
        <v>0</v>
      </c>
      <c r="P895" s="978"/>
      <c r="Q895" s="952"/>
      <c r="R895" s="753">
        <f t="shared" si="125"/>
        <v>0</v>
      </c>
      <c r="S895" s="752">
        <f t="shared" si="126"/>
        <v>0</v>
      </c>
      <c r="T895" s="754">
        <f t="shared" si="127"/>
        <v>0</v>
      </c>
      <c r="U895" s="944"/>
      <c r="V895" s="945"/>
      <c r="W895" s="944"/>
      <c r="X895" s="944"/>
      <c r="Y895" s="755">
        <f t="shared" si="123"/>
        <v>0</v>
      </c>
      <c r="Z895" s="947"/>
      <c r="AA895" s="945"/>
      <c r="AB895" s="756">
        <f t="shared" si="124"/>
        <v>0</v>
      </c>
      <c r="AC895" s="944"/>
      <c r="AD895" s="945"/>
      <c r="AE895" s="944"/>
      <c r="AF895" s="944"/>
      <c r="AG895" s="947"/>
      <c r="AH895" s="948"/>
      <c r="AI895" s="757">
        <f t="shared" si="128"/>
        <v>0</v>
      </c>
      <c r="AJ895" s="758">
        <f t="shared" si="129"/>
        <v>0</v>
      </c>
    </row>
    <row r="896" spans="1:36" ht="14.25" x14ac:dyDescent="0.3">
      <c r="A896" s="934" t="s">
        <v>149</v>
      </c>
      <c r="B896" s="973" t="s">
        <v>218</v>
      </c>
      <c r="C896" s="974" t="s">
        <v>311</v>
      </c>
      <c r="D896" s="972"/>
      <c r="E896" s="975"/>
      <c r="F896" s="976"/>
      <c r="G896" s="944"/>
      <c r="H896" s="952"/>
      <c r="I896" s="942"/>
      <c r="J896" s="943"/>
      <c r="K896" s="944"/>
      <c r="L896" s="945"/>
      <c r="M896" s="977"/>
      <c r="N896" s="944"/>
      <c r="O896" s="752">
        <f t="shared" si="122"/>
        <v>0</v>
      </c>
      <c r="P896" s="978"/>
      <c r="Q896" s="952"/>
      <c r="R896" s="753">
        <f t="shared" si="125"/>
        <v>0</v>
      </c>
      <c r="S896" s="752">
        <f t="shared" si="126"/>
        <v>0</v>
      </c>
      <c r="T896" s="754">
        <f t="shared" si="127"/>
        <v>0</v>
      </c>
      <c r="U896" s="944"/>
      <c r="V896" s="945"/>
      <c r="W896" s="944"/>
      <c r="X896" s="944"/>
      <c r="Y896" s="755">
        <f t="shared" si="123"/>
        <v>0</v>
      </c>
      <c r="Z896" s="947"/>
      <c r="AA896" s="945"/>
      <c r="AB896" s="756">
        <f t="shared" si="124"/>
        <v>0</v>
      </c>
      <c r="AC896" s="944"/>
      <c r="AD896" s="945"/>
      <c r="AE896" s="944"/>
      <c r="AF896" s="944"/>
      <c r="AG896" s="947"/>
      <c r="AH896" s="948"/>
      <c r="AI896" s="757">
        <f t="shared" si="128"/>
        <v>0</v>
      </c>
      <c r="AJ896" s="758">
        <f t="shared" si="129"/>
        <v>0</v>
      </c>
    </row>
    <row r="897" spans="1:36" ht="14.25" x14ac:dyDescent="0.3">
      <c r="A897" s="934" t="s">
        <v>149</v>
      </c>
      <c r="B897" s="973" t="s">
        <v>219</v>
      </c>
      <c r="C897" s="974" t="s">
        <v>249</v>
      </c>
      <c r="D897" s="972"/>
      <c r="E897" s="975"/>
      <c r="F897" s="976"/>
      <c r="G897" s="944"/>
      <c r="H897" s="952"/>
      <c r="I897" s="942"/>
      <c r="J897" s="943"/>
      <c r="K897" s="944"/>
      <c r="L897" s="945"/>
      <c r="M897" s="977"/>
      <c r="N897" s="944"/>
      <c r="O897" s="752">
        <f t="shared" si="122"/>
        <v>0</v>
      </c>
      <c r="P897" s="978"/>
      <c r="Q897" s="952"/>
      <c r="R897" s="753">
        <f t="shared" si="125"/>
        <v>0</v>
      </c>
      <c r="S897" s="752">
        <f t="shared" si="126"/>
        <v>0</v>
      </c>
      <c r="T897" s="754">
        <f t="shared" si="127"/>
        <v>0</v>
      </c>
      <c r="U897" s="944"/>
      <c r="V897" s="945"/>
      <c r="W897" s="944"/>
      <c r="X897" s="944"/>
      <c r="Y897" s="755">
        <f t="shared" si="123"/>
        <v>0</v>
      </c>
      <c r="Z897" s="947"/>
      <c r="AA897" s="945"/>
      <c r="AB897" s="756">
        <f t="shared" si="124"/>
        <v>0</v>
      </c>
      <c r="AC897" s="944"/>
      <c r="AD897" s="945"/>
      <c r="AE897" s="944"/>
      <c r="AF897" s="944"/>
      <c r="AG897" s="947"/>
      <c r="AH897" s="948"/>
      <c r="AI897" s="757">
        <f t="shared" si="128"/>
        <v>0</v>
      </c>
      <c r="AJ897" s="758">
        <f t="shared" si="129"/>
        <v>0</v>
      </c>
    </row>
    <row r="898" spans="1:36" ht="14.25" x14ac:dyDescent="0.3">
      <c r="A898" s="934" t="s">
        <v>149</v>
      </c>
      <c r="B898" s="935" t="s">
        <v>292</v>
      </c>
      <c r="C898" s="971" t="s">
        <v>721</v>
      </c>
      <c r="D898" s="972"/>
      <c r="E898" s="951"/>
      <c r="F898" s="958"/>
      <c r="G898" s="944"/>
      <c r="H898" s="952"/>
      <c r="I898" s="942"/>
      <c r="J898" s="943"/>
      <c r="K898" s="944"/>
      <c r="L898" s="945"/>
      <c r="M898" s="977"/>
      <c r="N898" s="944"/>
      <c r="O898" s="752">
        <f t="shared" si="122"/>
        <v>0</v>
      </c>
      <c r="P898" s="978"/>
      <c r="Q898" s="952"/>
      <c r="R898" s="753">
        <f t="shared" si="125"/>
        <v>0</v>
      </c>
      <c r="S898" s="752">
        <f t="shared" si="126"/>
        <v>0</v>
      </c>
      <c r="T898" s="754">
        <f t="shared" si="127"/>
        <v>0</v>
      </c>
      <c r="U898" s="944"/>
      <c r="V898" s="945"/>
      <c r="W898" s="944"/>
      <c r="X898" s="944"/>
      <c r="Y898" s="755">
        <f t="shared" si="123"/>
        <v>0</v>
      </c>
      <c r="Z898" s="947"/>
      <c r="AA898" s="945"/>
      <c r="AB898" s="756">
        <f t="shared" si="124"/>
        <v>0</v>
      </c>
      <c r="AC898" s="944"/>
      <c r="AD898" s="945"/>
      <c r="AE898" s="944"/>
      <c r="AF898" s="944"/>
      <c r="AG898" s="947"/>
      <c r="AH898" s="948"/>
      <c r="AI898" s="757">
        <f t="shared" si="128"/>
        <v>0</v>
      </c>
      <c r="AJ898" s="758">
        <f t="shared" si="129"/>
        <v>0</v>
      </c>
    </row>
    <row r="899" spans="1:36" ht="14.25" x14ac:dyDescent="0.3">
      <c r="A899" s="934" t="s">
        <v>149</v>
      </c>
      <c r="B899" s="973" t="s">
        <v>310</v>
      </c>
      <c r="C899" s="974" t="s">
        <v>311</v>
      </c>
      <c r="D899" s="972"/>
      <c r="E899" s="951"/>
      <c r="F899" s="958"/>
      <c r="G899" s="944"/>
      <c r="H899" s="952"/>
      <c r="I899" s="942"/>
      <c r="J899" s="943"/>
      <c r="K899" s="944"/>
      <c r="L899" s="945"/>
      <c r="M899" s="977"/>
      <c r="N899" s="944"/>
      <c r="O899" s="752">
        <f t="shared" si="122"/>
        <v>0</v>
      </c>
      <c r="P899" s="978"/>
      <c r="Q899" s="952"/>
      <c r="R899" s="753">
        <f t="shared" si="125"/>
        <v>0</v>
      </c>
      <c r="S899" s="752">
        <f t="shared" si="126"/>
        <v>0</v>
      </c>
      <c r="T899" s="754">
        <f t="shared" si="127"/>
        <v>0</v>
      </c>
      <c r="U899" s="944">
        <v>7000000</v>
      </c>
      <c r="V899" s="953">
        <v>7000000</v>
      </c>
      <c r="W899" s="944"/>
      <c r="X899" s="944"/>
      <c r="Y899" s="755">
        <f t="shared" si="123"/>
        <v>0</v>
      </c>
      <c r="Z899" s="947"/>
      <c r="AA899" s="945"/>
      <c r="AB899" s="756">
        <f t="shared" si="124"/>
        <v>0</v>
      </c>
      <c r="AC899" s="944"/>
      <c r="AD899" s="945"/>
      <c r="AE899" s="944"/>
      <c r="AF899" s="944"/>
      <c r="AG899" s="947"/>
      <c r="AH899" s="948"/>
      <c r="AI899" s="757">
        <f t="shared" si="128"/>
        <v>7000000</v>
      </c>
      <c r="AJ899" s="758">
        <f t="shared" si="129"/>
        <v>7000000</v>
      </c>
    </row>
    <row r="900" spans="1:36" ht="14.25" x14ac:dyDescent="0.3">
      <c r="A900" s="934" t="s">
        <v>149</v>
      </c>
      <c r="B900" s="973" t="s">
        <v>251</v>
      </c>
      <c r="C900" s="974" t="s">
        <v>249</v>
      </c>
      <c r="D900" s="972"/>
      <c r="E900" s="951"/>
      <c r="F900" s="958"/>
      <c r="G900" s="944"/>
      <c r="H900" s="952"/>
      <c r="I900" s="942"/>
      <c r="J900" s="943"/>
      <c r="K900" s="944"/>
      <c r="L900" s="945"/>
      <c r="M900" s="977"/>
      <c r="N900" s="944"/>
      <c r="O900" s="752">
        <f t="shared" si="122"/>
        <v>0</v>
      </c>
      <c r="P900" s="978"/>
      <c r="Q900" s="952"/>
      <c r="R900" s="753">
        <f t="shared" si="125"/>
        <v>0</v>
      </c>
      <c r="S900" s="752">
        <f t="shared" si="126"/>
        <v>0</v>
      </c>
      <c r="T900" s="754">
        <f t="shared" si="127"/>
        <v>0</v>
      </c>
      <c r="U900" s="944"/>
      <c r="V900" s="953"/>
      <c r="W900" s="944"/>
      <c r="X900" s="944"/>
      <c r="Y900" s="755">
        <f t="shared" si="123"/>
        <v>0</v>
      </c>
      <c r="Z900" s="947"/>
      <c r="AA900" s="945"/>
      <c r="AB900" s="756">
        <f t="shared" si="124"/>
        <v>0</v>
      </c>
      <c r="AC900" s="944"/>
      <c r="AD900" s="945"/>
      <c r="AE900" s="944"/>
      <c r="AF900" s="944"/>
      <c r="AG900" s="947"/>
      <c r="AH900" s="948"/>
      <c r="AI900" s="757">
        <f t="shared" si="128"/>
        <v>0</v>
      </c>
      <c r="AJ900" s="758">
        <f t="shared" si="129"/>
        <v>0</v>
      </c>
    </row>
    <row r="901" spans="1:36" ht="14.25" x14ac:dyDescent="0.3">
      <c r="A901" s="934" t="s">
        <v>149</v>
      </c>
      <c r="B901" s="973" t="s">
        <v>209</v>
      </c>
      <c r="C901" s="974" t="s">
        <v>576</v>
      </c>
      <c r="D901" s="972"/>
      <c r="E901" s="975"/>
      <c r="F901" s="976"/>
      <c r="G901" s="944"/>
      <c r="H901" s="952"/>
      <c r="I901" s="942"/>
      <c r="J901" s="943"/>
      <c r="K901" s="944"/>
      <c r="L901" s="945"/>
      <c r="M901" s="977"/>
      <c r="N901" s="944"/>
      <c r="O901" s="752">
        <f t="shared" si="122"/>
        <v>0</v>
      </c>
      <c r="P901" s="978"/>
      <c r="Q901" s="952"/>
      <c r="R901" s="753">
        <f t="shared" si="125"/>
        <v>0</v>
      </c>
      <c r="S901" s="752">
        <f t="shared" si="126"/>
        <v>0</v>
      </c>
      <c r="T901" s="754">
        <f t="shared" si="127"/>
        <v>0</v>
      </c>
      <c r="U901" s="944"/>
      <c r="V901" s="953"/>
      <c r="W901" s="944"/>
      <c r="X901" s="944"/>
      <c r="Y901" s="755">
        <f t="shared" si="123"/>
        <v>0</v>
      </c>
      <c r="Z901" s="947"/>
      <c r="AA901" s="945"/>
      <c r="AB901" s="756">
        <f t="shared" si="124"/>
        <v>0</v>
      </c>
      <c r="AC901" s="944"/>
      <c r="AD901" s="945"/>
      <c r="AE901" s="944"/>
      <c r="AF901" s="944"/>
      <c r="AG901" s="947"/>
      <c r="AH901" s="948"/>
      <c r="AI901" s="757">
        <f t="shared" si="128"/>
        <v>0</v>
      </c>
      <c r="AJ901" s="758">
        <f t="shared" si="129"/>
        <v>0</v>
      </c>
    </row>
    <row r="902" spans="1:36" ht="14.25" x14ac:dyDescent="0.3">
      <c r="A902" s="934" t="s">
        <v>149</v>
      </c>
      <c r="B902" s="973" t="s">
        <v>210</v>
      </c>
      <c r="C902" s="974" t="s">
        <v>311</v>
      </c>
      <c r="D902" s="972"/>
      <c r="E902" s="975"/>
      <c r="F902" s="976"/>
      <c r="G902" s="944"/>
      <c r="H902" s="952"/>
      <c r="I902" s="942"/>
      <c r="J902" s="943"/>
      <c r="K902" s="944"/>
      <c r="L902" s="945"/>
      <c r="M902" s="977"/>
      <c r="N902" s="944"/>
      <c r="O902" s="752">
        <f t="shared" si="122"/>
        <v>0</v>
      </c>
      <c r="P902" s="978"/>
      <c r="Q902" s="952"/>
      <c r="R902" s="753">
        <f t="shared" si="125"/>
        <v>0</v>
      </c>
      <c r="S902" s="752">
        <f t="shared" si="126"/>
        <v>0</v>
      </c>
      <c r="T902" s="754">
        <f t="shared" si="127"/>
        <v>0</v>
      </c>
      <c r="U902" s="944"/>
      <c r="V902" s="953"/>
      <c r="W902" s="944"/>
      <c r="X902" s="944"/>
      <c r="Y902" s="755">
        <f t="shared" si="123"/>
        <v>0</v>
      </c>
      <c r="Z902" s="947"/>
      <c r="AA902" s="945"/>
      <c r="AB902" s="756">
        <f t="shared" si="124"/>
        <v>0</v>
      </c>
      <c r="AC902" s="944"/>
      <c r="AD902" s="945"/>
      <c r="AE902" s="944"/>
      <c r="AF902" s="944"/>
      <c r="AG902" s="947"/>
      <c r="AH902" s="948"/>
      <c r="AI902" s="757">
        <f t="shared" si="128"/>
        <v>0</v>
      </c>
      <c r="AJ902" s="758">
        <f t="shared" si="129"/>
        <v>0</v>
      </c>
    </row>
    <row r="903" spans="1:36" ht="14.25" x14ac:dyDescent="0.3">
      <c r="A903" s="934" t="s">
        <v>149</v>
      </c>
      <c r="B903" s="973" t="s">
        <v>204</v>
      </c>
      <c r="C903" s="974" t="s">
        <v>249</v>
      </c>
      <c r="D903" s="972"/>
      <c r="E903" s="975"/>
      <c r="F903" s="976"/>
      <c r="G903" s="944"/>
      <c r="H903" s="952"/>
      <c r="I903" s="942"/>
      <c r="J903" s="943"/>
      <c r="K903" s="944"/>
      <c r="L903" s="945"/>
      <c r="M903" s="977"/>
      <c r="N903" s="944"/>
      <c r="O903" s="752">
        <f t="shared" si="122"/>
        <v>0</v>
      </c>
      <c r="P903" s="978"/>
      <c r="Q903" s="952"/>
      <c r="R903" s="753">
        <f t="shared" si="125"/>
        <v>0</v>
      </c>
      <c r="S903" s="752">
        <f t="shared" si="126"/>
        <v>0</v>
      </c>
      <c r="T903" s="754">
        <f t="shared" si="127"/>
        <v>0</v>
      </c>
      <c r="U903" s="944"/>
      <c r="V903" s="945"/>
      <c r="W903" s="944"/>
      <c r="X903" s="944"/>
      <c r="Y903" s="755">
        <f t="shared" si="123"/>
        <v>0</v>
      </c>
      <c r="Z903" s="947"/>
      <c r="AA903" s="945"/>
      <c r="AB903" s="756">
        <f t="shared" si="124"/>
        <v>0</v>
      </c>
      <c r="AC903" s="944"/>
      <c r="AD903" s="945"/>
      <c r="AE903" s="944"/>
      <c r="AF903" s="944"/>
      <c r="AG903" s="947"/>
      <c r="AH903" s="948"/>
      <c r="AI903" s="757">
        <f t="shared" si="128"/>
        <v>0</v>
      </c>
      <c r="AJ903" s="758">
        <f t="shared" si="129"/>
        <v>0</v>
      </c>
    </row>
    <row r="904" spans="1:36" ht="14.25" x14ac:dyDescent="0.3">
      <c r="A904" s="934" t="s">
        <v>149</v>
      </c>
      <c r="B904" s="973" t="s">
        <v>205</v>
      </c>
      <c r="C904" s="974" t="s">
        <v>577</v>
      </c>
      <c r="D904" s="972"/>
      <c r="E904" s="975"/>
      <c r="F904" s="976"/>
      <c r="G904" s="944"/>
      <c r="H904" s="952"/>
      <c r="I904" s="942"/>
      <c r="J904" s="943"/>
      <c r="K904" s="944"/>
      <c r="L904" s="945"/>
      <c r="M904" s="977"/>
      <c r="N904" s="944"/>
      <c r="O904" s="752">
        <f t="shared" si="122"/>
        <v>0</v>
      </c>
      <c r="P904" s="978"/>
      <c r="Q904" s="952"/>
      <c r="R904" s="753">
        <f t="shared" si="125"/>
        <v>0</v>
      </c>
      <c r="S904" s="752">
        <f t="shared" si="126"/>
        <v>0</v>
      </c>
      <c r="T904" s="754">
        <f t="shared" si="127"/>
        <v>0</v>
      </c>
      <c r="U904" s="944"/>
      <c r="V904" s="945"/>
      <c r="W904" s="944"/>
      <c r="X904" s="944"/>
      <c r="Y904" s="755">
        <f t="shared" si="123"/>
        <v>0</v>
      </c>
      <c r="Z904" s="947"/>
      <c r="AA904" s="945"/>
      <c r="AB904" s="756">
        <f t="shared" si="124"/>
        <v>0</v>
      </c>
      <c r="AC904" s="944"/>
      <c r="AD904" s="945"/>
      <c r="AE904" s="944"/>
      <c r="AF904" s="944"/>
      <c r="AG904" s="947"/>
      <c r="AH904" s="948"/>
      <c r="AI904" s="757">
        <f t="shared" si="128"/>
        <v>0</v>
      </c>
      <c r="AJ904" s="758">
        <f t="shared" si="129"/>
        <v>0</v>
      </c>
    </row>
    <row r="905" spans="1:36" ht="14.25" x14ac:dyDescent="0.3">
      <c r="A905" s="934" t="s">
        <v>149</v>
      </c>
      <c r="B905" s="973" t="s">
        <v>218</v>
      </c>
      <c r="C905" s="974" t="s">
        <v>311</v>
      </c>
      <c r="D905" s="972"/>
      <c r="E905" s="975"/>
      <c r="F905" s="976"/>
      <c r="G905" s="944"/>
      <c r="H905" s="952"/>
      <c r="I905" s="942"/>
      <c r="J905" s="943"/>
      <c r="K905" s="944"/>
      <c r="L905" s="945"/>
      <c r="M905" s="977"/>
      <c r="N905" s="944"/>
      <c r="O905" s="752">
        <f t="shared" si="122"/>
        <v>0</v>
      </c>
      <c r="P905" s="978"/>
      <c r="Q905" s="952"/>
      <c r="R905" s="753">
        <f t="shared" si="125"/>
        <v>0</v>
      </c>
      <c r="S905" s="752">
        <f t="shared" si="126"/>
        <v>0</v>
      </c>
      <c r="T905" s="754">
        <f t="shared" si="127"/>
        <v>0</v>
      </c>
      <c r="U905" s="944"/>
      <c r="V905" s="945"/>
      <c r="W905" s="944"/>
      <c r="X905" s="944"/>
      <c r="Y905" s="755">
        <f t="shared" si="123"/>
        <v>0</v>
      </c>
      <c r="Z905" s="947"/>
      <c r="AA905" s="945"/>
      <c r="AB905" s="756">
        <f t="shared" si="124"/>
        <v>0</v>
      </c>
      <c r="AC905" s="944"/>
      <c r="AD905" s="945"/>
      <c r="AE905" s="944"/>
      <c r="AF905" s="944"/>
      <c r="AG905" s="947"/>
      <c r="AH905" s="948"/>
      <c r="AI905" s="757">
        <f t="shared" si="128"/>
        <v>0</v>
      </c>
      <c r="AJ905" s="758">
        <f t="shared" si="129"/>
        <v>0</v>
      </c>
    </row>
    <row r="906" spans="1:36" ht="14.25" x14ac:dyDescent="0.3">
      <c r="A906" s="934" t="s">
        <v>149</v>
      </c>
      <c r="B906" s="973" t="s">
        <v>219</v>
      </c>
      <c r="C906" s="974" t="s">
        <v>249</v>
      </c>
      <c r="D906" s="972"/>
      <c r="E906" s="975"/>
      <c r="F906" s="976"/>
      <c r="G906" s="944"/>
      <c r="H906" s="952"/>
      <c r="I906" s="942"/>
      <c r="J906" s="943"/>
      <c r="K906" s="944"/>
      <c r="L906" s="945"/>
      <c r="M906" s="977"/>
      <c r="N906" s="944"/>
      <c r="O906" s="752">
        <f t="shared" si="122"/>
        <v>0</v>
      </c>
      <c r="P906" s="978"/>
      <c r="Q906" s="952"/>
      <c r="R906" s="753">
        <f t="shared" si="125"/>
        <v>0</v>
      </c>
      <c r="S906" s="752">
        <f t="shared" si="126"/>
        <v>0</v>
      </c>
      <c r="T906" s="754">
        <f t="shared" si="127"/>
        <v>0</v>
      </c>
      <c r="U906" s="944"/>
      <c r="V906" s="945"/>
      <c r="W906" s="944"/>
      <c r="X906" s="944"/>
      <c r="Y906" s="755">
        <f t="shared" si="123"/>
        <v>0</v>
      </c>
      <c r="Z906" s="947"/>
      <c r="AA906" s="945"/>
      <c r="AB906" s="756">
        <f t="shared" si="124"/>
        <v>0</v>
      </c>
      <c r="AC906" s="944"/>
      <c r="AD906" s="945"/>
      <c r="AE906" s="944"/>
      <c r="AF906" s="944"/>
      <c r="AG906" s="947"/>
      <c r="AH906" s="948"/>
      <c r="AI906" s="757">
        <f t="shared" si="128"/>
        <v>0</v>
      </c>
      <c r="AJ906" s="758">
        <f t="shared" si="129"/>
        <v>0</v>
      </c>
    </row>
    <row r="907" spans="1:36" ht="14.25" x14ac:dyDescent="0.3">
      <c r="A907" s="934" t="s">
        <v>149</v>
      </c>
      <c r="B907" s="935" t="s">
        <v>293</v>
      </c>
      <c r="C907" s="969" t="s">
        <v>121</v>
      </c>
      <c r="D907" s="970"/>
      <c r="E907" s="951"/>
      <c r="F907" s="958"/>
      <c r="G907" s="944"/>
      <c r="H907" s="952"/>
      <c r="I907" s="942"/>
      <c r="J907" s="943"/>
      <c r="K907" s="944"/>
      <c r="L907" s="945"/>
      <c r="M907" s="977"/>
      <c r="N907" s="944"/>
      <c r="O907" s="752">
        <f t="shared" ref="O907:O970" si="130">SUM(M907:N907)</f>
        <v>0</v>
      </c>
      <c r="P907" s="978"/>
      <c r="Q907" s="952"/>
      <c r="R907" s="753">
        <f t="shared" si="125"/>
        <v>0</v>
      </c>
      <c r="S907" s="752">
        <f t="shared" si="126"/>
        <v>0</v>
      </c>
      <c r="T907" s="754">
        <f t="shared" si="127"/>
        <v>0</v>
      </c>
      <c r="U907" s="944"/>
      <c r="V907" s="945"/>
      <c r="W907" s="944"/>
      <c r="X907" s="944"/>
      <c r="Y907" s="755">
        <f t="shared" ref="Y907:Y970" si="131">SUM(W907:X907)</f>
        <v>0</v>
      </c>
      <c r="Z907" s="947"/>
      <c r="AA907" s="945"/>
      <c r="AB907" s="756">
        <f t="shared" ref="AB907:AB970" si="132">SUM(Z907:AA907)</f>
        <v>0</v>
      </c>
      <c r="AC907" s="944"/>
      <c r="AD907" s="945"/>
      <c r="AE907" s="944"/>
      <c r="AF907" s="944"/>
      <c r="AG907" s="947"/>
      <c r="AH907" s="948"/>
      <c r="AI907" s="757">
        <f t="shared" si="128"/>
        <v>0</v>
      </c>
      <c r="AJ907" s="758">
        <f t="shared" si="129"/>
        <v>0</v>
      </c>
    </row>
    <row r="908" spans="1:36" ht="14.25" x14ac:dyDescent="0.3">
      <c r="A908" s="934" t="s">
        <v>149</v>
      </c>
      <c r="B908" s="935" t="s">
        <v>293</v>
      </c>
      <c r="C908" s="971" t="s">
        <v>722</v>
      </c>
      <c r="D908" s="972"/>
      <c r="E908" s="975"/>
      <c r="F908" s="976"/>
      <c r="G908" s="944"/>
      <c r="H908" s="952"/>
      <c r="I908" s="942"/>
      <c r="J908" s="943"/>
      <c r="K908" s="944"/>
      <c r="L908" s="945"/>
      <c r="M908" s="977"/>
      <c r="N908" s="944"/>
      <c r="O908" s="752">
        <f t="shared" si="130"/>
        <v>0</v>
      </c>
      <c r="P908" s="978"/>
      <c r="Q908" s="952"/>
      <c r="R908" s="753">
        <f t="shared" ref="R908:R971" si="133">SUM(P908:Q908)</f>
        <v>0</v>
      </c>
      <c r="S908" s="752">
        <f t="shared" ref="S908:S971" si="134">SUM(G908,I908,K908,M908)</f>
        <v>0</v>
      </c>
      <c r="T908" s="754">
        <f t="shared" ref="T908:T971" si="135">SUM(H908,J908,L908,P908)</f>
        <v>0</v>
      </c>
      <c r="U908" s="944"/>
      <c r="V908" s="945"/>
      <c r="W908" s="944"/>
      <c r="X908" s="944"/>
      <c r="Y908" s="755">
        <f t="shared" si="131"/>
        <v>0</v>
      </c>
      <c r="Z908" s="947"/>
      <c r="AA908" s="945"/>
      <c r="AB908" s="756">
        <f t="shared" si="132"/>
        <v>0</v>
      </c>
      <c r="AC908" s="944"/>
      <c r="AD908" s="945"/>
      <c r="AE908" s="944"/>
      <c r="AF908" s="944"/>
      <c r="AG908" s="947"/>
      <c r="AH908" s="948"/>
      <c r="AI908" s="757">
        <f t="shared" ref="AI908:AI971" si="136">SUM(S908,U908,W908,AC908,AE908)</f>
        <v>0</v>
      </c>
      <c r="AJ908" s="758">
        <f t="shared" ref="AJ908:AJ971" si="137">SUM(T908,V908,Z908,AD908,AG908)</f>
        <v>0</v>
      </c>
    </row>
    <row r="909" spans="1:36" ht="14.25" x14ac:dyDescent="0.3">
      <c r="A909" s="934" t="s">
        <v>149</v>
      </c>
      <c r="B909" s="973" t="s">
        <v>252</v>
      </c>
      <c r="C909" s="974" t="s">
        <v>311</v>
      </c>
      <c r="D909" s="972"/>
      <c r="E909" s="975"/>
      <c r="F909" s="976"/>
      <c r="G909" s="944"/>
      <c r="H909" s="952"/>
      <c r="I909" s="942"/>
      <c r="J909" s="943"/>
      <c r="K909" s="944"/>
      <c r="L909" s="945"/>
      <c r="M909" s="977"/>
      <c r="N909" s="944"/>
      <c r="O909" s="752">
        <f t="shared" si="130"/>
        <v>0</v>
      </c>
      <c r="P909" s="978"/>
      <c r="Q909" s="952"/>
      <c r="R909" s="753">
        <f t="shared" si="133"/>
        <v>0</v>
      </c>
      <c r="S909" s="752">
        <f t="shared" si="134"/>
        <v>0</v>
      </c>
      <c r="T909" s="754">
        <f t="shared" si="135"/>
        <v>0</v>
      </c>
      <c r="U909" s="944">
        <v>104703724</v>
      </c>
      <c r="V909" s="945">
        <v>102964587</v>
      </c>
      <c r="W909" s="944"/>
      <c r="X909" s="944"/>
      <c r="Y909" s="755">
        <f t="shared" si="131"/>
        <v>0</v>
      </c>
      <c r="Z909" s="947"/>
      <c r="AA909" s="945"/>
      <c r="AB909" s="756">
        <f t="shared" si="132"/>
        <v>0</v>
      </c>
      <c r="AC909" s="944"/>
      <c r="AD909" s="945"/>
      <c r="AE909" s="944"/>
      <c r="AF909" s="944"/>
      <c r="AG909" s="947"/>
      <c r="AH909" s="948"/>
      <c r="AI909" s="757">
        <f t="shared" si="136"/>
        <v>104703724</v>
      </c>
      <c r="AJ909" s="758">
        <f t="shared" si="137"/>
        <v>102964587</v>
      </c>
    </row>
    <row r="910" spans="1:36" ht="14.25" x14ac:dyDescent="0.3">
      <c r="A910" s="934" t="s">
        <v>149</v>
      </c>
      <c r="B910" s="973" t="s">
        <v>253</v>
      </c>
      <c r="C910" s="974" t="s">
        <v>249</v>
      </c>
      <c r="D910" s="972"/>
      <c r="E910" s="975"/>
      <c r="F910" s="976"/>
      <c r="G910" s="944"/>
      <c r="H910" s="952"/>
      <c r="I910" s="942"/>
      <c r="J910" s="943"/>
      <c r="K910" s="944"/>
      <c r="L910" s="945"/>
      <c r="M910" s="977"/>
      <c r="N910" s="944"/>
      <c r="O910" s="752">
        <f t="shared" si="130"/>
        <v>0</v>
      </c>
      <c r="P910" s="978"/>
      <c r="Q910" s="952"/>
      <c r="R910" s="753">
        <f t="shared" si="133"/>
        <v>0</v>
      </c>
      <c r="S910" s="752">
        <f t="shared" si="134"/>
        <v>0</v>
      </c>
      <c r="T910" s="754">
        <f t="shared" si="135"/>
        <v>0</v>
      </c>
      <c r="U910" s="944"/>
      <c r="V910" s="945"/>
      <c r="W910" s="944"/>
      <c r="X910" s="944"/>
      <c r="Y910" s="755">
        <f t="shared" si="131"/>
        <v>0</v>
      </c>
      <c r="Z910" s="947"/>
      <c r="AA910" s="945"/>
      <c r="AB910" s="756">
        <f t="shared" si="132"/>
        <v>0</v>
      </c>
      <c r="AC910" s="944"/>
      <c r="AD910" s="945"/>
      <c r="AE910" s="944"/>
      <c r="AF910" s="944"/>
      <c r="AG910" s="947"/>
      <c r="AH910" s="948"/>
      <c r="AI910" s="757">
        <f t="shared" si="136"/>
        <v>0</v>
      </c>
      <c r="AJ910" s="758">
        <f t="shared" si="137"/>
        <v>0</v>
      </c>
    </row>
    <row r="911" spans="1:36" ht="14.25" x14ac:dyDescent="0.3">
      <c r="A911" s="934" t="s">
        <v>149</v>
      </c>
      <c r="B911" s="935" t="s">
        <v>293</v>
      </c>
      <c r="C911" s="971" t="s">
        <v>723</v>
      </c>
      <c r="D911" s="972"/>
      <c r="E911" s="951"/>
      <c r="F911" s="958"/>
      <c r="G911" s="944"/>
      <c r="H911" s="952"/>
      <c r="I911" s="942"/>
      <c r="J911" s="943"/>
      <c r="K911" s="944"/>
      <c r="L911" s="945"/>
      <c r="M911" s="977"/>
      <c r="N911" s="944"/>
      <c r="O911" s="752">
        <f t="shared" si="130"/>
        <v>0</v>
      </c>
      <c r="P911" s="978"/>
      <c r="Q911" s="952"/>
      <c r="R911" s="753">
        <f t="shared" si="133"/>
        <v>0</v>
      </c>
      <c r="S911" s="752">
        <f t="shared" si="134"/>
        <v>0</v>
      </c>
      <c r="T911" s="754">
        <f t="shared" si="135"/>
        <v>0</v>
      </c>
      <c r="U911" s="944"/>
      <c r="V911" s="945"/>
      <c r="W911" s="944"/>
      <c r="X911" s="944"/>
      <c r="Y911" s="755">
        <f t="shared" si="131"/>
        <v>0</v>
      </c>
      <c r="Z911" s="947"/>
      <c r="AA911" s="945"/>
      <c r="AB911" s="756">
        <f t="shared" si="132"/>
        <v>0</v>
      </c>
      <c r="AC911" s="944"/>
      <c r="AD911" s="945"/>
      <c r="AE911" s="944"/>
      <c r="AF911" s="944"/>
      <c r="AG911" s="947"/>
      <c r="AH911" s="948"/>
      <c r="AI911" s="757">
        <f t="shared" si="136"/>
        <v>0</v>
      </c>
      <c r="AJ911" s="758">
        <f t="shared" si="137"/>
        <v>0</v>
      </c>
    </row>
    <row r="912" spans="1:36" ht="14.25" x14ac:dyDescent="0.3">
      <c r="A912" s="934" t="s">
        <v>149</v>
      </c>
      <c r="B912" s="973" t="s">
        <v>252</v>
      </c>
      <c r="C912" s="974" t="s">
        <v>311</v>
      </c>
      <c r="D912" s="972"/>
      <c r="E912" s="975"/>
      <c r="F912" s="976"/>
      <c r="G912" s="944"/>
      <c r="H912" s="952"/>
      <c r="I912" s="942"/>
      <c r="J912" s="943"/>
      <c r="K912" s="944"/>
      <c r="L912" s="945"/>
      <c r="M912" s="977"/>
      <c r="N912" s="944"/>
      <c r="O912" s="752">
        <f t="shared" si="130"/>
        <v>0</v>
      </c>
      <c r="P912" s="978"/>
      <c r="Q912" s="952"/>
      <c r="R912" s="753">
        <f t="shared" si="133"/>
        <v>0</v>
      </c>
      <c r="S912" s="752">
        <f t="shared" si="134"/>
        <v>0</v>
      </c>
      <c r="T912" s="754">
        <f t="shared" si="135"/>
        <v>0</v>
      </c>
      <c r="U912" s="944"/>
      <c r="V912" s="945"/>
      <c r="W912" s="944"/>
      <c r="X912" s="944"/>
      <c r="Y912" s="755">
        <f t="shared" si="131"/>
        <v>0</v>
      </c>
      <c r="Z912" s="947"/>
      <c r="AA912" s="945"/>
      <c r="AB912" s="756">
        <f t="shared" si="132"/>
        <v>0</v>
      </c>
      <c r="AC912" s="944"/>
      <c r="AD912" s="945"/>
      <c r="AE912" s="944"/>
      <c r="AF912" s="944"/>
      <c r="AG912" s="947"/>
      <c r="AH912" s="948"/>
      <c r="AI912" s="757">
        <f t="shared" si="136"/>
        <v>0</v>
      </c>
      <c r="AJ912" s="758">
        <f t="shared" si="137"/>
        <v>0</v>
      </c>
    </row>
    <row r="913" spans="1:36" ht="14.25" x14ac:dyDescent="0.3">
      <c r="A913" s="934" t="s">
        <v>149</v>
      </c>
      <c r="B913" s="973" t="s">
        <v>253</v>
      </c>
      <c r="C913" s="974" t="s">
        <v>249</v>
      </c>
      <c r="D913" s="972"/>
      <c r="E913" s="975"/>
      <c r="F913" s="976"/>
      <c r="G913" s="944"/>
      <c r="H913" s="952"/>
      <c r="I913" s="942"/>
      <c r="J913" s="943"/>
      <c r="K913" s="944"/>
      <c r="L913" s="945"/>
      <c r="M913" s="977"/>
      <c r="N913" s="944"/>
      <c r="O913" s="752">
        <f t="shared" si="130"/>
        <v>0</v>
      </c>
      <c r="P913" s="978"/>
      <c r="Q913" s="952"/>
      <c r="R913" s="753">
        <f t="shared" si="133"/>
        <v>0</v>
      </c>
      <c r="S913" s="752">
        <f t="shared" si="134"/>
        <v>0</v>
      </c>
      <c r="T913" s="754">
        <f t="shared" si="135"/>
        <v>0</v>
      </c>
      <c r="U913" s="944">
        <v>885468</v>
      </c>
      <c r="V913" s="945">
        <v>885468</v>
      </c>
      <c r="W913" s="944"/>
      <c r="X913" s="944"/>
      <c r="Y913" s="755">
        <f t="shared" si="131"/>
        <v>0</v>
      </c>
      <c r="Z913" s="947"/>
      <c r="AA913" s="945"/>
      <c r="AB913" s="756">
        <f t="shared" si="132"/>
        <v>0</v>
      </c>
      <c r="AC913" s="944"/>
      <c r="AD913" s="945"/>
      <c r="AE913" s="944"/>
      <c r="AF913" s="944"/>
      <c r="AG913" s="947"/>
      <c r="AH913" s="948"/>
      <c r="AI913" s="757">
        <f t="shared" si="136"/>
        <v>885468</v>
      </c>
      <c r="AJ913" s="758">
        <f t="shared" si="137"/>
        <v>885468</v>
      </c>
    </row>
    <row r="914" spans="1:36" ht="14.25" x14ac:dyDescent="0.3">
      <c r="A914" s="934" t="s">
        <v>149</v>
      </c>
      <c r="B914" s="935" t="s">
        <v>293</v>
      </c>
      <c r="C914" s="971" t="s">
        <v>724</v>
      </c>
      <c r="D914" s="972"/>
      <c r="E914" s="951"/>
      <c r="F914" s="958"/>
      <c r="G914" s="944"/>
      <c r="H914" s="952"/>
      <c r="I914" s="942"/>
      <c r="J914" s="943"/>
      <c r="K914" s="944"/>
      <c r="L914" s="945"/>
      <c r="M914" s="977"/>
      <c r="N914" s="944"/>
      <c r="O914" s="752">
        <f t="shared" si="130"/>
        <v>0</v>
      </c>
      <c r="P914" s="978"/>
      <c r="Q914" s="952"/>
      <c r="R914" s="753">
        <f t="shared" si="133"/>
        <v>0</v>
      </c>
      <c r="S914" s="752">
        <f t="shared" si="134"/>
        <v>0</v>
      </c>
      <c r="T914" s="754">
        <f t="shared" si="135"/>
        <v>0</v>
      </c>
      <c r="U914" s="944"/>
      <c r="V914" s="945"/>
      <c r="W914" s="944"/>
      <c r="X914" s="944"/>
      <c r="Y914" s="755">
        <f t="shared" si="131"/>
        <v>0</v>
      </c>
      <c r="Z914" s="947"/>
      <c r="AA914" s="945"/>
      <c r="AB914" s="756">
        <f t="shared" si="132"/>
        <v>0</v>
      </c>
      <c r="AC914" s="944"/>
      <c r="AD914" s="945"/>
      <c r="AE914" s="944"/>
      <c r="AF914" s="944"/>
      <c r="AG914" s="947"/>
      <c r="AH914" s="948"/>
      <c r="AI914" s="757">
        <f t="shared" si="136"/>
        <v>0</v>
      </c>
      <c r="AJ914" s="758">
        <f t="shared" si="137"/>
        <v>0</v>
      </c>
    </row>
    <row r="915" spans="1:36" ht="14.25" x14ac:dyDescent="0.3">
      <c r="A915" s="934" t="s">
        <v>149</v>
      </c>
      <c r="B915" s="973" t="s">
        <v>252</v>
      </c>
      <c r="C915" s="974" t="s">
        <v>311</v>
      </c>
      <c r="D915" s="972"/>
      <c r="E915" s="975"/>
      <c r="F915" s="976"/>
      <c r="G915" s="944"/>
      <c r="H915" s="952"/>
      <c r="I915" s="942"/>
      <c r="J915" s="943"/>
      <c r="K915" s="944"/>
      <c r="L915" s="945"/>
      <c r="M915" s="977"/>
      <c r="N915" s="944"/>
      <c r="O915" s="752">
        <f t="shared" si="130"/>
        <v>0</v>
      </c>
      <c r="P915" s="978"/>
      <c r="Q915" s="952"/>
      <c r="R915" s="753">
        <f t="shared" si="133"/>
        <v>0</v>
      </c>
      <c r="S915" s="752">
        <f t="shared" si="134"/>
        <v>0</v>
      </c>
      <c r="T915" s="754">
        <f t="shared" si="135"/>
        <v>0</v>
      </c>
      <c r="U915" s="944"/>
      <c r="V915" s="945"/>
      <c r="W915" s="944"/>
      <c r="X915" s="944"/>
      <c r="Y915" s="755">
        <f t="shared" si="131"/>
        <v>0</v>
      </c>
      <c r="Z915" s="947"/>
      <c r="AA915" s="945"/>
      <c r="AB915" s="756">
        <f t="shared" si="132"/>
        <v>0</v>
      </c>
      <c r="AC915" s="944"/>
      <c r="AD915" s="945"/>
      <c r="AE915" s="944"/>
      <c r="AF915" s="944"/>
      <c r="AG915" s="947"/>
      <c r="AH915" s="948"/>
      <c r="AI915" s="757">
        <f t="shared" si="136"/>
        <v>0</v>
      </c>
      <c r="AJ915" s="758">
        <f t="shared" si="137"/>
        <v>0</v>
      </c>
    </row>
    <row r="916" spans="1:36" ht="14.25" x14ac:dyDescent="0.3">
      <c r="A916" s="934" t="s">
        <v>149</v>
      </c>
      <c r="B916" s="973" t="s">
        <v>253</v>
      </c>
      <c r="C916" s="974" t="s">
        <v>249</v>
      </c>
      <c r="D916" s="972"/>
      <c r="E916" s="975"/>
      <c r="F916" s="976"/>
      <c r="G916" s="944"/>
      <c r="H916" s="952"/>
      <c r="I916" s="942"/>
      <c r="J916" s="943"/>
      <c r="K916" s="944"/>
      <c r="L916" s="945"/>
      <c r="M916" s="977"/>
      <c r="N916" s="944"/>
      <c r="O916" s="752">
        <f t="shared" si="130"/>
        <v>0</v>
      </c>
      <c r="P916" s="978"/>
      <c r="Q916" s="952"/>
      <c r="R916" s="753">
        <f t="shared" si="133"/>
        <v>0</v>
      </c>
      <c r="S916" s="752">
        <f t="shared" si="134"/>
        <v>0</v>
      </c>
      <c r="T916" s="754">
        <f t="shared" si="135"/>
        <v>0</v>
      </c>
      <c r="U916" s="944">
        <v>60000</v>
      </c>
      <c r="V916" s="945">
        <v>60000</v>
      </c>
      <c r="W916" s="944"/>
      <c r="X916" s="944"/>
      <c r="Y916" s="755">
        <f t="shared" si="131"/>
        <v>0</v>
      </c>
      <c r="Z916" s="947"/>
      <c r="AA916" s="945"/>
      <c r="AB916" s="756">
        <f t="shared" si="132"/>
        <v>0</v>
      </c>
      <c r="AC916" s="944"/>
      <c r="AD916" s="945"/>
      <c r="AE916" s="944"/>
      <c r="AF916" s="944"/>
      <c r="AG916" s="947"/>
      <c r="AH916" s="948"/>
      <c r="AI916" s="757">
        <f t="shared" si="136"/>
        <v>60000</v>
      </c>
      <c r="AJ916" s="758">
        <f t="shared" si="137"/>
        <v>60000</v>
      </c>
    </row>
    <row r="917" spans="1:36" ht="14.25" x14ac:dyDescent="0.3">
      <c r="A917" s="934" t="s">
        <v>149</v>
      </c>
      <c r="B917" s="935" t="s">
        <v>294</v>
      </c>
      <c r="C917" s="969" t="s">
        <v>307</v>
      </c>
      <c r="D917" s="970"/>
      <c r="E917" s="951"/>
      <c r="F917" s="958"/>
      <c r="G917" s="944"/>
      <c r="H917" s="952"/>
      <c r="I917" s="942"/>
      <c r="J917" s="943"/>
      <c r="K917" s="944"/>
      <c r="L917" s="945"/>
      <c r="M917" s="977"/>
      <c r="N917" s="944"/>
      <c r="O917" s="752">
        <f t="shared" si="130"/>
        <v>0</v>
      </c>
      <c r="P917" s="978"/>
      <c r="Q917" s="952"/>
      <c r="R917" s="753">
        <f t="shared" si="133"/>
        <v>0</v>
      </c>
      <c r="S917" s="752">
        <f t="shared" si="134"/>
        <v>0</v>
      </c>
      <c r="T917" s="754">
        <f t="shared" si="135"/>
        <v>0</v>
      </c>
      <c r="U917" s="944"/>
      <c r="V917" s="945"/>
      <c r="W917" s="944"/>
      <c r="X917" s="944"/>
      <c r="Y917" s="755">
        <f t="shared" si="131"/>
        <v>0</v>
      </c>
      <c r="Z917" s="947"/>
      <c r="AA917" s="945"/>
      <c r="AB917" s="756">
        <f t="shared" si="132"/>
        <v>0</v>
      </c>
      <c r="AC917" s="944"/>
      <c r="AD917" s="945"/>
      <c r="AE917" s="944"/>
      <c r="AF917" s="944"/>
      <c r="AG917" s="947"/>
      <c r="AH917" s="948"/>
      <c r="AI917" s="757">
        <f t="shared" si="136"/>
        <v>0</v>
      </c>
      <c r="AJ917" s="758">
        <f t="shared" si="137"/>
        <v>0</v>
      </c>
    </row>
    <row r="918" spans="1:36" ht="14.25" x14ac:dyDescent="0.3">
      <c r="A918" s="934" t="s">
        <v>149</v>
      </c>
      <c r="B918" s="935" t="s">
        <v>294</v>
      </c>
      <c r="C918" s="971" t="s">
        <v>725</v>
      </c>
      <c r="D918" s="972"/>
      <c r="E918" s="951"/>
      <c r="F918" s="958"/>
      <c r="G918" s="944"/>
      <c r="H918" s="952"/>
      <c r="I918" s="942"/>
      <c r="J918" s="943"/>
      <c r="K918" s="944"/>
      <c r="L918" s="945"/>
      <c r="M918" s="977"/>
      <c r="N918" s="944"/>
      <c r="O918" s="752">
        <f t="shared" si="130"/>
        <v>0</v>
      </c>
      <c r="P918" s="978"/>
      <c r="Q918" s="952"/>
      <c r="R918" s="753">
        <f t="shared" si="133"/>
        <v>0</v>
      </c>
      <c r="S918" s="752">
        <f t="shared" si="134"/>
        <v>0</v>
      </c>
      <c r="T918" s="754">
        <f t="shared" si="135"/>
        <v>0</v>
      </c>
      <c r="U918" s="944"/>
      <c r="V918" s="945"/>
      <c r="W918" s="944"/>
      <c r="X918" s="944"/>
      <c r="Y918" s="755">
        <f t="shared" si="131"/>
        <v>0</v>
      </c>
      <c r="Z918" s="947"/>
      <c r="AA918" s="945"/>
      <c r="AB918" s="756">
        <f t="shared" si="132"/>
        <v>0</v>
      </c>
      <c r="AC918" s="944"/>
      <c r="AD918" s="945"/>
      <c r="AE918" s="944"/>
      <c r="AF918" s="944"/>
      <c r="AG918" s="947"/>
      <c r="AH918" s="948"/>
      <c r="AI918" s="757">
        <f t="shared" si="136"/>
        <v>0</v>
      </c>
      <c r="AJ918" s="758">
        <f t="shared" si="137"/>
        <v>0</v>
      </c>
    </row>
    <row r="919" spans="1:36" ht="14.25" x14ac:dyDescent="0.3">
      <c r="A919" s="934" t="s">
        <v>149</v>
      </c>
      <c r="B919" s="973" t="s">
        <v>254</v>
      </c>
      <c r="C919" s="974" t="s">
        <v>311</v>
      </c>
      <c r="D919" s="972"/>
      <c r="E919" s="975"/>
      <c r="F919" s="976"/>
      <c r="G919" s="944"/>
      <c r="H919" s="952"/>
      <c r="I919" s="942"/>
      <c r="J919" s="943"/>
      <c r="K919" s="944"/>
      <c r="L919" s="945"/>
      <c r="M919" s="977"/>
      <c r="N919" s="944"/>
      <c r="O919" s="752">
        <f t="shared" si="130"/>
        <v>0</v>
      </c>
      <c r="P919" s="978"/>
      <c r="Q919" s="952"/>
      <c r="R919" s="753">
        <f t="shared" si="133"/>
        <v>0</v>
      </c>
      <c r="S919" s="752">
        <f t="shared" si="134"/>
        <v>0</v>
      </c>
      <c r="T919" s="754">
        <f t="shared" si="135"/>
        <v>0</v>
      </c>
      <c r="U919" s="944"/>
      <c r="V919" s="945"/>
      <c r="W919" s="944"/>
      <c r="X919" s="944"/>
      <c r="Y919" s="755">
        <f t="shared" si="131"/>
        <v>0</v>
      </c>
      <c r="Z919" s="947"/>
      <c r="AA919" s="945"/>
      <c r="AB919" s="756">
        <f t="shared" si="132"/>
        <v>0</v>
      </c>
      <c r="AC919" s="944"/>
      <c r="AD919" s="945"/>
      <c r="AE919" s="944"/>
      <c r="AF919" s="944"/>
      <c r="AG919" s="947"/>
      <c r="AH919" s="948"/>
      <c r="AI919" s="757">
        <f t="shared" si="136"/>
        <v>0</v>
      </c>
      <c r="AJ919" s="758">
        <f t="shared" si="137"/>
        <v>0</v>
      </c>
    </row>
    <row r="920" spans="1:36" ht="14.25" x14ac:dyDescent="0.3">
      <c r="A920" s="934" t="s">
        <v>149</v>
      </c>
      <c r="B920" s="973" t="s">
        <v>255</v>
      </c>
      <c r="C920" s="974" t="s">
        <v>249</v>
      </c>
      <c r="D920" s="972"/>
      <c r="E920" s="975"/>
      <c r="F920" s="976"/>
      <c r="G920" s="944"/>
      <c r="H920" s="952"/>
      <c r="I920" s="942"/>
      <c r="J920" s="943"/>
      <c r="K920" s="944"/>
      <c r="L920" s="945"/>
      <c r="M920" s="977"/>
      <c r="N920" s="944"/>
      <c r="O920" s="752">
        <f t="shared" si="130"/>
        <v>0</v>
      </c>
      <c r="P920" s="978"/>
      <c r="Q920" s="952"/>
      <c r="R920" s="753">
        <f t="shared" si="133"/>
        <v>0</v>
      </c>
      <c r="S920" s="752">
        <f t="shared" si="134"/>
        <v>0</v>
      </c>
      <c r="T920" s="754">
        <f t="shared" si="135"/>
        <v>0</v>
      </c>
      <c r="U920" s="944">
        <v>78958406</v>
      </c>
      <c r="V920" s="945">
        <v>89664961</v>
      </c>
      <c r="W920" s="944"/>
      <c r="X920" s="944"/>
      <c r="Y920" s="755">
        <f t="shared" si="131"/>
        <v>0</v>
      </c>
      <c r="Z920" s="947"/>
      <c r="AA920" s="945"/>
      <c r="AB920" s="756">
        <f t="shared" si="132"/>
        <v>0</v>
      </c>
      <c r="AC920" s="944"/>
      <c r="AD920" s="945"/>
      <c r="AE920" s="944"/>
      <c r="AF920" s="944"/>
      <c r="AG920" s="947"/>
      <c r="AH920" s="948"/>
      <c r="AI920" s="757">
        <f t="shared" si="136"/>
        <v>78958406</v>
      </c>
      <c r="AJ920" s="758">
        <f t="shared" si="137"/>
        <v>89664961</v>
      </c>
    </row>
    <row r="921" spans="1:36" ht="14.25" x14ac:dyDescent="0.3">
      <c r="A921" s="934" t="s">
        <v>149</v>
      </c>
      <c r="B921" s="935" t="s">
        <v>294</v>
      </c>
      <c r="C921" s="971" t="s">
        <v>726</v>
      </c>
      <c r="D921" s="972"/>
      <c r="E921" s="975"/>
      <c r="F921" s="976"/>
      <c r="G921" s="944"/>
      <c r="H921" s="952"/>
      <c r="I921" s="942"/>
      <c r="J921" s="943"/>
      <c r="K921" s="944"/>
      <c r="L921" s="945"/>
      <c r="M921" s="977"/>
      <c r="N921" s="944"/>
      <c r="O921" s="752">
        <f t="shared" si="130"/>
        <v>0</v>
      </c>
      <c r="P921" s="978"/>
      <c r="Q921" s="952"/>
      <c r="R921" s="753">
        <f t="shared" si="133"/>
        <v>0</v>
      </c>
      <c r="S921" s="752">
        <f t="shared" si="134"/>
        <v>0</v>
      </c>
      <c r="T921" s="754">
        <f t="shared" si="135"/>
        <v>0</v>
      </c>
      <c r="U921" s="944"/>
      <c r="V921" s="945"/>
      <c r="W921" s="944"/>
      <c r="X921" s="944"/>
      <c r="Y921" s="755">
        <f t="shared" si="131"/>
        <v>0</v>
      </c>
      <c r="Z921" s="947"/>
      <c r="AA921" s="945"/>
      <c r="AB921" s="756">
        <f t="shared" si="132"/>
        <v>0</v>
      </c>
      <c r="AC921" s="944"/>
      <c r="AD921" s="945"/>
      <c r="AE921" s="944"/>
      <c r="AF921" s="944"/>
      <c r="AG921" s="947"/>
      <c r="AH921" s="948"/>
      <c r="AI921" s="757">
        <f t="shared" si="136"/>
        <v>0</v>
      </c>
      <c r="AJ921" s="758">
        <f t="shared" si="137"/>
        <v>0</v>
      </c>
    </row>
    <row r="922" spans="1:36" ht="14.25" x14ac:dyDescent="0.3">
      <c r="A922" s="934" t="s">
        <v>149</v>
      </c>
      <c r="B922" s="973" t="s">
        <v>254</v>
      </c>
      <c r="C922" s="974" t="s">
        <v>311</v>
      </c>
      <c r="D922" s="972"/>
      <c r="E922" s="975"/>
      <c r="F922" s="976"/>
      <c r="G922" s="944"/>
      <c r="H922" s="952"/>
      <c r="I922" s="942"/>
      <c r="J922" s="943"/>
      <c r="K922" s="944"/>
      <c r="L922" s="945"/>
      <c r="M922" s="977"/>
      <c r="N922" s="944"/>
      <c r="O922" s="752">
        <f t="shared" si="130"/>
        <v>0</v>
      </c>
      <c r="P922" s="978"/>
      <c r="Q922" s="952"/>
      <c r="R922" s="753">
        <f t="shared" si="133"/>
        <v>0</v>
      </c>
      <c r="S922" s="752">
        <f t="shared" si="134"/>
        <v>0</v>
      </c>
      <c r="T922" s="754">
        <f t="shared" si="135"/>
        <v>0</v>
      </c>
      <c r="U922" s="944"/>
      <c r="V922" s="945"/>
      <c r="W922" s="944"/>
      <c r="X922" s="944"/>
      <c r="Y922" s="755">
        <f t="shared" si="131"/>
        <v>0</v>
      </c>
      <c r="Z922" s="947"/>
      <c r="AA922" s="945"/>
      <c r="AB922" s="756">
        <f t="shared" si="132"/>
        <v>0</v>
      </c>
      <c r="AC922" s="944"/>
      <c r="AD922" s="945"/>
      <c r="AE922" s="944"/>
      <c r="AF922" s="944"/>
      <c r="AG922" s="947"/>
      <c r="AH922" s="948"/>
      <c r="AI922" s="757">
        <f t="shared" si="136"/>
        <v>0</v>
      </c>
      <c r="AJ922" s="758">
        <f t="shared" si="137"/>
        <v>0</v>
      </c>
    </row>
    <row r="923" spans="1:36" ht="14.25" x14ac:dyDescent="0.3">
      <c r="A923" s="934" t="s">
        <v>149</v>
      </c>
      <c r="B923" s="973" t="s">
        <v>255</v>
      </c>
      <c r="C923" s="974" t="s">
        <v>249</v>
      </c>
      <c r="D923" s="972"/>
      <c r="E923" s="975"/>
      <c r="F923" s="976"/>
      <c r="G923" s="944"/>
      <c r="H923" s="952"/>
      <c r="I923" s="942"/>
      <c r="J923" s="943"/>
      <c r="K923" s="944"/>
      <c r="L923" s="945"/>
      <c r="M923" s="977"/>
      <c r="N923" s="944"/>
      <c r="O923" s="752">
        <f t="shared" si="130"/>
        <v>0</v>
      </c>
      <c r="P923" s="978"/>
      <c r="Q923" s="952"/>
      <c r="R923" s="753">
        <f t="shared" si="133"/>
        <v>0</v>
      </c>
      <c r="S923" s="752">
        <f t="shared" si="134"/>
        <v>0</v>
      </c>
      <c r="T923" s="754">
        <f t="shared" si="135"/>
        <v>0</v>
      </c>
      <c r="U923" s="944">
        <v>2310231</v>
      </c>
      <c r="V923" s="945">
        <v>3239567</v>
      </c>
      <c r="W923" s="944"/>
      <c r="X923" s="944"/>
      <c r="Y923" s="755">
        <f t="shared" si="131"/>
        <v>0</v>
      </c>
      <c r="Z923" s="947"/>
      <c r="AA923" s="945"/>
      <c r="AB923" s="756">
        <f t="shared" si="132"/>
        <v>0</v>
      </c>
      <c r="AC923" s="944"/>
      <c r="AD923" s="945"/>
      <c r="AE923" s="944"/>
      <c r="AF923" s="944"/>
      <c r="AG923" s="947"/>
      <c r="AH923" s="948"/>
      <c r="AI923" s="757">
        <f t="shared" si="136"/>
        <v>2310231</v>
      </c>
      <c r="AJ923" s="758">
        <f t="shared" si="137"/>
        <v>3239567</v>
      </c>
    </row>
    <row r="924" spans="1:36" ht="14.25" x14ac:dyDescent="0.3">
      <c r="A924" s="934" t="s">
        <v>149</v>
      </c>
      <c r="B924" s="935" t="s">
        <v>294</v>
      </c>
      <c r="C924" s="971" t="s">
        <v>727</v>
      </c>
      <c r="D924" s="972"/>
      <c r="E924" s="951"/>
      <c r="F924" s="958"/>
      <c r="G924" s="944"/>
      <c r="H924" s="952"/>
      <c r="I924" s="942"/>
      <c r="J924" s="943"/>
      <c r="K924" s="944"/>
      <c r="L924" s="945"/>
      <c r="M924" s="977"/>
      <c r="N924" s="944"/>
      <c r="O924" s="752">
        <f t="shared" si="130"/>
        <v>0</v>
      </c>
      <c r="P924" s="978"/>
      <c r="Q924" s="952"/>
      <c r="R924" s="753">
        <f t="shared" si="133"/>
        <v>0</v>
      </c>
      <c r="S924" s="752">
        <f t="shared" si="134"/>
        <v>0</v>
      </c>
      <c r="T924" s="754">
        <f t="shared" si="135"/>
        <v>0</v>
      </c>
      <c r="U924" s="944"/>
      <c r="V924" s="945"/>
      <c r="W924" s="944"/>
      <c r="X924" s="944"/>
      <c r="Y924" s="755">
        <f t="shared" si="131"/>
        <v>0</v>
      </c>
      <c r="Z924" s="947"/>
      <c r="AA924" s="945"/>
      <c r="AB924" s="756">
        <f t="shared" si="132"/>
        <v>0</v>
      </c>
      <c r="AC924" s="944"/>
      <c r="AD924" s="945"/>
      <c r="AE924" s="944"/>
      <c r="AF924" s="944"/>
      <c r="AG924" s="947"/>
      <c r="AH924" s="948"/>
      <c r="AI924" s="757">
        <f t="shared" si="136"/>
        <v>0</v>
      </c>
      <c r="AJ924" s="758">
        <f t="shared" si="137"/>
        <v>0</v>
      </c>
    </row>
    <row r="925" spans="1:36" ht="14.25" x14ac:dyDescent="0.3">
      <c r="A925" s="934" t="s">
        <v>149</v>
      </c>
      <c r="B925" s="973" t="s">
        <v>254</v>
      </c>
      <c r="C925" s="974" t="s">
        <v>311</v>
      </c>
      <c r="D925" s="972"/>
      <c r="E925" s="975"/>
      <c r="F925" s="976"/>
      <c r="G925" s="944"/>
      <c r="H925" s="952"/>
      <c r="I925" s="942"/>
      <c r="J925" s="943"/>
      <c r="K925" s="944"/>
      <c r="L925" s="945"/>
      <c r="M925" s="977"/>
      <c r="N925" s="944"/>
      <c r="O925" s="752">
        <f t="shared" si="130"/>
        <v>0</v>
      </c>
      <c r="P925" s="978"/>
      <c r="Q925" s="952"/>
      <c r="R925" s="753">
        <f t="shared" si="133"/>
        <v>0</v>
      </c>
      <c r="S925" s="752">
        <f t="shared" si="134"/>
        <v>0</v>
      </c>
      <c r="T925" s="754">
        <f t="shared" si="135"/>
        <v>0</v>
      </c>
      <c r="U925" s="944">
        <v>9281150</v>
      </c>
      <c r="V925" s="945">
        <v>11806087</v>
      </c>
      <c r="W925" s="944"/>
      <c r="X925" s="944"/>
      <c r="Y925" s="755">
        <f t="shared" si="131"/>
        <v>0</v>
      </c>
      <c r="Z925" s="947"/>
      <c r="AA925" s="945"/>
      <c r="AB925" s="756">
        <f t="shared" si="132"/>
        <v>0</v>
      </c>
      <c r="AC925" s="944"/>
      <c r="AD925" s="945"/>
      <c r="AE925" s="944"/>
      <c r="AF925" s="944"/>
      <c r="AG925" s="947"/>
      <c r="AH925" s="948"/>
      <c r="AI925" s="757">
        <f t="shared" si="136"/>
        <v>9281150</v>
      </c>
      <c r="AJ925" s="758">
        <f t="shared" si="137"/>
        <v>11806087</v>
      </c>
    </row>
    <row r="926" spans="1:36" ht="14.25" x14ac:dyDescent="0.3">
      <c r="A926" s="934" t="s">
        <v>149</v>
      </c>
      <c r="B926" s="973" t="s">
        <v>255</v>
      </c>
      <c r="C926" s="974" t="s">
        <v>249</v>
      </c>
      <c r="D926" s="972"/>
      <c r="E926" s="975"/>
      <c r="F926" s="976"/>
      <c r="G926" s="944"/>
      <c r="H926" s="952"/>
      <c r="I926" s="942"/>
      <c r="J926" s="943"/>
      <c r="K926" s="944"/>
      <c r="L926" s="945"/>
      <c r="M926" s="977"/>
      <c r="N926" s="944"/>
      <c r="O926" s="752">
        <f t="shared" si="130"/>
        <v>0</v>
      </c>
      <c r="P926" s="978"/>
      <c r="Q926" s="952"/>
      <c r="R926" s="753">
        <f t="shared" si="133"/>
        <v>0</v>
      </c>
      <c r="S926" s="752">
        <f t="shared" si="134"/>
        <v>0</v>
      </c>
      <c r="T926" s="754">
        <f t="shared" si="135"/>
        <v>0</v>
      </c>
      <c r="U926" s="944"/>
      <c r="V926" s="945"/>
      <c r="W926" s="944"/>
      <c r="X926" s="944"/>
      <c r="Y926" s="755">
        <f t="shared" si="131"/>
        <v>0</v>
      </c>
      <c r="Z926" s="947"/>
      <c r="AA926" s="945"/>
      <c r="AB926" s="756">
        <f t="shared" si="132"/>
        <v>0</v>
      </c>
      <c r="AC926" s="944"/>
      <c r="AD926" s="945"/>
      <c r="AE926" s="944"/>
      <c r="AF926" s="944"/>
      <c r="AG926" s="947"/>
      <c r="AH926" s="948"/>
      <c r="AI926" s="757">
        <f t="shared" si="136"/>
        <v>0</v>
      </c>
      <c r="AJ926" s="758">
        <f t="shared" si="137"/>
        <v>0</v>
      </c>
    </row>
    <row r="927" spans="1:36" ht="14.25" x14ac:dyDescent="0.3">
      <c r="A927" s="934" t="s">
        <v>149</v>
      </c>
      <c r="B927" s="935" t="s">
        <v>294</v>
      </c>
      <c r="C927" s="971" t="s">
        <v>728</v>
      </c>
      <c r="D927" s="972"/>
      <c r="E927" s="951"/>
      <c r="F927" s="958"/>
      <c r="G927" s="944"/>
      <c r="H927" s="952"/>
      <c r="I927" s="942"/>
      <c r="J927" s="943"/>
      <c r="K927" s="944"/>
      <c r="L927" s="945"/>
      <c r="M927" s="977"/>
      <c r="N927" s="944"/>
      <c r="O927" s="752">
        <f t="shared" si="130"/>
        <v>0</v>
      </c>
      <c r="P927" s="978"/>
      <c r="Q927" s="952"/>
      <c r="R927" s="753">
        <f t="shared" si="133"/>
        <v>0</v>
      </c>
      <c r="S927" s="752">
        <f t="shared" si="134"/>
        <v>0</v>
      </c>
      <c r="T927" s="754">
        <f t="shared" si="135"/>
        <v>0</v>
      </c>
      <c r="U927" s="944"/>
      <c r="V927" s="945"/>
      <c r="W927" s="944"/>
      <c r="X927" s="944"/>
      <c r="Y927" s="755">
        <f t="shared" si="131"/>
        <v>0</v>
      </c>
      <c r="Z927" s="947"/>
      <c r="AA927" s="945"/>
      <c r="AB927" s="756">
        <f t="shared" si="132"/>
        <v>0</v>
      </c>
      <c r="AC927" s="944"/>
      <c r="AD927" s="945"/>
      <c r="AE927" s="944"/>
      <c r="AF927" s="944"/>
      <c r="AG927" s="947"/>
      <c r="AH927" s="948"/>
      <c r="AI927" s="757">
        <f t="shared" si="136"/>
        <v>0</v>
      </c>
      <c r="AJ927" s="758">
        <f t="shared" si="137"/>
        <v>0</v>
      </c>
    </row>
    <row r="928" spans="1:36" ht="14.25" x14ac:dyDescent="0.3">
      <c r="A928" s="934" t="s">
        <v>149</v>
      </c>
      <c r="B928" s="973" t="s">
        <v>254</v>
      </c>
      <c r="C928" s="974" t="s">
        <v>311</v>
      </c>
      <c r="D928" s="972"/>
      <c r="E928" s="975"/>
      <c r="F928" s="976"/>
      <c r="G928" s="944"/>
      <c r="H928" s="952"/>
      <c r="I928" s="942"/>
      <c r="J928" s="943"/>
      <c r="K928" s="944"/>
      <c r="L928" s="945"/>
      <c r="M928" s="977"/>
      <c r="N928" s="944"/>
      <c r="O928" s="752">
        <f t="shared" si="130"/>
        <v>0</v>
      </c>
      <c r="P928" s="978"/>
      <c r="Q928" s="952"/>
      <c r="R928" s="753">
        <f t="shared" si="133"/>
        <v>0</v>
      </c>
      <c r="S928" s="752">
        <f t="shared" si="134"/>
        <v>0</v>
      </c>
      <c r="T928" s="754">
        <f t="shared" si="135"/>
        <v>0</v>
      </c>
      <c r="U928" s="944">
        <v>12941343</v>
      </c>
      <c r="V928" s="945">
        <v>16578164</v>
      </c>
      <c r="W928" s="944"/>
      <c r="X928" s="944"/>
      <c r="Y928" s="755">
        <f t="shared" si="131"/>
        <v>0</v>
      </c>
      <c r="Z928" s="947"/>
      <c r="AA928" s="945"/>
      <c r="AB928" s="756">
        <f t="shared" si="132"/>
        <v>0</v>
      </c>
      <c r="AC928" s="944"/>
      <c r="AD928" s="945"/>
      <c r="AE928" s="944"/>
      <c r="AF928" s="944"/>
      <c r="AG928" s="947"/>
      <c r="AH928" s="948"/>
      <c r="AI928" s="757">
        <f t="shared" si="136"/>
        <v>12941343</v>
      </c>
      <c r="AJ928" s="758">
        <f t="shared" si="137"/>
        <v>16578164</v>
      </c>
    </row>
    <row r="929" spans="1:36" ht="14.25" x14ac:dyDescent="0.3">
      <c r="A929" s="934" t="s">
        <v>149</v>
      </c>
      <c r="B929" s="973" t="s">
        <v>255</v>
      </c>
      <c r="C929" s="974" t="s">
        <v>249</v>
      </c>
      <c r="D929" s="972"/>
      <c r="E929" s="975"/>
      <c r="F929" s="976"/>
      <c r="G929" s="944"/>
      <c r="H929" s="952"/>
      <c r="I929" s="942"/>
      <c r="J929" s="943"/>
      <c r="K929" s="944"/>
      <c r="L929" s="945"/>
      <c r="M929" s="977"/>
      <c r="N929" s="944"/>
      <c r="O929" s="752">
        <f t="shared" si="130"/>
        <v>0</v>
      </c>
      <c r="P929" s="978"/>
      <c r="Q929" s="952"/>
      <c r="R929" s="753">
        <f t="shared" si="133"/>
        <v>0</v>
      </c>
      <c r="S929" s="752">
        <f t="shared" si="134"/>
        <v>0</v>
      </c>
      <c r="T929" s="754">
        <f t="shared" si="135"/>
        <v>0</v>
      </c>
      <c r="U929" s="944"/>
      <c r="V929" s="945"/>
      <c r="W929" s="944"/>
      <c r="X929" s="944"/>
      <c r="Y929" s="755">
        <f t="shared" si="131"/>
        <v>0</v>
      </c>
      <c r="Z929" s="947"/>
      <c r="AA929" s="945"/>
      <c r="AB929" s="756">
        <f t="shared" si="132"/>
        <v>0</v>
      </c>
      <c r="AC929" s="944"/>
      <c r="AD929" s="945"/>
      <c r="AE929" s="944"/>
      <c r="AF929" s="944"/>
      <c r="AG929" s="947"/>
      <c r="AH929" s="948"/>
      <c r="AI929" s="757">
        <f t="shared" si="136"/>
        <v>0</v>
      </c>
      <c r="AJ929" s="758">
        <f t="shared" si="137"/>
        <v>0</v>
      </c>
    </row>
    <row r="930" spans="1:36" ht="14.25" x14ac:dyDescent="0.3">
      <c r="A930" s="934" t="s">
        <v>149</v>
      </c>
      <c r="B930" s="935" t="s">
        <v>294</v>
      </c>
      <c r="C930" s="971" t="s">
        <v>729</v>
      </c>
      <c r="D930" s="972"/>
      <c r="E930" s="951"/>
      <c r="F930" s="958"/>
      <c r="G930" s="944"/>
      <c r="H930" s="952"/>
      <c r="I930" s="942"/>
      <c r="J930" s="943"/>
      <c r="K930" s="944"/>
      <c r="L930" s="945"/>
      <c r="M930" s="977"/>
      <c r="N930" s="944"/>
      <c r="O930" s="752">
        <f t="shared" si="130"/>
        <v>0</v>
      </c>
      <c r="P930" s="978"/>
      <c r="Q930" s="952"/>
      <c r="R930" s="753">
        <f t="shared" si="133"/>
        <v>0</v>
      </c>
      <c r="S930" s="752">
        <f t="shared" si="134"/>
        <v>0</v>
      </c>
      <c r="T930" s="754">
        <f t="shared" si="135"/>
        <v>0</v>
      </c>
      <c r="U930" s="944"/>
      <c r="V930" s="945"/>
      <c r="W930" s="944"/>
      <c r="X930" s="944"/>
      <c r="Y930" s="755">
        <f t="shared" si="131"/>
        <v>0</v>
      </c>
      <c r="Z930" s="947"/>
      <c r="AA930" s="945"/>
      <c r="AB930" s="756">
        <f t="shared" si="132"/>
        <v>0</v>
      </c>
      <c r="AC930" s="944"/>
      <c r="AD930" s="945"/>
      <c r="AE930" s="944"/>
      <c r="AF930" s="944"/>
      <c r="AG930" s="947"/>
      <c r="AH930" s="948"/>
      <c r="AI930" s="757">
        <f t="shared" si="136"/>
        <v>0</v>
      </c>
      <c r="AJ930" s="758">
        <f t="shared" si="137"/>
        <v>0</v>
      </c>
    </row>
    <row r="931" spans="1:36" ht="14.25" x14ac:dyDescent="0.3">
      <c r="A931" s="934" t="s">
        <v>149</v>
      </c>
      <c r="B931" s="973" t="s">
        <v>254</v>
      </c>
      <c r="C931" s="974" t="s">
        <v>311</v>
      </c>
      <c r="D931" s="972"/>
      <c r="E931" s="975"/>
      <c r="F931" s="976"/>
      <c r="G931" s="944"/>
      <c r="H931" s="952"/>
      <c r="I931" s="942"/>
      <c r="J931" s="943"/>
      <c r="K931" s="944"/>
      <c r="L931" s="945"/>
      <c r="M931" s="977"/>
      <c r="N931" s="944"/>
      <c r="O931" s="752">
        <f t="shared" si="130"/>
        <v>0</v>
      </c>
      <c r="P931" s="978"/>
      <c r="Q931" s="952"/>
      <c r="R931" s="753">
        <f t="shared" si="133"/>
        <v>0</v>
      </c>
      <c r="S931" s="752">
        <f t="shared" si="134"/>
        <v>0</v>
      </c>
      <c r="T931" s="754">
        <f t="shared" si="135"/>
        <v>0</v>
      </c>
      <c r="U931" s="944">
        <v>160837</v>
      </c>
      <c r="V931" s="945">
        <v>160500</v>
      </c>
      <c r="W931" s="944"/>
      <c r="X931" s="944"/>
      <c r="Y931" s="755">
        <f t="shared" si="131"/>
        <v>0</v>
      </c>
      <c r="Z931" s="947"/>
      <c r="AA931" s="945"/>
      <c r="AB931" s="756">
        <f t="shared" si="132"/>
        <v>0</v>
      </c>
      <c r="AC931" s="944"/>
      <c r="AD931" s="945"/>
      <c r="AE931" s="944"/>
      <c r="AF931" s="944"/>
      <c r="AG931" s="947"/>
      <c r="AH931" s="948"/>
      <c r="AI931" s="757">
        <f t="shared" si="136"/>
        <v>160837</v>
      </c>
      <c r="AJ931" s="758">
        <f t="shared" si="137"/>
        <v>160500</v>
      </c>
    </row>
    <row r="932" spans="1:36" ht="14.25" x14ac:dyDescent="0.3">
      <c r="A932" s="934" t="s">
        <v>149</v>
      </c>
      <c r="B932" s="973" t="s">
        <v>255</v>
      </c>
      <c r="C932" s="974" t="s">
        <v>249</v>
      </c>
      <c r="D932" s="972"/>
      <c r="E932" s="975"/>
      <c r="F932" s="976"/>
      <c r="G932" s="944"/>
      <c r="H932" s="952"/>
      <c r="I932" s="942"/>
      <c r="J932" s="943"/>
      <c r="K932" s="944"/>
      <c r="L932" s="945"/>
      <c r="M932" s="977"/>
      <c r="N932" s="944"/>
      <c r="O932" s="752">
        <f t="shared" si="130"/>
        <v>0</v>
      </c>
      <c r="P932" s="978"/>
      <c r="Q932" s="952"/>
      <c r="R932" s="753">
        <f t="shared" si="133"/>
        <v>0</v>
      </c>
      <c r="S932" s="752">
        <f t="shared" si="134"/>
        <v>0</v>
      </c>
      <c r="T932" s="754">
        <f t="shared" si="135"/>
        <v>0</v>
      </c>
      <c r="U932" s="944"/>
      <c r="V932" s="945"/>
      <c r="W932" s="944"/>
      <c r="X932" s="944"/>
      <c r="Y932" s="755">
        <f t="shared" si="131"/>
        <v>0</v>
      </c>
      <c r="Z932" s="947"/>
      <c r="AA932" s="945"/>
      <c r="AB932" s="756">
        <f t="shared" si="132"/>
        <v>0</v>
      </c>
      <c r="AC932" s="944"/>
      <c r="AD932" s="945"/>
      <c r="AE932" s="944"/>
      <c r="AF932" s="944"/>
      <c r="AG932" s="947"/>
      <c r="AH932" s="948"/>
      <c r="AI932" s="757">
        <f t="shared" si="136"/>
        <v>0</v>
      </c>
      <c r="AJ932" s="758">
        <f t="shared" si="137"/>
        <v>0</v>
      </c>
    </row>
    <row r="933" spans="1:36" x14ac:dyDescent="0.2">
      <c r="A933" s="1104" t="s">
        <v>149</v>
      </c>
      <c r="B933" s="1105" t="s">
        <v>264</v>
      </c>
      <c r="C933" s="1356" t="s">
        <v>1466</v>
      </c>
      <c r="D933" s="1343"/>
      <c r="E933" s="1357">
        <v>133021</v>
      </c>
      <c r="F933" s="1344">
        <v>7</v>
      </c>
      <c r="G933" s="1345">
        <v>10947554</v>
      </c>
      <c r="H933" s="860">
        <v>11243042</v>
      </c>
      <c r="I933" s="861"/>
      <c r="J933" s="862"/>
      <c r="K933" s="859"/>
      <c r="L933" s="863"/>
      <c r="M933" s="859">
        <v>3410542</v>
      </c>
      <c r="N933" s="859"/>
      <c r="O933" s="752">
        <f t="shared" si="130"/>
        <v>3410542</v>
      </c>
      <c r="P933" s="862">
        <v>3161316</v>
      </c>
      <c r="Q933" s="860"/>
      <c r="R933" s="753">
        <f t="shared" si="133"/>
        <v>3161316</v>
      </c>
      <c r="S933" s="752">
        <f t="shared" si="134"/>
        <v>14358096</v>
      </c>
      <c r="T933" s="754">
        <f t="shared" si="135"/>
        <v>14404358</v>
      </c>
      <c r="U933" s="859"/>
      <c r="V933" s="863"/>
      <c r="W933" s="859"/>
      <c r="X933" s="859"/>
      <c r="Y933" s="755">
        <f t="shared" si="131"/>
        <v>0</v>
      </c>
      <c r="Z933" s="864"/>
      <c r="AA933" s="863"/>
      <c r="AB933" s="756">
        <f t="shared" si="132"/>
        <v>0</v>
      </c>
      <c r="AC933" s="859"/>
      <c r="AD933" s="863"/>
      <c r="AE933" s="859"/>
      <c r="AF933" s="859"/>
      <c r="AG933" s="864"/>
      <c r="AH933" s="865"/>
      <c r="AI933" s="757">
        <f t="shared" si="136"/>
        <v>14358096</v>
      </c>
      <c r="AJ933" s="758">
        <f t="shared" si="137"/>
        <v>14404358</v>
      </c>
    </row>
    <row r="934" spans="1:36" x14ac:dyDescent="0.2">
      <c r="A934" s="1104" t="s">
        <v>149</v>
      </c>
      <c r="B934" s="1105" t="s">
        <v>264</v>
      </c>
      <c r="C934" s="1346" t="s">
        <v>1467</v>
      </c>
      <c r="D934" s="1347"/>
      <c r="E934" s="1357">
        <v>133386</v>
      </c>
      <c r="F934" s="1344">
        <v>7</v>
      </c>
      <c r="G934" s="1345">
        <v>58374712</v>
      </c>
      <c r="H934" s="860">
        <v>50626420</v>
      </c>
      <c r="I934" s="861"/>
      <c r="J934" s="862"/>
      <c r="K934" s="859"/>
      <c r="L934" s="863"/>
      <c r="M934" s="859">
        <v>28349816</v>
      </c>
      <c r="N934" s="859"/>
      <c r="O934" s="752">
        <f t="shared" si="130"/>
        <v>28349816</v>
      </c>
      <c r="P934" s="862">
        <v>27140451</v>
      </c>
      <c r="Q934" s="860"/>
      <c r="R934" s="753">
        <f t="shared" si="133"/>
        <v>27140451</v>
      </c>
      <c r="S934" s="752">
        <f t="shared" si="134"/>
        <v>86724528</v>
      </c>
      <c r="T934" s="754">
        <f t="shared" si="135"/>
        <v>77766871</v>
      </c>
      <c r="U934" s="859"/>
      <c r="V934" s="863"/>
      <c r="W934" s="859"/>
      <c r="X934" s="859"/>
      <c r="Y934" s="755">
        <f t="shared" si="131"/>
        <v>0</v>
      </c>
      <c r="Z934" s="864"/>
      <c r="AA934" s="863"/>
      <c r="AB934" s="756">
        <f t="shared" si="132"/>
        <v>0</v>
      </c>
      <c r="AC934" s="859"/>
      <c r="AD934" s="863"/>
      <c r="AE934" s="859"/>
      <c r="AF934" s="859"/>
      <c r="AG934" s="864"/>
      <c r="AH934" s="865"/>
      <c r="AI934" s="757">
        <f t="shared" si="136"/>
        <v>86724528</v>
      </c>
      <c r="AJ934" s="758">
        <f t="shared" si="137"/>
        <v>77766871</v>
      </c>
    </row>
    <row r="935" spans="1:36" x14ac:dyDescent="0.2">
      <c r="A935" s="1104" t="s">
        <v>149</v>
      </c>
      <c r="B935" s="1105" t="s">
        <v>264</v>
      </c>
      <c r="C935" s="1346" t="s">
        <v>1468</v>
      </c>
      <c r="D935" s="1347"/>
      <c r="E935" s="1113">
        <v>133508</v>
      </c>
      <c r="F935" s="1113">
        <v>7</v>
      </c>
      <c r="G935" s="1345">
        <v>25144443</v>
      </c>
      <c r="H935" s="860">
        <v>30334488</v>
      </c>
      <c r="I935" s="861"/>
      <c r="J935" s="862"/>
      <c r="K935" s="859"/>
      <c r="L935" s="863"/>
      <c r="M935" s="859">
        <v>25980764</v>
      </c>
      <c r="N935" s="859"/>
      <c r="O935" s="752">
        <f t="shared" si="130"/>
        <v>25980764</v>
      </c>
      <c r="P935" s="862">
        <v>25541960</v>
      </c>
      <c r="Q935" s="860"/>
      <c r="R935" s="753">
        <f t="shared" si="133"/>
        <v>25541960</v>
      </c>
      <c r="S935" s="752">
        <f t="shared" si="134"/>
        <v>51125207</v>
      </c>
      <c r="T935" s="754">
        <f t="shared" si="135"/>
        <v>55876448</v>
      </c>
      <c r="U935" s="859"/>
      <c r="V935" s="863"/>
      <c r="W935" s="859"/>
      <c r="X935" s="859"/>
      <c r="Y935" s="755">
        <f t="shared" si="131"/>
        <v>0</v>
      </c>
      <c r="Z935" s="864"/>
      <c r="AA935" s="863"/>
      <c r="AB935" s="756">
        <f t="shared" si="132"/>
        <v>0</v>
      </c>
      <c r="AC935" s="859"/>
      <c r="AD935" s="863"/>
      <c r="AE935" s="859"/>
      <c r="AF935" s="859"/>
      <c r="AG935" s="864"/>
      <c r="AH935" s="865"/>
      <c r="AI935" s="757">
        <f t="shared" si="136"/>
        <v>51125207</v>
      </c>
      <c r="AJ935" s="758">
        <f t="shared" si="137"/>
        <v>55876448</v>
      </c>
    </row>
    <row r="936" spans="1:36" x14ac:dyDescent="0.2">
      <c r="A936" s="1104" t="s">
        <v>149</v>
      </c>
      <c r="B936" s="1105" t="s">
        <v>264</v>
      </c>
      <c r="C936" s="1346" t="s">
        <v>1469</v>
      </c>
      <c r="D936" s="1348"/>
      <c r="E936" s="1357">
        <v>133702</v>
      </c>
      <c r="F936" s="1344">
        <v>7</v>
      </c>
      <c r="G936" s="1345">
        <v>73722608</v>
      </c>
      <c r="H936" s="860">
        <v>76467992</v>
      </c>
      <c r="I936" s="861"/>
      <c r="J936" s="862"/>
      <c r="K936" s="859"/>
      <c r="L936" s="863"/>
      <c r="M936" s="859">
        <v>54737765</v>
      </c>
      <c r="N936" s="859"/>
      <c r="O936" s="752">
        <f t="shared" si="130"/>
        <v>54737765</v>
      </c>
      <c r="P936" s="862">
        <v>53159628</v>
      </c>
      <c r="Q936" s="860"/>
      <c r="R936" s="753">
        <f t="shared" si="133"/>
        <v>53159628</v>
      </c>
      <c r="S936" s="752">
        <f t="shared" si="134"/>
        <v>128460373</v>
      </c>
      <c r="T936" s="754">
        <f t="shared" si="135"/>
        <v>129627620</v>
      </c>
      <c r="U936" s="859"/>
      <c r="V936" s="863"/>
      <c r="W936" s="859"/>
      <c r="X936" s="859"/>
      <c r="Y936" s="755">
        <f t="shared" si="131"/>
        <v>0</v>
      </c>
      <c r="Z936" s="864"/>
      <c r="AA936" s="863"/>
      <c r="AB936" s="756">
        <f t="shared" si="132"/>
        <v>0</v>
      </c>
      <c r="AC936" s="859"/>
      <c r="AD936" s="863"/>
      <c r="AE936" s="859"/>
      <c r="AF936" s="859"/>
      <c r="AG936" s="864"/>
      <c r="AH936" s="865"/>
      <c r="AI936" s="757">
        <f t="shared" si="136"/>
        <v>128460373</v>
      </c>
      <c r="AJ936" s="758">
        <f t="shared" si="137"/>
        <v>129627620</v>
      </c>
    </row>
    <row r="937" spans="1:36" x14ac:dyDescent="0.2">
      <c r="A937" s="1104" t="s">
        <v>149</v>
      </c>
      <c r="B937" s="1105" t="s">
        <v>264</v>
      </c>
      <c r="C937" s="1346" t="s">
        <v>1470</v>
      </c>
      <c r="D937" s="1348"/>
      <c r="E937" s="1357">
        <v>134608</v>
      </c>
      <c r="F937" s="1344">
        <v>7</v>
      </c>
      <c r="G937" s="1345">
        <v>44177840</v>
      </c>
      <c r="H937" s="860">
        <v>46596282</v>
      </c>
      <c r="I937" s="861"/>
      <c r="J937" s="862"/>
      <c r="K937" s="859"/>
      <c r="L937" s="863"/>
      <c r="M937" s="859">
        <v>29456824</v>
      </c>
      <c r="N937" s="859"/>
      <c r="O937" s="752">
        <f t="shared" si="130"/>
        <v>29456824</v>
      </c>
      <c r="P937" s="862">
        <v>28010756</v>
      </c>
      <c r="Q937" s="860"/>
      <c r="R937" s="753">
        <f t="shared" si="133"/>
        <v>28010756</v>
      </c>
      <c r="S937" s="752">
        <f t="shared" si="134"/>
        <v>73634664</v>
      </c>
      <c r="T937" s="754">
        <f t="shared" si="135"/>
        <v>74607038</v>
      </c>
      <c r="U937" s="859"/>
      <c r="V937" s="863"/>
      <c r="W937" s="859"/>
      <c r="X937" s="859"/>
      <c r="Y937" s="755">
        <f t="shared" si="131"/>
        <v>0</v>
      </c>
      <c r="Z937" s="864"/>
      <c r="AA937" s="863"/>
      <c r="AB937" s="756">
        <f t="shared" si="132"/>
        <v>0</v>
      </c>
      <c r="AC937" s="859"/>
      <c r="AD937" s="863"/>
      <c r="AE937" s="859"/>
      <c r="AF937" s="859"/>
      <c r="AG937" s="864"/>
      <c r="AH937" s="865"/>
      <c r="AI937" s="757">
        <f t="shared" si="136"/>
        <v>73634664</v>
      </c>
      <c r="AJ937" s="758">
        <f t="shared" si="137"/>
        <v>74607038</v>
      </c>
    </row>
    <row r="938" spans="1:36" x14ac:dyDescent="0.2">
      <c r="A938" s="1104" t="s">
        <v>149</v>
      </c>
      <c r="B938" s="1105" t="s">
        <v>264</v>
      </c>
      <c r="C938" s="1356" t="s">
        <v>1471</v>
      </c>
      <c r="D938" s="1343"/>
      <c r="E938" s="1357">
        <v>135717</v>
      </c>
      <c r="F938" s="1344">
        <v>7</v>
      </c>
      <c r="G938" s="1345">
        <v>166268487</v>
      </c>
      <c r="H938" s="860">
        <v>173217376</v>
      </c>
      <c r="I938" s="861"/>
      <c r="J938" s="862"/>
      <c r="K938" s="859"/>
      <c r="L938" s="863"/>
      <c r="M938" s="859">
        <v>152600745</v>
      </c>
      <c r="N938" s="859"/>
      <c r="O938" s="752">
        <f t="shared" si="130"/>
        <v>152600745</v>
      </c>
      <c r="P938" s="862">
        <v>145409706</v>
      </c>
      <c r="Q938" s="860"/>
      <c r="R938" s="753">
        <f t="shared" si="133"/>
        <v>145409706</v>
      </c>
      <c r="S938" s="752">
        <f t="shared" si="134"/>
        <v>318869232</v>
      </c>
      <c r="T938" s="754">
        <f t="shared" si="135"/>
        <v>318627082</v>
      </c>
      <c r="U938" s="859"/>
      <c r="V938" s="863"/>
      <c r="W938" s="859"/>
      <c r="X938" s="859"/>
      <c r="Y938" s="755">
        <f t="shared" si="131"/>
        <v>0</v>
      </c>
      <c r="Z938" s="864"/>
      <c r="AA938" s="863"/>
      <c r="AB938" s="756">
        <f t="shared" si="132"/>
        <v>0</v>
      </c>
      <c r="AC938" s="859"/>
      <c r="AD938" s="863"/>
      <c r="AE938" s="859"/>
      <c r="AF938" s="859"/>
      <c r="AG938" s="864"/>
      <c r="AH938" s="865"/>
      <c r="AI938" s="757">
        <f t="shared" si="136"/>
        <v>318869232</v>
      </c>
      <c r="AJ938" s="758">
        <f t="shared" si="137"/>
        <v>318627082</v>
      </c>
    </row>
    <row r="939" spans="1:36" x14ac:dyDescent="0.2">
      <c r="A939" s="1104" t="s">
        <v>149</v>
      </c>
      <c r="B939" s="1105" t="s">
        <v>264</v>
      </c>
      <c r="C939" s="1356" t="s">
        <v>1472</v>
      </c>
      <c r="D939" s="1343"/>
      <c r="E939" s="1349">
        <v>136233</v>
      </c>
      <c r="F939" s="1344">
        <v>7</v>
      </c>
      <c r="G939" s="1345">
        <v>18216303</v>
      </c>
      <c r="H939" s="860">
        <v>18575488</v>
      </c>
      <c r="I939" s="861"/>
      <c r="J939" s="862"/>
      <c r="K939" s="859"/>
      <c r="L939" s="863"/>
      <c r="M939" s="859">
        <v>12421689</v>
      </c>
      <c r="N939" s="859"/>
      <c r="O939" s="752">
        <f t="shared" si="130"/>
        <v>12421689</v>
      </c>
      <c r="P939" s="862">
        <v>11793393</v>
      </c>
      <c r="Q939" s="860"/>
      <c r="R939" s="753">
        <f t="shared" si="133"/>
        <v>11793393</v>
      </c>
      <c r="S939" s="752">
        <f t="shared" si="134"/>
        <v>30637992</v>
      </c>
      <c r="T939" s="754">
        <f t="shared" si="135"/>
        <v>30368881</v>
      </c>
      <c r="U939" s="859"/>
      <c r="V939" s="863"/>
      <c r="W939" s="859"/>
      <c r="X939" s="859"/>
      <c r="Y939" s="755">
        <f t="shared" si="131"/>
        <v>0</v>
      </c>
      <c r="Z939" s="864"/>
      <c r="AA939" s="863"/>
      <c r="AB939" s="756">
        <f t="shared" si="132"/>
        <v>0</v>
      </c>
      <c r="AC939" s="859"/>
      <c r="AD939" s="863"/>
      <c r="AE939" s="859"/>
      <c r="AF939" s="859"/>
      <c r="AG939" s="864"/>
      <c r="AH939" s="865"/>
      <c r="AI939" s="757">
        <f t="shared" si="136"/>
        <v>30637992</v>
      </c>
      <c r="AJ939" s="758">
        <f t="shared" si="137"/>
        <v>30368881</v>
      </c>
    </row>
    <row r="940" spans="1:36" x14ac:dyDescent="0.2">
      <c r="A940" s="1104" t="s">
        <v>149</v>
      </c>
      <c r="B940" s="1105" t="s">
        <v>264</v>
      </c>
      <c r="C940" s="1356" t="s">
        <v>1473</v>
      </c>
      <c r="D940" s="1343"/>
      <c r="E940" s="1357">
        <v>137078</v>
      </c>
      <c r="F940" s="1344">
        <v>7</v>
      </c>
      <c r="G940" s="1345">
        <v>63234353</v>
      </c>
      <c r="H940" s="860">
        <v>67208473</v>
      </c>
      <c r="I940" s="861"/>
      <c r="J940" s="862"/>
      <c r="K940" s="859"/>
      <c r="L940" s="863"/>
      <c r="M940" s="859">
        <v>56870943</v>
      </c>
      <c r="N940" s="859"/>
      <c r="O940" s="752">
        <f t="shared" si="130"/>
        <v>56870943</v>
      </c>
      <c r="P940" s="862">
        <v>54188470</v>
      </c>
      <c r="Q940" s="860"/>
      <c r="R940" s="753">
        <f t="shared" si="133"/>
        <v>54188470</v>
      </c>
      <c r="S940" s="752">
        <f t="shared" si="134"/>
        <v>120105296</v>
      </c>
      <c r="T940" s="754">
        <f t="shared" si="135"/>
        <v>121396943</v>
      </c>
      <c r="U940" s="859"/>
      <c r="V940" s="863"/>
      <c r="W940" s="859"/>
      <c r="X940" s="859"/>
      <c r="Y940" s="755">
        <f t="shared" si="131"/>
        <v>0</v>
      </c>
      <c r="Z940" s="864"/>
      <c r="AA940" s="863"/>
      <c r="AB940" s="756">
        <f t="shared" si="132"/>
        <v>0</v>
      </c>
      <c r="AC940" s="859"/>
      <c r="AD940" s="863"/>
      <c r="AE940" s="859"/>
      <c r="AF940" s="859"/>
      <c r="AG940" s="864"/>
      <c r="AH940" s="865"/>
      <c r="AI940" s="757">
        <f t="shared" si="136"/>
        <v>120105296</v>
      </c>
      <c r="AJ940" s="758">
        <f t="shared" si="137"/>
        <v>121396943</v>
      </c>
    </row>
    <row r="941" spans="1:36" x14ac:dyDescent="0.2">
      <c r="A941" s="1104" t="s">
        <v>149</v>
      </c>
      <c r="B941" s="1105" t="s">
        <v>264</v>
      </c>
      <c r="C941" s="1346" t="s">
        <v>1474</v>
      </c>
      <c r="D941" s="1358" t="s">
        <v>1493</v>
      </c>
      <c r="E941" s="1357">
        <v>132709</v>
      </c>
      <c r="F941" s="1359">
        <v>7</v>
      </c>
      <c r="G941" s="1345">
        <v>71006946</v>
      </c>
      <c r="H941" s="860">
        <v>81519321</v>
      </c>
      <c r="I941" s="861"/>
      <c r="J941" s="862"/>
      <c r="K941" s="859"/>
      <c r="L941" s="863"/>
      <c r="M941" s="859">
        <v>74728669</v>
      </c>
      <c r="N941" s="859"/>
      <c r="O941" s="752">
        <f t="shared" si="130"/>
        <v>74728669</v>
      </c>
      <c r="P941" s="862">
        <v>74733830</v>
      </c>
      <c r="Q941" s="860"/>
      <c r="R941" s="753">
        <f t="shared" si="133"/>
        <v>74733830</v>
      </c>
      <c r="S941" s="752">
        <f t="shared" si="134"/>
        <v>145735615</v>
      </c>
      <c r="T941" s="754">
        <f t="shared" si="135"/>
        <v>156253151</v>
      </c>
      <c r="U941" s="859"/>
      <c r="V941" s="863"/>
      <c r="W941" s="859"/>
      <c r="X941" s="859"/>
      <c r="Y941" s="755">
        <f t="shared" si="131"/>
        <v>0</v>
      </c>
      <c r="Z941" s="864"/>
      <c r="AA941" s="863"/>
      <c r="AB941" s="756">
        <f t="shared" si="132"/>
        <v>0</v>
      </c>
      <c r="AC941" s="859"/>
      <c r="AD941" s="863"/>
      <c r="AE941" s="859"/>
      <c r="AF941" s="859"/>
      <c r="AG941" s="864"/>
      <c r="AH941" s="865"/>
      <c r="AI941" s="757">
        <f t="shared" si="136"/>
        <v>145735615</v>
      </c>
      <c r="AJ941" s="758">
        <f t="shared" si="137"/>
        <v>156253151</v>
      </c>
    </row>
    <row r="942" spans="1:36" x14ac:dyDescent="0.2">
      <c r="A942" s="1104" t="s">
        <v>149</v>
      </c>
      <c r="B942" s="1105" t="s">
        <v>264</v>
      </c>
      <c r="C942" s="1346" t="s">
        <v>1475</v>
      </c>
      <c r="D942" s="1347" t="s">
        <v>1494</v>
      </c>
      <c r="E942" s="1113">
        <v>132851</v>
      </c>
      <c r="F942" s="1113">
        <v>8</v>
      </c>
      <c r="G942" s="1345">
        <v>19726352</v>
      </c>
      <c r="H942" s="860">
        <v>20987826</v>
      </c>
      <c r="I942" s="861"/>
      <c r="J942" s="862"/>
      <c r="K942" s="859"/>
      <c r="L942" s="863"/>
      <c r="M942" s="859">
        <v>15507394</v>
      </c>
      <c r="N942" s="859"/>
      <c r="O942" s="752">
        <f t="shared" si="130"/>
        <v>15507394</v>
      </c>
      <c r="P942" s="862">
        <v>14639255</v>
      </c>
      <c r="Q942" s="860"/>
      <c r="R942" s="753">
        <f t="shared" si="133"/>
        <v>14639255</v>
      </c>
      <c r="S942" s="752">
        <f t="shared" si="134"/>
        <v>35233746</v>
      </c>
      <c r="T942" s="754">
        <f t="shared" si="135"/>
        <v>35627081</v>
      </c>
      <c r="U942" s="859"/>
      <c r="V942" s="863"/>
      <c r="W942" s="859"/>
      <c r="X942" s="859"/>
      <c r="Y942" s="755">
        <f t="shared" si="131"/>
        <v>0</v>
      </c>
      <c r="Z942" s="864"/>
      <c r="AA942" s="863"/>
      <c r="AB942" s="756">
        <f t="shared" si="132"/>
        <v>0</v>
      </c>
      <c r="AC942" s="859"/>
      <c r="AD942" s="863"/>
      <c r="AE942" s="859"/>
      <c r="AF942" s="859"/>
      <c r="AG942" s="864"/>
      <c r="AH942" s="865"/>
      <c r="AI942" s="757">
        <f t="shared" si="136"/>
        <v>35233746</v>
      </c>
      <c r="AJ942" s="758">
        <f t="shared" si="137"/>
        <v>35627081</v>
      </c>
    </row>
    <row r="943" spans="1:36" x14ac:dyDescent="0.2">
      <c r="A943" s="1104" t="s">
        <v>149</v>
      </c>
      <c r="B943" s="1105" t="s">
        <v>264</v>
      </c>
      <c r="C943" s="1346" t="s">
        <v>1495</v>
      </c>
      <c r="D943" s="1343"/>
      <c r="E943" s="1357">
        <v>132693</v>
      </c>
      <c r="F943" s="1344">
        <v>8</v>
      </c>
      <c r="G943" s="1345">
        <v>43456704</v>
      </c>
      <c r="H943" s="860">
        <v>41059428</v>
      </c>
      <c r="I943" s="861"/>
      <c r="J943" s="862"/>
      <c r="K943" s="859"/>
      <c r="L943" s="863"/>
      <c r="M943" s="859">
        <v>26976606</v>
      </c>
      <c r="N943" s="859"/>
      <c r="O943" s="752">
        <f t="shared" si="130"/>
        <v>26976606</v>
      </c>
      <c r="P943" s="862">
        <v>26020474</v>
      </c>
      <c r="Q943" s="860"/>
      <c r="R943" s="753">
        <f t="shared" si="133"/>
        <v>26020474</v>
      </c>
      <c r="S943" s="752">
        <f t="shared" si="134"/>
        <v>70433310</v>
      </c>
      <c r="T943" s="754">
        <f t="shared" si="135"/>
        <v>67079902</v>
      </c>
      <c r="U943" s="859"/>
      <c r="V943" s="863"/>
      <c r="W943" s="859"/>
      <c r="X943" s="859"/>
      <c r="Y943" s="755">
        <f t="shared" si="131"/>
        <v>0</v>
      </c>
      <c r="Z943" s="864"/>
      <c r="AA943" s="863"/>
      <c r="AB943" s="756">
        <f t="shared" si="132"/>
        <v>0</v>
      </c>
      <c r="AC943" s="859"/>
      <c r="AD943" s="863"/>
      <c r="AE943" s="859"/>
      <c r="AF943" s="859"/>
      <c r="AG943" s="864"/>
      <c r="AH943" s="865"/>
      <c r="AI943" s="757">
        <f t="shared" si="136"/>
        <v>70433310</v>
      </c>
      <c r="AJ943" s="758">
        <f t="shared" si="137"/>
        <v>67079902</v>
      </c>
    </row>
    <row r="944" spans="1:36" x14ac:dyDescent="0.2">
      <c r="A944" s="1104" t="s">
        <v>149</v>
      </c>
      <c r="B944" s="1105" t="s">
        <v>264</v>
      </c>
      <c r="C944" s="1346" t="s">
        <v>1476</v>
      </c>
      <c r="D944" s="1347"/>
      <c r="E944" s="1357">
        <v>134495</v>
      </c>
      <c r="F944" s="1344">
        <v>8</v>
      </c>
      <c r="G944" s="1345">
        <v>48259745</v>
      </c>
      <c r="H944" s="860">
        <v>52640686</v>
      </c>
      <c r="I944" s="861"/>
      <c r="J944" s="862"/>
      <c r="K944" s="859"/>
      <c r="L944" s="863"/>
      <c r="M944" s="859">
        <v>51452590</v>
      </c>
      <c r="N944" s="859"/>
      <c r="O944" s="752">
        <f t="shared" si="130"/>
        <v>51452590</v>
      </c>
      <c r="P944" s="862">
        <v>49254757</v>
      </c>
      <c r="Q944" s="860"/>
      <c r="R944" s="753">
        <f t="shared" si="133"/>
        <v>49254757</v>
      </c>
      <c r="S944" s="752">
        <f t="shared" si="134"/>
        <v>99712335</v>
      </c>
      <c r="T944" s="754">
        <f t="shared" si="135"/>
        <v>101895443</v>
      </c>
      <c r="U944" s="859"/>
      <c r="V944" s="863"/>
      <c r="W944" s="859"/>
      <c r="X944" s="859"/>
      <c r="Y944" s="755">
        <f t="shared" si="131"/>
        <v>0</v>
      </c>
      <c r="Z944" s="864"/>
      <c r="AA944" s="863"/>
      <c r="AB944" s="756">
        <f t="shared" si="132"/>
        <v>0</v>
      </c>
      <c r="AC944" s="859"/>
      <c r="AD944" s="863"/>
      <c r="AE944" s="859"/>
      <c r="AF944" s="859"/>
      <c r="AG944" s="864"/>
      <c r="AH944" s="865"/>
      <c r="AI944" s="757">
        <f t="shared" si="136"/>
        <v>99712335</v>
      </c>
      <c r="AJ944" s="758">
        <f t="shared" si="137"/>
        <v>101895443</v>
      </c>
    </row>
    <row r="945" spans="1:36" x14ac:dyDescent="0.2">
      <c r="A945" s="1104" t="s">
        <v>149</v>
      </c>
      <c r="B945" s="1105" t="s">
        <v>264</v>
      </c>
      <c r="C945" s="1346" t="s">
        <v>1477</v>
      </c>
      <c r="D945" s="1358" t="s">
        <v>1493</v>
      </c>
      <c r="E945" s="1357">
        <v>136358</v>
      </c>
      <c r="F945" s="1359">
        <v>7</v>
      </c>
      <c r="G945" s="1345">
        <v>50996885</v>
      </c>
      <c r="H945" s="860">
        <v>53701201</v>
      </c>
      <c r="I945" s="861"/>
      <c r="J945" s="862"/>
      <c r="K945" s="859"/>
      <c r="L945" s="863"/>
      <c r="M945" s="859">
        <v>50636787</v>
      </c>
      <c r="N945" s="859"/>
      <c r="O945" s="752">
        <f t="shared" si="130"/>
        <v>50636787</v>
      </c>
      <c r="P945" s="862">
        <v>50250232</v>
      </c>
      <c r="Q945" s="860"/>
      <c r="R945" s="753">
        <f t="shared" si="133"/>
        <v>50250232</v>
      </c>
      <c r="S945" s="752">
        <f t="shared" si="134"/>
        <v>101633672</v>
      </c>
      <c r="T945" s="754">
        <f t="shared" si="135"/>
        <v>103951433</v>
      </c>
      <c r="U945" s="859"/>
      <c r="V945" s="863"/>
      <c r="W945" s="859"/>
      <c r="X945" s="859"/>
      <c r="Y945" s="755">
        <f t="shared" si="131"/>
        <v>0</v>
      </c>
      <c r="Z945" s="864"/>
      <c r="AA945" s="863"/>
      <c r="AB945" s="756">
        <f t="shared" si="132"/>
        <v>0</v>
      </c>
      <c r="AC945" s="859"/>
      <c r="AD945" s="863"/>
      <c r="AE945" s="859"/>
      <c r="AF945" s="859"/>
      <c r="AG945" s="864"/>
      <c r="AH945" s="865"/>
      <c r="AI945" s="757">
        <f t="shared" si="136"/>
        <v>101633672</v>
      </c>
      <c r="AJ945" s="758">
        <f t="shared" si="137"/>
        <v>103951433</v>
      </c>
    </row>
    <row r="946" spans="1:36" x14ac:dyDescent="0.2">
      <c r="A946" s="1104" t="s">
        <v>149</v>
      </c>
      <c r="B946" s="1105" t="s">
        <v>264</v>
      </c>
      <c r="C946" s="1346" t="s">
        <v>1478</v>
      </c>
      <c r="D946" s="1347"/>
      <c r="E946" s="1357">
        <v>136400</v>
      </c>
      <c r="F946" s="1344">
        <v>8</v>
      </c>
      <c r="G946" s="1345">
        <v>19523024</v>
      </c>
      <c r="H946" s="860">
        <v>27248501</v>
      </c>
      <c r="I946" s="861"/>
      <c r="J946" s="862"/>
      <c r="K946" s="859"/>
      <c r="L946" s="863"/>
      <c r="M946" s="859">
        <v>15322778</v>
      </c>
      <c r="N946" s="859"/>
      <c r="O946" s="752">
        <f t="shared" si="130"/>
        <v>15322778</v>
      </c>
      <c r="P946" s="862">
        <v>15627739</v>
      </c>
      <c r="Q946" s="860"/>
      <c r="R946" s="753">
        <f t="shared" si="133"/>
        <v>15627739</v>
      </c>
      <c r="S946" s="752">
        <f t="shared" si="134"/>
        <v>34845802</v>
      </c>
      <c r="T946" s="754">
        <f t="shared" si="135"/>
        <v>42876240</v>
      </c>
      <c r="U946" s="859"/>
      <c r="V946" s="863"/>
      <c r="W946" s="859"/>
      <c r="X946" s="859"/>
      <c r="Y946" s="755">
        <f t="shared" si="131"/>
        <v>0</v>
      </c>
      <c r="Z946" s="864"/>
      <c r="AA946" s="863"/>
      <c r="AB946" s="756">
        <f t="shared" si="132"/>
        <v>0</v>
      </c>
      <c r="AC946" s="859"/>
      <c r="AD946" s="863"/>
      <c r="AE946" s="859"/>
      <c r="AF946" s="859"/>
      <c r="AG946" s="864"/>
      <c r="AH946" s="865"/>
      <c r="AI946" s="757">
        <f t="shared" si="136"/>
        <v>34845802</v>
      </c>
      <c r="AJ946" s="758">
        <f t="shared" si="137"/>
        <v>42876240</v>
      </c>
    </row>
    <row r="947" spans="1:36" x14ac:dyDescent="0.2">
      <c r="A947" s="1104" t="s">
        <v>149</v>
      </c>
      <c r="B947" s="1105" t="s">
        <v>264</v>
      </c>
      <c r="C947" s="1346" t="s">
        <v>1479</v>
      </c>
      <c r="D947" s="1350" t="s">
        <v>1496</v>
      </c>
      <c r="E947" s="1357">
        <v>136473</v>
      </c>
      <c r="F947" s="1344">
        <v>8</v>
      </c>
      <c r="G947" s="1345">
        <v>33239464</v>
      </c>
      <c r="H947" s="860">
        <v>34256668</v>
      </c>
      <c r="I947" s="861"/>
      <c r="J947" s="862"/>
      <c r="K947" s="859"/>
      <c r="L947" s="863"/>
      <c r="M947" s="859">
        <v>20062747</v>
      </c>
      <c r="N947" s="859"/>
      <c r="O947" s="752">
        <f t="shared" si="130"/>
        <v>20062747</v>
      </c>
      <c r="P947" s="862">
        <v>18323517</v>
      </c>
      <c r="Q947" s="860"/>
      <c r="R947" s="753">
        <f t="shared" si="133"/>
        <v>18323517</v>
      </c>
      <c r="S947" s="752">
        <f t="shared" si="134"/>
        <v>53302211</v>
      </c>
      <c r="T947" s="754">
        <f t="shared" si="135"/>
        <v>52580185</v>
      </c>
      <c r="U947" s="859"/>
      <c r="V947" s="863"/>
      <c r="W947" s="859"/>
      <c r="X947" s="859"/>
      <c r="Y947" s="755">
        <f t="shared" si="131"/>
        <v>0</v>
      </c>
      <c r="Z947" s="864"/>
      <c r="AA947" s="863"/>
      <c r="AB947" s="756">
        <f t="shared" si="132"/>
        <v>0</v>
      </c>
      <c r="AC947" s="859"/>
      <c r="AD947" s="863"/>
      <c r="AE947" s="859"/>
      <c r="AF947" s="859"/>
      <c r="AG947" s="864"/>
      <c r="AH947" s="865"/>
      <c r="AI947" s="757">
        <f t="shared" si="136"/>
        <v>53302211</v>
      </c>
      <c r="AJ947" s="758">
        <f t="shared" si="137"/>
        <v>52580185</v>
      </c>
    </row>
    <row r="948" spans="1:36" x14ac:dyDescent="0.2">
      <c r="A948" s="1104" t="s">
        <v>149</v>
      </c>
      <c r="B948" s="1105" t="s">
        <v>264</v>
      </c>
      <c r="C948" s="1346" t="s">
        <v>1480</v>
      </c>
      <c r="D948" s="1358" t="s">
        <v>1493</v>
      </c>
      <c r="E948" s="1357">
        <v>136516</v>
      </c>
      <c r="F948" s="1359">
        <v>7</v>
      </c>
      <c r="G948" s="1345">
        <v>27551462</v>
      </c>
      <c r="H948" s="860">
        <v>26573056</v>
      </c>
      <c r="I948" s="861"/>
      <c r="J948" s="862"/>
      <c r="K948" s="859"/>
      <c r="L948" s="863"/>
      <c r="M948" s="859">
        <v>18730169</v>
      </c>
      <c r="N948" s="859"/>
      <c r="O948" s="752">
        <f t="shared" si="130"/>
        <v>18730169</v>
      </c>
      <c r="P948" s="862">
        <v>18773133</v>
      </c>
      <c r="Q948" s="860"/>
      <c r="R948" s="753">
        <f t="shared" si="133"/>
        <v>18773133</v>
      </c>
      <c r="S948" s="752">
        <f t="shared" si="134"/>
        <v>46281631</v>
      </c>
      <c r="T948" s="754">
        <f t="shared" si="135"/>
        <v>45346189</v>
      </c>
      <c r="U948" s="859"/>
      <c r="V948" s="863"/>
      <c r="W948" s="859"/>
      <c r="X948" s="859"/>
      <c r="Y948" s="755">
        <f t="shared" si="131"/>
        <v>0</v>
      </c>
      <c r="Z948" s="864"/>
      <c r="AA948" s="863"/>
      <c r="AB948" s="756">
        <f t="shared" si="132"/>
        <v>0</v>
      </c>
      <c r="AC948" s="859"/>
      <c r="AD948" s="863"/>
      <c r="AE948" s="859"/>
      <c r="AF948" s="859"/>
      <c r="AG948" s="864"/>
      <c r="AH948" s="865"/>
      <c r="AI948" s="757">
        <f t="shared" si="136"/>
        <v>46281631</v>
      </c>
      <c r="AJ948" s="758">
        <f t="shared" si="137"/>
        <v>45346189</v>
      </c>
    </row>
    <row r="949" spans="1:36" x14ac:dyDescent="0.2">
      <c r="A949" s="1104" t="s">
        <v>149</v>
      </c>
      <c r="B949" s="1105" t="s">
        <v>264</v>
      </c>
      <c r="C949" s="1346" t="s">
        <v>1481</v>
      </c>
      <c r="D949" s="1350" t="s">
        <v>1496</v>
      </c>
      <c r="E949" s="1357">
        <v>137096</v>
      </c>
      <c r="F949" s="1344">
        <v>8</v>
      </c>
      <c r="G949" s="1345">
        <v>34154347</v>
      </c>
      <c r="H949" s="860">
        <v>35341108</v>
      </c>
      <c r="I949" s="861"/>
      <c r="J949" s="862"/>
      <c r="K949" s="859"/>
      <c r="L949" s="863"/>
      <c r="M949" s="859">
        <v>30513303</v>
      </c>
      <c r="N949" s="859"/>
      <c r="O949" s="752">
        <f t="shared" si="130"/>
        <v>30513303</v>
      </c>
      <c r="P949" s="862">
        <v>29025165</v>
      </c>
      <c r="Q949" s="860"/>
      <c r="R949" s="753">
        <f t="shared" si="133"/>
        <v>29025165</v>
      </c>
      <c r="S949" s="752">
        <f t="shared" si="134"/>
        <v>64667650</v>
      </c>
      <c r="T949" s="754">
        <f t="shared" si="135"/>
        <v>64366273</v>
      </c>
      <c r="U949" s="859"/>
      <c r="V949" s="863"/>
      <c r="W949" s="859"/>
      <c r="X949" s="859"/>
      <c r="Y949" s="755">
        <f t="shared" si="131"/>
        <v>0</v>
      </c>
      <c r="Z949" s="864"/>
      <c r="AA949" s="863"/>
      <c r="AB949" s="756">
        <f t="shared" si="132"/>
        <v>0</v>
      </c>
      <c r="AC949" s="859"/>
      <c r="AD949" s="863"/>
      <c r="AE949" s="859"/>
      <c r="AF949" s="859"/>
      <c r="AG949" s="864"/>
      <c r="AH949" s="865"/>
      <c r="AI949" s="757">
        <f t="shared" si="136"/>
        <v>64667650</v>
      </c>
      <c r="AJ949" s="758">
        <f t="shared" si="137"/>
        <v>64366273</v>
      </c>
    </row>
    <row r="950" spans="1:36" x14ac:dyDescent="0.2">
      <c r="A950" s="1104" t="s">
        <v>149</v>
      </c>
      <c r="B950" s="1105" t="s">
        <v>264</v>
      </c>
      <c r="C950" s="1346" t="s">
        <v>1482</v>
      </c>
      <c r="D950" s="1350" t="s">
        <v>1496</v>
      </c>
      <c r="E950" s="1357">
        <v>137209</v>
      </c>
      <c r="F950" s="1344">
        <v>8</v>
      </c>
      <c r="G950" s="1345">
        <v>37140315</v>
      </c>
      <c r="H950" s="860">
        <v>37244286</v>
      </c>
      <c r="I950" s="861"/>
      <c r="J950" s="862"/>
      <c r="K950" s="859"/>
      <c r="L950" s="863"/>
      <c r="M950" s="859">
        <v>36215337</v>
      </c>
      <c r="N950" s="859"/>
      <c r="O950" s="752">
        <f t="shared" si="130"/>
        <v>36215337</v>
      </c>
      <c r="P950" s="862">
        <v>33438119</v>
      </c>
      <c r="Q950" s="860"/>
      <c r="R950" s="753">
        <f t="shared" si="133"/>
        <v>33438119</v>
      </c>
      <c r="S950" s="752">
        <f t="shared" si="134"/>
        <v>73355652</v>
      </c>
      <c r="T950" s="754">
        <f t="shared" si="135"/>
        <v>70682405</v>
      </c>
      <c r="U950" s="859"/>
      <c r="V950" s="863"/>
      <c r="W950" s="859"/>
      <c r="X950" s="859"/>
      <c r="Y950" s="755">
        <f t="shared" si="131"/>
        <v>0</v>
      </c>
      <c r="Z950" s="864"/>
      <c r="AA950" s="863"/>
      <c r="AB950" s="756">
        <f t="shared" si="132"/>
        <v>0</v>
      </c>
      <c r="AC950" s="859"/>
      <c r="AD950" s="863"/>
      <c r="AE950" s="859"/>
      <c r="AF950" s="859"/>
      <c r="AG950" s="864"/>
      <c r="AH950" s="865"/>
      <c r="AI950" s="757">
        <f t="shared" si="136"/>
        <v>73355652</v>
      </c>
      <c r="AJ950" s="758">
        <f t="shared" si="137"/>
        <v>70682405</v>
      </c>
    </row>
    <row r="951" spans="1:36" x14ac:dyDescent="0.2">
      <c r="A951" s="1104" t="s">
        <v>149</v>
      </c>
      <c r="B951" s="1105" t="s">
        <v>264</v>
      </c>
      <c r="C951" s="1346" t="s">
        <v>1483</v>
      </c>
      <c r="D951" s="1358" t="s">
        <v>1493</v>
      </c>
      <c r="E951" s="1357">
        <v>135391</v>
      </c>
      <c r="F951" s="1359">
        <v>7</v>
      </c>
      <c r="G951" s="1345">
        <v>21420707</v>
      </c>
      <c r="H951" s="860">
        <v>22310836</v>
      </c>
      <c r="I951" s="861"/>
      <c r="J951" s="862"/>
      <c r="K951" s="859"/>
      <c r="L951" s="863"/>
      <c r="M951" s="859">
        <v>20498752</v>
      </c>
      <c r="N951" s="859"/>
      <c r="O951" s="752">
        <f t="shared" si="130"/>
        <v>20498752</v>
      </c>
      <c r="P951" s="862">
        <v>19224312</v>
      </c>
      <c r="Q951" s="860"/>
      <c r="R951" s="753">
        <f t="shared" si="133"/>
        <v>19224312</v>
      </c>
      <c r="S951" s="752">
        <f t="shared" si="134"/>
        <v>41919459</v>
      </c>
      <c r="T951" s="754">
        <f t="shared" si="135"/>
        <v>41535148</v>
      </c>
      <c r="U951" s="859"/>
      <c r="V951" s="863"/>
      <c r="W951" s="859"/>
      <c r="X951" s="859"/>
      <c r="Y951" s="755">
        <f t="shared" si="131"/>
        <v>0</v>
      </c>
      <c r="Z951" s="864"/>
      <c r="AA951" s="863"/>
      <c r="AB951" s="756">
        <f t="shared" si="132"/>
        <v>0</v>
      </c>
      <c r="AC951" s="859"/>
      <c r="AD951" s="863"/>
      <c r="AE951" s="859"/>
      <c r="AF951" s="859"/>
      <c r="AG951" s="864"/>
      <c r="AH951" s="865"/>
      <c r="AI951" s="757">
        <f t="shared" si="136"/>
        <v>41919459</v>
      </c>
      <c r="AJ951" s="758">
        <f t="shared" si="137"/>
        <v>41535148</v>
      </c>
    </row>
    <row r="952" spans="1:36" x14ac:dyDescent="0.2">
      <c r="A952" s="1104" t="s">
        <v>149</v>
      </c>
      <c r="B952" s="1105" t="s">
        <v>264</v>
      </c>
      <c r="C952" s="1346" t="s">
        <v>1484</v>
      </c>
      <c r="D952" s="1347"/>
      <c r="E952" s="1357">
        <v>137759</v>
      </c>
      <c r="F952" s="1344">
        <v>8</v>
      </c>
      <c r="G952" s="1345">
        <v>28120971</v>
      </c>
      <c r="H952" s="860">
        <v>29735762</v>
      </c>
      <c r="I952" s="861"/>
      <c r="J952" s="862"/>
      <c r="K952" s="859"/>
      <c r="L952" s="863"/>
      <c r="M952" s="859">
        <v>28592596</v>
      </c>
      <c r="N952" s="859"/>
      <c r="O952" s="752">
        <f t="shared" si="130"/>
        <v>28592596</v>
      </c>
      <c r="P952" s="862">
        <v>26454335</v>
      </c>
      <c r="Q952" s="860"/>
      <c r="R952" s="753">
        <f t="shared" si="133"/>
        <v>26454335</v>
      </c>
      <c r="S952" s="752">
        <f t="shared" si="134"/>
        <v>56713567</v>
      </c>
      <c r="T952" s="754">
        <f t="shared" si="135"/>
        <v>56190097</v>
      </c>
      <c r="U952" s="859"/>
      <c r="V952" s="863"/>
      <c r="W952" s="859"/>
      <c r="X952" s="859"/>
      <c r="Y952" s="755">
        <f t="shared" si="131"/>
        <v>0</v>
      </c>
      <c r="Z952" s="864"/>
      <c r="AA952" s="863"/>
      <c r="AB952" s="756">
        <f t="shared" si="132"/>
        <v>0</v>
      </c>
      <c r="AC952" s="859"/>
      <c r="AD952" s="863"/>
      <c r="AE952" s="859"/>
      <c r="AF952" s="859"/>
      <c r="AG952" s="864"/>
      <c r="AH952" s="865"/>
      <c r="AI952" s="757">
        <f t="shared" si="136"/>
        <v>56713567</v>
      </c>
      <c r="AJ952" s="758">
        <f t="shared" si="137"/>
        <v>56190097</v>
      </c>
    </row>
    <row r="953" spans="1:36" x14ac:dyDescent="0.2">
      <c r="A953" s="1104" t="s">
        <v>149</v>
      </c>
      <c r="B953" s="1105" t="s">
        <v>264</v>
      </c>
      <c r="C953" s="1346" t="s">
        <v>1485</v>
      </c>
      <c r="D953" s="1347" t="s">
        <v>1494</v>
      </c>
      <c r="E953" s="1357">
        <v>138187</v>
      </c>
      <c r="F953" s="1344">
        <v>8</v>
      </c>
      <c r="G953" s="1345">
        <v>68997892</v>
      </c>
      <c r="H953" s="860">
        <v>67215536</v>
      </c>
      <c r="I953" s="861"/>
      <c r="J953" s="862"/>
      <c r="K953" s="859"/>
      <c r="L953" s="863"/>
      <c r="M953" s="859">
        <v>79769443</v>
      </c>
      <c r="N953" s="859"/>
      <c r="O953" s="752">
        <f t="shared" si="130"/>
        <v>79769443</v>
      </c>
      <c r="P953" s="862">
        <v>77923147</v>
      </c>
      <c r="Q953" s="860"/>
      <c r="R953" s="753">
        <f t="shared" si="133"/>
        <v>77923147</v>
      </c>
      <c r="S953" s="752">
        <f t="shared" si="134"/>
        <v>148767335</v>
      </c>
      <c r="T953" s="754">
        <f t="shared" si="135"/>
        <v>145138683</v>
      </c>
      <c r="U953" s="859"/>
      <c r="V953" s="863"/>
      <c r="W953" s="859"/>
      <c r="X953" s="859"/>
      <c r="Y953" s="755">
        <f t="shared" si="131"/>
        <v>0</v>
      </c>
      <c r="Z953" s="864"/>
      <c r="AA953" s="863"/>
      <c r="AB953" s="756">
        <f t="shared" si="132"/>
        <v>0</v>
      </c>
      <c r="AC953" s="859"/>
      <c r="AD953" s="863"/>
      <c r="AE953" s="859"/>
      <c r="AF953" s="859"/>
      <c r="AG953" s="864"/>
      <c r="AH953" s="865"/>
      <c r="AI953" s="757">
        <f t="shared" si="136"/>
        <v>148767335</v>
      </c>
      <c r="AJ953" s="758">
        <f t="shared" si="137"/>
        <v>145138683</v>
      </c>
    </row>
    <row r="954" spans="1:36" x14ac:dyDescent="0.2">
      <c r="A954" s="1104" t="s">
        <v>149</v>
      </c>
      <c r="B954" s="1105" t="s">
        <v>264</v>
      </c>
      <c r="C954" s="1346" t="s">
        <v>1486</v>
      </c>
      <c r="D954" s="1343"/>
      <c r="E954" s="1357">
        <v>135160</v>
      </c>
      <c r="F954" s="1344">
        <v>9</v>
      </c>
      <c r="G954" s="1345">
        <v>12305029</v>
      </c>
      <c r="H954" s="860">
        <v>12685807</v>
      </c>
      <c r="I954" s="861"/>
      <c r="J954" s="862"/>
      <c r="K954" s="859"/>
      <c r="L954" s="863"/>
      <c r="M954" s="859">
        <v>4458426</v>
      </c>
      <c r="N954" s="859"/>
      <c r="O954" s="752">
        <f t="shared" si="130"/>
        <v>4458426</v>
      </c>
      <c r="P954" s="862">
        <v>4098139</v>
      </c>
      <c r="Q954" s="860"/>
      <c r="R954" s="753">
        <f t="shared" si="133"/>
        <v>4098139</v>
      </c>
      <c r="S954" s="752">
        <f t="shared" si="134"/>
        <v>16763455</v>
      </c>
      <c r="T954" s="754">
        <f t="shared" si="135"/>
        <v>16783946</v>
      </c>
      <c r="U954" s="859"/>
      <c r="V954" s="863"/>
      <c r="W954" s="859"/>
      <c r="X954" s="859"/>
      <c r="Y954" s="755">
        <f t="shared" si="131"/>
        <v>0</v>
      </c>
      <c r="Z954" s="864"/>
      <c r="AA954" s="863"/>
      <c r="AB954" s="756">
        <f t="shared" si="132"/>
        <v>0</v>
      </c>
      <c r="AC954" s="859"/>
      <c r="AD954" s="863"/>
      <c r="AE954" s="859"/>
      <c r="AF954" s="859"/>
      <c r="AG954" s="864"/>
      <c r="AH954" s="865"/>
      <c r="AI954" s="757">
        <f t="shared" si="136"/>
        <v>16763455</v>
      </c>
      <c r="AJ954" s="758">
        <f t="shared" si="137"/>
        <v>16783946</v>
      </c>
    </row>
    <row r="955" spans="1:36" x14ac:dyDescent="0.2">
      <c r="A955" s="1104" t="s">
        <v>149</v>
      </c>
      <c r="B955" s="1105" t="s">
        <v>264</v>
      </c>
      <c r="C955" s="1346" t="s">
        <v>1487</v>
      </c>
      <c r="D955" s="1350" t="s">
        <v>1496</v>
      </c>
      <c r="E955" s="1357">
        <v>134343</v>
      </c>
      <c r="F955" s="1344">
        <v>9</v>
      </c>
      <c r="G955" s="1345">
        <v>21221035</v>
      </c>
      <c r="H955" s="860">
        <v>21735273</v>
      </c>
      <c r="I955" s="861"/>
      <c r="J955" s="862"/>
      <c r="K955" s="859"/>
      <c r="L955" s="863"/>
      <c r="M955" s="859">
        <v>9497757</v>
      </c>
      <c r="N955" s="859"/>
      <c r="O955" s="752">
        <f t="shared" si="130"/>
        <v>9497757</v>
      </c>
      <c r="P955" s="862">
        <v>9566406</v>
      </c>
      <c r="Q955" s="860"/>
      <c r="R955" s="753">
        <f t="shared" si="133"/>
        <v>9566406</v>
      </c>
      <c r="S955" s="752">
        <f t="shared" si="134"/>
        <v>30718792</v>
      </c>
      <c r="T955" s="754">
        <f t="shared" si="135"/>
        <v>31301679</v>
      </c>
      <c r="U955" s="859"/>
      <c r="V955" s="863"/>
      <c r="W955" s="859"/>
      <c r="X955" s="859"/>
      <c r="Y955" s="755">
        <f t="shared" si="131"/>
        <v>0</v>
      </c>
      <c r="Z955" s="864"/>
      <c r="AA955" s="863"/>
      <c r="AB955" s="756">
        <f t="shared" si="132"/>
        <v>0</v>
      </c>
      <c r="AC955" s="859"/>
      <c r="AD955" s="863"/>
      <c r="AE955" s="859"/>
      <c r="AF955" s="859"/>
      <c r="AG955" s="864"/>
      <c r="AH955" s="865"/>
      <c r="AI955" s="757">
        <f t="shared" si="136"/>
        <v>30718792</v>
      </c>
      <c r="AJ955" s="758">
        <f t="shared" si="137"/>
        <v>31301679</v>
      </c>
    </row>
    <row r="956" spans="1:36" x14ac:dyDescent="0.2">
      <c r="A956" s="1104" t="s">
        <v>149</v>
      </c>
      <c r="B956" s="1105" t="s">
        <v>264</v>
      </c>
      <c r="C956" s="1346" t="s">
        <v>1488</v>
      </c>
      <c r="D956" s="1343"/>
      <c r="E956" s="1357">
        <v>135188</v>
      </c>
      <c r="F956" s="1344">
        <v>9</v>
      </c>
      <c r="G956" s="1345">
        <v>10932043</v>
      </c>
      <c r="H956" s="860">
        <v>13603078</v>
      </c>
      <c r="I956" s="861"/>
      <c r="J956" s="862"/>
      <c r="K956" s="859"/>
      <c r="L956" s="863"/>
      <c r="M956" s="859">
        <v>6623549</v>
      </c>
      <c r="N956" s="859"/>
      <c r="O956" s="752">
        <f t="shared" si="130"/>
        <v>6623549</v>
      </c>
      <c r="P956" s="862">
        <v>6276278</v>
      </c>
      <c r="Q956" s="860"/>
      <c r="R956" s="753">
        <f t="shared" si="133"/>
        <v>6276278</v>
      </c>
      <c r="S956" s="752">
        <f t="shared" si="134"/>
        <v>17555592</v>
      </c>
      <c r="T956" s="754">
        <f t="shared" si="135"/>
        <v>19879356</v>
      </c>
      <c r="U956" s="859"/>
      <c r="V956" s="863"/>
      <c r="W956" s="859"/>
      <c r="X956" s="859"/>
      <c r="Y956" s="755">
        <f t="shared" si="131"/>
        <v>0</v>
      </c>
      <c r="Z956" s="864"/>
      <c r="AA956" s="863"/>
      <c r="AB956" s="756">
        <f t="shared" si="132"/>
        <v>0</v>
      </c>
      <c r="AC956" s="859"/>
      <c r="AD956" s="863"/>
      <c r="AE956" s="859"/>
      <c r="AF956" s="859"/>
      <c r="AG956" s="864"/>
      <c r="AH956" s="865"/>
      <c r="AI956" s="757">
        <f t="shared" si="136"/>
        <v>17555592</v>
      </c>
      <c r="AJ956" s="758">
        <f t="shared" si="137"/>
        <v>19879356</v>
      </c>
    </row>
    <row r="957" spans="1:36" x14ac:dyDescent="0.2">
      <c r="A957" s="1104" t="s">
        <v>149</v>
      </c>
      <c r="B957" s="1105" t="s">
        <v>264</v>
      </c>
      <c r="C957" s="1346" t="s">
        <v>1489</v>
      </c>
      <c r="D957" s="1343"/>
      <c r="E957" s="1357">
        <v>137315</v>
      </c>
      <c r="F957" s="1344">
        <v>9</v>
      </c>
      <c r="G957" s="1345">
        <v>15152285</v>
      </c>
      <c r="H957" s="860">
        <v>15736621</v>
      </c>
      <c r="I957" s="861"/>
      <c r="J957" s="862"/>
      <c r="K957" s="859"/>
      <c r="L957" s="863"/>
      <c r="M957" s="859">
        <v>3917638</v>
      </c>
      <c r="N957" s="859"/>
      <c r="O957" s="752">
        <f t="shared" si="130"/>
        <v>3917638</v>
      </c>
      <c r="P957" s="862">
        <v>3756177</v>
      </c>
      <c r="Q957" s="860"/>
      <c r="R957" s="753">
        <f t="shared" si="133"/>
        <v>3756177</v>
      </c>
      <c r="S957" s="752">
        <f t="shared" si="134"/>
        <v>19069923</v>
      </c>
      <c r="T957" s="754">
        <f t="shared" si="135"/>
        <v>19492798</v>
      </c>
      <c r="U957" s="859"/>
      <c r="V957" s="863"/>
      <c r="W957" s="859"/>
      <c r="X957" s="859"/>
      <c r="Y957" s="755">
        <f t="shared" si="131"/>
        <v>0</v>
      </c>
      <c r="Z957" s="864"/>
      <c r="AA957" s="863"/>
      <c r="AB957" s="756">
        <f t="shared" si="132"/>
        <v>0</v>
      </c>
      <c r="AC957" s="859"/>
      <c r="AD957" s="863"/>
      <c r="AE957" s="859"/>
      <c r="AF957" s="859"/>
      <c r="AG957" s="864"/>
      <c r="AH957" s="865"/>
      <c r="AI957" s="757">
        <f t="shared" si="136"/>
        <v>19069923</v>
      </c>
      <c r="AJ957" s="758">
        <f t="shared" si="137"/>
        <v>19492798</v>
      </c>
    </row>
    <row r="958" spans="1:36" x14ac:dyDescent="0.2">
      <c r="A958" s="1104" t="s">
        <v>149</v>
      </c>
      <c r="B958" s="1105" t="s">
        <v>264</v>
      </c>
      <c r="C958" s="1346" t="s">
        <v>1497</v>
      </c>
      <c r="D958" s="1358" t="s">
        <v>1493</v>
      </c>
      <c r="E958" s="1357">
        <v>137281</v>
      </c>
      <c r="F958" s="1359">
        <v>7</v>
      </c>
      <c r="G958" s="1345">
        <v>16561820</v>
      </c>
      <c r="H958" s="860">
        <v>19167779</v>
      </c>
      <c r="I958" s="861"/>
      <c r="J958" s="862"/>
      <c r="K958" s="859"/>
      <c r="L958" s="863"/>
      <c r="M958" s="859">
        <v>10680162</v>
      </c>
      <c r="N958" s="859"/>
      <c r="O958" s="752">
        <f t="shared" si="130"/>
        <v>10680162</v>
      </c>
      <c r="P958" s="862">
        <v>10751526</v>
      </c>
      <c r="Q958" s="860"/>
      <c r="R958" s="753">
        <f t="shared" si="133"/>
        <v>10751526</v>
      </c>
      <c r="S958" s="752">
        <f t="shared" si="134"/>
        <v>27241982</v>
      </c>
      <c r="T958" s="754">
        <f t="shared" si="135"/>
        <v>29919305</v>
      </c>
      <c r="U958" s="859"/>
      <c r="V958" s="863"/>
      <c r="W958" s="859"/>
      <c r="X958" s="859"/>
      <c r="Y958" s="755">
        <f t="shared" si="131"/>
        <v>0</v>
      </c>
      <c r="Z958" s="864"/>
      <c r="AA958" s="863"/>
      <c r="AB958" s="756">
        <f t="shared" si="132"/>
        <v>0</v>
      </c>
      <c r="AC958" s="859"/>
      <c r="AD958" s="863"/>
      <c r="AE958" s="859"/>
      <c r="AF958" s="859"/>
      <c r="AG958" s="864"/>
      <c r="AH958" s="865"/>
      <c r="AI958" s="757">
        <f t="shared" si="136"/>
        <v>27241982</v>
      </c>
      <c r="AJ958" s="758">
        <f t="shared" si="137"/>
        <v>29919305</v>
      </c>
    </row>
    <row r="959" spans="1:36" x14ac:dyDescent="0.2">
      <c r="A959" s="1104" t="s">
        <v>149</v>
      </c>
      <c r="B959" s="1105" t="s">
        <v>264</v>
      </c>
      <c r="C959" s="1356" t="s">
        <v>1490</v>
      </c>
      <c r="D959" s="1343"/>
      <c r="E959" s="1357">
        <v>133960</v>
      </c>
      <c r="F959" s="1344">
        <v>10</v>
      </c>
      <c r="G959" s="1345">
        <v>5780527</v>
      </c>
      <c r="H959" s="860">
        <v>6409496</v>
      </c>
      <c r="I959" s="861"/>
      <c r="J959" s="862"/>
      <c r="K959" s="859"/>
      <c r="L959" s="863"/>
      <c r="M959" s="859">
        <v>2557346</v>
      </c>
      <c r="N959" s="859"/>
      <c r="O959" s="752">
        <f t="shared" si="130"/>
        <v>2557346</v>
      </c>
      <c r="P959" s="862">
        <v>2393563</v>
      </c>
      <c r="Q959" s="860"/>
      <c r="R959" s="753">
        <f t="shared" si="133"/>
        <v>2393563</v>
      </c>
      <c r="S959" s="752">
        <f t="shared" si="134"/>
        <v>8337873</v>
      </c>
      <c r="T959" s="754">
        <f t="shared" si="135"/>
        <v>8803059</v>
      </c>
      <c r="U959" s="859"/>
      <c r="V959" s="863"/>
      <c r="W959" s="859"/>
      <c r="X959" s="859"/>
      <c r="Y959" s="755">
        <f t="shared" si="131"/>
        <v>0</v>
      </c>
      <c r="Z959" s="864"/>
      <c r="AA959" s="863"/>
      <c r="AB959" s="756">
        <f t="shared" si="132"/>
        <v>0</v>
      </c>
      <c r="AC959" s="859"/>
      <c r="AD959" s="863"/>
      <c r="AE959" s="859"/>
      <c r="AF959" s="859"/>
      <c r="AG959" s="864"/>
      <c r="AH959" s="865"/>
      <c r="AI959" s="757">
        <f t="shared" si="136"/>
        <v>8337873</v>
      </c>
      <c r="AJ959" s="758">
        <f t="shared" si="137"/>
        <v>8803059</v>
      </c>
    </row>
    <row r="960" spans="1:36" x14ac:dyDescent="0.2">
      <c r="A960" s="1104" t="s">
        <v>149</v>
      </c>
      <c r="B960" s="1105" t="s">
        <v>264</v>
      </c>
      <c r="C960" s="1356" t="s">
        <v>1491</v>
      </c>
      <c r="D960" s="1343"/>
      <c r="E960" s="1357">
        <v>136145</v>
      </c>
      <c r="F960" s="1344">
        <v>10</v>
      </c>
      <c r="G960" s="1345">
        <v>6156421</v>
      </c>
      <c r="H960" s="860">
        <v>6946880</v>
      </c>
      <c r="I960" s="861"/>
      <c r="J960" s="862"/>
      <c r="K960" s="859"/>
      <c r="L960" s="863"/>
      <c r="M960" s="859">
        <v>1926709</v>
      </c>
      <c r="N960" s="859"/>
      <c r="O960" s="752">
        <f t="shared" si="130"/>
        <v>1926709</v>
      </c>
      <c r="P960" s="862">
        <v>1749639</v>
      </c>
      <c r="Q960" s="860"/>
      <c r="R960" s="753">
        <f t="shared" si="133"/>
        <v>1749639</v>
      </c>
      <c r="S960" s="752">
        <f t="shared" si="134"/>
        <v>8083130</v>
      </c>
      <c r="T960" s="754">
        <f t="shared" si="135"/>
        <v>8696519</v>
      </c>
      <c r="U960" s="859"/>
      <c r="V960" s="863"/>
      <c r="W960" s="859"/>
      <c r="X960" s="859"/>
      <c r="Y960" s="755">
        <f t="shared" si="131"/>
        <v>0</v>
      </c>
      <c r="Z960" s="864"/>
      <c r="AA960" s="863"/>
      <c r="AB960" s="756">
        <f t="shared" si="132"/>
        <v>0</v>
      </c>
      <c r="AC960" s="859"/>
      <c r="AD960" s="863"/>
      <c r="AE960" s="859"/>
      <c r="AF960" s="859"/>
      <c r="AG960" s="864"/>
      <c r="AH960" s="865"/>
      <c r="AI960" s="757">
        <f t="shared" si="136"/>
        <v>8083130</v>
      </c>
      <c r="AJ960" s="758">
        <f t="shared" si="137"/>
        <v>8696519</v>
      </c>
    </row>
    <row r="961" spans="1:36" x14ac:dyDescent="0.2">
      <c r="A961" s="1104" t="s">
        <v>149</v>
      </c>
      <c r="B961" s="1105" t="s">
        <v>283</v>
      </c>
      <c r="C961" s="1114" t="s">
        <v>1492</v>
      </c>
      <c r="D961" s="1351"/>
      <c r="E961" s="1352"/>
      <c r="F961" s="1130"/>
      <c r="G961" s="859"/>
      <c r="H961" s="860"/>
      <c r="I961" s="861"/>
      <c r="J961" s="862"/>
      <c r="K961" s="859"/>
      <c r="L961" s="863"/>
      <c r="M961" s="859"/>
      <c r="N961" s="859"/>
      <c r="O961" s="752">
        <f t="shared" si="130"/>
        <v>0</v>
      </c>
      <c r="P961" s="862"/>
      <c r="Q961" s="860"/>
      <c r="R961" s="753">
        <f t="shared" si="133"/>
        <v>0</v>
      </c>
      <c r="S961" s="752">
        <f t="shared" si="134"/>
        <v>0</v>
      </c>
      <c r="T961" s="754">
        <f t="shared" si="135"/>
        <v>0</v>
      </c>
      <c r="U961" s="859">
        <v>1621007.0699999996</v>
      </c>
      <c r="V961" s="1353">
        <v>2274086</v>
      </c>
      <c r="W961" s="859"/>
      <c r="X961" s="859"/>
      <c r="Y961" s="755">
        <f t="shared" si="131"/>
        <v>0</v>
      </c>
      <c r="Z961" s="864"/>
      <c r="AA961" s="863"/>
      <c r="AB961" s="756">
        <f t="shared" si="132"/>
        <v>0</v>
      </c>
      <c r="AC961" s="859"/>
      <c r="AD961" s="863"/>
      <c r="AE961" s="859"/>
      <c r="AF961" s="859"/>
      <c r="AG961" s="864"/>
      <c r="AH961" s="865"/>
      <c r="AI961" s="757">
        <f t="shared" si="136"/>
        <v>1621007.0699999996</v>
      </c>
      <c r="AJ961" s="758">
        <f t="shared" si="137"/>
        <v>2274086</v>
      </c>
    </row>
    <row r="962" spans="1:36" x14ac:dyDescent="0.2">
      <c r="A962" s="1104" t="s">
        <v>149</v>
      </c>
      <c r="B962" s="1105" t="s">
        <v>281</v>
      </c>
      <c r="C962" s="1123" t="s">
        <v>109</v>
      </c>
      <c r="D962" s="1107"/>
      <c r="E962" s="1354"/>
      <c r="F962" s="1130"/>
      <c r="G962" s="1345"/>
      <c r="H962" s="860"/>
      <c r="I962" s="861"/>
      <c r="J962" s="862"/>
      <c r="K962" s="859"/>
      <c r="L962" s="863"/>
      <c r="M962" s="859"/>
      <c r="N962" s="859"/>
      <c r="O962" s="752">
        <f t="shared" si="130"/>
        <v>0</v>
      </c>
      <c r="P962" s="862"/>
      <c r="Q962" s="860"/>
      <c r="R962" s="753">
        <f t="shared" si="133"/>
        <v>0</v>
      </c>
      <c r="S962" s="752">
        <f t="shared" si="134"/>
        <v>0</v>
      </c>
      <c r="T962" s="754">
        <f t="shared" si="135"/>
        <v>0</v>
      </c>
      <c r="U962" s="859"/>
      <c r="V962" s="863"/>
      <c r="W962" s="859"/>
      <c r="X962" s="859"/>
      <c r="Y962" s="755">
        <f t="shared" si="131"/>
        <v>0</v>
      </c>
      <c r="Z962" s="864"/>
      <c r="AA962" s="863"/>
      <c r="AB962" s="756">
        <f t="shared" si="132"/>
        <v>0</v>
      </c>
      <c r="AC962" s="859"/>
      <c r="AD962" s="863"/>
      <c r="AE962" s="859"/>
      <c r="AF962" s="859"/>
      <c r="AG962" s="864"/>
      <c r="AH962" s="865"/>
      <c r="AI962" s="757">
        <f t="shared" si="136"/>
        <v>0</v>
      </c>
      <c r="AJ962" s="758">
        <f t="shared" si="137"/>
        <v>0</v>
      </c>
    </row>
    <row r="963" spans="1:36" x14ac:dyDescent="0.2">
      <c r="A963" s="1217" t="s">
        <v>144</v>
      </c>
      <c r="B963" s="1218" t="s">
        <v>264</v>
      </c>
      <c r="C963" s="1219" t="s">
        <v>1180</v>
      </c>
      <c r="D963" s="1220"/>
      <c r="E963" s="1221">
        <v>139940</v>
      </c>
      <c r="F963" s="1222">
        <v>1</v>
      </c>
      <c r="G963" s="859">
        <v>176080213</v>
      </c>
      <c r="H963" s="860">
        <v>187700309</v>
      </c>
      <c r="I963" s="861"/>
      <c r="J963" s="862"/>
      <c r="K963" s="859"/>
      <c r="L963" s="863"/>
      <c r="M963" s="859">
        <v>244981169</v>
      </c>
      <c r="N963" s="859"/>
      <c r="O963" s="752">
        <f t="shared" si="130"/>
        <v>244981169</v>
      </c>
      <c r="P963" s="862">
        <v>258288568</v>
      </c>
      <c r="Q963" s="860"/>
      <c r="R963" s="753">
        <f t="shared" si="133"/>
        <v>258288568</v>
      </c>
      <c r="S963" s="752">
        <f t="shared" si="134"/>
        <v>421061382</v>
      </c>
      <c r="T963" s="754">
        <f t="shared" si="135"/>
        <v>445988877</v>
      </c>
      <c r="U963" s="859"/>
      <c r="V963" s="863"/>
      <c r="W963" s="859"/>
      <c r="X963" s="859"/>
      <c r="Y963" s="755">
        <f t="shared" si="131"/>
        <v>0</v>
      </c>
      <c r="Z963" s="864"/>
      <c r="AA963" s="863"/>
      <c r="AB963" s="756">
        <f t="shared" si="132"/>
        <v>0</v>
      </c>
      <c r="AC963" s="859"/>
      <c r="AD963" s="863"/>
      <c r="AE963" s="859"/>
      <c r="AF963" s="859"/>
      <c r="AG963" s="864"/>
      <c r="AH963" s="865"/>
      <c r="AI963" s="757">
        <f t="shared" si="136"/>
        <v>421061382</v>
      </c>
      <c r="AJ963" s="758">
        <f t="shared" si="137"/>
        <v>445988877</v>
      </c>
    </row>
    <row r="964" spans="1:36" x14ac:dyDescent="0.2">
      <c r="A964" s="1217" t="s">
        <v>144</v>
      </c>
      <c r="B964" s="1218" t="s">
        <v>264</v>
      </c>
      <c r="C964" s="1219" t="s">
        <v>1181</v>
      </c>
      <c r="D964" s="1220"/>
      <c r="E964" s="1221">
        <v>139959</v>
      </c>
      <c r="F964" s="1222">
        <v>1</v>
      </c>
      <c r="G964" s="859">
        <v>277759311</v>
      </c>
      <c r="H964" s="860">
        <v>299748876</v>
      </c>
      <c r="I964" s="861"/>
      <c r="J964" s="862"/>
      <c r="K964" s="859"/>
      <c r="L964" s="863"/>
      <c r="M964" s="859">
        <v>343413098</v>
      </c>
      <c r="N964" s="859"/>
      <c r="O964" s="752">
        <f t="shared" si="130"/>
        <v>343413098</v>
      </c>
      <c r="P964" s="862">
        <v>349392697</v>
      </c>
      <c r="Q964" s="860"/>
      <c r="R964" s="753">
        <f t="shared" si="133"/>
        <v>349392697</v>
      </c>
      <c r="S964" s="752">
        <f t="shared" si="134"/>
        <v>621172409</v>
      </c>
      <c r="T964" s="754">
        <f t="shared" si="135"/>
        <v>649141573</v>
      </c>
      <c r="U964" s="859"/>
      <c r="V964" s="863"/>
      <c r="W964" s="859"/>
      <c r="X964" s="859"/>
      <c r="Y964" s="755">
        <f t="shared" si="131"/>
        <v>0</v>
      </c>
      <c r="Z964" s="864"/>
      <c r="AA964" s="863"/>
      <c r="AB964" s="756">
        <f t="shared" si="132"/>
        <v>0</v>
      </c>
      <c r="AC964" s="859"/>
      <c r="AD964" s="863"/>
      <c r="AE964" s="859"/>
      <c r="AF964" s="859"/>
      <c r="AG964" s="864"/>
      <c r="AH964" s="865"/>
      <c r="AI964" s="757">
        <f t="shared" si="136"/>
        <v>621172409</v>
      </c>
      <c r="AJ964" s="758">
        <f t="shared" si="137"/>
        <v>649141573</v>
      </c>
    </row>
    <row r="965" spans="1:36" x14ac:dyDescent="0.2">
      <c r="A965" s="1217" t="s">
        <v>144</v>
      </c>
      <c r="B965" s="1218" t="s">
        <v>280</v>
      </c>
      <c r="C965" s="1223" t="s">
        <v>1182</v>
      </c>
      <c r="D965" s="1224"/>
      <c r="E965" s="1221">
        <v>139959</v>
      </c>
      <c r="F965" s="1222">
        <v>1</v>
      </c>
      <c r="G965" s="859"/>
      <c r="H965" s="860"/>
      <c r="I965" s="861"/>
      <c r="J965" s="862"/>
      <c r="K965" s="859"/>
      <c r="L965" s="863"/>
      <c r="M965" s="859"/>
      <c r="N965" s="859"/>
      <c r="O965" s="752">
        <f t="shared" si="130"/>
        <v>0</v>
      </c>
      <c r="P965" s="862"/>
      <c r="Q965" s="860"/>
      <c r="R965" s="753">
        <f t="shared" si="133"/>
        <v>0</v>
      </c>
      <c r="S965" s="752">
        <f t="shared" si="134"/>
        <v>0</v>
      </c>
      <c r="T965" s="754">
        <f t="shared" si="135"/>
        <v>0</v>
      </c>
      <c r="U965" s="859"/>
      <c r="V965" s="863"/>
      <c r="W965" s="859"/>
      <c r="X965" s="859"/>
      <c r="Y965" s="755">
        <f t="shared" si="131"/>
        <v>0</v>
      </c>
      <c r="Z965" s="864"/>
      <c r="AA965" s="863"/>
      <c r="AB965" s="756">
        <f t="shared" si="132"/>
        <v>0</v>
      </c>
      <c r="AC965" s="859"/>
      <c r="AD965" s="863"/>
      <c r="AE965" s="859"/>
      <c r="AF965" s="859"/>
      <c r="AG965" s="864"/>
      <c r="AH965" s="865"/>
      <c r="AI965" s="757">
        <f t="shared" si="136"/>
        <v>0</v>
      </c>
      <c r="AJ965" s="758">
        <f t="shared" si="137"/>
        <v>0</v>
      </c>
    </row>
    <row r="966" spans="1:36" x14ac:dyDescent="0.2">
      <c r="A966" s="1217" t="s">
        <v>144</v>
      </c>
      <c r="B966" s="1218" t="s">
        <v>280</v>
      </c>
      <c r="C966" s="1225" t="s">
        <v>1183</v>
      </c>
      <c r="D966" s="1224"/>
      <c r="E966" s="1221">
        <v>139959</v>
      </c>
      <c r="F966" s="1222">
        <v>1</v>
      </c>
      <c r="G966" s="859"/>
      <c r="H966" s="860"/>
      <c r="I966" s="861"/>
      <c r="J966" s="862"/>
      <c r="K966" s="859"/>
      <c r="L966" s="863"/>
      <c r="M966" s="859"/>
      <c r="N966" s="859"/>
      <c r="O966" s="752">
        <f t="shared" si="130"/>
        <v>0</v>
      </c>
      <c r="P966" s="862"/>
      <c r="Q966" s="860"/>
      <c r="R966" s="753">
        <f t="shared" si="133"/>
        <v>0</v>
      </c>
      <c r="S966" s="752">
        <f t="shared" si="134"/>
        <v>0</v>
      </c>
      <c r="T966" s="754">
        <f t="shared" si="135"/>
        <v>0</v>
      </c>
      <c r="U966" s="859"/>
      <c r="V966" s="863"/>
      <c r="W966" s="859"/>
      <c r="X966" s="859"/>
      <c r="Y966" s="755">
        <f t="shared" si="131"/>
        <v>0</v>
      </c>
      <c r="Z966" s="864"/>
      <c r="AA966" s="863"/>
      <c r="AB966" s="756">
        <f t="shared" si="132"/>
        <v>0</v>
      </c>
      <c r="AC966" s="859">
        <v>13056883</v>
      </c>
      <c r="AD966" s="863">
        <v>13045397</v>
      </c>
      <c r="AE966" s="859">
        <v>6810336</v>
      </c>
      <c r="AF966" s="859"/>
      <c r="AG966" s="864">
        <v>7067460</v>
      </c>
      <c r="AH966" s="865"/>
      <c r="AI966" s="757">
        <f t="shared" si="136"/>
        <v>19867219</v>
      </c>
      <c r="AJ966" s="758">
        <f t="shared" si="137"/>
        <v>20112857</v>
      </c>
    </row>
    <row r="967" spans="1:36" x14ac:dyDescent="0.2">
      <c r="A967" s="1217" t="s">
        <v>144</v>
      </c>
      <c r="B967" s="1218" t="s">
        <v>280</v>
      </c>
      <c r="C967" s="1225" t="s">
        <v>1184</v>
      </c>
      <c r="D967" s="1224"/>
      <c r="E967" s="1221">
        <v>139959</v>
      </c>
      <c r="F967" s="1222">
        <v>1</v>
      </c>
      <c r="G967" s="859"/>
      <c r="H967" s="860"/>
      <c r="I967" s="861"/>
      <c r="J967" s="862"/>
      <c r="K967" s="859"/>
      <c r="L967" s="863"/>
      <c r="M967" s="859"/>
      <c r="N967" s="859"/>
      <c r="O967" s="752">
        <f t="shared" si="130"/>
        <v>0</v>
      </c>
      <c r="P967" s="862"/>
      <c r="Q967" s="860"/>
      <c r="R967" s="753">
        <f t="shared" si="133"/>
        <v>0</v>
      </c>
      <c r="S967" s="752">
        <f t="shared" si="134"/>
        <v>0</v>
      </c>
      <c r="T967" s="754">
        <f t="shared" si="135"/>
        <v>0</v>
      </c>
      <c r="U967" s="859"/>
      <c r="V967" s="863"/>
      <c r="W967" s="859"/>
      <c r="X967" s="859"/>
      <c r="Y967" s="755">
        <f t="shared" si="131"/>
        <v>0</v>
      </c>
      <c r="Z967" s="864"/>
      <c r="AA967" s="863"/>
      <c r="AB967" s="756">
        <f t="shared" si="132"/>
        <v>0</v>
      </c>
      <c r="AC967" s="859">
        <v>416168</v>
      </c>
      <c r="AD967" s="863">
        <v>386135</v>
      </c>
      <c r="AE967" s="859"/>
      <c r="AF967" s="859"/>
      <c r="AG967" s="864"/>
      <c r="AH967" s="865"/>
      <c r="AI967" s="757">
        <f t="shared" si="136"/>
        <v>416168</v>
      </c>
      <c r="AJ967" s="758">
        <f t="shared" si="137"/>
        <v>386135</v>
      </c>
    </row>
    <row r="968" spans="1:36" x14ac:dyDescent="0.2">
      <c r="A968" s="1217" t="s">
        <v>144</v>
      </c>
      <c r="B968" s="1218" t="s">
        <v>266</v>
      </c>
      <c r="C968" s="1223" t="s">
        <v>1058</v>
      </c>
      <c r="D968" s="1224"/>
      <c r="E968" s="1221">
        <v>139959</v>
      </c>
      <c r="F968" s="1222">
        <v>1</v>
      </c>
      <c r="G968" s="859"/>
      <c r="H968" s="860"/>
      <c r="I968" s="861"/>
      <c r="J968" s="862"/>
      <c r="K968" s="859"/>
      <c r="L968" s="863"/>
      <c r="M968" s="859"/>
      <c r="N968" s="859"/>
      <c r="O968" s="752">
        <f t="shared" si="130"/>
        <v>0</v>
      </c>
      <c r="P968" s="862"/>
      <c r="Q968" s="860"/>
      <c r="R968" s="753">
        <f t="shared" si="133"/>
        <v>0</v>
      </c>
      <c r="S968" s="752">
        <f t="shared" si="134"/>
        <v>0</v>
      </c>
      <c r="T968" s="754">
        <f t="shared" si="135"/>
        <v>0</v>
      </c>
      <c r="U968" s="859"/>
      <c r="V968" s="863"/>
      <c r="W968" s="859"/>
      <c r="X968" s="859"/>
      <c r="Y968" s="755">
        <f t="shared" si="131"/>
        <v>0</v>
      </c>
      <c r="Z968" s="864"/>
      <c r="AA968" s="863"/>
      <c r="AB968" s="756">
        <f t="shared" si="132"/>
        <v>0</v>
      </c>
      <c r="AC968" s="859"/>
      <c r="AD968" s="863"/>
      <c r="AE968" s="859"/>
      <c r="AF968" s="859"/>
      <c r="AG968" s="864"/>
      <c r="AH968" s="865"/>
      <c r="AI968" s="757">
        <f t="shared" si="136"/>
        <v>0</v>
      </c>
      <c r="AJ968" s="758">
        <f t="shared" si="137"/>
        <v>0</v>
      </c>
    </row>
    <row r="969" spans="1:36" x14ac:dyDescent="0.2">
      <c r="A969" s="1217" t="s">
        <v>144</v>
      </c>
      <c r="B969" s="1218" t="s">
        <v>268</v>
      </c>
      <c r="C969" s="1223" t="s">
        <v>1185</v>
      </c>
      <c r="D969" s="1224"/>
      <c r="E969" s="1221">
        <v>139959</v>
      </c>
      <c r="F969" s="1222">
        <v>1</v>
      </c>
      <c r="G969" s="859"/>
      <c r="H969" s="860"/>
      <c r="I969" s="861">
        <v>28583815</v>
      </c>
      <c r="J969" s="862">
        <v>29365384</v>
      </c>
      <c r="K969" s="859"/>
      <c r="L969" s="863"/>
      <c r="M969" s="859"/>
      <c r="N969" s="859"/>
      <c r="O969" s="752">
        <f t="shared" si="130"/>
        <v>0</v>
      </c>
      <c r="P969" s="862"/>
      <c r="Q969" s="860"/>
      <c r="R969" s="753">
        <f t="shared" si="133"/>
        <v>0</v>
      </c>
      <c r="S969" s="752">
        <f t="shared" si="134"/>
        <v>28583815</v>
      </c>
      <c r="T969" s="754">
        <f t="shared" si="135"/>
        <v>29365384</v>
      </c>
      <c r="U969" s="859"/>
      <c r="V969" s="863"/>
      <c r="W969" s="859"/>
      <c r="X969" s="859"/>
      <c r="Y969" s="755">
        <f t="shared" si="131"/>
        <v>0</v>
      </c>
      <c r="Z969" s="864"/>
      <c r="AA969" s="863"/>
      <c r="AB969" s="756">
        <f t="shared" si="132"/>
        <v>0</v>
      </c>
      <c r="AC969" s="859"/>
      <c r="AD969" s="863"/>
      <c r="AE969" s="859"/>
      <c r="AF969" s="859"/>
      <c r="AG969" s="864"/>
      <c r="AH969" s="865"/>
      <c r="AI969" s="757">
        <f t="shared" si="136"/>
        <v>28583815</v>
      </c>
      <c r="AJ969" s="758">
        <f t="shared" si="137"/>
        <v>29365384</v>
      </c>
    </row>
    <row r="970" spans="1:36" x14ac:dyDescent="0.2">
      <c r="A970" s="1217" t="s">
        <v>144</v>
      </c>
      <c r="B970" s="1218" t="s">
        <v>269</v>
      </c>
      <c r="C970" s="1223" t="s">
        <v>1186</v>
      </c>
      <c r="D970" s="1224"/>
      <c r="E970" s="1221">
        <v>139959</v>
      </c>
      <c r="F970" s="1222">
        <v>1</v>
      </c>
      <c r="G970" s="859"/>
      <c r="H970" s="860"/>
      <c r="I970" s="861">
        <v>34053795</v>
      </c>
      <c r="J970" s="862">
        <v>35233027</v>
      </c>
      <c r="K970" s="859"/>
      <c r="L970" s="863"/>
      <c r="M970" s="859"/>
      <c r="N970" s="859"/>
      <c r="O970" s="752">
        <f t="shared" si="130"/>
        <v>0</v>
      </c>
      <c r="P970" s="862"/>
      <c r="Q970" s="860"/>
      <c r="R970" s="753">
        <f t="shared" si="133"/>
        <v>0</v>
      </c>
      <c r="S970" s="752">
        <f t="shared" si="134"/>
        <v>34053795</v>
      </c>
      <c r="T970" s="754">
        <f t="shared" si="135"/>
        <v>35233027</v>
      </c>
      <c r="U970" s="859"/>
      <c r="V970" s="863"/>
      <c r="W970" s="859"/>
      <c r="X970" s="859"/>
      <c r="Y970" s="755">
        <f t="shared" si="131"/>
        <v>0</v>
      </c>
      <c r="Z970" s="864"/>
      <c r="AA970" s="863"/>
      <c r="AB970" s="756">
        <f t="shared" si="132"/>
        <v>0</v>
      </c>
      <c r="AC970" s="859"/>
      <c r="AD970" s="863"/>
      <c r="AE970" s="859"/>
      <c r="AF970" s="859"/>
      <c r="AG970" s="864"/>
      <c r="AH970" s="865"/>
      <c r="AI970" s="757">
        <f t="shared" si="136"/>
        <v>34053795</v>
      </c>
      <c r="AJ970" s="758">
        <f t="shared" si="137"/>
        <v>35233027</v>
      </c>
    </row>
    <row r="971" spans="1:36" x14ac:dyDescent="0.2">
      <c r="A971" s="1217" t="s">
        <v>144</v>
      </c>
      <c r="B971" s="1218" t="s">
        <v>271</v>
      </c>
      <c r="C971" s="1223" t="s">
        <v>761</v>
      </c>
      <c r="D971" s="1224"/>
      <c r="E971" s="1221">
        <v>139959</v>
      </c>
      <c r="F971" s="1222">
        <v>1</v>
      </c>
      <c r="G971" s="859"/>
      <c r="H971" s="860"/>
      <c r="I971" s="861"/>
      <c r="J971" s="862"/>
      <c r="K971" s="859"/>
      <c r="L971" s="863"/>
      <c r="M971" s="859"/>
      <c r="N971" s="859"/>
      <c r="O971" s="752">
        <f t="shared" ref="O971:O1034" si="138">SUM(M971:N971)</f>
        <v>0</v>
      </c>
      <c r="P971" s="862"/>
      <c r="Q971" s="860"/>
      <c r="R971" s="753">
        <f t="shared" si="133"/>
        <v>0</v>
      </c>
      <c r="S971" s="752">
        <f t="shared" si="134"/>
        <v>0</v>
      </c>
      <c r="T971" s="754">
        <f t="shared" si="135"/>
        <v>0</v>
      </c>
      <c r="U971" s="859"/>
      <c r="V971" s="863"/>
      <c r="W971" s="859"/>
      <c r="X971" s="859"/>
      <c r="Y971" s="755">
        <f t="shared" ref="Y971:Y1034" si="139">SUM(W971:X971)</f>
        <v>0</v>
      </c>
      <c r="Z971" s="864"/>
      <c r="AA971" s="863"/>
      <c r="AB971" s="756">
        <f t="shared" ref="AB971:AB1034" si="140">SUM(Z971:AA971)</f>
        <v>0</v>
      </c>
      <c r="AC971" s="859"/>
      <c r="AD971" s="863"/>
      <c r="AE971" s="859"/>
      <c r="AF971" s="859"/>
      <c r="AG971" s="864"/>
      <c r="AH971" s="865"/>
      <c r="AI971" s="757">
        <f t="shared" si="136"/>
        <v>0</v>
      </c>
      <c r="AJ971" s="758">
        <f t="shared" si="137"/>
        <v>0</v>
      </c>
    </row>
    <row r="972" spans="1:36" x14ac:dyDescent="0.2">
      <c r="A972" s="1217" t="s">
        <v>144</v>
      </c>
      <c r="B972" s="1218" t="s">
        <v>271</v>
      </c>
      <c r="C972" s="1225" t="s">
        <v>1187</v>
      </c>
      <c r="D972" s="1224"/>
      <c r="E972" s="1221">
        <v>139959</v>
      </c>
      <c r="F972" s="1222">
        <v>1</v>
      </c>
      <c r="G972" s="859"/>
      <c r="H972" s="860"/>
      <c r="I972" s="861">
        <v>1163147</v>
      </c>
      <c r="J972" s="862">
        <v>1179252</v>
      </c>
      <c r="K972" s="859"/>
      <c r="L972" s="863"/>
      <c r="M972" s="859"/>
      <c r="N972" s="859"/>
      <c r="O972" s="752">
        <f t="shared" si="138"/>
        <v>0</v>
      </c>
      <c r="P972" s="862"/>
      <c r="Q972" s="860"/>
      <c r="R972" s="753">
        <f t="shared" ref="R972:R1035" si="141">SUM(P972:Q972)</f>
        <v>0</v>
      </c>
      <c r="S972" s="752">
        <f t="shared" ref="S972:S1035" si="142">SUM(G972,I972,K972,M972)</f>
        <v>1163147</v>
      </c>
      <c r="T972" s="754">
        <f t="shared" ref="T972:T1035" si="143">SUM(H972,J972,L972,P972)</f>
        <v>1179252</v>
      </c>
      <c r="U972" s="859"/>
      <c r="V972" s="863"/>
      <c r="W972" s="859"/>
      <c r="X972" s="859"/>
      <c r="Y972" s="755">
        <f t="shared" si="139"/>
        <v>0</v>
      </c>
      <c r="Z972" s="864"/>
      <c r="AA972" s="863"/>
      <c r="AB972" s="756">
        <f t="shared" si="140"/>
        <v>0</v>
      </c>
      <c r="AC972" s="859"/>
      <c r="AD972" s="863"/>
      <c r="AE972" s="859"/>
      <c r="AF972" s="859"/>
      <c r="AG972" s="864"/>
      <c r="AH972" s="865"/>
      <c r="AI972" s="757">
        <f t="shared" ref="AI972:AI1035" si="144">SUM(S972,U972,W972,AC972,AE972)</f>
        <v>1163147</v>
      </c>
      <c r="AJ972" s="758">
        <f t="shared" ref="AJ972:AJ1035" si="145">SUM(T972,V972,Z972,AD972,AG972)</f>
        <v>1179252</v>
      </c>
    </row>
    <row r="973" spans="1:36" x14ac:dyDescent="0.2">
      <c r="A973" s="1217" t="s">
        <v>144</v>
      </c>
      <c r="B973" s="1218" t="s">
        <v>271</v>
      </c>
      <c r="C973" s="1225" t="s">
        <v>1188</v>
      </c>
      <c r="D973" s="1224"/>
      <c r="E973" s="1221">
        <v>139959</v>
      </c>
      <c r="F973" s="1222">
        <v>1</v>
      </c>
      <c r="G973" s="859"/>
      <c r="H973" s="860"/>
      <c r="I973" s="861">
        <v>2470069</v>
      </c>
      <c r="J973" s="862">
        <v>2569841</v>
      </c>
      <c r="K973" s="859"/>
      <c r="L973" s="863"/>
      <c r="M973" s="859"/>
      <c r="N973" s="859"/>
      <c r="O973" s="752">
        <f t="shared" si="138"/>
        <v>0</v>
      </c>
      <c r="P973" s="862"/>
      <c r="Q973" s="860"/>
      <c r="R973" s="753">
        <f t="shared" si="141"/>
        <v>0</v>
      </c>
      <c r="S973" s="752">
        <f t="shared" si="142"/>
        <v>2470069</v>
      </c>
      <c r="T973" s="754">
        <f t="shared" si="143"/>
        <v>2569841</v>
      </c>
      <c r="U973" s="859"/>
      <c r="V973" s="863"/>
      <c r="W973" s="859"/>
      <c r="X973" s="859"/>
      <c r="Y973" s="755">
        <f t="shared" si="139"/>
        <v>0</v>
      </c>
      <c r="Z973" s="864"/>
      <c r="AA973" s="863"/>
      <c r="AB973" s="756">
        <f t="shared" si="140"/>
        <v>0</v>
      </c>
      <c r="AC973" s="859"/>
      <c r="AD973" s="863"/>
      <c r="AE973" s="859"/>
      <c r="AF973" s="859"/>
      <c r="AG973" s="864"/>
      <c r="AH973" s="865"/>
      <c r="AI973" s="757">
        <f t="shared" si="144"/>
        <v>2470069</v>
      </c>
      <c r="AJ973" s="758">
        <f t="shared" si="145"/>
        <v>2569841</v>
      </c>
    </row>
    <row r="974" spans="1:36" x14ac:dyDescent="0.2">
      <c r="A974" s="1217" t="s">
        <v>144</v>
      </c>
      <c r="B974" s="1218" t="s">
        <v>271</v>
      </c>
      <c r="C974" s="1225" t="s">
        <v>1189</v>
      </c>
      <c r="D974" s="1224"/>
      <c r="E974" s="1221">
        <v>139959</v>
      </c>
      <c r="F974" s="1222">
        <v>1</v>
      </c>
      <c r="G974" s="859"/>
      <c r="H974" s="860"/>
      <c r="I974" s="861">
        <v>707566</v>
      </c>
      <c r="J974" s="862">
        <v>714567</v>
      </c>
      <c r="K974" s="859"/>
      <c r="L974" s="863"/>
      <c r="M974" s="859"/>
      <c r="N974" s="859"/>
      <c r="O974" s="752">
        <f t="shared" si="138"/>
        <v>0</v>
      </c>
      <c r="P974" s="862"/>
      <c r="Q974" s="860"/>
      <c r="R974" s="753">
        <f t="shared" si="141"/>
        <v>0</v>
      </c>
      <c r="S974" s="752">
        <f t="shared" si="142"/>
        <v>707566</v>
      </c>
      <c r="T974" s="754">
        <f t="shared" si="143"/>
        <v>714567</v>
      </c>
      <c r="U974" s="859"/>
      <c r="V974" s="863"/>
      <c r="W974" s="859"/>
      <c r="X974" s="859"/>
      <c r="Y974" s="755">
        <f t="shared" si="139"/>
        <v>0</v>
      </c>
      <c r="Z974" s="864"/>
      <c r="AA974" s="863"/>
      <c r="AB974" s="756">
        <f t="shared" si="140"/>
        <v>0</v>
      </c>
      <c r="AC974" s="859"/>
      <c r="AD974" s="863"/>
      <c r="AE974" s="859"/>
      <c r="AF974" s="859"/>
      <c r="AG974" s="864"/>
      <c r="AH974" s="865"/>
      <c r="AI974" s="757">
        <f t="shared" si="144"/>
        <v>707566</v>
      </c>
      <c r="AJ974" s="758">
        <f t="shared" si="145"/>
        <v>714567</v>
      </c>
    </row>
    <row r="975" spans="1:36" x14ac:dyDescent="0.2">
      <c r="A975" s="1217" t="s">
        <v>144</v>
      </c>
      <c r="B975" s="1218" t="s">
        <v>271</v>
      </c>
      <c r="C975" s="1225" t="s">
        <v>1190</v>
      </c>
      <c r="D975" s="1224"/>
      <c r="E975" s="1221">
        <v>139959</v>
      </c>
      <c r="F975" s="1222">
        <v>1</v>
      </c>
      <c r="G975" s="859"/>
      <c r="H975" s="860"/>
      <c r="I975" s="861">
        <v>2990232</v>
      </c>
      <c r="J975" s="862">
        <v>3057445</v>
      </c>
      <c r="K975" s="859"/>
      <c r="L975" s="863"/>
      <c r="M975" s="859"/>
      <c r="N975" s="859"/>
      <c r="O975" s="752">
        <f t="shared" si="138"/>
        <v>0</v>
      </c>
      <c r="P975" s="862"/>
      <c r="Q975" s="860"/>
      <c r="R975" s="753">
        <f t="shared" si="141"/>
        <v>0</v>
      </c>
      <c r="S975" s="752">
        <f t="shared" si="142"/>
        <v>2990232</v>
      </c>
      <c r="T975" s="754">
        <f t="shared" si="143"/>
        <v>3057445</v>
      </c>
      <c r="U975" s="859"/>
      <c r="V975" s="863"/>
      <c r="W975" s="859"/>
      <c r="X975" s="859"/>
      <c r="Y975" s="755">
        <f t="shared" si="139"/>
        <v>0</v>
      </c>
      <c r="Z975" s="864"/>
      <c r="AA975" s="863"/>
      <c r="AB975" s="756">
        <f t="shared" si="140"/>
        <v>0</v>
      </c>
      <c r="AC975" s="859"/>
      <c r="AD975" s="863"/>
      <c r="AE975" s="859"/>
      <c r="AF975" s="859"/>
      <c r="AG975" s="864"/>
      <c r="AH975" s="865"/>
      <c r="AI975" s="757">
        <f t="shared" si="144"/>
        <v>2990232</v>
      </c>
      <c r="AJ975" s="758">
        <f t="shared" si="145"/>
        <v>3057445</v>
      </c>
    </row>
    <row r="976" spans="1:36" x14ac:dyDescent="0.2">
      <c r="A976" s="1217" t="s">
        <v>144</v>
      </c>
      <c r="B976" s="1218" t="s">
        <v>271</v>
      </c>
      <c r="C976" s="1225" t="s">
        <v>1191</v>
      </c>
      <c r="D976" s="1224"/>
      <c r="E976" s="1221">
        <v>139959</v>
      </c>
      <c r="F976" s="1222">
        <v>1</v>
      </c>
      <c r="G976" s="859"/>
      <c r="H976" s="860"/>
      <c r="I976" s="861">
        <v>2393134</v>
      </c>
      <c r="J976" s="862">
        <v>2803450</v>
      </c>
      <c r="K976" s="859"/>
      <c r="L976" s="863"/>
      <c r="M976" s="859"/>
      <c r="N976" s="859"/>
      <c r="O976" s="752">
        <f t="shared" si="138"/>
        <v>0</v>
      </c>
      <c r="P976" s="862"/>
      <c r="Q976" s="860"/>
      <c r="R976" s="753">
        <f t="shared" si="141"/>
        <v>0</v>
      </c>
      <c r="S976" s="752">
        <f t="shared" si="142"/>
        <v>2393134</v>
      </c>
      <c r="T976" s="754">
        <f t="shared" si="143"/>
        <v>2803450</v>
      </c>
      <c r="U976" s="859"/>
      <c r="V976" s="863"/>
      <c r="W976" s="859"/>
      <c r="X976" s="859"/>
      <c r="Y976" s="755">
        <f t="shared" si="139"/>
        <v>0</v>
      </c>
      <c r="Z976" s="864"/>
      <c r="AA976" s="863"/>
      <c r="AB976" s="756">
        <f t="shared" si="140"/>
        <v>0</v>
      </c>
      <c r="AC976" s="859"/>
      <c r="AD976" s="863"/>
      <c r="AE976" s="859"/>
      <c r="AF976" s="859"/>
      <c r="AG976" s="864"/>
      <c r="AH976" s="865"/>
      <c r="AI976" s="757">
        <f t="shared" si="144"/>
        <v>2393134</v>
      </c>
      <c r="AJ976" s="758">
        <f t="shared" si="145"/>
        <v>2803450</v>
      </c>
    </row>
    <row r="977" spans="1:36" x14ac:dyDescent="0.2">
      <c r="A977" s="1217" t="s">
        <v>144</v>
      </c>
      <c r="B977" s="1218" t="s">
        <v>264</v>
      </c>
      <c r="C977" s="1219" t="s">
        <v>1192</v>
      </c>
      <c r="D977" s="1220"/>
      <c r="E977" s="1221">
        <v>139755</v>
      </c>
      <c r="F977" s="1222">
        <v>2</v>
      </c>
      <c r="G977" s="859">
        <v>194313067</v>
      </c>
      <c r="H977" s="860">
        <f>208308022+1242436</f>
        <v>209550458</v>
      </c>
      <c r="I977" s="861"/>
      <c r="J977" s="862"/>
      <c r="K977" s="859"/>
      <c r="L977" s="863"/>
      <c r="M977" s="859">
        <v>313900000</v>
      </c>
      <c r="N977" s="859"/>
      <c r="O977" s="752">
        <f t="shared" si="138"/>
        <v>313900000</v>
      </c>
      <c r="P977" s="862">
        <v>329757719</v>
      </c>
      <c r="Q977" s="860"/>
      <c r="R977" s="753">
        <f t="shared" si="141"/>
        <v>329757719</v>
      </c>
      <c r="S977" s="752">
        <f t="shared" si="142"/>
        <v>508213067</v>
      </c>
      <c r="T977" s="754">
        <f t="shared" si="143"/>
        <v>539308177</v>
      </c>
      <c r="U977" s="859"/>
      <c r="V977" s="863"/>
      <c r="W977" s="859"/>
      <c r="X977" s="859"/>
      <c r="Y977" s="755">
        <f t="shared" si="139"/>
        <v>0</v>
      </c>
      <c r="Z977" s="864"/>
      <c r="AA977" s="863"/>
      <c r="AB977" s="756">
        <f t="shared" si="140"/>
        <v>0</v>
      </c>
      <c r="AC977" s="859"/>
      <c r="AD977" s="863"/>
      <c r="AE977" s="859"/>
      <c r="AF977" s="859"/>
      <c r="AG977" s="864"/>
      <c r="AH977" s="865"/>
      <c r="AI977" s="757">
        <f t="shared" si="144"/>
        <v>508213067</v>
      </c>
      <c r="AJ977" s="758">
        <f t="shared" si="145"/>
        <v>539308177</v>
      </c>
    </row>
    <row r="978" spans="1:36" x14ac:dyDescent="0.2">
      <c r="A978" s="1217" t="s">
        <v>144</v>
      </c>
      <c r="B978" s="1218" t="s">
        <v>266</v>
      </c>
      <c r="C978" s="1223" t="s">
        <v>1058</v>
      </c>
      <c r="D978" s="1224"/>
      <c r="E978" s="1221">
        <v>139755</v>
      </c>
      <c r="F978" s="1222">
        <v>2</v>
      </c>
      <c r="G978" s="859"/>
      <c r="H978" s="860"/>
      <c r="I978" s="861"/>
      <c r="J978" s="862"/>
      <c r="K978" s="859"/>
      <c r="L978" s="863"/>
      <c r="M978" s="859"/>
      <c r="N978" s="859"/>
      <c r="O978" s="752">
        <f t="shared" si="138"/>
        <v>0</v>
      </c>
      <c r="P978" s="862"/>
      <c r="Q978" s="860"/>
      <c r="R978" s="753">
        <f t="shared" si="141"/>
        <v>0</v>
      </c>
      <c r="S978" s="752">
        <f t="shared" si="142"/>
        <v>0</v>
      </c>
      <c r="T978" s="754">
        <f t="shared" si="143"/>
        <v>0</v>
      </c>
      <c r="U978" s="859"/>
      <c r="V978" s="863"/>
      <c r="W978" s="859"/>
      <c r="X978" s="859"/>
      <c r="Y978" s="755">
        <f t="shared" si="139"/>
        <v>0</v>
      </c>
      <c r="Z978" s="864"/>
      <c r="AA978" s="863"/>
      <c r="AB978" s="756">
        <f t="shared" si="140"/>
        <v>0</v>
      </c>
      <c r="AC978" s="859"/>
      <c r="AD978" s="863"/>
      <c r="AE978" s="859"/>
      <c r="AF978" s="859"/>
      <c r="AG978" s="864"/>
      <c r="AH978" s="865"/>
      <c r="AI978" s="757">
        <f t="shared" si="144"/>
        <v>0</v>
      </c>
      <c r="AJ978" s="758">
        <f t="shared" si="145"/>
        <v>0</v>
      </c>
    </row>
    <row r="979" spans="1:36" x14ac:dyDescent="0.2">
      <c r="A979" s="1217" t="s">
        <v>144</v>
      </c>
      <c r="B979" s="1218" t="s">
        <v>266</v>
      </c>
      <c r="C979" s="1225" t="s">
        <v>1193</v>
      </c>
      <c r="D979" s="1224"/>
      <c r="E979" s="1221">
        <v>139755</v>
      </c>
      <c r="F979" s="1222">
        <v>2</v>
      </c>
      <c r="G979" s="859"/>
      <c r="H979" s="860"/>
      <c r="I979" s="861">
        <v>7154177</v>
      </c>
      <c r="J979" s="862">
        <v>7187612</v>
      </c>
      <c r="K979" s="859"/>
      <c r="L979" s="863"/>
      <c r="M979" s="859"/>
      <c r="N979" s="859"/>
      <c r="O979" s="752">
        <f t="shared" si="138"/>
        <v>0</v>
      </c>
      <c r="P979" s="862"/>
      <c r="Q979" s="860"/>
      <c r="R979" s="753">
        <f t="shared" si="141"/>
        <v>0</v>
      </c>
      <c r="S979" s="752">
        <f t="shared" si="142"/>
        <v>7154177</v>
      </c>
      <c r="T979" s="754">
        <f t="shared" si="143"/>
        <v>7187612</v>
      </c>
      <c r="U979" s="859"/>
      <c r="V979" s="863"/>
      <c r="W979" s="859"/>
      <c r="X979" s="859"/>
      <c r="Y979" s="755">
        <f t="shared" si="139"/>
        <v>0</v>
      </c>
      <c r="Z979" s="864"/>
      <c r="AA979" s="863"/>
      <c r="AB979" s="756">
        <f t="shared" si="140"/>
        <v>0</v>
      </c>
      <c r="AC979" s="859"/>
      <c r="AD979" s="863"/>
      <c r="AE979" s="859"/>
      <c r="AF979" s="859"/>
      <c r="AG979" s="864"/>
      <c r="AH979" s="865"/>
      <c r="AI979" s="757">
        <f t="shared" si="144"/>
        <v>7154177</v>
      </c>
      <c r="AJ979" s="758">
        <f t="shared" si="145"/>
        <v>7187612</v>
      </c>
    </row>
    <row r="980" spans="1:36" x14ac:dyDescent="0.2">
      <c r="A980" s="1217" t="s">
        <v>144</v>
      </c>
      <c r="B980" s="1218" t="s">
        <v>271</v>
      </c>
      <c r="C980" s="1223" t="s">
        <v>761</v>
      </c>
      <c r="D980" s="1224"/>
      <c r="E980" s="1221">
        <v>139755</v>
      </c>
      <c r="F980" s="1222">
        <v>2</v>
      </c>
      <c r="G980" s="859"/>
      <c r="H980" s="860"/>
      <c r="I980" s="861"/>
      <c r="J980" s="862"/>
      <c r="K980" s="859"/>
      <c r="L980" s="863"/>
      <c r="M980" s="859"/>
      <c r="N980" s="859"/>
      <c r="O980" s="752">
        <f t="shared" si="138"/>
        <v>0</v>
      </c>
      <c r="P980" s="862"/>
      <c r="Q980" s="860"/>
      <c r="R980" s="753">
        <f t="shared" si="141"/>
        <v>0</v>
      </c>
      <c r="S980" s="752">
        <f t="shared" si="142"/>
        <v>0</v>
      </c>
      <c r="T980" s="754">
        <f t="shared" si="143"/>
        <v>0</v>
      </c>
      <c r="U980" s="859"/>
      <c r="V980" s="863"/>
      <c r="W980" s="859"/>
      <c r="X980" s="859"/>
      <c r="Y980" s="755">
        <f t="shared" si="139"/>
        <v>0</v>
      </c>
      <c r="Z980" s="864"/>
      <c r="AA980" s="863"/>
      <c r="AB980" s="756">
        <f t="shared" si="140"/>
        <v>0</v>
      </c>
      <c r="AC980" s="859"/>
      <c r="AD980" s="863"/>
      <c r="AE980" s="859"/>
      <c r="AF980" s="859"/>
      <c r="AG980" s="864"/>
      <c r="AH980" s="865"/>
      <c r="AI980" s="757">
        <f t="shared" si="144"/>
        <v>0</v>
      </c>
      <c r="AJ980" s="758">
        <f t="shared" si="145"/>
        <v>0</v>
      </c>
    </row>
    <row r="981" spans="1:36" x14ac:dyDescent="0.2">
      <c r="A981" s="1217" t="s">
        <v>144</v>
      </c>
      <c r="B981" s="1218" t="s">
        <v>270</v>
      </c>
      <c r="C981" s="1223" t="s">
        <v>1194</v>
      </c>
      <c r="D981" s="1224"/>
      <c r="E981" s="1221">
        <v>139755</v>
      </c>
      <c r="F981" s="1222">
        <v>2</v>
      </c>
      <c r="G981" s="859"/>
      <c r="H981" s="860"/>
      <c r="I981" s="861">
        <v>5569382</v>
      </c>
      <c r="J981" s="862">
        <v>5588520</v>
      </c>
      <c r="K981" s="859"/>
      <c r="L981" s="863"/>
      <c r="M981" s="859"/>
      <c r="N981" s="859"/>
      <c r="O981" s="752">
        <f t="shared" si="138"/>
        <v>0</v>
      </c>
      <c r="P981" s="862"/>
      <c r="Q981" s="860"/>
      <c r="R981" s="753">
        <f t="shared" si="141"/>
        <v>0</v>
      </c>
      <c r="S981" s="752">
        <f t="shared" si="142"/>
        <v>5569382</v>
      </c>
      <c r="T981" s="754">
        <f t="shared" si="143"/>
        <v>5588520</v>
      </c>
      <c r="U981" s="859"/>
      <c r="V981" s="863"/>
      <c r="W981" s="859"/>
      <c r="X981" s="859"/>
      <c r="Y981" s="755">
        <f t="shared" si="139"/>
        <v>0</v>
      </c>
      <c r="Z981" s="864"/>
      <c r="AA981" s="863"/>
      <c r="AB981" s="756">
        <f t="shared" si="140"/>
        <v>0</v>
      </c>
      <c r="AC981" s="859"/>
      <c r="AD981" s="863"/>
      <c r="AE981" s="859"/>
      <c r="AF981" s="859"/>
      <c r="AG981" s="864"/>
      <c r="AH981" s="865"/>
      <c r="AI981" s="757">
        <f t="shared" si="144"/>
        <v>5569382</v>
      </c>
      <c r="AJ981" s="758">
        <f t="shared" si="145"/>
        <v>5588520</v>
      </c>
    </row>
    <row r="982" spans="1:36" x14ac:dyDescent="0.2">
      <c r="A982" s="1217" t="s">
        <v>144</v>
      </c>
      <c r="B982" s="1218" t="s">
        <v>264</v>
      </c>
      <c r="C982" s="1219" t="s">
        <v>1195</v>
      </c>
      <c r="D982" s="1220"/>
      <c r="E982" s="1221">
        <v>139931</v>
      </c>
      <c r="F982" s="1222">
        <v>3</v>
      </c>
      <c r="G982" s="859">
        <v>76205063</v>
      </c>
      <c r="H982" s="860">
        <v>81637310</v>
      </c>
      <c r="I982" s="861"/>
      <c r="J982" s="862"/>
      <c r="K982" s="859"/>
      <c r="L982" s="863"/>
      <c r="M982" s="859">
        <v>116800684</v>
      </c>
      <c r="N982" s="859"/>
      <c r="O982" s="752">
        <f t="shared" si="138"/>
        <v>116800684</v>
      </c>
      <c r="P982" s="862">
        <v>117003531</v>
      </c>
      <c r="Q982" s="860"/>
      <c r="R982" s="753">
        <f t="shared" si="141"/>
        <v>117003531</v>
      </c>
      <c r="S982" s="752">
        <f t="shared" si="142"/>
        <v>193005747</v>
      </c>
      <c r="T982" s="754">
        <f t="shared" si="143"/>
        <v>198640841</v>
      </c>
      <c r="U982" s="859"/>
      <c r="V982" s="863"/>
      <c r="W982" s="859"/>
      <c r="X982" s="859"/>
      <c r="Y982" s="755">
        <f t="shared" si="139"/>
        <v>0</v>
      </c>
      <c r="Z982" s="864"/>
      <c r="AA982" s="863"/>
      <c r="AB982" s="756">
        <f t="shared" si="140"/>
        <v>0</v>
      </c>
      <c r="AC982" s="859"/>
      <c r="AD982" s="863"/>
      <c r="AE982" s="859"/>
      <c r="AF982" s="859"/>
      <c r="AG982" s="864"/>
      <c r="AH982" s="865"/>
      <c r="AI982" s="757">
        <f t="shared" si="144"/>
        <v>193005747</v>
      </c>
      <c r="AJ982" s="758">
        <f t="shared" si="145"/>
        <v>198640841</v>
      </c>
    </row>
    <row r="983" spans="1:36" x14ac:dyDescent="0.2">
      <c r="A983" s="1217" t="s">
        <v>144</v>
      </c>
      <c r="B983" s="1218" t="s">
        <v>264</v>
      </c>
      <c r="C983" s="1219" t="s">
        <v>1196</v>
      </c>
      <c r="D983" s="1220"/>
      <c r="E983" s="1221">
        <v>141334</v>
      </c>
      <c r="F983" s="1222">
        <v>3</v>
      </c>
      <c r="G983" s="859">
        <v>44558082</v>
      </c>
      <c r="H983" s="860">
        <v>44301877</v>
      </c>
      <c r="I983" s="861"/>
      <c r="J983" s="862"/>
      <c r="K983" s="859"/>
      <c r="L983" s="863"/>
      <c r="M983" s="859">
        <v>63921592</v>
      </c>
      <c r="N983" s="859"/>
      <c r="O983" s="752">
        <f t="shared" si="138"/>
        <v>63921592</v>
      </c>
      <c r="P983" s="862">
        <v>64881304</v>
      </c>
      <c r="Q983" s="860"/>
      <c r="R983" s="753">
        <f t="shared" si="141"/>
        <v>64881304</v>
      </c>
      <c r="S983" s="752">
        <f t="shared" si="142"/>
        <v>108479674</v>
      </c>
      <c r="T983" s="754">
        <f t="shared" si="143"/>
        <v>109183181</v>
      </c>
      <c r="U983" s="859"/>
      <c r="V983" s="863"/>
      <c r="W983" s="859"/>
      <c r="X983" s="859"/>
      <c r="Y983" s="755">
        <f t="shared" si="139"/>
        <v>0</v>
      </c>
      <c r="Z983" s="864"/>
      <c r="AA983" s="863"/>
      <c r="AB983" s="756">
        <f t="shared" si="140"/>
        <v>0</v>
      </c>
      <c r="AC983" s="859"/>
      <c r="AD983" s="863"/>
      <c r="AE983" s="859"/>
      <c r="AF983" s="859"/>
      <c r="AG983" s="864"/>
      <c r="AH983" s="865"/>
      <c r="AI983" s="757">
        <f t="shared" si="144"/>
        <v>108479674</v>
      </c>
      <c r="AJ983" s="758">
        <f t="shared" si="145"/>
        <v>109183181</v>
      </c>
    </row>
    <row r="984" spans="1:36" x14ac:dyDescent="0.2">
      <c r="A984" s="1217" t="s">
        <v>144</v>
      </c>
      <c r="B984" s="1218" t="s">
        <v>264</v>
      </c>
      <c r="C984" s="1219" t="s">
        <v>1197</v>
      </c>
      <c r="D984" s="1220"/>
      <c r="E984" s="1221">
        <v>141264</v>
      </c>
      <c r="F984" s="1222">
        <v>3</v>
      </c>
      <c r="G984" s="859">
        <v>45016305</v>
      </c>
      <c r="H984" s="860">
        <v>48673777</v>
      </c>
      <c r="I984" s="861"/>
      <c r="J984" s="862"/>
      <c r="K984" s="859"/>
      <c r="L984" s="863"/>
      <c r="M984" s="859">
        <v>66446203</v>
      </c>
      <c r="N984" s="859"/>
      <c r="O984" s="752">
        <f t="shared" si="138"/>
        <v>66446203</v>
      </c>
      <c r="P984" s="862">
        <v>62507046</v>
      </c>
      <c r="Q984" s="860"/>
      <c r="R984" s="753">
        <f t="shared" si="141"/>
        <v>62507046</v>
      </c>
      <c r="S984" s="752">
        <f t="shared" si="142"/>
        <v>111462508</v>
      </c>
      <c r="T984" s="754">
        <f t="shared" si="143"/>
        <v>111180823</v>
      </c>
      <c r="U984" s="859"/>
      <c r="V984" s="863"/>
      <c r="W984" s="859"/>
      <c r="X984" s="859"/>
      <c r="Y984" s="755">
        <f t="shared" si="139"/>
        <v>0</v>
      </c>
      <c r="Z984" s="864"/>
      <c r="AA984" s="863"/>
      <c r="AB984" s="756">
        <f t="shared" si="140"/>
        <v>0</v>
      </c>
      <c r="AC984" s="859"/>
      <c r="AD984" s="863"/>
      <c r="AE984" s="859"/>
      <c r="AF984" s="859"/>
      <c r="AG984" s="864"/>
      <c r="AH984" s="865"/>
      <c r="AI984" s="757">
        <f t="shared" si="144"/>
        <v>111462508</v>
      </c>
      <c r="AJ984" s="758">
        <f t="shared" si="145"/>
        <v>111180823</v>
      </c>
    </row>
    <row r="985" spans="1:36" x14ac:dyDescent="0.2">
      <c r="A985" s="1217" t="s">
        <v>144</v>
      </c>
      <c r="B985" s="1218" t="s">
        <v>264</v>
      </c>
      <c r="C985" s="1219" t="s">
        <v>1198</v>
      </c>
      <c r="D985" s="1220"/>
      <c r="E985" s="1221">
        <v>138716</v>
      </c>
      <c r="F985" s="1222">
        <v>4</v>
      </c>
      <c r="G985" s="859">
        <v>19154146</v>
      </c>
      <c r="H985" s="860">
        <v>18940821</v>
      </c>
      <c r="I985" s="861"/>
      <c r="J985" s="862"/>
      <c r="K985" s="859"/>
      <c r="L985" s="863"/>
      <c r="M985" s="859">
        <v>21582704</v>
      </c>
      <c r="N985" s="859"/>
      <c r="O985" s="752">
        <f t="shared" si="138"/>
        <v>21582704</v>
      </c>
      <c r="P985" s="862">
        <v>19297763</v>
      </c>
      <c r="Q985" s="860"/>
      <c r="R985" s="753">
        <f t="shared" si="141"/>
        <v>19297763</v>
      </c>
      <c r="S985" s="752">
        <f t="shared" si="142"/>
        <v>40736850</v>
      </c>
      <c r="T985" s="754">
        <f t="shared" si="143"/>
        <v>38238584</v>
      </c>
      <c r="U985" s="859"/>
      <c r="V985" s="863"/>
      <c r="W985" s="859"/>
      <c r="X985" s="859"/>
      <c r="Y985" s="755">
        <f t="shared" si="139"/>
        <v>0</v>
      </c>
      <c r="Z985" s="864"/>
      <c r="AA985" s="863"/>
      <c r="AB985" s="756">
        <f t="shared" si="140"/>
        <v>0</v>
      </c>
      <c r="AC985" s="859"/>
      <c r="AD985" s="863"/>
      <c r="AE985" s="859"/>
      <c r="AF985" s="859"/>
      <c r="AG985" s="864"/>
      <c r="AH985" s="865"/>
      <c r="AI985" s="757">
        <f t="shared" si="144"/>
        <v>40736850</v>
      </c>
      <c r="AJ985" s="758">
        <f t="shared" si="145"/>
        <v>38238584</v>
      </c>
    </row>
    <row r="986" spans="1:36" x14ac:dyDescent="0.2">
      <c r="A986" s="1217" t="s">
        <v>144</v>
      </c>
      <c r="B986" s="1218" t="s">
        <v>264</v>
      </c>
      <c r="C986" s="1219" t="s">
        <v>1199</v>
      </c>
      <c r="D986" s="1220"/>
      <c r="E986" s="1221">
        <v>138789</v>
      </c>
      <c r="F986" s="1222">
        <v>4</v>
      </c>
      <c r="G986" s="859">
        <v>26682356</v>
      </c>
      <c r="H986" s="860">
        <v>28838670</v>
      </c>
      <c r="I986" s="861"/>
      <c r="J986" s="862"/>
      <c r="K986" s="859"/>
      <c r="L986" s="863"/>
      <c r="M986" s="859">
        <v>36429364</v>
      </c>
      <c r="N986" s="859"/>
      <c r="O986" s="752">
        <f t="shared" si="138"/>
        <v>36429364</v>
      </c>
      <c r="P986" s="862">
        <v>36579115</v>
      </c>
      <c r="Q986" s="860"/>
      <c r="R986" s="753">
        <f t="shared" si="141"/>
        <v>36579115</v>
      </c>
      <c r="S986" s="752">
        <f t="shared" si="142"/>
        <v>63111720</v>
      </c>
      <c r="T986" s="754">
        <f t="shared" si="143"/>
        <v>65417785</v>
      </c>
      <c r="U986" s="859"/>
      <c r="V986" s="863"/>
      <c r="W986" s="859"/>
      <c r="X986" s="859"/>
      <c r="Y986" s="755">
        <f t="shared" si="139"/>
        <v>0</v>
      </c>
      <c r="Z986" s="864"/>
      <c r="AA986" s="863"/>
      <c r="AB986" s="756">
        <f t="shared" si="140"/>
        <v>0</v>
      </c>
      <c r="AC986" s="859"/>
      <c r="AD986" s="863"/>
      <c r="AE986" s="859"/>
      <c r="AF986" s="859"/>
      <c r="AG986" s="864"/>
      <c r="AH986" s="865"/>
      <c r="AI986" s="757">
        <f t="shared" si="144"/>
        <v>63111720</v>
      </c>
      <c r="AJ986" s="758">
        <f t="shared" si="145"/>
        <v>65417785</v>
      </c>
    </row>
    <row r="987" spans="1:36" x14ac:dyDescent="0.2">
      <c r="A987" s="1217" t="s">
        <v>144</v>
      </c>
      <c r="B987" s="1218" t="s">
        <v>264</v>
      </c>
      <c r="C987" s="1219" t="s">
        <v>1200</v>
      </c>
      <c r="D987" s="1220"/>
      <c r="E987" s="1221">
        <v>139366</v>
      </c>
      <c r="F987" s="1222">
        <v>4</v>
      </c>
      <c r="G987" s="859">
        <v>30845110</v>
      </c>
      <c r="H987" s="860">
        <v>33181647</v>
      </c>
      <c r="I987" s="861"/>
      <c r="J987" s="862"/>
      <c r="K987" s="859"/>
      <c r="L987" s="863"/>
      <c r="M987" s="859">
        <v>41843565</v>
      </c>
      <c r="N987" s="859"/>
      <c r="O987" s="752">
        <f t="shared" si="138"/>
        <v>41843565</v>
      </c>
      <c r="P987" s="862">
        <v>42883501</v>
      </c>
      <c r="Q987" s="860"/>
      <c r="R987" s="753">
        <f t="shared" si="141"/>
        <v>42883501</v>
      </c>
      <c r="S987" s="752">
        <f t="shared" si="142"/>
        <v>72688675</v>
      </c>
      <c r="T987" s="754">
        <f t="shared" si="143"/>
        <v>76065148</v>
      </c>
      <c r="U987" s="859"/>
      <c r="V987" s="863"/>
      <c r="W987" s="859"/>
      <c r="X987" s="859"/>
      <c r="Y987" s="755">
        <f t="shared" si="139"/>
        <v>0</v>
      </c>
      <c r="Z987" s="864"/>
      <c r="AA987" s="863"/>
      <c r="AB987" s="756">
        <f t="shared" si="140"/>
        <v>0</v>
      </c>
      <c r="AC987" s="859"/>
      <c r="AD987" s="863"/>
      <c r="AE987" s="859"/>
      <c r="AF987" s="859"/>
      <c r="AG987" s="864"/>
      <c r="AH987" s="865"/>
      <c r="AI987" s="757">
        <f t="shared" si="144"/>
        <v>72688675</v>
      </c>
      <c r="AJ987" s="758">
        <f t="shared" si="145"/>
        <v>76065148</v>
      </c>
    </row>
    <row r="988" spans="1:36" x14ac:dyDescent="0.2">
      <c r="A988" s="1217" t="s">
        <v>144</v>
      </c>
      <c r="B988" s="1218" t="s">
        <v>264</v>
      </c>
      <c r="C988" s="1219" t="s">
        <v>1201</v>
      </c>
      <c r="D988" s="1220"/>
      <c r="E988" s="1221">
        <v>139861</v>
      </c>
      <c r="F988" s="1222">
        <v>4</v>
      </c>
      <c r="G988" s="859">
        <v>27240350</v>
      </c>
      <c r="H988" s="860">
        <v>29038579</v>
      </c>
      <c r="I988" s="861"/>
      <c r="J988" s="862"/>
      <c r="K988" s="859"/>
      <c r="L988" s="863"/>
      <c r="M988" s="859">
        <v>47271105</v>
      </c>
      <c r="N988" s="859"/>
      <c r="O988" s="752">
        <f t="shared" si="138"/>
        <v>47271105</v>
      </c>
      <c r="P988" s="862">
        <v>50180775</v>
      </c>
      <c r="Q988" s="860"/>
      <c r="R988" s="753">
        <f t="shared" si="141"/>
        <v>50180775</v>
      </c>
      <c r="S988" s="752">
        <f t="shared" si="142"/>
        <v>74511455</v>
      </c>
      <c r="T988" s="754">
        <f t="shared" si="143"/>
        <v>79219354</v>
      </c>
      <c r="U988" s="859"/>
      <c r="V988" s="863"/>
      <c r="W988" s="859"/>
      <c r="X988" s="859"/>
      <c r="Y988" s="755">
        <f t="shared" si="139"/>
        <v>0</v>
      </c>
      <c r="Z988" s="864"/>
      <c r="AA988" s="863"/>
      <c r="AB988" s="756">
        <f t="shared" si="140"/>
        <v>0</v>
      </c>
      <c r="AC988" s="859"/>
      <c r="AD988" s="863"/>
      <c r="AE988" s="859"/>
      <c r="AF988" s="859"/>
      <c r="AG988" s="864"/>
      <c r="AH988" s="865"/>
      <c r="AI988" s="757">
        <f t="shared" si="144"/>
        <v>74511455</v>
      </c>
      <c r="AJ988" s="758">
        <f t="shared" si="145"/>
        <v>79219354</v>
      </c>
    </row>
    <row r="989" spans="1:36" x14ac:dyDescent="0.2">
      <c r="A989" s="1217" t="s">
        <v>144</v>
      </c>
      <c r="B989" s="1218" t="s">
        <v>264</v>
      </c>
      <c r="C989" s="1452" t="s">
        <v>1832</v>
      </c>
      <c r="D989" s="1220"/>
      <c r="E989" s="1453">
        <v>482149</v>
      </c>
      <c r="F989" s="1231">
        <v>4</v>
      </c>
      <c r="G989" s="1457">
        <v>23027222</v>
      </c>
      <c r="H989" s="860">
        <v>24720854</v>
      </c>
      <c r="I989" s="861"/>
      <c r="J989" s="862"/>
      <c r="K989" s="859"/>
      <c r="L989" s="863"/>
      <c r="M989" s="1457">
        <v>29011748</v>
      </c>
      <c r="N989" s="859"/>
      <c r="O989" s="752">
        <f t="shared" si="138"/>
        <v>29011748</v>
      </c>
      <c r="P989" s="1503">
        <v>36084702</v>
      </c>
      <c r="Q989" s="860"/>
      <c r="R989" s="753">
        <f t="shared" si="141"/>
        <v>36084702</v>
      </c>
      <c r="S989" s="752">
        <f t="shared" si="142"/>
        <v>52038970</v>
      </c>
      <c r="T989" s="754">
        <f t="shared" si="143"/>
        <v>60805556</v>
      </c>
      <c r="U989" s="859"/>
      <c r="V989" s="863"/>
      <c r="W989" s="859"/>
      <c r="X989" s="859"/>
      <c r="Y989" s="755">
        <f t="shared" si="139"/>
        <v>0</v>
      </c>
      <c r="Z989" s="864"/>
      <c r="AA989" s="863"/>
      <c r="AB989" s="756">
        <f t="shared" si="140"/>
        <v>0</v>
      </c>
      <c r="AC989" s="859"/>
      <c r="AD989" s="863"/>
      <c r="AE989" s="859"/>
      <c r="AF989" s="859"/>
      <c r="AG989" s="864"/>
      <c r="AH989" s="865"/>
      <c r="AI989" s="757">
        <f t="shared" si="144"/>
        <v>52038970</v>
      </c>
      <c r="AJ989" s="758">
        <f t="shared" si="145"/>
        <v>60805556</v>
      </c>
    </row>
    <row r="990" spans="1:36" x14ac:dyDescent="0.2">
      <c r="A990" s="1217" t="s">
        <v>144</v>
      </c>
      <c r="B990" s="1218" t="s">
        <v>280</v>
      </c>
      <c r="C990" s="1454" t="s">
        <v>1182</v>
      </c>
      <c r="D990" s="1220"/>
      <c r="E990" s="1453">
        <v>482149</v>
      </c>
      <c r="F990" s="1231">
        <v>4</v>
      </c>
      <c r="G990" s="1457"/>
      <c r="H990" s="352"/>
      <c r="I990" s="861"/>
      <c r="J990" s="862"/>
      <c r="K990" s="859"/>
      <c r="L990" s="863"/>
      <c r="M990" s="1457"/>
      <c r="N990" s="859"/>
      <c r="O990" s="752">
        <f t="shared" si="138"/>
        <v>0</v>
      </c>
      <c r="P990" s="352"/>
      <c r="Q990" s="860"/>
      <c r="R990" s="753">
        <f t="shared" si="141"/>
        <v>0</v>
      </c>
      <c r="S990" s="752">
        <f t="shared" si="142"/>
        <v>0</v>
      </c>
      <c r="T990" s="754">
        <f t="shared" si="143"/>
        <v>0</v>
      </c>
      <c r="U990" s="859"/>
      <c r="V990" s="863"/>
      <c r="W990" s="859"/>
      <c r="X990" s="859"/>
      <c r="Y990" s="755">
        <f t="shared" si="139"/>
        <v>0</v>
      </c>
      <c r="Z990" s="864"/>
      <c r="AA990" s="863"/>
      <c r="AB990" s="756">
        <f t="shared" si="140"/>
        <v>0</v>
      </c>
      <c r="AC990" s="1457">
        <v>167379550</v>
      </c>
      <c r="AD990" s="1504">
        <v>177232939</v>
      </c>
      <c r="AE990" s="1457">
        <v>45964716</v>
      </c>
      <c r="AF990" s="1457"/>
      <c r="AG990" s="1505">
        <v>43211088</v>
      </c>
      <c r="AH990" s="865"/>
      <c r="AI990" s="757">
        <f t="shared" si="144"/>
        <v>213344266</v>
      </c>
      <c r="AJ990" s="758">
        <f t="shared" si="145"/>
        <v>220444027</v>
      </c>
    </row>
    <row r="991" spans="1:36" x14ac:dyDescent="0.2">
      <c r="A991" s="1217" t="s">
        <v>144</v>
      </c>
      <c r="B991" s="1218" t="s">
        <v>264</v>
      </c>
      <c r="C991" s="1219" t="s">
        <v>1202</v>
      </c>
      <c r="D991" s="1227" t="s">
        <v>1235</v>
      </c>
      <c r="E991" s="1228">
        <v>140164</v>
      </c>
      <c r="F991" s="1229">
        <v>3</v>
      </c>
      <c r="G991" s="859">
        <v>75897167</v>
      </c>
      <c r="H991" s="860">
        <v>82429443</v>
      </c>
      <c r="I991" s="861"/>
      <c r="J991" s="862"/>
      <c r="K991" s="859"/>
      <c r="L991" s="863"/>
      <c r="M991" s="859">
        <v>133826316</v>
      </c>
      <c r="N991" s="859"/>
      <c r="O991" s="752">
        <f t="shared" si="138"/>
        <v>133826316</v>
      </c>
      <c r="P991" s="862">
        <v>135549412</v>
      </c>
      <c r="Q991" s="860"/>
      <c r="R991" s="753">
        <f t="shared" si="141"/>
        <v>135549412</v>
      </c>
      <c r="S991" s="752">
        <f t="shared" si="142"/>
        <v>209723483</v>
      </c>
      <c r="T991" s="754">
        <f t="shared" si="143"/>
        <v>217978855</v>
      </c>
      <c r="U991" s="859"/>
      <c r="V991" s="863"/>
      <c r="W991" s="859"/>
      <c r="X991" s="859"/>
      <c r="Y991" s="755">
        <f t="shared" si="139"/>
        <v>0</v>
      </c>
      <c r="Z991" s="864"/>
      <c r="AA991" s="863"/>
      <c r="AB991" s="756">
        <f t="shared" si="140"/>
        <v>0</v>
      </c>
      <c r="AC991" s="859"/>
      <c r="AD991" s="863"/>
      <c r="AE991" s="859"/>
      <c r="AF991" s="859"/>
      <c r="AG991" s="864"/>
      <c r="AH991" s="865"/>
      <c r="AI991" s="757">
        <f t="shared" si="144"/>
        <v>209723483</v>
      </c>
      <c r="AJ991" s="758">
        <f t="shared" si="145"/>
        <v>217978855</v>
      </c>
    </row>
    <row r="992" spans="1:36" x14ac:dyDescent="0.2">
      <c r="A992" s="1217" t="s">
        <v>144</v>
      </c>
      <c r="B992" s="1218" t="s">
        <v>264</v>
      </c>
      <c r="C992" s="1455" t="s">
        <v>1833</v>
      </c>
      <c r="D992" s="1220"/>
      <c r="E992" s="1456">
        <v>482680</v>
      </c>
      <c r="F992" s="1231">
        <v>4</v>
      </c>
      <c r="G992" s="1457">
        <v>40980500</v>
      </c>
      <c r="H992" s="860">
        <v>45277086</v>
      </c>
      <c r="I992" s="861"/>
      <c r="J992" s="862"/>
      <c r="K992" s="859"/>
      <c r="L992" s="863"/>
      <c r="M992" s="1457">
        <v>58079107</v>
      </c>
      <c r="N992" s="859"/>
      <c r="O992" s="752">
        <f t="shared" si="138"/>
        <v>58079107</v>
      </c>
      <c r="P992" s="1506">
        <v>63605080</v>
      </c>
      <c r="Q992" s="860"/>
      <c r="R992" s="753">
        <f t="shared" si="141"/>
        <v>63605080</v>
      </c>
      <c r="S992" s="752">
        <f t="shared" si="142"/>
        <v>99059607</v>
      </c>
      <c r="T992" s="754">
        <f t="shared" si="143"/>
        <v>108882166</v>
      </c>
      <c r="U992" s="859"/>
      <c r="V992" s="863"/>
      <c r="W992" s="859"/>
      <c r="X992" s="859"/>
      <c r="Y992" s="755">
        <f t="shared" si="139"/>
        <v>0</v>
      </c>
      <c r="Z992" s="864"/>
      <c r="AA992" s="863"/>
      <c r="AB992" s="756">
        <f t="shared" si="140"/>
        <v>0</v>
      </c>
      <c r="AC992" s="859"/>
      <c r="AD992" s="863"/>
      <c r="AE992" s="859"/>
      <c r="AF992" s="859"/>
      <c r="AG992" s="864"/>
      <c r="AH992" s="865"/>
      <c r="AI992" s="757">
        <f t="shared" si="144"/>
        <v>99059607</v>
      </c>
      <c r="AJ992" s="758">
        <f t="shared" si="145"/>
        <v>108882166</v>
      </c>
    </row>
    <row r="993" spans="1:36" x14ac:dyDescent="0.2">
      <c r="A993" s="1217" t="s">
        <v>144</v>
      </c>
      <c r="B993" s="1218" t="s">
        <v>264</v>
      </c>
      <c r="C993" s="1226" t="s">
        <v>1203</v>
      </c>
      <c r="D993" s="1230" t="s">
        <v>1890</v>
      </c>
      <c r="E993" s="1228">
        <v>139311</v>
      </c>
      <c r="F993" s="1231">
        <v>5</v>
      </c>
      <c r="G993" s="859">
        <v>21899158</v>
      </c>
      <c r="H993" s="860">
        <v>23414055</v>
      </c>
      <c r="I993" s="861"/>
      <c r="J993" s="862"/>
      <c r="K993" s="859"/>
      <c r="L993" s="863"/>
      <c r="M993" s="859">
        <v>32409471</v>
      </c>
      <c r="N993" s="859"/>
      <c r="O993" s="752">
        <f t="shared" si="138"/>
        <v>32409471</v>
      </c>
      <c r="P993" s="862">
        <v>32115044</v>
      </c>
      <c r="Q993" s="860"/>
      <c r="R993" s="753">
        <f t="shared" si="141"/>
        <v>32115044</v>
      </c>
      <c r="S993" s="752">
        <f t="shared" si="142"/>
        <v>54308629</v>
      </c>
      <c r="T993" s="754">
        <f t="shared" si="143"/>
        <v>55529099</v>
      </c>
      <c r="U993" s="859"/>
      <c r="V993" s="863"/>
      <c r="W993" s="859"/>
      <c r="X993" s="859"/>
      <c r="Y993" s="755">
        <f t="shared" si="139"/>
        <v>0</v>
      </c>
      <c r="Z993" s="864"/>
      <c r="AA993" s="863"/>
      <c r="AB993" s="756">
        <f t="shared" si="140"/>
        <v>0</v>
      </c>
      <c r="AC993" s="859"/>
      <c r="AD993" s="863"/>
      <c r="AE993" s="859"/>
      <c r="AF993" s="859"/>
      <c r="AG993" s="864"/>
      <c r="AH993" s="865"/>
      <c r="AI993" s="757">
        <f t="shared" si="144"/>
        <v>54308629</v>
      </c>
      <c r="AJ993" s="758">
        <f t="shared" si="145"/>
        <v>55529099</v>
      </c>
    </row>
    <row r="994" spans="1:36" x14ac:dyDescent="0.2">
      <c r="A994" s="1217" t="s">
        <v>144</v>
      </c>
      <c r="B994" s="1218" t="s">
        <v>264</v>
      </c>
      <c r="C994" s="1219" t="s">
        <v>1204</v>
      </c>
      <c r="D994" s="1230" t="s">
        <v>1236</v>
      </c>
      <c r="E994" s="1228">
        <v>139719</v>
      </c>
      <c r="F994" s="1231">
        <v>5</v>
      </c>
      <c r="G994" s="859">
        <v>21800724</v>
      </c>
      <c r="H994" s="860">
        <v>24005877</v>
      </c>
      <c r="I994" s="861"/>
      <c r="J994" s="862"/>
      <c r="K994" s="859"/>
      <c r="L994" s="863"/>
      <c r="M994" s="859">
        <v>15290285</v>
      </c>
      <c r="N994" s="859"/>
      <c r="O994" s="752">
        <f t="shared" si="138"/>
        <v>15290285</v>
      </c>
      <c r="P994" s="862">
        <v>15088186</v>
      </c>
      <c r="Q994" s="860"/>
      <c r="R994" s="753">
        <f t="shared" si="141"/>
        <v>15088186</v>
      </c>
      <c r="S994" s="752">
        <f t="shared" si="142"/>
        <v>37091009</v>
      </c>
      <c r="T994" s="754">
        <f t="shared" si="143"/>
        <v>39094063</v>
      </c>
      <c r="U994" s="859"/>
      <c r="V994" s="863"/>
      <c r="W994" s="859"/>
      <c r="X994" s="859"/>
      <c r="Y994" s="755">
        <f t="shared" si="139"/>
        <v>0</v>
      </c>
      <c r="Z994" s="864"/>
      <c r="AA994" s="863"/>
      <c r="AB994" s="756">
        <f t="shared" si="140"/>
        <v>0</v>
      </c>
      <c r="AC994" s="859"/>
      <c r="AD994" s="863"/>
      <c r="AE994" s="859"/>
      <c r="AF994" s="859"/>
      <c r="AG994" s="864"/>
      <c r="AH994" s="865"/>
      <c r="AI994" s="757">
        <f t="shared" si="144"/>
        <v>37091009</v>
      </c>
      <c r="AJ994" s="758">
        <f t="shared" si="145"/>
        <v>39094063</v>
      </c>
    </row>
    <row r="995" spans="1:36" x14ac:dyDescent="0.2">
      <c r="A995" s="1217" t="s">
        <v>144</v>
      </c>
      <c r="B995" s="1218" t="s">
        <v>264</v>
      </c>
      <c r="C995" s="1219" t="s">
        <v>1205</v>
      </c>
      <c r="D995" s="1230"/>
      <c r="E995" s="1228">
        <v>139764</v>
      </c>
      <c r="F995" s="1231">
        <v>5</v>
      </c>
      <c r="G995" s="859">
        <v>11085293</v>
      </c>
      <c r="H995" s="860">
        <v>11869936</v>
      </c>
      <c r="I995" s="861"/>
      <c r="J995" s="862"/>
      <c r="K995" s="859"/>
      <c r="L995" s="863"/>
      <c r="M995" s="859">
        <v>13476330</v>
      </c>
      <c r="N995" s="859"/>
      <c r="O995" s="752">
        <f t="shared" si="138"/>
        <v>13476330</v>
      </c>
      <c r="P995" s="862">
        <v>14020481</v>
      </c>
      <c r="Q995" s="860"/>
      <c r="R995" s="753">
        <f t="shared" si="141"/>
        <v>14020481</v>
      </c>
      <c r="S995" s="752">
        <f t="shared" si="142"/>
        <v>24561623</v>
      </c>
      <c r="T995" s="754">
        <f t="shared" si="143"/>
        <v>25890417</v>
      </c>
      <c r="U995" s="859"/>
      <c r="V995" s="863"/>
      <c r="W995" s="859"/>
      <c r="X995" s="859"/>
      <c r="Y995" s="755">
        <f t="shared" si="139"/>
        <v>0</v>
      </c>
      <c r="Z995" s="864"/>
      <c r="AA995" s="863"/>
      <c r="AB995" s="756">
        <f t="shared" si="140"/>
        <v>0</v>
      </c>
      <c r="AC995" s="859"/>
      <c r="AD995" s="863"/>
      <c r="AE995" s="859"/>
      <c r="AF995" s="859"/>
      <c r="AG995" s="864"/>
      <c r="AH995" s="865"/>
      <c r="AI995" s="757">
        <f t="shared" si="144"/>
        <v>24561623</v>
      </c>
      <c r="AJ995" s="758">
        <f t="shared" si="145"/>
        <v>25890417</v>
      </c>
    </row>
    <row r="996" spans="1:36" x14ac:dyDescent="0.2">
      <c r="A996" s="1217" t="s">
        <v>144</v>
      </c>
      <c r="B996" s="1218" t="s">
        <v>264</v>
      </c>
      <c r="C996" s="1219" t="s">
        <v>1206</v>
      </c>
      <c r="D996" s="1230"/>
      <c r="E996" s="1228">
        <v>140960</v>
      </c>
      <c r="F996" s="1231">
        <v>5</v>
      </c>
      <c r="G996" s="859">
        <v>17273383</v>
      </c>
      <c r="H996" s="860">
        <v>18671267</v>
      </c>
      <c r="I996" s="861"/>
      <c r="J996" s="862"/>
      <c r="K996" s="859"/>
      <c r="L996" s="863"/>
      <c r="M996" s="859">
        <v>23165111</v>
      </c>
      <c r="N996" s="859"/>
      <c r="O996" s="752">
        <f t="shared" si="138"/>
        <v>23165111</v>
      </c>
      <c r="P996" s="862">
        <v>24243021</v>
      </c>
      <c r="Q996" s="860"/>
      <c r="R996" s="753">
        <f t="shared" si="141"/>
        <v>24243021</v>
      </c>
      <c r="S996" s="752">
        <f t="shared" si="142"/>
        <v>40438494</v>
      </c>
      <c r="T996" s="754">
        <f t="shared" si="143"/>
        <v>42914288</v>
      </c>
      <c r="U996" s="859"/>
      <c r="V996" s="863"/>
      <c r="W996" s="859"/>
      <c r="X996" s="859"/>
      <c r="Y996" s="755">
        <f t="shared" si="139"/>
        <v>0</v>
      </c>
      <c r="Z996" s="864"/>
      <c r="AA996" s="863"/>
      <c r="AB996" s="756">
        <f t="shared" si="140"/>
        <v>0</v>
      </c>
      <c r="AC996" s="859"/>
      <c r="AD996" s="863"/>
      <c r="AE996" s="859"/>
      <c r="AF996" s="859"/>
      <c r="AG996" s="864"/>
      <c r="AH996" s="865"/>
      <c r="AI996" s="757">
        <f t="shared" si="144"/>
        <v>40438494</v>
      </c>
      <c r="AJ996" s="758">
        <f t="shared" si="145"/>
        <v>42914288</v>
      </c>
    </row>
    <row r="997" spans="1:36" x14ac:dyDescent="0.2">
      <c r="A997" s="1217" t="s">
        <v>144</v>
      </c>
      <c r="B997" s="1218" t="s">
        <v>302</v>
      </c>
      <c r="C997" s="1226" t="s">
        <v>1207</v>
      </c>
      <c r="D997" s="1227"/>
      <c r="E997" s="1228">
        <v>447689</v>
      </c>
      <c r="F997" s="1231">
        <v>6</v>
      </c>
      <c r="G997" s="859">
        <v>34786134</v>
      </c>
      <c r="H997" s="860">
        <v>39791420</v>
      </c>
      <c r="I997" s="861"/>
      <c r="J997" s="862"/>
      <c r="K997" s="859"/>
      <c r="L997" s="863"/>
      <c r="M997" s="859">
        <v>34359112</v>
      </c>
      <c r="N997" s="859"/>
      <c r="O997" s="752">
        <f t="shared" si="138"/>
        <v>34359112</v>
      </c>
      <c r="P997" s="862">
        <v>35671148</v>
      </c>
      <c r="Q997" s="860"/>
      <c r="R997" s="753">
        <f t="shared" si="141"/>
        <v>35671148</v>
      </c>
      <c r="S997" s="752">
        <f t="shared" si="142"/>
        <v>69145246</v>
      </c>
      <c r="T997" s="754">
        <f t="shared" si="143"/>
        <v>75462568</v>
      </c>
      <c r="U997" s="859"/>
      <c r="V997" s="863"/>
      <c r="W997" s="859"/>
      <c r="X997" s="859"/>
      <c r="Y997" s="755">
        <f t="shared" si="139"/>
        <v>0</v>
      </c>
      <c r="Z997" s="864"/>
      <c r="AA997" s="863"/>
      <c r="AB997" s="756">
        <f t="shared" si="140"/>
        <v>0</v>
      </c>
      <c r="AC997" s="859"/>
      <c r="AD997" s="863"/>
      <c r="AE997" s="859"/>
      <c r="AF997" s="859"/>
      <c r="AG997" s="864"/>
      <c r="AH997" s="865"/>
      <c r="AI997" s="757">
        <f t="shared" si="144"/>
        <v>69145246</v>
      </c>
      <c r="AJ997" s="758">
        <f t="shared" si="145"/>
        <v>75462568</v>
      </c>
    </row>
    <row r="998" spans="1:36" x14ac:dyDescent="0.2">
      <c r="A998" s="1217" t="s">
        <v>144</v>
      </c>
      <c r="B998" s="1218" t="s">
        <v>264</v>
      </c>
      <c r="C998" s="1459" t="s">
        <v>1835</v>
      </c>
      <c r="D998" s="1230"/>
      <c r="E998" s="1456">
        <v>482158</v>
      </c>
      <c r="F998" s="1231">
        <v>6</v>
      </c>
      <c r="G998" s="1457">
        <v>32375925</v>
      </c>
      <c r="H998" s="860">
        <v>34390867</v>
      </c>
      <c r="I998" s="861"/>
      <c r="J998" s="862"/>
      <c r="K998" s="859"/>
      <c r="L998" s="863"/>
      <c r="M998" s="1457">
        <v>25926996</v>
      </c>
      <c r="N998" s="859"/>
      <c r="O998" s="752">
        <f t="shared" si="138"/>
        <v>25926996</v>
      </c>
      <c r="P998" s="1506">
        <v>24445234</v>
      </c>
      <c r="Q998" s="860"/>
      <c r="R998" s="753">
        <f t="shared" si="141"/>
        <v>24445234</v>
      </c>
      <c r="S998" s="752">
        <f t="shared" si="142"/>
        <v>58302921</v>
      </c>
      <c r="T998" s="754">
        <f t="shared" si="143"/>
        <v>58836101</v>
      </c>
      <c r="U998" s="859"/>
      <c r="V998" s="863"/>
      <c r="W998" s="859"/>
      <c r="X998" s="859"/>
      <c r="Y998" s="755">
        <f t="shared" si="139"/>
        <v>0</v>
      </c>
      <c r="Z998" s="864"/>
      <c r="AA998" s="863"/>
      <c r="AB998" s="756">
        <f t="shared" si="140"/>
        <v>0</v>
      </c>
      <c r="AC998" s="859"/>
      <c r="AD998" s="863"/>
      <c r="AE998" s="859"/>
      <c r="AF998" s="859"/>
      <c r="AG998" s="864"/>
      <c r="AH998" s="865"/>
      <c r="AI998" s="757">
        <f t="shared" si="144"/>
        <v>58302921</v>
      </c>
      <c r="AJ998" s="758">
        <f t="shared" si="145"/>
        <v>58836101</v>
      </c>
    </row>
    <row r="999" spans="1:36" x14ac:dyDescent="0.2">
      <c r="A999" s="1217" t="s">
        <v>144</v>
      </c>
      <c r="B999" s="1218" t="s">
        <v>264</v>
      </c>
      <c r="C999" s="1219" t="s">
        <v>1208</v>
      </c>
      <c r="D999" s="1227" t="s">
        <v>1891</v>
      </c>
      <c r="E999" s="1228">
        <v>139463</v>
      </c>
      <c r="F999" s="1252">
        <v>6</v>
      </c>
      <c r="G999" s="859">
        <v>13269964</v>
      </c>
      <c r="H999" s="860">
        <v>14043992</v>
      </c>
      <c r="I999" s="861"/>
      <c r="J999" s="862"/>
      <c r="K999" s="859"/>
      <c r="L999" s="863"/>
      <c r="M999" s="859">
        <v>13784628</v>
      </c>
      <c r="N999" s="859"/>
      <c r="O999" s="752">
        <f t="shared" si="138"/>
        <v>13784628</v>
      </c>
      <c r="P999" s="862">
        <v>13495209</v>
      </c>
      <c r="Q999" s="860"/>
      <c r="R999" s="753">
        <f t="shared" si="141"/>
        <v>13495209</v>
      </c>
      <c r="S999" s="752">
        <f t="shared" si="142"/>
        <v>27054592</v>
      </c>
      <c r="T999" s="754">
        <f t="shared" si="143"/>
        <v>27539201</v>
      </c>
      <c r="U999" s="859"/>
      <c r="V999" s="863"/>
      <c r="W999" s="859"/>
      <c r="X999" s="859"/>
      <c r="Y999" s="755">
        <f t="shared" si="139"/>
        <v>0</v>
      </c>
      <c r="Z999" s="864"/>
      <c r="AA999" s="863"/>
      <c r="AB999" s="756">
        <f t="shared" si="140"/>
        <v>0</v>
      </c>
      <c r="AC999" s="859"/>
      <c r="AD999" s="863"/>
      <c r="AE999" s="859"/>
      <c r="AF999" s="859"/>
      <c r="AG999" s="864"/>
      <c r="AH999" s="865"/>
      <c r="AI999" s="757">
        <f t="shared" si="144"/>
        <v>27054592</v>
      </c>
      <c r="AJ999" s="758">
        <f t="shared" si="145"/>
        <v>27539201</v>
      </c>
    </row>
    <row r="1000" spans="1:36" x14ac:dyDescent="0.2">
      <c r="A1000" s="1217" t="s">
        <v>144</v>
      </c>
      <c r="B1000" s="1218" t="s">
        <v>264</v>
      </c>
      <c r="C1000" s="1226" t="s">
        <v>1801</v>
      </c>
      <c r="D1000" s="1227"/>
      <c r="E1000" s="1228">
        <v>139968</v>
      </c>
      <c r="F1000" s="1232">
        <v>7</v>
      </c>
      <c r="G1000" s="859">
        <v>11376859</v>
      </c>
      <c r="H1000" s="860">
        <v>11295645</v>
      </c>
      <c r="I1000" s="861"/>
      <c r="J1000" s="862"/>
      <c r="K1000" s="859"/>
      <c r="L1000" s="863"/>
      <c r="M1000" s="859">
        <v>11377566</v>
      </c>
      <c r="N1000" s="859"/>
      <c r="O1000" s="752">
        <f t="shared" si="138"/>
        <v>11377566</v>
      </c>
      <c r="P1000" s="862">
        <v>11623896</v>
      </c>
      <c r="Q1000" s="860"/>
      <c r="R1000" s="753">
        <f t="shared" si="141"/>
        <v>11623896</v>
      </c>
      <c r="S1000" s="752">
        <f t="shared" si="142"/>
        <v>22754425</v>
      </c>
      <c r="T1000" s="754">
        <f t="shared" si="143"/>
        <v>22919541</v>
      </c>
      <c r="U1000" s="859"/>
      <c r="V1000" s="863"/>
      <c r="W1000" s="859"/>
      <c r="X1000" s="859"/>
      <c r="Y1000" s="755">
        <f t="shared" si="139"/>
        <v>0</v>
      </c>
      <c r="Z1000" s="864"/>
      <c r="AA1000" s="863"/>
      <c r="AB1000" s="756">
        <f t="shared" si="140"/>
        <v>0</v>
      </c>
      <c r="AC1000" s="859"/>
      <c r="AD1000" s="863"/>
      <c r="AE1000" s="859"/>
      <c r="AF1000" s="859"/>
      <c r="AG1000" s="864"/>
      <c r="AH1000" s="865"/>
      <c r="AI1000" s="757">
        <f t="shared" si="144"/>
        <v>22754425</v>
      </c>
      <c r="AJ1000" s="758">
        <f t="shared" si="145"/>
        <v>22919541</v>
      </c>
    </row>
    <row r="1001" spans="1:36" x14ac:dyDescent="0.2">
      <c r="A1001" s="1217" t="s">
        <v>144</v>
      </c>
      <c r="B1001" s="1218" t="s">
        <v>264</v>
      </c>
      <c r="C1001" s="1219" t="s">
        <v>1209</v>
      </c>
      <c r="D1001" s="1230"/>
      <c r="E1001" s="1228">
        <v>244437</v>
      </c>
      <c r="F1001" s="1232">
        <v>8</v>
      </c>
      <c r="G1001" s="859">
        <v>45018238</v>
      </c>
      <c r="H1001" s="860">
        <v>56886594</v>
      </c>
      <c r="I1001" s="861"/>
      <c r="J1001" s="862"/>
      <c r="K1001" s="859"/>
      <c r="L1001" s="863"/>
      <c r="M1001" s="859">
        <v>63274289</v>
      </c>
      <c r="N1001" s="859"/>
      <c r="O1001" s="752">
        <f t="shared" si="138"/>
        <v>63274289</v>
      </c>
      <c r="P1001" s="862">
        <v>57412699</v>
      </c>
      <c r="Q1001" s="860"/>
      <c r="R1001" s="753">
        <f t="shared" si="141"/>
        <v>57412699</v>
      </c>
      <c r="S1001" s="752">
        <f t="shared" si="142"/>
        <v>108292527</v>
      </c>
      <c r="T1001" s="754">
        <f t="shared" si="143"/>
        <v>114299293</v>
      </c>
      <c r="U1001" s="859"/>
      <c r="V1001" s="863"/>
      <c r="W1001" s="859"/>
      <c r="X1001" s="859"/>
      <c r="Y1001" s="755">
        <f t="shared" si="139"/>
        <v>0</v>
      </c>
      <c r="Z1001" s="864"/>
      <c r="AA1001" s="863"/>
      <c r="AB1001" s="756">
        <f t="shared" si="140"/>
        <v>0</v>
      </c>
      <c r="AC1001" s="859"/>
      <c r="AD1001" s="863"/>
      <c r="AE1001" s="859"/>
      <c r="AF1001" s="859"/>
      <c r="AG1001" s="864"/>
      <c r="AH1001" s="865"/>
      <c r="AI1001" s="757">
        <f t="shared" si="144"/>
        <v>108292527</v>
      </c>
      <c r="AJ1001" s="758">
        <f t="shared" si="145"/>
        <v>114299293</v>
      </c>
    </row>
    <row r="1002" spans="1:36" x14ac:dyDescent="0.2">
      <c r="A1002" s="1217" t="s">
        <v>144</v>
      </c>
      <c r="B1002" s="1218" t="s">
        <v>264</v>
      </c>
      <c r="C1002" s="1226" t="s">
        <v>1210</v>
      </c>
      <c r="D1002" s="1227" t="s">
        <v>1892</v>
      </c>
      <c r="E1002" s="1228">
        <v>138558</v>
      </c>
      <c r="F1002" s="1252">
        <v>7</v>
      </c>
      <c r="G1002" s="859">
        <v>12439122</v>
      </c>
      <c r="H1002" s="860">
        <v>13421632</v>
      </c>
      <c r="I1002" s="861"/>
      <c r="J1002" s="862"/>
      <c r="K1002" s="859"/>
      <c r="L1002" s="863"/>
      <c r="M1002" s="859">
        <v>9309859</v>
      </c>
      <c r="N1002" s="859"/>
      <c r="O1002" s="752">
        <f t="shared" si="138"/>
        <v>9309859</v>
      </c>
      <c r="P1002" s="862">
        <v>10285856</v>
      </c>
      <c r="Q1002" s="860"/>
      <c r="R1002" s="753">
        <f t="shared" si="141"/>
        <v>10285856</v>
      </c>
      <c r="S1002" s="752">
        <f t="shared" si="142"/>
        <v>21748981</v>
      </c>
      <c r="T1002" s="754">
        <f t="shared" si="143"/>
        <v>23707488</v>
      </c>
      <c r="U1002" s="859"/>
      <c r="V1002" s="863"/>
      <c r="W1002" s="859"/>
      <c r="X1002" s="859"/>
      <c r="Y1002" s="755">
        <f t="shared" si="139"/>
        <v>0</v>
      </c>
      <c r="Z1002" s="864"/>
      <c r="AA1002" s="863"/>
      <c r="AB1002" s="756">
        <f t="shared" si="140"/>
        <v>0</v>
      </c>
      <c r="AC1002" s="859"/>
      <c r="AD1002" s="863"/>
      <c r="AE1002" s="859"/>
      <c r="AF1002" s="859"/>
      <c r="AG1002" s="864"/>
      <c r="AH1002" s="865"/>
      <c r="AI1002" s="757">
        <f t="shared" si="144"/>
        <v>21748981</v>
      </c>
      <c r="AJ1002" s="758">
        <f t="shared" si="145"/>
        <v>23707488</v>
      </c>
    </row>
    <row r="1003" spans="1:36" x14ac:dyDescent="0.2">
      <c r="A1003" s="1217" t="s">
        <v>144</v>
      </c>
      <c r="B1003" s="1218" t="s">
        <v>264</v>
      </c>
      <c r="C1003" s="1226" t="s">
        <v>1802</v>
      </c>
      <c r="D1003" s="1227"/>
      <c r="E1003" s="1228">
        <v>138901</v>
      </c>
      <c r="F1003" s="1232">
        <v>9</v>
      </c>
      <c r="G1003" s="859">
        <v>8228293</v>
      </c>
      <c r="H1003" s="860">
        <v>8907405</v>
      </c>
      <c r="I1003" s="861"/>
      <c r="J1003" s="862"/>
      <c r="K1003" s="859"/>
      <c r="L1003" s="863"/>
      <c r="M1003" s="859">
        <v>8560224</v>
      </c>
      <c r="N1003" s="859"/>
      <c r="O1003" s="752">
        <f t="shared" si="138"/>
        <v>8560224</v>
      </c>
      <c r="P1003" s="862">
        <v>8559342</v>
      </c>
      <c r="Q1003" s="860"/>
      <c r="R1003" s="753">
        <f t="shared" si="141"/>
        <v>8559342</v>
      </c>
      <c r="S1003" s="752">
        <f t="shared" si="142"/>
        <v>16788517</v>
      </c>
      <c r="T1003" s="754">
        <f t="shared" si="143"/>
        <v>17466747</v>
      </c>
      <c r="U1003" s="859"/>
      <c r="V1003" s="863"/>
      <c r="W1003" s="859"/>
      <c r="X1003" s="859"/>
      <c r="Y1003" s="755">
        <f t="shared" si="139"/>
        <v>0</v>
      </c>
      <c r="Z1003" s="864"/>
      <c r="AA1003" s="863"/>
      <c r="AB1003" s="756">
        <f t="shared" si="140"/>
        <v>0</v>
      </c>
      <c r="AC1003" s="859"/>
      <c r="AD1003" s="863"/>
      <c r="AE1003" s="859"/>
      <c r="AF1003" s="859"/>
      <c r="AG1003" s="864"/>
      <c r="AH1003" s="865"/>
      <c r="AI1003" s="757">
        <f t="shared" si="144"/>
        <v>16788517</v>
      </c>
      <c r="AJ1003" s="758">
        <f t="shared" si="145"/>
        <v>17466747</v>
      </c>
    </row>
    <row r="1004" spans="1:36" x14ac:dyDescent="0.2">
      <c r="A1004" s="1217" t="s">
        <v>144</v>
      </c>
      <c r="B1004" s="1218" t="s">
        <v>264</v>
      </c>
      <c r="C1004" s="1219" t="s">
        <v>1803</v>
      </c>
      <c r="D1004" s="1230"/>
      <c r="E1004" s="1228">
        <v>139010</v>
      </c>
      <c r="F1004" s="1232">
        <v>9</v>
      </c>
      <c r="G1004" s="859">
        <v>8815059</v>
      </c>
      <c r="H1004" s="860">
        <v>10007069</v>
      </c>
      <c r="I1004" s="861"/>
      <c r="J1004" s="862"/>
      <c r="K1004" s="859"/>
      <c r="L1004" s="863"/>
      <c r="M1004" s="859">
        <v>8227330</v>
      </c>
      <c r="N1004" s="859"/>
      <c r="O1004" s="752">
        <f t="shared" si="138"/>
        <v>8227330</v>
      </c>
      <c r="P1004" s="862">
        <v>6357131</v>
      </c>
      <c r="Q1004" s="860"/>
      <c r="R1004" s="753">
        <f t="shared" si="141"/>
        <v>6357131</v>
      </c>
      <c r="S1004" s="752">
        <f t="shared" si="142"/>
        <v>17042389</v>
      </c>
      <c r="T1004" s="754">
        <f t="shared" si="143"/>
        <v>16364200</v>
      </c>
      <c r="U1004" s="859"/>
      <c r="V1004" s="863"/>
      <c r="W1004" s="859"/>
      <c r="X1004" s="859"/>
      <c r="Y1004" s="755">
        <f t="shared" si="139"/>
        <v>0</v>
      </c>
      <c r="Z1004" s="864"/>
      <c r="AA1004" s="863"/>
      <c r="AB1004" s="756">
        <f t="shared" si="140"/>
        <v>0</v>
      </c>
      <c r="AC1004" s="859"/>
      <c r="AD1004" s="863"/>
      <c r="AE1004" s="859"/>
      <c r="AF1004" s="859"/>
      <c r="AG1004" s="864"/>
      <c r="AH1004" s="865"/>
      <c r="AI1004" s="757">
        <f t="shared" si="144"/>
        <v>17042389</v>
      </c>
      <c r="AJ1004" s="758">
        <f t="shared" si="145"/>
        <v>16364200</v>
      </c>
    </row>
    <row r="1005" spans="1:36" x14ac:dyDescent="0.2">
      <c r="A1005" s="1217" t="s">
        <v>144</v>
      </c>
      <c r="B1005" s="1218" t="s">
        <v>264</v>
      </c>
      <c r="C1005" s="1219" t="s">
        <v>1211</v>
      </c>
      <c r="D1005" s="1227" t="s">
        <v>1892</v>
      </c>
      <c r="E1005" s="1228">
        <v>139250</v>
      </c>
      <c r="F1005" s="1252">
        <v>7</v>
      </c>
      <c r="G1005" s="859">
        <v>12868032</v>
      </c>
      <c r="H1005" s="860">
        <v>13958960</v>
      </c>
      <c r="I1005" s="861"/>
      <c r="J1005" s="862"/>
      <c r="K1005" s="859"/>
      <c r="L1005" s="863"/>
      <c r="M1005" s="859">
        <v>9105000</v>
      </c>
      <c r="N1005" s="859"/>
      <c r="O1005" s="752">
        <f t="shared" si="138"/>
        <v>9105000</v>
      </c>
      <c r="P1005" s="862">
        <v>8822136</v>
      </c>
      <c r="Q1005" s="860"/>
      <c r="R1005" s="753">
        <f t="shared" si="141"/>
        <v>8822136</v>
      </c>
      <c r="S1005" s="752">
        <f t="shared" si="142"/>
        <v>21973032</v>
      </c>
      <c r="T1005" s="754">
        <f t="shared" si="143"/>
        <v>22781096</v>
      </c>
      <c r="U1005" s="859"/>
      <c r="V1005" s="863"/>
      <c r="W1005" s="859"/>
      <c r="X1005" s="859"/>
      <c r="Y1005" s="755">
        <f t="shared" si="139"/>
        <v>0</v>
      </c>
      <c r="Z1005" s="864"/>
      <c r="AA1005" s="863"/>
      <c r="AB1005" s="756">
        <f t="shared" si="140"/>
        <v>0</v>
      </c>
      <c r="AC1005" s="859"/>
      <c r="AD1005" s="863"/>
      <c r="AE1005" s="859"/>
      <c r="AF1005" s="859"/>
      <c r="AG1005" s="864"/>
      <c r="AH1005" s="865"/>
      <c r="AI1005" s="757">
        <f t="shared" si="144"/>
        <v>21973032</v>
      </c>
      <c r="AJ1005" s="758">
        <f t="shared" si="145"/>
        <v>22781096</v>
      </c>
    </row>
    <row r="1006" spans="1:36" x14ac:dyDescent="0.2">
      <c r="A1006" s="1217" t="s">
        <v>144</v>
      </c>
      <c r="B1006" s="1218" t="s">
        <v>264</v>
      </c>
      <c r="C1006" s="1219" t="s">
        <v>1804</v>
      </c>
      <c r="D1006" s="1230"/>
      <c r="E1006" s="1228">
        <v>138691</v>
      </c>
      <c r="F1006" s="1232">
        <v>9</v>
      </c>
      <c r="G1006" s="859">
        <v>14155641</v>
      </c>
      <c r="H1006" s="860">
        <v>15537414</v>
      </c>
      <c r="I1006" s="861"/>
      <c r="J1006" s="862"/>
      <c r="K1006" s="859"/>
      <c r="L1006" s="863"/>
      <c r="M1006" s="859">
        <v>15995000</v>
      </c>
      <c r="N1006" s="859"/>
      <c r="O1006" s="752">
        <f t="shared" si="138"/>
        <v>15995000</v>
      </c>
      <c r="P1006" s="862">
        <v>15311335</v>
      </c>
      <c r="Q1006" s="860"/>
      <c r="R1006" s="753">
        <f t="shared" si="141"/>
        <v>15311335</v>
      </c>
      <c r="S1006" s="752">
        <f t="shared" si="142"/>
        <v>30150641</v>
      </c>
      <c r="T1006" s="754">
        <f t="shared" si="143"/>
        <v>30848749</v>
      </c>
      <c r="U1006" s="859"/>
      <c r="V1006" s="863"/>
      <c r="W1006" s="859"/>
      <c r="X1006" s="859"/>
      <c r="Y1006" s="755">
        <f t="shared" si="139"/>
        <v>0</v>
      </c>
      <c r="Z1006" s="864"/>
      <c r="AA1006" s="863"/>
      <c r="AB1006" s="756">
        <f t="shared" si="140"/>
        <v>0</v>
      </c>
      <c r="AC1006" s="859"/>
      <c r="AD1006" s="863"/>
      <c r="AE1006" s="859"/>
      <c r="AF1006" s="859"/>
      <c r="AG1006" s="864"/>
      <c r="AH1006" s="865"/>
      <c r="AI1006" s="757">
        <f t="shared" si="144"/>
        <v>30150641</v>
      </c>
      <c r="AJ1006" s="758">
        <f t="shared" si="145"/>
        <v>30848749</v>
      </c>
    </row>
    <row r="1007" spans="1:36" x14ac:dyDescent="0.2">
      <c r="A1007" s="1217" t="s">
        <v>144</v>
      </c>
      <c r="B1007" s="1218" t="s">
        <v>264</v>
      </c>
      <c r="C1007" s="1226" t="s">
        <v>1805</v>
      </c>
      <c r="D1007" s="1227"/>
      <c r="E1007" s="1228">
        <v>139621</v>
      </c>
      <c r="F1007" s="1232">
        <v>9</v>
      </c>
      <c r="G1007" s="859">
        <v>6487311</v>
      </c>
      <c r="H1007" s="860">
        <v>7617744</v>
      </c>
      <c r="I1007" s="861"/>
      <c r="J1007" s="862"/>
      <c r="K1007" s="859"/>
      <c r="L1007" s="863"/>
      <c r="M1007" s="859">
        <v>8160421</v>
      </c>
      <c r="N1007" s="859"/>
      <c r="O1007" s="752">
        <f t="shared" si="138"/>
        <v>8160421</v>
      </c>
      <c r="P1007" s="862">
        <v>7740370</v>
      </c>
      <c r="Q1007" s="860"/>
      <c r="R1007" s="753">
        <f t="shared" si="141"/>
        <v>7740370</v>
      </c>
      <c r="S1007" s="752">
        <f t="shared" si="142"/>
        <v>14647732</v>
      </c>
      <c r="T1007" s="754">
        <f t="shared" si="143"/>
        <v>15358114</v>
      </c>
      <c r="U1007" s="859"/>
      <c r="V1007" s="863"/>
      <c r="W1007" s="859"/>
      <c r="X1007" s="859"/>
      <c r="Y1007" s="755">
        <f t="shared" si="139"/>
        <v>0</v>
      </c>
      <c r="Z1007" s="864"/>
      <c r="AA1007" s="863"/>
      <c r="AB1007" s="756">
        <f t="shared" si="140"/>
        <v>0</v>
      </c>
      <c r="AC1007" s="859"/>
      <c r="AD1007" s="863"/>
      <c r="AE1007" s="859"/>
      <c r="AF1007" s="859"/>
      <c r="AG1007" s="864"/>
      <c r="AH1007" s="865"/>
      <c r="AI1007" s="757">
        <f t="shared" si="144"/>
        <v>14647732</v>
      </c>
      <c r="AJ1007" s="758">
        <f t="shared" si="145"/>
        <v>15358114</v>
      </c>
    </row>
    <row r="1008" spans="1:36" x14ac:dyDescent="0.2">
      <c r="A1008" s="1217" t="s">
        <v>144</v>
      </c>
      <c r="B1008" s="1218" t="s">
        <v>264</v>
      </c>
      <c r="C1008" s="1219" t="s">
        <v>1212</v>
      </c>
      <c r="D1008" s="1230"/>
      <c r="E1008" s="1228">
        <v>139700</v>
      </c>
      <c r="F1008" s="1233">
        <v>9</v>
      </c>
      <c r="G1008" s="859">
        <v>13435434</v>
      </c>
      <c r="H1008" s="860">
        <v>14486960</v>
      </c>
      <c r="I1008" s="861"/>
      <c r="J1008" s="862"/>
      <c r="K1008" s="859"/>
      <c r="L1008" s="863"/>
      <c r="M1008" s="859">
        <v>13565110</v>
      </c>
      <c r="N1008" s="859"/>
      <c r="O1008" s="752">
        <f t="shared" si="138"/>
        <v>13565110</v>
      </c>
      <c r="P1008" s="862">
        <v>13240770</v>
      </c>
      <c r="Q1008" s="860"/>
      <c r="R1008" s="753">
        <f t="shared" si="141"/>
        <v>13240770</v>
      </c>
      <c r="S1008" s="752">
        <f t="shared" si="142"/>
        <v>27000544</v>
      </c>
      <c r="T1008" s="754">
        <f t="shared" si="143"/>
        <v>27727730</v>
      </c>
      <c r="U1008" s="859"/>
      <c r="V1008" s="863"/>
      <c r="W1008" s="859"/>
      <c r="X1008" s="859"/>
      <c r="Y1008" s="755">
        <f t="shared" si="139"/>
        <v>0</v>
      </c>
      <c r="Z1008" s="864"/>
      <c r="AA1008" s="863"/>
      <c r="AB1008" s="756">
        <f t="shared" si="140"/>
        <v>0</v>
      </c>
      <c r="AC1008" s="859"/>
      <c r="AD1008" s="863"/>
      <c r="AE1008" s="859"/>
      <c r="AF1008" s="859"/>
      <c r="AG1008" s="864"/>
      <c r="AH1008" s="865"/>
      <c r="AI1008" s="757">
        <f t="shared" si="144"/>
        <v>27000544</v>
      </c>
      <c r="AJ1008" s="758">
        <f t="shared" si="145"/>
        <v>27727730</v>
      </c>
    </row>
    <row r="1009" spans="1:36" x14ac:dyDescent="0.2">
      <c r="A1009" s="1217" t="s">
        <v>144</v>
      </c>
      <c r="B1009" s="1218" t="s">
        <v>264</v>
      </c>
      <c r="C1009" s="1458" t="s">
        <v>1834</v>
      </c>
      <c r="D1009" s="1230"/>
      <c r="E1009" s="1456">
        <v>482699</v>
      </c>
      <c r="F1009" s="1233">
        <v>9</v>
      </c>
      <c r="G1009" s="1457">
        <v>10135837</v>
      </c>
      <c r="H1009" s="860">
        <v>11013133</v>
      </c>
      <c r="I1009" s="861"/>
      <c r="J1009" s="862"/>
      <c r="K1009" s="859"/>
      <c r="L1009" s="863"/>
      <c r="M1009" s="1457">
        <v>8003413</v>
      </c>
      <c r="N1009" s="859"/>
      <c r="O1009" s="752">
        <f t="shared" si="138"/>
        <v>8003413</v>
      </c>
      <c r="P1009" s="1506">
        <v>6910724</v>
      </c>
      <c r="Q1009" s="860"/>
      <c r="R1009" s="753">
        <f t="shared" si="141"/>
        <v>6910724</v>
      </c>
      <c r="S1009" s="752">
        <f t="shared" si="142"/>
        <v>18139250</v>
      </c>
      <c r="T1009" s="754">
        <f t="shared" si="143"/>
        <v>17923857</v>
      </c>
      <c r="U1009" s="859"/>
      <c r="V1009" s="863"/>
      <c r="W1009" s="859"/>
      <c r="X1009" s="859"/>
      <c r="Y1009" s="755">
        <f t="shared" si="139"/>
        <v>0</v>
      </c>
      <c r="Z1009" s="864"/>
      <c r="AA1009" s="863"/>
      <c r="AB1009" s="756">
        <f t="shared" si="140"/>
        <v>0</v>
      </c>
      <c r="AC1009" s="859"/>
      <c r="AD1009" s="863"/>
      <c r="AE1009" s="859"/>
      <c r="AF1009" s="859"/>
      <c r="AG1009" s="864"/>
      <c r="AH1009" s="865"/>
      <c r="AI1009" s="757">
        <f t="shared" si="144"/>
        <v>18139250</v>
      </c>
      <c r="AJ1009" s="758">
        <f t="shared" si="145"/>
        <v>17923857</v>
      </c>
    </row>
    <row r="1010" spans="1:36" x14ac:dyDescent="0.2">
      <c r="A1010" s="1217" t="s">
        <v>144</v>
      </c>
      <c r="B1010" s="1218" t="s">
        <v>302</v>
      </c>
      <c r="C1010" s="1219" t="s">
        <v>1213</v>
      </c>
      <c r="D1010" s="1220"/>
      <c r="E1010" s="1221">
        <v>141097</v>
      </c>
      <c r="F1010" s="1222">
        <v>15</v>
      </c>
      <c r="G1010" s="859"/>
      <c r="H1010" s="860"/>
      <c r="I1010" s="861"/>
      <c r="J1010" s="862"/>
      <c r="K1010" s="859"/>
      <c r="L1010" s="863"/>
      <c r="M1010" s="859"/>
      <c r="N1010" s="859"/>
      <c r="O1010" s="752">
        <f t="shared" si="138"/>
        <v>0</v>
      </c>
      <c r="P1010" s="1234"/>
      <c r="Q1010" s="860"/>
      <c r="R1010" s="753">
        <f t="shared" si="141"/>
        <v>0</v>
      </c>
      <c r="S1010" s="752">
        <f t="shared" si="142"/>
        <v>0</v>
      </c>
      <c r="T1010" s="754">
        <f t="shared" si="143"/>
        <v>0</v>
      </c>
      <c r="U1010" s="859">
        <v>19678891</v>
      </c>
      <c r="V1010" s="863">
        <v>21375236</v>
      </c>
      <c r="W1010" s="859">
        <v>34765683</v>
      </c>
      <c r="X1010" s="859"/>
      <c r="Y1010" s="755">
        <f t="shared" si="139"/>
        <v>34765683</v>
      </c>
      <c r="Z1010" s="864">
        <v>36426718</v>
      </c>
      <c r="AA1010" s="863"/>
      <c r="AB1010" s="756">
        <f t="shared" si="140"/>
        <v>36426718</v>
      </c>
      <c r="AC1010" s="859"/>
      <c r="AD1010" s="863"/>
      <c r="AE1010" s="859"/>
      <c r="AF1010" s="859"/>
      <c r="AG1010" s="864"/>
      <c r="AH1010" s="865"/>
      <c r="AI1010" s="757">
        <f t="shared" si="144"/>
        <v>54444574</v>
      </c>
      <c r="AJ1010" s="758">
        <f t="shared" si="145"/>
        <v>57801954</v>
      </c>
    </row>
    <row r="1011" spans="1:36" x14ac:dyDescent="0.2">
      <c r="A1011" s="1217" t="s">
        <v>144</v>
      </c>
      <c r="B1011" s="1218" t="s">
        <v>273</v>
      </c>
      <c r="C1011" s="1235" t="s">
        <v>787</v>
      </c>
      <c r="D1011" s="1220"/>
      <c r="E1011" s="1221"/>
      <c r="F1011" s="1222"/>
      <c r="G1011" s="859"/>
      <c r="H1011" s="860"/>
      <c r="I1011" s="861"/>
      <c r="J1011" s="862"/>
      <c r="K1011" s="859"/>
      <c r="L1011" s="863"/>
      <c r="M1011" s="859"/>
      <c r="N1011" s="859"/>
      <c r="O1011" s="752">
        <f t="shared" si="138"/>
        <v>0</v>
      </c>
      <c r="P1011" s="862"/>
      <c r="Q1011" s="860"/>
      <c r="R1011" s="753">
        <f t="shared" si="141"/>
        <v>0</v>
      </c>
      <c r="S1011" s="752">
        <f t="shared" si="142"/>
        <v>0</v>
      </c>
      <c r="T1011" s="754">
        <f t="shared" si="143"/>
        <v>0</v>
      </c>
      <c r="U1011" s="859"/>
      <c r="V1011" s="863"/>
      <c r="W1011" s="859"/>
      <c r="X1011" s="859"/>
      <c r="Y1011" s="755">
        <f t="shared" si="139"/>
        <v>0</v>
      </c>
      <c r="Z1011" s="864"/>
      <c r="AA1011" s="863"/>
      <c r="AB1011" s="756">
        <f t="shared" si="140"/>
        <v>0</v>
      </c>
      <c r="AC1011" s="859"/>
      <c r="AD1011" s="863"/>
      <c r="AE1011" s="859"/>
      <c r="AF1011" s="859"/>
      <c r="AG1011" s="864"/>
      <c r="AH1011" s="865"/>
      <c r="AI1011" s="757">
        <f t="shared" si="144"/>
        <v>0</v>
      </c>
      <c r="AJ1011" s="758">
        <f t="shared" si="145"/>
        <v>0</v>
      </c>
    </row>
    <row r="1012" spans="1:36" x14ac:dyDescent="0.2">
      <c r="A1012" s="1217" t="s">
        <v>144</v>
      </c>
      <c r="B1012" s="1218" t="s">
        <v>278</v>
      </c>
      <c r="C1012" s="1223" t="s">
        <v>309</v>
      </c>
      <c r="D1012" s="1224"/>
      <c r="E1012" s="1221"/>
      <c r="F1012" s="1222"/>
      <c r="G1012" s="859"/>
      <c r="H1012" s="860"/>
      <c r="I1012" s="861"/>
      <c r="J1012" s="862"/>
      <c r="K1012" s="859"/>
      <c r="L1012" s="863"/>
      <c r="M1012" s="859"/>
      <c r="N1012" s="859"/>
      <c r="O1012" s="752">
        <f t="shared" si="138"/>
        <v>0</v>
      </c>
      <c r="P1012" s="862"/>
      <c r="Q1012" s="860"/>
      <c r="R1012" s="753">
        <f t="shared" si="141"/>
        <v>0</v>
      </c>
      <c r="S1012" s="752">
        <f t="shared" si="142"/>
        <v>0</v>
      </c>
      <c r="T1012" s="754">
        <f t="shared" si="143"/>
        <v>0</v>
      </c>
      <c r="U1012" s="859"/>
      <c r="V1012" s="863"/>
      <c r="W1012" s="859"/>
      <c r="X1012" s="859"/>
      <c r="Y1012" s="755">
        <f t="shared" si="139"/>
        <v>0</v>
      </c>
      <c r="Z1012" s="864"/>
      <c r="AA1012" s="863"/>
      <c r="AB1012" s="756">
        <f t="shared" si="140"/>
        <v>0</v>
      </c>
      <c r="AC1012" s="859"/>
      <c r="AD1012" s="863"/>
      <c r="AE1012" s="859"/>
      <c r="AF1012" s="859"/>
      <c r="AG1012" s="864"/>
      <c r="AH1012" s="865"/>
      <c r="AI1012" s="757">
        <f t="shared" si="144"/>
        <v>0</v>
      </c>
      <c r="AJ1012" s="758">
        <f t="shared" si="145"/>
        <v>0</v>
      </c>
    </row>
    <row r="1013" spans="1:36" x14ac:dyDescent="0.2">
      <c r="A1013" s="1217" t="s">
        <v>144</v>
      </c>
      <c r="B1013" s="1218" t="s">
        <v>278</v>
      </c>
      <c r="C1013" s="1225" t="s">
        <v>1214</v>
      </c>
      <c r="D1013" s="1224"/>
      <c r="E1013" s="1221"/>
      <c r="F1013" s="1222"/>
      <c r="G1013" s="859"/>
      <c r="H1013" s="860"/>
      <c r="I1013" s="861"/>
      <c r="J1013" s="862">
        <v>4151428</v>
      </c>
      <c r="K1013" s="859"/>
      <c r="L1013" s="863"/>
      <c r="M1013" s="859"/>
      <c r="N1013" s="859"/>
      <c r="O1013" s="752">
        <f t="shared" si="138"/>
        <v>0</v>
      </c>
      <c r="P1013" s="862"/>
      <c r="Q1013" s="860"/>
      <c r="R1013" s="753">
        <f t="shared" si="141"/>
        <v>0</v>
      </c>
      <c r="S1013" s="752">
        <f t="shared" si="142"/>
        <v>0</v>
      </c>
      <c r="T1013" s="754">
        <f t="shared" si="143"/>
        <v>4151428</v>
      </c>
      <c r="U1013" s="859"/>
      <c r="V1013" s="863"/>
      <c r="W1013" s="859"/>
      <c r="X1013" s="859"/>
      <c r="Y1013" s="755">
        <f t="shared" si="139"/>
        <v>0</v>
      </c>
      <c r="Z1013" s="864"/>
      <c r="AA1013" s="863"/>
      <c r="AB1013" s="756">
        <f t="shared" si="140"/>
        <v>0</v>
      </c>
      <c r="AC1013" s="859"/>
      <c r="AD1013" s="863"/>
      <c r="AE1013" s="859"/>
      <c r="AF1013" s="859"/>
      <c r="AG1013" s="864"/>
      <c r="AH1013" s="865"/>
      <c r="AI1013" s="757">
        <f t="shared" si="144"/>
        <v>0</v>
      </c>
      <c r="AJ1013" s="758">
        <f t="shared" si="145"/>
        <v>4151428</v>
      </c>
    </row>
    <row r="1014" spans="1:36" x14ac:dyDescent="0.2">
      <c r="A1014" s="1217" t="s">
        <v>144</v>
      </c>
      <c r="B1014" s="1218" t="s">
        <v>278</v>
      </c>
      <c r="C1014" s="1225" t="s">
        <v>1215</v>
      </c>
      <c r="D1014" s="1224"/>
      <c r="E1014" s="1221"/>
      <c r="F1014" s="1222"/>
      <c r="G1014" s="859"/>
      <c r="H1014" s="860"/>
      <c r="I1014" s="861"/>
      <c r="J1014" s="862">
        <v>31497624</v>
      </c>
      <c r="K1014" s="859"/>
      <c r="L1014" s="863"/>
      <c r="M1014" s="859"/>
      <c r="N1014" s="859"/>
      <c r="O1014" s="752">
        <f t="shared" si="138"/>
        <v>0</v>
      </c>
      <c r="P1014" s="862"/>
      <c r="Q1014" s="860"/>
      <c r="R1014" s="753">
        <f t="shared" si="141"/>
        <v>0</v>
      </c>
      <c r="S1014" s="752">
        <f t="shared" si="142"/>
        <v>0</v>
      </c>
      <c r="T1014" s="754">
        <f t="shared" si="143"/>
        <v>31497624</v>
      </c>
      <c r="U1014" s="859"/>
      <c r="V1014" s="863"/>
      <c r="W1014" s="859"/>
      <c r="X1014" s="859"/>
      <c r="Y1014" s="755">
        <f t="shared" si="139"/>
        <v>0</v>
      </c>
      <c r="Z1014" s="864"/>
      <c r="AA1014" s="863"/>
      <c r="AB1014" s="756">
        <f t="shared" si="140"/>
        <v>0</v>
      </c>
      <c r="AC1014" s="859"/>
      <c r="AD1014" s="863"/>
      <c r="AE1014" s="859"/>
      <c r="AF1014" s="859"/>
      <c r="AG1014" s="864"/>
      <c r="AH1014" s="865"/>
      <c r="AI1014" s="757">
        <f t="shared" si="144"/>
        <v>0</v>
      </c>
      <c r="AJ1014" s="758">
        <f t="shared" si="145"/>
        <v>31497624</v>
      </c>
    </row>
    <row r="1015" spans="1:36" x14ac:dyDescent="0.2">
      <c r="A1015" s="1217" t="s">
        <v>144</v>
      </c>
      <c r="B1015" s="1218" t="s">
        <v>303</v>
      </c>
      <c r="C1015" s="1235" t="s">
        <v>698</v>
      </c>
      <c r="D1015" s="1220"/>
      <c r="E1015" s="1236"/>
      <c r="F1015" s="1237"/>
      <c r="G1015" s="859"/>
      <c r="H1015" s="860"/>
      <c r="I1015" s="861"/>
      <c r="J1015" s="862"/>
      <c r="K1015" s="859"/>
      <c r="L1015" s="863"/>
      <c r="M1015" s="859"/>
      <c r="N1015" s="859"/>
      <c r="O1015" s="752">
        <f t="shared" si="138"/>
        <v>0</v>
      </c>
      <c r="P1015" s="862"/>
      <c r="Q1015" s="860"/>
      <c r="R1015" s="753">
        <f t="shared" si="141"/>
        <v>0</v>
      </c>
      <c r="S1015" s="752">
        <f t="shared" si="142"/>
        <v>0</v>
      </c>
      <c r="T1015" s="754">
        <f t="shared" si="143"/>
        <v>0</v>
      </c>
      <c r="U1015" s="859"/>
      <c r="V1015" s="863"/>
      <c r="W1015" s="859"/>
      <c r="X1015" s="859"/>
      <c r="Y1015" s="755">
        <f t="shared" si="139"/>
        <v>0</v>
      </c>
      <c r="Z1015" s="864"/>
      <c r="AA1015" s="863"/>
      <c r="AB1015" s="756">
        <f t="shared" si="140"/>
        <v>0</v>
      </c>
      <c r="AC1015" s="859"/>
      <c r="AD1015" s="863"/>
      <c r="AE1015" s="859"/>
      <c r="AF1015" s="859"/>
      <c r="AG1015" s="864"/>
      <c r="AH1015" s="865"/>
      <c r="AI1015" s="757">
        <f t="shared" si="144"/>
        <v>0</v>
      </c>
      <c r="AJ1015" s="758">
        <f t="shared" si="145"/>
        <v>0</v>
      </c>
    </row>
    <row r="1016" spans="1:36" x14ac:dyDescent="0.2">
      <c r="A1016" s="1217" t="s">
        <v>144</v>
      </c>
      <c r="B1016" s="1218" t="s">
        <v>303</v>
      </c>
      <c r="C1016" s="1225" t="s">
        <v>1216</v>
      </c>
      <c r="D1016" s="1224"/>
      <c r="E1016" s="1236"/>
      <c r="F1016" s="1237"/>
      <c r="G1016" s="859"/>
      <c r="H1016" s="860"/>
      <c r="I1016" s="861">
        <v>2534532</v>
      </c>
      <c r="J1016" s="912">
        <v>0</v>
      </c>
      <c r="K1016" s="859"/>
      <c r="L1016" s="863"/>
      <c r="M1016" s="859"/>
      <c r="N1016" s="859"/>
      <c r="O1016" s="752">
        <f t="shared" si="138"/>
        <v>0</v>
      </c>
      <c r="P1016" s="862"/>
      <c r="Q1016" s="860"/>
      <c r="R1016" s="753">
        <f t="shared" si="141"/>
        <v>0</v>
      </c>
      <c r="S1016" s="752">
        <f t="shared" si="142"/>
        <v>2534532</v>
      </c>
      <c r="T1016" s="754">
        <f t="shared" si="143"/>
        <v>0</v>
      </c>
      <c r="U1016" s="859"/>
      <c r="V1016" s="863"/>
      <c r="W1016" s="859"/>
      <c r="X1016" s="859"/>
      <c r="Y1016" s="755">
        <f t="shared" si="139"/>
        <v>0</v>
      </c>
      <c r="Z1016" s="864"/>
      <c r="AA1016" s="863"/>
      <c r="AB1016" s="756">
        <f t="shared" si="140"/>
        <v>0</v>
      </c>
      <c r="AC1016" s="859"/>
      <c r="AD1016" s="863"/>
      <c r="AE1016" s="859"/>
      <c r="AF1016" s="859"/>
      <c r="AG1016" s="864"/>
      <c r="AH1016" s="865"/>
      <c r="AI1016" s="757">
        <f t="shared" si="144"/>
        <v>2534532</v>
      </c>
      <c r="AJ1016" s="758">
        <f t="shared" si="145"/>
        <v>0</v>
      </c>
    </row>
    <row r="1017" spans="1:36" x14ac:dyDescent="0.2">
      <c r="A1017" s="1217" t="s">
        <v>144</v>
      </c>
      <c r="B1017" s="1218" t="s">
        <v>303</v>
      </c>
      <c r="C1017" s="1225" t="s">
        <v>1217</v>
      </c>
      <c r="D1017" s="1224"/>
      <c r="E1017" s="1236"/>
      <c r="F1017" s="1237"/>
      <c r="G1017" s="859"/>
      <c r="H1017" s="860"/>
      <c r="I1017" s="861">
        <v>27078727</v>
      </c>
      <c r="J1017" s="862">
        <v>27116683</v>
      </c>
      <c r="K1017" s="859"/>
      <c r="L1017" s="863"/>
      <c r="M1017" s="859"/>
      <c r="N1017" s="859"/>
      <c r="O1017" s="752">
        <f t="shared" si="138"/>
        <v>0</v>
      </c>
      <c r="P1017" s="862"/>
      <c r="Q1017" s="860"/>
      <c r="R1017" s="753">
        <f t="shared" si="141"/>
        <v>0</v>
      </c>
      <c r="S1017" s="752">
        <f t="shared" si="142"/>
        <v>27078727</v>
      </c>
      <c r="T1017" s="754">
        <f t="shared" si="143"/>
        <v>27116683</v>
      </c>
      <c r="U1017" s="859"/>
      <c r="V1017" s="863"/>
      <c r="W1017" s="859"/>
      <c r="X1017" s="859"/>
      <c r="Y1017" s="755">
        <f t="shared" si="139"/>
        <v>0</v>
      </c>
      <c r="Z1017" s="864"/>
      <c r="AA1017" s="863"/>
      <c r="AB1017" s="756">
        <f t="shared" si="140"/>
        <v>0</v>
      </c>
      <c r="AC1017" s="859"/>
      <c r="AD1017" s="863"/>
      <c r="AE1017" s="859"/>
      <c r="AF1017" s="859"/>
      <c r="AG1017" s="864"/>
      <c r="AH1017" s="865"/>
      <c r="AI1017" s="757">
        <f t="shared" si="144"/>
        <v>27078727</v>
      </c>
      <c r="AJ1017" s="758">
        <f t="shared" si="145"/>
        <v>27116683</v>
      </c>
    </row>
    <row r="1018" spans="1:36" x14ac:dyDescent="0.2">
      <c r="A1018" s="1217" t="s">
        <v>144</v>
      </c>
      <c r="B1018" s="1218" t="s">
        <v>303</v>
      </c>
      <c r="C1018" s="1225" t="s">
        <v>1218</v>
      </c>
      <c r="D1018" s="1224"/>
      <c r="E1018" s="1236"/>
      <c r="F1018" s="1237"/>
      <c r="G1018" s="859"/>
      <c r="H1018" s="860"/>
      <c r="I1018" s="861">
        <v>8537120</v>
      </c>
      <c r="J1018" s="862">
        <v>8718211</v>
      </c>
      <c r="K1018" s="859"/>
      <c r="L1018" s="863"/>
      <c r="M1018" s="859"/>
      <c r="N1018" s="859"/>
      <c r="O1018" s="752">
        <f t="shared" si="138"/>
        <v>0</v>
      </c>
      <c r="P1018" s="862"/>
      <c r="Q1018" s="860"/>
      <c r="R1018" s="753">
        <f t="shared" si="141"/>
        <v>0</v>
      </c>
      <c r="S1018" s="752">
        <f t="shared" si="142"/>
        <v>8537120</v>
      </c>
      <c r="T1018" s="754">
        <f t="shared" si="143"/>
        <v>8718211</v>
      </c>
      <c r="U1018" s="859"/>
      <c r="V1018" s="863"/>
      <c r="W1018" s="859"/>
      <c r="X1018" s="859"/>
      <c r="Y1018" s="755">
        <f t="shared" si="139"/>
        <v>0</v>
      </c>
      <c r="Z1018" s="864"/>
      <c r="AA1018" s="863"/>
      <c r="AB1018" s="756">
        <f t="shared" si="140"/>
        <v>0</v>
      </c>
      <c r="AC1018" s="859"/>
      <c r="AD1018" s="863"/>
      <c r="AE1018" s="859"/>
      <c r="AF1018" s="859"/>
      <c r="AG1018" s="864"/>
      <c r="AH1018" s="865"/>
      <c r="AI1018" s="757">
        <f t="shared" si="144"/>
        <v>8537120</v>
      </c>
      <c r="AJ1018" s="758">
        <f t="shared" si="145"/>
        <v>8718211</v>
      </c>
    </row>
    <row r="1019" spans="1:36" x14ac:dyDescent="0.2">
      <c r="A1019" s="1217" t="s">
        <v>144</v>
      </c>
      <c r="B1019" s="1218" t="s">
        <v>303</v>
      </c>
      <c r="C1019" s="1225" t="s">
        <v>1219</v>
      </c>
      <c r="D1019" s="1224"/>
      <c r="E1019" s="1236"/>
      <c r="F1019" s="1237"/>
      <c r="G1019" s="859"/>
      <c r="H1019" s="860"/>
      <c r="I1019" s="861">
        <v>15521908</v>
      </c>
      <c r="J1019" s="862">
        <v>25551107</v>
      </c>
      <c r="K1019" s="859"/>
      <c r="L1019" s="863"/>
      <c r="M1019" s="859"/>
      <c r="N1019" s="859"/>
      <c r="O1019" s="752">
        <f t="shared" si="138"/>
        <v>0</v>
      </c>
      <c r="P1019" s="862"/>
      <c r="Q1019" s="860"/>
      <c r="R1019" s="753">
        <f t="shared" si="141"/>
        <v>0</v>
      </c>
      <c r="S1019" s="752">
        <f t="shared" si="142"/>
        <v>15521908</v>
      </c>
      <c r="T1019" s="754">
        <f t="shared" si="143"/>
        <v>25551107</v>
      </c>
      <c r="U1019" s="859"/>
      <c r="V1019" s="863"/>
      <c r="W1019" s="859"/>
      <c r="X1019" s="859"/>
      <c r="Y1019" s="755">
        <f t="shared" si="139"/>
        <v>0</v>
      </c>
      <c r="Z1019" s="864"/>
      <c r="AA1019" s="863"/>
      <c r="AB1019" s="756">
        <f t="shared" si="140"/>
        <v>0</v>
      </c>
      <c r="AC1019" s="859"/>
      <c r="AD1019" s="863"/>
      <c r="AE1019" s="859"/>
      <c r="AF1019" s="859"/>
      <c r="AG1019" s="864"/>
      <c r="AH1019" s="865"/>
      <c r="AI1019" s="757">
        <f t="shared" si="144"/>
        <v>15521908</v>
      </c>
      <c r="AJ1019" s="758">
        <f t="shared" si="145"/>
        <v>25551107</v>
      </c>
    </row>
    <row r="1020" spans="1:36" x14ac:dyDescent="0.2">
      <c r="A1020" s="1217" t="s">
        <v>144</v>
      </c>
      <c r="B1020" s="1218" t="s">
        <v>281</v>
      </c>
      <c r="C1020" s="1235" t="s">
        <v>109</v>
      </c>
      <c r="D1020" s="1220"/>
      <c r="E1020" s="1221"/>
      <c r="F1020" s="1222"/>
      <c r="G1020" s="859"/>
      <c r="H1020" s="860"/>
      <c r="I1020" s="861"/>
      <c r="J1020" s="862"/>
      <c r="K1020" s="859"/>
      <c r="L1020" s="863"/>
      <c r="M1020" s="859"/>
      <c r="N1020" s="859"/>
      <c r="O1020" s="752">
        <f t="shared" si="138"/>
        <v>0</v>
      </c>
      <c r="P1020" s="862"/>
      <c r="Q1020" s="860"/>
      <c r="R1020" s="753">
        <f t="shared" si="141"/>
        <v>0</v>
      </c>
      <c r="S1020" s="752">
        <f t="shared" si="142"/>
        <v>0</v>
      </c>
      <c r="T1020" s="754">
        <f t="shared" si="143"/>
        <v>0</v>
      </c>
      <c r="U1020" s="859"/>
      <c r="V1020" s="863"/>
      <c r="W1020" s="859"/>
      <c r="X1020" s="859"/>
      <c r="Y1020" s="755">
        <f t="shared" si="139"/>
        <v>0</v>
      </c>
      <c r="Z1020" s="864"/>
      <c r="AA1020" s="863"/>
      <c r="AB1020" s="756">
        <f t="shared" si="140"/>
        <v>0</v>
      </c>
      <c r="AC1020" s="859"/>
      <c r="AD1020" s="863"/>
      <c r="AE1020" s="859"/>
      <c r="AF1020" s="859"/>
      <c r="AG1020" s="864"/>
      <c r="AH1020" s="865"/>
      <c r="AI1020" s="757">
        <f t="shared" si="144"/>
        <v>0</v>
      </c>
      <c r="AJ1020" s="758">
        <f t="shared" si="145"/>
        <v>0</v>
      </c>
    </row>
    <row r="1021" spans="1:36" x14ac:dyDescent="0.2">
      <c r="A1021" s="1217" t="s">
        <v>144</v>
      </c>
      <c r="B1021" s="1218" t="s">
        <v>282</v>
      </c>
      <c r="C1021" s="1223" t="s">
        <v>140</v>
      </c>
      <c r="D1021" s="1224"/>
      <c r="E1021" s="1221"/>
      <c r="F1021" s="1222"/>
      <c r="G1021" s="859"/>
      <c r="H1021" s="860"/>
      <c r="I1021" s="861"/>
      <c r="J1021" s="862"/>
      <c r="K1021" s="859"/>
      <c r="L1021" s="863"/>
      <c r="M1021" s="859"/>
      <c r="N1021" s="859"/>
      <c r="O1021" s="752">
        <f t="shared" si="138"/>
        <v>0</v>
      </c>
      <c r="P1021" s="862"/>
      <c r="Q1021" s="860"/>
      <c r="R1021" s="753">
        <f t="shared" si="141"/>
        <v>0</v>
      </c>
      <c r="S1021" s="752">
        <f t="shared" si="142"/>
        <v>0</v>
      </c>
      <c r="T1021" s="754">
        <f t="shared" si="143"/>
        <v>0</v>
      </c>
      <c r="U1021" s="859"/>
      <c r="V1021" s="863"/>
      <c r="W1021" s="859"/>
      <c r="X1021" s="859"/>
      <c r="Y1021" s="755">
        <f t="shared" si="139"/>
        <v>0</v>
      </c>
      <c r="Z1021" s="864"/>
      <c r="AA1021" s="863"/>
      <c r="AB1021" s="756">
        <f t="shared" si="140"/>
        <v>0</v>
      </c>
      <c r="AC1021" s="859"/>
      <c r="AD1021" s="863"/>
      <c r="AE1021" s="859"/>
      <c r="AF1021" s="859"/>
      <c r="AG1021" s="864"/>
      <c r="AH1021" s="865"/>
      <c r="AI1021" s="757">
        <f t="shared" si="144"/>
        <v>0</v>
      </c>
      <c r="AJ1021" s="758">
        <f t="shared" si="145"/>
        <v>0</v>
      </c>
    </row>
    <row r="1022" spans="1:36" x14ac:dyDescent="0.2">
      <c r="A1022" s="1217" t="s">
        <v>144</v>
      </c>
      <c r="B1022" s="1218" t="s">
        <v>282</v>
      </c>
      <c r="C1022" s="1225" t="s">
        <v>1220</v>
      </c>
      <c r="D1022" s="1224"/>
      <c r="E1022" s="1236"/>
      <c r="F1022" s="1237"/>
      <c r="G1022" s="859"/>
      <c r="H1022" s="860"/>
      <c r="I1022" s="861"/>
      <c r="J1022" s="862"/>
      <c r="K1022" s="859"/>
      <c r="L1022" s="863"/>
      <c r="M1022" s="859"/>
      <c r="N1022" s="859"/>
      <c r="O1022" s="752">
        <f t="shared" si="138"/>
        <v>0</v>
      </c>
      <c r="P1022" s="862"/>
      <c r="Q1022" s="860"/>
      <c r="R1022" s="753">
        <f t="shared" si="141"/>
        <v>0</v>
      </c>
      <c r="S1022" s="752">
        <f t="shared" si="142"/>
        <v>0</v>
      </c>
      <c r="T1022" s="754">
        <f t="shared" si="143"/>
        <v>0</v>
      </c>
      <c r="U1022" s="859">
        <v>6890349</v>
      </c>
      <c r="V1022" s="863">
        <v>7190038</v>
      </c>
      <c r="W1022" s="859"/>
      <c r="X1022" s="859"/>
      <c r="Y1022" s="755">
        <f t="shared" si="139"/>
        <v>0</v>
      </c>
      <c r="Z1022" s="864"/>
      <c r="AA1022" s="863"/>
      <c r="AB1022" s="756">
        <f t="shared" si="140"/>
        <v>0</v>
      </c>
      <c r="AC1022" s="859"/>
      <c r="AD1022" s="863"/>
      <c r="AE1022" s="859"/>
      <c r="AF1022" s="859"/>
      <c r="AG1022" s="864"/>
      <c r="AH1022" s="865"/>
      <c r="AI1022" s="757">
        <f t="shared" si="144"/>
        <v>6890349</v>
      </c>
      <c r="AJ1022" s="758">
        <f t="shared" si="145"/>
        <v>7190038</v>
      </c>
    </row>
    <row r="1023" spans="1:36" x14ac:dyDescent="0.2">
      <c r="A1023" s="1217" t="s">
        <v>144</v>
      </c>
      <c r="B1023" s="1218" t="s">
        <v>284</v>
      </c>
      <c r="C1023" s="1223" t="s">
        <v>138</v>
      </c>
      <c r="D1023" s="1224"/>
      <c r="E1023" s="1236"/>
      <c r="F1023" s="1222"/>
      <c r="G1023" s="859"/>
      <c r="H1023" s="860"/>
      <c r="I1023" s="861"/>
      <c r="J1023" s="862"/>
      <c r="K1023" s="859"/>
      <c r="L1023" s="863"/>
      <c r="M1023" s="859"/>
      <c r="N1023" s="859"/>
      <c r="O1023" s="752">
        <f t="shared" si="138"/>
        <v>0</v>
      </c>
      <c r="P1023" s="862"/>
      <c r="Q1023" s="860"/>
      <c r="R1023" s="753">
        <f t="shared" si="141"/>
        <v>0</v>
      </c>
      <c r="S1023" s="752">
        <f t="shared" si="142"/>
        <v>0</v>
      </c>
      <c r="T1023" s="754">
        <f t="shared" si="143"/>
        <v>0</v>
      </c>
      <c r="U1023" s="859"/>
      <c r="V1023" s="863"/>
      <c r="W1023" s="859"/>
      <c r="X1023" s="859"/>
      <c r="Y1023" s="755">
        <f t="shared" si="139"/>
        <v>0</v>
      </c>
      <c r="Z1023" s="864"/>
      <c r="AA1023" s="863"/>
      <c r="AB1023" s="756">
        <f t="shared" si="140"/>
        <v>0</v>
      </c>
      <c r="AC1023" s="859"/>
      <c r="AD1023" s="863"/>
      <c r="AE1023" s="859"/>
      <c r="AF1023" s="859"/>
      <c r="AG1023" s="864"/>
      <c r="AH1023" s="865"/>
      <c r="AI1023" s="757">
        <f t="shared" si="144"/>
        <v>0</v>
      </c>
      <c r="AJ1023" s="758">
        <f t="shared" si="145"/>
        <v>0</v>
      </c>
    </row>
    <row r="1024" spans="1:36" x14ac:dyDescent="0.2">
      <c r="A1024" s="1217" t="s">
        <v>144</v>
      </c>
      <c r="B1024" s="1218" t="s">
        <v>284</v>
      </c>
      <c r="C1024" s="1238" t="s">
        <v>703</v>
      </c>
      <c r="D1024" s="1239"/>
      <c r="E1024" s="1236"/>
      <c r="F1024" s="1222"/>
      <c r="G1024" s="859"/>
      <c r="H1024" s="860"/>
      <c r="I1024" s="861"/>
      <c r="J1024" s="862"/>
      <c r="K1024" s="859"/>
      <c r="L1024" s="863"/>
      <c r="M1024" s="859"/>
      <c r="N1024" s="859"/>
      <c r="O1024" s="752">
        <f t="shared" si="138"/>
        <v>0</v>
      </c>
      <c r="P1024" s="862"/>
      <c r="Q1024" s="860"/>
      <c r="R1024" s="753">
        <f t="shared" si="141"/>
        <v>0</v>
      </c>
      <c r="S1024" s="752">
        <f t="shared" si="142"/>
        <v>0</v>
      </c>
      <c r="T1024" s="754">
        <f t="shared" si="143"/>
        <v>0</v>
      </c>
      <c r="U1024" s="859">
        <v>193550</v>
      </c>
      <c r="V1024" s="863">
        <v>193550</v>
      </c>
      <c r="W1024" s="859"/>
      <c r="X1024" s="859"/>
      <c r="Y1024" s="755">
        <f t="shared" si="139"/>
        <v>0</v>
      </c>
      <c r="Z1024" s="864"/>
      <c r="AA1024" s="863"/>
      <c r="AB1024" s="756">
        <f t="shared" si="140"/>
        <v>0</v>
      </c>
      <c r="AC1024" s="859"/>
      <c r="AD1024" s="863"/>
      <c r="AE1024" s="859"/>
      <c r="AF1024" s="859"/>
      <c r="AG1024" s="864"/>
      <c r="AH1024" s="865"/>
      <c r="AI1024" s="757">
        <f t="shared" si="144"/>
        <v>193550</v>
      </c>
      <c r="AJ1024" s="758">
        <f t="shared" si="145"/>
        <v>193550</v>
      </c>
    </row>
    <row r="1025" spans="1:36" x14ac:dyDescent="0.2">
      <c r="A1025" s="1217" t="s">
        <v>144</v>
      </c>
      <c r="B1025" s="1218" t="s">
        <v>284</v>
      </c>
      <c r="C1025" s="1238" t="s">
        <v>1221</v>
      </c>
      <c r="D1025" s="1239"/>
      <c r="E1025" s="1236"/>
      <c r="F1025" s="1222"/>
      <c r="G1025" s="859"/>
      <c r="H1025" s="860"/>
      <c r="I1025" s="861"/>
      <c r="J1025" s="862"/>
      <c r="K1025" s="859"/>
      <c r="L1025" s="863"/>
      <c r="M1025" s="859"/>
      <c r="N1025" s="859"/>
      <c r="O1025" s="752">
        <f t="shared" si="138"/>
        <v>0</v>
      </c>
      <c r="P1025" s="862"/>
      <c r="Q1025" s="860"/>
      <c r="R1025" s="753">
        <f t="shared" si="141"/>
        <v>0</v>
      </c>
      <c r="S1025" s="752">
        <f t="shared" si="142"/>
        <v>0</v>
      </c>
      <c r="T1025" s="754">
        <f t="shared" si="143"/>
        <v>0</v>
      </c>
      <c r="U1025" s="859">
        <v>500000</v>
      </c>
      <c r="V1025" s="863">
        <v>498000</v>
      </c>
      <c r="W1025" s="859"/>
      <c r="X1025" s="859"/>
      <c r="Y1025" s="755">
        <f t="shared" si="139"/>
        <v>0</v>
      </c>
      <c r="Z1025" s="864"/>
      <c r="AA1025" s="863"/>
      <c r="AB1025" s="756">
        <f t="shared" si="140"/>
        <v>0</v>
      </c>
      <c r="AC1025" s="859"/>
      <c r="AD1025" s="863"/>
      <c r="AE1025" s="859"/>
      <c r="AF1025" s="859"/>
      <c r="AG1025" s="864"/>
      <c r="AH1025" s="865"/>
      <c r="AI1025" s="757">
        <f t="shared" si="144"/>
        <v>500000</v>
      </c>
      <c r="AJ1025" s="758">
        <f t="shared" si="145"/>
        <v>498000</v>
      </c>
    </row>
    <row r="1026" spans="1:36" x14ac:dyDescent="0.2">
      <c r="A1026" s="1217" t="s">
        <v>144</v>
      </c>
      <c r="B1026" s="1218" t="s">
        <v>285</v>
      </c>
      <c r="C1026" s="1223" t="s">
        <v>646</v>
      </c>
      <c r="D1026" s="1224"/>
      <c r="E1026" s="1240"/>
      <c r="F1026" s="1222"/>
      <c r="G1026" s="859"/>
      <c r="H1026" s="860"/>
      <c r="I1026" s="861"/>
      <c r="J1026" s="862"/>
      <c r="K1026" s="859"/>
      <c r="L1026" s="863"/>
      <c r="M1026" s="859"/>
      <c r="N1026" s="859"/>
      <c r="O1026" s="752">
        <f t="shared" si="138"/>
        <v>0</v>
      </c>
      <c r="P1026" s="862"/>
      <c r="Q1026" s="860"/>
      <c r="R1026" s="753">
        <f t="shared" si="141"/>
        <v>0</v>
      </c>
      <c r="S1026" s="752">
        <f t="shared" si="142"/>
        <v>0</v>
      </c>
      <c r="T1026" s="754">
        <f t="shared" si="143"/>
        <v>0</v>
      </c>
      <c r="U1026" s="859"/>
      <c r="V1026" s="863"/>
      <c r="W1026" s="859"/>
      <c r="X1026" s="859"/>
      <c r="Y1026" s="755">
        <f t="shared" si="139"/>
        <v>0</v>
      </c>
      <c r="Z1026" s="864"/>
      <c r="AA1026" s="863"/>
      <c r="AB1026" s="756">
        <f t="shared" si="140"/>
        <v>0</v>
      </c>
      <c r="AC1026" s="859"/>
      <c r="AD1026" s="863"/>
      <c r="AE1026" s="859"/>
      <c r="AF1026" s="859"/>
      <c r="AG1026" s="864"/>
      <c r="AH1026" s="865"/>
      <c r="AI1026" s="757">
        <f t="shared" si="144"/>
        <v>0</v>
      </c>
      <c r="AJ1026" s="758">
        <f t="shared" si="145"/>
        <v>0</v>
      </c>
    </row>
    <row r="1027" spans="1:36" x14ac:dyDescent="0.2">
      <c r="A1027" s="1217" t="s">
        <v>144</v>
      </c>
      <c r="B1027" s="1218" t="s">
        <v>285</v>
      </c>
      <c r="C1027" s="1225" t="s">
        <v>1222</v>
      </c>
      <c r="D1027" s="1224"/>
      <c r="E1027" s="1240"/>
      <c r="F1027" s="1237"/>
      <c r="G1027" s="859"/>
      <c r="H1027" s="860"/>
      <c r="I1027" s="861"/>
      <c r="J1027" s="862"/>
      <c r="K1027" s="859"/>
      <c r="L1027" s="863"/>
      <c r="M1027" s="859"/>
      <c r="N1027" s="859"/>
      <c r="O1027" s="752">
        <f t="shared" si="138"/>
        <v>0</v>
      </c>
      <c r="P1027" s="862"/>
      <c r="Q1027" s="860"/>
      <c r="R1027" s="753">
        <f t="shared" si="141"/>
        <v>0</v>
      </c>
      <c r="S1027" s="752">
        <f t="shared" si="142"/>
        <v>0</v>
      </c>
      <c r="T1027" s="754">
        <f t="shared" si="143"/>
        <v>0</v>
      </c>
      <c r="U1027" s="859"/>
      <c r="V1027" s="863"/>
      <c r="W1027" s="859"/>
      <c r="X1027" s="859"/>
      <c r="Y1027" s="755">
        <f t="shared" si="139"/>
        <v>0</v>
      </c>
      <c r="Z1027" s="864"/>
      <c r="AA1027" s="863"/>
      <c r="AB1027" s="756">
        <f t="shared" si="140"/>
        <v>0</v>
      </c>
      <c r="AC1027" s="859"/>
      <c r="AD1027" s="863"/>
      <c r="AE1027" s="859"/>
      <c r="AF1027" s="859"/>
      <c r="AG1027" s="864"/>
      <c r="AH1027" s="865"/>
      <c r="AI1027" s="757">
        <f t="shared" si="144"/>
        <v>0</v>
      </c>
      <c r="AJ1027" s="758">
        <f t="shared" si="145"/>
        <v>0</v>
      </c>
    </row>
    <row r="1028" spans="1:36" x14ac:dyDescent="0.2">
      <c r="A1028" s="1217" t="s">
        <v>144</v>
      </c>
      <c r="B1028" s="1218" t="s">
        <v>286</v>
      </c>
      <c r="C1028" s="1235" t="s">
        <v>565</v>
      </c>
      <c r="D1028" s="1220"/>
      <c r="E1028" s="1236"/>
      <c r="F1028" s="1237"/>
      <c r="G1028" s="859"/>
      <c r="H1028" s="860"/>
      <c r="I1028" s="861"/>
      <c r="J1028" s="862"/>
      <c r="K1028" s="859"/>
      <c r="L1028" s="863"/>
      <c r="M1028" s="859"/>
      <c r="N1028" s="859"/>
      <c r="O1028" s="752">
        <f t="shared" si="138"/>
        <v>0</v>
      </c>
      <c r="P1028" s="862"/>
      <c r="Q1028" s="860"/>
      <c r="R1028" s="753">
        <f t="shared" si="141"/>
        <v>0</v>
      </c>
      <c r="S1028" s="752">
        <f t="shared" si="142"/>
        <v>0</v>
      </c>
      <c r="T1028" s="754">
        <f t="shared" si="143"/>
        <v>0</v>
      </c>
      <c r="U1028" s="859"/>
      <c r="V1028" s="863"/>
      <c r="W1028" s="859"/>
      <c r="X1028" s="859"/>
      <c r="Y1028" s="755">
        <f t="shared" si="139"/>
        <v>0</v>
      </c>
      <c r="Z1028" s="864"/>
      <c r="AA1028" s="863"/>
      <c r="AB1028" s="756">
        <f t="shared" si="140"/>
        <v>0</v>
      </c>
      <c r="AC1028" s="859"/>
      <c r="AD1028" s="863"/>
      <c r="AE1028" s="859"/>
      <c r="AF1028" s="859"/>
      <c r="AG1028" s="864"/>
      <c r="AH1028" s="865"/>
      <c r="AI1028" s="757">
        <f t="shared" si="144"/>
        <v>0</v>
      </c>
      <c r="AJ1028" s="758">
        <f t="shared" si="145"/>
        <v>0</v>
      </c>
    </row>
    <row r="1029" spans="1:36" x14ac:dyDescent="0.2">
      <c r="A1029" s="1217" t="s">
        <v>144</v>
      </c>
      <c r="B1029" s="1218" t="s">
        <v>286</v>
      </c>
      <c r="C1029" s="1225" t="s">
        <v>1223</v>
      </c>
      <c r="D1029" s="1224"/>
      <c r="E1029" s="1236"/>
      <c r="F1029" s="1237"/>
      <c r="G1029" s="859"/>
      <c r="H1029" s="860"/>
      <c r="I1029" s="861"/>
      <c r="J1029" s="862"/>
      <c r="K1029" s="859"/>
      <c r="L1029" s="863"/>
      <c r="M1029" s="859"/>
      <c r="N1029" s="859"/>
      <c r="O1029" s="752">
        <f t="shared" si="138"/>
        <v>0</v>
      </c>
      <c r="P1029" s="862"/>
      <c r="Q1029" s="860"/>
      <c r="R1029" s="753">
        <f t="shared" si="141"/>
        <v>0</v>
      </c>
      <c r="S1029" s="752">
        <f t="shared" si="142"/>
        <v>0</v>
      </c>
      <c r="T1029" s="754">
        <f t="shared" si="143"/>
        <v>0</v>
      </c>
      <c r="U1029" s="859">
        <v>2269752</v>
      </c>
      <c r="V1029" s="863">
        <v>2288309</v>
      </c>
      <c r="W1029" s="859"/>
      <c r="X1029" s="859"/>
      <c r="Y1029" s="755">
        <f t="shared" si="139"/>
        <v>0</v>
      </c>
      <c r="Z1029" s="864"/>
      <c r="AA1029" s="863"/>
      <c r="AB1029" s="756">
        <f t="shared" si="140"/>
        <v>0</v>
      </c>
      <c r="AC1029" s="859"/>
      <c r="AD1029" s="863"/>
      <c r="AE1029" s="859"/>
      <c r="AF1029" s="859"/>
      <c r="AG1029" s="864"/>
      <c r="AH1029" s="865"/>
      <c r="AI1029" s="757">
        <f t="shared" si="144"/>
        <v>2269752</v>
      </c>
      <c r="AJ1029" s="758">
        <f t="shared" si="145"/>
        <v>2288309</v>
      </c>
    </row>
    <row r="1030" spans="1:36" x14ac:dyDescent="0.2">
      <c r="A1030" s="1217" t="s">
        <v>144</v>
      </c>
      <c r="B1030" s="1218" t="s">
        <v>286</v>
      </c>
      <c r="C1030" s="1225" t="s">
        <v>1224</v>
      </c>
      <c r="D1030" s="1224"/>
      <c r="E1030" s="1236"/>
      <c r="F1030" s="1237"/>
      <c r="G1030" s="859"/>
      <c r="H1030" s="860"/>
      <c r="I1030" s="861"/>
      <c r="J1030" s="862"/>
      <c r="K1030" s="859"/>
      <c r="L1030" s="863"/>
      <c r="M1030" s="859"/>
      <c r="N1030" s="859"/>
      <c r="O1030" s="752">
        <f t="shared" si="138"/>
        <v>0</v>
      </c>
      <c r="P1030" s="862"/>
      <c r="Q1030" s="860"/>
      <c r="R1030" s="753">
        <f t="shared" si="141"/>
        <v>0</v>
      </c>
      <c r="S1030" s="752">
        <f t="shared" si="142"/>
        <v>0</v>
      </c>
      <c r="T1030" s="754">
        <f t="shared" si="143"/>
        <v>0</v>
      </c>
      <c r="U1030" s="859">
        <v>20969911</v>
      </c>
      <c r="V1030" s="863">
        <v>20969911</v>
      </c>
      <c r="W1030" s="859"/>
      <c r="X1030" s="859"/>
      <c r="Y1030" s="755">
        <f t="shared" si="139"/>
        <v>0</v>
      </c>
      <c r="Z1030" s="864"/>
      <c r="AA1030" s="863"/>
      <c r="AB1030" s="756">
        <f t="shared" si="140"/>
        <v>0</v>
      </c>
      <c r="AC1030" s="859"/>
      <c r="AD1030" s="863"/>
      <c r="AE1030" s="859"/>
      <c r="AF1030" s="859"/>
      <c r="AG1030" s="864"/>
      <c r="AH1030" s="865"/>
      <c r="AI1030" s="757">
        <f t="shared" si="144"/>
        <v>20969911</v>
      </c>
      <c r="AJ1030" s="758">
        <f t="shared" si="145"/>
        <v>20969911</v>
      </c>
    </row>
    <row r="1031" spans="1:36" x14ac:dyDescent="0.2">
      <c r="A1031" s="1217" t="s">
        <v>144</v>
      </c>
      <c r="B1031" s="1218" t="s">
        <v>286</v>
      </c>
      <c r="C1031" s="1225" t="s">
        <v>1225</v>
      </c>
      <c r="D1031" s="1224"/>
      <c r="E1031" s="1236"/>
      <c r="F1031" s="1237"/>
      <c r="G1031" s="859"/>
      <c r="H1031" s="860"/>
      <c r="I1031" s="861"/>
      <c r="J1031" s="862"/>
      <c r="K1031" s="859"/>
      <c r="L1031" s="863"/>
      <c r="M1031" s="859"/>
      <c r="N1031" s="859"/>
      <c r="O1031" s="752">
        <f t="shared" si="138"/>
        <v>0</v>
      </c>
      <c r="P1031" s="862"/>
      <c r="Q1031" s="860"/>
      <c r="R1031" s="753">
        <f t="shared" si="141"/>
        <v>0</v>
      </c>
      <c r="S1031" s="752">
        <f t="shared" si="142"/>
        <v>0</v>
      </c>
      <c r="T1031" s="754">
        <f t="shared" si="143"/>
        <v>0</v>
      </c>
      <c r="U1031" s="859">
        <v>10671474</v>
      </c>
      <c r="V1031" s="863">
        <v>10933643</v>
      </c>
      <c r="W1031" s="859"/>
      <c r="X1031" s="859"/>
      <c r="Y1031" s="755">
        <f t="shared" si="139"/>
        <v>0</v>
      </c>
      <c r="Z1031" s="864"/>
      <c r="AA1031" s="863"/>
      <c r="AB1031" s="756">
        <f t="shared" si="140"/>
        <v>0</v>
      </c>
      <c r="AC1031" s="859"/>
      <c r="AD1031" s="863"/>
      <c r="AE1031" s="859"/>
      <c r="AF1031" s="859"/>
      <c r="AG1031" s="864"/>
      <c r="AH1031" s="865"/>
      <c r="AI1031" s="757">
        <f t="shared" si="144"/>
        <v>10671474</v>
      </c>
      <c r="AJ1031" s="758">
        <f t="shared" si="145"/>
        <v>10933643</v>
      </c>
    </row>
    <row r="1032" spans="1:36" x14ac:dyDescent="0.2">
      <c r="A1032" s="1217" t="s">
        <v>144</v>
      </c>
      <c r="B1032" s="1218" t="s">
        <v>287</v>
      </c>
      <c r="C1032" s="1235" t="s">
        <v>570</v>
      </c>
      <c r="D1032" s="1220"/>
      <c r="E1032" s="1236"/>
      <c r="F1032" s="1237"/>
      <c r="G1032" s="859"/>
      <c r="H1032" s="860"/>
      <c r="I1032" s="861"/>
      <c r="J1032" s="862"/>
      <c r="K1032" s="859"/>
      <c r="L1032" s="863"/>
      <c r="M1032" s="859"/>
      <c r="N1032" s="859"/>
      <c r="O1032" s="752">
        <f t="shared" si="138"/>
        <v>0</v>
      </c>
      <c r="P1032" s="862"/>
      <c r="Q1032" s="860"/>
      <c r="R1032" s="753">
        <f t="shared" si="141"/>
        <v>0</v>
      </c>
      <c r="S1032" s="752">
        <f t="shared" si="142"/>
        <v>0</v>
      </c>
      <c r="T1032" s="754">
        <f t="shared" si="143"/>
        <v>0</v>
      </c>
      <c r="U1032" s="859"/>
      <c r="V1032" s="863"/>
      <c r="W1032" s="859"/>
      <c r="X1032" s="859"/>
      <c r="Y1032" s="755">
        <f t="shared" si="139"/>
        <v>0</v>
      </c>
      <c r="Z1032" s="864"/>
      <c r="AA1032" s="863"/>
      <c r="AB1032" s="756">
        <f t="shared" si="140"/>
        <v>0</v>
      </c>
      <c r="AC1032" s="859"/>
      <c r="AD1032" s="863"/>
      <c r="AE1032" s="859"/>
      <c r="AF1032" s="859"/>
      <c r="AG1032" s="864"/>
      <c r="AH1032" s="865"/>
      <c r="AI1032" s="757">
        <f t="shared" si="144"/>
        <v>0</v>
      </c>
      <c r="AJ1032" s="758">
        <f t="shared" si="145"/>
        <v>0</v>
      </c>
    </row>
    <row r="1033" spans="1:36" x14ac:dyDescent="0.2">
      <c r="A1033" s="1217" t="s">
        <v>144</v>
      </c>
      <c r="B1033" s="1218" t="s">
        <v>288</v>
      </c>
      <c r="C1033" s="1223" t="s">
        <v>571</v>
      </c>
      <c r="D1033" s="1224"/>
      <c r="E1033" s="1236"/>
      <c r="F1033" s="1237"/>
      <c r="G1033" s="859"/>
      <c r="H1033" s="860"/>
      <c r="I1033" s="861"/>
      <c r="J1033" s="862"/>
      <c r="K1033" s="859"/>
      <c r="L1033" s="863"/>
      <c r="M1033" s="859"/>
      <c r="N1033" s="859"/>
      <c r="O1033" s="752">
        <f t="shared" si="138"/>
        <v>0</v>
      </c>
      <c r="P1033" s="862"/>
      <c r="Q1033" s="860"/>
      <c r="R1033" s="753">
        <f t="shared" si="141"/>
        <v>0</v>
      </c>
      <c r="S1033" s="752">
        <f t="shared" si="142"/>
        <v>0</v>
      </c>
      <c r="T1033" s="754">
        <f t="shared" si="143"/>
        <v>0</v>
      </c>
      <c r="U1033" s="859"/>
      <c r="V1033" s="863"/>
      <c r="W1033" s="859"/>
      <c r="X1033" s="859"/>
      <c r="Y1033" s="755">
        <f t="shared" si="139"/>
        <v>0</v>
      </c>
      <c r="Z1033" s="864"/>
      <c r="AA1033" s="863"/>
      <c r="AB1033" s="756">
        <f t="shared" si="140"/>
        <v>0</v>
      </c>
      <c r="AC1033" s="859"/>
      <c r="AD1033" s="863"/>
      <c r="AE1033" s="859"/>
      <c r="AF1033" s="859"/>
      <c r="AG1033" s="864"/>
      <c r="AH1033" s="865"/>
      <c r="AI1033" s="757">
        <f t="shared" si="144"/>
        <v>0</v>
      </c>
      <c r="AJ1033" s="758">
        <f t="shared" si="145"/>
        <v>0</v>
      </c>
    </row>
    <row r="1034" spans="1:36" x14ac:dyDescent="0.2">
      <c r="A1034" s="1217" t="s">
        <v>144</v>
      </c>
      <c r="B1034" s="1218" t="s">
        <v>288</v>
      </c>
      <c r="C1034" s="1225" t="s">
        <v>1226</v>
      </c>
      <c r="D1034" s="1224"/>
      <c r="E1034" s="1236"/>
      <c r="F1034" s="1237"/>
      <c r="G1034" s="859"/>
      <c r="H1034" s="860"/>
      <c r="I1034" s="861"/>
      <c r="J1034" s="862"/>
      <c r="K1034" s="859"/>
      <c r="L1034" s="863"/>
      <c r="M1034" s="859"/>
      <c r="N1034" s="859"/>
      <c r="O1034" s="752">
        <f t="shared" si="138"/>
        <v>0</v>
      </c>
      <c r="P1034" s="862"/>
      <c r="Q1034" s="860"/>
      <c r="R1034" s="753">
        <f t="shared" si="141"/>
        <v>0</v>
      </c>
      <c r="S1034" s="752">
        <f t="shared" si="142"/>
        <v>0</v>
      </c>
      <c r="T1034" s="754">
        <f t="shared" si="143"/>
        <v>0</v>
      </c>
      <c r="U1034" s="859"/>
      <c r="V1034" s="863"/>
      <c r="W1034" s="859"/>
      <c r="X1034" s="859"/>
      <c r="Y1034" s="755">
        <f t="shared" si="139"/>
        <v>0</v>
      </c>
      <c r="Z1034" s="864"/>
      <c r="AA1034" s="863"/>
      <c r="AB1034" s="756">
        <f t="shared" si="140"/>
        <v>0</v>
      </c>
      <c r="AC1034" s="859"/>
      <c r="AD1034" s="863"/>
      <c r="AE1034" s="859"/>
      <c r="AF1034" s="859"/>
      <c r="AG1034" s="864"/>
      <c r="AH1034" s="865"/>
      <c r="AI1034" s="757">
        <f t="shared" si="144"/>
        <v>0</v>
      </c>
      <c r="AJ1034" s="758">
        <f t="shared" si="145"/>
        <v>0</v>
      </c>
    </row>
    <row r="1035" spans="1:36" x14ac:dyDescent="0.2">
      <c r="A1035" s="1217" t="s">
        <v>144</v>
      </c>
      <c r="B1035" s="1218" t="s">
        <v>288</v>
      </c>
      <c r="C1035" s="1225" t="s">
        <v>1227</v>
      </c>
      <c r="D1035" s="1224"/>
      <c r="E1035" s="1236"/>
      <c r="F1035" s="1237"/>
      <c r="G1035" s="859"/>
      <c r="H1035" s="860"/>
      <c r="I1035" s="861"/>
      <c r="J1035" s="862"/>
      <c r="K1035" s="859"/>
      <c r="L1035" s="863"/>
      <c r="M1035" s="859"/>
      <c r="N1035" s="859"/>
      <c r="O1035" s="752">
        <f t="shared" ref="O1035:O1098" si="146">SUM(M1035:N1035)</f>
        <v>0</v>
      </c>
      <c r="P1035" s="862"/>
      <c r="Q1035" s="860"/>
      <c r="R1035" s="753">
        <f t="shared" si="141"/>
        <v>0</v>
      </c>
      <c r="S1035" s="752">
        <f t="shared" si="142"/>
        <v>0</v>
      </c>
      <c r="T1035" s="754">
        <f t="shared" si="143"/>
        <v>0</v>
      </c>
      <c r="U1035" s="859">
        <v>355400</v>
      </c>
      <c r="V1035" s="863">
        <v>367200</v>
      </c>
      <c r="W1035" s="859"/>
      <c r="X1035" s="859"/>
      <c r="Y1035" s="755">
        <f t="shared" ref="Y1035:Y1098" si="147">SUM(W1035:X1035)</f>
        <v>0</v>
      </c>
      <c r="Z1035" s="864"/>
      <c r="AA1035" s="863"/>
      <c r="AB1035" s="756">
        <f t="shared" ref="AB1035:AB1098" si="148">SUM(Z1035:AA1035)</f>
        <v>0</v>
      </c>
      <c r="AC1035" s="859"/>
      <c r="AD1035" s="863"/>
      <c r="AE1035" s="859"/>
      <c r="AF1035" s="859"/>
      <c r="AG1035" s="864"/>
      <c r="AH1035" s="865"/>
      <c r="AI1035" s="757">
        <f t="shared" si="144"/>
        <v>355400</v>
      </c>
      <c r="AJ1035" s="758">
        <f t="shared" si="145"/>
        <v>367200</v>
      </c>
    </row>
    <row r="1036" spans="1:36" x14ac:dyDescent="0.2">
      <c r="A1036" s="1217" t="s">
        <v>144</v>
      </c>
      <c r="B1036" s="1218" t="s">
        <v>288</v>
      </c>
      <c r="C1036" s="1225" t="s">
        <v>794</v>
      </c>
      <c r="D1036" s="1224"/>
      <c r="E1036" s="1236"/>
      <c r="F1036" s="1237"/>
      <c r="G1036" s="859"/>
      <c r="H1036" s="860"/>
      <c r="I1036" s="861"/>
      <c r="J1036" s="862"/>
      <c r="K1036" s="859"/>
      <c r="L1036" s="863"/>
      <c r="M1036" s="859"/>
      <c r="N1036" s="859"/>
      <c r="O1036" s="752">
        <f t="shared" si="146"/>
        <v>0</v>
      </c>
      <c r="P1036" s="862"/>
      <c r="Q1036" s="860"/>
      <c r="R1036" s="753">
        <f t="shared" ref="R1036:R1099" si="149">SUM(P1036:Q1036)</f>
        <v>0</v>
      </c>
      <c r="S1036" s="752">
        <f t="shared" ref="S1036:S1099" si="150">SUM(G1036,I1036,K1036,M1036)</f>
        <v>0</v>
      </c>
      <c r="T1036" s="754">
        <f t="shared" ref="T1036:T1099" si="151">SUM(H1036,J1036,L1036,P1036)</f>
        <v>0</v>
      </c>
      <c r="U1036" s="859">
        <v>14800</v>
      </c>
      <c r="V1036" s="863">
        <v>0</v>
      </c>
      <c r="W1036" s="859"/>
      <c r="X1036" s="859"/>
      <c r="Y1036" s="755">
        <f t="shared" si="147"/>
        <v>0</v>
      </c>
      <c r="Z1036" s="864"/>
      <c r="AA1036" s="863"/>
      <c r="AB1036" s="756">
        <f t="shared" si="148"/>
        <v>0</v>
      </c>
      <c r="AC1036" s="859"/>
      <c r="AD1036" s="863"/>
      <c r="AE1036" s="859"/>
      <c r="AF1036" s="859"/>
      <c r="AG1036" s="864"/>
      <c r="AH1036" s="865"/>
      <c r="AI1036" s="757">
        <f t="shared" ref="AI1036:AI1099" si="152">SUM(S1036,U1036,W1036,AC1036,AE1036)</f>
        <v>14800</v>
      </c>
      <c r="AJ1036" s="758">
        <f t="shared" ref="AJ1036:AJ1099" si="153">SUM(T1036,V1036,Z1036,AD1036,AG1036)</f>
        <v>0</v>
      </c>
    </row>
    <row r="1037" spans="1:36" x14ac:dyDescent="0.2">
      <c r="A1037" s="1217" t="s">
        <v>144</v>
      </c>
      <c r="B1037" s="1218" t="s">
        <v>289</v>
      </c>
      <c r="C1037" s="1223" t="s">
        <v>573</v>
      </c>
      <c r="D1037" s="1224"/>
      <c r="E1037" s="1236"/>
      <c r="F1037" s="1237"/>
      <c r="G1037" s="859"/>
      <c r="H1037" s="860"/>
      <c r="I1037" s="861"/>
      <c r="J1037" s="862"/>
      <c r="K1037" s="859"/>
      <c r="L1037" s="863"/>
      <c r="M1037" s="859"/>
      <c r="N1037" s="859"/>
      <c r="O1037" s="752">
        <f t="shared" si="146"/>
        <v>0</v>
      </c>
      <c r="P1037" s="862"/>
      <c r="Q1037" s="860"/>
      <c r="R1037" s="753">
        <f t="shared" si="149"/>
        <v>0</v>
      </c>
      <c r="S1037" s="752">
        <f t="shared" si="150"/>
        <v>0</v>
      </c>
      <c r="T1037" s="754">
        <f t="shared" si="151"/>
        <v>0</v>
      </c>
      <c r="U1037" s="859"/>
      <c r="V1037" s="863"/>
      <c r="W1037" s="859"/>
      <c r="X1037" s="859"/>
      <c r="Y1037" s="755">
        <f t="shared" si="147"/>
        <v>0</v>
      </c>
      <c r="Z1037" s="864"/>
      <c r="AA1037" s="863"/>
      <c r="AB1037" s="756">
        <f t="shared" si="148"/>
        <v>0</v>
      </c>
      <c r="AC1037" s="859"/>
      <c r="AD1037" s="863"/>
      <c r="AE1037" s="859"/>
      <c r="AF1037" s="859"/>
      <c r="AG1037" s="864"/>
      <c r="AH1037" s="865"/>
      <c r="AI1037" s="757">
        <f t="shared" si="152"/>
        <v>0</v>
      </c>
      <c r="AJ1037" s="758">
        <f t="shared" si="153"/>
        <v>0</v>
      </c>
    </row>
    <row r="1038" spans="1:36" x14ac:dyDescent="0.2">
      <c r="A1038" s="1217" t="s">
        <v>144</v>
      </c>
      <c r="B1038" s="1218" t="s">
        <v>289</v>
      </c>
      <c r="C1038" s="1225" t="s">
        <v>1228</v>
      </c>
      <c r="D1038" s="1224"/>
      <c r="E1038" s="1236"/>
      <c r="F1038" s="1237"/>
      <c r="G1038" s="859"/>
      <c r="H1038" s="860"/>
      <c r="I1038" s="861"/>
      <c r="J1038" s="862"/>
      <c r="K1038" s="859"/>
      <c r="L1038" s="863"/>
      <c r="M1038" s="859"/>
      <c r="N1038" s="859"/>
      <c r="O1038" s="752">
        <f t="shared" si="146"/>
        <v>0</v>
      </c>
      <c r="P1038" s="862"/>
      <c r="Q1038" s="860"/>
      <c r="R1038" s="753">
        <f t="shared" si="149"/>
        <v>0</v>
      </c>
      <c r="S1038" s="752">
        <f t="shared" si="150"/>
        <v>0</v>
      </c>
      <c r="T1038" s="754">
        <f t="shared" si="151"/>
        <v>0</v>
      </c>
      <c r="U1038" s="859">
        <v>148000</v>
      </c>
      <c r="V1038" s="863">
        <v>153000</v>
      </c>
      <c r="W1038" s="859"/>
      <c r="X1038" s="859"/>
      <c r="Y1038" s="755">
        <f t="shared" si="147"/>
        <v>0</v>
      </c>
      <c r="Z1038" s="864"/>
      <c r="AA1038" s="863"/>
      <c r="AB1038" s="756">
        <f t="shared" si="148"/>
        <v>0</v>
      </c>
      <c r="AC1038" s="859"/>
      <c r="AD1038" s="863"/>
      <c r="AE1038" s="859"/>
      <c r="AF1038" s="859"/>
      <c r="AG1038" s="864"/>
      <c r="AH1038" s="865"/>
      <c r="AI1038" s="757">
        <f t="shared" si="152"/>
        <v>148000</v>
      </c>
      <c r="AJ1038" s="758">
        <f t="shared" si="153"/>
        <v>153000</v>
      </c>
    </row>
    <row r="1039" spans="1:36" x14ac:dyDescent="0.2">
      <c r="A1039" s="1217" t="s">
        <v>144</v>
      </c>
      <c r="B1039" s="1218" t="s">
        <v>290</v>
      </c>
      <c r="C1039" s="1223" t="s">
        <v>1229</v>
      </c>
      <c r="D1039" s="1224"/>
      <c r="E1039" s="1236"/>
      <c r="F1039" s="1237"/>
      <c r="G1039" s="859"/>
      <c r="H1039" s="860"/>
      <c r="I1039" s="861"/>
      <c r="J1039" s="862"/>
      <c r="K1039" s="859"/>
      <c r="L1039" s="863"/>
      <c r="M1039" s="859"/>
      <c r="N1039" s="859"/>
      <c r="O1039" s="752">
        <f t="shared" si="146"/>
        <v>0</v>
      </c>
      <c r="P1039" s="862"/>
      <c r="Q1039" s="860"/>
      <c r="R1039" s="753">
        <f t="shared" si="149"/>
        <v>0</v>
      </c>
      <c r="S1039" s="752">
        <f t="shared" si="150"/>
        <v>0</v>
      </c>
      <c r="T1039" s="754">
        <f t="shared" si="151"/>
        <v>0</v>
      </c>
      <c r="U1039" s="859"/>
      <c r="V1039" s="863"/>
      <c r="W1039" s="859"/>
      <c r="X1039" s="859"/>
      <c r="Y1039" s="755">
        <f t="shared" si="147"/>
        <v>0</v>
      </c>
      <c r="Z1039" s="864"/>
      <c r="AA1039" s="863"/>
      <c r="AB1039" s="756">
        <f t="shared" si="148"/>
        <v>0</v>
      </c>
      <c r="AC1039" s="859"/>
      <c r="AD1039" s="863"/>
      <c r="AE1039" s="859"/>
      <c r="AF1039" s="859"/>
      <c r="AG1039" s="864"/>
      <c r="AH1039" s="865"/>
      <c r="AI1039" s="757">
        <f t="shared" si="152"/>
        <v>0</v>
      </c>
      <c r="AJ1039" s="758">
        <f t="shared" si="153"/>
        <v>0</v>
      </c>
    </row>
    <row r="1040" spans="1:36" x14ac:dyDescent="0.2">
      <c r="A1040" s="1217" t="s">
        <v>144</v>
      </c>
      <c r="B1040" s="1218" t="s">
        <v>290</v>
      </c>
      <c r="C1040" s="1225" t="s">
        <v>1224</v>
      </c>
      <c r="D1040" s="1224"/>
      <c r="E1040" s="1236"/>
      <c r="F1040" s="1237"/>
      <c r="G1040" s="859"/>
      <c r="H1040" s="860"/>
      <c r="I1040" s="861"/>
      <c r="J1040" s="862"/>
      <c r="K1040" s="859"/>
      <c r="L1040" s="863"/>
      <c r="M1040" s="859"/>
      <c r="N1040" s="859"/>
      <c r="O1040" s="752">
        <f t="shared" si="146"/>
        <v>0</v>
      </c>
      <c r="P1040" s="862"/>
      <c r="Q1040" s="860"/>
      <c r="R1040" s="753">
        <f t="shared" si="149"/>
        <v>0</v>
      </c>
      <c r="S1040" s="752">
        <f t="shared" si="150"/>
        <v>0</v>
      </c>
      <c r="T1040" s="754">
        <f t="shared" si="151"/>
        <v>0</v>
      </c>
      <c r="U1040" s="859">
        <v>1336343</v>
      </c>
      <c r="V1040" s="863">
        <v>1336343</v>
      </c>
      <c r="W1040" s="859"/>
      <c r="X1040" s="859"/>
      <c r="Y1040" s="755">
        <f t="shared" si="147"/>
        <v>0</v>
      </c>
      <c r="Z1040" s="864"/>
      <c r="AA1040" s="863"/>
      <c r="AB1040" s="756">
        <f t="shared" si="148"/>
        <v>0</v>
      </c>
      <c r="AC1040" s="859"/>
      <c r="AD1040" s="863"/>
      <c r="AE1040" s="859"/>
      <c r="AF1040" s="859"/>
      <c r="AG1040" s="864"/>
      <c r="AH1040" s="865"/>
      <c r="AI1040" s="757">
        <f t="shared" si="152"/>
        <v>1336343</v>
      </c>
      <c r="AJ1040" s="758">
        <f t="shared" si="153"/>
        <v>1336343</v>
      </c>
    </row>
    <row r="1041" spans="1:36" x14ac:dyDescent="0.2">
      <c r="A1041" s="1217" t="s">
        <v>144</v>
      </c>
      <c r="B1041" s="1218" t="s">
        <v>290</v>
      </c>
      <c r="C1041" s="1225" t="s">
        <v>1225</v>
      </c>
      <c r="D1041" s="1224"/>
      <c r="E1041" s="1236"/>
      <c r="F1041" s="1237"/>
      <c r="G1041" s="859"/>
      <c r="H1041" s="860"/>
      <c r="I1041" s="861"/>
      <c r="J1041" s="862"/>
      <c r="K1041" s="859"/>
      <c r="L1041" s="863"/>
      <c r="M1041" s="859"/>
      <c r="N1041" s="859"/>
      <c r="O1041" s="752">
        <f t="shared" si="146"/>
        <v>0</v>
      </c>
      <c r="P1041" s="862"/>
      <c r="Q1041" s="860"/>
      <c r="R1041" s="753">
        <f t="shared" si="149"/>
        <v>0</v>
      </c>
      <c r="S1041" s="752">
        <f t="shared" si="150"/>
        <v>0</v>
      </c>
      <c r="T1041" s="754">
        <f t="shared" si="151"/>
        <v>0</v>
      </c>
      <c r="U1041" s="859">
        <v>591796</v>
      </c>
      <c r="V1041" s="863">
        <v>0</v>
      </c>
      <c r="W1041" s="859"/>
      <c r="X1041" s="859"/>
      <c r="Y1041" s="755">
        <f t="shared" si="147"/>
        <v>0</v>
      </c>
      <c r="Z1041" s="864"/>
      <c r="AA1041" s="863"/>
      <c r="AB1041" s="756">
        <f t="shared" si="148"/>
        <v>0</v>
      </c>
      <c r="AC1041" s="859"/>
      <c r="AD1041" s="863"/>
      <c r="AE1041" s="859"/>
      <c r="AF1041" s="859"/>
      <c r="AG1041" s="864"/>
      <c r="AH1041" s="865"/>
      <c r="AI1041" s="757">
        <f t="shared" si="152"/>
        <v>591796</v>
      </c>
      <c r="AJ1041" s="758">
        <f t="shared" si="153"/>
        <v>0</v>
      </c>
    </row>
    <row r="1042" spans="1:36" x14ac:dyDescent="0.2">
      <c r="A1042" s="1217" t="s">
        <v>144</v>
      </c>
      <c r="B1042" s="1218" t="s">
        <v>290</v>
      </c>
      <c r="C1042" s="1225" t="s">
        <v>1230</v>
      </c>
      <c r="D1042" s="1224"/>
      <c r="E1042" s="1236"/>
      <c r="F1042" s="1237"/>
      <c r="G1042" s="859"/>
      <c r="H1042" s="860"/>
      <c r="I1042" s="861"/>
      <c r="J1042" s="862"/>
      <c r="K1042" s="859"/>
      <c r="L1042" s="863"/>
      <c r="M1042" s="859"/>
      <c r="N1042" s="859"/>
      <c r="O1042" s="752">
        <f t="shared" si="146"/>
        <v>0</v>
      </c>
      <c r="P1042" s="862"/>
      <c r="Q1042" s="860"/>
      <c r="R1042" s="753">
        <f t="shared" si="149"/>
        <v>0</v>
      </c>
      <c r="S1042" s="752">
        <f t="shared" si="150"/>
        <v>0</v>
      </c>
      <c r="T1042" s="754">
        <f t="shared" si="151"/>
        <v>0</v>
      </c>
      <c r="U1042" s="859">
        <v>719089</v>
      </c>
      <c r="V1042" s="863">
        <v>719089</v>
      </c>
      <c r="W1042" s="859"/>
      <c r="X1042" s="859"/>
      <c r="Y1042" s="755">
        <f t="shared" si="147"/>
        <v>0</v>
      </c>
      <c r="Z1042" s="864"/>
      <c r="AA1042" s="863"/>
      <c r="AB1042" s="756">
        <f t="shared" si="148"/>
        <v>0</v>
      </c>
      <c r="AC1042" s="859"/>
      <c r="AD1042" s="863"/>
      <c r="AE1042" s="859"/>
      <c r="AF1042" s="859"/>
      <c r="AG1042" s="864"/>
      <c r="AH1042" s="865"/>
      <c r="AI1042" s="757">
        <f t="shared" si="152"/>
        <v>719089</v>
      </c>
      <c r="AJ1042" s="758">
        <f t="shared" si="153"/>
        <v>719089</v>
      </c>
    </row>
    <row r="1043" spans="1:36" x14ac:dyDescent="0.2">
      <c r="A1043" s="1217" t="s">
        <v>144</v>
      </c>
      <c r="B1043" s="1218" t="s">
        <v>291</v>
      </c>
      <c r="C1043" s="1241" t="s">
        <v>574</v>
      </c>
      <c r="D1043" s="1242"/>
      <c r="E1043" s="1236"/>
      <c r="F1043" s="1237"/>
      <c r="G1043" s="859"/>
      <c r="H1043" s="860"/>
      <c r="I1043" s="861"/>
      <c r="J1043" s="862"/>
      <c r="K1043" s="859"/>
      <c r="L1043" s="863"/>
      <c r="M1043" s="859"/>
      <c r="N1043" s="859"/>
      <c r="O1043" s="752">
        <f t="shared" si="146"/>
        <v>0</v>
      </c>
      <c r="P1043" s="862"/>
      <c r="Q1043" s="860"/>
      <c r="R1043" s="753">
        <f t="shared" si="149"/>
        <v>0</v>
      </c>
      <c r="S1043" s="752">
        <f t="shared" si="150"/>
        <v>0</v>
      </c>
      <c r="T1043" s="754">
        <f t="shared" si="151"/>
        <v>0</v>
      </c>
      <c r="U1043" s="859"/>
      <c r="V1043" s="863"/>
      <c r="W1043" s="859"/>
      <c r="X1043" s="859"/>
      <c r="Y1043" s="755">
        <f t="shared" si="147"/>
        <v>0</v>
      </c>
      <c r="Z1043" s="864"/>
      <c r="AA1043" s="863"/>
      <c r="AB1043" s="756">
        <f t="shared" si="148"/>
        <v>0</v>
      </c>
      <c r="AC1043" s="859"/>
      <c r="AD1043" s="863"/>
      <c r="AE1043" s="859"/>
      <c r="AF1043" s="859"/>
      <c r="AG1043" s="864"/>
      <c r="AH1043" s="865"/>
      <c r="AI1043" s="757">
        <f t="shared" si="152"/>
        <v>0</v>
      </c>
      <c r="AJ1043" s="758">
        <f t="shared" si="153"/>
        <v>0</v>
      </c>
    </row>
    <row r="1044" spans="1:36" x14ac:dyDescent="0.2">
      <c r="A1044" s="1217" t="s">
        <v>144</v>
      </c>
      <c r="B1044" s="1218" t="s">
        <v>292</v>
      </c>
      <c r="C1044" s="1243" t="s">
        <v>34</v>
      </c>
      <c r="D1044" s="1242"/>
      <c r="E1044" s="1221"/>
      <c r="F1044" s="1222"/>
      <c r="G1044" s="859"/>
      <c r="H1044" s="860"/>
      <c r="I1044" s="861"/>
      <c r="J1044" s="862"/>
      <c r="K1044" s="859"/>
      <c r="L1044" s="863"/>
      <c r="M1044" s="859"/>
      <c r="N1044" s="859"/>
      <c r="O1044" s="752">
        <f t="shared" si="146"/>
        <v>0</v>
      </c>
      <c r="P1044" s="862"/>
      <c r="Q1044" s="860"/>
      <c r="R1044" s="753">
        <f t="shared" si="149"/>
        <v>0</v>
      </c>
      <c r="S1044" s="752">
        <f t="shared" si="150"/>
        <v>0</v>
      </c>
      <c r="T1044" s="754">
        <f t="shared" si="151"/>
        <v>0</v>
      </c>
      <c r="U1044" s="859"/>
      <c r="V1044" s="863"/>
      <c r="W1044" s="859"/>
      <c r="X1044" s="859"/>
      <c r="Y1044" s="755">
        <f t="shared" si="147"/>
        <v>0</v>
      </c>
      <c r="Z1044" s="864"/>
      <c r="AA1044" s="863"/>
      <c r="AB1044" s="756">
        <f t="shared" si="148"/>
        <v>0</v>
      </c>
      <c r="AC1044" s="859"/>
      <c r="AD1044" s="863"/>
      <c r="AE1044" s="859"/>
      <c r="AF1044" s="859"/>
      <c r="AG1044" s="864"/>
      <c r="AH1044" s="865"/>
      <c r="AI1044" s="757">
        <f t="shared" si="152"/>
        <v>0</v>
      </c>
      <c r="AJ1044" s="758">
        <f t="shared" si="153"/>
        <v>0</v>
      </c>
    </row>
    <row r="1045" spans="1:36" x14ac:dyDescent="0.2">
      <c r="A1045" s="1217" t="s">
        <v>144</v>
      </c>
      <c r="B1045" s="1218" t="s">
        <v>292</v>
      </c>
      <c r="C1045" s="1244" t="s">
        <v>1231</v>
      </c>
      <c r="D1045" s="1224"/>
      <c r="E1045" s="1236"/>
      <c r="F1045" s="1237"/>
      <c r="G1045" s="859"/>
      <c r="H1045" s="860"/>
      <c r="I1045" s="861"/>
      <c r="J1045" s="862"/>
      <c r="K1045" s="859"/>
      <c r="L1045" s="863"/>
      <c r="M1045" s="859"/>
      <c r="N1045" s="859"/>
      <c r="O1045" s="752">
        <f t="shared" si="146"/>
        <v>0</v>
      </c>
      <c r="P1045" s="862"/>
      <c r="Q1045" s="860"/>
      <c r="R1045" s="753">
        <f t="shared" si="149"/>
        <v>0</v>
      </c>
      <c r="S1045" s="752">
        <f t="shared" si="150"/>
        <v>0</v>
      </c>
      <c r="T1045" s="754">
        <f t="shared" si="151"/>
        <v>0</v>
      </c>
      <c r="U1045" s="859"/>
      <c r="V1045" s="863"/>
      <c r="W1045" s="859"/>
      <c r="X1045" s="859"/>
      <c r="Y1045" s="755">
        <f t="shared" si="147"/>
        <v>0</v>
      </c>
      <c r="Z1045" s="864"/>
      <c r="AA1045" s="863"/>
      <c r="AB1045" s="756">
        <f t="shared" si="148"/>
        <v>0</v>
      </c>
      <c r="AC1045" s="859"/>
      <c r="AD1045" s="863"/>
      <c r="AE1045" s="859"/>
      <c r="AF1045" s="859"/>
      <c r="AG1045" s="864"/>
      <c r="AH1045" s="865"/>
      <c r="AI1045" s="757">
        <f t="shared" si="152"/>
        <v>0</v>
      </c>
      <c r="AJ1045" s="758">
        <f t="shared" si="153"/>
        <v>0</v>
      </c>
    </row>
    <row r="1046" spans="1:36" x14ac:dyDescent="0.2">
      <c r="A1046" s="1217" t="s">
        <v>144</v>
      </c>
      <c r="B1046" s="1245" t="s">
        <v>209</v>
      </c>
      <c r="C1046" s="1246" t="s">
        <v>576</v>
      </c>
      <c r="D1046" s="1247"/>
      <c r="E1046" s="1236"/>
      <c r="F1046" s="1237"/>
      <c r="G1046" s="859"/>
      <c r="H1046" s="860"/>
      <c r="I1046" s="861"/>
      <c r="J1046" s="862"/>
      <c r="K1046" s="859"/>
      <c r="L1046" s="863"/>
      <c r="M1046" s="859"/>
      <c r="N1046" s="859"/>
      <c r="O1046" s="752">
        <f t="shared" si="146"/>
        <v>0</v>
      </c>
      <c r="P1046" s="862"/>
      <c r="Q1046" s="860"/>
      <c r="R1046" s="753">
        <f t="shared" si="149"/>
        <v>0</v>
      </c>
      <c r="S1046" s="752">
        <f t="shared" si="150"/>
        <v>0</v>
      </c>
      <c r="T1046" s="754">
        <f t="shared" si="151"/>
        <v>0</v>
      </c>
      <c r="U1046" s="859"/>
      <c r="V1046" s="863"/>
      <c r="W1046" s="859"/>
      <c r="X1046" s="859"/>
      <c r="Y1046" s="755">
        <f t="shared" si="147"/>
        <v>0</v>
      </c>
      <c r="Z1046" s="864"/>
      <c r="AA1046" s="863"/>
      <c r="AB1046" s="756">
        <f t="shared" si="148"/>
        <v>0</v>
      </c>
      <c r="AC1046" s="859"/>
      <c r="AD1046" s="863"/>
      <c r="AE1046" s="859"/>
      <c r="AF1046" s="859"/>
      <c r="AG1046" s="864"/>
      <c r="AH1046" s="865"/>
      <c r="AI1046" s="757">
        <f t="shared" si="152"/>
        <v>0</v>
      </c>
      <c r="AJ1046" s="758">
        <f t="shared" si="153"/>
        <v>0</v>
      </c>
    </row>
    <row r="1047" spans="1:36" x14ac:dyDescent="0.2">
      <c r="A1047" s="1217" t="s">
        <v>144</v>
      </c>
      <c r="B1047" s="1245" t="s">
        <v>210</v>
      </c>
      <c r="C1047" s="1246" t="s">
        <v>311</v>
      </c>
      <c r="D1047" s="1247"/>
      <c r="E1047" s="1236"/>
      <c r="F1047" s="1237"/>
      <c r="G1047" s="859"/>
      <c r="H1047" s="860"/>
      <c r="I1047" s="861"/>
      <c r="J1047" s="862"/>
      <c r="K1047" s="859"/>
      <c r="L1047" s="863"/>
      <c r="M1047" s="859"/>
      <c r="N1047" s="859"/>
      <c r="O1047" s="752">
        <f t="shared" si="146"/>
        <v>0</v>
      </c>
      <c r="P1047" s="862"/>
      <c r="Q1047" s="860"/>
      <c r="R1047" s="753">
        <f t="shared" si="149"/>
        <v>0</v>
      </c>
      <c r="S1047" s="752">
        <f t="shared" si="150"/>
        <v>0</v>
      </c>
      <c r="T1047" s="754">
        <f t="shared" si="151"/>
        <v>0</v>
      </c>
      <c r="U1047" s="859"/>
      <c r="V1047" s="863"/>
      <c r="W1047" s="859"/>
      <c r="X1047" s="859"/>
      <c r="Y1047" s="755">
        <f t="shared" si="147"/>
        <v>0</v>
      </c>
      <c r="Z1047" s="864"/>
      <c r="AA1047" s="863"/>
      <c r="AB1047" s="756">
        <f t="shared" si="148"/>
        <v>0</v>
      </c>
      <c r="AC1047" s="859"/>
      <c r="AD1047" s="863"/>
      <c r="AE1047" s="859"/>
      <c r="AF1047" s="859"/>
      <c r="AG1047" s="864"/>
      <c r="AH1047" s="865"/>
      <c r="AI1047" s="757">
        <f t="shared" si="152"/>
        <v>0</v>
      </c>
      <c r="AJ1047" s="758">
        <f t="shared" si="153"/>
        <v>0</v>
      </c>
    </row>
    <row r="1048" spans="1:36" x14ac:dyDescent="0.2">
      <c r="A1048" s="1217" t="s">
        <v>144</v>
      </c>
      <c r="B1048" s="1245" t="s">
        <v>204</v>
      </c>
      <c r="C1048" s="1246" t="s">
        <v>249</v>
      </c>
      <c r="D1048" s="1247"/>
      <c r="E1048" s="1236"/>
      <c r="F1048" s="1237"/>
      <c r="G1048" s="859"/>
      <c r="H1048" s="860"/>
      <c r="I1048" s="861"/>
      <c r="J1048" s="862"/>
      <c r="K1048" s="859"/>
      <c r="L1048" s="863"/>
      <c r="M1048" s="859"/>
      <c r="N1048" s="859"/>
      <c r="O1048" s="752">
        <f t="shared" si="146"/>
        <v>0</v>
      </c>
      <c r="P1048" s="862"/>
      <c r="Q1048" s="860"/>
      <c r="R1048" s="753">
        <f t="shared" si="149"/>
        <v>0</v>
      </c>
      <c r="S1048" s="752">
        <f t="shared" si="150"/>
        <v>0</v>
      </c>
      <c r="T1048" s="754">
        <f t="shared" si="151"/>
        <v>0</v>
      </c>
      <c r="U1048" s="859">
        <v>376761</v>
      </c>
      <c r="V1048" s="863">
        <v>376761</v>
      </c>
      <c r="W1048" s="859"/>
      <c r="X1048" s="859"/>
      <c r="Y1048" s="755">
        <f t="shared" si="147"/>
        <v>0</v>
      </c>
      <c r="Z1048" s="864"/>
      <c r="AA1048" s="863"/>
      <c r="AB1048" s="756">
        <f t="shared" si="148"/>
        <v>0</v>
      </c>
      <c r="AC1048" s="859"/>
      <c r="AD1048" s="863"/>
      <c r="AE1048" s="859"/>
      <c r="AF1048" s="859"/>
      <c r="AG1048" s="864"/>
      <c r="AH1048" s="865"/>
      <c r="AI1048" s="757">
        <f t="shared" si="152"/>
        <v>376761</v>
      </c>
      <c r="AJ1048" s="758">
        <f t="shared" si="153"/>
        <v>376761</v>
      </c>
    </row>
    <row r="1049" spans="1:36" x14ac:dyDescent="0.2">
      <c r="A1049" s="1217" t="s">
        <v>144</v>
      </c>
      <c r="B1049" s="1245" t="s">
        <v>205</v>
      </c>
      <c r="C1049" s="1246" t="s">
        <v>577</v>
      </c>
      <c r="D1049" s="1247"/>
      <c r="E1049" s="1236"/>
      <c r="F1049" s="1237"/>
      <c r="G1049" s="859"/>
      <c r="H1049" s="860"/>
      <c r="I1049" s="861"/>
      <c r="J1049" s="862"/>
      <c r="K1049" s="859"/>
      <c r="L1049" s="863"/>
      <c r="M1049" s="859"/>
      <c r="N1049" s="859"/>
      <c r="O1049" s="752">
        <f t="shared" si="146"/>
        <v>0</v>
      </c>
      <c r="P1049" s="862"/>
      <c r="Q1049" s="860"/>
      <c r="R1049" s="753">
        <f t="shared" si="149"/>
        <v>0</v>
      </c>
      <c r="S1049" s="752">
        <f t="shared" si="150"/>
        <v>0</v>
      </c>
      <c r="T1049" s="754">
        <f t="shared" si="151"/>
        <v>0</v>
      </c>
      <c r="U1049" s="859"/>
      <c r="V1049" s="863"/>
      <c r="W1049" s="859"/>
      <c r="X1049" s="859"/>
      <c r="Y1049" s="755">
        <f t="shared" si="147"/>
        <v>0</v>
      </c>
      <c r="Z1049" s="864"/>
      <c r="AA1049" s="863"/>
      <c r="AB1049" s="756">
        <f t="shared" si="148"/>
        <v>0</v>
      </c>
      <c r="AC1049" s="859"/>
      <c r="AD1049" s="863"/>
      <c r="AE1049" s="859"/>
      <c r="AF1049" s="859"/>
      <c r="AG1049" s="864"/>
      <c r="AH1049" s="865"/>
      <c r="AI1049" s="757">
        <f t="shared" si="152"/>
        <v>0</v>
      </c>
      <c r="AJ1049" s="758">
        <f t="shared" si="153"/>
        <v>0</v>
      </c>
    </row>
    <row r="1050" spans="1:36" x14ac:dyDescent="0.2">
      <c r="A1050" s="1217" t="s">
        <v>144</v>
      </c>
      <c r="B1050" s="1245" t="s">
        <v>218</v>
      </c>
      <c r="C1050" s="1246" t="s">
        <v>311</v>
      </c>
      <c r="D1050" s="1247"/>
      <c r="E1050" s="1236"/>
      <c r="F1050" s="1237"/>
      <c r="G1050" s="859"/>
      <c r="H1050" s="860"/>
      <c r="I1050" s="861"/>
      <c r="J1050" s="862"/>
      <c r="K1050" s="859"/>
      <c r="L1050" s="863"/>
      <c r="M1050" s="859"/>
      <c r="N1050" s="859"/>
      <c r="O1050" s="752">
        <f t="shared" si="146"/>
        <v>0</v>
      </c>
      <c r="P1050" s="862"/>
      <c r="Q1050" s="860"/>
      <c r="R1050" s="753">
        <f t="shared" si="149"/>
        <v>0</v>
      </c>
      <c r="S1050" s="752">
        <f t="shared" si="150"/>
        <v>0</v>
      </c>
      <c r="T1050" s="754">
        <f t="shared" si="151"/>
        <v>0</v>
      </c>
      <c r="U1050" s="859"/>
      <c r="V1050" s="863"/>
      <c r="W1050" s="859"/>
      <c r="X1050" s="859"/>
      <c r="Y1050" s="755">
        <f t="shared" si="147"/>
        <v>0</v>
      </c>
      <c r="Z1050" s="864"/>
      <c r="AA1050" s="863"/>
      <c r="AB1050" s="756">
        <f t="shared" si="148"/>
        <v>0</v>
      </c>
      <c r="AC1050" s="859"/>
      <c r="AD1050" s="863"/>
      <c r="AE1050" s="859"/>
      <c r="AF1050" s="859"/>
      <c r="AG1050" s="864"/>
      <c r="AH1050" s="865"/>
      <c r="AI1050" s="757">
        <f t="shared" si="152"/>
        <v>0</v>
      </c>
      <c r="AJ1050" s="758">
        <f t="shared" si="153"/>
        <v>0</v>
      </c>
    </row>
    <row r="1051" spans="1:36" x14ac:dyDescent="0.2">
      <c r="A1051" s="1217" t="s">
        <v>144</v>
      </c>
      <c r="B1051" s="1245" t="s">
        <v>219</v>
      </c>
      <c r="C1051" s="1246" t="s">
        <v>249</v>
      </c>
      <c r="D1051" s="1247"/>
      <c r="E1051" s="1236"/>
      <c r="F1051" s="1237"/>
      <c r="G1051" s="859"/>
      <c r="H1051" s="860"/>
      <c r="I1051" s="861"/>
      <c r="J1051" s="862"/>
      <c r="K1051" s="859"/>
      <c r="L1051" s="863"/>
      <c r="M1051" s="859"/>
      <c r="N1051" s="859"/>
      <c r="O1051" s="752">
        <f t="shared" si="146"/>
        <v>0</v>
      </c>
      <c r="P1051" s="862"/>
      <c r="Q1051" s="860"/>
      <c r="R1051" s="753">
        <f t="shared" si="149"/>
        <v>0</v>
      </c>
      <c r="S1051" s="752">
        <f t="shared" si="150"/>
        <v>0</v>
      </c>
      <c r="T1051" s="754">
        <f t="shared" si="151"/>
        <v>0</v>
      </c>
      <c r="U1051" s="859"/>
      <c r="V1051" s="863"/>
      <c r="W1051" s="859"/>
      <c r="X1051" s="859"/>
      <c r="Y1051" s="755">
        <f t="shared" si="147"/>
        <v>0</v>
      </c>
      <c r="Z1051" s="864"/>
      <c r="AA1051" s="863"/>
      <c r="AB1051" s="756">
        <f t="shared" si="148"/>
        <v>0</v>
      </c>
      <c r="AC1051" s="859"/>
      <c r="AD1051" s="863"/>
      <c r="AE1051" s="859"/>
      <c r="AF1051" s="859"/>
      <c r="AG1051" s="864"/>
      <c r="AH1051" s="865"/>
      <c r="AI1051" s="757">
        <f t="shared" si="152"/>
        <v>0</v>
      </c>
      <c r="AJ1051" s="758">
        <f t="shared" si="153"/>
        <v>0</v>
      </c>
    </row>
    <row r="1052" spans="1:36" x14ac:dyDescent="0.2">
      <c r="A1052" s="1217" t="s">
        <v>144</v>
      </c>
      <c r="B1052" s="1218" t="s">
        <v>292</v>
      </c>
      <c r="C1052" s="1244" t="s">
        <v>1232</v>
      </c>
      <c r="D1052" s="1224"/>
      <c r="E1052" s="1236"/>
      <c r="F1052" s="1237"/>
      <c r="G1052" s="859"/>
      <c r="H1052" s="860"/>
      <c r="I1052" s="861"/>
      <c r="J1052" s="862"/>
      <c r="K1052" s="859"/>
      <c r="L1052" s="863"/>
      <c r="M1052" s="859"/>
      <c r="N1052" s="859"/>
      <c r="O1052" s="752">
        <f t="shared" si="146"/>
        <v>0</v>
      </c>
      <c r="P1052" s="862"/>
      <c r="Q1052" s="860"/>
      <c r="R1052" s="753">
        <f t="shared" si="149"/>
        <v>0</v>
      </c>
      <c r="S1052" s="752">
        <f t="shared" si="150"/>
        <v>0</v>
      </c>
      <c r="T1052" s="754">
        <f t="shared" si="151"/>
        <v>0</v>
      </c>
      <c r="U1052" s="859"/>
      <c r="V1052" s="863"/>
      <c r="W1052" s="859"/>
      <c r="X1052" s="859"/>
      <c r="Y1052" s="755">
        <f t="shared" si="147"/>
        <v>0</v>
      </c>
      <c r="Z1052" s="864"/>
      <c r="AA1052" s="863"/>
      <c r="AB1052" s="756">
        <f t="shared" si="148"/>
        <v>0</v>
      </c>
      <c r="AC1052" s="859"/>
      <c r="AD1052" s="863"/>
      <c r="AE1052" s="859"/>
      <c r="AF1052" s="859"/>
      <c r="AG1052" s="864"/>
      <c r="AH1052" s="865"/>
      <c r="AI1052" s="757">
        <f t="shared" si="152"/>
        <v>0</v>
      </c>
      <c r="AJ1052" s="758">
        <f t="shared" si="153"/>
        <v>0</v>
      </c>
    </row>
    <row r="1053" spans="1:36" x14ac:dyDescent="0.2">
      <c r="A1053" s="1217" t="s">
        <v>144</v>
      </c>
      <c r="B1053" s="1245" t="s">
        <v>209</v>
      </c>
      <c r="C1053" s="1246" t="s">
        <v>576</v>
      </c>
      <c r="D1053" s="1247"/>
      <c r="E1053" s="1236"/>
      <c r="F1053" s="1237"/>
      <c r="G1053" s="859"/>
      <c r="H1053" s="860"/>
      <c r="I1053" s="861"/>
      <c r="J1053" s="862"/>
      <c r="K1053" s="859"/>
      <c r="L1053" s="863"/>
      <c r="M1053" s="859"/>
      <c r="N1053" s="859"/>
      <c r="O1053" s="752">
        <f t="shared" si="146"/>
        <v>0</v>
      </c>
      <c r="P1053" s="862"/>
      <c r="Q1053" s="860"/>
      <c r="R1053" s="753">
        <f t="shared" si="149"/>
        <v>0</v>
      </c>
      <c r="S1053" s="752">
        <f t="shared" si="150"/>
        <v>0</v>
      </c>
      <c r="T1053" s="754">
        <f t="shared" si="151"/>
        <v>0</v>
      </c>
      <c r="U1053" s="859"/>
      <c r="V1053" s="863"/>
      <c r="W1053" s="859"/>
      <c r="X1053" s="859"/>
      <c r="Y1053" s="755">
        <f t="shared" si="147"/>
        <v>0</v>
      </c>
      <c r="Z1053" s="864"/>
      <c r="AA1053" s="863"/>
      <c r="AB1053" s="756">
        <f t="shared" si="148"/>
        <v>0</v>
      </c>
      <c r="AC1053" s="859"/>
      <c r="AD1053" s="863"/>
      <c r="AE1053" s="859"/>
      <c r="AF1053" s="859"/>
      <c r="AG1053" s="864"/>
      <c r="AH1053" s="865"/>
      <c r="AI1053" s="757">
        <f t="shared" si="152"/>
        <v>0</v>
      </c>
      <c r="AJ1053" s="758">
        <f t="shared" si="153"/>
        <v>0</v>
      </c>
    </row>
    <row r="1054" spans="1:36" x14ac:dyDescent="0.2">
      <c r="A1054" s="1217" t="s">
        <v>144</v>
      </c>
      <c r="B1054" s="1245" t="s">
        <v>210</v>
      </c>
      <c r="C1054" s="1246" t="s">
        <v>311</v>
      </c>
      <c r="D1054" s="1247"/>
      <c r="E1054" s="1236"/>
      <c r="F1054" s="1237"/>
      <c r="G1054" s="859"/>
      <c r="H1054" s="860"/>
      <c r="I1054" s="861"/>
      <c r="J1054" s="862"/>
      <c r="K1054" s="859"/>
      <c r="L1054" s="863"/>
      <c r="M1054" s="859"/>
      <c r="N1054" s="859"/>
      <c r="O1054" s="752">
        <f t="shared" si="146"/>
        <v>0</v>
      </c>
      <c r="P1054" s="862"/>
      <c r="Q1054" s="860"/>
      <c r="R1054" s="753">
        <f t="shared" si="149"/>
        <v>0</v>
      </c>
      <c r="S1054" s="752">
        <f t="shared" si="150"/>
        <v>0</v>
      </c>
      <c r="T1054" s="754">
        <f t="shared" si="151"/>
        <v>0</v>
      </c>
      <c r="U1054" s="859"/>
      <c r="V1054" s="863"/>
      <c r="W1054" s="859"/>
      <c r="X1054" s="859"/>
      <c r="Y1054" s="755">
        <f t="shared" si="147"/>
        <v>0</v>
      </c>
      <c r="Z1054" s="864"/>
      <c r="AA1054" s="863"/>
      <c r="AB1054" s="756">
        <f t="shared" si="148"/>
        <v>0</v>
      </c>
      <c r="AC1054" s="859"/>
      <c r="AD1054" s="863"/>
      <c r="AE1054" s="859"/>
      <c r="AF1054" s="859"/>
      <c r="AG1054" s="864"/>
      <c r="AH1054" s="865"/>
      <c r="AI1054" s="757">
        <f t="shared" si="152"/>
        <v>0</v>
      </c>
      <c r="AJ1054" s="758">
        <f t="shared" si="153"/>
        <v>0</v>
      </c>
    </row>
    <row r="1055" spans="1:36" x14ac:dyDescent="0.2">
      <c r="A1055" s="1217" t="s">
        <v>144</v>
      </c>
      <c r="B1055" s="1245" t="s">
        <v>204</v>
      </c>
      <c r="C1055" s="1246" t="s">
        <v>249</v>
      </c>
      <c r="D1055" s="1247"/>
      <c r="E1055" s="1236"/>
      <c r="F1055" s="1237"/>
      <c r="G1055" s="859"/>
      <c r="H1055" s="860"/>
      <c r="I1055" s="861"/>
      <c r="J1055" s="862"/>
      <c r="K1055" s="859"/>
      <c r="L1055" s="863"/>
      <c r="M1055" s="859"/>
      <c r="N1055" s="859"/>
      <c r="O1055" s="752">
        <f t="shared" si="146"/>
        <v>0</v>
      </c>
      <c r="P1055" s="862"/>
      <c r="Q1055" s="860"/>
      <c r="R1055" s="753">
        <f t="shared" si="149"/>
        <v>0</v>
      </c>
      <c r="S1055" s="752">
        <f t="shared" si="150"/>
        <v>0</v>
      </c>
      <c r="T1055" s="754">
        <f t="shared" si="151"/>
        <v>0</v>
      </c>
      <c r="U1055" s="859"/>
      <c r="V1055" s="863"/>
      <c r="W1055" s="859"/>
      <c r="X1055" s="859"/>
      <c r="Y1055" s="755">
        <f t="shared" si="147"/>
        <v>0</v>
      </c>
      <c r="Z1055" s="864"/>
      <c r="AA1055" s="863"/>
      <c r="AB1055" s="756">
        <f t="shared" si="148"/>
        <v>0</v>
      </c>
      <c r="AC1055" s="859"/>
      <c r="AD1055" s="863"/>
      <c r="AE1055" s="859"/>
      <c r="AF1055" s="859"/>
      <c r="AG1055" s="864"/>
      <c r="AH1055" s="865"/>
      <c r="AI1055" s="757">
        <f t="shared" si="152"/>
        <v>0</v>
      </c>
      <c r="AJ1055" s="758">
        <f t="shared" si="153"/>
        <v>0</v>
      </c>
    </row>
    <row r="1056" spans="1:36" x14ac:dyDescent="0.2">
      <c r="A1056" s="1217" t="s">
        <v>144</v>
      </c>
      <c r="B1056" s="1245" t="s">
        <v>205</v>
      </c>
      <c r="C1056" s="1246" t="s">
        <v>577</v>
      </c>
      <c r="D1056" s="1247"/>
      <c r="E1056" s="1236"/>
      <c r="F1056" s="1237"/>
      <c r="G1056" s="859"/>
      <c r="H1056" s="860"/>
      <c r="I1056" s="861"/>
      <c r="J1056" s="862"/>
      <c r="K1056" s="859"/>
      <c r="L1056" s="863"/>
      <c r="M1056" s="859"/>
      <c r="N1056" s="859"/>
      <c r="O1056" s="752">
        <f t="shared" si="146"/>
        <v>0</v>
      </c>
      <c r="P1056" s="862"/>
      <c r="Q1056" s="860"/>
      <c r="R1056" s="753">
        <f t="shared" si="149"/>
        <v>0</v>
      </c>
      <c r="S1056" s="752">
        <f t="shared" si="150"/>
        <v>0</v>
      </c>
      <c r="T1056" s="754">
        <f t="shared" si="151"/>
        <v>0</v>
      </c>
      <c r="U1056" s="859"/>
      <c r="V1056" s="863"/>
      <c r="W1056" s="859"/>
      <c r="X1056" s="859"/>
      <c r="Y1056" s="755">
        <f t="shared" si="147"/>
        <v>0</v>
      </c>
      <c r="Z1056" s="864"/>
      <c r="AA1056" s="863"/>
      <c r="AB1056" s="756">
        <f t="shared" si="148"/>
        <v>0</v>
      </c>
      <c r="AC1056" s="859"/>
      <c r="AD1056" s="863"/>
      <c r="AE1056" s="859"/>
      <c r="AF1056" s="859"/>
      <c r="AG1056" s="864"/>
      <c r="AH1056" s="865"/>
      <c r="AI1056" s="757">
        <f t="shared" si="152"/>
        <v>0</v>
      </c>
      <c r="AJ1056" s="758">
        <f t="shared" si="153"/>
        <v>0</v>
      </c>
    </row>
    <row r="1057" spans="1:36" x14ac:dyDescent="0.2">
      <c r="A1057" s="1217" t="s">
        <v>144</v>
      </c>
      <c r="B1057" s="1245" t="s">
        <v>218</v>
      </c>
      <c r="C1057" s="1246" t="s">
        <v>311</v>
      </c>
      <c r="D1057" s="1247"/>
      <c r="E1057" s="1236"/>
      <c r="F1057" s="1237"/>
      <c r="G1057" s="859"/>
      <c r="H1057" s="860"/>
      <c r="I1057" s="861"/>
      <c r="J1057" s="862"/>
      <c r="K1057" s="859"/>
      <c r="L1057" s="863"/>
      <c r="M1057" s="859"/>
      <c r="N1057" s="859"/>
      <c r="O1057" s="752">
        <f t="shared" si="146"/>
        <v>0</v>
      </c>
      <c r="P1057" s="862"/>
      <c r="Q1057" s="860"/>
      <c r="R1057" s="753">
        <f t="shared" si="149"/>
        <v>0</v>
      </c>
      <c r="S1057" s="752">
        <f t="shared" si="150"/>
        <v>0</v>
      </c>
      <c r="T1057" s="754">
        <f t="shared" si="151"/>
        <v>0</v>
      </c>
      <c r="U1057" s="859"/>
      <c r="V1057" s="863"/>
      <c r="W1057" s="859"/>
      <c r="X1057" s="859"/>
      <c r="Y1057" s="755">
        <f t="shared" si="147"/>
        <v>0</v>
      </c>
      <c r="Z1057" s="864"/>
      <c r="AA1057" s="863"/>
      <c r="AB1057" s="756">
        <f t="shared" si="148"/>
        <v>0</v>
      </c>
      <c r="AC1057" s="859"/>
      <c r="AD1057" s="863"/>
      <c r="AE1057" s="859"/>
      <c r="AF1057" s="859"/>
      <c r="AG1057" s="864"/>
      <c r="AH1057" s="865"/>
      <c r="AI1057" s="757">
        <f t="shared" si="152"/>
        <v>0</v>
      </c>
      <c r="AJ1057" s="758">
        <f t="shared" si="153"/>
        <v>0</v>
      </c>
    </row>
    <row r="1058" spans="1:36" x14ac:dyDescent="0.2">
      <c r="A1058" s="1217" t="s">
        <v>144</v>
      </c>
      <c r="B1058" s="1245" t="s">
        <v>219</v>
      </c>
      <c r="C1058" s="1246" t="s">
        <v>249</v>
      </c>
      <c r="D1058" s="1247"/>
      <c r="E1058" s="1236"/>
      <c r="F1058" s="1237"/>
      <c r="G1058" s="859"/>
      <c r="H1058" s="860"/>
      <c r="I1058" s="861"/>
      <c r="J1058" s="862"/>
      <c r="K1058" s="859"/>
      <c r="L1058" s="863"/>
      <c r="M1058" s="859"/>
      <c r="N1058" s="859"/>
      <c r="O1058" s="752">
        <f t="shared" si="146"/>
        <v>0</v>
      </c>
      <c r="P1058" s="862"/>
      <c r="Q1058" s="860"/>
      <c r="R1058" s="753">
        <f t="shared" si="149"/>
        <v>0</v>
      </c>
      <c r="S1058" s="752">
        <f t="shared" si="150"/>
        <v>0</v>
      </c>
      <c r="T1058" s="754">
        <f t="shared" si="151"/>
        <v>0</v>
      </c>
      <c r="U1058" s="859">
        <v>701750</v>
      </c>
      <c r="V1058" s="863">
        <v>785250</v>
      </c>
      <c r="W1058" s="859"/>
      <c r="X1058" s="859"/>
      <c r="Y1058" s="755">
        <f t="shared" si="147"/>
        <v>0</v>
      </c>
      <c r="Z1058" s="864"/>
      <c r="AA1058" s="863"/>
      <c r="AB1058" s="756">
        <f t="shared" si="148"/>
        <v>0</v>
      </c>
      <c r="AC1058" s="859"/>
      <c r="AD1058" s="863"/>
      <c r="AE1058" s="859"/>
      <c r="AF1058" s="859"/>
      <c r="AG1058" s="864"/>
      <c r="AH1058" s="865"/>
      <c r="AI1058" s="757">
        <f t="shared" si="152"/>
        <v>701750</v>
      </c>
      <c r="AJ1058" s="758">
        <f t="shared" si="153"/>
        <v>785250</v>
      </c>
    </row>
    <row r="1059" spans="1:36" x14ac:dyDescent="0.2">
      <c r="A1059" s="1217" t="s">
        <v>144</v>
      </c>
      <c r="B1059" s="1245" t="s">
        <v>293</v>
      </c>
      <c r="C1059" s="1248" t="s">
        <v>588</v>
      </c>
      <c r="D1059" s="1249"/>
      <c r="E1059" s="1236"/>
      <c r="F1059" s="1237"/>
      <c r="G1059" s="859"/>
      <c r="H1059" s="860"/>
      <c r="I1059" s="861"/>
      <c r="J1059" s="862"/>
      <c r="K1059" s="859"/>
      <c r="L1059" s="863"/>
      <c r="M1059" s="859"/>
      <c r="N1059" s="859"/>
      <c r="O1059" s="752">
        <f t="shared" si="146"/>
        <v>0</v>
      </c>
      <c r="P1059" s="862"/>
      <c r="Q1059" s="860"/>
      <c r="R1059" s="753">
        <f t="shared" si="149"/>
        <v>0</v>
      </c>
      <c r="S1059" s="752">
        <f t="shared" si="150"/>
        <v>0</v>
      </c>
      <c r="T1059" s="754">
        <f t="shared" si="151"/>
        <v>0</v>
      </c>
      <c r="U1059" s="859"/>
      <c r="V1059" s="863"/>
      <c r="W1059" s="859"/>
      <c r="X1059" s="859"/>
      <c r="Y1059" s="755">
        <f t="shared" si="147"/>
        <v>0</v>
      </c>
      <c r="Z1059" s="864"/>
      <c r="AA1059" s="863"/>
      <c r="AB1059" s="756">
        <f t="shared" si="148"/>
        <v>0</v>
      </c>
      <c r="AC1059" s="859"/>
      <c r="AD1059" s="863"/>
      <c r="AE1059" s="859"/>
      <c r="AF1059" s="859"/>
      <c r="AG1059" s="864"/>
      <c r="AH1059" s="865"/>
      <c r="AI1059" s="757">
        <f t="shared" si="152"/>
        <v>0</v>
      </c>
      <c r="AJ1059" s="758">
        <f t="shared" si="153"/>
        <v>0</v>
      </c>
    </row>
    <row r="1060" spans="1:36" x14ac:dyDescent="0.2">
      <c r="A1060" s="1217" t="s">
        <v>144</v>
      </c>
      <c r="B1060" s="1218" t="s">
        <v>293</v>
      </c>
      <c r="C1060" s="1244" t="s">
        <v>1233</v>
      </c>
      <c r="D1060" s="1224"/>
      <c r="E1060" s="1236"/>
      <c r="F1060" s="1237"/>
      <c r="G1060" s="859"/>
      <c r="H1060" s="860"/>
      <c r="I1060" s="861"/>
      <c r="J1060" s="862"/>
      <c r="K1060" s="859"/>
      <c r="L1060" s="863"/>
      <c r="M1060" s="859"/>
      <c r="N1060" s="859"/>
      <c r="O1060" s="752">
        <f t="shared" si="146"/>
        <v>0</v>
      </c>
      <c r="P1060" s="862"/>
      <c r="Q1060" s="860"/>
      <c r="R1060" s="753">
        <f t="shared" si="149"/>
        <v>0</v>
      </c>
      <c r="S1060" s="752">
        <f t="shared" si="150"/>
        <v>0</v>
      </c>
      <c r="T1060" s="754">
        <f t="shared" si="151"/>
        <v>0</v>
      </c>
      <c r="U1060" s="859"/>
      <c r="V1060" s="863"/>
      <c r="W1060" s="859"/>
      <c r="X1060" s="859"/>
      <c r="Y1060" s="755">
        <f t="shared" si="147"/>
        <v>0</v>
      </c>
      <c r="Z1060" s="864"/>
      <c r="AA1060" s="863"/>
      <c r="AB1060" s="756">
        <f t="shared" si="148"/>
        <v>0</v>
      </c>
      <c r="AC1060" s="859"/>
      <c r="AD1060" s="863"/>
      <c r="AE1060" s="859"/>
      <c r="AF1060" s="859"/>
      <c r="AG1060" s="864"/>
      <c r="AH1060" s="865"/>
      <c r="AI1060" s="757">
        <f t="shared" si="152"/>
        <v>0</v>
      </c>
      <c r="AJ1060" s="758">
        <f t="shared" si="153"/>
        <v>0</v>
      </c>
    </row>
    <row r="1061" spans="1:36" x14ac:dyDescent="0.2">
      <c r="A1061" s="1217" t="s">
        <v>144</v>
      </c>
      <c r="B1061" s="1245" t="s">
        <v>252</v>
      </c>
      <c r="C1061" s="1246" t="s">
        <v>311</v>
      </c>
      <c r="D1061" s="1247"/>
      <c r="E1061" s="1236"/>
      <c r="F1061" s="1237"/>
      <c r="G1061" s="859"/>
      <c r="H1061" s="860"/>
      <c r="I1061" s="861"/>
      <c r="J1061" s="862"/>
      <c r="K1061" s="859"/>
      <c r="L1061" s="863"/>
      <c r="M1061" s="859"/>
      <c r="N1061" s="859"/>
      <c r="O1061" s="752">
        <f t="shared" si="146"/>
        <v>0</v>
      </c>
      <c r="P1061" s="862"/>
      <c r="Q1061" s="860"/>
      <c r="R1061" s="753">
        <f t="shared" si="149"/>
        <v>0</v>
      </c>
      <c r="S1061" s="752">
        <f t="shared" si="150"/>
        <v>0</v>
      </c>
      <c r="T1061" s="754">
        <f t="shared" si="151"/>
        <v>0</v>
      </c>
      <c r="U1061" s="859"/>
      <c r="V1061" s="863"/>
      <c r="W1061" s="859"/>
      <c r="X1061" s="859"/>
      <c r="Y1061" s="755">
        <f t="shared" si="147"/>
        <v>0</v>
      </c>
      <c r="Z1061" s="864"/>
      <c r="AA1061" s="863"/>
      <c r="AB1061" s="756">
        <f t="shared" si="148"/>
        <v>0</v>
      </c>
      <c r="AC1061" s="859"/>
      <c r="AD1061" s="863"/>
      <c r="AE1061" s="859"/>
      <c r="AF1061" s="859"/>
      <c r="AG1061" s="864"/>
      <c r="AH1061" s="865"/>
      <c r="AI1061" s="757">
        <f t="shared" si="152"/>
        <v>0</v>
      </c>
      <c r="AJ1061" s="758">
        <f t="shared" si="153"/>
        <v>0</v>
      </c>
    </row>
    <row r="1062" spans="1:36" x14ac:dyDescent="0.2">
      <c r="A1062" s="1217" t="s">
        <v>144</v>
      </c>
      <c r="B1062" s="1245" t="s">
        <v>253</v>
      </c>
      <c r="C1062" s="1246" t="s">
        <v>249</v>
      </c>
      <c r="D1062" s="1247"/>
      <c r="E1062" s="1236"/>
      <c r="F1062" s="1237"/>
      <c r="G1062" s="859"/>
      <c r="H1062" s="860"/>
      <c r="I1062" s="861"/>
      <c r="J1062" s="862"/>
      <c r="K1062" s="859"/>
      <c r="L1062" s="863"/>
      <c r="M1062" s="859"/>
      <c r="N1062" s="859"/>
      <c r="O1062" s="752">
        <f t="shared" si="146"/>
        <v>0</v>
      </c>
      <c r="P1062" s="862"/>
      <c r="Q1062" s="860"/>
      <c r="R1062" s="753">
        <f t="shared" si="149"/>
        <v>0</v>
      </c>
      <c r="S1062" s="752">
        <f t="shared" si="150"/>
        <v>0</v>
      </c>
      <c r="T1062" s="754">
        <f t="shared" si="151"/>
        <v>0</v>
      </c>
      <c r="U1062" s="859">
        <v>401800599</v>
      </c>
      <c r="V1062" s="863">
        <v>424345076</v>
      </c>
      <c r="W1062" s="859"/>
      <c r="X1062" s="859"/>
      <c r="Y1062" s="755">
        <f t="shared" si="147"/>
        <v>0</v>
      </c>
      <c r="Z1062" s="864"/>
      <c r="AA1062" s="863"/>
      <c r="AB1062" s="756">
        <f t="shared" si="148"/>
        <v>0</v>
      </c>
      <c r="AC1062" s="859"/>
      <c r="AD1062" s="863"/>
      <c r="AE1062" s="859"/>
      <c r="AF1062" s="859"/>
      <c r="AG1062" s="864"/>
      <c r="AH1062" s="865"/>
      <c r="AI1062" s="757">
        <f t="shared" si="152"/>
        <v>401800599</v>
      </c>
      <c r="AJ1062" s="758">
        <f t="shared" si="153"/>
        <v>424345076</v>
      </c>
    </row>
    <row r="1063" spans="1:36" x14ac:dyDescent="0.2">
      <c r="A1063" s="1217" t="s">
        <v>144</v>
      </c>
      <c r="B1063" s="1218" t="s">
        <v>294</v>
      </c>
      <c r="C1063" s="1243" t="s">
        <v>307</v>
      </c>
      <c r="D1063" s="1242"/>
      <c r="E1063" s="1236"/>
      <c r="F1063" s="1237"/>
      <c r="G1063" s="859"/>
      <c r="H1063" s="860"/>
      <c r="I1063" s="861"/>
      <c r="J1063" s="862"/>
      <c r="K1063" s="859"/>
      <c r="L1063" s="863"/>
      <c r="M1063" s="859"/>
      <c r="N1063" s="859"/>
      <c r="O1063" s="752">
        <f t="shared" si="146"/>
        <v>0</v>
      </c>
      <c r="P1063" s="862"/>
      <c r="Q1063" s="860"/>
      <c r="R1063" s="753">
        <f t="shared" si="149"/>
        <v>0</v>
      </c>
      <c r="S1063" s="752">
        <f t="shared" si="150"/>
        <v>0</v>
      </c>
      <c r="T1063" s="754">
        <f t="shared" si="151"/>
        <v>0</v>
      </c>
      <c r="U1063" s="859"/>
      <c r="V1063" s="863"/>
      <c r="W1063" s="859"/>
      <c r="X1063" s="859"/>
      <c r="Y1063" s="755">
        <f t="shared" si="147"/>
        <v>0</v>
      </c>
      <c r="Z1063" s="864"/>
      <c r="AA1063" s="863"/>
      <c r="AB1063" s="756">
        <f t="shared" si="148"/>
        <v>0</v>
      </c>
      <c r="AC1063" s="859"/>
      <c r="AD1063" s="863"/>
      <c r="AE1063" s="859"/>
      <c r="AF1063" s="859"/>
      <c r="AG1063" s="864"/>
      <c r="AH1063" s="865"/>
      <c r="AI1063" s="757">
        <f t="shared" si="152"/>
        <v>0</v>
      </c>
      <c r="AJ1063" s="758">
        <f t="shared" si="153"/>
        <v>0</v>
      </c>
    </row>
    <row r="1064" spans="1:36" x14ac:dyDescent="0.2">
      <c r="A1064" s="1217" t="s">
        <v>144</v>
      </c>
      <c r="B1064" s="1218" t="s">
        <v>294</v>
      </c>
      <c r="C1064" s="1244" t="s">
        <v>1234</v>
      </c>
      <c r="D1064" s="1224"/>
      <c r="E1064" s="1250"/>
      <c r="F1064" s="1251"/>
      <c r="G1064" s="859"/>
      <c r="H1064" s="860"/>
      <c r="I1064" s="861"/>
      <c r="J1064" s="862"/>
      <c r="K1064" s="859"/>
      <c r="L1064" s="863"/>
      <c r="M1064" s="859"/>
      <c r="N1064" s="859"/>
      <c r="O1064" s="752">
        <f t="shared" si="146"/>
        <v>0</v>
      </c>
      <c r="P1064" s="862"/>
      <c r="Q1064" s="860"/>
      <c r="R1064" s="753">
        <f t="shared" si="149"/>
        <v>0</v>
      </c>
      <c r="S1064" s="752">
        <f t="shared" si="150"/>
        <v>0</v>
      </c>
      <c r="T1064" s="754">
        <f t="shared" si="151"/>
        <v>0</v>
      </c>
      <c r="U1064" s="859"/>
      <c r="V1064" s="863"/>
      <c r="W1064" s="859"/>
      <c r="X1064" s="859"/>
      <c r="Y1064" s="755">
        <f t="shared" si="147"/>
        <v>0</v>
      </c>
      <c r="Z1064" s="864"/>
      <c r="AA1064" s="863"/>
      <c r="AB1064" s="756">
        <f t="shared" si="148"/>
        <v>0</v>
      </c>
      <c r="AC1064" s="859"/>
      <c r="AD1064" s="863"/>
      <c r="AE1064" s="859"/>
      <c r="AF1064" s="859"/>
      <c r="AG1064" s="864"/>
      <c r="AH1064" s="865"/>
      <c r="AI1064" s="757">
        <f t="shared" si="152"/>
        <v>0</v>
      </c>
      <c r="AJ1064" s="758">
        <f t="shared" si="153"/>
        <v>0</v>
      </c>
    </row>
    <row r="1065" spans="1:36" x14ac:dyDescent="0.2">
      <c r="A1065" s="1217" t="s">
        <v>144</v>
      </c>
      <c r="B1065" s="1245" t="s">
        <v>254</v>
      </c>
      <c r="C1065" s="1246" t="s">
        <v>311</v>
      </c>
      <c r="D1065" s="1247"/>
      <c r="E1065" s="1250"/>
      <c r="F1065" s="1251"/>
      <c r="G1065" s="859"/>
      <c r="H1065" s="860"/>
      <c r="I1065" s="861"/>
      <c r="J1065" s="862"/>
      <c r="K1065" s="859"/>
      <c r="L1065" s="863"/>
      <c r="M1065" s="859"/>
      <c r="N1065" s="859"/>
      <c r="O1065" s="752">
        <f t="shared" si="146"/>
        <v>0</v>
      </c>
      <c r="P1065" s="862"/>
      <c r="Q1065" s="860"/>
      <c r="R1065" s="753">
        <f t="shared" si="149"/>
        <v>0</v>
      </c>
      <c r="S1065" s="752">
        <f t="shared" si="150"/>
        <v>0</v>
      </c>
      <c r="T1065" s="754">
        <f t="shared" si="151"/>
        <v>0</v>
      </c>
      <c r="U1065" s="859"/>
      <c r="V1065" s="863"/>
      <c r="W1065" s="859"/>
      <c r="X1065" s="859"/>
      <c r="Y1065" s="755">
        <f t="shared" si="147"/>
        <v>0</v>
      </c>
      <c r="Z1065" s="864"/>
      <c r="AA1065" s="863"/>
      <c r="AB1065" s="756">
        <f t="shared" si="148"/>
        <v>0</v>
      </c>
      <c r="AC1065" s="859"/>
      <c r="AD1065" s="863"/>
      <c r="AE1065" s="859"/>
      <c r="AF1065" s="859"/>
      <c r="AG1065" s="864"/>
      <c r="AH1065" s="865"/>
      <c r="AI1065" s="757">
        <f t="shared" si="152"/>
        <v>0</v>
      </c>
      <c r="AJ1065" s="758">
        <f t="shared" si="153"/>
        <v>0</v>
      </c>
    </row>
    <row r="1066" spans="1:36" x14ac:dyDescent="0.2">
      <c r="A1066" s="1217" t="s">
        <v>144</v>
      </c>
      <c r="B1066" s="1245" t="s">
        <v>255</v>
      </c>
      <c r="C1066" s="1246" t="s">
        <v>249</v>
      </c>
      <c r="D1066" s="1247"/>
      <c r="E1066" s="1250"/>
      <c r="F1066" s="1251"/>
      <c r="G1066" s="859"/>
      <c r="H1066" s="860"/>
      <c r="I1066" s="861"/>
      <c r="J1066" s="862"/>
      <c r="K1066" s="859"/>
      <c r="L1066" s="863"/>
      <c r="M1066" s="859"/>
      <c r="N1066" s="859"/>
      <c r="O1066" s="752">
        <f t="shared" si="146"/>
        <v>0</v>
      </c>
      <c r="P1066" s="862"/>
      <c r="Q1066" s="860"/>
      <c r="R1066" s="753">
        <f t="shared" si="149"/>
        <v>0</v>
      </c>
      <c r="S1066" s="752">
        <f t="shared" si="150"/>
        <v>0</v>
      </c>
      <c r="T1066" s="754">
        <f t="shared" si="151"/>
        <v>0</v>
      </c>
      <c r="U1066" s="859">
        <v>1094862</v>
      </c>
      <c r="V1066" s="863">
        <v>1094862</v>
      </c>
      <c r="W1066" s="859"/>
      <c r="X1066" s="859"/>
      <c r="Y1066" s="755">
        <f t="shared" si="147"/>
        <v>0</v>
      </c>
      <c r="Z1066" s="864"/>
      <c r="AA1066" s="863"/>
      <c r="AB1066" s="756">
        <f t="shared" si="148"/>
        <v>0</v>
      </c>
      <c r="AC1066" s="859"/>
      <c r="AD1066" s="863"/>
      <c r="AE1066" s="859"/>
      <c r="AF1066" s="859"/>
      <c r="AG1066" s="864"/>
      <c r="AH1066" s="865"/>
      <c r="AI1066" s="757">
        <f t="shared" si="152"/>
        <v>1094862</v>
      </c>
      <c r="AJ1066" s="758">
        <f t="shared" si="153"/>
        <v>1094862</v>
      </c>
    </row>
    <row r="1067" spans="1:36" x14ac:dyDescent="0.2">
      <c r="A1067" s="1217" t="s">
        <v>144</v>
      </c>
      <c r="B1067" s="1218" t="s">
        <v>294</v>
      </c>
      <c r="C1067" s="1244" t="s">
        <v>1233</v>
      </c>
      <c r="D1067" s="1224"/>
      <c r="E1067" s="1250"/>
      <c r="F1067" s="1251"/>
      <c r="G1067" s="859"/>
      <c r="H1067" s="860"/>
      <c r="I1067" s="861"/>
      <c r="J1067" s="862"/>
      <c r="K1067" s="859"/>
      <c r="L1067" s="863"/>
      <c r="M1067" s="859"/>
      <c r="N1067" s="859"/>
      <c r="O1067" s="752">
        <f t="shared" si="146"/>
        <v>0</v>
      </c>
      <c r="P1067" s="862"/>
      <c r="Q1067" s="860"/>
      <c r="R1067" s="753">
        <f t="shared" si="149"/>
        <v>0</v>
      </c>
      <c r="S1067" s="752">
        <f t="shared" si="150"/>
        <v>0</v>
      </c>
      <c r="T1067" s="754">
        <f t="shared" si="151"/>
        <v>0</v>
      </c>
      <c r="U1067" s="859"/>
      <c r="V1067" s="863"/>
      <c r="W1067" s="859"/>
      <c r="X1067" s="859"/>
      <c r="Y1067" s="755">
        <f t="shared" si="147"/>
        <v>0</v>
      </c>
      <c r="Z1067" s="864"/>
      <c r="AA1067" s="863"/>
      <c r="AB1067" s="756">
        <f t="shared" si="148"/>
        <v>0</v>
      </c>
      <c r="AC1067" s="859"/>
      <c r="AD1067" s="863"/>
      <c r="AE1067" s="859"/>
      <c r="AF1067" s="859"/>
      <c r="AG1067" s="864"/>
      <c r="AH1067" s="865"/>
      <c r="AI1067" s="757">
        <f t="shared" si="152"/>
        <v>0</v>
      </c>
      <c r="AJ1067" s="758">
        <f t="shared" si="153"/>
        <v>0</v>
      </c>
    </row>
    <row r="1068" spans="1:36" x14ac:dyDescent="0.2">
      <c r="A1068" s="1217" t="s">
        <v>144</v>
      </c>
      <c r="B1068" s="1245" t="s">
        <v>254</v>
      </c>
      <c r="C1068" s="1246" t="s">
        <v>311</v>
      </c>
      <c r="D1068" s="1247"/>
      <c r="E1068" s="1250"/>
      <c r="F1068" s="1251"/>
      <c r="G1068" s="859"/>
      <c r="H1068" s="860"/>
      <c r="I1068" s="861"/>
      <c r="J1068" s="862"/>
      <c r="K1068" s="859"/>
      <c r="L1068" s="863"/>
      <c r="M1068" s="859"/>
      <c r="N1068" s="859"/>
      <c r="O1068" s="752">
        <f t="shared" si="146"/>
        <v>0</v>
      </c>
      <c r="P1068" s="862"/>
      <c r="Q1068" s="860"/>
      <c r="R1068" s="753">
        <f t="shared" si="149"/>
        <v>0</v>
      </c>
      <c r="S1068" s="752">
        <f t="shared" si="150"/>
        <v>0</v>
      </c>
      <c r="T1068" s="754">
        <f t="shared" si="151"/>
        <v>0</v>
      </c>
      <c r="U1068" s="859"/>
      <c r="V1068" s="863"/>
      <c r="W1068" s="859"/>
      <c r="X1068" s="859"/>
      <c r="Y1068" s="755">
        <f t="shared" si="147"/>
        <v>0</v>
      </c>
      <c r="Z1068" s="864"/>
      <c r="AA1068" s="863"/>
      <c r="AB1068" s="756">
        <f t="shared" si="148"/>
        <v>0</v>
      </c>
      <c r="AC1068" s="859"/>
      <c r="AD1068" s="863"/>
      <c r="AE1068" s="859"/>
      <c r="AF1068" s="859"/>
      <c r="AG1068" s="864"/>
      <c r="AH1068" s="865"/>
      <c r="AI1068" s="757">
        <f t="shared" si="152"/>
        <v>0</v>
      </c>
      <c r="AJ1068" s="758">
        <f t="shared" si="153"/>
        <v>0</v>
      </c>
    </row>
    <row r="1069" spans="1:36" x14ac:dyDescent="0.2">
      <c r="A1069" s="1217" t="s">
        <v>144</v>
      </c>
      <c r="B1069" s="1245" t="s">
        <v>255</v>
      </c>
      <c r="C1069" s="1246" t="s">
        <v>249</v>
      </c>
      <c r="D1069" s="1247"/>
      <c r="E1069" s="1250"/>
      <c r="F1069" s="1251"/>
      <c r="G1069" s="859"/>
      <c r="H1069" s="860"/>
      <c r="I1069" s="861"/>
      <c r="J1069" s="862"/>
      <c r="K1069" s="859"/>
      <c r="L1069" s="863"/>
      <c r="M1069" s="859"/>
      <c r="N1069" s="859"/>
      <c r="O1069" s="752">
        <f t="shared" si="146"/>
        <v>0</v>
      </c>
      <c r="P1069" s="862"/>
      <c r="Q1069" s="860"/>
      <c r="R1069" s="753">
        <f t="shared" si="149"/>
        <v>0</v>
      </c>
      <c r="S1069" s="752">
        <f t="shared" si="150"/>
        <v>0</v>
      </c>
      <c r="T1069" s="754">
        <f t="shared" si="151"/>
        <v>0</v>
      </c>
      <c r="U1069" s="859"/>
      <c r="V1069" s="863"/>
      <c r="W1069" s="859"/>
      <c r="X1069" s="859"/>
      <c r="Y1069" s="755">
        <f t="shared" si="147"/>
        <v>0</v>
      </c>
      <c r="Z1069" s="864"/>
      <c r="AA1069" s="863"/>
      <c r="AB1069" s="756">
        <f t="shared" si="148"/>
        <v>0</v>
      </c>
      <c r="AC1069" s="859"/>
      <c r="AD1069" s="863"/>
      <c r="AE1069" s="859"/>
      <c r="AF1069" s="859"/>
      <c r="AG1069" s="864"/>
      <c r="AH1069" s="865"/>
      <c r="AI1069" s="757">
        <f t="shared" si="152"/>
        <v>0</v>
      </c>
      <c r="AJ1069" s="758">
        <f t="shared" si="153"/>
        <v>0</v>
      </c>
    </row>
    <row r="1070" spans="1:36" x14ac:dyDescent="0.2">
      <c r="A1070" s="843" t="s">
        <v>144</v>
      </c>
      <c r="B1070" s="844" t="s">
        <v>264</v>
      </c>
      <c r="C1070" s="979" t="s">
        <v>730</v>
      </c>
      <c r="D1070" s="980"/>
      <c r="E1070" s="981">
        <v>138682</v>
      </c>
      <c r="F1070" s="982">
        <v>12</v>
      </c>
      <c r="G1070" s="983">
        <v>10121988.51</v>
      </c>
      <c r="H1070" s="860">
        <v>9043023</v>
      </c>
      <c r="I1070" s="861"/>
      <c r="J1070" s="862"/>
      <c r="K1070" s="859"/>
      <c r="L1070" s="863"/>
      <c r="M1070" s="983">
        <v>10988594.35</v>
      </c>
      <c r="N1070" s="859"/>
      <c r="O1070" s="752">
        <f t="shared" si="146"/>
        <v>10988594.35</v>
      </c>
      <c r="P1070" s="862">
        <v>10768822.463</v>
      </c>
      <c r="Q1070" s="860"/>
      <c r="R1070" s="753">
        <f t="shared" si="149"/>
        <v>10768822.463</v>
      </c>
      <c r="S1070" s="752">
        <f t="shared" si="150"/>
        <v>21110582.859999999</v>
      </c>
      <c r="T1070" s="754">
        <f t="shared" si="151"/>
        <v>19811845.463</v>
      </c>
      <c r="U1070" s="859"/>
      <c r="V1070" s="863"/>
      <c r="W1070" s="859"/>
      <c r="X1070" s="859"/>
      <c r="Y1070" s="755">
        <f t="shared" si="147"/>
        <v>0</v>
      </c>
      <c r="Z1070" s="864"/>
      <c r="AA1070" s="863"/>
      <c r="AB1070" s="756">
        <f t="shared" si="148"/>
        <v>0</v>
      </c>
      <c r="AC1070" s="859"/>
      <c r="AD1070" s="863"/>
      <c r="AE1070" s="859"/>
      <c r="AF1070" s="859"/>
      <c r="AG1070" s="864"/>
      <c r="AH1070" s="865"/>
      <c r="AI1070" s="757">
        <f t="shared" si="152"/>
        <v>21110582.859999999</v>
      </c>
      <c r="AJ1070" s="758">
        <f t="shared" si="153"/>
        <v>19811845.463</v>
      </c>
    </row>
    <row r="1071" spans="1:36" x14ac:dyDescent="0.2">
      <c r="A1071" s="843" t="s">
        <v>144</v>
      </c>
      <c r="B1071" s="844" t="s">
        <v>264</v>
      </c>
      <c r="C1071" s="984" t="s">
        <v>731</v>
      </c>
      <c r="D1071" s="985"/>
      <c r="E1071" s="986">
        <v>366447</v>
      </c>
      <c r="F1071" s="880">
        <v>12</v>
      </c>
      <c r="G1071" s="983">
        <v>7042007.8399999999</v>
      </c>
      <c r="H1071" s="860">
        <v>6882362</v>
      </c>
      <c r="I1071" s="861"/>
      <c r="J1071" s="862"/>
      <c r="K1071" s="859"/>
      <c r="L1071" s="863"/>
      <c r="M1071" s="983">
        <v>3674890.1</v>
      </c>
      <c r="N1071" s="859"/>
      <c r="O1071" s="752">
        <f t="shared" si="146"/>
        <v>3674890.1</v>
      </c>
      <c r="P1071" s="862">
        <v>3601392.298</v>
      </c>
      <c r="Q1071" s="860"/>
      <c r="R1071" s="753">
        <f t="shared" si="149"/>
        <v>3601392.298</v>
      </c>
      <c r="S1071" s="752">
        <f t="shared" si="150"/>
        <v>10716897.939999999</v>
      </c>
      <c r="T1071" s="754">
        <f t="shared" si="151"/>
        <v>10483754.298</v>
      </c>
      <c r="U1071" s="859"/>
      <c r="V1071" s="863"/>
      <c r="W1071" s="859"/>
      <c r="X1071" s="859"/>
      <c r="Y1071" s="755">
        <f t="shared" si="147"/>
        <v>0</v>
      </c>
      <c r="Z1071" s="864"/>
      <c r="AA1071" s="863"/>
      <c r="AB1071" s="756">
        <f t="shared" si="148"/>
        <v>0</v>
      </c>
      <c r="AC1071" s="859"/>
      <c r="AD1071" s="863"/>
      <c r="AE1071" s="859"/>
      <c r="AF1071" s="859"/>
      <c r="AG1071" s="864"/>
      <c r="AH1071" s="865"/>
      <c r="AI1071" s="757">
        <f t="shared" si="152"/>
        <v>10716897.939999999</v>
      </c>
      <c r="AJ1071" s="758">
        <f t="shared" si="153"/>
        <v>10483754.298</v>
      </c>
    </row>
    <row r="1072" spans="1:36" x14ac:dyDescent="0.2">
      <c r="A1072" s="843" t="s">
        <v>144</v>
      </c>
      <c r="B1072" s="844" t="s">
        <v>264</v>
      </c>
      <c r="C1072" s="979" t="s">
        <v>732</v>
      </c>
      <c r="D1072" s="980"/>
      <c r="E1072" s="981">
        <v>246813</v>
      </c>
      <c r="F1072" s="982">
        <v>12</v>
      </c>
      <c r="G1072" s="983">
        <v>10903443</v>
      </c>
      <c r="H1072" s="860">
        <v>10434374</v>
      </c>
      <c r="I1072" s="861"/>
      <c r="J1072" s="862"/>
      <c r="K1072" s="859"/>
      <c r="L1072" s="863"/>
      <c r="M1072" s="983">
        <v>12033368.452</v>
      </c>
      <c r="N1072" s="859"/>
      <c r="O1072" s="752">
        <f t="shared" si="146"/>
        <v>12033368.452</v>
      </c>
      <c r="P1072" s="862">
        <v>11792701.08296</v>
      </c>
      <c r="Q1072" s="860"/>
      <c r="R1072" s="753">
        <f t="shared" si="149"/>
        <v>11792701.08296</v>
      </c>
      <c r="S1072" s="752">
        <f t="shared" si="150"/>
        <v>22936811.452</v>
      </c>
      <c r="T1072" s="754">
        <f t="shared" si="151"/>
        <v>22227075.082960002</v>
      </c>
      <c r="U1072" s="859"/>
      <c r="V1072" s="863"/>
      <c r="W1072" s="859"/>
      <c r="X1072" s="859"/>
      <c r="Y1072" s="755">
        <f t="shared" si="147"/>
        <v>0</v>
      </c>
      <c r="Z1072" s="864"/>
      <c r="AA1072" s="863"/>
      <c r="AB1072" s="756">
        <f t="shared" si="148"/>
        <v>0</v>
      </c>
      <c r="AC1072" s="859"/>
      <c r="AD1072" s="863"/>
      <c r="AE1072" s="859"/>
      <c r="AF1072" s="859"/>
      <c r="AG1072" s="864"/>
      <c r="AH1072" s="865"/>
      <c r="AI1072" s="757">
        <f t="shared" si="152"/>
        <v>22936811.452</v>
      </c>
      <c r="AJ1072" s="758">
        <f t="shared" si="153"/>
        <v>22227075.082960002</v>
      </c>
    </row>
    <row r="1073" spans="1:36" x14ac:dyDescent="0.2">
      <c r="A1073" s="843" t="s">
        <v>144</v>
      </c>
      <c r="B1073" s="844" t="s">
        <v>264</v>
      </c>
      <c r="C1073" s="979" t="s">
        <v>733</v>
      </c>
      <c r="D1073" s="980"/>
      <c r="E1073" s="981">
        <v>138840</v>
      </c>
      <c r="F1073" s="982">
        <v>12</v>
      </c>
      <c r="G1073" s="983">
        <v>12472126.390000001</v>
      </c>
      <c r="H1073" s="860">
        <v>11137351</v>
      </c>
      <c r="I1073" s="861"/>
      <c r="J1073" s="862"/>
      <c r="K1073" s="859"/>
      <c r="L1073" s="863"/>
      <c r="M1073" s="983">
        <v>13771778.182400001</v>
      </c>
      <c r="N1073" s="859"/>
      <c r="O1073" s="752">
        <f t="shared" si="146"/>
        <v>13771778.182400001</v>
      </c>
      <c r="P1073" s="862">
        <v>13496342.618752001</v>
      </c>
      <c r="Q1073" s="860"/>
      <c r="R1073" s="753">
        <f t="shared" si="149"/>
        <v>13496342.618752001</v>
      </c>
      <c r="S1073" s="752">
        <f t="shared" si="150"/>
        <v>26243904.572400004</v>
      </c>
      <c r="T1073" s="754">
        <f t="shared" si="151"/>
        <v>24633693.618752003</v>
      </c>
      <c r="U1073" s="859"/>
      <c r="V1073" s="863"/>
      <c r="W1073" s="859"/>
      <c r="X1073" s="859"/>
      <c r="Y1073" s="755">
        <f t="shared" si="147"/>
        <v>0</v>
      </c>
      <c r="Z1073" s="864"/>
      <c r="AA1073" s="863"/>
      <c r="AB1073" s="756">
        <f t="shared" si="148"/>
        <v>0</v>
      </c>
      <c r="AC1073" s="859"/>
      <c r="AD1073" s="863"/>
      <c r="AE1073" s="859"/>
      <c r="AF1073" s="859"/>
      <c r="AG1073" s="864"/>
      <c r="AH1073" s="865"/>
      <c r="AI1073" s="757">
        <f t="shared" si="152"/>
        <v>26243904.572400004</v>
      </c>
      <c r="AJ1073" s="758">
        <f t="shared" si="153"/>
        <v>24633693.618752003</v>
      </c>
    </row>
    <row r="1074" spans="1:36" x14ac:dyDescent="0.2">
      <c r="A1074" s="843" t="s">
        <v>144</v>
      </c>
      <c r="B1074" s="844" t="s">
        <v>264</v>
      </c>
      <c r="C1074" s="979" t="s">
        <v>734</v>
      </c>
      <c r="D1074" s="980"/>
      <c r="E1074" s="981">
        <v>138956</v>
      </c>
      <c r="F1074" s="982">
        <v>12</v>
      </c>
      <c r="G1074" s="983">
        <v>13128991.84</v>
      </c>
      <c r="H1074" s="860">
        <v>12843834</v>
      </c>
      <c r="I1074" s="861"/>
      <c r="J1074" s="862"/>
      <c r="K1074" s="859"/>
      <c r="L1074" s="863"/>
      <c r="M1074" s="983">
        <v>10207001.220000001</v>
      </c>
      <c r="N1074" s="859"/>
      <c r="O1074" s="752">
        <f t="shared" si="146"/>
        <v>10207001.220000001</v>
      </c>
      <c r="P1074" s="862">
        <v>10002861.195600001</v>
      </c>
      <c r="Q1074" s="860"/>
      <c r="R1074" s="753">
        <f t="shared" si="149"/>
        <v>10002861.195600001</v>
      </c>
      <c r="S1074" s="752">
        <f t="shared" si="150"/>
        <v>23335993.060000002</v>
      </c>
      <c r="T1074" s="754">
        <f t="shared" si="151"/>
        <v>22846695.195600003</v>
      </c>
      <c r="U1074" s="859"/>
      <c r="V1074" s="863"/>
      <c r="W1074" s="859"/>
      <c r="X1074" s="859"/>
      <c r="Y1074" s="755">
        <f t="shared" si="147"/>
        <v>0</v>
      </c>
      <c r="Z1074" s="864"/>
      <c r="AA1074" s="863"/>
      <c r="AB1074" s="756">
        <f t="shared" si="148"/>
        <v>0</v>
      </c>
      <c r="AC1074" s="859"/>
      <c r="AD1074" s="863"/>
      <c r="AE1074" s="859"/>
      <c r="AF1074" s="859"/>
      <c r="AG1074" s="864"/>
      <c r="AH1074" s="865"/>
      <c r="AI1074" s="757">
        <f t="shared" si="152"/>
        <v>23335993.060000002</v>
      </c>
      <c r="AJ1074" s="758">
        <f t="shared" si="153"/>
        <v>22846695.195600003</v>
      </c>
    </row>
    <row r="1075" spans="1:36" x14ac:dyDescent="0.2">
      <c r="A1075" s="843" t="s">
        <v>144</v>
      </c>
      <c r="B1075" s="844" t="s">
        <v>264</v>
      </c>
      <c r="C1075" s="1460" t="s">
        <v>735</v>
      </c>
      <c r="D1075" s="980"/>
      <c r="E1075" s="981">
        <v>140304</v>
      </c>
      <c r="F1075" s="982">
        <v>12</v>
      </c>
      <c r="G1075" s="1461">
        <v>22495183.419999998</v>
      </c>
      <c r="H1075" s="860">
        <v>20193913</v>
      </c>
      <c r="I1075" s="861"/>
      <c r="J1075" s="862"/>
      <c r="K1075" s="859"/>
      <c r="L1075" s="863"/>
      <c r="M1075" s="1461">
        <v>17765544.992200002</v>
      </c>
      <c r="N1075" s="859"/>
      <c r="O1075" s="752">
        <f t="shared" si="146"/>
        <v>17765544.992200002</v>
      </c>
      <c r="P1075" s="862">
        <v>17355650</v>
      </c>
      <c r="Q1075" s="860"/>
      <c r="R1075" s="753">
        <f t="shared" si="149"/>
        <v>17355650</v>
      </c>
      <c r="S1075" s="752">
        <f t="shared" si="150"/>
        <v>40260728.412200004</v>
      </c>
      <c r="T1075" s="754">
        <f t="shared" si="151"/>
        <v>37549563</v>
      </c>
      <c r="U1075" s="859"/>
      <c r="V1075" s="863"/>
      <c r="W1075" s="859"/>
      <c r="X1075" s="859"/>
      <c r="Y1075" s="755">
        <f t="shared" si="147"/>
        <v>0</v>
      </c>
      <c r="Z1075" s="864"/>
      <c r="AA1075" s="863"/>
      <c r="AB1075" s="756">
        <f t="shared" si="148"/>
        <v>0</v>
      </c>
      <c r="AC1075" s="859"/>
      <c r="AD1075" s="863"/>
      <c r="AE1075" s="859"/>
      <c r="AF1075" s="859"/>
      <c r="AG1075" s="864"/>
      <c r="AH1075" s="865"/>
      <c r="AI1075" s="757">
        <f t="shared" si="152"/>
        <v>40260728.412200004</v>
      </c>
      <c r="AJ1075" s="758">
        <f t="shared" si="153"/>
        <v>37549563</v>
      </c>
    </row>
    <row r="1076" spans="1:36" x14ac:dyDescent="0.2">
      <c r="A1076" s="843" t="s">
        <v>144</v>
      </c>
      <c r="B1076" s="844" t="s">
        <v>264</v>
      </c>
      <c r="C1076" s="984" t="s">
        <v>736</v>
      </c>
      <c r="D1076" s="985"/>
      <c r="E1076" s="981">
        <v>140331</v>
      </c>
      <c r="F1076" s="982">
        <v>12</v>
      </c>
      <c r="G1076" s="983">
        <v>19674210.640000001</v>
      </c>
      <c r="H1076" s="860">
        <v>19242616</v>
      </c>
      <c r="I1076" s="861"/>
      <c r="J1076" s="862"/>
      <c r="K1076" s="859"/>
      <c r="L1076" s="863"/>
      <c r="M1076" s="983">
        <v>25616662.02</v>
      </c>
      <c r="N1076" s="859"/>
      <c r="O1076" s="752">
        <f t="shared" si="146"/>
        <v>25616662.02</v>
      </c>
      <c r="P1076" s="862">
        <v>25104328.779599998</v>
      </c>
      <c r="Q1076" s="860"/>
      <c r="R1076" s="753">
        <f t="shared" si="149"/>
        <v>25104328.779599998</v>
      </c>
      <c r="S1076" s="752">
        <f t="shared" si="150"/>
        <v>45290872.659999996</v>
      </c>
      <c r="T1076" s="754">
        <f t="shared" si="151"/>
        <v>44346944.779599994</v>
      </c>
      <c r="U1076" s="859"/>
      <c r="V1076" s="863"/>
      <c r="W1076" s="859"/>
      <c r="X1076" s="859"/>
      <c r="Y1076" s="755">
        <f t="shared" si="147"/>
        <v>0</v>
      </c>
      <c r="Z1076" s="864"/>
      <c r="AA1076" s="863"/>
      <c r="AB1076" s="756">
        <f t="shared" si="148"/>
        <v>0</v>
      </c>
      <c r="AC1076" s="859"/>
      <c r="AD1076" s="863"/>
      <c r="AE1076" s="859"/>
      <c r="AF1076" s="859"/>
      <c r="AG1076" s="864"/>
      <c r="AH1076" s="865"/>
      <c r="AI1076" s="757">
        <f t="shared" si="152"/>
        <v>45290872.659999996</v>
      </c>
      <c r="AJ1076" s="758">
        <f t="shared" si="153"/>
        <v>44346944.779599994</v>
      </c>
    </row>
    <row r="1077" spans="1:36" x14ac:dyDescent="0.2">
      <c r="A1077" s="843" t="s">
        <v>144</v>
      </c>
      <c r="B1077" s="844" t="s">
        <v>264</v>
      </c>
      <c r="C1077" s="987" t="s">
        <v>737</v>
      </c>
      <c r="D1077" s="980"/>
      <c r="E1077" s="981">
        <v>139357</v>
      </c>
      <c r="F1077" s="982">
        <v>12</v>
      </c>
      <c r="G1077" s="983">
        <v>9121327.2300000004</v>
      </c>
      <c r="H1077" s="860">
        <v>10224993</v>
      </c>
      <c r="I1077" s="861"/>
      <c r="J1077" s="862"/>
      <c r="K1077" s="859"/>
      <c r="L1077" s="863"/>
      <c r="M1077" s="983">
        <v>12563308.85</v>
      </c>
      <c r="N1077" s="859"/>
      <c r="O1077" s="752">
        <f t="shared" si="146"/>
        <v>12563308.85</v>
      </c>
      <c r="P1077" s="862">
        <v>12312042.672999999</v>
      </c>
      <c r="Q1077" s="860"/>
      <c r="R1077" s="753">
        <f t="shared" si="149"/>
        <v>12312042.672999999</v>
      </c>
      <c r="S1077" s="752">
        <f t="shared" si="150"/>
        <v>21684636.079999998</v>
      </c>
      <c r="T1077" s="754">
        <f t="shared" si="151"/>
        <v>22537035.673</v>
      </c>
      <c r="U1077" s="859"/>
      <c r="V1077" s="863"/>
      <c r="W1077" s="859"/>
      <c r="X1077" s="859"/>
      <c r="Y1077" s="755">
        <f t="shared" si="147"/>
        <v>0</v>
      </c>
      <c r="Z1077" s="864"/>
      <c r="AA1077" s="863"/>
      <c r="AB1077" s="756">
        <f t="shared" si="148"/>
        <v>0</v>
      </c>
      <c r="AC1077" s="859"/>
      <c r="AD1077" s="863"/>
      <c r="AE1077" s="859"/>
      <c r="AF1077" s="859"/>
      <c r="AG1077" s="864"/>
      <c r="AH1077" s="865"/>
      <c r="AI1077" s="757">
        <f t="shared" si="152"/>
        <v>21684636.079999998</v>
      </c>
      <c r="AJ1077" s="758">
        <f t="shared" si="153"/>
        <v>22537035.673</v>
      </c>
    </row>
    <row r="1078" spans="1:36" x14ac:dyDescent="0.2">
      <c r="A1078" s="843" t="s">
        <v>144</v>
      </c>
      <c r="B1078" s="844" t="s">
        <v>264</v>
      </c>
      <c r="C1078" s="984" t="s">
        <v>738</v>
      </c>
      <c r="D1078" s="985"/>
      <c r="E1078" s="981">
        <v>139384</v>
      </c>
      <c r="F1078" s="982">
        <v>12</v>
      </c>
      <c r="G1078" s="983">
        <v>15792914.119999999</v>
      </c>
      <c r="H1078" s="860">
        <v>15963610</v>
      </c>
      <c r="I1078" s="861"/>
      <c r="J1078" s="862"/>
      <c r="K1078" s="859"/>
      <c r="L1078" s="863"/>
      <c r="M1078" s="983">
        <v>13856968.800000001</v>
      </c>
      <c r="N1078" s="859"/>
      <c r="O1078" s="752">
        <f t="shared" si="146"/>
        <v>13856968.800000001</v>
      </c>
      <c r="P1078" s="862">
        <v>13579829.424000001</v>
      </c>
      <c r="Q1078" s="860"/>
      <c r="R1078" s="753">
        <f t="shared" si="149"/>
        <v>13579829.424000001</v>
      </c>
      <c r="S1078" s="752">
        <f t="shared" si="150"/>
        <v>29649882.920000002</v>
      </c>
      <c r="T1078" s="754">
        <f t="shared" si="151"/>
        <v>29543439.424000002</v>
      </c>
      <c r="U1078" s="859"/>
      <c r="V1078" s="863"/>
      <c r="W1078" s="859"/>
      <c r="X1078" s="859"/>
      <c r="Y1078" s="755">
        <f t="shared" si="147"/>
        <v>0</v>
      </c>
      <c r="Z1078" s="864"/>
      <c r="AA1078" s="863"/>
      <c r="AB1078" s="756">
        <f t="shared" si="148"/>
        <v>0</v>
      </c>
      <c r="AC1078" s="859"/>
      <c r="AD1078" s="863"/>
      <c r="AE1078" s="859"/>
      <c r="AF1078" s="859"/>
      <c r="AG1078" s="864"/>
      <c r="AH1078" s="865"/>
      <c r="AI1078" s="757">
        <f t="shared" si="152"/>
        <v>29649882.920000002</v>
      </c>
      <c r="AJ1078" s="758">
        <f t="shared" si="153"/>
        <v>29543439.424000002</v>
      </c>
    </row>
    <row r="1079" spans="1:36" x14ac:dyDescent="0.2">
      <c r="A1079" s="843" t="s">
        <v>144</v>
      </c>
      <c r="B1079" s="844" t="s">
        <v>264</v>
      </c>
      <c r="C1079" s="988" t="s">
        <v>739</v>
      </c>
      <c r="D1079" s="874"/>
      <c r="E1079" s="981">
        <v>244446</v>
      </c>
      <c r="F1079" s="982">
        <v>12</v>
      </c>
      <c r="G1079" s="983">
        <v>13347181.119999999</v>
      </c>
      <c r="H1079" s="860">
        <v>13460035</v>
      </c>
      <c r="I1079" s="861"/>
      <c r="J1079" s="862"/>
      <c r="K1079" s="859"/>
      <c r="L1079" s="863"/>
      <c r="M1079" s="983">
        <v>13850937.6</v>
      </c>
      <c r="N1079" s="859"/>
      <c r="O1079" s="752">
        <f t="shared" si="146"/>
        <v>13850937.6</v>
      </c>
      <c r="P1079" s="862">
        <v>13573918.847999999</v>
      </c>
      <c r="Q1079" s="860"/>
      <c r="R1079" s="753">
        <f t="shared" si="149"/>
        <v>13573918.847999999</v>
      </c>
      <c r="S1079" s="752">
        <f t="shared" si="150"/>
        <v>27198118.719999999</v>
      </c>
      <c r="T1079" s="754">
        <f t="shared" si="151"/>
        <v>27033953.847999997</v>
      </c>
      <c r="U1079" s="859"/>
      <c r="V1079" s="863"/>
      <c r="W1079" s="859"/>
      <c r="X1079" s="859"/>
      <c r="Y1079" s="755">
        <f t="shared" si="147"/>
        <v>0</v>
      </c>
      <c r="Z1079" s="864"/>
      <c r="AA1079" s="863"/>
      <c r="AB1079" s="756">
        <f t="shared" si="148"/>
        <v>0</v>
      </c>
      <c r="AC1079" s="859"/>
      <c r="AD1079" s="863"/>
      <c r="AE1079" s="859"/>
      <c r="AF1079" s="859"/>
      <c r="AG1079" s="864"/>
      <c r="AH1079" s="865"/>
      <c r="AI1079" s="757">
        <f t="shared" si="152"/>
        <v>27198118.719999999</v>
      </c>
      <c r="AJ1079" s="758">
        <f t="shared" si="153"/>
        <v>27033953.847999997</v>
      </c>
    </row>
    <row r="1080" spans="1:36" x14ac:dyDescent="0.2">
      <c r="A1080" s="843" t="s">
        <v>144</v>
      </c>
      <c r="B1080" s="844" t="s">
        <v>264</v>
      </c>
      <c r="C1080" s="979" t="s">
        <v>740</v>
      </c>
      <c r="D1080" s="980"/>
      <c r="E1080" s="981">
        <v>140012</v>
      </c>
      <c r="F1080" s="982">
        <v>12</v>
      </c>
      <c r="G1080" s="983">
        <v>13105568.52</v>
      </c>
      <c r="H1080" s="860">
        <v>13470295</v>
      </c>
      <c r="I1080" s="861"/>
      <c r="J1080" s="862"/>
      <c r="K1080" s="859"/>
      <c r="L1080" s="863"/>
      <c r="M1080" s="983">
        <v>19476570.146600001</v>
      </c>
      <c r="N1080" s="859"/>
      <c r="O1080" s="752">
        <f t="shared" si="146"/>
        <v>19476570.146600001</v>
      </c>
      <c r="P1080" s="862">
        <v>19087038.743668001</v>
      </c>
      <c r="Q1080" s="860"/>
      <c r="R1080" s="753">
        <f t="shared" si="149"/>
        <v>19087038.743668001</v>
      </c>
      <c r="S1080" s="752">
        <f t="shared" si="150"/>
        <v>32582138.6666</v>
      </c>
      <c r="T1080" s="754">
        <f t="shared" si="151"/>
        <v>32557333.743668001</v>
      </c>
      <c r="U1080" s="859"/>
      <c r="V1080" s="863"/>
      <c r="W1080" s="859"/>
      <c r="X1080" s="859"/>
      <c r="Y1080" s="755">
        <f t="shared" si="147"/>
        <v>0</v>
      </c>
      <c r="Z1080" s="864"/>
      <c r="AA1080" s="863"/>
      <c r="AB1080" s="756">
        <f t="shared" si="148"/>
        <v>0</v>
      </c>
      <c r="AC1080" s="859"/>
      <c r="AD1080" s="863"/>
      <c r="AE1080" s="859"/>
      <c r="AF1080" s="859"/>
      <c r="AG1080" s="864"/>
      <c r="AH1080" s="865"/>
      <c r="AI1080" s="757">
        <f t="shared" si="152"/>
        <v>32582138.6666</v>
      </c>
      <c r="AJ1080" s="758">
        <f t="shared" si="153"/>
        <v>32557333.743668001</v>
      </c>
    </row>
    <row r="1081" spans="1:36" x14ac:dyDescent="0.2">
      <c r="A1081" s="843" t="s">
        <v>144</v>
      </c>
      <c r="B1081" s="844" t="s">
        <v>264</v>
      </c>
      <c r="C1081" s="979" t="s">
        <v>741</v>
      </c>
      <c r="D1081" s="980"/>
      <c r="E1081" s="981">
        <v>140243</v>
      </c>
      <c r="F1081" s="982">
        <v>12</v>
      </c>
      <c r="G1081" s="983">
        <v>9374172.25</v>
      </c>
      <c r="H1081" s="860">
        <v>8962781</v>
      </c>
      <c r="I1081" s="861"/>
      <c r="J1081" s="862"/>
      <c r="K1081" s="859"/>
      <c r="L1081" s="863"/>
      <c r="M1081" s="983">
        <v>7792371.1799999997</v>
      </c>
      <c r="N1081" s="859"/>
      <c r="O1081" s="752">
        <f t="shared" si="146"/>
        <v>7792371.1799999997</v>
      </c>
      <c r="P1081" s="862">
        <v>7636523.7563999994</v>
      </c>
      <c r="Q1081" s="860"/>
      <c r="R1081" s="753">
        <f t="shared" si="149"/>
        <v>7636523.7563999994</v>
      </c>
      <c r="S1081" s="752">
        <f t="shared" si="150"/>
        <v>17166543.43</v>
      </c>
      <c r="T1081" s="754">
        <f t="shared" si="151"/>
        <v>16599304.7564</v>
      </c>
      <c r="U1081" s="859"/>
      <c r="V1081" s="863"/>
      <c r="W1081" s="859"/>
      <c r="X1081" s="859"/>
      <c r="Y1081" s="755">
        <f t="shared" si="147"/>
        <v>0</v>
      </c>
      <c r="Z1081" s="864"/>
      <c r="AA1081" s="863"/>
      <c r="AB1081" s="756">
        <f t="shared" si="148"/>
        <v>0</v>
      </c>
      <c r="AC1081" s="859"/>
      <c r="AD1081" s="863"/>
      <c r="AE1081" s="859"/>
      <c r="AF1081" s="859"/>
      <c r="AG1081" s="864"/>
      <c r="AH1081" s="865"/>
      <c r="AI1081" s="757">
        <f t="shared" si="152"/>
        <v>17166543.43</v>
      </c>
      <c r="AJ1081" s="758">
        <f t="shared" si="153"/>
        <v>16599304.7564</v>
      </c>
    </row>
    <row r="1082" spans="1:36" x14ac:dyDescent="0.2">
      <c r="A1082" s="843" t="s">
        <v>144</v>
      </c>
      <c r="B1082" s="844" t="s">
        <v>264</v>
      </c>
      <c r="C1082" s="979" t="s">
        <v>742</v>
      </c>
      <c r="D1082" s="980"/>
      <c r="E1082" s="981">
        <v>140599</v>
      </c>
      <c r="F1082" s="982">
        <v>12</v>
      </c>
      <c r="G1082" s="983">
        <v>7099512.2199999997</v>
      </c>
      <c r="H1082" s="860">
        <v>7302403</v>
      </c>
      <c r="I1082" s="861"/>
      <c r="J1082" s="862"/>
      <c r="K1082" s="859"/>
      <c r="L1082" s="863"/>
      <c r="M1082" s="983">
        <v>5650931.1600000001</v>
      </c>
      <c r="N1082" s="859"/>
      <c r="O1082" s="752">
        <f t="shared" si="146"/>
        <v>5650931.1600000001</v>
      </c>
      <c r="P1082" s="862">
        <v>5537912.5367999999</v>
      </c>
      <c r="Q1082" s="860"/>
      <c r="R1082" s="753">
        <f t="shared" si="149"/>
        <v>5537912.5367999999</v>
      </c>
      <c r="S1082" s="752">
        <f t="shared" si="150"/>
        <v>12750443.379999999</v>
      </c>
      <c r="T1082" s="754">
        <f t="shared" si="151"/>
        <v>12840315.536800001</v>
      </c>
      <c r="U1082" s="859"/>
      <c r="V1082" s="863"/>
      <c r="W1082" s="859"/>
      <c r="X1082" s="859"/>
      <c r="Y1082" s="755">
        <f t="shared" si="147"/>
        <v>0</v>
      </c>
      <c r="Z1082" s="864"/>
      <c r="AA1082" s="863"/>
      <c r="AB1082" s="756">
        <f t="shared" si="148"/>
        <v>0</v>
      </c>
      <c r="AC1082" s="859"/>
      <c r="AD1082" s="863"/>
      <c r="AE1082" s="859"/>
      <c r="AF1082" s="859"/>
      <c r="AG1082" s="864"/>
      <c r="AH1082" s="865"/>
      <c r="AI1082" s="757">
        <f t="shared" si="152"/>
        <v>12750443.379999999</v>
      </c>
      <c r="AJ1082" s="758">
        <f t="shared" si="153"/>
        <v>12840315.536800001</v>
      </c>
    </row>
    <row r="1083" spans="1:36" x14ac:dyDescent="0.2">
      <c r="A1083" s="843" t="s">
        <v>144</v>
      </c>
      <c r="B1083" s="844" t="s">
        <v>264</v>
      </c>
      <c r="C1083" s="979" t="s">
        <v>743</v>
      </c>
      <c r="D1083" s="980"/>
      <c r="E1083" s="981">
        <v>140678</v>
      </c>
      <c r="F1083" s="982">
        <v>12</v>
      </c>
      <c r="G1083" s="983">
        <v>8388504.0099999998</v>
      </c>
      <c r="H1083" s="860">
        <v>8247548</v>
      </c>
      <c r="I1083" s="861"/>
      <c r="J1083" s="862"/>
      <c r="K1083" s="859"/>
      <c r="L1083" s="863"/>
      <c r="M1083" s="983">
        <v>8413472.9199999999</v>
      </c>
      <c r="N1083" s="859"/>
      <c r="O1083" s="752">
        <f t="shared" si="146"/>
        <v>8413472.9199999999</v>
      </c>
      <c r="P1083" s="862">
        <v>8245203.4616</v>
      </c>
      <c r="Q1083" s="860"/>
      <c r="R1083" s="753">
        <f t="shared" si="149"/>
        <v>8245203.4616</v>
      </c>
      <c r="S1083" s="752">
        <f t="shared" si="150"/>
        <v>16801976.93</v>
      </c>
      <c r="T1083" s="754">
        <f t="shared" si="151"/>
        <v>16492751.4616</v>
      </c>
      <c r="U1083" s="859"/>
      <c r="V1083" s="863"/>
      <c r="W1083" s="859"/>
      <c r="X1083" s="859"/>
      <c r="Y1083" s="755">
        <f t="shared" si="147"/>
        <v>0</v>
      </c>
      <c r="Z1083" s="864"/>
      <c r="AA1083" s="863"/>
      <c r="AB1083" s="756">
        <f t="shared" si="148"/>
        <v>0</v>
      </c>
      <c r="AC1083" s="859"/>
      <c r="AD1083" s="863"/>
      <c r="AE1083" s="859"/>
      <c r="AF1083" s="859"/>
      <c r="AG1083" s="864"/>
      <c r="AH1083" s="865"/>
      <c r="AI1083" s="757">
        <f t="shared" si="152"/>
        <v>16801976.93</v>
      </c>
      <c r="AJ1083" s="758">
        <f t="shared" si="153"/>
        <v>16492751.4616</v>
      </c>
    </row>
    <row r="1084" spans="1:36" x14ac:dyDescent="0.2">
      <c r="A1084" s="843" t="s">
        <v>144</v>
      </c>
      <c r="B1084" s="844" t="s">
        <v>264</v>
      </c>
      <c r="C1084" s="988" t="s">
        <v>744</v>
      </c>
      <c r="D1084" s="874"/>
      <c r="E1084" s="986">
        <v>420431</v>
      </c>
      <c r="F1084" s="880">
        <v>12</v>
      </c>
      <c r="G1084" s="983">
        <v>9397614.3499999996</v>
      </c>
      <c r="H1084" s="860">
        <v>8596523</v>
      </c>
      <c r="I1084" s="861"/>
      <c r="J1084" s="862"/>
      <c r="K1084" s="859"/>
      <c r="L1084" s="863"/>
      <c r="M1084" s="983">
        <v>5364539.74</v>
      </c>
      <c r="N1084" s="859"/>
      <c r="O1084" s="752">
        <f t="shared" si="146"/>
        <v>5364539.74</v>
      </c>
      <c r="P1084" s="862">
        <v>5257248.9452</v>
      </c>
      <c r="Q1084" s="860"/>
      <c r="R1084" s="753">
        <f t="shared" si="149"/>
        <v>5257248.9452</v>
      </c>
      <c r="S1084" s="752">
        <f t="shared" si="150"/>
        <v>14762154.09</v>
      </c>
      <c r="T1084" s="754">
        <f t="shared" si="151"/>
        <v>13853771.9452</v>
      </c>
      <c r="U1084" s="859"/>
      <c r="V1084" s="863"/>
      <c r="W1084" s="859"/>
      <c r="X1084" s="859"/>
      <c r="Y1084" s="755">
        <f t="shared" si="147"/>
        <v>0</v>
      </c>
      <c r="Z1084" s="864"/>
      <c r="AA1084" s="863"/>
      <c r="AB1084" s="756">
        <f t="shared" si="148"/>
        <v>0</v>
      </c>
      <c r="AC1084" s="859"/>
      <c r="AD1084" s="863"/>
      <c r="AE1084" s="859"/>
      <c r="AF1084" s="859"/>
      <c r="AG1084" s="864"/>
      <c r="AH1084" s="865"/>
      <c r="AI1084" s="757">
        <f t="shared" si="152"/>
        <v>14762154.09</v>
      </c>
      <c r="AJ1084" s="758">
        <f t="shared" si="153"/>
        <v>13853771.9452</v>
      </c>
    </row>
    <row r="1085" spans="1:36" x14ac:dyDescent="0.2">
      <c r="A1085" s="843" t="s">
        <v>144</v>
      </c>
      <c r="B1085" s="844" t="s">
        <v>264</v>
      </c>
      <c r="C1085" s="979" t="s">
        <v>745</v>
      </c>
      <c r="D1085" s="980"/>
      <c r="E1085" s="981">
        <v>366465</v>
      </c>
      <c r="F1085" s="982">
        <v>12</v>
      </c>
      <c r="G1085" s="983">
        <v>7129926.5599999996</v>
      </c>
      <c r="H1085" s="860">
        <v>6853174</v>
      </c>
      <c r="I1085" s="861"/>
      <c r="J1085" s="862"/>
      <c r="K1085" s="859"/>
      <c r="L1085" s="863"/>
      <c r="M1085" s="983">
        <v>7549310.6699999999</v>
      </c>
      <c r="N1085" s="859"/>
      <c r="O1085" s="752">
        <f t="shared" si="146"/>
        <v>7549310.6699999999</v>
      </c>
      <c r="P1085" s="862">
        <v>7398324.4566000002</v>
      </c>
      <c r="Q1085" s="860"/>
      <c r="R1085" s="753">
        <f t="shared" si="149"/>
        <v>7398324.4566000002</v>
      </c>
      <c r="S1085" s="752">
        <f t="shared" si="150"/>
        <v>14679237.23</v>
      </c>
      <c r="T1085" s="754">
        <f t="shared" si="151"/>
        <v>14251498.456599999</v>
      </c>
      <c r="U1085" s="859"/>
      <c r="V1085" s="863"/>
      <c r="W1085" s="859"/>
      <c r="X1085" s="859"/>
      <c r="Y1085" s="755">
        <f t="shared" si="147"/>
        <v>0</v>
      </c>
      <c r="Z1085" s="864"/>
      <c r="AA1085" s="863"/>
      <c r="AB1085" s="756">
        <f t="shared" si="148"/>
        <v>0</v>
      </c>
      <c r="AC1085" s="859"/>
      <c r="AD1085" s="863"/>
      <c r="AE1085" s="859"/>
      <c r="AF1085" s="859"/>
      <c r="AG1085" s="864"/>
      <c r="AH1085" s="865"/>
      <c r="AI1085" s="757">
        <f t="shared" si="152"/>
        <v>14679237.23</v>
      </c>
      <c r="AJ1085" s="758">
        <f t="shared" si="153"/>
        <v>14251498.456599999</v>
      </c>
    </row>
    <row r="1086" spans="1:36" x14ac:dyDescent="0.2">
      <c r="A1086" s="843" t="s">
        <v>144</v>
      </c>
      <c r="B1086" s="844" t="s">
        <v>264</v>
      </c>
      <c r="C1086" s="979" t="s">
        <v>746</v>
      </c>
      <c r="D1086" s="980" t="s">
        <v>1131</v>
      </c>
      <c r="E1086" s="981">
        <v>248776</v>
      </c>
      <c r="F1086" s="982">
        <v>12</v>
      </c>
      <c r="G1086" s="983">
        <v>5602735.46</v>
      </c>
      <c r="H1086" s="860">
        <v>5665354</v>
      </c>
      <c r="I1086" s="861"/>
      <c r="J1086" s="862"/>
      <c r="K1086" s="859"/>
      <c r="L1086" s="863"/>
      <c r="M1086" s="983">
        <v>3435005.11</v>
      </c>
      <c r="N1086" s="859"/>
      <c r="O1086" s="752">
        <f t="shared" si="146"/>
        <v>3435005.11</v>
      </c>
      <c r="P1086" s="862">
        <v>3366305.0077999998</v>
      </c>
      <c r="Q1086" s="860"/>
      <c r="R1086" s="753">
        <f t="shared" si="149"/>
        <v>3366305.0077999998</v>
      </c>
      <c r="S1086" s="752">
        <f t="shared" si="150"/>
        <v>9037740.5700000003</v>
      </c>
      <c r="T1086" s="754">
        <f t="shared" si="151"/>
        <v>9031659.0077999998</v>
      </c>
      <c r="U1086" s="859"/>
      <c r="V1086" s="863"/>
      <c r="W1086" s="859"/>
      <c r="X1086" s="859"/>
      <c r="Y1086" s="755">
        <f t="shared" si="147"/>
        <v>0</v>
      </c>
      <c r="Z1086" s="864"/>
      <c r="AA1086" s="863"/>
      <c r="AB1086" s="756">
        <f t="shared" si="148"/>
        <v>0</v>
      </c>
      <c r="AC1086" s="859"/>
      <c r="AD1086" s="863"/>
      <c r="AE1086" s="859"/>
      <c r="AF1086" s="859"/>
      <c r="AG1086" s="864"/>
      <c r="AH1086" s="865"/>
      <c r="AI1086" s="757">
        <f t="shared" si="152"/>
        <v>9037740.5700000003</v>
      </c>
      <c r="AJ1086" s="758">
        <f t="shared" si="153"/>
        <v>9031659.0077999998</v>
      </c>
    </row>
    <row r="1087" spans="1:36" x14ac:dyDescent="0.2">
      <c r="A1087" s="843" t="s">
        <v>144</v>
      </c>
      <c r="B1087" s="844" t="s">
        <v>264</v>
      </c>
      <c r="C1087" s="979" t="s">
        <v>747</v>
      </c>
      <c r="D1087" s="980"/>
      <c r="E1087" s="981">
        <v>140942</v>
      </c>
      <c r="F1087" s="982">
        <v>12</v>
      </c>
      <c r="G1087" s="983">
        <v>10917075.93</v>
      </c>
      <c r="H1087" s="860">
        <v>10788342</v>
      </c>
      <c r="I1087" s="861"/>
      <c r="J1087" s="862"/>
      <c r="K1087" s="859"/>
      <c r="L1087" s="863"/>
      <c r="M1087" s="983">
        <v>14939108.869999999</v>
      </c>
      <c r="N1087" s="859"/>
      <c r="O1087" s="752">
        <f t="shared" si="146"/>
        <v>14939108.869999999</v>
      </c>
      <c r="P1087" s="862">
        <v>14640326.692599999</v>
      </c>
      <c r="Q1087" s="860"/>
      <c r="R1087" s="753">
        <f t="shared" si="149"/>
        <v>14640326.692599999</v>
      </c>
      <c r="S1087" s="752">
        <f t="shared" si="150"/>
        <v>25856184.799999997</v>
      </c>
      <c r="T1087" s="754">
        <f t="shared" si="151"/>
        <v>25428668.692599997</v>
      </c>
      <c r="U1087" s="859"/>
      <c r="V1087" s="863"/>
      <c r="W1087" s="859"/>
      <c r="X1087" s="859"/>
      <c r="Y1087" s="755">
        <f t="shared" si="147"/>
        <v>0</v>
      </c>
      <c r="Z1087" s="864"/>
      <c r="AA1087" s="863"/>
      <c r="AB1087" s="756">
        <f t="shared" si="148"/>
        <v>0</v>
      </c>
      <c r="AC1087" s="859"/>
      <c r="AD1087" s="863"/>
      <c r="AE1087" s="859"/>
      <c r="AF1087" s="859"/>
      <c r="AG1087" s="864"/>
      <c r="AH1087" s="865"/>
      <c r="AI1087" s="757">
        <f t="shared" si="152"/>
        <v>25856184.799999997</v>
      </c>
      <c r="AJ1087" s="758">
        <f t="shared" si="153"/>
        <v>25428668.692599997</v>
      </c>
    </row>
    <row r="1088" spans="1:36" x14ac:dyDescent="0.2">
      <c r="A1088" s="843" t="s">
        <v>144</v>
      </c>
      <c r="B1088" s="844" t="s">
        <v>264</v>
      </c>
      <c r="C1088" s="979" t="s">
        <v>748</v>
      </c>
      <c r="D1088" s="980"/>
      <c r="E1088" s="981">
        <v>141006</v>
      </c>
      <c r="F1088" s="982">
        <v>12</v>
      </c>
      <c r="G1088" s="983">
        <v>8072152.6900000004</v>
      </c>
      <c r="H1088" s="860">
        <v>7876309</v>
      </c>
      <c r="I1088" s="861"/>
      <c r="J1088" s="862"/>
      <c r="K1088" s="859"/>
      <c r="L1088" s="863"/>
      <c r="M1088" s="983">
        <v>5534094.9299999997</v>
      </c>
      <c r="N1088" s="859"/>
      <c r="O1088" s="752">
        <f t="shared" si="146"/>
        <v>5534094.9299999997</v>
      </c>
      <c r="P1088" s="862">
        <v>5423413.0313999997</v>
      </c>
      <c r="Q1088" s="860"/>
      <c r="R1088" s="753">
        <f t="shared" si="149"/>
        <v>5423413.0313999997</v>
      </c>
      <c r="S1088" s="752">
        <f t="shared" si="150"/>
        <v>13606247.620000001</v>
      </c>
      <c r="T1088" s="754">
        <f t="shared" si="151"/>
        <v>13299722.031399999</v>
      </c>
      <c r="U1088" s="859"/>
      <c r="V1088" s="863"/>
      <c r="W1088" s="859"/>
      <c r="X1088" s="859"/>
      <c r="Y1088" s="755">
        <f t="shared" si="147"/>
        <v>0</v>
      </c>
      <c r="Z1088" s="864"/>
      <c r="AA1088" s="863"/>
      <c r="AB1088" s="756">
        <f t="shared" si="148"/>
        <v>0</v>
      </c>
      <c r="AC1088" s="859"/>
      <c r="AD1088" s="863"/>
      <c r="AE1088" s="859"/>
      <c r="AF1088" s="859"/>
      <c r="AG1088" s="864"/>
      <c r="AH1088" s="865"/>
      <c r="AI1088" s="757">
        <f t="shared" si="152"/>
        <v>13606247.620000001</v>
      </c>
      <c r="AJ1088" s="758">
        <f t="shared" si="153"/>
        <v>13299722.031399999</v>
      </c>
    </row>
    <row r="1089" spans="1:36" x14ac:dyDescent="0.2">
      <c r="A1089" s="843" t="s">
        <v>144</v>
      </c>
      <c r="B1089" s="844" t="s">
        <v>264</v>
      </c>
      <c r="C1089" s="984" t="s">
        <v>749</v>
      </c>
      <c r="D1089" s="985"/>
      <c r="E1089" s="981">
        <v>368911</v>
      </c>
      <c r="F1089" s="982">
        <v>12</v>
      </c>
      <c r="G1089" s="983">
        <v>8365490</v>
      </c>
      <c r="H1089" s="860">
        <v>7641180</v>
      </c>
      <c r="I1089" s="861"/>
      <c r="J1089" s="862"/>
      <c r="K1089" s="859"/>
      <c r="L1089" s="863"/>
      <c r="M1089" s="983">
        <v>4357443.03</v>
      </c>
      <c r="N1089" s="859"/>
      <c r="O1089" s="752">
        <f t="shared" si="146"/>
        <v>4357443.03</v>
      </c>
      <c r="P1089" s="862">
        <v>4270294.1694</v>
      </c>
      <c r="Q1089" s="860"/>
      <c r="R1089" s="753">
        <f t="shared" si="149"/>
        <v>4270294.1694</v>
      </c>
      <c r="S1089" s="752">
        <f t="shared" si="150"/>
        <v>12722933.030000001</v>
      </c>
      <c r="T1089" s="754">
        <f t="shared" si="151"/>
        <v>11911474.169399999</v>
      </c>
      <c r="U1089" s="859"/>
      <c r="V1089" s="863"/>
      <c r="W1089" s="859"/>
      <c r="X1089" s="859"/>
      <c r="Y1089" s="755">
        <f t="shared" si="147"/>
        <v>0</v>
      </c>
      <c r="Z1089" s="864"/>
      <c r="AA1089" s="863"/>
      <c r="AB1089" s="756">
        <f t="shared" si="148"/>
        <v>0</v>
      </c>
      <c r="AC1089" s="859"/>
      <c r="AD1089" s="863"/>
      <c r="AE1089" s="859"/>
      <c r="AF1089" s="859"/>
      <c r="AG1089" s="864"/>
      <c r="AH1089" s="865"/>
      <c r="AI1089" s="757">
        <f t="shared" si="152"/>
        <v>12722933.030000001</v>
      </c>
      <c r="AJ1089" s="758">
        <f t="shared" si="153"/>
        <v>11911474.169399999</v>
      </c>
    </row>
    <row r="1090" spans="1:36" x14ac:dyDescent="0.2">
      <c r="A1090" s="843" t="s">
        <v>144</v>
      </c>
      <c r="B1090" s="844" t="s">
        <v>264</v>
      </c>
      <c r="C1090" s="984" t="s">
        <v>750</v>
      </c>
      <c r="D1090" s="985"/>
      <c r="E1090" s="981">
        <v>139986</v>
      </c>
      <c r="F1090" s="982">
        <v>12</v>
      </c>
      <c r="G1090" s="983">
        <v>11287125.210000001</v>
      </c>
      <c r="H1090" s="860">
        <v>11744413</v>
      </c>
      <c r="I1090" s="861"/>
      <c r="J1090" s="862"/>
      <c r="K1090" s="859"/>
      <c r="L1090" s="863"/>
      <c r="M1090" s="983">
        <v>13602782.9</v>
      </c>
      <c r="N1090" s="859"/>
      <c r="O1090" s="752">
        <f t="shared" si="146"/>
        <v>13602782.9</v>
      </c>
      <c r="P1090" s="862">
        <v>13330727.242000001</v>
      </c>
      <c r="Q1090" s="860"/>
      <c r="R1090" s="753">
        <f t="shared" si="149"/>
        <v>13330727.242000001</v>
      </c>
      <c r="S1090" s="752">
        <f t="shared" si="150"/>
        <v>24889908.109999999</v>
      </c>
      <c r="T1090" s="754">
        <f t="shared" si="151"/>
        <v>25075140.241999999</v>
      </c>
      <c r="U1090" s="859"/>
      <c r="V1090" s="863"/>
      <c r="W1090" s="859"/>
      <c r="X1090" s="859"/>
      <c r="Y1090" s="755">
        <f t="shared" si="147"/>
        <v>0</v>
      </c>
      <c r="Z1090" s="864"/>
      <c r="AA1090" s="863"/>
      <c r="AB1090" s="756">
        <f t="shared" si="148"/>
        <v>0</v>
      </c>
      <c r="AC1090" s="859"/>
      <c r="AD1090" s="863"/>
      <c r="AE1090" s="859"/>
      <c r="AF1090" s="859"/>
      <c r="AG1090" s="864"/>
      <c r="AH1090" s="865"/>
      <c r="AI1090" s="757">
        <f t="shared" si="152"/>
        <v>24889908.109999999</v>
      </c>
      <c r="AJ1090" s="758">
        <f t="shared" si="153"/>
        <v>25075140.241999999</v>
      </c>
    </row>
    <row r="1091" spans="1:36" x14ac:dyDescent="0.2">
      <c r="A1091" s="843" t="s">
        <v>144</v>
      </c>
      <c r="B1091" s="844" t="s">
        <v>264</v>
      </c>
      <c r="C1091" s="984" t="s">
        <v>751</v>
      </c>
      <c r="D1091" s="985"/>
      <c r="E1091" s="981">
        <v>141158</v>
      </c>
      <c r="F1091" s="982">
        <v>12</v>
      </c>
      <c r="G1091" s="983">
        <v>7191219.2599999998</v>
      </c>
      <c r="H1091" s="860">
        <v>6636559</v>
      </c>
      <c r="I1091" s="861"/>
      <c r="J1091" s="862"/>
      <c r="K1091" s="859"/>
      <c r="L1091" s="863"/>
      <c r="M1091" s="983">
        <v>3997410.76</v>
      </c>
      <c r="N1091" s="859"/>
      <c r="O1091" s="752">
        <f t="shared" si="146"/>
        <v>3997410.76</v>
      </c>
      <c r="P1091" s="862">
        <v>3917462.5447999998</v>
      </c>
      <c r="Q1091" s="860"/>
      <c r="R1091" s="753">
        <f t="shared" si="149"/>
        <v>3917462.5447999998</v>
      </c>
      <c r="S1091" s="752">
        <f t="shared" si="150"/>
        <v>11188630.02</v>
      </c>
      <c r="T1091" s="754">
        <f t="shared" si="151"/>
        <v>10554021.5448</v>
      </c>
      <c r="U1091" s="859"/>
      <c r="V1091" s="863"/>
      <c r="W1091" s="859"/>
      <c r="X1091" s="859"/>
      <c r="Y1091" s="755">
        <f t="shared" si="147"/>
        <v>0</v>
      </c>
      <c r="Z1091" s="864"/>
      <c r="AA1091" s="863"/>
      <c r="AB1091" s="756">
        <f t="shared" si="148"/>
        <v>0</v>
      </c>
      <c r="AC1091" s="859"/>
      <c r="AD1091" s="863"/>
      <c r="AE1091" s="859"/>
      <c r="AF1091" s="859"/>
      <c r="AG1091" s="864"/>
      <c r="AH1091" s="865"/>
      <c r="AI1091" s="757">
        <f t="shared" si="152"/>
        <v>11188630.02</v>
      </c>
      <c r="AJ1091" s="758">
        <f t="shared" si="153"/>
        <v>10554021.5448</v>
      </c>
    </row>
    <row r="1092" spans="1:36" x14ac:dyDescent="0.2">
      <c r="A1092" s="843" t="s">
        <v>144</v>
      </c>
      <c r="B1092" s="844" t="s">
        <v>264</v>
      </c>
      <c r="C1092" s="984" t="s">
        <v>752</v>
      </c>
      <c r="D1092" s="985"/>
      <c r="E1092" s="981">
        <v>139278</v>
      </c>
      <c r="F1092" s="982">
        <v>12</v>
      </c>
      <c r="G1092" s="983">
        <v>15886014.68</v>
      </c>
      <c r="H1092" s="860">
        <v>15680863</v>
      </c>
      <c r="I1092" s="861"/>
      <c r="J1092" s="862"/>
      <c r="K1092" s="859"/>
      <c r="L1092" s="863"/>
      <c r="M1092" s="983">
        <v>18263018.140000001</v>
      </c>
      <c r="N1092" s="859"/>
      <c r="O1092" s="752">
        <f t="shared" si="146"/>
        <v>18263018.140000001</v>
      </c>
      <c r="P1092" s="862">
        <v>17897757.777199998</v>
      </c>
      <c r="Q1092" s="860"/>
      <c r="R1092" s="753">
        <f t="shared" si="149"/>
        <v>17897757.777199998</v>
      </c>
      <c r="S1092" s="752">
        <f t="shared" si="150"/>
        <v>34149032.82</v>
      </c>
      <c r="T1092" s="754">
        <f t="shared" si="151"/>
        <v>33578620.777199998</v>
      </c>
      <c r="U1092" s="859"/>
      <c r="V1092" s="863"/>
      <c r="W1092" s="859"/>
      <c r="X1092" s="859"/>
      <c r="Y1092" s="755">
        <f t="shared" si="147"/>
        <v>0</v>
      </c>
      <c r="Z1092" s="864"/>
      <c r="AA1092" s="863"/>
      <c r="AB1092" s="756">
        <f t="shared" si="148"/>
        <v>0</v>
      </c>
      <c r="AC1092" s="859"/>
      <c r="AD1092" s="863"/>
      <c r="AE1092" s="859"/>
      <c r="AF1092" s="859"/>
      <c r="AG1092" s="864"/>
      <c r="AH1092" s="865"/>
      <c r="AI1092" s="757">
        <f t="shared" si="152"/>
        <v>34149032.82</v>
      </c>
      <c r="AJ1092" s="758">
        <f t="shared" si="153"/>
        <v>33578620.777199998</v>
      </c>
    </row>
    <row r="1093" spans="1:36" x14ac:dyDescent="0.2">
      <c r="A1093" s="843" t="s">
        <v>144</v>
      </c>
      <c r="B1093" s="844" t="s">
        <v>264</v>
      </c>
      <c r="C1093" s="984" t="s">
        <v>753</v>
      </c>
      <c r="D1093" s="985"/>
      <c r="E1093" s="981">
        <v>141255</v>
      </c>
      <c r="F1093" s="982">
        <v>12</v>
      </c>
      <c r="G1093" s="983">
        <v>12353770.9</v>
      </c>
      <c r="H1093" s="860">
        <v>11923344</v>
      </c>
      <c r="I1093" s="861"/>
      <c r="J1093" s="862"/>
      <c r="K1093" s="859"/>
      <c r="L1093" s="863"/>
      <c r="M1093" s="983">
        <v>10369850.939999999</v>
      </c>
      <c r="N1093" s="859"/>
      <c r="O1093" s="752">
        <f t="shared" si="146"/>
        <v>10369850.939999999</v>
      </c>
      <c r="P1093" s="862">
        <v>10162453.9212</v>
      </c>
      <c r="Q1093" s="860"/>
      <c r="R1093" s="753">
        <f t="shared" si="149"/>
        <v>10162453.9212</v>
      </c>
      <c r="S1093" s="752">
        <f t="shared" si="150"/>
        <v>22723621.84</v>
      </c>
      <c r="T1093" s="754">
        <f t="shared" si="151"/>
        <v>22085797.9212</v>
      </c>
      <c r="U1093" s="859"/>
      <c r="V1093" s="863"/>
      <c r="W1093" s="859"/>
      <c r="X1093" s="859"/>
      <c r="Y1093" s="755">
        <f t="shared" si="147"/>
        <v>0</v>
      </c>
      <c r="Z1093" s="864"/>
      <c r="AA1093" s="863"/>
      <c r="AB1093" s="756">
        <f t="shared" si="148"/>
        <v>0</v>
      </c>
      <c r="AC1093" s="859"/>
      <c r="AD1093" s="863"/>
      <c r="AE1093" s="859"/>
      <c r="AF1093" s="859"/>
      <c r="AG1093" s="864"/>
      <c r="AH1093" s="865"/>
      <c r="AI1093" s="757">
        <f t="shared" si="152"/>
        <v>22723621.84</v>
      </c>
      <c r="AJ1093" s="758">
        <f t="shared" si="153"/>
        <v>22085797.9212</v>
      </c>
    </row>
    <row r="1094" spans="1:36" x14ac:dyDescent="0.2">
      <c r="A1094" s="843" t="s">
        <v>144</v>
      </c>
      <c r="B1094" s="844" t="s">
        <v>273</v>
      </c>
      <c r="C1094" s="883" t="s">
        <v>754</v>
      </c>
      <c r="D1094" s="869"/>
      <c r="E1094" s="846"/>
      <c r="F1094" s="847"/>
      <c r="G1094" s="859"/>
      <c r="H1094" s="860"/>
      <c r="I1094" s="861"/>
      <c r="J1094" s="862"/>
      <c r="K1094" s="859"/>
      <c r="L1094" s="863"/>
      <c r="M1094" s="859"/>
      <c r="N1094" s="859"/>
      <c r="O1094" s="752">
        <f t="shared" si="146"/>
        <v>0</v>
      </c>
      <c r="P1094" s="862"/>
      <c r="Q1094" s="860"/>
      <c r="R1094" s="753">
        <f t="shared" si="149"/>
        <v>0</v>
      </c>
      <c r="S1094" s="752">
        <f t="shared" si="150"/>
        <v>0</v>
      </c>
      <c r="T1094" s="754">
        <f t="shared" si="151"/>
        <v>0</v>
      </c>
      <c r="U1094" s="859"/>
      <c r="V1094" s="863"/>
      <c r="W1094" s="859"/>
      <c r="X1094" s="859"/>
      <c r="Y1094" s="755">
        <f t="shared" si="147"/>
        <v>0</v>
      </c>
      <c r="Z1094" s="864"/>
      <c r="AA1094" s="863"/>
      <c r="AB1094" s="756">
        <f t="shared" si="148"/>
        <v>0</v>
      </c>
      <c r="AC1094" s="859"/>
      <c r="AD1094" s="863"/>
      <c r="AE1094" s="859"/>
      <c r="AF1094" s="859"/>
      <c r="AG1094" s="864"/>
      <c r="AH1094" s="865"/>
      <c r="AI1094" s="757">
        <f t="shared" si="152"/>
        <v>0</v>
      </c>
      <c r="AJ1094" s="758">
        <f t="shared" si="153"/>
        <v>0</v>
      </c>
    </row>
    <row r="1095" spans="1:36" x14ac:dyDescent="0.2">
      <c r="A1095" s="843" t="s">
        <v>144</v>
      </c>
      <c r="B1095" s="844" t="s">
        <v>274</v>
      </c>
      <c r="C1095" s="858" t="s">
        <v>319</v>
      </c>
      <c r="D1095" s="845"/>
      <c r="E1095" s="846"/>
      <c r="F1095" s="847"/>
      <c r="G1095" s="859"/>
      <c r="H1095" s="860"/>
      <c r="I1095" s="861"/>
      <c r="J1095" s="862"/>
      <c r="K1095" s="859"/>
      <c r="L1095" s="863"/>
      <c r="M1095" s="859"/>
      <c r="N1095" s="859"/>
      <c r="O1095" s="752">
        <f t="shared" si="146"/>
        <v>0</v>
      </c>
      <c r="P1095" s="862"/>
      <c r="Q1095" s="860"/>
      <c r="R1095" s="753">
        <f t="shared" si="149"/>
        <v>0</v>
      </c>
      <c r="S1095" s="752">
        <f t="shared" si="150"/>
        <v>0</v>
      </c>
      <c r="T1095" s="754">
        <f t="shared" si="151"/>
        <v>0</v>
      </c>
      <c r="U1095" s="859"/>
      <c r="V1095" s="863"/>
      <c r="W1095" s="859"/>
      <c r="X1095" s="859"/>
      <c r="Y1095" s="755">
        <f t="shared" si="147"/>
        <v>0</v>
      </c>
      <c r="Z1095" s="864"/>
      <c r="AA1095" s="863"/>
      <c r="AB1095" s="756">
        <f t="shared" si="148"/>
        <v>0</v>
      </c>
      <c r="AC1095" s="859"/>
      <c r="AD1095" s="863"/>
      <c r="AE1095" s="859"/>
      <c r="AF1095" s="859"/>
      <c r="AG1095" s="864"/>
      <c r="AH1095" s="865"/>
      <c r="AI1095" s="757">
        <f t="shared" si="152"/>
        <v>0</v>
      </c>
      <c r="AJ1095" s="758">
        <f t="shared" si="153"/>
        <v>0</v>
      </c>
    </row>
    <row r="1096" spans="1:36" x14ac:dyDescent="0.2">
      <c r="A1096" s="843" t="s">
        <v>144</v>
      </c>
      <c r="B1096" s="844" t="s">
        <v>303</v>
      </c>
      <c r="C1096" s="883" t="s">
        <v>698</v>
      </c>
      <c r="D1096" s="869"/>
      <c r="E1096" s="884" t="s">
        <v>91</v>
      </c>
      <c r="F1096" s="885"/>
      <c r="G1096" s="859"/>
      <c r="H1096" s="860"/>
      <c r="I1096" s="861"/>
      <c r="J1096" s="862"/>
      <c r="K1096" s="859"/>
      <c r="L1096" s="863"/>
      <c r="M1096" s="859"/>
      <c r="N1096" s="859"/>
      <c r="O1096" s="752">
        <f t="shared" si="146"/>
        <v>0</v>
      </c>
      <c r="P1096" s="862"/>
      <c r="Q1096" s="860"/>
      <c r="R1096" s="753">
        <f t="shared" si="149"/>
        <v>0</v>
      </c>
      <c r="S1096" s="752">
        <f t="shared" si="150"/>
        <v>0</v>
      </c>
      <c r="T1096" s="754">
        <f t="shared" si="151"/>
        <v>0</v>
      </c>
      <c r="U1096" s="859"/>
      <c r="V1096" s="863"/>
      <c r="W1096" s="859"/>
      <c r="X1096" s="859"/>
      <c r="Y1096" s="755">
        <f t="shared" si="147"/>
        <v>0</v>
      </c>
      <c r="Z1096" s="864"/>
      <c r="AA1096" s="863"/>
      <c r="AB1096" s="756">
        <f t="shared" si="148"/>
        <v>0</v>
      </c>
      <c r="AC1096" s="859"/>
      <c r="AD1096" s="863"/>
      <c r="AE1096" s="859"/>
      <c r="AF1096" s="859"/>
      <c r="AG1096" s="864"/>
      <c r="AH1096" s="865"/>
      <c r="AI1096" s="757">
        <f t="shared" si="152"/>
        <v>0</v>
      </c>
      <c r="AJ1096" s="758">
        <f t="shared" si="153"/>
        <v>0</v>
      </c>
    </row>
    <row r="1097" spans="1:36" x14ac:dyDescent="0.2">
      <c r="A1097" s="843" t="s">
        <v>144</v>
      </c>
      <c r="B1097" s="844" t="s">
        <v>303</v>
      </c>
      <c r="C1097" s="866" t="s">
        <v>755</v>
      </c>
      <c r="D1097" s="845"/>
      <c r="E1097" s="884"/>
      <c r="F1097" s="885"/>
      <c r="G1097" s="859"/>
      <c r="H1097" s="860"/>
      <c r="I1097" s="861">
        <v>1071185</v>
      </c>
      <c r="J1097" s="862">
        <v>1044405</v>
      </c>
      <c r="K1097" s="859"/>
      <c r="L1097" s="863"/>
      <c r="M1097" s="859"/>
      <c r="N1097" s="859"/>
      <c r="O1097" s="752">
        <f t="shared" si="146"/>
        <v>0</v>
      </c>
      <c r="P1097" s="862"/>
      <c r="Q1097" s="860"/>
      <c r="R1097" s="753">
        <f t="shared" si="149"/>
        <v>0</v>
      </c>
      <c r="S1097" s="752">
        <f t="shared" si="150"/>
        <v>1071185</v>
      </c>
      <c r="T1097" s="754">
        <f t="shared" si="151"/>
        <v>1044405</v>
      </c>
      <c r="U1097" s="859"/>
      <c r="V1097" s="863"/>
      <c r="W1097" s="859"/>
      <c r="X1097" s="859"/>
      <c r="Y1097" s="755">
        <f t="shared" si="147"/>
        <v>0</v>
      </c>
      <c r="Z1097" s="864"/>
      <c r="AA1097" s="863"/>
      <c r="AB1097" s="756">
        <f t="shared" si="148"/>
        <v>0</v>
      </c>
      <c r="AC1097" s="859"/>
      <c r="AD1097" s="863"/>
      <c r="AE1097" s="859"/>
      <c r="AF1097" s="859"/>
      <c r="AG1097" s="864"/>
      <c r="AH1097" s="865"/>
      <c r="AI1097" s="757">
        <f t="shared" si="152"/>
        <v>1071185</v>
      </c>
      <c r="AJ1097" s="758">
        <f t="shared" si="153"/>
        <v>1044405</v>
      </c>
    </row>
    <row r="1098" spans="1:36" x14ac:dyDescent="0.2">
      <c r="A1098" s="843" t="s">
        <v>144</v>
      </c>
      <c r="B1098" s="844" t="s">
        <v>281</v>
      </c>
      <c r="C1098" s="883" t="s">
        <v>109</v>
      </c>
      <c r="D1098" s="869"/>
      <c r="E1098" s="846"/>
      <c r="F1098" s="847"/>
      <c r="G1098" s="859"/>
      <c r="H1098" s="860"/>
      <c r="I1098" s="861"/>
      <c r="J1098" s="862"/>
      <c r="K1098" s="859"/>
      <c r="L1098" s="863"/>
      <c r="M1098" s="859"/>
      <c r="N1098" s="859"/>
      <c r="O1098" s="752">
        <f t="shared" si="146"/>
        <v>0</v>
      </c>
      <c r="P1098" s="862"/>
      <c r="Q1098" s="860"/>
      <c r="R1098" s="753">
        <f t="shared" si="149"/>
        <v>0</v>
      </c>
      <c r="S1098" s="752">
        <f t="shared" si="150"/>
        <v>0</v>
      </c>
      <c r="T1098" s="754">
        <f t="shared" si="151"/>
        <v>0</v>
      </c>
      <c r="U1098" s="859"/>
      <c r="V1098" s="863"/>
      <c r="W1098" s="859"/>
      <c r="X1098" s="859"/>
      <c r="Y1098" s="755">
        <f t="shared" si="147"/>
        <v>0</v>
      </c>
      <c r="Z1098" s="864"/>
      <c r="AA1098" s="863"/>
      <c r="AB1098" s="756">
        <f t="shared" si="148"/>
        <v>0</v>
      </c>
      <c r="AC1098" s="859"/>
      <c r="AD1098" s="863"/>
      <c r="AE1098" s="859"/>
      <c r="AF1098" s="859"/>
      <c r="AG1098" s="864"/>
      <c r="AH1098" s="865"/>
      <c r="AI1098" s="757">
        <f t="shared" si="152"/>
        <v>0</v>
      </c>
      <c r="AJ1098" s="758">
        <f t="shared" si="153"/>
        <v>0</v>
      </c>
    </row>
    <row r="1099" spans="1:36" x14ac:dyDescent="0.2">
      <c r="A1099" s="843" t="s">
        <v>144</v>
      </c>
      <c r="B1099" s="844" t="s">
        <v>283</v>
      </c>
      <c r="C1099" s="858" t="s">
        <v>139</v>
      </c>
      <c r="D1099" s="845"/>
      <c r="E1099" s="846"/>
      <c r="F1099" s="847"/>
      <c r="G1099" s="859"/>
      <c r="H1099" s="860"/>
      <c r="I1099" s="861"/>
      <c r="J1099" s="862"/>
      <c r="K1099" s="859"/>
      <c r="L1099" s="863"/>
      <c r="M1099" s="859"/>
      <c r="N1099" s="859"/>
      <c r="O1099" s="752">
        <f t="shared" ref="O1099:O1162" si="154">SUM(M1099:N1099)</f>
        <v>0</v>
      </c>
      <c r="P1099" s="862"/>
      <c r="Q1099" s="860"/>
      <c r="R1099" s="753">
        <f t="shared" si="149"/>
        <v>0</v>
      </c>
      <c r="S1099" s="752">
        <f t="shared" si="150"/>
        <v>0</v>
      </c>
      <c r="T1099" s="754">
        <f t="shared" si="151"/>
        <v>0</v>
      </c>
      <c r="U1099" s="859"/>
      <c r="V1099" s="863"/>
      <c r="W1099" s="859"/>
      <c r="X1099" s="859"/>
      <c r="Y1099" s="755">
        <f t="shared" ref="Y1099:Y1162" si="155">SUM(W1099:X1099)</f>
        <v>0</v>
      </c>
      <c r="Z1099" s="864"/>
      <c r="AA1099" s="863"/>
      <c r="AB1099" s="756">
        <f t="shared" ref="AB1099:AB1162" si="156">SUM(Z1099:AA1099)</f>
        <v>0</v>
      </c>
      <c r="AC1099" s="859"/>
      <c r="AD1099" s="863"/>
      <c r="AE1099" s="859"/>
      <c r="AF1099" s="859"/>
      <c r="AG1099" s="864"/>
      <c r="AH1099" s="865"/>
      <c r="AI1099" s="757">
        <f t="shared" si="152"/>
        <v>0</v>
      </c>
      <c r="AJ1099" s="758">
        <f t="shared" si="153"/>
        <v>0</v>
      </c>
    </row>
    <row r="1100" spans="1:36" x14ac:dyDescent="0.2">
      <c r="A1100" s="843" t="s">
        <v>144</v>
      </c>
      <c r="B1100" s="844" t="s">
        <v>283</v>
      </c>
      <c r="C1100" s="866" t="s">
        <v>756</v>
      </c>
      <c r="D1100" s="845"/>
      <c r="E1100" s="846"/>
      <c r="F1100" s="847"/>
      <c r="G1100" s="859"/>
      <c r="H1100" s="860"/>
      <c r="I1100" s="861"/>
      <c r="J1100" s="862"/>
      <c r="K1100" s="859"/>
      <c r="L1100" s="863"/>
      <c r="M1100" s="859"/>
      <c r="N1100" s="859"/>
      <c r="O1100" s="752">
        <f t="shared" si="154"/>
        <v>0</v>
      </c>
      <c r="P1100" s="862"/>
      <c r="Q1100" s="860"/>
      <c r="R1100" s="753">
        <f t="shared" ref="R1100:R1163" si="157">SUM(P1100:Q1100)</f>
        <v>0</v>
      </c>
      <c r="S1100" s="752">
        <f t="shared" ref="S1100:S1163" si="158">SUM(G1100,I1100,K1100,M1100)</f>
        <v>0</v>
      </c>
      <c r="T1100" s="754">
        <f t="shared" ref="T1100:T1163" si="159">SUM(H1100,J1100,L1100,P1100)</f>
        <v>0</v>
      </c>
      <c r="U1100" s="859">
        <v>15273286</v>
      </c>
      <c r="V1100" s="989">
        <v>18309337</v>
      </c>
      <c r="W1100" s="859"/>
      <c r="X1100" s="859"/>
      <c r="Y1100" s="755">
        <f t="shared" si="155"/>
        <v>0</v>
      </c>
      <c r="Z1100" s="864"/>
      <c r="AA1100" s="863"/>
      <c r="AB1100" s="756">
        <f t="shared" si="156"/>
        <v>0</v>
      </c>
      <c r="AC1100" s="859"/>
      <c r="AD1100" s="863"/>
      <c r="AE1100" s="859"/>
      <c r="AF1100" s="859"/>
      <c r="AG1100" s="864"/>
      <c r="AH1100" s="865"/>
      <c r="AI1100" s="757">
        <f t="shared" ref="AI1100:AI1163" si="160">SUM(S1100,U1100,W1100,AC1100,AE1100)</f>
        <v>15273286</v>
      </c>
      <c r="AJ1100" s="758">
        <f t="shared" ref="AJ1100:AJ1163" si="161">SUM(T1100,V1100,Z1100,AD1100,AG1100)</f>
        <v>18309337</v>
      </c>
    </row>
    <row r="1101" spans="1:36" x14ac:dyDescent="0.2">
      <c r="A1101" s="898" t="s">
        <v>150</v>
      </c>
      <c r="B1101" s="1153" t="s">
        <v>264</v>
      </c>
      <c r="C1101" s="1154" t="s">
        <v>1057</v>
      </c>
      <c r="D1101" s="1155"/>
      <c r="E1101" s="902">
        <v>157085</v>
      </c>
      <c r="F1101" s="903">
        <v>1</v>
      </c>
      <c r="G1101" s="859">
        <v>164067629</v>
      </c>
      <c r="H1101" s="860">
        <v>159483973.78</v>
      </c>
      <c r="I1101" s="861"/>
      <c r="J1101" s="862"/>
      <c r="K1101" s="859"/>
      <c r="L1101" s="863"/>
      <c r="M1101" s="1156">
        <v>339108099</v>
      </c>
      <c r="N1101" s="859"/>
      <c r="O1101" s="752">
        <f t="shared" si="154"/>
        <v>339108099</v>
      </c>
      <c r="P1101" s="862">
        <v>352588858.3788836</v>
      </c>
      <c r="Q1101" s="860"/>
      <c r="R1101" s="753">
        <f t="shared" si="157"/>
        <v>352588858.3788836</v>
      </c>
      <c r="S1101" s="752">
        <f t="shared" si="158"/>
        <v>503175728</v>
      </c>
      <c r="T1101" s="754">
        <f t="shared" si="159"/>
        <v>512072832.15888357</v>
      </c>
      <c r="U1101" s="859"/>
      <c r="V1101" s="863"/>
      <c r="W1101" s="859"/>
      <c r="X1101" s="859"/>
      <c r="Y1101" s="755">
        <f t="shared" si="155"/>
        <v>0</v>
      </c>
      <c r="Z1101" s="864"/>
      <c r="AA1101" s="863"/>
      <c r="AB1101" s="756">
        <f t="shared" si="156"/>
        <v>0</v>
      </c>
      <c r="AC1101" s="859"/>
      <c r="AD1101" s="863"/>
      <c r="AE1101" s="859"/>
      <c r="AF1101" s="859"/>
      <c r="AG1101" s="864"/>
      <c r="AH1101" s="865"/>
      <c r="AI1101" s="757">
        <f t="shared" si="160"/>
        <v>503175728</v>
      </c>
      <c r="AJ1101" s="758">
        <f t="shared" si="161"/>
        <v>512072832.15888357</v>
      </c>
    </row>
    <row r="1102" spans="1:36" x14ac:dyDescent="0.2">
      <c r="A1102" s="898" t="s">
        <v>150</v>
      </c>
      <c r="B1102" s="1153" t="s">
        <v>280</v>
      </c>
      <c r="C1102" s="1157" t="s">
        <v>678</v>
      </c>
      <c r="D1102" s="921"/>
      <c r="E1102" s="902">
        <v>157085</v>
      </c>
      <c r="F1102" s="903">
        <v>1</v>
      </c>
      <c r="G1102" s="859"/>
      <c r="H1102" s="860"/>
      <c r="I1102" s="861"/>
      <c r="J1102" s="862"/>
      <c r="K1102" s="859"/>
      <c r="L1102" s="863"/>
      <c r="M1102" s="859"/>
      <c r="N1102" s="859"/>
      <c r="O1102" s="752">
        <f t="shared" si="154"/>
        <v>0</v>
      </c>
      <c r="P1102" s="862"/>
      <c r="Q1102" s="860"/>
      <c r="R1102" s="753">
        <f t="shared" si="157"/>
        <v>0</v>
      </c>
      <c r="S1102" s="752">
        <f t="shared" si="158"/>
        <v>0</v>
      </c>
      <c r="T1102" s="754">
        <f t="shared" si="159"/>
        <v>0</v>
      </c>
      <c r="U1102" s="859"/>
      <c r="V1102" s="863"/>
      <c r="W1102" s="859"/>
      <c r="X1102" s="859"/>
      <c r="Y1102" s="755">
        <f t="shared" si="155"/>
        <v>0</v>
      </c>
      <c r="Z1102" s="864"/>
      <c r="AA1102" s="863"/>
      <c r="AB1102" s="756">
        <f t="shared" si="156"/>
        <v>0</v>
      </c>
      <c r="AC1102" s="859">
        <v>45657300</v>
      </c>
      <c r="AD1102" s="863">
        <v>46080300</v>
      </c>
      <c r="AE1102" s="1156">
        <v>25439401</v>
      </c>
      <c r="AF1102" s="859"/>
      <c r="AG1102" s="864">
        <v>27404441.621116377</v>
      </c>
      <c r="AH1102" s="865"/>
      <c r="AI1102" s="757">
        <f t="shared" si="160"/>
        <v>71096701</v>
      </c>
      <c r="AJ1102" s="758">
        <f t="shared" si="161"/>
        <v>73484741.62111637</v>
      </c>
    </row>
    <row r="1103" spans="1:36" x14ac:dyDescent="0.2">
      <c r="A1103" s="898" t="s">
        <v>150</v>
      </c>
      <c r="B1103" s="1153" t="s">
        <v>266</v>
      </c>
      <c r="C1103" s="920" t="s">
        <v>1058</v>
      </c>
      <c r="D1103" s="921"/>
      <c r="E1103" s="902">
        <v>157085</v>
      </c>
      <c r="F1103" s="903">
        <v>1</v>
      </c>
      <c r="G1103" s="859"/>
      <c r="H1103" s="860"/>
      <c r="I1103" s="861"/>
      <c r="J1103" s="862"/>
      <c r="K1103" s="859"/>
      <c r="L1103" s="863"/>
      <c r="M1103" s="859"/>
      <c r="N1103" s="859"/>
      <c r="O1103" s="752">
        <f t="shared" si="154"/>
        <v>0</v>
      </c>
      <c r="P1103" s="862"/>
      <c r="Q1103" s="860"/>
      <c r="R1103" s="753">
        <f t="shared" si="157"/>
        <v>0</v>
      </c>
      <c r="S1103" s="752">
        <f t="shared" si="158"/>
        <v>0</v>
      </c>
      <c r="T1103" s="754">
        <f t="shared" si="159"/>
        <v>0</v>
      </c>
      <c r="U1103" s="859"/>
      <c r="V1103" s="863"/>
      <c r="W1103" s="859"/>
      <c r="X1103" s="859"/>
      <c r="Y1103" s="755">
        <f t="shared" si="155"/>
        <v>0</v>
      </c>
      <c r="Z1103" s="864"/>
      <c r="AA1103" s="863"/>
      <c r="AB1103" s="756">
        <f t="shared" si="156"/>
        <v>0</v>
      </c>
      <c r="AC1103" s="859"/>
      <c r="AD1103" s="863"/>
      <c r="AE1103" s="859"/>
      <c r="AF1103" s="859"/>
      <c r="AG1103" s="864"/>
      <c r="AH1103" s="865"/>
      <c r="AI1103" s="757">
        <f t="shared" si="160"/>
        <v>0</v>
      </c>
      <c r="AJ1103" s="758">
        <f t="shared" si="161"/>
        <v>0</v>
      </c>
    </row>
    <row r="1104" spans="1:36" x14ac:dyDescent="0.2">
      <c r="A1104" s="898" t="s">
        <v>150</v>
      </c>
      <c r="B1104" s="1153" t="s">
        <v>266</v>
      </c>
      <c r="C1104" s="1157" t="s">
        <v>1059</v>
      </c>
      <c r="D1104" s="921"/>
      <c r="E1104" s="902">
        <v>157085</v>
      </c>
      <c r="F1104" s="903">
        <v>1</v>
      </c>
      <c r="G1104" s="859"/>
      <c r="H1104" s="860"/>
      <c r="I1104" s="861">
        <v>3815400</v>
      </c>
      <c r="J1104" s="862">
        <v>3938800</v>
      </c>
      <c r="K1104" s="859"/>
      <c r="L1104" s="863"/>
      <c r="M1104" s="859"/>
      <c r="N1104" s="859"/>
      <c r="O1104" s="752">
        <f t="shared" si="154"/>
        <v>0</v>
      </c>
      <c r="P1104" s="862"/>
      <c r="Q1104" s="860"/>
      <c r="R1104" s="753">
        <f t="shared" si="157"/>
        <v>0</v>
      </c>
      <c r="S1104" s="752">
        <f t="shared" si="158"/>
        <v>3815400</v>
      </c>
      <c r="T1104" s="754">
        <f t="shared" si="159"/>
        <v>3938800</v>
      </c>
      <c r="U1104" s="859"/>
      <c r="V1104" s="863"/>
      <c r="W1104" s="859"/>
      <c r="X1104" s="859"/>
      <c r="Y1104" s="755">
        <f t="shared" si="155"/>
        <v>0</v>
      </c>
      <c r="Z1104" s="864"/>
      <c r="AA1104" s="863"/>
      <c r="AB1104" s="756">
        <f t="shared" si="156"/>
        <v>0</v>
      </c>
      <c r="AC1104" s="859"/>
      <c r="AD1104" s="863"/>
      <c r="AE1104" s="859"/>
      <c r="AF1104" s="859"/>
      <c r="AG1104" s="864"/>
      <c r="AH1104" s="865"/>
      <c r="AI1104" s="757">
        <f t="shared" si="160"/>
        <v>3815400</v>
      </c>
      <c r="AJ1104" s="758">
        <f t="shared" si="161"/>
        <v>3938800</v>
      </c>
    </row>
    <row r="1105" spans="1:36" x14ac:dyDescent="0.2">
      <c r="A1105" s="898" t="s">
        <v>150</v>
      </c>
      <c r="B1105" s="1153" t="s">
        <v>266</v>
      </c>
      <c r="C1105" s="1157" t="s">
        <v>1060</v>
      </c>
      <c r="D1105" s="921"/>
      <c r="E1105" s="902">
        <v>157085</v>
      </c>
      <c r="F1105" s="903">
        <v>1</v>
      </c>
      <c r="G1105" s="859"/>
      <c r="H1105" s="860"/>
      <c r="I1105" s="861">
        <v>1613900</v>
      </c>
      <c r="J1105" s="862">
        <v>1740300</v>
      </c>
      <c r="K1105" s="859"/>
      <c r="L1105" s="863"/>
      <c r="M1105" s="859"/>
      <c r="N1105" s="859"/>
      <c r="O1105" s="752">
        <f t="shared" si="154"/>
        <v>0</v>
      </c>
      <c r="P1105" s="862"/>
      <c r="Q1105" s="860"/>
      <c r="R1105" s="753">
        <f t="shared" si="157"/>
        <v>0</v>
      </c>
      <c r="S1105" s="752">
        <f t="shared" si="158"/>
        <v>1613900</v>
      </c>
      <c r="T1105" s="754">
        <f t="shared" si="159"/>
        <v>1740300</v>
      </c>
      <c r="U1105" s="859"/>
      <c r="V1105" s="863"/>
      <c r="W1105" s="859"/>
      <c r="X1105" s="859"/>
      <c r="Y1105" s="755">
        <f t="shared" si="155"/>
        <v>0</v>
      </c>
      <c r="Z1105" s="864"/>
      <c r="AA1105" s="863"/>
      <c r="AB1105" s="756">
        <f t="shared" si="156"/>
        <v>0</v>
      </c>
      <c r="AC1105" s="859"/>
      <c r="AD1105" s="863"/>
      <c r="AE1105" s="859"/>
      <c r="AF1105" s="859"/>
      <c r="AG1105" s="864"/>
      <c r="AH1105" s="865"/>
      <c r="AI1105" s="757">
        <f t="shared" si="160"/>
        <v>1613900</v>
      </c>
      <c r="AJ1105" s="758">
        <f t="shared" si="161"/>
        <v>1740300</v>
      </c>
    </row>
    <row r="1106" spans="1:36" x14ac:dyDescent="0.2">
      <c r="A1106" s="898" t="s">
        <v>150</v>
      </c>
      <c r="B1106" s="1153" t="s">
        <v>266</v>
      </c>
      <c r="C1106" s="1157" t="s">
        <v>1061</v>
      </c>
      <c r="D1106" s="921"/>
      <c r="E1106" s="902">
        <v>157085</v>
      </c>
      <c r="F1106" s="903">
        <v>1</v>
      </c>
      <c r="G1106" s="859"/>
      <c r="H1106" s="860"/>
      <c r="I1106" s="861">
        <v>3910800</v>
      </c>
      <c r="J1106" s="862">
        <v>4028700</v>
      </c>
      <c r="K1106" s="859"/>
      <c r="L1106" s="863"/>
      <c r="M1106" s="859"/>
      <c r="N1106" s="859"/>
      <c r="O1106" s="752">
        <f t="shared" si="154"/>
        <v>0</v>
      </c>
      <c r="P1106" s="862"/>
      <c r="Q1106" s="860"/>
      <c r="R1106" s="753">
        <f t="shared" si="157"/>
        <v>0</v>
      </c>
      <c r="S1106" s="752">
        <f t="shared" si="158"/>
        <v>3910800</v>
      </c>
      <c r="T1106" s="754">
        <f t="shared" si="159"/>
        <v>4028700</v>
      </c>
      <c r="U1106" s="859"/>
      <c r="V1106" s="863"/>
      <c r="W1106" s="859"/>
      <c r="X1106" s="859"/>
      <c r="Y1106" s="755">
        <f t="shared" si="155"/>
        <v>0</v>
      </c>
      <c r="Z1106" s="864"/>
      <c r="AA1106" s="863"/>
      <c r="AB1106" s="756">
        <f t="shared" si="156"/>
        <v>0</v>
      </c>
      <c r="AC1106" s="859"/>
      <c r="AD1106" s="863"/>
      <c r="AE1106" s="859"/>
      <c r="AF1106" s="859"/>
      <c r="AG1106" s="864"/>
      <c r="AH1106" s="865"/>
      <c r="AI1106" s="757">
        <f t="shared" si="160"/>
        <v>3910800</v>
      </c>
      <c r="AJ1106" s="758">
        <f t="shared" si="161"/>
        <v>4028700</v>
      </c>
    </row>
    <row r="1107" spans="1:36" x14ac:dyDescent="0.2">
      <c r="A1107" s="898" t="s">
        <v>150</v>
      </c>
      <c r="B1107" s="1153" t="s">
        <v>266</v>
      </c>
      <c r="C1107" s="1157" t="s">
        <v>1062</v>
      </c>
      <c r="D1107" s="921"/>
      <c r="E1107" s="902">
        <v>157085</v>
      </c>
      <c r="F1107" s="903">
        <v>1</v>
      </c>
      <c r="G1107" s="859"/>
      <c r="H1107" s="860"/>
      <c r="I1107" s="861">
        <v>610600</v>
      </c>
      <c r="J1107" s="862">
        <v>624900</v>
      </c>
      <c r="K1107" s="859"/>
      <c r="L1107" s="863"/>
      <c r="M1107" s="859"/>
      <c r="N1107" s="859"/>
      <c r="O1107" s="752">
        <f t="shared" si="154"/>
        <v>0</v>
      </c>
      <c r="P1107" s="862"/>
      <c r="Q1107" s="860"/>
      <c r="R1107" s="753">
        <f t="shared" si="157"/>
        <v>0</v>
      </c>
      <c r="S1107" s="752">
        <f t="shared" si="158"/>
        <v>610600</v>
      </c>
      <c r="T1107" s="754">
        <f t="shared" si="159"/>
        <v>624900</v>
      </c>
      <c r="U1107" s="859"/>
      <c r="V1107" s="863"/>
      <c r="W1107" s="859"/>
      <c r="X1107" s="859"/>
      <c r="Y1107" s="755">
        <f t="shared" si="155"/>
        <v>0</v>
      </c>
      <c r="Z1107" s="864"/>
      <c r="AA1107" s="863"/>
      <c r="AB1107" s="756">
        <f t="shared" si="156"/>
        <v>0</v>
      </c>
      <c r="AC1107" s="859"/>
      <c r="AD1107" s="863"/>
      <c r="AE1107" s="859"/>
      <c r="AF1107" s="859"/>
      <c r="AG1107" s="864"/>
      <c r="AH1107" s="865"/>
      <c r="AI1107" s="757">
        <f t="shared" si="160"/>
        <v>610600</v>
      </c>
      <c r="AJ1107" s="758">
        <f t="shared" si="161"/>
        <v>624900</v>
      </c>
    </row>
    <row r="1108" spans="1:36" x14ac:dyDescent="0.2">
      <c r="A1108" s="898" t="s">
        <v>150</v>
      </c>
      <c r="B1108" s="1153" t="s">
        <v>266</v>
      </c>
      <c r="C1108" s="1157" t="s">
        <v>1063</v>
      </c>
      <c r="D1108" s="921"/>
      <c r="E1108" s="902">
        <v>157085</v>
      </c>
      <c r="F1108" s="903">
        <v>1</v>
      </c>
      <c r="G1108" s="859"/>
      <c r="H1108" s="860"/>
      <c r="I1108" s="861">
        <v>272000</v>
      </c>
      <c r="J1108" s="862">
        <v>255600</v>
      </c>
      <c r="K1108" s="859"/>
      <c r="L1108" s="863"/>
      <c r="M1108" s="859"/>
      <c r="N1108" s="859"/>
      <c r="O1108" s="752">
        <f t="shared" si="154"/>
        <v>0</v>
      </c>
      <c r="P1108" s="862"/>
      <c r="Q1108" s="860"/>
      <c r="R1108" s="753">
        <f t="shared" si="157"/>
        <v>0</v>
      </c>
      <c r="S1108" s="752">
        <f t="shared" si="158"/>
        <v>272000</v>
      </c>
      <c r="T1108" s="754">
        <f t="shared" si="159"/>
        <v>255600</v>
      </c>
      <c r="U1108" s="859"/>
      <c r="V1108" s="863"/>
      <c r="W1108" s="859"/>
      <c r="X1108" s="859"/>
      <c r="Y1108" s="755">
        <f t="shared" si="155"/>
        <v>0</v>
      </c>
      <c r="Z1108" s="864"/>
      <c r="AA1108" s="863"/>
      <c r="AB1108" s="756">
        <f t="shared" si="156"/>
        <v>0</v>
      </c>
      <c r="AC1108" s="859"/>
      <c r="AD1108" s="863"/>
      <c r="AE1108" s="859"/>
      <c r="AF1108" s="859"/>
      <c r="AG1108" s="864"/>
      <c r="AH1108" s="865"/>
      <c r="AI1108" s="757">
        <f t="shared" si="160"/>
        <v>272000</v>
      </c>
      <c r="AJ1108" s="758">
        <f t="shared" si="161"/>
        <v>255600</v>
      </c>
    </row>
    <row r="1109" spans="1:36" x14ac:dyDescent="0.2">
      <c r="A1109" s="898" t="s">
        <v>150</v>
      </c>
      <c r="B1109" s="1153" t="s">
        <v>266</v>
      </c>
      <c r="C1109" s="1157" t="s">
        <v>1064</v>
      </c>
      <c r="D1109" s="921"/>
      <c r="E1109" s="902">
        <v>157085</v>
      </c>
      <c r="F1109" s="903">
        <v>1</v>
      </c>
      <c r="G1109" s="859"/>
      <c r="H1109" s="860"/>
      <c r="I1109" s="861">
        <v>0</v>
      </c>
      <c r="J1109" s="862">
        <v>0</v>
      </c>
      <c r="K1109" s="859"/>
      <c r="L1109" s="863"/>
      <c r="M1109" s="859"/>
      <c r="N1109" s="859"/>
      <c r="O1109" s="752">
        <f t="shared" si="154"/>
        <v>0</v>
      </c>
      <c r="P1109" s="862"/>
      <c r="Q1109" s="860"/>
      <c r="R1109" s="753">
        <f t="shared" si="157"/>
        <v>0</v>
      </c>
      <c r="S1109" s="752">
        <f t="shared" si="158"/>
        <v>0</v>
      </c>
      <c r="T1109" s="754">
        <f t="shared" si="159"/>
        <v>0</v>
      </c>
      <c r="U1109" s="859"/>
      <c r="V1109" s="863"/>
      <c r="W1109" s="859"/>
      <c r="X1109" s="859"/>
      <c r="Y1109" s="755">
        <f t="shared" si="155"/>
        <v>0</v>
      </c>
      <c r="Z1109" s="864"/>
      <c r="AA1109" s="863"/>
      <c r="AB1109" s="756">
        <f t="shared" si="156"/>
        <v>0</v>
      </c>
      <c r="AC1109" s="859"/>
      <c r="AD1109" s="863"/>
      <c r="AE1109" s="859"/>
      <c r="AF1109" s="859"/>
      <c r="AG1109" s="864"/>
      <c r="AH1109" s="865"/>
      <c r="AI1109" s="757">
        <f t="shared" si="160"/>
        <v>0</v>
      </c>
      <c r="AJ1109" s="758">
        <f t="shared" si="161"/>
        <v>0</v>
      </c>
    </row>
    <row r="1110" spans="1:36" x14ac:dyDescent="0.2">
      <c r="A1110" s="898" t="s">
        <v>150</v>
      </c>
      <c r="B1110" s="1153" t="s">
        <v>268</v>
      </c>
      <c r="C1110" s="920" t="s">
        <v>257</v>
      </c>
      <c r="D1110" s="921"/>
      <c r="E1110" s="902">
        <v>157085</v>
      </c>
      <c r="F1110" s="903">
        <v>1</v>
      </c>
      <c r="G1110" s="859"/>
      <c r="H1110" s="860"/>
      <c r="I1110" s="861">
        <v>31136800</v>
      </c>
      <c r="J1110" s="862">
        <v>32762900</v>
      </c>
      <c r="K1110" s="859"/>
      <c r="L1110" s="863"/>
      <c r="M1110" s="859"/>
      <c r="N1110" s="859"/>
      <c r="O1110" s="752">
        <f t="shared" si="154"/>
        <v>0</v>
      </c>
      <c r="P1110" s="862"/>
      <c r="Q1110" s="860"/>
      <c r="R1110" s="753">
        <f t="shared" si="157"/>
        <v>0</v>
      </c>
      <c r="S1110" s="752">
        <f t="shared" si="158"/>
        <v>31136800</v>
      </c>
      <c r="T1110" s="754">
        <f t="shared" si="159"/>
        <v>32762900</v>
      </c>
      <c r="U1110" s="859"/>
      <c r="V1110" s="863"/>
      <c r="W1110" s="859"/>
      <c r="X1110" s="859"/>
      <c r="Y1110" s="755">
        <f t="shared" si="155"/>
        <v>0</v>
      </c>
      <c r="Z1110" s="864"/>
      <c r="AA1110" s="863"/>
      <c r="AB1110" s="756">
        <f t="shared" si="156"/>
        <v>0</v>
      </c>
      <c r="AC1110" s="859"/>
      <c r="AD1110" s="863"/>
      <c r="AE1110" s="859"/>
      <c r="AF1110" s="859"/>
      <c r="AG1110" s="864"/>
      <c r="AH1110" s="865"/>
      <c r="AI1110" s="757">
        <f t="shared" si="160"/>
        <v>31136800</v>
      </c>
      <c r="AJ1110" s="758">
        <f t="shared" si="161"/>
        <v>32762900</v>
      </c>
    </row>
    <row r="1111" spans="1:36" x14ac:dyDescent="0.2">
      <c r="A1111" s="898" t="s">
        <v>150</v>
      </c>
      <c r="B1111" s="1153" t="s">
        <v>268</v>
      </c>
      <c r="C1111" s="920" t="s">
        <v>256</v>
      </c>
      <c r="D1111" s="921"/>
      <c r="E1111" s="902">
        <v>157085</v>
      </c>
      <c r="F1111" s="903">
        <v>1</v>
      </c>
      <c r="G1111" s="859"/>
      <c r="H1111" s="860"/>
      <c r="I1111" s="861">
        <v>26944800</v>
      </c>
      <c r="J1111" s="862">
        <v>29127500</v>
      </c>
      <c r="K1111" s="859"/>
      <c r="L1111" s="863"/>
      <c r="M1111" s="859"/>
      <c r="N1111" s="859"/>
      <c r="O1111" s="752">
        <f t="shared" si="154"/>
        <v>0</v>
      </c>
      <c r="P1111" s="862"/>
      <c r="Q1111" s="860"/>
      <c r="R1111" s="753">
        <f t="shared" si="157"/>
        <v>0</v>
      </c>
      <c r="S1111" s="752">
        <f t="shared" si="158"/>
        <v>26944800</v>
      </c>
      <c r="T1111" s="754">
        <f t="shared" si="159"/>
        <v>29127500</v>
      </c>
      <c r="U1111" s="859"/>
      <c r="V1111" s="863"/>
      <c r="W1111" s="859"/>
      <c r="X1111" s="859"/>
      <c r="Y1111" s="755">
        <f t="shared" si="155"/>
        <v>0</v>
      </c>
      <c r="Z1111" s="864"/>
      <c r="AA1111" s="863"/>
      <c r="AB1111" s="756">
        <f t="shared" si="156"/>
        <v>0</v>
      </c>
      <c r="AC1111" s="859"/>
      <c r="AD1111" s="863"/>
      <c r="AE1111" s="859"/>
      <c r="AF1111" s="859"/>
      <c r="AG1111" s="864"/>
      <c r="AH1111" s="865"/>
      <c r="AI1111" s="757">
        <f t="shared" si="160"/>
        <v>26944800</v>
      </c>
      <c r="AJ1111" s="758">
        <f t="shared" si="161"/>
        <v>29127500</v>
      </c>
    </row>
    <row r="1112" spans="1:36" x14ac:dyDescent="0.2">
      <c r="A1112" s="898" t="s">
        <v>150</v>
      </c>
      <c r="B1112" s="1153" t="s">
        <v>271</v>
      </c>
      <c r="C1112" s="920" t="s">
        <v>309</v>
      </c>
      <c r="D1112" s="921"/>
      <c r="E1112" s="902">
        <v>157085</v>
      </c>
      <c r="F1112" s="903">
        <v>1</v>
      </c>
      <c r="G1112" s="859"/>
      <c r="H1112" s="860"/>
      <c r="I1112" s="861"/>
      <c r="J1112" s="862"/>
      <c r="K1112" s="859"/>
      <c r="L1112" s="863"/>
      <c r="M1112" s="859"/>
      <c r="N1112" s="859"/>
      <c r="O1112" s="752">
        <f t="shared" si="154"/>
        <v>0</v>
      </c>
      <c r="P1112" s="862"/>
      <c r="Q1112" s="860"/>
      <c r="R1112" s="753">
        <f t="shared" si="157"/>
        <v>0</v>
      </c>
      <c r="S1112" s="752">
        <f t="shared" si="158"/>
        <v>0</v>
      </c>
      <c r="T1112" s="754">
        <f t="shared" si="159"/>
        <v>0</v>
      </c>
      <c r="U1112" s="859"/>
      <c r="V1112" s="863"/>
      <c r="W1112" s="859"/>
      <c r="X1112" s="859"/>
      <c r="Y1112" s="755">
        <f t="shared" si="155"/>
        <v>0</v>
      </c>
      <c r="Z1112" s="864"/>
      <c r="AA1112" s="863"/>
      <c r="AB1112" s="756">
        <f t="shared" si="156"/>
        <v>0</v>
      </c>
      <c r="AC1112" s="859"/>
      <c r="AD1112" s="863"/>
      <c r="AE1112" s="859"/>
      <c r="AF1112" s="859"/>
      <c r="AG1112" s="864"/>
      <c r="AH1112" s="865"/>
      <c r="AI1112" s="757">
        <f t="shared" si="160"/>
        <v>0</v>
      </c>
      <c r="AJ1112" s="758">
        <f t="shared" si="161"/>
        <v>0</v>
      </c>
    </row>
    <row r="1113" spans="1:36" x14ac:dyDescent="0.2">
      <c r="A1113" s="898" t="s">
        <v>150</v>
      </c>
      <c r="B1113" s="1153" t="s">
        <v>271</v>
      </c>
      <c r="C1113" s="1157" t="s">
        <v>1065</v>
      </c>
      <c r="D1113" s="921"/>
      <c r="E1113" s="1158">
        <v>157085</v>
      </c>
      <c r="F1113" s="903">
        <v>1</v>
      </c>
      <c r="G1113" s="859"/>
      <c r="H1113" s="860"/>
      <c r="I1113" s="861">
        <v>4502500</v>
      </c>
      <c r="J1113" s="862">
        <v>4524500</v>
      </c>
      <c r="K1113" s="859"/>
      <c r="L1113" s="863"/>
      <c r="M1113" s="859"/>
      <c r="N1113" s="859"/>
      <c r="O1113" s="752">
        <f t="shared" si="154"/>
        <v>0</v>
      </c>
      <c r="P1113" s="862"/>
      <c r="Q1113" s="860"/>
      <c r="R1113" s="753">
        <f t="shared" si="157"/>
        <v>0</v>
      </c>
      <c r="S1113" s="752">
        <f t="shared" si="158"/>
        <v>4502500</v>
      </c>
      <c r="T1113" s="754">
        <f t="shared" si="159"/>
        <v>4524500</v>
      </c>
      <c r="U1113" s="859"/>
      <c r="V1113" s="863"/>
      <c r="W1113" s="859"/>
      <c r="X1113" s="859"/>
      <c r="Y1113" s="755">
        <f t="shared" si="155"/>
        <v>0</v>
      </c>
      <c r="Z1113" s="864"/>
      <c r="AA1113" s="863"/>
      <c r="AB1113" s="756">
        <f t="shared" si="156"/>
        <v>0</v>
      </c>
      <c r="AC1113" s="859"/>
      <c r="AD1113" s="863"/>
      <c r="AE1113" s="859"/>
      <c r="AF1113" s="859"/>
      <c r="AG1113" s="864"/>
      <c r="AH1113" s="865"/>
      <c r="AI1113" s="757">
        <f t="shared" si="160"/>
        <v>4502500</v>
      </c>
      <c r="AJ1113" s="758">
        <f t="shared" si="161"/>
        <v>4524500</v>
      </c>
    </row>
    <row r="1114" spans="1:36" x14ac:dyDescent="0.2">
      <c r="A1114" s="898" t="s">
        <v>150</v>
      </c>
      <c r="B1114" s="1153" t="s">
        <v>271</v>
      </c>
      <c r="C1114" s="1157" t="s">
        <v>1066</v>
      </c>
      <c r="D1114" s="921"/>
      <c r="E1114" s="902">
        <v>157085</v>
      </c>
      <c r="F1114" s="903">
        <v>1</v>
      </c>
      <c r="G1114" s="859"/>
      <c r="H1114" s="860"/>
      <c r="I1114" s="861">
        <v>785171</v>
      </c>
      <c r="J1114" s="862">
        <v>710526.22</v>
      </c>
      <c r="K1114" s="859"/>
      <c r="L1114" s="863"/>
      <c r="M1114" s="859"/>
      <c r="N1114" s="859"/>
      <c r="O1114" s="752">
        <f t="shared" si="154"/>
        <v>0</v>
      </c>
      <c r="P1114" s="862"/>
      <c r="Q1114" s="860"/>
      <c r="R1114" s="753">
        <f t="shared" si="157"/>
        <v>0</v>
      </c>
      <c r="S1114" s="752">
        <f t="shared" si="158"/>
        <v>785171</v>
      </c>
      <c r="T1114" s="754">
        <f t="shared" si="159"/>
        <v>710526.22</v>
      </c>
      <c r="U1114" s="859"/>
      <c r="V1114" s="863"/>
      <c r="W1114" s="859"/>
      <c r="X1114" s="859"/>
      <c r="Y1114" s="755">
        <f t="shared" si="155"/>
        <v>0</v>
      </c>
      <c r="Z1114" s="864"/>
      <c r="AA1114" s="863"/>
      <c r="AB1114" s="756">
        <f t="shared" si="156"/>
        <v>0</v>
      </c>
      <c r="AC1114" s="859"/>
      <c r="AD1114" s="863"/>
      <c r="AE1114" s="859"/>
      <c r="AF1114" s="859"/>
      <c r="AG1114" s="864"/>
      <c r="AH1114" s="865"/>
      <c r="AI1114" s="757">
        <f t="shared" si="160"/>
        <v>785171</v>
      </c>
      <c r="AJ1114" s="758">
        <f t="shared" si="161"/>
        <v>710526.22</v>
      </c>
    </row>
    <row r="1115" spans="1:36" x14ac:dyDescent="0.2">
      <c r="A1115" s="898" t="s">
        <v>150</v>
      </c>
      <c r="B1115" s="1153" t="s">
        <v>271</v>
      </c>
      <c r="C1115" s="1157" t="s">
        <v>1064</v>
      </c>
      <c r="D1115" s="921"/>
      <c r="E1115" s="902">
        <v>157085</v>
      </c>
      <c r="F1115" s="903">
        <v>1</v>
      </c>
      <c r="G1115" s="859"/>
      <c r="H1115" s="860"/>
      <c r="I1115" s="861">
        <v>552400</v>
      </c>
      <c r="J1115" s="862">
        <v>591300</v>
      </c>
      <c r="K1115" s="859"/>
      <c r="L1115" s="863"/>
      <c r="M1115" s="859"/>
      <c r="N1115" s="859"/>
      <c r="O1115" s="752">
        <f t="shared" si="154"/>
        <v>0</v>
      </c>
      <c r="P1115" s="862"/>
      <c r="Q1115" s="860"/>
      <c r="R1115" s="753">
        <f t="shared" si="157"/>
        <v>0</v>
      </c>
      <c r="S1115" s="752">
        <f t="shared" si="158"/>
        <v>552400</v>
      </c>
      <c r="T1115" s="754">
        <f t="shared" si="159"/>
        <v>591300</v>
      </c>
      <c r="U1115" s="859"/>
      <c r="V1115" s="863"/>
      <c r="W1115" s="859"/>
      <c r="X1115" s="859"/>
      <c r="Y1115" s="755">
        <f t="shared" si="155"/>
        <v>0</v>
      </c>
      <c r="Z1115" s="864"/>
      <c r="AA1115" s="863"/>
      <c r="AB1115" s="756">
        <f t="shared" si="156"/>
        <v>0</v>
      </c>
      <c r="AC1115" s="859"/>
      <c r="AD1115" s="863"/>
      <c r="AE1115" s="859"/>
      <c r="AF1115" s="859"/>
      <c r="AG1115" s="864"/>
      <c r="AH1115" s="865"/>
      <c r="AI1115" s="757">
        <f t="shared" si="160"/>
        <v>552400</v>
      </c>
      <c r="AJ1115" s="758">
        <f t="shared" si="161"/>
        <v>591300</v>
      </c>
    </row>
    <row r="1116" spans="1:36" x14ac:dyDescent="0.2">
      <c r="A1116" s="898" t="s">
        <v>150</v>
      </c>
      <c r="B1116" s="1153" t="s">
        <v>264</v>
      </c>
      <c r="C1116" s="1153" t="s">
        <v>1067</v>
      </c>
      <c r="D1116" s="1159"/>
      <c r="E1116" s="902">
        <v>157289</v>
      </c>
      <c r="F1116" s="903">
        <v>1</v>
      </c>
      <c r="G1116" s="859">
        <v>125068000</v>
      </c>
      <c r="H1116" s="860">
        <v>128746600</v>
      </c>
      <c r="I1116" s="861"/>
      <c r="J1116" s="862"/>
      <c r="K1116" s="859"/>
      <c r="L1116" s="863"/>
      <c r="M1116" s="1156">
        <v>220459419.02840909</v>
      </c>
      <c r="N1116" s="1156">
        <v>2055848</v>
      </c>
      <c r="O1116" s="752">
        <f t="shared" si="154"/>
        <v>222515267.02840909</v>
      </c>
      <c r="P1116" s="862">
        <v>220874185.66651899</v>
      </c>
      <c r="Q1116" s="860">
        <v>2992692</v>
      </c>
      <c r="R1116" s="753">
        <f t="shared" si="157"/>
        <v>223866877.66651899</v>
      </c>
      <c r="S1116" s="752">
        <f t="shared" si="158"/>
        <v>345527419.02840912</v>
      </c>
      <c r="T1116" s="754">
        <f t="shared" si="159"/>
        <v>349620785.66651899</v>
      </c>
      <c r="U1116" s="859"/>
      <c r="V1116" s="863"/>
      <c r="W1116" s="859"/>
      <c r="X1116" s="859"/>
      <c r="Y1116" s="755">
        <f t="shared" si="155"/>
        <v>0</v>
      </c>
      <c r="Z1116" s="864"/>
      <c r="AA1116" s="863"/>
      <c r="AB1116" s="756">
        <f t="shared" si="156"/>
        <v>0</v>
      </c>
      <c r="AC1116" s="859"/>
      <c r="AD1116" s="863"/>
      <c r="AE1116" s="859"/>
      <c r="AF1116" s="859"/>
      <c r="AG1116" s="864"/>
      <c r="AH1116" s="865"/>
      <c r="AI1116" s="757">
        <f t="shared" si="160"/>
        <v>345527419.02840912</v>
      </c>
      <c r="AJ1116" s="758">
        <f t="shared" si="161"/>
        <v>349620785.66651899</v>
      </c>
    </row>
    <row r="1117" spans="1:36" x14ac:dyDescent="0.2">
      <c r="A1117" s="898" t="s">
        <v>150</v>
      </c>
      <c r="B1117" s="1153" t="s">
        <v>280</v>
      </c>
      <c r="C1117" s="1157" t="s">
        <v>678</v>
      </c>
      <c r="D1117" s="921"/>
      <c r="E1117" s="902">
        <v>157289</v>
      </c>
      <c r="F1117" s="903">
        <v>1</v>
      </c>
      <c r="G1117" s="859"/>
      <c r="H1117" s="860"/>
      <c r="I1117" s="861"/>
      <c r="J1117" s="862"/>
      <c r="K1117" s="859"/>
      <c r="L1117" s="863"/>
      <c r="M1117" s="859"/>
      <c r="N1117" s="859"/>
      <c r="O1117" s="752">
        <f t="shared" si="154"/>
        <v>0</v>
      </c>
      <c r="P1117" s="862"/>
      <c r="Q1117" s="860"/>
      <c r="R1117" s="753">
        <f t="shared" si="157"/>
        <v>0</v>
      </c>
      <c r="S1117" s="752">
        <f t="shared" si="158"/>
        <v>0</v>
      </c>
      <c r="T1117" s="754">
        <f t="shared" si="159"/>
        <v>0</v>
      </c>
      <c r="U1117" s="859"/>
      <c r="V1117" s="863"/>
      <c r="W1117" s="859"/>
      <c r="X1117" s="859"/>
      <c r="Y1117" s="755">
        <f t="shared" si="155"/>
        <v>0</v>
      </c>
      <c r="Z1117" s="864"/>
      <c r="AA1117" s="863"/>
      <c r="AB1117" s="756">
        <f t="shared" si="156"/>
        <v>0</v>
      </c>
      <c r="AC1117" s="859">
        <v>35562000</v>
      </c>
      <c r="AD1117" s="863">
        <v>32437100</v>
      </c>
      <c r="AE1117" s="859">
        <v>42210740</v>
      </c>
      <c r="AF1117" s="859"/>
      <c r="AG1117" s="864">
        <v>47158322.333480999</v>
      </c>
      <c r="AH1117" s="865"/>
      <c r="AI1117" s="757">
        <f t="shared" si="160"/>
        <v>77772740</v>
      </c>
      <c r="AJ1117" s="758">
        <f t="shared" si="161"/>
        <v>79595422.333480999</v>
      </c>
    </row>
    <row r="1118" spans="1:36" x14ac:dyDescent="0.2">
      <c r="A1118" s="898" t="s">
        <v>150</v>
      </c>
      <c r="B1118" s="1153" t="s">
        <v>266</v>
      </c>
      <c r="C1118" s="920" t="s">
        <v>1058</v>
      </c>
      <c r="D1118" s="921"/>
      <c r="E1118" s="902">
        <v>157289</v>
      </c>
      <c r="F1118" s="903">
        <v>1</v>
      </c>
      <c r="G1118" s="859"/>
      <c r="H1118" s="860"/>
      <c r="I1118" s="861"/>
      <c r="J1118" s="862"/>
      <c r="K1118" s="859"/>
      <c r="L1118" s="863"/>
      <c r="M1118" s="859"/>
      <c r="N1118" s="859"/>
      <c r="O1118" s="752">
        <f t="shared" si="154"/>
        <v>0</v>
      </c>
      <c r="P1118" s="862"/>
      <c r="Q1118" s="860"/>
      <c r="R1118" s="753">
        <f t="shared" si="157"/>
        <v>0</v>
      </c>
      <c r="S1118" s="752">
        <f t="shared" si="158"/>
        <v>0</v>
      </c>
      <c r="T1118" s="754">
        <f t="shared" si="159"/>
        <v>0</v>
      </c>
      <c r="U1118" s="859"/>
      <c r="V1118" s="863"/>
      <c r="W1118" s="859"/>
      <c r="X1118" s="859"/>
      <c r="Y1118" s="755">
        <f t="shared" si="155"/>
        <v>0</v>
      </c>
      <c r="Z1118" s="864"/>
      <c r="AA1118" s="863"/>
      <c r="AB1118" s="756">
        <f t="shared" si="156"/>
        <v>0</v>
      </c>
      <c r="AC1118" s="859"/>
      <c r="AD1118" s="863"/>
      <c r="AE1118" s="859"/>
      <c r="AF1118" s="859"/>
      <c r="AG1118" s="864"/>
      <c r="AH1118" s="865"/>
      <c r="AI1118" s="757">
        <f t="shared" si="160"/>
        <v>0</v>
      </c>
      <c r="AJ1118" s="758">
        <f t="shared" si="161"/>
        <v>0</v>
      </c>
    </row>
    <row r="1119" spans="1:36" x14ac:dyDescent="0.2">
      <c r="A1119" s="898" t="s">
        <v>150</v>
      </c>
      <c r="B1119" s="1153" t="s">
        <v>266</v>
      </c>
      <c r="C1119" s="920" t="s">
        <v>1068</v>
      </c>
      <c r="D1119" s="921"/>
      <c r="E1119" s="902">
        <v>157289</v>
      </c>
      <c r="F1119" s="903">
        <v>1</v>
      </c>
      <c r="G1119" s="859"/>
      <c r="H1119" s="860"/>
      <c r="I1119" s="861">
        <v>846100</v>
      </c>
      <c r="J1119" s="862">
        <v>843400</v>
      </c>
      <c r="K1119" s="859"/>
      <c r="L1119" s="863"/>
      <c r="M1119" s="859"/>
      <c r="N1119" s="859"/>
      <c r="O1119" s="752">
        <f t="shared" si="154"/>
        <v>0</v>
      </c>
      <c r="P1119" s="862"/>
      <c r="Q1119" s="860"/>
      <c r="R1119" s="753">
        <f t="shared" si="157"/>
        <v>0</v>
      </c>
      <c r="S1119" s="752">
        <f t="shared" si="158"/>
        <v>846100</v>
      </c>
      <c r="T1119" s="754">
        <f t="shared" si="159"/>
        <v>843400</v>
      </c>
      <c r="U1119" s="859"/>
      <c r="V1119" s="863"/>
      <c r="W1119" s="859"/>
      <c r="X1119" s="859"/>
      <c r="Y1119" s="755">
        <f t="shared" si="155"/>
        <v>0</v>
      </c>
      <c r="Z1119" s="864"/>
      <c r="AA1119" s="863"/>
      <c r="AB1119" s="756">
        <f t="shared" si="156"/>
        <v>0</v>
      </c>
      <c r="AC1119" s="859"/>
      <c r="AD1119" s="863"/>
      <c r="AE1119" s="859"/>
      <c r="AF1119" s="859"/>
      <c r="AG1119" s="864"/>
      <c r="AH1119" s="865"/>
      <c r="AI1119" s="757">
        <f t="shared" si="160"/>
        <v>846100</v>
      </c>
      <c r="AJ1119" s="758">
        <f t="shared" si="161"/>
        <v>843400</v>
      </c>
    </row>
    <row r="1120" spans="1:36" x14ac:dyDescent="0.2">
      <c r="A1120" s="898" t="s">
        <v>150</v>
      </c>
      <c r="B1120" s="1153" t="s">
        <v>266</v>
      </c>
      <c r="C1120" s="1157" t="s">
        <v>1069</v>
      </c>
      <c r="D1120" s="921"/>
      <c r="E1120" s="902">
        <v>157289</v>
      </c>
      <c r="F1120" s="903">
        <v>1</v>
      </c>
      <c r="G1120" s="859"/>
      <c r="H1120" s="860"/>
      <c r="I1120" s="861">
        <v>153100</v>
      </c>
      <c r="J1120" s="862">
        <v>257300</v>
      </c>
      <c r="K1120" s="859"/>
      <c r="L1120" s="863"/>
      <c r="M1120" s="859"/>
      <c r="N1120" s="859"/>
      <c r="O1120" s="752">
        <f t="shared" si="154"/>
        <v>0</v>
      </c>
      <c r="P1120" s="862"/>
      <c r="Q1120" s="860"/>
      <c r="R1120" s="753">
        <f t="shared" si="157"/>
        <v>0</v>
      </c>
      <c r="S1120" s="752">
        <f t="shared" si="158"/>
        <v>153100</v>
      </c>
      <c r="T1120" s="754">
        <f t="shared" si="159"/>
        <v>257300</v>
      </c>
      <c r="U1120" s="859"/>
      <c r="V1120" s="863"/>
      <c r="W1120" s="859"/>
      <c r="X1120" s="859"/>
      <c r="Y1120" s="755">
        <f t="shared" si="155"/>
        <v>0</v>
      </c>
      <c r="Z1120" s="864"/>
      <c r="AA1120" s="863"/>
      <c r="AB1120" s="756">
        <f t="shared" si="156"/>
        <v>0</v>
      </c>
      <c r="AC1120" s="859"/>
      <c r="AD1120" s="863"/>
      <c r="AE1120" s="859"/>
      <c r="AF1120" s="859"/>
      <c r="AG1120" s="864"/>
      <c r="AH1120" s="865"/>
      <c r="AI1120" s="757">
        <f t="shared" si="160"/>
        <v>153100</v>
      </c>
      <c r="AJ1120" s="758">
        <f t="shared" si="161"/>
        <v>257300</v>
      </c>
    </row>
    <row r="1121" spans="1:36" x14ac:dyDescent="0.2">
      <c r="A1121" s="898" t="s">
        <v>150</v>
      </c>
      <c r="B1121" s="1153" t="s">
        <v>271</v>
      </c>
      <c r="C1121" s="920" t="s">
        <v>309</v>
      </c>
      <c r="D1121" s="921"/>
      <c r="E1121" s="902">
        <v>157289</v>
      </c>
      <c r="F1121" s="903">
        <v>1</v>
      </c>
      <c r="G1121" s="859"/>
      <c r="H1121" s="860"/>
      <c r="I1121" s="861"/>
      <c r="J1121" s="862"/>
      <c r="K1121" s="859"/>
      <c r="L1121" s="863"/>
      <c r="M1121" s="859"/>
      <c r="N1121" s="859"/>
      <c r="O1121" s="752">
        <f t="shared" si="154"/>
        <v>0</v>
      </c>
      <c r="P1121" s="862"/>
      <c r="Q1121" s="860"/>
      <c r="R1121" s="753">
        <f t="shared" si="157"/>
        <v>0</v>
      </c>
      <c r="S1121" s="752">
        <f t="shared" si="158"/>
        <v>0</v>
      </c>
      <c r="T1121" s="754">
        <f t="shared" si="159"/>
        <v>0</v>
      </c>
      <c r="U1121" s="859"/>
      <c r="V1121" s="863"/>
      <c r="W1121" s="859"/>
      <c r="X1121" s="859"/>
      <c r="Y1121" s="755">
        <f t="shared" si="155"/>
        <v>0</v>
      </c>
      <c r="Z1121" s="864"/>
      <c r="AA1121" s="863"/>
      <c r="AB1121" s="756">
        <f t="shared" si="156"/>
        <v>0</v>
      </c>
      <c r="AC1121" s="859"/>
      <c r="AD1121" s="863"/>
      <c r="AE1121" s="859"/>
      <c r="AF1121" s="859"/>
      <c r="AG1121" s="864"/>
      <c r="AH1121" s="865"/>
      <c r="AI1121" s="757">
        <f t="shared" si="160"/>
        <v>0</v>
      </c>
      <c r="AJ1121" s="758">
        <f t="shared" si="161"/>
        <v>0</v>
      </c>
    </row>
    <row r="1122" spans="1:36" x14ac:dyDescent="0.2">
      <c r="A1122" s="898" t="s">
        <v>150</v>
      </c>
      <c r="B1122" s="1153" t="s">
        <v>264</v>
      </c>
      <c r="C1122" s="1153" t="s">
        <v>1070</v>
      </c>
      <c r="D1122" s="1159"/>
      <c r="E1122" s="902">
        <v>156620</v>
      </c>
      <c r="F1122" s="903">
        <v>3</v>
      </c>
      <c r="G1122" s="859">
        <v>67673700</v>
      </c>
      <c r="H1122" s="860">
        <v>67673700</v>
      </c>
      <c r="I1122" s="861"/>
      <c r="J1122" s="862"/>
      <c r="K1122" s="859"/>
      <c r="L1122" s="863"/>
      <c r="M1122" s="859">
        <v>132387000</v>
      </c>
      <c r="N1122" s="859"/>
      <c r="O1122" s="752">
        <f t="shared" si="154"/>
        <v>132387000</v>
      </c>
      <c r="P1122" s="862">
        <v>138387800</v>
      </c>
      <c r="Q1122" s="860"/>
      <c r="R1122" s="753">
        <f t="shared" si="157"/>
        <v>138387800</v>
      </c>
      <c r="S1122" s="752">
        <f t="shared" si="158"/>
        <v>200060700</v>
      </c>
      <c r="T1122" s="754">
        <f t="shared" si="159"/>
        <v>206061500</v>
      </c>
      <c r="U1122" s="859"/>
      <c r="V1122" s="863"/>
      <c r="W1122" s="859"/>
      <c r="X1122" s="859"/>
      <c r="Y1122" s="755">
        <f t="shared" si="155"/>
        <v>0</v>
      </c>
      <c r="Z1122" s="864"/>
      <c r="AA1122" s="863"/>
      <c r="AB1122" s="756">
        <f t="shared" si="156"/>
        <v>0</v>
      </c>
      <c r="AC1122" s="859"/>
      <c r="AD1122" s="863"/>
      <c r="AE1122" s="859"/>
      <c r="AF1122" s="859"/>
      <c r="AG1122" s="864"/>
      <c r="AH1122" s="865"/>
      <c r="AI1122" s="757">
        <f t="shared" si="160"/>
        <v>200060700</v>
      </c>
      <c r="AJ1122" s="758">
        <f t="shared" si="161"/>
        <v>206061500</v>
      </c>
    </row>
    <row r="1123" spans="1:36" x14ac:dyDescent="0.2">
      <c r="A1123" s="898" t="s">
        <v>150</v>
      </c>
      <c r="B1123" s="1153" t="s">
        <v>264</v>
      </c>
      <c r="C1123" s="1160" t="s">
        <v>1071</v>
      </c>
      <c r="D1123" s="1161"/>
      <c r="E1123" s="902">
        <v>157386</v>
      </c>
      <c r="F1123" s="910">
        <v>3</v>
      </c>
      <c r="G1123" s="859">
        <v>39892600</v>
      </c>
      <c r="H1123" s="860">
        <v>39892600</v>
      </c>
      <c r="I1123" s="861"/>
      <c r="J1123" s="862"/>
      <c r="K1123" s="859"/>
      <c r="L1123" s="863"/>
      <c r="M1123" s="1156">
        <v>69581297</v>
      </c>
      <c r="N1123" s="1156">
        <v>686103</v>
      </c>
      <c r="O1123" s="752">
        <f t="shared" si="154"/>
        <v>70267400</v>
      </c>
      <c r="P1123" s="862">
        <v>71170283</v>
      </c>
      <c r="Q1123" s="860">
        <v>708517</v>
      </c>
      <c r="R1123" s="753">
        <f t="shared" si="157"/>
        <v>71878800</v>
      </c>
      <c r="S1123" s="752">
        <f t="shared" si="158"/>
        <v>109473897</v>
      </c>
      <c r="T1123" s="754">
        <f t="shared" si="159"/>
        <v>111062883</v>
      </c>
      <c r="U1123" s="859"/>
      <c r="V1123" s="863"/>
      <c r="W1123" s="859"/>
      <c r="X1123" s="859"/>
      <c r="Y1123" s="755">
        <f t="shared" si="155"/>
        <v>0</v>
      </c>
      <c r="Z1123" s="864"/>
      <c r="AA1123" s="863"/>
      <c r="AB1123" s="756">
        <f t="shared" si="156"/>
        <v>0</v>
      </c>
      <c r="AC1123" s="859"/>
      <c r="AD1123" s="863"/>
      <c r="AE1123" s="859"/>
      <c r="AF1123" s="859"/>
      <c r="AG1123" s="864"/>
      <c r="AH1123" s="865"/>
      <c r="AI1123" s="757">
        <f t="shared" si="160"/>
        <v>109473897</v>
      </c>
      <c r="AJ1123" s="758">
        <f t="shared" si="161"/>
        <v>111062883</v>
      </c>
    </row>
    <row r="1124" spans="1:36" x14ac:dyDescent="0.2">
      <c r="A1124" s="898" t="s">
        <v>150</v>
      </c>
      <c r="B1124" s="1153" t="s">
        <v>266</v>
      </c>
      <c r="C1124" s="920" t="s">
        <v>1058</v>
      </c>
      <c r="D1124" s="921"/>
      <c r="E1124" s="902">
        <v>157386</v>
      </c>
      <c r="F1124" s="910">
        <v>3</v>
      </c>
      <c r="G1124" s="859"/>
      <c r="H1124" s="860"/>
      <c r="I1124" s="861"/>
      <c r="J1124" s="862"/>
      <c r="K1124" s="859"/>
      <c r="L1124" s="863"/>
      <c r="M1124" s="859"/>
      <c r="N1124" s="859"/>
      <c r="O1124" s="752">
        <f t="shared" si="154"/>
        <v>0</v>
      </c>
      <c r="P1124" s="862"/>
      <c r="Q1124" s="860"/>
      <c r="R1124" s="753">
        <f t="shared" si="157"/>
        <v>0</v>
      </c>
      <c r="S1124" s="752">
        <f t="shared" si="158"/>
        <v>0</v>
      </c>
      <c r="T1124" s="754">
        <f t="shared" si="159"/>
        <v>0</v>
      </c>
      <c r="U1124" s="859"/>
      <c r="V1124" s="863"/>
      <c r="W1124" s="859"/>
      <c r="X1124" s="859"/>
      <c r="Y1124" s="755">
        <f t="shared" si="155"/>
        <v>0</v>
      </c>
      <c r="Z1124" s="864"/>
      <c r="AA1124" s="863"/>
      <c r="AB1124" s="756">
        <f t="shared" si="156"/>
        <v>0</v>
      </c>
      <c r="AC1124" s="859"/>
      <c r="AD1124" s="863"/>
      <c r="AE1124" s="859"/>
      <c r="AF1124" s="859"/>
      <c r="AG1124" s="864"/>
      <c r="AH1124" s="865"/>
      <c r="AI1124" s="757">
        <f t="shared" si="160"/>
        <v>0</v>
      </c>
      <c r="AJ1124" s="758">
        <f t="shared" si="161"/>
        <v>0</v>
      </c>
    </row>
    <row r="1125" spans="1:36" x14ac:dyDescent="0.2">
      <c r="A1125" s="898" t="s">
        <v>150</v>
      </c>
      <c r="B1125" s="1153" t="s">
        <v>266</v>
      </c>
      <c r="C1125" s="1157" t="s">
        <v>1072</v>
      </c>
      <c r="D1125" s="921"/>
      <c r="E1125" s="902">
        <v>157386</v>
      </c>
      <c r="F1125" s="910">
        <v>3</v>
      </c>
      <c r="G1125" s="859"/>
      <c r="H1125" s="860"/>
      <c r="I1125" s="861">
        <v>982800</v>
      </c>
      <c r="J1125" s="862">
        <v>982800</v>
      </c>
      <c r="K1125" s="859"/>
      <c r="L1125" s="863"/>
      <c r="M1125" s="859"/>
      <c r="N1125" s="859"/>
      <c r="O1125" s="752">
        <f t="shared" si="154"/>
        <v>0</v>
      </c>
      <c r="P1125" s="862"/>
      <c r="Q1125" s="860"/>
      <c r="R1125" s="753">
        <f t="shared" si="157"/>
        <v>0</v>
      </c>
      <c r="S1125" s="752">
        <f t="shared" si="158"/>
        <v>982800</v>
      </c>
      <c r="T1125" s="754">
        <f t="shared" si="159"/>
        <v>982800</v>
      </c>
      <c r="U1125" s="859"/>
      <c r="V1125" s="863"/>
      <c r="W1125" s="859"/>
      <c r="X1125" s="859"/>
      <c r="Y1125" s="755">
        <f t="shared" si="155"/>
        <v>0</v>
      </c>
      <c r="Z1125" s="864"/>
      <c r="AA1125" s="863"/>
      <c r="AB1125" s="756">
        <f t="shared" si="156"/>
        <v>0</v>
      </c>
      <c r="AC1125" s="859"/>
      <c r="AD1125" s="863"/>
      <c r="AE1125" s="859"/>
      <c r="AF1125" s="859"/>
      <c r="AG1125" s="864"/>
      <c r="AH1125" s="865"/>
      <c r="AI1125" s="757">
        <f t="shared" si="160"/>
        <v>982800</v>
      </c>
      <c r="AJ1125" s="758">
        <f t="shared" si="161"/>
        <v>982800</v>
      </c>
    </row>
    <row r="1126" spans="1:36" x14ac:dyDescent="0.2">
      <c r="A1126" s="898" t="s">
        <v>150</v>
      </c>
      <c r="B1126" s="1153" t="s">
        <v>271</v>
      </c>
      <c r="C1126" s="920" t="s">
        <v>309</v>
      </c>
      <c r="D1126" s="921"/>
      <c r="E1126" s="902">
        <v>157386</v>
      </c>
      <c r="F1126" s="910">
        <v>3</v>
      </c>
      <c r="G1126" s="859"/>
      <c r="H1126" s="860"/>
      <c r="I1126" s="861"/>
      <c r="J1126" s="862"/>
      <c r="K1126" s="859"/>
      <c r="L1126" s="863"/>
      <c r="M1126" s="859"/>
      <c r="N1126" s="859"/>
      <c r="O1126" s="752">
        <f t="shared" si="154"/>
        <v>0</v>
      </c>
      <c r="P1126" s="862"/>
      <c r="Q1126" s="860"/>
      <c r="R1126" s="753">
        <f t="shared" si="157"/>
        <v>0</v>
      </c>
      <c r="S1126" s="752">
        <f t="shared" si="158"/>
        <v>0</v>
      </c>
      <c r="T1126" s="754">
        <f t="shared" si="159"/>
        <v>0</v>
      </c>
      <c r="U1126" s="859"/>
      <c r="V1126" s="863"/>
      <c r="W1126" s="859"/>
      <c r="X1126" s="859"/>
      <c r="Y1126" s="755">
        <f t="shared" si="155"/>
        <v>0</v>
      </c>
      <c r="Z1126" s="864"/>
      <c r="AA1126" s="863"/>
      <c r="AB1126" s="756">
        <f t="shared" si="156"/>
        <v>0</v>
      </c>
      <c r="AC1126" s="859"/>
      <c r="AD1126" s="863"/>
      <c r="AE1126" s="859"/>
      <c r="AF1126" s="859"/>
      <c r="AG1126" s="864"/>
      <c r="AH1126" s="865"/>
      <c r="AI1126" s="757">
        <f t="shared" si="160"/>
        <v>0</v>
      </c>
      <c r="AJ1126" s="758">
        <f t="shared" si="161"/>
        <v>0</v>
      </c>
    </row>
    <row r="1127" spans="1:36" x14ac:dyDescent="0.2">
      <c r="A1127" s="898" t="s">
        <v>150</v>
      </c>
      <c r="B1127" s="1153" t="s">
        <v>271</v>
      </c>
      <c r="C1127" s="1157" t="s">
        <v>1073</v>
      </c>
      <c r="D1127" s="921"/>
      <c r="E1127" s="902">
        <v>157386</v>
      </c>
      <c r="F1127" s="910">
        <v>3</v>
      </c>
      <c r="G1127" s="859"/>
      <c r="H1127" s="860"/>
      <c r="I1127" s="861">
        <v>141000</v>
      </c>
      <c r="J1127" s="862">
        <v>141000</v>
      </c>
      <c r="K1127" s="859"/>
      <c r="L1127" s="863"/>
      <c r="M1127" s="859"/>
      <c r="N1127" s="859"/>
      <c r="O1127" s="752">
        <f t="shared" si="154"/>
        <v>0</v>
      </c>
      <c r="P1127" s="862"/>
      <c r="Q1127" s="860"/>
      <c r="R1127" s="753">
        <f t="shared" si="157"/>
        <v>0</v>
      </c>
      <c r="S1127" s="752">
        <f t="shared" si="158"/>
        <v>141000</v>
      </c>
      <c r="T1127" s="754">
        <f t="shared" si="159"/>
        <v>141000</v>
      </c>
      <c r="U1127" s="859"/>
      <c r="V1127" s="863"/>
      <c r="W1127" s="859"/>
      <c r="X1127" s="859"/>
      <c r="Y1127" s="755">
        <f t="shared" si="155"/>
        <v>0</v>
      </c>
      <c r="Z1127" s="864"/>
      <c r="AA1127" s="863"/>
      <c r="AB1127" s="756">
        <f t="shared" si="156"/>
        <v>0</v>
      </c>
      <c r="AC1127" s="859"/>
      <c r="AD1127" s="863"/>
      <c r="AE1127" s="859"/>
      <c r="AF1127" s="859"/>
      <c r="AG1127" s="864"/>
      <c r="AH1127" s="865"/>
      <c r="AI1127" s="757">
        <f t="shared" si="160"/>
        <v>141000</v>
      </c>
      <c r="AJ1127" s="758">
        <f t="shared" si="161"/>
        <v>141000</v>
      </c>
    </row>
    <row r="1128" spans="1:36" x14ac:dyDescent="0.2">
      <c r="A1128" s="898" t="s">
        <v>150</v>
      </c>
      <c r="B1128" s="1153" t="s">
        <v>264</v>
      </c>
      <c r="C1128" s="1153" t="s">
        <v>1074</v>
      </c>
      <c r="D1128" s="1159"/>
      <c r="E1128" s="902">
        <v>157401</v>
      </c>
      <c r="F1128" s="903">
        <v>3</v>
      </c>
      <c r="G1128" s="859">
        <v>45361100</v>
      </c>
      <c r="H1128" s="860">
        <v>45361100</v>
      </c>
      <c r="I1128" s="861"/>
      <c r="J1128" s="862"/>
      <c r="K1128" s="859"/>
      <c r="L1128" s="863"/>
      <c r="M1128" s="859">
        <v>101421400</v>
      </c>
      <c r="N1128" s="859"/>
      <c r="O1128" s="752">
        <f t="shared" si="154"/>
        <v>101421400</v>
      </c>
      <c r="P1128" s="862">
        <v>106197700</v>
      </c>
      <c r="Q1128" s="860"/>
      <c r="R1128" s="753">
        <f t="shared" si="157"/>
        <v>106197700</v>
      </c>
      <c r="S1128" s="752">
        <f t="shared" si="158"/>
        <v>146782500</v>
      </c>
      <c r="T1128" s="754">
        <f t="shared" si="159"/>
        <v>151558800</v>
      </c>
      <c r="U1128" s="859"/>
      <c r="V1128" s="863"/>
      <c r="W1128" s="859"/>
      <c r="X1128" s="859"/>
      <c r="Y1128" s="755">
        <f t="shared" si="155"/>
        <v>0</v>
      </c>
      <c r="Z1128" s="864"/>
      <c r="AA1128" s="863"/>
      <c r="AB1128" s="756">
        <f t="shared" si="156"/>
        <v>0</v>
      </c>
      <c r="AC1128" s="859"/>
      <c r="AD1128" s="863"/>
      <c r="AE1128" s="859"/>
      <c r="AF1128" s="859"/>
      <c r="AG1128" s="864"/>
      <c r="AH1128" s="865"/>
      <c r="AI1128" s="757">
        <f t="shared" si="160"/>
        <v>146782500</v>
      </c>
      <c r="AJ1128" s="758">
        <f t="shared" si="161"/>
        <v>151558800</v>
      </c>
    </row>
    <row r="1129" spans="1:36" x14ac:dyDescent="0.2">
      <c r="A1129" s="898" t="s">
        <v>150</v>
      </c>
      <c r="B1129" s="1153" t="s">
        <v>266</v>
      </c>
      <c r="C1129" s="920" t="s">
        <v>319</v>
      </c>
      <c r="D1129" s="921"/>
      <c r="E1129" s="902">
        <v>157401</v>
      </c>
      <c r="F1129" s="903">
        <v>3</v>
      </c>
      <c r="G1129" s="859"/>
      <c r="H1129" s="860"/>
      <c r="I1129" s="861"/>
      <c r="J1129" s="862"/>
      <c r="K1129" s="859"/>
      <c r="L1129" s="863"/>
      <c r="M1129" s="859"/>
      <c r="N1129" s="859"/>
      <c r="O1129" s="752">
        <f t="shared" si="154"/>
        <v>0</v>
      </c>
      <c r="P1129" s="862"/>
      <c r="Q1129" s="860"/>
      <c r="R1129" s="753">
        <f t="shared" si="157"/>
        <v>0</v>
      </c>
      <c r="S1129" s="752">
        <f t="shared" si="158"/>
        <v>0</v>
      </c>
      <c r="T1129" s="754">
        <f t="shared" si="159"/>
        <v>0</v>
      </c>
      <c r="U1129" s="859"/>
      <c r="V1129" s="863"/>
      <c r="W1129" s="859"/>
      <c r="X1129" s="859"/>
      <c r="Y1129" s="755">
        <f t="shared" si="155"/>
        <v>0</v>
      </c>
      <c r="Z1129" s="864"/>
      <c r="AA1129" s="863"/>
      <c r="AB1129" s="756">
        <f t="shared" si="156"/>
        <v>0</v>
      </c>
      <c r="AC1129" s="859"/>
      <c r="AD1129" s="863"/>
      <c r="AE1129" s="859"/>
      <c r="AF1129" s="859"/>
      <c r="AG1129" s="864"/>
      <c r="AH1129" s="865"/>
      <c r="AI1129" s="757">
        <f t="shared" si="160"/>
        <v>0</v>
      </c>
      <c r="AJ1129" s="758">
        <f t="shared" si="161"/>
        <v>0</v>
      </c>
    </row>
    <row r="1130" spans="1:36" x14ac:dyDescent="0.2">
      <c r="A1130" s="898" t="s">
        <v>150</v>
      </c>
      <c r="B1130" s="1153" t="s">
        <v>266</v>
      </c>
      <c r="C1130" s="1157" t="s">
        <v>1075</v>
      </c>
      <c r="D1130" s="921"/>
      <c r="E1130" s="902">
        <v>157401</v>
      </c>
      <c r="F1130" s="903">
        <v>3</v>
      </c>
      <c r="G1130" s="859"/>
      <c r="H1130" s="860"/>
      <c r="I1130" s="861">
        <v>2644700</v>
      </c>
      <c r="J1130" s="862">
        <v>2644700</v>
      </c>
      <c r="K1130" s="859"/>
      <c r="L1130" s="863"/>
      <c r="M1130" s="859"/>
      <c r="N1130" s="859"/>
      <c r="O1130" s="752">
        <f t="shared" si="154"/>
        <v>0</v>
      </c>
      <c r="P1130" s="862"/>
      <c r="Q1130" s="860"/>
      <c r="R1130" s="753">
        <f t="shared" si="157"/>
        <v>0</v>
      </c>
      <c r="S1130" s="752">
        <f t="shared" si="158"/>
        <v>2644700</v>
      </c>
      <c r="T1130" s="754">
        <f t="shared" si="159"/>
        <v>2644700</v>
      </c>
      <c r="U1130" s="859"/>
      <c r="V1130" s="863"/>
      <c r="W1130" s="859"/>
      <c r="X1130" s="859"/>
      <c r="Y1130" s="755">
        <f t="shared" si="155"/>
        <v>0</v>
      </c>
      <c r="Z1130" s="864"/>
      <c r="AA1130" s="863"/>
      <c r="AB1130" s="756">
        <f t="shared" si="156"/>
        <v>0</v>
      </c>
      <c r="AC1130" s="859"/>
      <c r="AD1130" s="863"/>
      <c r="AE1130" s="859"/>
      <c r="AF1130" s="859"/>
      <c r="AG1130" s="864"/>
      <c r="AH1130" s="865"/>
      <c r="AI1130" s="757">
        <f t="shared" si="160"/>
        <v>2644700</v>
      </c>
      <c r="AJ1130" s="758">
        <f t="shared" si="161"/>
        <v>2644700</v>
      </c>
    </row>
    <row r="1131" spans="1:36" x14ac:dyDescent="0.2">
      <c r="A1131" s="898" t="s">
        <v>150</v>
      </c>
      <c r="B1131" s="1153" t="s">
        <v>264</v>
      </c>
      <c r="C1131" s="1153" t="s">
        <v>1076</v>
      </c>
      <c r="D1131" s="1159"/>
      <c r="E1131" s="902">
        <v>157951</v>
      </c>
      <c r="F1131" s="903">
        <v>3</v>
      </c>
      <c r="G1131" s="859">
        <v>69580600</v>
      </c>
      <c r="H1131" s="860">
        <v>69580600</v>
      </c>
      <c r="I1131" s="861"/>
      <c r="J1131" s="862"/>
      <c r="K1131" s="859"/>
      <c r="L1131" s="863"/>
      <c r="M1131" s="1156">
        <v>173778300</v>
      </c>
      <c r="N1131" s="1156">
        <v>2127000</v>
      </c>
      <c r="O1131" s="752">
        <f t="shared" si="154"/>
        <v>175905300</v>
      </c>
      <c r="P1131" s="862">
        <v>180004000</v>
      </c>
      <c r="Q1131" s="860">
        <v>2076000</v>
      </c>
      <c r="R1131" s="753">
        <f t="shared" si="157"/>
        <v>182080000</v>
      </c>
      <c r="S1131" s="752">
        <f t="shared" si="158"/>
        <v>243358900</v>
      </c>
      <c r="T1131" s="754">
        <f t="shared" si="159"/>
        <v>249584600</v>
      </c>
      <c r="U1131" s="859"/>
      <c r="V1131" s="863"/>
      <c r="W1131" s="859"/>
      <c r="X1131" s="859"/>
      <c r="Y1131" s="755">
        <f t="shared" si="155"/>
        <v>0</v>
      </c>
      <c r="Z1131" s="864"/>
      <c r="AA1131" s="863"/>
      <c r="AB1131" s="756">
        <f t="shared" si="156"/>
        <v>0</v>
      </c>
      <c r="AC1131" s="859"/>
      <c r="AD1131" s="863"/>
      <c r="AE1131" s="859"/>
      <c r="AF1131" s="859"/>
      <c r="AG1131" s="864"/>
      <c r="AH1131" s="865"/>
      <c r="AI1131" s="757">
        <f t="shared" si="160"/>
        <v>243358900</v>
      </c>
      <c r="AJ1131" s="758">
        <f t="shared" si="161"/>
        <v>249584600</v>
      </c>
    </row>
    <row r="1132" spans="1:36" x14ac:dyDescent="0.2">
      <c r="A1132" s="898" t="s">
        <v>150</v>
      </c>
      <c r="B1132" s="1153" t="s">
        <v>266</v>
      </c>
      <c r="C1132" s="920" t="s">
        <v>319</v>
      </c>
      <c r="D1132" s="921"/>
      <c r="E1132" s="902">
        <v>157951</v>
      </c>
      <c r="F1132" s="903">
        <v>3</v>
      </c>
      <c r="G1132" s="859"/>
      <c r="H1132" s="860"/>
      <c r="I1132" s="861"/>
      <c r="J1132" s="862"/>
      <c r="K1132" s="859"/>
      <c r="L1132" s="863"/>
      <c r="M1132" s="859"/>
      <c r="N1132" s="859"/>
      <c r="O1132" s="752">
        <f t="shared" si="154"/>
        <v>0</v>
      </c>
      <c r="P1132" s="862"/>
      <c r="Q1132" s="860"/>
      <c r="R1132" s="753">
        <f t="shared" si="157"/>
        <v>0</v>
      </c>
      <c r="S1132" s="752">
        <f t="shared" si="158"/>
        <v>0</v>
      </c>
      <c r="T1132" s="754">
        <f t="shared" si="159"/>
        <v>0</v>
      </c>
      <c r="U1132" s="859"/>
      <c r="V1132" s="863"/>
      <c r="W1132" s="859"/>
      <c r="X1132" s="859"/>
      <c r="Y1132" s="755">
        <f t="shared" si="155"/>
        <v>0</v>
      </c>
      <c r="Z1132" s="864"/>
      <c r="AA1132" s="863"/>
      <c r="AB1132" s="756">
        <f t="shared" si="156"/>
        <v>0</v>
      </c>
      <c r="AC1132" s="859"/>
      <c r="AD1132" s="863"/>
      <c r="AE1132" s="859"/>
      <c r="AF1132" s="859"/>
      <c r="AG1132" s="864"/>
      <c r="AH1132" s="865"/>
      <c r="AI1132" s="757">
        <f t="shared" si="160"/>
        <v>0</v>
      </c>
      <c r="AJ1132" s="758">
        <f t="shared" si="161"/>
        <v>0</v>
      </c>
    </row>
    <row r="1133" spans="1:36" x14ac:dyDescent="0.2">
      <c r="A1133" s="898" t="s">
        <v>150</v>
      </c>
      <c r="B1133" s="1153" t="s">
        <v>266</v>
      </c>
      <c r="C1133" s="1157" t="s">
        <v>1077</v>
      </c>
      <c r="D1133" s="921"/>
      <c r="E1133" s="902">
        <v>157951</v>
      </c>
      <c r="F1133" s="903">
        <v>3</v>
      </c>
      <c r="G1133" s="859"/>
      <c r="H1133" s="860"/>
      <c r="I1133" s="861">
        <v>2844600</v>
      </c>
      <c r="J1133" s="862">
        <v>2844600</v>
      </c>
      <c r="K1133" s="859"/>
      <c r="L1133" s="863"/>
      <c r="M1133" s="859"/>
      <c r="N1133" s="859"/>
      <c r="O1133" s="752">
        <f t="shared" si="154"/>
        <v>0</v>
      </c>
      <c r="P1133" s="862"/>
      <c r="Q1133" s="860"/>
      <c r="R1133" s="753">
        <f t="shared" si="157"/>
        <v>0</v>
      </c>
      <c r="S1133" s="752">
        <f t="shared" si="158"/>
        <v>2844600</v>
      </c>
      <c r="T1133" s="754">
        <f t="shared" si="159"/>
        <v>2844600</v>
      </c>
      <c r="U1133" s="859"/>
      <c r="V1133" s="863"/>
      <c r="W1133" s="859"/>
      <c r="X1133" s="859"/>
      <c r="Y1133" s="755">
        <f t="shared" si="155"/>
        <v>0</v>
      </c>
      <c r="Z1133" s="864"/>
      <c r="AA1133" s="863"/>
      <c r="AB1133" s="756">
        <f t="shared" si="156"/>
        <v>0</v>
      </c>
      <c r="AC1133" s="859"/>
      <c r="AD1133" s="863"/>
      <c r="AE1133" s="859"/>
      <c r="AF1133" s="859"/>
      <c r="AG1133" s="864"/>
      <c r="AH1133" s="865"/>
      <c r="AI1133" s="757">
        <f t="shared" si="160"/>
        <v>2844600</v>
      </c>
      <c r="AJ1133" s="758">
        <f t="shared" si="161"/>
        <v>2844600</v>
      </c>
    </row>
    <row r="1134" spans="1:36" x14ac:dyDescent="0.2">
      <c r="A1134" s="898" t="s">
        <v>150</v>
      </c>
      <c r="B1134" s="1153" t="s">
        <v>264</v>
      </c>
      <c r="C1134" s="1160" t="s">
        <v>1078</v>
      </c>
      <c r="D1134" s="1161"/>
      <c r="E1134" s="902">
        <v>157058</v>
      </c>
      <c r="F1134" s="910">
        <v>4</v>
      </c>
      <c r="G1134" s="859">
        <v>19176845</v>
      </c>
      <c r="H1134" s="860">
        <v>19176845</v>
      </c>
      <c r="I1134" s="861"/>
      <c r="J1134" s="862"/>
      <c r="K1134" s="859"/>
      <c r="L1134" s="863"/>
      <c r="M1134" s="859">
        <v>23476538.410000004</v>
      </c>
      <c r="N1134" s="859"/>
      <c r="O1134" s="752">
        <f t="shared" si="154"/>
        <v>23476538.410000004</v>
      </c>
      <c r="P1134" s="862">
        <v>22754362</v>
      </c>
      <c r="Q1134" s="860"/>
      <c r="R1134" s="753">
        <f t="shared" si="157"/>
        <v>22754362</v>
      </c>
      <c r="S1134" s="752">
        <f t="shared" si="158"/>
        <v>42653383.410000004</v>
      </c>
      <c r="T1134" s="754">
        <f t="shared" si="159"/>
        <v>41931207</v>
      </c>
      <c r="U1134" s="859"/>
      <c r="V1134" s="863"/>
      <c r="W1134" s="859"/>
      <c r="X1134" s="859"/>
      <c r="Y1134" s="755">
        <f t="shared" si="155"/>
        <v>0</v>
      </c>
      <c r="Z1134" s="864"/>
      <c r="AA1134" s="863"/>
      <c r="AB1134" s="756">
        <f t="shared" si="156"/>
        <v>0</v>
      </c>
      <c r="AC1134" s="859"/>
      <c r="AD1134" s="863"/>
      <c r="AE1134" s="859"/>
      <c r="AF1134" s="859"/>
      <c r="AG1134" s="864"/>
      <c r="AH1134" s="865"/>
      <c r="AI1134" s="757">
        <f t="shared" si="160"/>
        <v>42653383.410000004</v>
      </c>
      <c r="AJ1134" s="758">
        <f t="shared" si="161"/>
        <v>41931207</v>
      </c>
    </row>
    <row r="1135" spans="1:36" x14ac:dyDescent="0.2">
      <c r="A1135" s="898" t="s">
        <v>150</v>
      </c>
      <c r="B1135" s="1153" t="s">
        <v>266</v>
      </c>
      <c r="C1135" s="920" t="s">
        <v>1058</v>
      </c>
      <c r="D1135" s="921"/>
      <c r="E1135" s="902">
        <v>157058</v>
      </c>
      <c r="F1135" s="910">
        <v>4</v>
      </c>
      <c r="G1135" s="859"/>
      <c r="H1135" s="860"/>
      <c r="I1135" s="861">
        <v>2117790</v>
      </c>
      <c r="J1135" s="862">
        <v>2125897</v>
      </c>
      <c r="K1135" s="859"/>
      <c r="L1135" s="863"/>
      <c r="M1135" s="859"/>
      <c r="N1135" s="859"/>
      <c r="O1135" s="752">
        <f t="shared" si="154"/>
        <v>0</v>
      </c>
      <c r="P1135" s="862"/>
      <c r="Q1135" s="860"/>
      <c r="R1135" s="753">
        <f t="shared" si="157"/>
        <v>0</v>
      </c>
      <c r="S1135" s="752">
        <f t="shared" si="158"/>
        <v>2117790</v>
      </c>
      <c r="T1135" s="754">
        <f t="shared" si="159"/>
        <v>2125897</v>
      </c>
      <c r="U1135" s="859"/>
      <c r="V1135" s="863"/>
      <c r="W1135" s="859"/>
      <c r="X1135" s="859"/>
      <c r="Y1135" s="755">
        <f t="shared" si="155"/>
        <v>0</v>
      </c>
      <c r="Z1135" s="864"/>
      <c r="AA1135" s="863"/>
      <c r="AB1135" s="756">
        <f t="shared" si="156"/>
        <v>0</v>
      </c>
      <c r="AC1135" s="859"/>
      <c r="AD1135" s="863"/>
      <c r="AE1135" s="859"/>
      <c r="AF1135" s="859"/>
      <c r="AG1135" s="864"/>
      <c r="AH1135" s="865"/>
      <c r="AI1135" s="757">
        <f t="shared" si="160"/>
        <v>2117790</v>
      </c>
      <c r="AJ1135" s="758">
        <f t="shared" si="161"/>
        <v>2125897</v>
      </c>
    </row>
    <row r="1136" spans="1:36" x14ac:dyDescent="0.2">
      <c r="A1136" s="898" t="s">
        <v>150</v>
      </c>
      <c r="B1136" s="1153" t="s">
        <v>268</v>
      </c>
      <c r="C1136" s="920" t="s">
        <v>257</v>
      </c>
      <c r="D1136" s="921"/>
      <c r="E1136" s="902">
        <v>157058</v>
      </c>
      <c r="F1136" s="910">
        <v>4</v>
      </c>
      <c r="G1136" s="859"/>
      <c r="H1136" s="860"/>
      <c r="I1136" s="861">
        <v>2242765</v>
      </c>
      <c r="J1136" s="862">
        <v>1449601</v>
      </c>
      <c r="K1136" s="859"/>
      <c r="L1136" s="863"/>
      <c r="M1136" s="859"/>
      <c r="N1136" s="859"/>
      <c r="O1136" s="752">
        <f t="shared" si="154"/>
        <v>0</v>
      </c>
      <c r="P1136" s="862"/>
      <c r="Q1136" s="860"/>
      <c r="R1136" s="753">
        <f t="shared" si="157"/>
        <v>0</v>
      </c>
      <c r="S1136" s="752">
        <f t="shared" si="158"/>
        <v>2242765</v>
      </c>
      <c r="T1136" s="754">
        <f t="shared" si="159"/>
        <v>1449601</v>
      </c>
      <c r="U1136" s="859"/>
      <c r="V1136" s="863"/>
      <c r="W1136" s="859"/>
      <c r="X1136" s="859"/>
      <c r="Y1136" s="755">
        <f t="shared" si="155"/>
        <v>0</v>
      </c>
      <c r="Z1136" s="864"/>
      <c r="AA1136" s="863"/>
      <c r="AB1136" s="756">
        <f t="shared" si="156"/>
        <v>0</v>
      </c>
      <c r="AC1136" s="859"/>
      <c r="AD1136" s="863"/>
      <c r="AE1136" s="859"/>
      <c r="AF1136" s="859"/>
      <c r="AG1136" s="864"/>
      <c r="AH1136" s="865"/>
      <c r="AI1136" s="757">
        <f t="shared" si="160"/>
        <v>2242765</v>
      </c>
      <c r="AJ1136" s="758">
        <f t="shared" si="161"/>
        <v>1449601</v>
      </c>
    </row>
    <row r="1137" spans="1:36" x14ac:dyDescent="0.2">
      <c r="A1137" s="898" t="s">
        <v>150</v>
      </c>
      <c r="B1137" s="1153" t="s">
        <v>264</v>
      </c>
      <c r="C1137" s="1153" t="s">
        <v>1079</v>
      </c>
      <c r="D1137" s="1161" t="s">
        <v>1123</v>
      </c>
      <c r="E1137" s="902">
        <v>157447</v>
      </c>
      <c r="F1137" s="903">
        <v>4</v>
      </c>
      <c r="G1137" s="859">
        <v>45335100</v>
      </c>
      <c r="H1137" s="860">
        <v>45335100</v>
      </c>
      <c r="I1137" s="861"/>
      <c r="J1137" s="862"/>
      <c r="K1137" s="859"/>
      <c r="L1137" s="863"/>
      <c r="M1137" s="1156">
        <v>135260774</v>
      </c>
      <c r="N1137" s="1156">
        <v>2438326</v>
      </c>
      <c r="O1137" s="752">
        <f t="shared" si="154"/>
        <v>137699100</v>
      </c>
      <c r="P1137" s="862">
        <v>143417271.90000001</v>
      </c>
      <c r="Q1137" s="860">
        <v>273328.09999999998</v>
      </c>
      <c r="R1137" s="753">
        <f t="shared" si="157"/>
        <v>143690600</v>
      </c>
      <c r="S1137" s="752">
        <f t="shared" si="158"/>
        <v>180595874</v>
      </c>
      <c r="T1137" s="754">
        <f t="shared" si="159"/>
        <v>188752371.90000001</v>
      </c>
      <c r="U1137" s="859"/>
      <c r="V1137" s="863"/>
      <c r="W1137" s="859"/>
      <c r="X1137" s="859"/>
      <c r="Y1137" s="755">
        <f t="shared" si="155"/>
        <v>0</v>
      </c>
      <c r="Z1137" s="864"/>
      <c r="AA1137" s="863"/>
      <c r="AB1137" s="756">
        <f t="shared" si="156"/>
        <v>0</v>
      </c>
      <c r="AC1137" s="859"/>
      <c r="AD1137" s="863"/>
      <c r="AE1137" s="859"/>
      <c r="AF1137" s="859"/>
      <c r="AG1137" s="864"/>
      <c r="AH1137" s="865"/>
      <c r="AI1137" s="757">
        <f t="shared" si="160"/>
        <v>180595874</v>
      </c>
      <c r="AJ1137" s="758">
        <f t="shared" si="161"/>
        <v>188752371.90000001</v>
      </c>
    </row>
    <row r="1138" spans="1:36" x14ac:dyDescent="0.2">
      <c r="A1138" s="898" t="s">
        <v>150</v>
      </c>
      <c r="B1138" s="1153" t="s">
        <v>266</v>
      </c>
      <c r="C1138" s="920" t="s">
        <v>319</v>
      </c>
      <c r="D1138" s="921"/>
      <c r="E1138" s="902">
        <v>157447</v>
      </c>
      <c r="F1138" s="903">
        <v>4</v>
      </c>
      <c r="G1138" s="859"/>
      <c r="H1138" s="860"/>
      <c r="I1138" s="861"/>
      <c r="J1138" s="862"/>
      <c r="K1138" s="859"/>
      <c r="L1138" s="863"/>
      <c r="M1138" s="859"/>
      <c r="N1138" s="859"/>
      <c r="O1138" s="752">
        <f t="shared" si="154"/>
        <v>0</v>
      </c>
      <c r="P1138" s="862"/>
      <c r="Q1138" s="860"/>
      <c r="R1138" s="753">
        <f t="shared" si="157"/>
        <v>0</v>
      </c>
      <c r="S1138" s="752">
        <f t="shared" si="158"/>
        <v>0</v>
      </c>
      <c r="T1138" s="754">
        <f t="shared" si="159"/>
        <v>0</v>
      </c>
      <c r="U1138" s="859"/>
      <c r="V1138" s="863"/>
      <c r="W1138" s="859"/>
      <c r="X1138" s="859"/>
      <c r="Y1138" s="755">
        <f t="shared" si="155"/>
        <v>0</v>
      </c>
      <c r="Z1138" s="864"/>
      <c r="AA1138" s="863"/>
      <c r="AB1138" s="756">
        <f t="shared" si="156"/>
        <v>0</v>
      </c>
      <c r="AC1138" s="859"/>
      <c r="AD1138" s="863"/>
      <c r="AE1138" s="859"/>
      <c r="AF1138" s="859"/>
      <c r="AG1138" s="864"/>
      <c r="AH1138" s="865"/>
      <c r="AI1138" s="757">
        <f t="shared" si="160"/>
        <v>0</v>
      </c>
      <c r="AJ1138" s="758">
        <f t="shared" si="161"/>
        <v>0</v>
      </c>
    </row>
    <row r="1139" spans="1:36" x14ac:dyDescent="0.2">
      <c r="A1139" s="898" t="s">
        <v>150</v>
      </c>
      <c r="B1139" s="1153" t="s">
        <v>266</v>
      </c>
      <c r="C1139" s="1157" t="s">
        <v>1080</v>
      </c>
      <c r="D1139" s="921"/>
      <c r="E1139" s="902">
        <v>157447</v>
      </c>
      <c r="F1139" s="903">
        <v>4</v>
      </c>
      <c r="G1139" s="859"/>
      <c r="H1139" s="860"/>
      <c r="I1139" s="861">
        <v>1500000</v>
      </c>
      <c r="J1139" s="862">
        <v>1500000</v>
      </c>
      <c r="K1139" s="859"/>
      <c r="L1139" s="863"/>
      <c r="M1139" s="859"/>
      <c r="N1139" s="859"/>
      <c r="O1139" s="752">
        <f t="shared" si="154"/>
        <v>0</v>
      </c>
      <c r="P1139" s="862"/>
      <c r="Q1139" s="860"/>
      <c r="R1139" s="753">
        <f t="shared" si="157"/>
        <v>0</v>
      </c>
      <c r="S1139" s="752">
        <f t="shared" si="158"/>
        <v>1500000</v>
      </c>
      <c r="T1139" s="754">
        <f t="shared" si="159"/>
        <v>1500000</v>
      </c>
      <c r="U1139" s="859"/>
      <c r="V1139" s="863"/>
      <c r="W1139" s="859"/>
      <c r="X1139" s="859"/>
      <c r="Y1139" s="755">
        <f t="shared" si="155"/>
        <v>0</v>
      </c>
      <c r="Z1139" s="864"/>
      <c r="AA1139" s="863"/>
      <c r="AB1139" s="756">
        <f t="shared" si="156"/>
        <v>0</v>
      </c>
      <c r="AC1139" s="859"/>
      <c r="AD1139" s="863"/>
      <c r="AE1139" s="859"/>
      <c r="AF1139" s="859"/>
      <c r="AG1139" s="864"/>
      <c r="AH1139" s="865"/>
      <c r="AI1139" s="757">
        <f t="shared" si="160"/>
        <v>1500000</v>
      </c>
      <c r="AJ1139" s="758">
        <f t="shared" si="161"/>
        <v>1500000</v>
      </c>
    </row>
    <row r="1140" spans="1:36" x14ac:dyDescent="0.2">
      <c r="A1140" s="898" t="s">
        <v>150</v>
      </c>
      <c r="B1140" s="1153" t="s">
        <v>264</v>
      </c>
      <c r="C1140" s="1162" t="s">
        <v>1081</v>
      </c>
      <c r="D1140" s="1163"/>
      <c r="E1140" s="1164">
        <v>157173</v>
      </c>
      <c r="F1140" s="910">
        <v>8</v>
      </c>
      <c r="G1140" s="859">
        <v>11652328.106205866</v>
      </c>
      <c r="H1140" s="860">
        <v>10160722.34668738</v>
      </c>
      <c r="I1140" s="861"/>
      <c r="J1140" s="862"/>
      <c r="K1140" s="859"/>
      <c r="L1140" s="863"/>
      <c r="M1140" s="859">
        <v>38021000</v>
      </c>
      <c r="N1140" s="859"/>
      <c r="O1140" s="752">
        <f t="shared" si="154"/>
        <v>38021000</v>
      </c>
      <c r="P1140" s="862">
        <v>35556900</v>
      </c>
      <c r="Q1140" s="860"/>
      <c r="R1140" s="753">
        <f t="shared" si="157"/>
        <v>35556900</v>
      </c>
      <c r="S1140" s="752">
        <f t="shared" si="158"/>
        <v>49673328.106205866</v>
      </c>
      <c r="T1140" s="754">
        <f t="shared" si="159"/>
        <v>45717622.346687376</v>
      </c>
      <c r="U1140" s="859"/>
      <c r="V1140" s="863"/>
      <c r="W1140" s="859"/>
      <c r="X1140" s="859"/>
      <c r="Y1140" s="755">
        <f t="shared" si="155"/>
        <v>0</v>
      </c>
      <c r="Z1140" s="864"/>
      <c r="AA1140" s="863"/>
      <c r="AB1140" s="756">
        <f t="shared" si="156"/>
        <v>0</v>
      </c>
      <c r="AC1140" s="859"/>
      <c r="AD1140" s="863"/>
      <c r="AE1140" s="859"/>
      <c r="AF1140" s="859"/>
      <c r="AG1140" s="864"/>
      <c r="AH1140" s="865"/>
      <c r="AI1140" s="757">
        <f t="shared" si="160"/>
        <v>49673328.106205866</v>
      </c>
      <c r="AJ1140" s="758">
        <f t="shared" si="161"/>
        <v>45717622.346687376</v>
      </c>
    </row>
    <row r="1141" spans="1:36" x14ac:dyDescent="0.2">
      <c r="A1141" s="898" t="s">
        <v>150</v>
      </c>
      <c r="B1141" s="1153" t="s">
        <v>264</v>
      </c>
      <c r="C1141" s="1162" t="s">
        <v>1082</v>
      </c>
      <c r="D1141" s="1163"/>
      <c r="E1141" s="1164">
        <v>156921</v>
      </c>
      <c r="F1141" s="910">
        <v>8</v>
      </c>
      <c r="G1141" s="859">
        <v>17732709.179815341</v>
      </c>
      <c r="H1141" s="860">
        <v>17299245.327378422</v>
      </c>
      <c r="I1141" s="861"/>
      <c r="J1141" s="862"/>
      <c r="K1141" s="859"/>
      <c r="L1141" s="863"/>
      <c r="M1141" s="859">
        <v>35324000</v>
      </c>
      <c r="N1141" s="859"/>
      <c r="O1141" s="752">
        <f t="shared" si="154"/>
        <v>35324000</v>
      </c>
      <c r="P1141" s="862">
        <v>32895200</v>
      </c>
      <c r="Q1141" s="860"/>
      <c r="R1141" s="753">
        <f t="shared" si="157"/>
        <v>32895200</v>
      </c>
      <c r="S1141" s="752">
        <f t="shared" si="158"/>
        <v>53056709.179815337</v>
      </c>
      <c r="T1141" s="754">
        <f t="shared" si="159"/>
        <v>50194445.327378422</v>
      </c>
      <c r="U1141" s="859"/>
      <c r="V1141" s="863"/>
      <c r="W1141" s="859"/>
      <c r="X1141" s="859"/>
      <c r="Y1141" s="755">
        <f t="shared" si="155"/>
        <v>0</v>
      </c>
      <c r="Z1141" s="864"/>
      <c r="AA1141" s="863"/>
      <c r="AB1141" s="756">
        <f t="shared" si="156"/>
        <v>0</v>
      </c>
      <c r="AC1141" s="859"/>
      <c r="AD1141" s="863"/>
      <c r="AE1141" s="859"/>
      <c r="AF1141" s="859"/>
      <c r="AG1141" s="864"/>
      <c r="AH1141" s="865"/>
      <c r="AI1141" s="757">
        <f t="shared" si="160"/>
        <v>53056709.179815337</v>
      </c>
      <c r="AJ1141" s="758">
        <f t="shared" si="161"/>
        <v>50194445.327378422</v>
      </c>
    </row>
    <row r="1142" spans="1:36" x14ac:dyDescent="0.2">
      <c r="A1142" s="898" t="s">
        <v>150</v>
      </c>
      <c r="B1142" s="1153" t="s">
        <v>264</v>
      </c>
      <c r="C1142" s="1162" t="s">
        <v>1083</v>
      </c>
      <c r="D1142" s="1163"/>
      <c r="E1142" s="1164">
        <v>156231</v>
      </c>
      <c r="F1142" s="910">
        <v>9</v>
      </c>
      <c r="G1142" s="859">
        <v>9630843.3648285475</v>
      </c>
      <c r="H1142" s="860">
        <v>9730484.4156947471</v>
      </c>
      <c r="I1142" s="861"/>
      <c r="J1142" s="862"/>
      <c r="K1142" s="859"/>
      <c r="L1142" s="863"/>
      <c r="M1142" s="859">
        <v>10619000</v>
      </c>
      <c r="N1142" s="859"/>
      <c r="O1142" s="752">
        <f t="shared" si="154"/>
        <v>10619000</v>
      </c>
      <c r="P1142" s="862">
        <v>9763100</v>
      </c>
      <c r="Q1142" s="860"/>
      <c r="R1142" s="753">
        <f t="shared" si="157"/>
        <v>9763100</v>
      </c>
      <c r="S1142" s="752">
        <f t="shared" si="158"/>
        <v>20249843.364828549</v>
      </c>
      <c r="T1142" s="754">
        <f t="shared" si="159"/>
        <v>19493584.415694747</v>
      </c>
      <c r="U1142" s="859"/>
      <c r="V1142" s="863"/>
      <c r="W1142" s="859"/>
      <c r="X1142" s="859"/>
      <c r="Y1142" s="755">
        <f t="shared" si="155"/>
        <v>0</v>
      </c>
      <c r="Z1142" s="864"/>
      <c r="AA1142" s="863"/>
      <c r="AB1142" s="756">
        <f t="shared" si="156"/>
        <v>0</v>
      </c>
      <c r="AC1142" s="859"/>
      <c r="AD1142" s="863"/>
      <c r="AE1142" s="859"/>
      <c r="AF1142" s="859"/>
      <c r="AG1142" s="864"/>
      <c r="AH1142" s="865"/>
      <c r="AI1142" s="757">
        <f t="shared" si="160"/>
        <v>20249843.364828549</v>
      </c>
      <c r="AJ1142" s="758">
        <f t="shared" si="161"/>
        <v>19493584.415694747</v>
      </c>
    </row>
    <row r="1143" spans="1:36" x14ac:dyDescent="0.2">
      <c r="A1143" s="898" t="s">
        <v>150</v>
      </c>
      <c r="B1143" s="1153" t="s">
        <v>264</v>
      </c>
      <c r="C1143" s="1162" t="s">
        <v>1084</v>
      </c>
      <c r="D1143" s="1163"/>
      <c r="E1143" s="1165">
        <v>157553</v>
      </c>
      <c r="F1143" s="910">
        <v>9</v>
      </c>
      <c r="G1143" s="859">
        <v>11347267.681598017</v>
      </c>
      <c r="H1143" s="860">
        <v>10822324.215202009</v>
      </c>
      <c r="I1143" s="861"/>
      <c r="J1143" s="862"/>
      <c r="K1143" s="859"/>
      <c r="L1143" s="863"/>
      <c r="M1143" s="859">
        <v>11162000</v>
      </c>
      <c r="N1143" s="859"/>
      <c r="O1143" s="752">
        <f t="shared" si="154"/>
        <v>11162000</v>
      </c>
      <c r="P1143" s="862">
        <v>10835800</v>
      </c>
      <c r="Q1143" s="860"/>
      <c r="R1143" s="753">
        <f t="shared" si="157"/>
        <v>10835800</v>
      </c>
      <c r="S1143" s="752">
        <f t="shared" si="158"/>
        <v>22509267.681598015</v>
      </c>
      <c r="T1143" s="754">
        <f t="shared" si="159"/>
        <v>21658124.215202011</v>
      </c>
      <c r="U1143" s="859"/>
      <c r="V1143" s="863"/>
      <c r="W1143" s="859"/>
      <c r="X1143" s="859"/>
      <c r="Y1143" s="755">
        <f t="shared" si="155"/>
        <v>0</v>
      </c>
      <c r="Z1143" s="864"/>
      <c r="AA1143" s="863"/>
      <c r="AB1143" s="756">
        <f t="shared" si="156"/>
        <v>0</v>
      </c>
      <c r="AC1143" s="859"/>
      <c r="AD1143" s="863"/>
      <c r="AE1143" s="859"/>
      <c r="AF1143" s="859"/>
      <c r="AG1143" s="864"/>
      <c r="AH1143" s="865"/>
      <c r="AI1143" s="757">
        <f t="shared" si="160"/>
        <v>22509267.681598015</v>
      </c>
      <c r="AJ1143" s="758">
        <f t="shared" si="161"/>
        <v>21658124.215202011</v>
      </c>
    </row>
    <row r="1144" spans="1:36" x14ac:dyDescent="0.2">
      <c r="A1144" s="898" t="s">
        <v>150</v>
      </c>
      <c r="B1144" s="1153" t="s">
        <v>264</v>
      </c>
      <c r="C1144" s="1162" t="s">
        <v>1085</v>
      </c>
      <c r="D1144" s="1163"/>
      <c r="E1144" s="1164">
        <v>156648</v>
      </c>
      <c r="F1144" s="910">
        <v>9</v>
      </c>
      <c r="G1144" s="859">
        <v>9432370.3174933195</v>
      </c>
      <c r="H1144" s="860">
        <v>9291743.2571574207</v>
      </c>
      <c r="I1144" s="861"/>
      <c r="J1144" s="862"/>
      <c r="K1144" s="859"/>
      <c r="L1144" s="863"/>
      <c r="M1144" s="859">
        <v>15900000</v>
      </c>
      <c r="N1144" s="859"/>
      <c r="O1144" s="752">
        <f t="shared" si="154"/>
        <v>15900000</v>
      </c>
      <c r="P1144" s="862">
        <v>15751300</v>
      </c>
      <c r="Q1144" s="860"/>
      <c r="R1144" s="753">
        <f t="shared" si="157"/>
        <v>15751300</v>
      </c>
      <c r="S1144" s="752">
        <f t="shared" si="158"/>
        <v>25332370.31749332</v>
      </c>
      <c r="T1144" s="754">
        <f t="shared" si="159"/>
        <v>25043043.257157423</v>
      </c>
      <c r="U1144" s="859"/>
      <c r="V1144" s="863"/>
      <c r="W1144" s="859"/>
      <c r="X1144" s="859"/>
      <c r="Y1144" s="755">
        <f t="shared" si="155"/>
        <v>0</v>
      </c>
      <c r="Z1144" s="864"/>
      <c r="AA1144" s="863"/>
      <c r="AB1144" s="756">
        <f t="shared" si="156"/>
        <v>0</v>
      </c>
      <c r="AC1144" s="859"/>
      <c r="AD1144" s="863"/>
      <c r="AE1144" s="859"/>
      <c r="AF1144" s="859"/>
      <c r="AG1144" s="864"/>
      <c r="AH1144" s="865"/>
      <c r="AI1144" s="757">
        <f t="shared" si="160"/>
        <v>25332370.31749332</v>
      </c>
      <c r="AJ1144" s="758">
        <f t="shared" si="161"/>
        <v>25043043.257157423</v>
      </c>
    </row>
    <row r="1145" spans="1:36" x14ac:dyDescent="0.2">
      <c r="A1145" s="898" t="s">
        <v>150</v>
      </c>
      <c r="B1145" s="1153" t="s">
        <v>264</v>
      </c>
      <c r="C1145" s="1160" t="s">
        <v>1086</v>
      </c>
      <c r="D1145" s="1166"/>
      <c r="E1145" s="1167">
        <v>156790</v>
      </c>
      <c r="F1145" s="913">
        <v>9</v>
      </c>
      <c r="G1145" s="859">
        <v>13888212.74439593</v>
      </c>
      <c r="H1145" s="860">
        <v>13823075.141570687</v>
      </c>
      <c r="I1145" s="861"/>
      <c r="J1145" s="862"/>
      <c r="K1145" s="859"/>
      <c r="L1145" s="863"/>
      <c r="M1145" s="859">
        <v>8875000</v>
      </c>
      <c r="N1145" s="859"/>
      <c r="O1145" s="752">
        <f t="shared" si="154"/>
        <v>8875000</v>
      </c>
      <c r="P1145" s="862">
        <v>8146100</v>
      </c>
      <c r="Q1145" s="860"/>
      <c r="R1145" s="753">
        <f t="shared" si="157"/>
        <v>8146100</v>
      </c>
      <c r="S1145" s="752">
        <f t="shared" si="158"/>
        <v>22763212.74439593</v>
      </c>
      <c r="T1145" s="754">
        <f t="shared" si="159"/>
        <v>21969175.141570687</v>
      </c>
      <c r="U1145" s="859"/>
      <c r="V1145" s="863"/>
      <c r="W1145" s="859"/>
      <c r="X1145" s="859"/>
      <c r="Y1145" s="755">
        <f t="shared" si="155"/>
        <v>0</v>
      </c>
      <c r="Z1145" s="864"/>
      <c r="AA1145" s="863"/>
      <c r="AB1145" s="756">
        <f t="shared" si="156"/>
        <v>0</v>
      </c>
      <c r="AC1145" s="859"/>
      <c r="AD1145" s="863"/>
      <c r="AE1145" s="859"/>
      <c r="AF1145" s="859"/>
      <c r="AG1145" s="864"/>
      <c r="AH1145" s="865"/>
      <c r="AI1145" s="757">
        <f t="shared" si="160"/>
        <v>22763212.74439593</v>
      </c>
      <c r="AJ1145" s="758">
        <f t="shared" si="161"/>
        <v>21969175.141570687</v>
      </c>
    </row>
    <row r="1146" spans="1:36" x14ac:dyDescent="0.2">
      <c r="A1146" s="898" t="s">
        <v>150</v>
      </c>
      <c r="B1146" s="1153" t="s">
        <v>264</v>
      </c>
      <c r="C1146" s="1160" t="s">
        <v>1087</v>
      </c>
      <c r="D1146" s="1161"/>
      <c r="E1146" s="902">
        <v>156860</v>
      </c>
      <c r="F1146" s="910">
        <v>9</v>
      </c>
      <c r="G1146" s="859">
        <v>5036559.8616982773</v>
      </c>
      <c r="H1146" s="860">
        <v>4884786.9398157699</v>
      </c>
      <c r="I1146" s="861"/>
      <c r="J1146" s="862"/>
      <c r="K1146" s="859"/>
      <c r="L1146" s="863"/>
      <c r="M1146" s="859">
        <v>9600000</v>
      </c>
      <c r="N1146" s="859"/>
      <c r="O1146" s="752">
        <f t="shared" si="154"/>
        <v>9600000</v>
      </c>
      <c r="P1146" s="862">
        <v>9971600</v>
      </c>
      <c r="Q1146" s="860"/>
      <c r="R1146" s="753">
        <f t="shared" si="157"/>
        <v>9971600</v>
      </c>
      <c r="S1146" s="752">
        <f t="shared" si="158"/>
        <v>14636559.861698277</v>
      </c>
      <c r="T1146" s="754">
        <f t="shared" si="159"/>
        <v>14856386.939815771</v>
      </c>
      <c r="U1146" s="859"/>
      <c r="V1146" s="863"/>
      <c r="W1146" s="859"/>
      <c r="X1146" s="859"/>
      <c r="Y1146" s="755">
        <f t="shared" si="155"/>
        <v>0</v>
      </c>
      <c r="Z1146" s="864"/>
      <c r="AA1146" s="863"/>
      <c r="AB1146" s="756">
        <f t="shared" si="156"/>
        <v>0</v>
      </c>
      <c r="AC1146" s="859"/>
      <c r="AD1146" s="863"/>
      <c r="AE1146" s="859"/>
      <c r="AF1146" s="859"/>
      <c r="AG1146" s="864"/>
      <c r="AH1146" s="865"/>
      <c r="AI1146" s="757">
        <f t="shared" si="160"/>
        <v>14636559.861698277</v>
      </c>
      <c r="AJ1146" s="758">
        <f t="shared" si="161"/>
        <v>14856386.939815771</v>
      </c>
    </row>
    <row r="1147" spans="1:36" x14ac:dyDescent="0.2">
      <c r="A1147" s="898" t="s">
        <v>150</v>
      </c>
      <c r="B1147" s="1153" t="s">
        <v>264</v>
      </c>
      <c r="C1147" s="1168" t="s">
        <v>1088</v>
      </c>
      <c r="D1147" s="1169"/>
      <c r="E1147" s="902">
        <v>157304</v>
      </c>
      <c r="F1147" s="903">
        <v>9</v>
      </c>
      <c r="G1147" s="859">
        <v>9590413.6700010002</v>
      </c>
      <c r="H1147" s="860">
        <v>9123328.5862349365</v>
      </c>
      <c r="I1147" s="861"/>
      <c r="J1147" s="862"/>
      <c r="K1147" s="859"/>
      <c r="L1147" s="863"/>
      <c r="M1147" s="859">
        <v>8889000</v>
      </c>
      <c r="N1147" s="859"/>
      <c r="O1147" s="752">
        <f t="shared" si="154"/>
        <v>8889000</v>
      </c>
      <c r="P1147" s="862">
        <v>8080000</v>
      </c>
      <c r="Q1147" s="860"/>
      <c r="R1147" s="753">
        <f t="shared" si="157"/>
        <v>8080000</v>
      </c>
      <c r="S1147" s="752">
        <f t="shared" si="158"/>
        <v>18479413.670001</v>
      </c>
      <c r="T1147" s="754">
        <f t="shared" si="159"/>
        <v>17203328.586234935</v>
      </c>
      <c r="U1147" s="859"/>
      <c r="V1147" s="863"/>
      <c r="W1147" s="859"/>
      <c r="X1147" s="859"/>
      <c r="Y1147" s="755">
        <f t="shared" si="155"/>
        <v>0</v>
      </c>
      <c r="Z1147" s="864"/>
      <c r="AA1147" s="863"/>
      <c r="AB1147" s="756">
        <f t="shared" si="156"/>
        <v>0</v>
      </c>
      <c r="AC1147" s="859"/>
      <c r="AD1147" s="863"/>
      <c r="AE1147" s="859"/>
      <c r="AF1147" s="859"/>
      <c r="AG1147" s="864"/>
      <c r="AH1147" s="865"/>
      <c r="AI1147" s="757">
        <f t="shared" si="160"/>
        <v>18479413.670001</v>
      </c>
      <c r="AJ1147" s="758">
        <f t="shared" si="161"/>
        <v>17203328.586234935</v>
      </c>
    </row>
    <row r="1148" spans="1:36" x14ac:dyDescent="0.2">
      <c r="A1148" s="898" t="s">
        <v>150</v>
      </c>
      <c r="B1148" s="1153" t="s">
        <v>264</v>
      </c>
      <c r="C1148" s="1162" t="s">
        <v>1089</v>
      </c>
      <c r="D1148" s="1163"/>
      <c r="E1148" s="902">
        <v>157331</v>
      </c>
      <c r="F1148" s="903">
        <v>9</v>
      </c>
      <c r="G1148" s="859">
        <v>7627735.7574637495</v>
      </c>
      <c r="H1148" s="860">
        <v>7496039.2790999673</v>
      </c>
      <c r="I1148" s="861"/>
      <c r="J1148" s="862"/>
      <c r="K1148" s="859"/>
      <c r="L1148" s="863"/>
      <c r="M1148" s="859">
        <v>12451000</v>
      </c>
      <c r="N1148" s="859"/>
      <c r="O1148" s="752">
        <f t="shared" si="154"/>
        <v>12451000</v>
      </c>
      <c r="P1148" s="862">
        <v>12185000</v>
      </c>
      <c r="Q1148" s="860"/>
      <c r="R1148" s="753">
        <f t="shared" si="157"/>
        <v>12185000</v>
      </c>
      <c r="S1148" s="752">
        <f t="shared" si="158"/>
        <v>20078735.757463749</v>
      </c>
      <c r="T1148" s="754">
        <f t="shared" si="159"/>
        <v>19681039.279099967</v>
      </c>
      <c r="U1148" s="859"/>
      <c r="V1148" s="863"/>
      <c r="W1148" s="859"/>
      <c r="X1148" s="859"/>
      <c r="Y1148" s="755">
        <f t="shared" si="155"/>
        <v>0</v>
      </c>
      <c r="Z1148" s="864"/>
      <c r="AA1148" s="863"/>
      <c r="AB1148" s="756">
        <f t="shared" si="156"/>
        <v>0</v>
      </c>
      <c r="AC1148" s="859"/>
      <c r="AD1148" s="863"/>
      <c r="AE1148" s="859"/>
      <c r="AF1148" s="859"/>
      <c r="AG1148" s="864"/>
      <c r="AH1148" s="865"/>
      <c r="AI1148" s="757">
        <f t="shared" si="160"/>
        <v>20078735.757463749</v>
      </c>
      <c r="AJ1148" s="758">
        <f t="shared" si="161"/>
        <v>19681039.279099967</v>
      </c>
    </row>
    <row r="1149" spans="1:36" x14ac:dyDescent="0.2">
      <c r="A1149" s="898" t="s">
        <v>150</v>
      </c>
      <c r="B1149" s="1153" t="s">
        <v>264</v>
      </c>
      <c r="C1149" s="1168" t="s">
        <v>1090</v>
      </c>
      <c r="D1149" s="1169"/>
      <c r="E1149" s="1170">
        <v>247940</v>
      </c>
      <c r="F1149" s="1171">
        <v>9</v>
      </c>
      <c r="G1149" s="859">
        <v>7187909.6834307453</v>
      </c>
      <c r="H1149" s="860">
        <v>7127354.5624233894</v>
      </c>
      <c r="I1149" s="861"/>
      <c r="J1149" s="862"/>
      <c r="K1149" s="859"/>
      <c r="L1149" s="863"/>
      <c r="M1149" s="859">
        <v>11793000</v>
      </c>
      <c r="N1149" s="859"/>
      <c r="O1149" s="752">
        <f t="shared" si="154"/>
        <v>11793000</v>
      </c>
      <c r="P1149" s="862">
        <v>11084700</v>
      </c>
      <c r="Q1149" s="860"/>
      <c r="R1149" s="753">
        <f t="shared" si="157"/>
        <v>11084700</v>
      </c>
      <c r="S1149" s="752">
        <f t="shared" si="158"/>
        <v>18980909.683430746</v>
      </c>
      <c r="T1149" s="754">
        <f t="shared" si="159"/>
        <v>18212054.562423389</v>
      </c>
      <c r="U1149" s="859"/>
      <c r="V1149" s="863"/>
      <c r="W1149" s="859"/>
      <c r="X1149" s="859"/>
      <c r="Y1149" s="755">
        <f t="shared" si="155"/>
        <v>0</v>
      </c>
      <c r="Z1149" s="864"/>
      <c r="AA1149" s="863"/>
      <c r="AB1149" s="756">
        <f t="shared" si="156"/>
        <v>0</v>
      </c>
      <c r="AC1149" s="859"/>
      <c r="AD1149" s="863"/>
      <c r="AE1149" s="859"/>
      <c r="AF1149" s="859"/>
      <c r="AG1149" s="864"/>
      <c r="AH1149" s="865"/>
      <c r="AI1149" s="757">
        <f t="shared" si="160"/>
        <v>18980909.683430746</v>
      </c>
      <c r="AJ1149" s="758">
        <f t="shared" si="161"/>
        <v>18212054.562423389</v>
      </c>
    </row>
    <row r="1150" spans="1:36" x14ac:dyDescent="0.2">
      <c r="A1150" s="898" t="s">
        <v>150</v>
      </c>
      <c r="B1150" s="1153" t="s">
        <v>264</v>
      </c>
      <c r="C1150" s="1172" t="s">
        <v>1091</v>
      </c>
      <c r="D1150" s="1161"/>
      <c r="E1150" s="1170">
        <v>157711</v>
      </c>
      <c r="F1150" s="1171">
        <v>9</v>
      </c>
      <c r="G1150" s="859">
        <v>11931660.543196186</v>
      </c>
      <c r="H1150" s="860">
        <v>11760598.263529012</v>
      </c>
      <c r="I1150" s="861"/>
      <c r="J1150" s="862"/>
      <c r="K1150" s="859"/>
      <c r="L1150" s="863"/>
      <c r="M1150" s="859">
        <v>20260000</v>
      </c>
      <c r="N1150" s="859"/>
      <c r="O1150" s="752">
        <f t="shared" si="154"/>
        <v>20260000</v>
      </c>
      <c r="P1150" s="862">
        <v>19188700</v>
      </c>
      <c r="Q1150" s="860"/>
      <c r="R1150" s="753">
        <f t="shared" si="157"/>
        <v>19188700</v>
      </c>
      <c r="S1150" s="752">
        <f t="shared" si="158"/>
        <v>32191660.543196186</v>
      </c>
      <c r="T1150" s="754">
        <f t="shared" si="159"/>
        <v>30949298.26352901</v>
      </c>
      <c r="U1150" s="859"/>
      <c r="V1150" s="863"/>
      <c r="W1150" s="859"/>
      <c r="X1150" s="859"/>
      <c r="Y1150" s="755">
        <f t="shared" si="155"/>
        <v>0</v>
      </c>
      <c r="Z1150" s="864"/>
      <c r="AA1150" s="863"/>
      <c r="AB1150" s="756">
        <f t="shared" si="156"/>
        <v>0</v>
      </c>
      <c r="AC1150" s="859"/>
      <c r="AD1150" s="863"/>
      <c r="AE1150" s="859"/>
      <c r="AF1150" s="859"/>
      <c r="AG1150" s="864"/>
      <c r="AH1150" s="865"/>
      <c r="AI1150" s="757">
        <f t="shared" si="160"/>
        <v>32191660.543196186</v>
      </c>
      <c r="AJ1150" s="758">
        <f t="shared" si="161"/>
        <v>30949298.26352901</v>
      </c>
    </row>
    <row r="1151" spans="1:36" x14ac:dyDescent="0.2">
      <c r="A1151" s="898" t="s">
        <v>150</v>
      </c>
      <c r="B1151" s="1153" t="s">
        <v>264</v>
      </c>
      <c r="C1151" s="1160" t="s">
        <v>1092</v>
      </c>
      <c r="D1151" s="1161"/>
      <c r="E1151" s="902">
        <v>157739</v>
      </c>
      <c r="F1151" s="903">
        <v>9</v>
      </c>
      <c r="G1151" s="859">
        <v>12817438.402599704</v>
      </c>
      <c r="H1151" s="860">
        <v>14464624.62274112</v>
      </c>
      <c r="I1151" s="861"/>
      <c r="J1151" s="862"/>
      <c r="K1151" s="859"/>
      <c r="L1151" s="863"/>
      <c r="M1151" s="859">
        <v>9712000</v>
      </c>
      <c r="N1151" s="859"/>
      <c r="O1151" s="752">
        <f t="shared" si="154"/>
        <v>9712000</v>
      </c>
      <c r="P1151" s="862">
        <v>8594900</v>
      </c>
      <c r="Q1151" s="860"/>
      <c r="R1151" s="753">
        <f t="shared" si="157"/>
        <v>8594900</v>
      </c>
      <c r="S1151" s="752">
        <f t="shared" si="158"/>
        <v>22529438.402599704</v>
      </c>
      <c r="T1151" s="754">
        <f t="shared" si="159"/>
        <v>23059524.622741118</v>
      </c>
      <c r="U1151" s="859"/>
      <c r="V1151" s="863"/>
      <c r="W1151" s="859"/>
      <c r="X1151" s="859"/>
      <c r="Y1151" s="755">
        <f t="shared" si="155"/>
        <v>0</v>
      </c>
      <c r="Z1151" s="864"/>
      <c r="AA1151" s="863"/>
      <c r="AB1151" s="756">
        <f t="shared" si="156"/>
        <v>0</v>
      </c>
      <c r="AC1151" s="859"/>
      <c r="AD1151" s="863"/>
      <c r="AE1151" s="859"/>
      <c r="AF1151" s="859"/>
      <c r="AG1151" s="864"/>
      <c r="AH1151" s="865"/>
      <c r="AI1151" s="757">
        <f t="shared" si="160"/>
        <v>22529438.402599704</v>
      </c>
      <c r="AJ1151" s="758">
        <f t="shared" si="161"/>
        <v>23059524.622741118</v>
      </c>
    </row>
    <row r="1152" spans="1:36" x14ac:dyDescent="0.2">
      <c r="A1152" s="898" t="s">
        <v>150</v>
      </c>
      <c r="B1152" s="1153" t="s">
        <v>264</v>
      </c>
      <c r="C1152" s="1162" t="s">
        <v>1093</v>
      </c>
      <c r="D1152" s="1163"/>
      <c r="E1152" s="1164">
        <v>157483</v>
      </c>
      <c r="F1152" s="910">
        <v>9</v>
      </c>
      <c r="G1152" s="859">
        <v>10829032.502444921</v>
      </c>
      <c r="H1152" s="860">
        <v>10652386.578152116</v>
      </c>
      <c r="I1152" s="861"/>
      <c r="J1152" s="862"/>
      <c r="K1152" s="859"/>
      <c r="L1152" s="863"/>
      <c r="M1152" s="859">
        <v>17524000</v>
      </c>
      <c r="N1152" s="859"/>
      <c r="O1152" s="752">
        <f t="shared" si="154"/>
        <v>17524000</v>
      </c>
      <c r="P1152" s="862">
        <v>15820200</v>
      </c>
      <c r="Q1152" s="860"/>
      <c r="R1152" s="753">
        <f t="shared" si="157"/>
        <v>15820200</v>
      </c>
      <c r="S1152" s="752">
        <f t="shared" si="158"/>
        <v>28353032.502444923</v>
      </c>
      <c r="T1152" s="754">
        <f t="shared" si="159"/>
        <v>26472586.578152116</v>
      </c>
      <c r="U1152" s="859"/>
      <c r="V1152" s="863"/>
      <c r="W1152" s="859"/>
      <c r="X1152" s="859"/>
      <c r="Y1152" s="755">
        <f t="shared" si="155"/>
        <v>0</v>
      </c>
      <c r="Z1152" s="864"/>
      <c r="AA1152" s="863"/>
      <c r="AB1152" s="756">
        <f t="shared" si="156"/>
        <v>0</v>
      </c>
      <c r="AC1152" s="859"/>
      <c r="AD1152" s="863"/>
      <c r="AE1152" s="859"/>
      <c r="AF1152" s="859"/>
      <c r="AG1152" s="864"/>
      <c r="AH1152" s="865"/>
      <c r="AI1152" s="757">
        <f t="shared" si="160"/>
        <v>28353032.502444923</v>
      </c>
      <c r="AJ1152" s="758">
        <f t="shared" si="161"/>
        <v>26472586.578152116</v>
      </c>
    </row>
    <row r="1153" spans="1:36" x14ac:dyDescent="0.2">
      <c r="A1153" s="898" t="s">
        <v>150</v>
      </c>
      <c r="B1153" s="1153" t="s">
        <v>264</v>
      </c>
      <c r="C1153" s="1153" t="s">
        <v>1094</v>
      </c>
      <c r="D1153" s="1159"/>
      <c r="E1153" s="902">
        <v>156851</v>
      </c>
      <c r="F1153" s="903">
        <v>10</v>
      </c>
      <c r="G1153" s="859">
        <v>5161524.3729834203</v>
      </c>
      <c r="H1153" s="860">
        <v>4982764.4273456559</v>
      </c>
      <c r="I1153" s="861"/>
      <c r="J1153" s="862"/>
      <c r="K1153" s="859"/>
      <c r="L1153" s="863"/>
      <c r="M1153" s="859">
        <v>5437000</v>
      </c>
      <c r="N1153" s="859"/>
      <c r="O1153" s="752">
        <f t="shared" si="154"/>
        <v>5437000</v>
      </c>
      <c r="P1153" s="862">
        <v>5074000</v>
      </c>
      <c r="Q1153" s="860"/>
      <c r="R1153" s="753">
        <f t="shared" si="157"/>
        <v>5074000</v>
      </c>
      <c r="S1153" s="752">
        <f t="shared" si="158"/>
        <v>10598524.37298342</v>
      </c>
      <c r="T1153" s="754">
        <f t="shared" si="159"/>
        <v>10056764.427345656</v>
      </c>
      <c r="U1153" s="859"/>
      <c r="V1153" s="863"/>
      <c r="W1153" s="859"/>
      <c r="X1153" s="859"/>
      <c r="Y1153" s="755">
        <f t="shared" si="155"/>
        <v>0</v>
      </c>
      <c r="Z1153" s="864"/>
      <c r="AA1153" s="863"/>
      <c r="AB1153" s="756">
        <f t="shared" si="156"/>
        <v>0</v>
      </c>
      <c r="AC1153" s="859"/>
      <c r="AD1153" s="863"/>
      <c r="AE1153" s="859"/>
      <c r="AF1153" s="859"/>
      <c r="AG1153" s="864"/>
      <c r="AH1153" s="865"/>
      <c r="AI1153" s="757">
        <f t="shared" si="160"/>
        <v>10598524.37298342</v>
      </c>
      <c r="AJ1153" s="758">
        <f t="shared" si="161"/>
        <v>10056764.427345656</v>
      </c>
    </row>
    <row r="1154" spans="1:36" x14ac:dyDescent="0.2">
      <c r="A1154" s="898" t="s">
        <v>150</v>
      </c>
      <c r="B1154" s="1153" t="s">
        <v>264</v>
      </c>
      <c r="C1154" s="1173" t="s">
        <v>1095</v>
      </c>
      <c r="D1154" s="1174"/>
      <c r="E1154" s="1164">
        <v>157438</v>
      </c>
      <c r="F1154" s="903">
        <v>12</v>
      </c>
      <c r="G1154" s="859">
        <v>7851936.7924165074</v>
      </c>
      <c r="H1154" s="860">
        <v>7830457.2579098754</v>
      </c>
      <c r="I1154" s="861"/>
      <c r="J1154" s="862"/>
      <c r="K1154" s="859"/>
      <c r="L1154" s="863"/>
      <c r="M1154" s="859">
        <v>10763000</v>
      </c>
      <c r="N1154" s="859"/>
      <c r="O1154" s="752">
        <f t="shared" si="154"/>
        <v>10763000</v>
      </c>
      <c r="P1154" s="862">
        <v>9902900</v>
      </c>
      <c r="Q1154" s="860"/>
      <c r="R1154" s="753">
        <f t="shared" si="157"/>
        <v>9902900</v>
      </c>
      <c r="S1154" s="752">
        <f t="shared" si="158"/>
        <v>18614936.792416506</v>
      </c>
      <c r="T1154" s="754">
        <f t="shared" si="159"/>
        <v>17733357.257909875</v>
      </c>
      <c r="U1154" s="859"/>
      <c r="V1154" s="863"/>
      <c r="W1154" s="859"/>
      <c r="X1154" s="859"/>
      <c r="Y1154" s="755">
        <f t="shared" si="155"/>
        <v>0</v>
      </c>
      <c r="Z1154" s="864"/>
      <c r="AA1154" s="863"/>
      <c r="AB1154" s="756">
        <f t="shared" si="156"/>
        <v>0</v>
      </c>
      <c r="AC1154" s="859"/>
      <c r="AD1154" s="863"/>
      <c r="AE1154" s="859"/>
      <c r="AF1154" s="859"/>
      <c r="AG1154" s="864"/>
      <c r="AH1154" s="865"/>
      <c r="AI1154" s="757">
        <f t="shared" si="160"/>
        <v>18614936.792416506</v>
      </c>
      <c r="AJ1154" s="758">
        <f t="shared" si="161"/>
        <v>17733357.257909875</v>
      </c>
    </row>
    <row r="1155" spans="1:36" x14ac:dyDescent="0.2">
      <c r="A1155" s="898" t="s">
        <v>150</v>
      </c>
      <c r="B1155" s="1153" t="s">
        <v>264</v>
      </c>
      <c r="C1155" s="1160" t="s">
        <v>1096</v>
      </c>
      <c r="D1155" s="1159"/>
      <c r="E1155" s="902">
        <v>156338</v>
      </c>
      <c r="F1155" s="903">
        <v>12</v>
      </c>
      <c r="G1155" s="859">
        <v>7380257.0194284655</v>
      </c>
      <c r="H1155" s="860">
        <v>7409864.7790574897</v>
      </c>
      <c r="I1155" s="861"/>
      <c r="J1155" s="862"/>
      <c r="K1155" s="859"/>
      <c r="L1155" s="863"/>
      <c r="M1155" s="859">
        <v>11688000</v>
      </c>
      <c r="N1155" s="859"/>
      <c r="O1155" s="752">
        <f t="shared" si="154"/>
        <v>11688000</v>
      </c>
      <c r="P1155" s="862">
        <v>9953100</v>
      </c>
      <c r="Q1155" s="860"/>
      <c r="R1155" s="753">
        <f t="shared" si="157"/>
        <v>9953100</v>
      </c>
      <c r="S1155" s="752">
        <f t="shared" si="158"/>
        <v>19068257.019428466</v>
      </c>
      <c r="T1155" s="754">
        <f t="shared" si="159"/>
        <v>17362964.779057488</v>
      </c>
      <c r="U1155" s="859"/>
      <c r="V1155" s="863"/>
      <c r="W1155" s="859"/>
      <c r="X1155" s="859"/>
      <c r="Y1155" s="755">
        <f t="shared" si="155"/>
        <v>0</v>
      </c>
      <c r="Z1155" s="864"/>
      <c r="AA1155" s="863"/>
      <c r="AB1155" s="756">
        <f t="shared" si="156"/>
        <v>0</v>
      </c>
      <c r="AC1155" s="859"/>
      <c r="AD1155" s="863"/>
      <c r="AE1155" s="859"/>
      <c r="AF1155" s="859"/>
      <c r="AG1155" s="864"/>
      <c r="AH1155" s="865"/>
      <c r="AI1155" s="757">
        <f t="shared" si="160"/>
        <v>19068257.019428466</v>
      </c>
      <c r="AJ1155" s="758">
        <f t="shared" si="161"/>
        <v>17362964.779057488</v>
      </c>
    </row>
    <row r="1156" spans="1:36" x14ac:dyDescent="0.2">
      <c r="A1156" s="898" t="s">
        <v>150</v>
      </c>
      <c r="B1156" s="1153" t="s">
        <v>274</v>
      </c>
      <c r="C1156" s="1175" t="s">
        <v>754</v>
      </c>
      <c r="D1156" s="1159"/>
      <c r="E1156" s="902"/>
      <c r="F1156" s="903"/>
      <c r="G1156" s="859"/>
      <c r="H1156" s="860"/>
      <c r="I1156" s="861"/>
      <c r="J1156" s="862"/>
      <c r="K1156" s="859"/>
      <c r="L1156" s="863"/>
      <c r="M1156" s="859"/>
      <c r="N1156" s="859"/>
      <c r="O1156" s="752">
        <f t="shared" si="154"/>
        <v>0</v>
      </c>
      <c r="P1156" s="862"/>
      <c r="Q1156" s="860"/>
      <c r="R1156" s="753">
        <f t="shared" si="157"/>
        <v>0</v>
      </c>
      <c r="S1156" s="752">
        <f t="shared" si="158"/>
        <v>0</v>
      </c>
      <c r="T1156" s="754">
        <f t="shared" si="159"/>
        <v>0</v>
      </c>
      <c r="U1156" s="859"/>
      <c r="V1156" s="863"/>
      <c r="W1156" s="859"/>
      <c r="X1156" s="859"/>
      <c r="Y1156" s="755">
        <f t="shared" si="155"/>
        <v>0</v>
      </c>
      <c r="Z1156" s="864"/>
      <c r="AA1156" s="863"/>
      <c r="AB1156" s="756">
        <f t="shared" si="156"/>
        <v>0</v>
      </c>
      <c r="AC1156" s="859"/>
      <c r="AD1156" s="863"/>
      <c r="AE1156" s="859"/>
      <c r="AF1156" s="859"/>
      <c r="AG1156" s="864"/>
      <c r="AH1156" s="865"/>
      <c r="AI1156" s="757">
        <f t="shared" si="160"/>
        <v>0</v>
      </c>
      <c r="AJ1156" s="758">
        <f t="shared" si="161"/>
        <v>0</v>
      </c>
    </row>
    <row r="1157" spans="1:36" x14ac:dyDescent="0.2">
      <c r="A1157" s="898" t="s">
        <v>150</v>
      </c>
      <c r="B1157" s="1153" t="s">
        <v>274</v>
      </c>
      <c r="C1157" s="920" t="s">
        <v>1058</v>
      </c>
      <c r="D1157" s="921"/>
      <c r="E1157" s="902"/>
      <c r="F1157" s="903"/>
      <c r="G1157" s="859"/>
      <c r="H1157" s="860"/>
      <c r="I1157" s="861"/>
      <c r="J1157" s="862"/>
      <c r="K1157" s="859"/>
      <c r="L1157" s="863"/>
      <c r="M1157" s="859"/>
      <c r="N1157" s="859"/>
      <c r="O1157" s="752">
        <f t="shared" si="154"/>
        <v>0</v>
      </c>
      <c r="P1157" s="862"/>
      <c r="Q1157" s="860"/>
      <c r="R1157" s="753">
        <f t="shared" si="157"/>
        <v>0</v>
      </c>
      <c r="S1157" s="752">
        <f t="shared" si="158"/>
        <v>0</v>
      </c>
      <c r="T1157" s="754">
        <f t="shared" si="159"/>
        <v>0</v>
      </c>
      <c r="U1157" s="859"/>
      <c r="V1157" s="863"/>
      <c r="W1157" s="859"/>
      <c r="X1157" s="859"/>
      <c r="Y1157" s="755">
        <f t="shared" si="155"/>
        <v>0</v>
      </c>
      <c r="Z1157" s="864"/>
      <c r="AA1157" s="863"/>
      <c r="AB1157" s="756">
        <f t="shared" si="156"/>
        <v>0</v>
      </c>
      <c r="AC1157" s="859"/>
      <c r="AD1157" s="863"/>
      <c r="AE1157" s="859"/>
      <c r="AF1157" s="859"/>
      <c r="AG1157" s="864"/>
      <c r="AH1157" s="865"/>
      <c r="AI1157" s="757">
        <f t="shared" si="160"/>
        <v>0</v>
      </c>
      <c r="AJ1157" s="758">
        <f t="shared" si="161"/>
        <v>0</v>
      </c>
    </row>
    <row r="1158" spans="1:36" x14ac:dyDescent="0.2">
      <c r="A1158" s="898" t="s">
        <v>150</v>
      </c>
      <c r="B1158" s="1153" t="s">
        <v>274</v>
      </c>
      <c r="C1158" s="1157" t="s">
        <v>1097</v>
      </c>
      <c r="D1158" s="921"/>
      <c r="E1158" s="902"/>
      <c r="F1158" s="903"/>
      <c r="G1158" s="859"/>
      <c r="H1158" s="860"/>
      <c r="I1158" s="861">
        <v>5054800</v>
      </c>
      <c r="J1158" s="862">
        <v>5054800</v>
      </c>
      <c r="K1158" s="859"/>
      <c r="L1158" s="863"/>
      <c r="M1158" s="859"/>
      <c r="N1158" s="859"/>
      <c r="O1158" s="752">
        <f t="shared" si="154"/>
        <v>0</v>
      </c>
      <c r="P1158" s="862"/>
      <c r="Q1158" s="860"/>
      <c r="R1158" s="753">
        <f t="shared" si="157"/>
        <v>0</v>
      </c>
      <c r="S1158" s="752">
        <f t="shared" si="158"/>
        <v>5054800</v>
      </c>
      <c r="T1158" s="754">
        <f t="shared" si="159"/>
        <v>5054800</v>
      </c>
      <c r="U1158" s="859"/>
      <c r="V1158" s="863"/>
      <c r="W1158" s="859"/>
      <c r="X1158" s="859"/>
      <c r="Y1158" s="755">
        <f t="shared" si="155"/>
        <v>0</v>
      </c>
      <c r="Z1158" s="864"/>
      <c r="AA1158" s="863"/>
      <c r="AB1158" s="756">
        <f t="shared" si="156"/>
        <v>0</v>
      </c>
      <c r="AC1158" s="859"/>
      <c r="AD1158" s="863"/>
      <c r="AE1158" s="859"/>
      <c r="AF1158" s="859"/>
      <c r="AG1158" s="864"/>
      <c r="AH1158" s="865"/>
      <c r="AI1158" s="757">
        <f t="shared" si="160"/>
        <v>5054800</v>
      </c>
      <c r="AJ1158" s="758">
        <f t="shared" si="161"/>
        <v>5054800</v>
      </c>
    </row>
    <row r="1159" spans="1:36" x14ac:dyDescent="0.2">
      <c r="A1159" s="898" t="s">
        <v>150</v>
      </c>
      <c r="B1159" s="1153" t="s">
        <v>274</v>
      </c>
      <c r="C1159" s="1157" t="s">
        <v>1098</v>
      </c>
      <c r="D1159" s="921"/>
      <c r="E1159" s="902"/>
      <c r="F1159" s="903"/>
      <c r="G1159" s="859"/>
      <c r="H1159" s="860"/>
      <c r="I1159" s="861"/>
      <c r="J1159" s="862"/>
      <c r="K1159" s="859"/>
      <c r="L1159" s="863"/>
      <c r="M1159" s="859"/>
      <c r="N1159" s="859"/>
      <c r="O1159" s="752">
        <f t="shared" si="154"/>
        <v>0</v>
      </c>
      <c r="P1159" s="862"/>
      <c r="Q1159" s="860"/>
      <c r="R1159" s="753">
        <f t="shared" si="157"/>
        <v>0</v>
      </c>
      <c r="S1159" s="752">
        <f t="shared" si="158"/>
        <v>0</v>
      </c>
      <c r="T1159" s="754">
        <f t="shared" si="159"/>
        <v>0</v>
      </c>
      <c r="U1159" s="859"/>
      <c r="V1159" s="863"/>
      <c r="W1159" s="859"/>
      <c r="X1159" s="859"/>
      <c r="Y1159" s="755">
        <f t="shared" si="155"/>
        <v>0</v>
      </c>
      <c r="Z1159" s="864"/>
      <c r="AA1159" s="863"/>
      <c r="AB1159" s="756">
        <f t="shared" si="156"/>
        <v>0</v>
      </c>
      <c r="AC1159" s="859"/>
      <c r="AD1159" s="863"/>
      <c r="AE1159" s="859"/>
      <c r="AF1159" s="859"/>
      <c r="AG1159" s="864"/>
      <c r="AH1159" s="865"/>
      <c r="AI1159" s="757">
        <f t="shared" si="160"/>
        <v>0</v>
      </c>
      <c r="AJ1159" s="758">
        <f t="shared" si="161"/>
        <v>0</v>
      </c>
    </row>
    <row r="1160" spans="1:36" x14ac:dyDescent="0.2">
      <c r="A1160" s="898" t="s">
        <v>150</v>
      </c>
      <c r="B1160" s="1153" t="s">
        <v>274</v>
      </c>
      <c r="C1160" s="1157" t="s">
        <v>1099</v>
      </c>
      <c r="D1160" s="921"/>
      <c r="E1160" s="902"/>
      <c r="F1160" s="903"/>
      <c r="G1160" s="859"/>
      <c r="H1160" s="860"/>
      <c r="I1160" s="861">
        <v>842600</v>
      </c>
      <c r="J1160" s="862">
        <v>842600</v>
      </c>
      <c r="K1160" s="859"/>
      <c r="L1160" s="863"/>
      <c r="M1160" s="859"/>
      <c r="N1160" s="859"/>
      <c r="O1160" s="752">
        <f t="shared" si="154"/>
        <v>0</v>
      </c>
      <c r="P1160" s="862"/>
      <c r="Q1160" s="860"/>
      <c r="R1160" s="753">
        <f t="shared" si="157"/>
        <v>0</v>
      </c>
      <c r="S1160" s="752">
        <f t="shared" si="158"/>
        <v>842600</v>
      </c>
      <c r="T1160" s="754">
        <f t="shared" si="159"/>
        <v>842600</v>
      </c>
      <c r="U1160" s="859"/>
      <c r="V1160" s="863"/>
      <c r="W1160" s="859"/>
      <c r="X1160" s="859"/>
      <c r="Y1160" s="755">
        <f t="shared" si="155"/>
        <v>0</v>
      </c>
      <c r="Z1160" s="864"/>
      <c r="AA1160" s="863"/>
      <c r="AB1160" s="756">
        <f t="shared" si="156"/>
        <v>0</v>
      </c>
      <c r="AC1160" s="859"/>
      <c r="AD1160" s="863"/>
      <c r="AE1160" s="859"/>
      <c r="AF1160" s="859"/>
      <c r="AG1160" s="864"/>
      <c r="AH1160" s="865"/>
      <c r="AI1160" s="757">
        <f t="shared" si="160"/>
        <v>842600</v>
      </c>
      <c r="AJ1160" s="758">
        <f t="shared" si="161"/>
        <v>842600</v>
      </c>
    </row>
    <row r="1161" spans="1:36" x14ac:dyDescent="0.2">
      <c r="A1161" s="898" t="s">
        <v>150</v>
      </c>
      <c r="B1161" s="1153" t="s">
        <v>274</v>
      </c>
      <c r="C1161" s="1157" t="s">
        <v>1100</v>
      </c>
      <c r="D1161" s="921"/>
      <c r="E1161" s="902"/>
      <c r="F1161" s="903"/>
      <c r="G1161" s="859"/>
      <c r="H1161" s="860"/>
      <c r="I1161" s="861">
        <v>2025800</v>
      </c>
      <c r="J1161" s="862">
        <v>2025800</v>
      </c>
      <c r="K1161" s="859"/>
      <c r="L1161" s="863"/>
      <c r="M1161" s="859"/>
      <c r="N1161" s="859"/>
      <c r="O1161" s="752">
        <f t="shared" si="154"/>
        <v>0</v>
      </c>
      <c r="P1161" s="862"/>
      <c r="Q1161" s="860"/>
      <c r="R1161" s="753">
        <f t="shared" si="157"/>
        <v>0</v>
      </c>
      <c r="S1161" s="752">
        <f t="shared" si="158"/>
        <v>2025800</v>
      </c>
      <c r="T1161" s="754">
        <f t="shared" si="159"/>
        <v>2025800</v>
      </c>
      <c r="U1161" s="859"/>
      <c r="V1161" s="863"/>
      <c r="W1161" s="859"/>
      <c r="X1161" s="859"/>
      <c r="Y1161" s="755">
        <f t="shared" si="155"/>
        <v>0</v>
      </c>
      <c r="Z1161" s="864"/>
      <c r="AA1161" s="863"/>
      <c r="AB1161" s="756">
        <f t="shared" si="156"/>
        <v>0</v>
      </c>
      <c r="AC1161" s="859"/>
      <c r="AD1161" s="863"/>
      <c r="AE1161" s="859"/>
      <c r="AF1161" s="859"/>
      <c r="AG1161" s="864"/>
      <c r="AH1161" s="865"/>
      <c r="AI1161" s="757">
        <f t="shared" si="160"/>
        <v>2025800</v>
      </c>
      <c r="AJ1161" s="758">
        <f t="shared" si="161"/>
        <v>2025800</v>
      </c>
    </row>
    <row r="1162" spans="1:36" x14ac:dyDescent="0.2">
      <c r="A1162" s="898" t="s">
        <v>150</v>
      </c>
      <c r="B1162" s="1153" t="s">
        <v>274</v>
      </c>
      <c r="C1162" s="1157" t="s">
        <v>1101</v>
      </c>
      <c r="D1162" s="921"/>
      <c r="E1162" s="902"/>
      <c r="F1162" s="903"/>
      <c r="G1162" s="859"/>
      <c r="H1162" s="860"/>
      <c r="I1162" s="861">
        <v>2105300</v>
      </c>
      <c r="J1162" s="862">
        <v>2105400</v>
      </c>
      <c r="K1162" s="859"/>
      <c r="L1162" s="863"/>
      <c r="M1162" s="859"/>
      <c r="N1162" s="859"/>
      <c r="O1162" s="752">
        <f t="shared" si="154"/>
        <v>0</v>
      </c>
      <c r="P1162" s="862"/>
      <c r="Q1162" s="860"/>
      <c r="R1162" s="753">
        <f t="shared" si="157"/>
        <v>0</v>
      </c>
      <c r="S1162" s="752">
        <f t="shared" si="158"/>
        <v>2105300</v>
      </c>
      <c r="T1162" s="754">
        <f t="shared" si="159"/>
        <v>2105400</v>
      </c>
      <c r="U1162" s="859"/>
      <c r="V1162" s="863"/>
      <c r="W1162" s="859"/>
      <c r="X1162" s="859"/>
      <c r="Y1162" s="755">
        <f t="shared" si="155"/>
        <v>0</v>
      </c>
      <c r="Z1162" s="864"/>
      <c r="AA1162" s="863"/>
      <c r="AB1162" s="756">
        <f t="shared" si="156"/>
        <v>0</v>
      </c>
      <c r="AC1162" s="859"/>
      <c r="AD1162" s="863"/>
      <c r="AE1162" s="859"/>
      <c r="AF1162" s="859"/>
      <c r="AG1162" s="864"/>
      <c r="AH1162" s="865"/>
      <c r="AI1162" s="757">
        <f t="shared" si="160"/>
        <v>2105300</v>
      </c>
      <c r="AJ1162" s="758">
        <f t="shared" si="161"/>
        <v>2105400</v>
      </c>
    </row>
    <row r="1163" spans="1:36" x14ac:dyDescent="0.2">
      <c r="A1163" s="898" t="s">
        <v>150</v>
      </c>
      <c r="B1163" s="1153" t="s">
        <v>303</v>
      </c>
      <c r="C1163" s="1175" t="s">
        <v>789</v>
      </c>
      <c r="D1163" s="1159"/>
      <c r="E1163" s="902"/>
      <c r="F1163" s="903"/>
      <c r="G1163" s="859"/>
      <c r="H1163" s="860"/>
      <c r="I1163" s="861"/>
      <c r="J1163" s="862"/>
      <c r="K1163" s="859"/>
      <c r="L1163" s="863"/>
      <c r="M1163" s="859"/>
      <c r="N1163" s="859"/>
      <c r="O1163" s="752">
        <f t="shared" ref="O1163:O1226" si="162">SUM(M1163:N1163)</f>
        <v>0</v>
      </c>
      <c r="P1163" s="862"/>
      <c r="Q1163" s="860"/>
      <c r="R1163" s="753">
        <f t="shared" si="157"/>
        <v>0</v>
      </c>
      <c r="S1163" s="752">
        <f t="shared" si="158"/>
        <v>0</v>
      </c>
      <c r="T1163" s="754">
        <f t="shared" si="159"/>
        <v>0</v>
      </c>
      <c r="U1163" s="859"/>
      <c r="V1163" s="863"/>
      <c r="W1163" s="859"/>
      <c r="X1163" s="859"/>
      <c r="Y1163" s="755">
        <f t="shared" ref="Y1163:Y1226" si="163">SUM(W1163:X1163)</f>
        <v>0</v>
      </c>
      <c r="Z1163" s="864"/>
      <c r="AA1163" s="863"/>
      <c r="AB1163" s="756">
        <f t="shared" ref="AB1163:AB1226" si="164">SUM(Z1163:AA1163)</f>
        <v>0</v>
      </c>
      <c r="AC1163" s="859"/>
      <c r="AD1163" s="863"/>
      <c r="AE1163" s="859"/>
      <c r="AF1163" s="859"/>
      <c r="AG1163" s="864"/>
      <c r="AH1163" s="865"/>
      <c r="AI1163" s="757">
        <f t="shared" si="160"/>
        <v>0</v>
      </c>
      <c r="AJ1163" s="758">
        <f t="shared" si="161"/>
        <v>0</v>
      </c>
    </row>
    <row r="1164" spans="1:36" x14ac:dyDescent="0.2">
      <c r="A1164" s="898" t="s">
        <v>150</v>
      </c>
      <c r="B1164" s="1153" t="s">
        <v>303</v>
      </c>
      <c r="C1164" s="1157" t="s">
        <v>1102</v>
      </c>
      <c r="D1164" s="921"/>
      <c r="E1164" s="902"/>
      <c r="F1164" s="903"/>
      <c r="G1164" s="859"/>
      <c r="H1164" s="860"/>
      <c r="I1164" s="861">
        <v>265100</v>
      </c>
      <c r="J1164" s="862">
        <v>265100</v>
      </c>
      <c r="K1164" s="859"/>
      <c r="L1164" s="863"/>
      <c r="M1164" s="859"/>
      <c r="N1164" s="859"/>
      <c r="O1164" s="752">
        <f t="shared" si="162"/>
        <v>0</v>
      </c>
      <c r="P1164" s="862"/>
      <c r="Q1164" s="860"/>
      <c r="R1164" s="753">
        <f t="shared" ref="R1164:R1227" si="165">SUM(P1164:Q1164)</f>
        <v>0</v>
      </c>
      <c r="S1164" s="752">
        <f t="shared" ref="S1164:S1227" si="166">SUM(G1164,I1164,K1164,M1164)</f>
        <v>265100</v>
      </c>
      <c r="T1164" s="754">
        <f t="shared" ref="T1164:T1227" si="167">SUM(H1164,J1164,L1164,P1164)</f>
        <v>265100</v>
      </c>
      <c r="U1164" s="859"/>
      <c r="V1164" s="863"/>
      <c r="W1164" s="859"/>
      <c r="X1164" s="859"/>
      <c r="Y1164" s="755">
        <f t="shared" si="163"/>
        <v>0</v>
      </c>
      <c r="Z1164" s="864"/>
      <c r="AA1164" s="863"/>
      <c r="AB1164" s="756">
        <f t="shared" si="164"/>
        <v>0</v>
      </c>
      <c r="AC1164" s="859"/>
      <c r="AD1164" s="863"/>
      <c r="AE1164" s="859"/>
      <c r="AF1164" s="859"/>
      <c r="AG1164" s="864"/>
      <c r="AH1164" s="865"/>
      <c r="AI1164" s="757">
        <f t="shared" ref="AI1164:AI1227" si="168">SUM(S1164,U1164,W1164,AC1164,AE1164)</f>
        <v>265100</v>
      </c>
      <c r="AJ1164" s="758">
        <f t="shared" ref="AJ1164:AJ1227" si="169">SUM(T1164,V1164,Z1164,AD1164,AG1164)</f>
        <v>265100</v>
      </c>
    </row>
    <row r="1165" spans="1:36" x14ac:dyDescent="0.2">
      <c r="A1165" s="898" t="s">
        <v>150</v>
      </c>
      <c r="B1165" s="1153" t="s">
        <v>303</v>
      </c>
      <c r="C1165" s="1157" t="s">
        <v>1103</v>
      </c>
      <c r="D1165" s="921"/>
      <c r="E1165" s="902"/>
      <c r="F1165" s="903"/>
      <c r="G1165" s="859"/>
      <c r="H1165" s="860"/>
      <c r="I1165" s="861">
        <v>185200</v>
      </c>
      <c r="J1165" s="862">
        <v>185200</v>
      </c>
      <c r="K1165" s="859"/>
      <c r="L1165" s="863"/>
      <c r="M1165" s="859"/>
      <c r="N1165" s="859"/>
      <c r="O1165" s="752">
        <f t="shared" si="162"/>
        <v>0</v>
      </c>
      <c r="P1165" s="862"/>
      <c r="Q1165" s="860"/>
      <c r="R1165" s="753">
        <f t="shared" si="165"/>
        <v>0</v>
      </c>
      <c r="S1165" s="752">
        <f t="shared" si="166"/>
        <v>185200</v>
      </c>
      <c r="T1165" s="754">
        <f t="shared" si="167"/>
        <v>185200</v>
      </c>
      <c r="U1165" s="859"/>
      <c r="V1165" s="863"/>
      <c r="W1165" s="859"/>
      <c r="X1165" s="859"/>
      <c r="Y1165" s="755">
        <f t="shared" si="163"/>
        <v>0</v>
      </c>
      <c r="Z1165" s="864"/>
      <c r="AA1165" s="863"/>
      <c r="AB1165" s="756">
        <f t="shared" si="164"/>
        <v>0</v>
      </c>
      <c r="AC1165" s="859"/>
      <c r="AD1165" s="863"/>
      <c r="AE1165" s="859"/>
      <c r="AF1165" s="859"/>
      <c r="AG1165" s="864"/>
      <c r="AH1165" s="865"/>
      <c r="AI1165" s="757">
        <f t="shared" si="168"/>
        <v>185200</v>
      </c>
      <c r="AJ1165" s="758">
        <f t="shared" si="169"/>
        <v>185200</v>
      </c>
    </row>
    <row r="1166" spans="1:36" x14ac:dyDescent="0.2">
      <c r="A1166" s="898" t="s">
        <v>150</v>
      </c>
      <c r="B1166" s="1153" t="s">
        <v>303</v>
      </c>
      <c r="C1166" s="1157" t="s">
        <v>1104</v>
      </c>
      <c r="D1166" s="921"/>
      <c r="E1166" s="902"/>
      <c r="F1166" s="903"/>
      <c r="G1166" s="859"/>
      <c r="H1166" s="860"/>
      <c r="I1166" s="861">
        <v>4247800</v>
      </c>
      <c r="J1166" s="862">
        <v>4187800</v>
      </c>
      <c r="K1166" s="859"/>
      <c r="L1166" s="863"/>
      <c r="M1166" s="859"/>
      <c r="N1166" s="859"/>
      <c r="O1166" s="752">
        <f t="shared" si="162"/>
        <v>0</v>
      </c>
      <c r="P1166" s="862"/>
      <c r="Q1166" s="860"/>
      <c r="R1166" s="753">
        <f t="shared" si="165"/>
        <v>0</v>
      </c>
      <c r="S1166" s="752">
        <f t="shared" si="166"/>
        <v>4247800</v>
      </c>
      <c r="T1166" s="754">
        <f t="shared" si="167"/>
        <v>4187800</v>
      </c>
      <c r="U1166" s="859"/>
      <c r="V1166" s="863"/>
      <c r="W1166" s="859"/>
      <c r="X1166" s="859"/>
      <c r="Y1166" s="755">
        <f t="shared" si="163"/>
        <v>0</v>
      </c>
      <c r="Z1166" s="864"/>
      <c r="AA1166" s="863"/>
      <c r="AB1166" s="756">
        <f t="shared" si="164"/>
        <v>0</v>
      </c>
      <c r="AC1166" s="859"/>
      <c r="AD1166" s="863"/>
      <c r="AE1166" s="859"/>
      <c r="AF1166" s="859"/>
      <c r="AG1166" s="864"/>
      <c r="AH1166" s="865"/>
      <c r="AI1166" s="757">
        <f t="shared" si="168"/>
        <v>4247800</v>
      </c>
      <c r="AJ1166" s="758">
        <f t="shared" si="169"/>
        <v>4187800</v>
      </c>
    </row>
    <row r="1167" spans="1:36" x14ac:dyDescent="0.2">
      <c r="A1167" s="898" t="s">
        <v>150</v>
      </c>
      <c r="B1167" s="1153" t="s">
        <v>303</v>
      </c>
      <c r="C1167" s="1157" t="s">
        <v>1105</v>
      </c>
      <c r="D1167" s="921"/>
      <c r="E1167" s="902"/>
      <c r="F1167" s="903"/>
      <c r="G1167" s="859"/>
      <c r="H1167" s="860"/>
      <c r="I1167" s="861">
        <v>2413205</v>
      </c>
      <c r="J1167" s="862">
        <v>2408600</v>
      </c>
      <c r="K1167" s="859"/>
      <c r="L1167" s="863"/>
      <c r="M1167" s="859"/>
      <c r="N1167" s="859"/>
      <c r="O1167" s="752">
        <f t="shared" si="162"/>
        <v>0</v>
      </c>
      <c r="P1167" s="862"/>
      <c r="Q1167" s="860"/>
      <c r="R1167" s="753">
        <f t="shared" si="165"/>
        <v>0</v>
      </c>
      <c r="S1167" s="752">
        <f t="shared" si="166"/>
        <v>2413205</v>
      </c>
      <c r="T1167" s="754">
        <f t="shared" si="167"/>
        <v>2408600</v>
      </c>
      <c r="U1167" s="859"/>
      <c r="V1167" s="863"/>
      <c r="W1167" s="859"/>
      <c r="X1167" s="859"/>
      <c r="Y1167" s="755">
        <f t="shared" si="163"/>
        <v>0</v>
      </c>
      <c r="Z1167" s="864"/>
      <c r="AA1167" s="863"/>
      <c r="AB1167" s="756">
        <f t="shared" si="164"/>
        <v>0</v>
      </c>
      <c r="AC1167" s="859"/>
      <c r="AD1167" s="863"/>
      <c r="AE1167" s="859"/>
      <c r="AF1167" s="859"/>
      <c r="AG1167" s="864"/>
      <c r="AH1167" s="865"/>
      <c r="AI1167" s="757">
        <f t="shared" si="168"/>
        <v>2413205</v>
      </c>
      <c r="AJ1167" s="758">
        <f t="shared" si="169"/>
        <v>2408600</v>
      </c>
    </row>
    <row r="1168" spans="1:36" x14ac:dyDescent="0.2">
      <c r="A1168" s="898" t="s">
        <v>150</v>
      </c>
      <c r="B1168" s="1153" t="s">
        <v>303</v>
      </c>
      <c r="C1168" s="1157" t="s">
        <v>1106</v>
      </c>
      <c r="D1168" s="921"/>
      <c r="E1168" s="902"/>
      <c r="F1168" s="903"/>
      <c r="G1168" s="859"/>
      <c r="H1168" s="860"/>
      <c r="I1168" s="861">
        <v>1880200</v>
      </c>
      <c r="J1168" s="862">
        <v>1880200</v>
      </c>
      <c r="K1168" s="859"/>
      <c r="L1168" s="863"/>
      <c r="M1168" s="859"/>
      <c r="N1168" s="859"/>
      <c r="O1168" s="752">
        <f t="shared" si="162"/>
        <v>0</v>
      </c>
      <c r="P1168" s="862"/>
      <c r="Q1168" s="860"/>
      <c r="R1168" s="753">
        <f t="shared" si="165"/>
        <v>0</v>
      </c>
      <c r="S1168" s="752">
        <f t="shared" si="166"/>
        <v>1880200</v>
      </c>
      <c r="T1168" s="754">
        <f t="shared" si="167"/>
        <v>1880200</v>
      </c>
      <c r="U1168" s="859"/>
      <c r="V1168" s="863"/>
      <c r="W1168" s="859"/>
      <c r="X1168" s="859"/>
      <c r="Y1168" s="755">
        <f t="shared" si="163"/>
        <v>0</v>
      </c>
      <c r="Z1168" s="864"/>
      <c r="AA1168" s="863"/>
      <c r="AB1168" s="756">
        <f t="shared" si="164"/>
        <v>0</v>
      </c>
      <c r="AC1168" s="859"/>
      <c r="AD1168" s="863"/>
      <c r="AE1168" s="859"/>
      <c r="AF1168" s="859"/>
      <c r="AG1168" s="864"/>
      <c r="AH1168" s="865"/>
      <c r="AI1168" s="757">
        <f t="shared" si="168"/>
        <v>1880200</v>
      </c>
      <c r="AJ1168" s="758">
        <f t="shared" si="169"/>
        <v>1880200</v>
      </c>
    </row>
    <row r="1169" spans="1:36" x14ac:dyDescent="0.2">
      <c r="A1169" s="898" t="s">
        <v>150</v>
      </c>
      <c r="B1169" s="1153" t="s">
        <v>303</v>
      </c>
      <c r="C1169" s="1157" t="s">
        <v>1107</v>
      </c>
      <c r="D1169" s="921"/>
      <c r="E1169" s="902"/>
      <c r="F1169" s="903"/>
      <c r="G1169" s="859"/>
      <c r="H1169" s="860"/>
      <c r="I1169" s="861">
        <v>940000</v>
      </c>
      <c r="J1169" s="862">
        <v>940000</v>
      </c>
      <c r="K1169" s="859"/>
      <c r="L1169" s="863"/>
      <c r="M1169" s="859"/>
      <c r="N1169" s="859"/>
      <c r="O1169" s="752">
        <f t="shared" si="162"/>
        <v>0</v>
      </c>
      <c r="P1169" s="862"/>
      <c r="Q1169" s="860"/>
      <c r="R1169" s="753">
        <f t="shared" si="165"/>
        <v>0</v>
      </c>
      <c r="S1169" s="752">
        <f t="shared" si="166"/>
        <v>940000</v>
      </c>
      <c r="T1169" s="754">
        <f t="shared" si="167"/>
        <v>940000</v>
      </c>
      <c r="U1169" s="859"/>
      <c r="V1169" s="863"/>
      <c r="W1169" s="859"/>
      <c r="X1169" s="859"/>
      <c r="Y1169" s="755">
        <f t="shared" si="163"/>
        <v>0</v>
      </c>
      <c r="Z1169" s="864"/>
      <c r="AA1169" s="863"/>
      <c r="AB1169" s="756">
        <f t="shared" si="164"/>
        <v>0</v>
      </c>
      <c r="AC1169" s="859"/>
      <c r="AD1169" s="863"/>
      <c r="AE1169" s="859"/>
      <c r="AF1169" s="859"/>
      <c r="AG1169" s="864"/>
      <c r="AH1169" s="865"/>
      <c r="AI1169" s="757">
        <f t="shared" si="168"/>
        <v>940000</v>
      </c>
      <c r="AJ1169" s="758">
        <f t="shared" si="169"/>
        <v>940000</v>
      </c>
    </row>
    <row r="1170" spans="1:36" x14ac:dyDescent="0.2">
      <c r="A1170" s="898" t="s">
        <v>150</v>
      </c>
      <c r="B1170" s="1153" t="s">
        <v>303</v>
      </c>
      <c r="C1170" s="1157" t="s">
        <v>1108</v>
      </c>
      <c r="D1170" s="921"/>
      <c r="E1170" s="902"/>
      <c r="F1170" s="903"/>
      <c r="G1170" s="859"/>
      <c r="H1170" s="860"/>
      <c r="I1170" s="861">
        <v>19548600</v>
      </c>
      <c r="J1170" s="862">
        <v>19548600</v>
      </c>
      <c r="K1170" s="859"/>
      <c r="L1170" s="863"/>
      <c r="M1170" s="859"/>
      <c r="N1170" s="859"/>
      <c r="O1170" s="752">
        <f t="shared" si="162"/>
        <v>0</v>
      </c>
      <c r="P1170" s="862"/>
      <c r="Q1170" s="860"/>
      <c r="R1170" s="753">
        <f t="shared" si="165"/>
        <v>0</v>
      </c>
      <c r="S1170" s="752">
        <f t="shared" si="166"/>
        <v>19548600</v>
      </c>
      <c r="T1170" s="754">
        <f t="shared" si="167"/>
        <v>19548600</v>
      </c>
      <c r="U1170" s="859"/>
      <c r="V1170" s="863"/>
      <c r="W1170" s="859"/>
      <c r="X1170" s="859"/>
      <c r="Y1170" s="755">
        <f t="shared" si="163"/>
        <v>0</v>
      </c>
      <c r="Z1170" s="864"/>
      <c r="AA1170" s="863"/>
      <c r="AB1170" s="756">
        <f t="shared" si="164"/>
        <v>0</v>
      </c>
      <c r="AC1170" s="859"/>
      <c r="AD1170" s="863"/>
      <c r="AE1170" s="859"/>
      <c r="AF1170" s="859"/>
      <c r="AG1170" s="864"/>
      <c r="AH1170" s="865"/>
      <c r="AI1170" s="757">
        <f t="shared" si="168"/>
        <v>19548600</v>
      </c>
      <c r="AJ1170" s="758">
        <f t="shared" si="169"/>
        <v>19548600</v>
      </c>
    </row>
    <row r="1171" spans="1:36" x14ac:dyDescent="0.2">
      <c r="A1171" s="898" t="s">
        <v>150</v>
      </c>
      <c r="B1171" s="1153" t="s">
        <v>303</v>
      </c>
      <c r="C1171" s="1157" t="s">
        <v>1109</v>
      </c>
      <c r="D1171" s="921"/>
      <c r="E1171" s="902"/>
      <c r="F1171" s="903"/>
      <c r="G1171" s="859"/>
      <c r="H1171" s="860"/>
      <c r="I1171" s="861"/>
      <c r="J1171" s="862"/>
      <c r="K1171" s="859"/>
      <c r="L1171" s="863"/>
      <c r="M1171" s="859"/>
      <c r="N1171" s="859"/>
      <c r="O1171" s="752">
        <f t="shared" si="162"/>
        <v>0</v>
      </c>
      <c r="P1171" s="862"/>
      <c r="Q1171" s="860"/>
      <c r="R1171" s="753">
        <f t="shared" si="165"/>
        <v>0</v>
      </c>
      <c r="S1171" s="752">
        <f t="shared" si="166"/>
        <v>0</v>
      </c>
      <c r="T1171" s="754">
        <f t="shared" si="167"/>
        <v>0</v>
      </c>
      <c r="U1171" s="859"/>
      <c r="V1171" s="863"/>
      <c r="W1171" s="859"/>
      <c r="X1171" s="859"/>
      <c r="Y1171" s="755">
        <f t="shared" si="163"/>
        <v>0</v>
      </c>
      <c r="Z1171" s="864"/>
      <c r="AA1171" s="863"/>
      <c r="AB1171" s="756">
        <f t="shared" si="164"/>
        <v>0</v>
      </c>
      <c r="AC1171" s="859"/>
      <c r="AD1171" s="863"/>
      <c r="AE1171" s="859"/>
      <c r="AF1171" s="859"/>
      <c r="AG1171" s="864"/>
      <c r="AH1171" s="865"/>
      <c r="AI1171" s="757">
        <f t="shared" si="168"/>
        <v>0</v>
      </c>
      <c r="AJ1171" s="758">
        <f t="shared" si="169"/>
        <v>0</v>
      </c>
    </row>
    <row r="1172" spans="1:36" x14ac:dyDescent="0.2">
      <c r="A1172" s="898" t="s">
        <v>150</v>
      </c>
      <c r="B1172" s="1153" t="s">
        <v>303</v>
      </c>
      <c r="C1172" s="1157" t="s">
        <v>1110</v>
      </c>
      <c r="D1172" s="921"/>
      <c r="E1172" s="902"/>
      <c r="F1172" s="903"/>
      <c r="G1172" s="859"/>
      <c r="H1172" s="860"/>
      <c r="I1172" s="861">
        <v>5717900</v>
      </c>
      <c r="J1172" s="862">
        <v>5717900</v>
      </c>
      <c r="K1172" s="859"/>
      <c r="L1172" s="863"/>
      <c r="M1172" s="859"/>
      <c r="N1172" s="859"/>
      <c r="O1172" s="752">
        <f t="shared" si="162"/>
        <v>0</v>
      </c>
      <c r="P1172" s="862"/>
      <c r="Q1172" s="860"/>
      <c r="R1172" s="753">
        <f t="shared" si="165"/>
        <v>0</v>
      </c>
      <c r="S1172" s="752">
        <f t="shared" si="166"/>
        <v>5717900</v>
      </c>
      <c r="T1172" s="754">
        <f t="shared" si="167"/>
        <v>5717900</v>
      </c>
      <c r="U1172" s="859"/>
      <c r="V1172" s="863"/>
      <c r="W1172" s="859"/>
      <c r="X1172" s="859"/>
      <c r="Y1172" s="755">
        <f t="shared" si="163"/>
        <v>0</v>
      </c>
      <c r="Z1172" s="864"/>
      <c r="AA1172" s="863"/>
      <c r="AB1172" s="756">
        <f t="shared" si="164"/>
        <v>0</v>
      </c>
      <c r="AC1172" s="859"/>
      <c r="AD1172" s="863"/>
      <c r="AE1172" s="859"/>
      <c r="AF1172" s="859"/>
      <c r="AG1172" s="864"/>
      <c r="AH1172" s="865"/>
      <c r="AI1172" s="757">
        <f t="shared" si="168"/>
        <v>5717900</v>
      </c>
      <c r="AJ1172" s="758">
        <f t="shared" si="169"/>
        <v>5717900</v>
      </c>
    </row>
    <row r="1173" spans="1:36" x14ac:dyDescent="0.2">
      <c r="A1173" s="898" t="s">
        <v>150</v>
      </c>
      <c r="B1173" s="1153" t="s">
        <v>303</v>
      </c>
      <c r="C1173" s="1176" t="s">
        <v>1111</v>
      </c>
      <c r="D1173" s="921"/>
      <c r="E1173" s="902"/>
      <c r="F1173" s="903"/>
      <c r="G1173" s="859"/>
      <c r="H1173" s="860"/>
      <c r="I1173" s="861">
        <v>132400</v>
      </c>
      <c r="J1173" s="862">
        <v>132400</v>
      </c>
      <c r="K1173" s="859"/>
      <c r="L1173" s="863"/>
      <c r="M1173" s="859"/>
      <c r="N1173" s="859"/>
      <c r="O1173" s="752">
        <f t="shared" si="162"/>
        <v>0</v>
      </c>
      <c r="P1173" s="862"/>
      <c r="Q1173" s="860"/>
      <c r="R1173" s="753">
        <f t="shared" si="165"/>
        <v>0</v>
      </c>
      <c r="S1173" s="752">
        <f t="shared" si="166"/>
        <v>132400</v>
      </c>
      <c r="T1173" s="754">
        <f t="shared" si="167"/>
        <v>132400</v>
      </c>
      <c r="U1173" s="859"/>
      <c r="V1173" s="863"/>
      <c r="W1173" s="859"/>
      <c r="X1173" s="859"/>
      <c r="Y1173" s="755">
        <f t="shared" si="163"/>
        <v>0</v>
      </c>
      <c r="Z1173" s="864"/>
      <c r="AA1173" s="863"/>
      <c r="AB1173" s="756">
        <f t="shared" si="164"/>
        <v>0</v>
      </c>
      <c r="AC1173" s="859"/>
      <c r="AD1173" s="863"/>
      <c r="AE1173" s="859"/>
      <c r="AF1173" s="859"/>
      <c r="AG1173" s="864"/>
      <c r="AH1173" s="865"/>
      <c r="AI1173" s="757">
        <f t="shared" si="168"/>
        <v>132400</v>
      </c>
      <c r="AJ1173" s="758">
        <f t="shared" si="169"/>
        <v>132400</v>
      </c>
    </row>
    <row r="1174" spans="1:36" x14ac:dyDescent="0.2">
      <c r="A1174" s="898" t="s">
        <v>150</v>
      </c>
      <c r="B1174" s="1153" t="s">
        <v>281</v>
      </c>
      <c r="C1174" s="1175" t="s">
        <v>109</v>
      </c>
      <c r="D1174" s="1159"/>
      <c r="E1174" s="902"/>
      <c r="F1174" s="903"/>
      <c r="G1174" s="859"/>
      <c r="H1174" s="860"/>
      <c r="I1174" s="861"/>
      <c r="J1174" s="862"/>
      <c r="K1174" s="859"/>
      <c r="L1174" s="863"/>
      <c r="M1174" s="859"/>
      <c r="N1174" s="859"/>
      <c r="O1174" s="752">
        <f t="shared" si="162"/>
        <v>0</v>
      </c>
      <c r="P1174" s="862"/>
      <c r="Q1174" s="860"/>
      <c r="R1174" s="753">
        <f t="shared" si="165"/>
        <v>0</v>
      </c>
      <c r="S1174" s="752">
        <f t="shared" si="166"/>
        <v>0</v>
      </c>
      <c r="T1174" s="754">
        <f t="shared" si="167"/>
        <v>0</v>
      </c>
      <c r="U1174" s="859"/>
      <c r="V1174" s="863"/>
      <c r="W1174" s="859"/>
      <c r="X1174" s="859"/>
      <c r="Y1174" s="755">
        <f t="shared" si="163"/>
        <v>0</v>
      </c>
      <c r="Z1174" s="864"/>
      <c r="AA1174" s="863"/>
      <c r="AB1174" s="756">
        <f t="shared" si="164"/>
        <v>0</v>
      </c>
      <c r="AC1174" s="859"/>
      <c r="AD1174" s="863"/>
      <c r="AE1174" s="859"/>
      <c r="AF1174" s="859"/>
      <c r="AG1174" s="864"/>
      <c r="AH1174" s="865"/>
      <c r="AI1174" s="757">
        <f t="shared" si="168"/>
        <v>0</v>
      </c>
      <c r="AJ1174" s="758">
        <f t="shared" si="169"/>
        <v>0</v>
      </c>
    </row>
    <row r="1175" spans="1:36" x14ac:dyDescent="0.2">
      <c r="A1175" s="898" t="s">
        <v>150</v>
      </c>
      <c r="B1175" s="1153" t="s">
        <v>282</v>
      </c>
      <c r="C1175" s="920" t="s">
        <v>140</v>
      </c>
      <c r="D1175" s="921"/>
      <c r="E1175" s="902"/>
      <c r="F1175" s="903"/>
      <c r="G1175" s="859"/>
      <c r="H1175" s="860"/>
      <c r="I1175" s="861"/>
      <c r="J1175" s="862"/>
      <c r="K1175" s="859"/>
      <c r="L1175" s="863"/>
      <c r="M1175" s="859"/>
      <c r="N1175" s="859"/>
      <c r="O1175" s="752">
        <f t="shared" si="162"/>
        <v>0</v>
      </c>
      <c r="P1175" s="862"/>
      <c r="Q1175" s="860"/>
      <c r="R1175" s="753">
        <f t="shared" si="165"/>
        <v>0</v>
      </c>
      <c r="S1175" s="752">
        <f t="shared" si="166"/>
        <v>0</v>
      </c>
      <c r="T1175" s="754">
        <f t="shared" si="167"/>
        <v>0</v>
      </c>
      <c r="U1175" s="859"/>
      <c r="V1175" s="863"/>
      <c r="W1175" s="859"/>
      <c r="X1175" s="859"/>
      <c r="Y1175" s="755">
        <f t="shared" si="163"/>
        <v>0</v>
      </c>
      <c r="Z1175" s="864"/>
      <c r="AA1175" s="863"/>
      <c r="AB1175" s="756">
        <f t="shared" si="164"/>
        <v>0</v>
      </c>
      <c r="AC1175" s="859"/>
      <c r="AD1175" s="863"/>
      <c r="AE1175" s="859"/>
      <c r="AF1175" s="859"/>
      <c r="AG1175" s="864"/>
      <c r="AH1175" s="865"/>
      <c r="AI1175" s="757">
        <f t="shared" si="168"/>
        <v>0</v>
      </c>
      <c r="AJ1175" s="758">
        <f t="shared" si="169"/>
        <v>0</v>
      </c>
    </row>
    <row r="1176" spans="1:36" x14ac:dyDescent="0.2">
      <c r="A1176" s="898" t="s">
        <v>150</v>
      </c>
      <c r="B1176" s="1153" t="s">
        <v>282</v>
      </c>
      <c r="C1176" s="1157" t="s">
        <v>1112</v>
      </c>
      <c r="D1176" s="921"/>
      <c r="E1176" s="902"/>
      <c r="F1176" s="903"/>
      <c r="G1176" s="859"/>
      <c r="H1176" s="860"/>
      <c r="I1176" s="861"/>
      <c r="J1176" s="862"/>
      <c r="K1176" s="859"/>
      <c r="L1176" s="863"/>
      <c r="M1176" s="859"/>
      <c r="N1176" s="859"/>
      <c r="O1176" s="752">
        <f t="shared" si="162"/>
        <v>0</v>
      </c>
      <c r="P1176" s="862"/>
      <c r="Q1176" s="860"/>
      <c r="R1176" s="753">
        <f t="shared" si="165"/>
        <v>0</v>
      </c>
      <c r="S1176" s="752">
        <f t="shared" si="166"/>
        <v>0</v>
      </c>
      <c r="T1176" s="754">
        <f t="shared" si="167"/>
        <v>0</v>
      </c>
      <c r="U1176" s="859">
        <v>6618300</v>
      </c>
      <c r="V1176" s="863">
        <v>6618300</v>
      </c>
      <c r="W1176" s="859"/>
      <c r="X1176" s="859"/>
      <c r="Y1176" s="755">
        <f t="shared" si="163"/>
        <v>0</v>
      </c>
      <c r="Z1176" s="864"/>
      <c r="AA1176" s="863"/>
      <c r="AB1176" s="756">
        <f t="shared" si="164"/>
        <v>0</v>
      </c>
      <c r="AC1176" s="859"/>
      <c r="AD1176" s="863"/>
      <c r="AE1176" s="859"/>
      <c r="AF1176" s="859"/>
      <c r="AG1176" s="864"/>
      <c r="AH1176" s="865"/>
      <c r="AI1176" s="757">
        <f t="shared" si="168"/>
        <v>6618300</v>
      </c>
      <c r="AJ1176" s="758">
        <f t="shared" si="169"/>
        <v>6618300</v>
      </c>
    </row>
    <row r="1177" spans="1:36" x14ac:dyDescent="0.2">
      <c r="A1177" s="898" t="s">
        <v>150</v>
      </c>
      <c r="B1177" s="1153" t="s">
        <v>283</v>
      </c>
      <c r="C1177" s="920" t="s">
        <v>139</v>
      </c>
      <c r="D1177" s="921"/>
      <c r="E1177" s="902"/>
      <c r="F1177" s="903"/>
      <c r="G1177" s="859"/>
      <c r="H1177" s="860"/>
      <c r="I1177" s="861"/>
      <c r="J1177" s="862"/>
      <c r="K1177" s="859"/>
      <c r="L1177" s="863"/>
      <c r="M1177" s="859"/>
      <c r="N1177" s="859"/>
      <c r="O1177" s="752">
        <f t="shared" si="162"/>
        <v>0</v>
      </c>
      <c r="P1177" s="862"/>
      <c r="Q1177" s="860"/>
      <c r="R1177" s="753">
        <f t="shared" si="165"/>
        <v>0</v>
      </c>
      <c r="S1177" s="752">
        <f t="shared" si="166"/>
        <v>0</v>
      </c>
      <c r="T1177" s="754">
        <f t="shared" si="167"/>
        <v>0</v>
      </c>
      <c r="U1177" s="859"/>
      <c r="V1177" s="863"/>
      <c r="W1177" s="859"/>
      <c r="X1177" s="859"/>
      <c r="Y1177" s="755">
        <f t="shared" si="163"/>
        <v>0</v>
      </c>
      <c r="Z1177" s="864"/>
      <c r="AA1177" s="863"/>
      <c r="AB1177" s="756">
        <f t="shared" si="164"/>
        <v>0</v>
      </c>
      <c r="AC1177" s="859"/>
      <c r="AD1177" s="863"/>
      <c r="AE1177" s="859"/>
      <c r="AF1177" s="859"/>
      <c r="AG1177" s="864"/>
      <c r="AH1177" s="865"/>
      <c r="AI1177" s="757">
        <f t="shared" si="168"/>
        <v>0</v>
      </c>
      <c r="AJ1177" s="758">
        <f t="shared" si="169"/>
        <v>0</v>
      </c>
    </row>
    <row r="1178" spans="1:36" x14ac:dyDescent="0.2">
      <c r="A1178" s="898" t="s">
        <v>150</v>
      </c>
      <c r="B1178" s="1153" t="s">
        <v>283</v>
      </c>
      <c r="C1178" s="1157" t="s">
        <v>1113</v>
      </c>
      <c r="D1178" s="921"/>
      <c r="E1178" s="902"/>
      <c r="F1178" s="903"/>
      <c r="G1178" s="859"/>
      <c r="H1178" s="860"/>
      <c r="I1178" s="861"/>
      <c r="J1178" s="862"/>
      <c r="K1178" s="859"/>
      <c r="L1178" s="863"/>
      <c r="M1178" s="859"/>
      <c r="N1178" s="859"/>
      <c r="O1178" s="752">
        <f t="shared" si="162"/>
        <v>0</v>
      </c>
      <c r="P1178" s="862"/>
      <c r="Q1178" s="860"/>
      <c r="R1178" s="753">
        <f t="shared" si="165"/>
        <v>0</v>
      </c>
      <c r="S1178" s="752">
        <f t="shared" si="166"/>
        <v>0</v>
      </c>
      <c r="T1178" s="754">
        <f t="shared" si="167"/>
        <v>0</v>
      </c>
      <c r="U1178" s="1156">
        <v>22329000</v>
      </c>
      <c r="V1178" s="863">
        <v>24567300</v>
      </c>
      <c r="W1178" s="859"/>
      <c r="X1178" s="859"/>
      <c r="Y1178" s="755">
        <f t="shared" si="163"/>
        <v>0</v>
      </c>
      <c r="Z1178" s="864"/>
      <c r="AA1178" s="863"/>
      <c r="AB1178" s="756">
        <f t="shared" si="164"/>
        <v>0</v>
      </c>
      <c r="AC1178" s="859"/>
      <c r="AD1178" s="863"/>
      <c r="AE1178" s="859"/>
      <c r="AF1178" s="859"/>
      <c r="AG1178" s="864"/>
      <c r="AH1178" s="865"/>
      <c r="AI1178" s="757">
        <f t="shared" si="168"/>
        <v>22329000</v>
      </c>
      <c r="AJ1178" s="758">
        <f t="shared" si="169"/>
        <v>24567300</v>
      </c>
    </row>
    <row r="1179" spans="1:36" x14ac:dyDescent="0.2">
      <c r="A1179" s="898" t="s">
        <v>150</v>
      </c>
      <c r="B1179" s="1153" t="s">
        <v>284</v>
      </c>
      <c r="C1179" s="920" t="s">
        <v>138</v>
      </c>
      <c r="D1179" s="921"/>
      <c r="E1179" s="902"/>
      <c r="F1179" s="903"/>
      <c r="G1179" s="859"/>
      <c r="H1179" s="860"/>
      <c r="I1179" s="861"/>
      <c r="J1179" s="862"/>
      <c r="K1179" s="859"/>
      <c r="L1179" s="863"/>
      <c r="M1179" s="859"/>
      <c r="N1179" s="859"/>
      <c r="O1179" s="752">
        <f t="shared" si="162"/>
        <v>0</v>
      </c>
      <c r="P1179" s="862"/>
      <c r="Q1179" s="860"/>
      <c r="R1179" s="753">
        <f t="shared" si="165"/>
        <v>0</v>
      </c>
      <c r="S1179" s="752">
        <f t="shared" si="166"/>
        <v>0</v>
      </c>
      <c r="T1179" s="754">
        <f t="shared" si="167"/>
        <v>0</v>
      </c>
      <c r="U1179" s="859"/>
      <c r="V1179" s="863"/>
      <c r="W1179" s="859"/>
      <c r="X1179" s="859"/>
      <c r="Y1179" s="755">
        <f t="shared" si="163"/>
        <v>0</v>
      </c>
      <c r="Z1179" s="864"/>
      <c r="AA1179" s="863"/>
      <c r="AB1179" s="756">
        <f t="shared" si="164"/>
        <v>0</v>
      </c>
      <c r="AC1179" s="859"/>
      <c r="AD1179" s="863"/>
      <c r="AE1179" s="859"/>
      <c r="AF1179" s="859"/>
      <c r="AG1179" s="864"/>
      <c r="AH1179" s="865"/>
      <c r="AI1179" s="757">
        <f t="shared" si="168"/>
        <v>0</v>
      </c>
      <c r="AJ1179" s="758">
        <f t="shared" si="169"/>
        <v>0</v>
      </c>
    </row>
    <row r="1180" spans="1:36" x14ac:dyDescent="0.2">
      <c r="A1180" s="898" t="s">
        <v>150</v>
      </c>
      <c r="B1180" s="1153" t="s">
        <v>284</v>
      </c>
      <c r="C1180" s="1157" t="s">
        <v>1114</v>
      </c>
      <c r="D1180" s="921"/>
      <c r="E1180" s="902"/>
      <c r="F1180" s="903"/>
      <c r="G1180" s="859"/>
      <c r="H1180" s="860"/>
      <c r="I1180" s="861"/>
      <c r="J1180" s="862"/>
      <c r="K1180" s="859"/>
      <c r="L1180" s="863"/>
      <c r="M1180" s="859"/>
      <c r="N1180" s="859"/>
      <c r="O1180" s="752">
        <f t="shared" si="162"/>
        <v>0</v>
      </c>
      <c r="P1180" s="862"/>
      <c r="Q1180" s="860"/>
      <c r="R1180" s="753">
        <f t="shared" si="165"/>
        <v>0</v>
      </c>
      <c r="S1180" s="752">
        <f t="shared" si="166"/>
        <v>0</v>
      </c>
      <c r="T1180" s="754">
        <f t="shared" si="167"/>
        <v>0</v>
      </c>
      <c r="U1180" s="859">
        <v>193550</v>
      </c>
      <c r="V1180" s="863">
        <v>193600</v>
      </c>
      <c r="W1180" s="859"/>
      <c r="X1180" s="859"/>
      <c r="Y1180" s="755">
        <f t="shared" si="163"/>
        <v>0</v>
      </c>
      <c r="Z1180" s="864"/>
      <c r="AA1180" s="863"/>
      <c r="AB1180" s="756">
        <f t="shared" si="164"/>
        <v>0</v>
      </c>
      <c r="AC1180" s="859"/>
      <c r="AD1180" s="863"/>
      <c r="AE1180" s="859"/>
      <c r="AF1180" s="859"/>
      <c r="AG1180" s="864"/>
      <c r="AH1180" s="865"/>
      <c r="AI1180" s="757">
        <f t="shared" si="168"/>
        <v>193550</v>
      </c>
      <c r="AJ1180" s="758">
        <f t="shared" si="169"/>
        <v>193600</v>
      </c>
    </row>
    <row r="1181" spans="1:36" x14ac:dyDescent="0.2">
      <c r="A1181" s="898" t="s">
        <v>150</v>
      </c>
      <c r="B1181" s="1153" t="s">
        <v>303</v>
      </c>
      <c r="C1181" s="1157" t="s">
        <v>1115</v>
      </c>
      <c r="D1181" s="921"/>
      <c r="E1181" s="902"/>
      <c r="F1181" s="903"/>
      <c r="G1181" s="859"/>
      <c r="H1181" s="860"/>
      <c r="I1181" s="861">
        <v>71500</v>
      </c>
      <c r="J1181" s="862">
        <v>71500</v>
      </c>
      <c r="K1181" s="859"/>
      <c r="L1181" s="863"/>
      <c r="M1181" s="859"/>
      <c r="N1181" s="859"/>
      <c r="O1181" s="752">
        <f t="shared" si="162"/>
        <v>0</v>
      </c>
      <c r="P1181" s="862"/>
      <c r="Q1181" s="860"/>
      <c r="R1181" s="753">
        <f t="shared" si="165"/>
        <v>0</v>
      </c>
      <c r="S1181" s="752">
        <f t="shared" si="166"/>
        <v>71500</v>
      </c>
      <c r="T1181" s="754">
        <f t="shared" si="167"/>
        <v>71500</v>
      </c>
      <c r="U1181" s="859"/>
      <c r="V1181" s="863"/>
      <c r="W1181" s="859"/>
      <c r="X1181" s="859"/>
      <c r="Y1181" s="755">
        <f t="shared" si="163"/>
        <v>0</v>
      </c>
      <c r="Z1181" s="864"/>
      <c r="AA1181" s="863"/>
      <c r="AB1181" s="756">
        <f t="shared" si="164"/>
        <v>0</v>
      </c>
      <c r="AC1181" s="859"/>
      <c r="AD1181" s="863"/>
      <c r="AE1181" s="859"/>
      <c r="AF1181" s="859"/>
      <c r="AG1181" s="864"/>
      <c r="AH1181" s="865"/>
      <c r="AI1181" s="757">
        <f t="shared" si="168"/>
        <v>71500</v>
      </c>
      <c r="AJ1181" s="758">
        <f t="shared" si="169"/>
        <v>71500</v>
      </c>
    </row>
    <row r="1182" spans="1:36" x14ac:dyDescent="0.2">
      <c r="A1182" s="898" t="s">
        <v>150</v>
      </c>
      <c r="B1182" s="1153" t="s">
        <v>285</v>
      </c>
      <c r="C1182" s="920" t="s">
        <v>646</v>
      </c>
      <c r="D1182" s="921"/>
      <c r="E1182" s="902"/>
      <c r="F1182" s="903"/>
      <c r="G1182" s="859"/>
      <c r="H1182" s="860"/>
      <c r="I1182" s="861"/>
      <c r="J1182" s="862"/>
      <c r="K1182" s="859"/>
      <c r="L1182" s="863"/>
      <c r="M1182" s="859"/>
      <c r="N1182" s="859"/>
      <c r="O1182" s="752">
        <f t="shared" si="162"/>
        <v>0</v>
      </c>
      <c r="P1182" s="862"/>
      <c r="Q1182" s="860"/>
      <c r="R1182" s="753">
        <f t="shared" si="165"/>
        <v>0</v>
      </c>
      <c r="S1182" s="752">
        <f t="shared" si="166"/>
        <v>0</v>
      </c>
      <c r="T1182" s="754">
        <f t="shared" si="167"/>
        <v>0</v>
      </c>
      <c r="U1182" s="859"/>
      <c r="V1182" s="863"/>
      <c r="W1182" s="859"/>
      <c r="X1182" s="859"/>
      <c r="Y1182" s="755">
        <f t="shared" si="163"/>
        <v>0</v>
      </c>
      <c r="Z1182" s="864"/>
      <c r="AA1182" s="863"/>
      <c r="AB1182" s="756">
        <f t="shared" si="164"/>
        <v>0</v>
      </c>
      <c r="AC1182" s="859"/>
      <c r="AD1182" s="863"/>
      <c r="AE1182" s="859"/>
      <c r="AF1182" s="859"/>
      <c r="AG1182" s="864"/>
      <c r="AH1182" s="865"/>
      <c r="AI1182" s="757">
        <f t="shared" si="168"/>
        <v>0</v>
      </c>
      <c r="AJ1182" s="758">
        <f t="shared" si="169"/>
        <v>0</v>
      </c>
    </row>
    <row r="1183" spans="1:36" x14ac:dyDescent="0.2">
      <c r="A1183" s="898" t="s">
        <v>150</v>
      </c>
      <c r="B1183" s="1153" t="s">
        <v>285</v>
      </c>
      <c r="C1183" s="1157" t="s">
        <v>1116</v>
      </c>
      <c r="D1183" s="921"/>
      <c r="E1183" s="1177"/>
      <c r="F1183" s="903"/>
      <c r="G1183" s="859"/>
      <c r="H1183" s="860"/>
      <c r="I1183" s="861"/>
      <c r="J1183" s="862"/>
      <c r="K1183" s="859"/>
      <c r="L1183" s="863"/>
      <c r="M1183" s="859"/>
      <c r="N1183" s="859"/>
      <c r="O1183" s="752">
        <f t="shared" si="162"/>
        <v>0</v>
      </c>
      <c r="P1183" s="862"/>
      <c r="Q1183" s="860"/>
      <c r="R1183" s="753">
        <f t="shared" si="165"/>
        <v>0</v>
      </c>
      <c r="S1183" s="752">
        <f t="shared" si="166"/>
        <v>0</v>
      </c>
      <c r="T1183" s="754">
        <f t="shared" si="167"/>
        <v>0</v>
      </c>
      <c r="U1183" s="859"/>
      <c r="V1183" s="863"/>
      <c r="W1183" s="859"/>
      <c r="X1183" s="859"/>
      <c r="Y1183" s="755">
        <f t="shared" si="163"/>
        <v>0</v>
      </c>
      <c r="Z1183" s="864"/>
      <c r="AA1183" s="863"/>
      <c r="AB1183" s="756">
        <f t="shared" si="164"/>
        <v>0</v>
      </c>
      <c r="AC1183" s="859"/>
      <c r="AD1183" s="863"/>
      <c r="AE1183" s="859"/>
      <c r="AF1183" s="859"/>
      <c r="AG1183" s="864"/>
      <c r="AH1183" s="865"/>
      <c r="AI1183" s="757">
        <f t="shared" si="168"/>
        <v>0</v>
      </c>
      <c r="AJ1183" s="758">
        <f t="shared" si="169"/>
        <v>0</v>
      </c>
    </row>
    <row r="1184" spans="1:36" x14ac:dyDescent="0.2">
      <c r="A1184" s="898" t="s">
        <v>150</v>
      </c>
      <c r="B1184" s="1153" t="s">
        <v>286</v>
      </c>
      <c r="C1184" s="1175" t="s">
        <v>565</v>
      </c>
      <c r="D1184" s="1159"/>
      <c r="E1184" s="902"/>
      <c r="F1184" s="903"/>
      <c r="G1184" s="859"/>
      <c r="H1184" s="860"/>
      <c r="I1184" s="861"/>
      <c r="J1184" s="862"/>
      <c r="K1184" s="859"/>
      <c r="L1184" s="863"/>
      <c r="M1184" s="859"/>
      <c r="N1184" s="859"/>
      <c r="O1184" s="752">
        <f t="shared" si="162"/>
        <v>0</v>
      </c>
      <c r="P1184" s="862"/>
      <c r="Q1184" s="860"/>
      <c r="R1184" s="753">
        <f t="shared" si="165"/>
        <v>0</v>
      </c>
      <c r="S1184" s="752">
        <f t="shared" si="166"/>
        <v>0</v>
      </c>
      <c r="T1184" s="754">
        <f t="shared" si="167"/>
        <v>0</v>
      </c>
      <c r="U1184" s="859"/>
      <c r="V1184" s="863"/>
      <c r="W1184" s="859"/>
      <c r="X1184" s="859"/>
      <c r="Y1184" s="755">
        <f t="shared" si="163"/>
        <v>0</v>
      </c>
      <c r="Z1184" s="864"/>
      <c r="AA1184" s="863"/>
      <c r="AB1184" s="756">
        <f t="shared" si="164"/>
        <v>0</v>
      </c>
      <c r="AC1184" s="859"/>
      <c r="AD1184" s="863"/>
      <c r="AE1184" s="859"/>
      <c r="AF1184" s="859"/>
      <c r="AG1184" s="864"/>
      <c r="AH1184" s="865"/>
      <c r="AI1184" s="757">
        <f t="shared" si="168"/>
        <v>0</v>
      </c>
      <c r="AJ1184" s="758">
        <f t="shared" si="169"/>
        <v>0</v>
      </c>
    </row>
    <row r="1185" spans="1:36" x14ac:dyDescent="0.2">
      <c r="A1185" s="898" t="s">
        <v>150</v>
      </c>
      <c r="B1185" s="1153" t="s">
        <v>287</v>
      </c>
      <c r="C1185" s="1175" t="s">
        <v>570</v>
      </c>
      <c r="D1185" s="1159"/>
      <c r="E1185" s="902"/>
      <c r="F1185" s="903"/>
      <c r="G1185" s="859"/>
      <c r="H1185" s="860"/>
      <c r="I1185" s="861"/>
      <c r="J1185" s="862"/>
      <c r="K1185" s="859"/>
      <c r="L1185" s="863"/>
      <c r="M1185" s="859"/>
      <c r="N1185" s="859"/>
      <c r="O1185" s="752">
        <f t="shared" si="162"/>
        <v>0</v>
      </c>
      <c r="P1185" s="862"/>
      <c r="Q1185" s="860"/>
      <c r="R1185" s="753">
        <f t="shared" si="165"/>
        <v>0</v>
      </c>
      <c r="S1185" s="752">
        <f t="shared" si="166"/>
        <v>0</v>
      </c>
      <c r="T1185" s="754">
        <f t="shared" si="167"/>
        <v>0</v>
      </c>
      <c r="U1185" s="859"/>
      <c r="V1185" s="863"/>
      <c r="W1185" s="859"/>
      <c r="X1185" s="859"/>
      <c r="Y1185" s="755">
        <f t="shared" si="163"/>
        <v>0</v>
      </c>
      <c r="Z1185" s="864"/>
      <c r="AA1185" s="863"/>
      <c r="AB1185" s="756">
        <f t="shared" si="164"/>
        <v>0</v>
      </c>
      <c r="AC1185" s="859"/>
      <c r="AD1185" s="863"/>
      <c r="AE1185" s="859"/>
      <c r="AF1185" s="859"/>
      <c r="AG1185" s="864"/>
      <c r="AH1185" s="865"/>
      <c r="AI1185" s="757">
        <f t="shared" si="168"/>
        <v>0</v>
      </c>
      <c r="AJ1185" s="758">
        <f t="shared" si="169"/>
        <v>0</v>
      </c>
    </row>
    <row r="1186" spans="1:36" x14ac:dyDescent="0.2">
      <c r="A1186" s="898" t="s">
        <v>150</v>
      </c>
      <c r="B1186" s="1153" t="s">
        <v>288</v>
      </c>
      <c r="C1186" s="920" t="s">
        <v>571</v>
      </c>
      <c r="D1186" s="921"/>
      <c r="E1186" s="902"/>
      <c r="F1186" s="903"/>
      <c r="G1186" s="859"/>
      <c r="H1186" s="860"/>
      <c r="I1186" s="861"/>
      <c r="J1186" s="862"/>
      <c r="K1186" s="859"/>
      <c r="L1186" s="863"/>
      <c r="M1186" s="859"/>
      <c r="N1186" s="859"/>
      <c r="O1186" s="752">
        <f t="shared" si="162"/>
        <v>0</v>
      </c>
      <c r="P1186" s="862"/>
      <c r="Q1186" s="860"/>
      <c r="R1186" s="753">
        <f t="shared" si="165"/>
        <v>0</v>
      </c>
      <c r="S1186" s="752">
        <f t="shared" si="166"/>
        <v>0</v>
      </c>
      <c r="T1186" s="754">
        <f t="shared" si="167"/>
        <v>0</v>
      </c>
      <c r="U1186" s="859"/>
      <c r="V1186" s="863"/>
      <c r="W1186" s="859"/>
      <c r="X1186" s="859"/>
      <c r="Y1186" s="755">
        <f t="shared" si="163"/>
        <v>0</v>
      </c>
      <c r="Z1186" s="864"/>
      <c r="AA1186" s="863"/>
      <c r="AB1186" s="756">
        <f t="shared" si="164"/>
        <v>0</v>
      </c>
      <c r="AC1186" s="859"/>
      <c r="AD1186" s="863"/>
      <c r="AE1186" s="859"/>
      <c r="AF1186" s="859"/>
      <c r="AG1186" s="864"/>
      <c r="AH1186" s="865"/>
      <c r="AI1186" s="757">
        <f t="shared" si="168"/>
        <v>0</v>
      </c>
      <c r="AJ1186" s="758">
        <f t="shared" si="169"/>
        <v>0</v>
      </c>
    </row>
    <row r="1187" spans="1:36" x14ac:dyDescent="0.2">
      <c r="A1187" s="898" t="s">
        <v>150</v>
      </c>
      <c r="B1187" s="1153" t="s">
        <v>288</v>
      </c>
      <c r="C1187" s="1157" t="s">
        <v>1043</v>
      </c>
      <c r="D1187" s="921"/>
      <c r="E1187" s="902"/>
      <c r="F1187" s="903"/>
      <c r="G1187" s="859"/>
      <c r="H1187" s="860"/>
      <c r="I1187" s="861"/>
      <c r="J1187" s="862"/>
      <c r="K1187" s="859"/>
      <c r="L1187" s="863"/>
      <c r="M1187" s="859"/>
      <c r="N1187" s="859"/>
      <c r="O1187" s="752">
        <f t="shared" si="162"/>
        <v>0</v>
      </c>
      <c r="P1187" s="862"/>
      <c r="Q1187" s="860"/>
      <c r="R1187" s="753">
        <f t="shared" si="165"/>
        <v>0</v>
      </c>
      <c r="S1187" s="752">
        <f t="shared" si="166"/>
        <v>0</v>
      </c>
      <c r="T1187" s="754">
        <f t="shared" si="167"/>
        <v>0</v>
      </c>
      <c r="U1187" s="1178">
        <v>309600</v>
      </c>
      <c r="V1187" s="863">
        <v>319200</v>
      </c>
      <c r="W1187" s="859"/>
      <c r="X1187" s="859"/>
      <c r="Y1187" s="755">
        <f t="shared" si="163"/>
        <v>0</v>
      </c>
      <c r="Z1187" s="864"/>
      <c r="AA1187" s="863"/>
      <c r="AB1187" s="756">
        <f t="shared" si="164"/>
        <v>0</v>
      </c>
      <c r="AC1187" s="859"/>
      <c r="AD1187" s="863"/>
      <c r="AE1187" s="859"/>
      <c r="AF1187" s="859"/>
      <c r="AG1187" s="864"/>
      <c r="AH1187" s="865"/>
      <c r="AI1187" s="757">
        <f t="shared" si="168"/>
        <v>309600</v>
      </c>
      <c r="AJ1187" s="758">
        <f t="shared" si="169"/>
        <v>319200</v>
      </c>
    </row>
    <row r="1188" spans="1:36" x14ac:dyDescent="0.2">
      <c r="A1188" s="898" t="s">
        <v>150</v>
      </c>
      <c r="B1188" s="1153" t="s">
        <v>288</v>
      </c>
      <c r="C1188" s="1157" t="s">
        <v>650</v>
      </c>
      <c r="D1188" s="921"/>
      <c r="E1188" s="902"/>
      <c r="F1188" s="903"/>
      <c r="G1188" s="859"/>
      <c r="H1188" s="860"/>
      <c r="I1188" s="861"/>
      <c r="J1188" s="862"/>
      <c r="K1188" s="859"/>
      <c r="L1188" s="863"/>
      <c r="M1188" s="859"/>
      <c r="N1188" s="859"/>
      <c r="O1188" s="752">
        <f t="shared" si="162"/>
        <v>0</v>
      </c>
      <c r="P1188" s="862"/>
      <c r="Q1188" s="860"/>
      <c r="R1188" s="753">
        <f t="shared" si="165"/>
        <v>0</v>
      </c>
      <c r="S1188" s="752">
        <f t="shared" si="166"/>
        <v>0</v>
      </c>
      <c r="T1188" s="754">
        <f t="shared" si="167"/>
        <v>0</v>
      </c>
      <c r="U1188" s="1178">
        <v>296000</v>
      </c>
      <c r="V1188" s="863">
        <v>306000</v>
      </c>
      <c r="W1188" s="859"/>
      <c r="X1188" s="859"/>
      <c r="Y1188" s="755">
        <f t="shared" si="163"/>
        <v>0</v>
      </c>
      <c r="Z1188" s="864"/>
      <c r="AA1188" s="863"/>
      <c r="AB1188" s="756">
        <f t="shared" si="164"/>
        <v>0</v>
      </c>
      <c r="AC1188" s="859"/>
      <c r="AD1188" s="863"/>
      <c r="AE1188" s="859"/>
      <c r="AF1188" s="859"/>
      <c r="AG1188" s="864"/>
      <c r="AH1188" s="865"/>
      <c r="AI1188" s="757">
        <f t="shared" si="168"/>
        <v>296000</v>
      </c>
      <c r="AJ1188" s="758">
        <f t="shared" si="169"/>
        <v>306000</v>
      </c>
    </row>
    <row r="1189" spans="1:36" x14ac:dyDescent="0.2">
      <c r="A1189" s="898" t="s">
        <v>150</v>
      </c>
      <c r="B1189" s="1153" t="s">
        <v>289</v>
      </c>
      <c r="C1189" s="920" t="s">
        <v>573</v>
      </c>
      <c r="D1189" s="921"/>
      <c r="E1189" s="902"/>
      <c r="F1189" s="903"/>
      <c r="G1189" s="859"/>
      <c r="H1189" s="860"/>
      <c r="I1189" s="861"/>
      <c r="J1189" s="862"/>
      <c r="K1189" s="859"/>
      <c r="L1189" s="863"/>
      <c r="M1189" s="859"/>
      <c r="N1189" s="859"/>
      <c r="O1189" s="752">
        <f t="shared" si="162"/>
        <v>0</v>
      </c>
      <c r="P1189" s="862"/>
      <c r="Q1189" s="860"/>
      <c r="R1189" s="753">
        <f t="shared" si="165"/>
        <v>0</v>
      </c>
      <c r="S1189" s="752">
        <f t="shared" si="166"/>
        <v>0</v>
      </c>
      <c r="T1189" s="754">
        <f t="shared" si="167"/>
        <v>0</v>
      </c>
      <c r="U1189" s="1178"/>
      <c r="V1189" s="863"/>
      <c r="W1189" s="859"/>
      <c r="X1189" s="859"/>
      <c r="Y1189" s="755">
        <f t="shared" si="163"/>
        <v>0</v>
      </c>
      <c r="Z1189" s="864"/>
      <c r="AA1189" s="863"/>
      <c r="AB1189" s="756">
        <f t="shared" si="164"/>
        <v>0</v>
      </c>
      <c r="AC1189" s="859"/>
      <c r="AD1189" s="863"/>
      <c r="AE1189" s="859"/>
      <c r="AF1189" s="859"/>
      <c r="AG1189" s="864"/>
      <c r="AH1189" s="865"/>
      <c r="AI1189" s="757">
        <f t="shared" si="168"/>
        <v>0</v>
      </c>
      <c r="AJ1189" s="758">
        <f t="shared" si="169"/>
        <v>0</v>
      </c>
    </row>
    <row r="1190" spans="1:36" x14ac:dyDescent="0.2">
      <c r="A1190" s="898" t="s">
        <v>150</v>
      </c>
      <c r="B1190" s="1153" t="s">
        <v>289</v>
      </c>
      <c r="C1190" s="1157" t="s">
        <v>1117</v>
      </c>
      <c r="D1190" s="921"/>
      <c r="E1190" s="902"/>
      <c r="F1190" s="903"/>
      <c r="G1190" s="859"/>
      <c r="H1190" s="860"/>
      <c r="I1190" s="861"/>
      <c r="J1190" s="862"/>
      <c r="K1190" s="859"/>
      <c r="L1190" s="863"/>
      <c r="M1190" s="859"/>
      <c r="N1190" s="859"/>
      <c r="O1190" s="752">
        <f t="shared" si="162"/>
        <v>0</v>
      </c>
      <c r="P1190" s="862"/>
      <c r="Q1190" s="860"/>
      <c r="R1190" s="753">
        <f t="shared" si="165"/>
        <v>0</v>
      </c>
      <c r="S1190" s="752">
        <f t="shared" si="166"/>
        <v>0</v>
      </c>
      <c r="T1190" s="754">
        <f t="shared" si="167"/>
        <v>0</v>
      </c>
      <c r="U1190" s="1178">
        <v>3921600</v>
      </c>
      <c r="V1190" s="863">
        <v>4043200</v>
      </c>
      <c r="W1190" s="859"/>
      <c r="X1190" s="859"/>
      <c r="Y1190" s="755">
        <f t="shared" si="163"/>
        <v>0</v>
      </c>
      <c r="Z1190" s="864"/>
      <c r="AA1190" s="863"/>
      <c r="AB1190" s="756">
        <f t="shared" si="164"/>
        <v>0</v>
      </c>
      <c r="AC1190" s="859"/>
      <c r="AD1190" s="863"/>
      <c r="AE1190" s="859"/>
      <c r="AF1190" s="859"/>
      <c r="AG1190" s="864"/>
      <c r="AH1190" s="865"/>
      <c r="AI1190" s="757">
        <f t="shared" si="168"/>
        <v>3921600</v>
      </c>
      <c r="AJ1190" s="758">
        <f t="shared" si="169"/>
        <v>4043200</v>
      </c>
    </row>
    <row r="1191" spans="1:36" x14ac:dyDescent="0.2">
      <c r="A1191" s="898" t="s">
        <v>150</v>
      </c>
      <c r="B1191" s="1153" t="s">
        <v>289</v>
      </c>
      <c r="C1191" s="1157" t="s">
        <v>797</v>
      </c>
      <c r="D1191" s="921"/>
      <c r="E1191" s="902"/>
      <c r="F1191" s="903"/>
      <c r="G1191" s="859"/>
      <c r="H1191" s="860"/>
      <c r="I1191" s="861"/>
      <c r="J1191" s="862"/>
      <c r="K1191" s="859"/>
      <c r="L1191" s="863"/>
      <c r="M1191" s="859"/>
      <c r="N1191" s="859"/>
      <c r="O1191" s="752">
        <f t="shared" si="162"/>
        <v>0</v>
      </c>
      <c r="P1191" s="862"/>
      <c r="Q1191" s="860"/>
      <c r="R1191" s="753">
        <f t="shared" si="165"/>
        <v>0</v>
      </c>
      <c r="S1191" s="752">
        <f t="shared" si="166"/>
        <v>0</v>
      </c>
      <c r="T1191" s="754">
        <f t="shared" si="167"/>
        <v>0</v>
      </c>
      <c r="U1191" s="1178">
        <v>177600</v>
      </c>
      <c r="V1191" s="863">
        <v>183600</v>
      </c>
      <c r="W1191" s="859"/>
      <c r="X1191" s="859"/>
      <c r="Y1191" s="755">
        <f t="shared" si="163"/>
        <v>0</v>
      </c>
      <c r="Z1191" s="864"/>
      <c r="AA1191" s="863"/>
      <c r="AB1191" s="756">
        <f t="shared" si="164"/>
        <v>0</v>
      </c>
      <c r="AC1191" s="859"/>
      <c r="AD1191" s="863"/>
      <c r="AE1191" s="859"/>
      <c r="AF1191" s="859"/>
      <c r="AG1191" s="864"/>
      <c r="AH1191" s="865"/>
      <c r="AI1191" s="757">
        <f t="shared" si="168"/>
        <v>177600</v>
      </c>
      <c r="AJ1191" s="758">
        <f t="shared" si="169"/>
        <v>183600</v>
      </c>
    </row>
    <row r="1192" spans="1:36" x14ac:dyDescent="0.2">
      <c r="A1192" s="898" t="s">
        <v>150</v>
      </c>
      <c r="B1192" s="1153" t="s">
        <v>290</v>
      </c>
      <c r="C1192" s="920" t="s">
        <v>1118</v>
      </c>
      <c r="D1192" s="921"/>
      <c r="E1192" s="902"/>
      <c r="F1192" s="903"/>
      <c r="G1192" s="859"/>
      <c r="H1192" s="860"/>
      <c r="I1192" s="861"/>
      <c r="J1192" s="862"/>
      <c r="K1192" s="859"/>
      <c r="L1192" s="863"/>
      <c r="M1192" s="859"/>
      <c r="N1192" s="859"/>
      <c r="O1192" s="752">
        <f t="shared" si="162"/>
        <v>0</v>
      </c>
      <c r="P1192" s="862"/>
      <c r="Q1192" s="860"/>
      <c r="R1192" s="753">
        <f t="shared" si="165"/>
        <v>0</v>
      </c>
      <c r="S1192" s="752">
        <f t="shared" si="166"/>
        <v>0</v>
      </c>
      <c r="T1192" s="754">
        <f t="shared" si="167"/>
        <v>0</v>
      </c>
      <c r="U1192" s="1178">
        <v>151200</v>
      </c>
      <c r="V1192" s="863">
        <v>156000</v>
      </c>
      <c r="W1192" s="859"/>
      <c r="X1192" s="859"/>
      <c r="Y1192" s="755">
        <f t="shared" si="163"/>
        <v>0</v>
      </c>
      <c r="Z1192" s="864"/>
      <c r="AA1192" s="863"/>
      <c r="AB1192" s="756">
        <f t="shared" si="164"/>
        <v>0</v>
      </c>
      <c r="AC1192" s="859"/>
      <c r="AD1192" s="863"/>
      <c r="AE1192" s="859"/>
      <c r="AF1192" s="859"/>
      <c r="AG1192" s="864"/>
      <c r="AH1192" s="865"/>
      <c r="AI1192" s="757">
        <f t="shared" si="168"/>
        <v>151200</v>
      </c>
      <c r="AJ1192" s="758">
        <f t="shared" si="169"/>
        <v>156000</v>
      </c>
    </row>
    <row r="1193" spans="1:36" x14ac:dyDescent="0.2">
      <c r="A1193" s="898" t="s">
        <v>150</v>
      </c>
      <c r="B1193" s="1153" t="s">
        <v>291</v>
      </c>
      <c r="C1193" s="1175" t="s">
        <v>574</v>
      </c>
      <c r="D1193" s="1159"/>
      <c r="E1193" s="902"/>
      <c r="F1193" s="903"/>
      <c r="G1193" s="859"/>
      <c r="H1193" s="860"/>
      <c r="I1193" s="861"/>
      <c r="J1193" s="862"/>
      <c r="K1193" s="859"/>
      <c r="L1193" s="863"/>
      <c r="M1193" s="859"/>
      <c r="N1193" s="859"/>
      <c r="O1193" s="752">
        <f t="shared" si="162"/>
        <v>0</v>
      </c>
      <c r="P1193" s="862"/>
      <c r="Q1193" s="860"/>
      <c r="R1193" s="753">
        <f t="shared" si="165"/>
        <v>0</v>
      </c>
      <c r="S1193" s="752">
        <f t="shared" si="166"/>
        <v>0</v>
      </c>
      <c r="T1193" s="754">
        <f t="shared" si="167"/>
        <v>0</v>
      </c>
      <c r="U1193" s="859"/>
      <c r="V1193" s="863"/>
      <c r="W1193" s="859"/>
      <c r="X1193" s="859"/>
      <c r="Y1193" s="755">
        <f t="shared" si="163"/>
        <v>0</v>
      </c>
      <c r="Z1193" s="864"/>
      <c r="AA1193" s="863"/>
      <c r="AB1193" s="756">
        <f t="shared" si="164"/>
        <v>0</v>
      </c>
      <c r="AC1193" s="859"/>
      <c r="AD1193" s="863"/>
      <c r="AE1193" s="859"/>
      <c r="AF1193" s="859"/>
      <c r="AG1193" s="864"/>
      <c r="AH1193" s="865"/>
      <c r="AI1193" s="757">
        <f t="shared" si="168"/>
        <v>0</v>
      </c>
      <c r="AJ1193" s="758">
        <f t="shared" si="169"/>
        <v>0</v>
      </c>
    </row>
    <row r="1194" spans="1:36" x14ac:dyDescent="0.2">
      <c r="A1194" s="898" t="s">
        <v>150</v>
      </c>
      <c r="B1194" s="1153" t="s">
        <v>292</v>
      </c>
      <c r="C1194" s="1179" t="s">
        <v>34</v>
      </c>
      <c r="D1194" s="1159"/>
      <c r="E1194" s="902"/>
      <c r="F1194" s="903"/>
      <c r="G1194" s="859"/>
      <c r="H1194" s="860"/>
      <c r="I1194" s="861"/>
      <c r="J1194" s="862"/>
      <c r="K1194" s="859"/>
      <c r="L1194" s="863"/>
      <c r="M1194" s="859"/>
      <c r="N1194" s="859"/>
      <c r="O1194" s="752">
        <f t="shared" si="162"/>
        <v>0</v>
      </c>
      <c r="P1194" s="862"/>
      <c r="Q1194" s="860"/>
      <c r="R1194" s="753">
        <f t="shared" si="165"/>
        <v>0</v>
      </c>
      <c r="S1194" s="752">
        <f t="shared" si="166"/>
        <v>0</v>
      </c>
      <c r="T1194" s="754">
        <f t="shared" si="167"/>
        <v>0</v>
      </c>
      <c r="U1194" s="859"/>
      <c r="V1194" s="863"/>
      <c r="W1194" s="859"/>
      <c r="X1194" s="859"/>
      <c r="Y1194" s="755">
        <f t="shared" si="163"/>
        <v>0</v>
      </c>
      <c r="Z1194" s="864"/>
      <c r="AA1194" s="863"/>
      <c r="AB1194" s="756">
        <f t="shared" si="164"/>
        <v>0</v>
      </c>
      <c r="AC1194" s="859"/>
      <c r="AD1194" s="863"/>
      <c r="AE1194" s="859"/>
      <c r="AF1194" s="859"/>
      <c r="AG1194" s="864"/>
      <c r="AH1194" s="865"/>
      <c r="AI1194" s="757">
        <f t="shared" si="168"/>
        <v>0</v>
      </c>
      <c r="AJ1194" s="758">
        <f t="shared" si="169"/>
        <v>0</v>
      </c>
    </row>
    <row r="1195" spans="1:36" x14ac:dyDescent="0.2">
      <c r="A1195" s="898" t="s">
        <v>150</v>
      </c>
      <c r="B1195" s="1180" t="s">
        <v>209</v>
      </c>
      <c r="C1195" s="1181" t="s">
        <v>1119</v>
      </c>
      <c r="D1195" s="926"/>
      <c r="E1195" s="1182"/>
      <c r="F1195" s="1183"/>
      <c r="G1195" s="859"/>
      <c r="H1195" s="860"/>
      <c r="I1195" s="861"/>
      <c r="J1195" s="862"/>
      <c r="K1195" s="859"/>
      <c r="L1195" s="863"/>
      <c r="M1195" s="859"/>
      <c r="N1195" s="859"/>
      <c r="O1195" s="752">
        <f t="shared" si="162"/>
        <v>0</v>
      </c>
      <c r="P1195" s="862"/>
      <c r="Q1195" s="860"/>
      <c r="R1195" s="753">
        <f t="shared" si="165"/>
        <v>0</v>
      </c>
      <c r="S1195" s="752">
        <f t="shared" si="166"/>
        <v>0</v>
      </c>
      <c r="T1195" s="754">
        <f t="shared" si="167"/>
        <v>0</v>
      </c>
      <c r="U1195" s="859"/>
      <c r="V1195" s="863"/>
      <c r="W1195" s="859"/>
      <c r="X1195" s="859"/>
      <c r="Y1195" s="755">
        <f t="shared" si="163"/>
        <v>0</v>
      </c>
      <c r="Z1195" s="864"/>
      <c r="AA1195" s="863"/>
      <c r="AB1195" s="756">
        <f t="shared" si="164"/>
        <v>0</v>
      </c>
      <c r="AC1195" s="859"/>
      <c r="AD1195" s="863"/>
      <c r="AE1195" s="859"/>
      <c r="AF1195" s="859"/>
      <c r="AG1195" s="864"/>
      <c r="AH1195" s="865"/>
      <c r="AI1195" s="757">
        <f t="shared" si="168"/>
        <v>0</v>
      </c>
      <c r="AJ1195" s="758">
        <f t="shared" si="169"/>
        <v>0</v>
      </c>
    </row>
    <row r="1196" spans="1:36" x14ac:dyDescent="0.2">
      <c r="A1196" s="898" t="s">
        <v>150</v>
      </c>
      <c r="B1196" s="1180" t="s">
        <v>209</v>
      </c>
      <c r="C1196" s="925" t="s">
        <v>576</v>
      </c>
      <c r="D1196" s="926"/>
      <c r="E1196" s="1182"/>
      <c r="F1196" s="1183"/>
      <c r="G1196" s="859"/>
      <c r="H1196" s="860"/>
      <c r="I1196" s="861"/>
      <c r="J1196" s="862"/>
      <c r="K1196" s="859"/>
      <c r="L1196" s="863"/>
      <c r="M1196" s="859"/>
      <c r="N1196" s="859"/>
      <c r="O1196" s="752">
        <f t="shared" si="162"/>
        <v>0</v>
      </c>
      <c r="P1196" s="862"/>
      <c r="Q1196" s="860"/>
      <c r="R1196" s="753">
        <f t="shared" si="165"/>
        <v>0</v>
      </c>
      <c r="S1196" s="752">
        <f t="shared" si="166"/>
        <v>0</v>
      </c>
      <c r="T1196" s="754">
        <f t="shared" si="167"/>
        <v>0</v>
      </c>
      <c r="U1196" s="859"/>
      <c r="V1196" s="863"/>
      <c r="W1196" s="859"/>
      <c r="X1196" s="859"/>
      <c r="Y1196" s="755">
        <f t="shared" si="163"/>
        <v>0</v>
      </c>
      <c r="Z1196" s="864"/>
      <c r="AA1196" s="863"/>
      <c r="AB1196" s="756">
        <f t="shared" si="164"/>
        <v>0</v>
      </c>
      <c r="AC1196" s="859"/>
      <c r="AD1196" s="863"/>
      <c r="AE1196" s="859"/>
      <c r="AF1196" s="859"/>
      <c r="AG1196" s="864"/>
      <c r="AH1196" s="865"/>
      <c r="AI1196" s="757">
        <f t="shared" si="168"/>
        <v>0</v>
      </c>
      <c r="AJ1196" s="758">
        <f t="shared" si="169"/>
        <v>0</v>
      </c>
    </row>
    <row r="1197" spans="1:36" x14ac:dyDescent="0.2">
      <c r="A1197" s="898" t="s">
        <v>150</v>
      </c>
      <c r="B1197" s="1180" t="s">
        <v>210</v>
      </c>
      <c r="C1197" s="925" t="s">
        <v>311</v>
      </c>
      <c r="D1197" s="926"/>
      <c r="E1197" s="1182"/>
      <c r="F1197" s="1183"/>
      <c r="G1197" s="859"/>
      <c r="H1197" s="860"/>
      <c r="I1197" s="861"/>
      <c r="J1197" s="862"/>
      <c r="K1197" s="859"/>
      <c r="L1197" s="863"/>
      <c r="M1197" s="859"/>
      <c r="N1197" s="859"/>
      <c r="O1197" s="752">
        <f t="shared" si="162"/>
        <v>0</v>
      </c>
      <c r="P1197" s="862"/>
      <c r="Q1197" s="860"/>
      <c r="R1197" s="753">
        <f t="shared" si="165"/>
        <v>0</v>
      </c>
      <c r="S1197" s="752">
        <f t="shared" si="166"/>
        <v>0</v>
      </c>
      <c r="T1197" s="754">
        <f t="shared" si="167"/>
        <v>0</v>
      </c>
      <c r="U1197" s="859"/>
      <c r="V1197" s="863"/>
      <c r="W1197" s="859"/>
      <c r="X1197" s="859"/>
      <c r="Y1197" s="755">
        <f t="shared" si="163"/>
        <v>0</v>
      </c>
      <c r="Z1197" s="864"/>
      <c r="AA1197" s="863"/>
      <c r="AB1197" s="756">
        <f t="shared" si="164"/>
        <v>0</v>
      </c>
      <c r="AC1197" s="859"/>
      <c r="AD1197" s="863"/>
      <c r="AE1197" s="859"/>
      <c r="AF1197" s="859"/>
      <c r="AG1197" s="864"/>
      <c r="AH1197" s="865"/>
      <c r="AI1197" s="757">
        <f t="shared" si="168"/>
        <v>0</v>
      </c>
      <c r="AJ1197" s="758">
        <f t="shared" si="169"/>
        <v>0</v>
      </c>
    </row>
    <row r="1198" spans="1:36" x14ac:dyDescent="0.2">
      <c r="A1198" s="898" t="s">
        <v>150</v>
      </c>
      <c r="B1198" s="1180" t="s">
        <v>204</v>
      </c>
      <c r="C1198" s="925" t="s">
        <v>249</v>
      </c>
      <c r="D1198" s="926"/>
      <c r="E1198" s="1182"/>
      <c r="F1198" s="1183"/>
      <c r="G1198" s="859"/>
      <c r="H1198" s="860"/>
      <c r="I1198" s="861"/>
      <c r="J1198" s="862"/>
      <c r="K1198" s="859"/>
      <c r="L1198" s="863"/>
      <c r="M1198" s="859"/>
      <c r="N1198" s="859"/>
      <c r="O1198" s="752">
        <f t="shared" si="162"/>
        <v>0</v>
      </c>
      <c r="P1198" s="862"/>
      <c r="Q1198" s="860"/>
      <c r="R1198" s="753">
        <f t="shared" si="165"/>
        <v>0</v>
      </c>
      <c r="S1198" s="752">
        <f t="shared" si="166"/>
        <v>0</v>
      </c>
      <c r="T1198" s="754">
        <f t="shared" si="167"/>
        <v>0</v>
      </c>
      <c r="U1198" s="859">
        <v>83358911</v>
      </c>
      <c r="V1198" s="1184">
        <v>85956246</v>
      </c>
      <c r="W1198" s="859"/>
      <c r="X1198" s="859"/>
      <c r="Y1198" s="755">
        <f t="shared" si="163"/>
        <v>0</v>
      </c>
      <c r="Z1198" s="864"/>
      <c r="AA1198" s="863"/>
      <c r="AB1198" s="756">
        <f t="shared" si="164"/>
        <v>0</v>
      </c>
      <c r="AC1198" s="859"/>
      <c r="AD1198" s="863"/>
      <c r="AE1198" s="859"/>
      <c r="AF1198" s="859"/>
      <c r="AG1198" s="864"/>
      <c r="AH1198" s="865"/>
      <c r="AI1198" s="757">
        <f t="shared" si="168"/>
        <v>83358911</v>
      </c>
      <c r="AJ1198" s="758">
        <f t="shared" si="169"/>
        <v>85956246</v>
      </c>
    </row>
    <row r="1199" spans="1:36" x14ac:dyDescent="0.2">
      <c r="A1199" s="898" t="s">
        <v>150</v>
      </c>
      <c r="B1199" s="1180" t="s">
        <v>205</v>
      </c>
      <c r="C1199" s="925" t="s">
        <v>577</v>
      </c>
      <c r="D1199" s="926"/>
      <c r="E1199" s="1182"/>
      <c r="F1199" s="1183"/>
      <c r="G1199" s="859"/>
      <c r="H1199" s="860"/>
      <c r="I1199" s="861"/>
      <c r="J1199" s="862"/>
      <c r="K1199" s="859"/>
      <c r="L1199" s="863"/>
      <c r="M1199" s="859"/>
      <c r="N1199" s="859"/>
      <c r="O1199" s="752">
        <f t="shared" si="162"/>
        <v>0</v>
      </c>
      <c r="P1199" s="862"/>
      <c r="Q1199" s="860"/>
      <c r="R1199" s="753">
        <f t="shared" si="165"/>
        <v>0</v>
      </c>
      <c r="S1199" s="752">
        <f t="shared" si="166"/>
        <v>0</v>
      </c>
      <c r="T1199" s="754">
        <f t="shared" si="167"/>
        <v>0</v>
      </c>
      <c r="U1199" s="859"/>
      <c r="V1199" s="863"/>
      <c r="W1199" s="859"/>
      <c r="X1199" s="859"/>
      <c r="Y1199" s="755">
        <f t="shared" si="163"/>
        <v>0</v>
      </c>
      <c r="Z1199" s="864"/>
      <c r="AA1199" s="863"/>
      <c r="AB1199" s="756">
        <f t="shared" si="164"/>
        <v>0</v>
      </c>
      <c r="AC1199" s="859"/>
      <c r="AD1199" s="863"/>
      <c r="AE1199" s="859"/>
      <c r="AF1199" s="859"/>
      <c r="AG1199" s="864"/>
      <c r="AH1199" s="865"/>
      <c r="AI1199" s="757">
        <f t="shared" si="168"/>
        <v>0</v>
      </c>
      <c r="AJ1199" s="758">
        <f t="shared" si="169"/>
        <v>0</v>
      </c>
    </row>
    <row r="1200" spans="1:36" x14ac:dyDescent="0.2">
      <c r="A1200" s="898" t="s">
        <v>150</v>
      </c>
      <c r="B1200" s="1180" t="s">
        <v>218</v>
      </c>
      <c r="C1200" s="925" t="s">
        <v>311</v>
      </c>
      <c r="D1200" s="926"/>
      <c r="E1200" s="1182"/>
      <c r="F1200" s="1183"/>
      <c r="G1200" s="859"/>
      <c r="H1200" s="860"/>
      <c r="I1200" s="861"/>
      <c r="J1200" s="862"/>
      <c r="K1200" s="859"/>
      <c r="L1200" s="863"/>
      <c r="M1200" s="859"/>
      <c r="N1200" s="859"/>
      <c r="O1200" s="752">
        <f t="shared" si="162"/>
        <v>0</v>
      </c>
      <c r="P1200" s="862"/>
      <c r="Q1200" s="860"/>
      <c r="R1200" s="753">
        <f t="shared" si="165"/>
        <v>0</v>
      </c>
      <c r="S1200" s="752">
        <f t="shared" si="166"/>
        <v>0</v>
      </c>
      <c r="T1200" s="754">
        <f t="shared" si="167"/>
        <v>0</v>
      </c>
      <c r="U1200" s="859"/>
      <c r="V1200" s="863"/>
      <c r="W1200" s="859"/>
      <c r="X1200" s="859"/>
      <c r="Y1200" s="755">
        <f t="shared" si="163"/>
        <v>0</v>
      </c>
      <c r="Z1200" s="864"/>
      <c r="AA1200" s="863"/>
      <c r="AB1200" s="756">
        <f t="shared" si="164"/>
        <v>0</v>
      </c>
      <c r="AC1200" s="859"/>
      <c r="AD1200" s="863"/>
      <c r="AE1200" s="859"/>
      <c r="AF1200" s="859"/>
      <c r="AG1200" s="864"/>
      <c r="AH1200" s="865"/>
      <c r="AI1200" s="757">
        <f t="shared" si="168"/>
        <v>0</v>
      </c>
      <c r="AJ1200" s="758">
        <f t="shared" si="169"/>
        <v>0</v>
      </c>
    </row>
    <row r="1201" spans="1:36" x14ac:dyDescent="0.2">
      <c r="A1201" s="898" t="s">
        <v>150</v>
      </c>
      <c r="B1201" s="1180" t="s">
        <v>219</v>
      </c>
      <c r="C1201" s="925" t="s">
        <v>249</v>
      </c>
      <c r="D1201" s="926"/>
      <c r="E1201" s="1182"/>
      <c r="F1201" s="1183"/>
      <c r="G1201" s="859"/>
      <c r="H1201" s="860"/>
      <c r="I1201" s="861"/>
      <c r="J1201" s="862"/>
      <c r="K1201" s="859"/>
      <c r="L1201" s="863"/>
      <c r="M1201" s="859"/>
      <c r="N1201" s="859"/>
      <c r="O1201" s="752">
        <f t="shared" si="162"/>
        <v>0</v>
      </c>
      <c r="P1201" s="862"/>
      <c r="Q1201" s="860"/>
      <c r="R1201" s="753">
        <f t="shared" si="165"/>
        <v>0</v>
      </c>
      <c r="S1201" s="752">
        <f t="shared" si="166"/>
        <v>0</v>
      </c>
      <c r="T1201" s="754">
        <f t="shared" si="167"/>
        <v>0</v>
      </c>
      <c r="U1201" s="859">
        <v>18512353</v>
      </c>
      <c r="V1201" s="1184">
        <v>18420585</v>
      </c>
      <c r="W1201" s="859"/>
      <c r="X1201" s="859"/>
      <c r="Y1201" s="755">
        <f t="shared" si="163"/>
        <v>0</v>
      </c>
      <c r="Z1201" s="864"/>
      <c r="AA1201" s="863"/>
      <c r="AB1201" s="756">
        <f t="shared" si="164"/>
        <v>0</v>
      </c>
      <c r="AC1201" s="859"/>
      <c r="AD1201" s="863"/>
      <c r="AE1201" s="859"/>
      <c r="AF1201" s="859"/>
      <c r="AG1201" s="864"/>
      <c r="AH1201" s="865"/>
      <c r="AI1201" s="757">
        <f t="shared" si="168"/>
        <v>18512353</v>
      </c>
      <c r="AJ1201" s="758">
        <f t="shared" si="169"/>
        <v>18420585</v>
      </c>
    </row>
    <row r="1202" spans="1:36" x14ac:dyDescent="0.2">
      <c r="A1202" s="898" t="s">
        <v>150</v>
      </c>
      <c r="B1202" s="1153" t="s">
        <v>292</v>
      </c>
      <c r="C1202" s="1181" t="s">
        <v>1120</v>
      </c>
      <c r="D1202" s="926"/>
      <c r="E1202" s="902"/>
      <c r="F1202" s="903"/>
      <c r="G1202" s="859"/>
      <c r="H1202" s="860"/>
      <c r="I1202" s="861"/>
      <c r="J1202" s="862"/>
      <c r="K1202" s="859"/>
      <c r="L1202" s="863"/>
      <c r="M1202" s="859"/>
      <c r="N1202" s="859"/>
      <c r="O1202" s="752">
        <f t="shared" si="162"/>
        <v>0</v>
      </c>
      <c r="P1202" s="862"/>
      <c r="Q1202" s="860"/>
      <c r="R1202" s="753">
        <f t="shared" si="165"/>
        <v>0</v>
      </c>
      <c r="S1202" s="752">
        <f t="shared" si="166"/>
        <v>0</v>
      </c>
      <c r="T1202" s="754">
        <f t="shared" si="167"/>
        <v>0</v>
      </c>
      <c r="U1202" s="859"/>
      <c r="V1202" s="863"/>
      <c r="W1202" s="859"/>
      <c r="X1202" s="859"/>
      <c r="Y1202" s="755">
        <f t="shared" si="163"/>
        <v>0</v>
      </c>
      <c r="Z1202" s="864"/>
      <c r="AA1202" s="863"/>
      <c r="AB1202" s="756">
        <f t="shared" si="164"/>
        <v>0</v>
      </c>
      <c r="AC1202" s="859"/>
      <c r="AD1202" s="863"/>
      <c r="AE1202" s="859"/>
      <c r="AF1202" s="859"/>
      <c r="AG1202" s="864"/>
      <c r="AH1202" s="865"/>
      <c r="AI1202" s="757">
        <f t="shared" si="168"/>
        <v>0</v>
      </c>
      <c r="AJ1202" s="758">
        <f t="shared" si="169"/>
        <v>0</v>
      </c>
    </row>
    <row r="1203" spans="1:36" x14ac:dyDescent="0.2">
      <c r="A1203" s="898" t="s">
        <v>150</v>
      </c>
      <c r="B1203" s="1180" t="s">
        <v>209</v>
      </c>
      <c r="C1203" s="925" t="s">
        <v>576</v>
      </c>
      <c r="D1203" s="926"/>
      <c r="E1203" s="1182"/>
      <c r="F1203" s="1183"/>
      <c r="G1203" s="859"/>
      <c r="H1203" s="860"/>
      <c r="I1203" s="861"/>
      <c r="J1203" s="862"/>
      <c r="K1203" s="859"/>
      <c r="L1203" s="863"/>
      <c r="M1203" s="859"/>
      <c r="N1203" s="859"/>
      <c r="O1203" s="752">
        <f t="shared" si="162"/>
        <v>0</v>
      </c>
      <c r="P1203" s="862"/>
      <c r="Q1203" s="860"/>
      <c r="R1203" s="753">
        <f t="shared" si="165"/>
        <v>0</v>
      </c>
      <c r="S1203" s="752">
        <f t="shared" si="166"/>
        <v>0</v>
      </c>
      <c r="T1203" s="754">
        <f t="shared" si="167"/>
        <v>0</v>
      </c>
      <c r="U1203" s="859"/>
      <c r="V1203" s="863"/>
      <c r="W1203" s="859"/>
      <c r="X1203" s="859"/>
      <c r="Y1203" s="755">
        <f t="shared" si="163"/>
        <v>0</v>
      </c>
      <c r="Z1203" s="864"/>
      <c r="AA1203" s="863"/>
      <c r="AB1203" s="756">
        <f t="shared" si="164"/>
        <v>0</v>
      </c>
      <c r="AC1203" s="859"/>
      <c r="AD1203" s="863"/>
      <c r="AE1203" s="859"/>
      <c r="AF1203" s="859"/>
      <c r="AG1203" s="864"/>
      <c r="AH1203" s="865"/>
      <c r="AI1203" s="757">
        <f t="shared" si="168"/>
        <v>0</v>
      </c>
      <c r="AJ1203" s="758">
        <f t="shared" si="169"/>
        <v>0</v>
      </c>
    </row>
    <row r="1204" spans="1:36" x14ac:dyDescent="0.2">
      <c r="A1204" s="898" t="s">
        <v>150</v>
      </c>
      <c r="B1204" s="1180" t="s">
        <v>210</v>
      </c>
      <c r="C1204" s="925" t="s">
        <v>311</v>
      </c>
      <c r="D1204" s="926"/>
      <c r="E1204" s="1182"/>
      <c r="F1204" s="1183"/>
      <c r="G1204" s="859"/>
      <c r="H1204" s="860"/>
      <c r="I1204" s="861"/>
      <c r="J1204" s="862"/>
      <c r="K1204" s="859"/>
      <c r="L1204" s="863"/>
      <c r="M1204" s="859"/>
      <c r="N1204" s="859"/>
      <c r="O1204" s="752">
        <f t="shared" si="162"/>
        <v>0</v>
      </c>
      <c r="P1204" s="862"/>
      <c r="Q1204" s="860"/>
      <c r="R1204" s="753">
        <f t="shared" si="165"/>
        <v>0</v>
      </c>
      <c r="S1204" s="752">
        <f t="shared" si="166"/>
        <v>0</v>
      </c>
      <c r="T1204" s="754">
        <f t="shared" si="167"/>
        <v>0</v>
      </c>
      <c r="U1204" s="859">
        <v>41253823</v>
      </c>
      <c r="V1204" s="1184">
        <v>46607653</v>
      </c>
      <c r="W1204" s="859"/>
      <c r="X1204" s="859"/>
      <c r="Y1204" s="755">
        <f t="shared" si="163"/>
        <v>0</v>
      </c>
      <c r="Z1204" s="864"/>
      <c r="AA1204" s="863"/>
      <c r="AB1204" s="756">
        <f t="shared" si="164"/>
        <v>0</v>
      </c>
      <c r="AC1204" s="859"/>
      <c r="AD1204" s="863"/>
      <c r="AE1204" s="859"/>
      <c r="AF1204" s="859"/>
      <c r="AG1204" s="864"/>
      <c r="AH1204" s="865"/>
      <c r="AI1204" s="757">
        <f t="shared" si="168"/>
        <v>41253823</v>
      </c>
      <c r="AJ1204" s="758">
        <f t="shared" si="169"/>
        <v>46607653</v>
      </c>
    </row>
    <row r="1205" spans="1:36" x14ac:dyDescent="0.2">
      <c r="A1205" s="898" t="s">
        <v>150</v>
      </c>
      <c r="B1205" s="1180" t="s">
        <v>204</v>
      </c>
      <c r="C1205" s="925" t="s">
        <v>249</v>
      </c>
      <c r="D1205" s="926"/>
      <c r="E1205" s="1182"/>
      <c r="F1205" s="1183"/>
      <c r="G1205" s="859"/>
      <c r="H1205" s="860"/>
      <c r="I1205" s="861"/>
      <c r="J1205" s="862"/>
      <c r="K1205" s="859"/>
      <c r="L1205" s="863"/>
      <c r="M1205" s="859"/>
      <c r="N1205" s="859"/>
      <c r="O1205" s="752">
        <f t="shared" si="162"/>
        <v>0</v>
      </c>
      <c r="P1205" s="862"/>
      <c r="Q1205" s="860"/>
      <c r="R1205" s="753">
        <f t="shared" si="165"/>
        <v>0</v>
      </c>
      <c r="S1205" s="752">
        <f t="shared" si="166"/>
        <v>0</v>
      </c>
      <c r="T1205" s="754">
        <f t="shared" si="167"/>
        <v>0</v>
      </c>
      <c r="U1205" s="859"/>
      <c r="V1205" s="863"/>
      <c r="W1205" s="859"/>
      <c r="X1205" s="859"/>
      <c r="Y1205" s="755">
        <f t="shared" si="163"/>
        <v>0</v>
      </c>
      <c r="Z1205" s="864"/>
      <c r="AA1205" s="863"/>
      <c r="AB1205" s="756">
        <f t="shared" si="164"/>
        <v>0</v>
      </c>
      <c r="AC1205" s="859"/>
      <c r="AD1205" s="863"/>
      <c r="AE1205" s="859"/>
      <c r="AF1205" s="859"/>
      <c r="AG1205" s="864"/>
      <c r="AH1205" s="865"/>
      <c r="AI1205" s="757">
        <f t="shared" si="168"/>
        <v>0</v>
      </c>
      <c r="AJ1205" s="758">
        <f t="shared" si="169"/>
        <v>0</v>
      </c>
    </row>
    <row r="1206" spans="1:36" x14ac:dyDescent="0.2">
      <c r="A1206" s="898" t="s">
        <v>150</v>
      </c>
      <c r="B1206" s="1180" t="s">
        <v>205</v>
      </c>
      <c r="C1206" s="925" t="s">
        <v>577</v>
      </c>
      <c r="D1206" s="926"/>
      <c r="E1206" s="1182"/>
      <c r="F1206" s="1183"/>
      <c r="G1206" s="859"/>
      <c r="H1206" s="860"/>
      <c r="I1206" s="861"/>
      <c r="J1206" s="862"/>
      <c r="K1206" s="859"/>
      <c r="L1206" s="863"/>
      <c r="M1206" s="859"/>
      <c r="N1206" s="859"/>
      <c r="O1206" s="752">
        <f t="shared" si="162"/>
        <v>0</v>
      </c>
      <c r="P1206" s="862"/>
      <c r="Q1206" s="860"/>
      <c r="R1206" s="753">
        <f t="shared" si="165"/>
        <v>0</v>
      </c>
      <c r="S1206" s="752">
        <f t="shared" si="166"/>
        <v>0</v>
      </c>
      <c r="T1206" s="754">
        <f t="shared" si="167"/>
        <v>0</v>
      </c>
      <c r="U1206" s="859"/>
      <c r="V1206" s="863"/>
      <c r="W1206" s="859"/>
      <c r="X1206" s="859"/>
      <c r="Y1206" s="755">
        <f t="shared" si="163"/>
        <v>0</v>
      </c>
      <c r="Z1206" s="864"/>
      <c r="AA1206" s="863"/>
      <c r="AB1206" s="756">
        <f t="shared" si="164"/>
        <v>0</v>
      </c>
      <c r="AC1206" s="859"/>
      <c r="AD1206" s="863"/>
      <c r="AE1206" s="859"/>
      <c r="AF1206" s="859"/>
      <c r="AG1206" s="864"/>
      <c r="AH1206" s="865"/>
      <c r="AI1206" s="757">
        <f t="shared" si="168"/>
        <v>0</v>
      </c>
      <c r="AJ1206" s="758">
        <f t="shared" si="169"/>
        <v>0</v>
      </c>
    </row>
    <row r="1207" spans="1:36" x14ac:dyDescent="0.2">
      <c r="A1207" s="898" t="s">
        <v>150</v>
      </c>
      <c r="B1207" s="1180" t="s">
        <v>218</v>
      </c>
      <c r="C1207" s="925" t="s">
        <v>311</v>
      </c>
      <c r="D1207" s="926"/>
      <c r="E1207" s="1182"/>
      <c r="F1207" s="1183"/>
      <c r="G1207" s="859"/>
      <c r="H1207" s="860"/>
      <c r="I1207" s="861"/>
      <c r="J1207" s="862"/>
      <c r="K1207" s="859"/>
      <c r="L1207" s="863"/>
      <c r="M1207" s="859"/>
      <c r="N1207" s="859"/>
      <c r="O1207" s="752">
        <f t="shared" si="162"/>
        <v>0</v>
      </c>
      <c r="P1207" s="862"/>
      <c r="Q1207" s="860"/>
      <c r="R1207" s="753">
        <f t="shared" si="165"/>
        <v>0</v>
      </c>
      <c r="S1207" s="752">
        <f t="shared" si="166"/>
        <v>0</v>
      </c>
      <c r="T1207" s="754">
        <f t="shared" si="167"/>
        <v>0</v>
      </c>
      <c r="U1207" s="859">
        <v>15844234</v>
      </c>
      <c r="V1207" s="1184">
        <v>15684986</v>
      </c>
      <c r="W1207" s="859"/>
      <c r="X1207" s="859"/>
      <c r="Y1207" s="755">
        <f t="shared" si="163"/>
        <v>0</v>
      </c>
      <c r="Z1207" s="864"/>
      <c r="AA1207" s="863"/>
      <c r="AB1207" s="756">
        <f t="shared" si="164"/>
        <v>0</v>
      </c>
      <c r="AC1207" s="859"/>
      <c r="AD1207" s="863"/>
      <c r="AE1207" s="859"/>
      <c r="AF1207" s="859"/>
      <c r="AG1207" s="864"/>
      <c r="AH1207" s="865"/>
      <c r="AI1207" s="757">
        <f t="shared" si="168"/>
        <v>15844234</v>
      </c>
      <c r="AJ1207" s="758">
        <f t="shared" si="169"/>
        <v>15684986</v>
      </c>
    </row>
    <row r="1208" spans="1:36" x14ac:dyDescent="0.2">
      <c r="A1208" s="898" t="s">
        <v>150</v>
      </c>
      <c r="B1208" s="1180" t="s">
        <v>219</v>
      </c>
      <c r="C1208" s="925" t="s">
        <v>249</v>
      </c>
      <c r="D1208" s="926"/>
      <c r="E1208" s="1182"/>
      <c r="F1208" s="1183"/>
      <c r="G1208" s="859"/>
      <c r="H1208" s="860"/>
      <c r="I1208" s="861"/>
      <c r="J1208" s="862"/>
      <c r="K1208" s="859"/>
      <c r="L1208" s="863"/>
      <c r="M1208" s="859"/>
      <c r="N1208" s="859"/>
      <c r="O1208" s="752">
        <f t="shared" si="162"/>
        <v>0</v>
      </c>
      <c r="P1208" s="862"/>
      <c r="Q1208" s="860"/>
      <c r="R1208" s="753">
        <f t="shared" si="165"/>
        <v>0</v>
      </c>
      <c r="S1208" s="752">
        <f t="shared" si="166"/>
        <v>0</v>
      </c>
      <c r="T1208" s="754">
        <f t="shared" si="167"/>
        <v>0</v>
      </c>
      <c r="U1208" s="859"/>
      <c r="V1208" s="863"/>
      <c r="W1208" s="859"/>
      <c r="X1208" s="859"/>
      <c r="Y1208" s="755">
        <f t="shared" si="163"/>
        <v>0</v>
      </c>
      <c r="Z1208" s="864"/>
      <c r="AA1208" s="863"/>
      <c r="AB1208" s="756">
        <f t="shared" si="164"/>
        <v>0</v>
      </c>
      <c r="AC1208" s="859"/>
      <c r="AD1208" s="863"/>
      <c r="AE1208" s="859"/>
      <c r="AF1208" s="859"/>
      <c r="AG1208" s="864"/>
      <c r="AH1208" s="865"/>
      <c r="AI1208" s="757">
        <f t="shared" si="168"/>
        <v>0</v>
      </c>
      <c r="AJ1208" s="758">
        <f t="shared" si="169"/>
        <v>0</v>
      </c>
    </row>
    <row r="1209" spans="1:36" x14ac:dyDescent="0.2">
      <c r="A1209" s="898" t="s">
        <v>150</v>
      </c>
      <c r="B1209" s="1180" t="s">
        <v>293</v>
      </c>
      <c r="C1209" s="932" t="s">
        <v>588</v>
      </c>
      <c r="D1209" s="933"/>
      <c r="E1209" s="1182"/>
      <c r="F1209" s="1183"/>
      <c r="G1209" s="859"/>
      <c r="H1209" s="860"/>
      <c r="I1209" s="861"/>
      <c r="J1209" s="862"/>
      <c r="K1209" s="859"/>
      <c r="L1209" s="863"/>
      <c r="M1209" s="859"/>
      <c r="N1209" s="859"/>
      <c r="O1209" s="752">
        <f t="shared" si="162"/>
        <v>0</v>
      </c>
      <c r="P1209" s="862"/>
      <c r="Q1209" s="860"/>
      <c r="R1209" s="753">
        <f t="shared" si="165"/>
        <v>0</v>
      </c>
      <c r="S1209" s="752">
        <f t="shared" si="166"/>
        <v>0</v>
      </c>
      <c r="T1209" s="754">
        <f t="shared" si="167"/>
        <v>0</v>
      </c>
      <c r="U1209" s="859"/>
      <c r="V1209" s="863"/>
      <c r="W1209" s="859"/>
      <c r="X1209" s="859"/>
      <c r="Y1209" s="755">
        <f t="shared" si="163"/>
        <v>0</v>
      </c>
      <c r="Z1209" s="864"/>
      <c r="AA1209" s="863"/>
      <c r="AB1209" s="756">
        <f t="shared" si="164"/>
        <v>0</v>
      </c>
      <c r="AC1209" s="859"/>
      <c r="AD1209" s="863"/>
      <c r="AE1209" s="859"/>
      <c r="AF1209" s="859"/>
      <c r="AG1209" s="864"/>
      <c r="AH1209" s="865"/>
      <c r="AI1209" s="757">
        <f t="shared" si="168"/>
        <v>0</v>
      </c>
      <c r="AJ1209" s="758">
        <f t="shared" si="169"/>
        <v>0</v>
      </c>
    </row>
    <row r="1210" spans="1:36" x14ac:dyDescent="0.2">
      <c r="A1210" s="898" t="s">
        <v>150</v>
      </c>
      <c r="B1210" s="1153" t="s">
        <v>294</v>
      </c>
      <c r="C1210" s="1179" t="s">
        <v>307</v>
      </c>
      <c r="D1210" s="1159"/>
      <c r="E1210" s="902"/>
      <c r="F1210" s="903"/>
      <c r="G1210" s="859"/>
      <c r="H1210" s="860"/>
      <c r="I1210" s="861"/>
      <c r="J1210" s="862"/>
      <c r="K1210" s="859"/>
      <c r="L1210" s="863"/>
      <c r="M1210" s="859"/>
      <c r="N1210" s="859"/>
      <c r="O1210" s="752">
        <f t="shared" si="162"/>
        <v>0</v>
      </c>
      <c r="P1210" s="862"/>
      <c r="Q1210" s="860"/>
      <c r="R1210" s="753">
        <f t="shared" si="165"/>
        <v>0</v>
      </c>
      <c r="S1210" s="752">
        <f t="shared" si="166"/>
        <v>0</v>
      </c>
      <c r="T1210" s="754">
        <f t="shared" si="167"/>
        <v>0</v>
      </c>
      <c r="U1210" s="859"/>
      <c r="V1210" s="863"/>
      <c r="W1210" s="859"/>
      <c r="X1210" s="859"/>
      <c r="Y1210" s="755">
        <f t="shared" si="163"/>
        <v>0</v>
      </c>
      <c r="Z1210" s="864"/>
      <c r="AA1210" s="863"/>
      <c r="AB1210" s="756">
        <f t="shared" si="164"/>
        <v>0</v>
      </c>
      <c r="AC1210" s="859"/>
      <c r="AD1210" s="863"/>
      <c r="AE1210" s="859"/>
      <c r="AF1210" s="859"/>
      <c r="AG1210" s="864"/>
      <c r="AH1210" s="865"/>
      <c r="AI1210" s="757">
        <f t="shared" si="168"/>
        <v>0</v>
      </c>
      <c r="AJ1210" s="758">
        <f t="shared" si="169"/>
        <v>0</v>
      </c>
    </row>
    <row r="1211" spans="1:36" x14ac:dyDescent="0.2">
      <c r="A1211" s="898" t="s">
        <v>150</v>
      </c>
      <c r="B1211" s="1153" t="s">
        <v>294</v>
      </c>
      <c r="C1211" s="1181" t="s">
        <v>1121</v>
      </c>
      <c r="D1211" s="926"/>
      <c r="E1211" s="1182"/>
      <c r="F1211" s="1183"/>
      <c r="G1211" s="859"/>
      <c r="H1211" s="860"/>
      <c r="I1211" s="861"/>
      <c r="J1211" s="862"/>
      <c r="K1211" s="859"/>
      <c r="L1211" s="863"/>
      <c r="M1211" s="859"/>
      <c r="N1211" s="859"/>
      <c r="O1211" s="752">
        <f t="shared" si="162"/>
        <v>0</v>
      </c>
      <c r="P1211" s="862"/>
      <c r="Q1211" s="860"/>
      <c r="R1211" s="753">
        <f t="shared" si="165"/>
        <v>0</v>
      </c>
      <c r="S1211" s="752">
        <f t="shared" si="166"/>
        <v>0</v>
      </c>
      <c r="T1211" s="754">
        <f t="shared" si="167"/>
        <v>0</v>
      </c>
      <c r="U1211" s="859"/>
      <c r="V1211" s="863"/>
      <c r="W1211" s="859"/>
      <c r="X1211" s="859"/>
      <c r="Y1211" s="755">
        <f t="shared" si="163"/>
        <v>0</v>
      </c>
      <c r="Z1211" s="864"/>
      <c r="AA1211" s="863"/>
      <c r="AB1211" s="756">
        <f t="shared" si="164"/>
        <v>0</v>
      </c>
      <c r="AC1211" s="859"/>
      <c r="AD1211" s="863"/>
      <c r="AE1211" s="859"/>
      <c r="AF1211" s="859"/>
      <c r="AG1211" s="864"/>
      <c r="AH1211" s="865"/>
      <c r="AI1211" s="757">
        <f t="shared" si="168"/>
        <v>0</v>
      </c>
      <c r="AJ1211" s="758">
        <f t="shared" si="169"/>
        <v>0</v>
      </c>
    </row>
    <row r="1212" spans="1:36" x14ac:dyDescent="0.2">
      <c r="A1212" s="898" t="s">
        <v>150</v>
      </c>
      <c r="B1212" s="1153" t="s">
        <v>254</v>
      </c>
      <c r="C1212" s="925" t="s">
        <v>311</v>
      </c>
      <c r="D1212" s="926"/>
      <c r="E1212" s="1182"/>
      <c r="F1212" s="1183"/>
      <c r="G1212" s="859"/>
      <c r="H1212" s="860"/>
      <c r="I1212" s="861"/>
      <c r="J1212" s="862"/>
      <c r="K1212" s="859"/>
      <c r="L1212" s="863"/>
      <c r="M1212" s="859"/>
      <c r="N1212" s="859"/>
      <c r="O1212" s="752">
        <f t="shared" si="162"/>
        <v>0</v>
      </c>
      <c r="P1212" s="862"/>
      <c r="Q1212" s="860"/>
      <c r="R1212" s="753">
        <f t="shared" si="165"/>
        <v>0</v>
      </c>
      <c r="S1212" s="752">
        <f t="shared" si="166"/>
        <v>0</v>
      </c>
      <c r="T1212" s="754">
        <f t="shared" si="167"/>
        <v>0</v>
      </c>
      <c r="U1212" s="859">
        <v>29735109</v>
      </c>
      <c r="V1212" s="1184">
        <v>29982741</v>
      </c>
      <c r="W1212" s="859"/>
      <c r="X1212" s="859"/>
      <c r="Y1212" s="755">
        <f t="shared" si="163"/>
        <v>0</v>
      </c>
      <c r="Z1212" s="864"/>
      <c r="AA1212" s="863"/>
      <c r="AB1212" s="756">
        <f t="shared" si="164"/>
        <v>0</v>
      </c>
      <c r="AC1212" s="859"/>
      <c r="AD1212" s="863"/>
      <c r="AE1212" s="859"/>
      <c r="AF1212" s="859"/>
      <c r="AG1212" s="864"/>
      <c r="AH1212" s="865"/>
      <c r="AI1212" s="757">
        <f t="shared" si="168"/>
        <v>29735109</v>
      </c>
      <c r="AJ1212" s="758">
        <f t="shared" si="169"/>
        <v>29982741</v>
      </c>
    </row>
    <row r="1213" spans="1:36" x14ac:dyDescent="0.2">
      <c r="A1213" s="898" t="s">
        <v>150</v>
      </c>
      <c r="B1213" s="1153" t="s">
        <v>255</v>
      </c>
      <c r="C1213" s="925" t="s">
        <v>249</v>
      </c>
      <c r="D1213" s="926"/>
      <c r="E1213" s="1182"/>
      <c r="F1213" s="1183"/>
      <c r="G1213" s="859"/>
      <c r="H1213" s="860"/>
      <c r="I1213" s="861"/>
      <c r="J1213" s="862"/>
      <c r="K1213" s="859"/>
      <c r="L1213" s="863"/>
      <c r="M1213" s="859"/>
      <c r="N1213" s="859"/>
      <c r="O1213" s="752">
        <f t="shared" si="162"/>
        <v>0</v>
      </c>
      <c r="P1213" s="862"/>
      <c r="Q1213" s="860"/>
      <c r="R1213" s="753">
        <f t="shared" si="165"/>
        <v>0</v>
      </c>
      <c r="S1213" s="752">
        <f t="shared" si="166"/>
        <v>0</v>
      </c>
      <c r="T1213" s="754">
        <f t="shared" si="167"/>
        <v>0</v>
      </c>
      <c r="U1213" s="859"/>
      <c r="V1213" s="863"/>
      <c r="W1213" s="859"/>
      <c r="X1213" s="859"/>
      <c r="Y1213" s="755">
        <f t="shared" si="163"/>
        <v>0</v>
      </c>
      <c r="Z1213" s="864"/>
      <c r="AA1213" s="863"/>
      <c r="AB1213" s="756">
        <f t="shared" si="164"/>
        <v>0</v>
      </c>
      <c r="AC1213" s="859"/>
      <c r="AD1213" s="863"/>
      <c r="AE1213" s="859"/>
      <c r="AF1213" s="859"/>
      <c r="AG1213" s="864"/>
      <c r="AH1213" s="865"/>
      <c r="AI1213" s="757">
        <f t="shared" si="168"/>
        <v>0</v>
      </c>
      <c r="AJ1213" s="758">
        <f t="shared" si="169"/>
        <v>0</v>
      </c>
    </row>
    <row r="1214" spans="1:36" x14ac:dyDescent="0.2">
      <c r="A1214" s="898" t="s">
        <v>150</v>
      </c>
      <c r="B1214" s="1153" t="s">
        <v>294</v>
      </c>
      <c r="C1214" s="1185" t="s">
        <v>1122</v>
      </c>
      <c r="D1214" s="921"/>
      <c r="E1214" s="1182"/>
      <c r="F1214" s="1183"/>
      <c r="G1214" s="859"/>
      <c r="H1214" s="860"/>
      <c r="I1214" s="861"/>
      <c r="J1214" s="862"/>
      <c r="K1214" s="859"/>
      <c r="L1214" s="863"/>
      <c r="M1214" s="859"/>
      <c r="N1214" s="859"/>
      <c r="O1214" s="752">
        <f t="shared" si="162"/>
        <v>0</v>
      </c>
      <c r="P1214" s="862"/>
      <c r="Q1214" s="860"/>
      <c r="R1214" s="753">
        <f t="shared" si="165"/>
        <v>0</v>
      </c>
      <c r="S1214" s="752">
        <f t="shared" si="166"/>
        <v>0</v>
      </c>
      <c r="T1214" s="754">
        <f t="shared" si="167"/>
        <v>0</v>
      </c>
      <c r="U1214" s="859"/>
      <c r="V1214" s="863"/>
      <c r="W1214" s="859"/>
      <c r="X1214" s="859"/>
      <c r="Y1214" s="755">
        <f t="shared" si="163"/>
        <v>0</v>
      </c>
      <c r="Z1214" s="864"/>
      <c r="AA1214" s="863"/>
      <c r="AB1214" s="756">
        <f t="shared" si="164"/>
        <v>0</v>
      </c>
      <c r="AC1214" s="859"/>
      <c r="AD1214" s="863"/>
      <c r="AE1214" s="859"/>
      <c r="AF1214" s="859"/>
      <c r="AG1214" s="864"/>
      <c r="AH1214" s="865"/>
      <c r="AI1214" s="757">
        <f t="shared" si="168"/>
        <v>0</v>
      </c>
      <c r="AJ1214" s="758">
        <f t="shared" si="169"/>
        <v>0</v>
      </c>
    </row>
    <row r="1215" spans="1:36" x14ac:dyDescent="0.2">
      <c r="A1215" s="898" t="s">
        <v>150</v>
      </c>
      <c r="B1215" s="1153" t="s">
        <v>254</v>
      </c>
      <c r="C1215" s="925" t="s">
        <v>311</v>
      </c>
      <c r="D1215" s="926"/>
      <c r="E1215" s="1182"/>
      <c r="F1215" s="1183"/>
      <c r="G1215" s="859"/>
      <c r="H1215" s="860"/>
      <c r="I1215" s="861"/>
      <c r="J1215" s="862"/>
      <c r="K1215" s="859"/>
      <c r="L1215" s="863"/>
      <c r="M1215" s="859"/>
      <c r="N1215" s="859"/>
      <c r="O1215" s="752">
        <f t="shared" si="162"/>
        <v>0</v>
      </c>
      <c r="P1215" s="862"/>
      <c r="Q1215" s="860"/>
      <c r="R1215" s="753">
        <f t="shared" si="165"/>
        <v>0</v>
      </c>
      <c r="S1215" s="752">
        <f t="shared" si="166"/>
        <v>0</v>
      </c>
      <c r="T1215" s="754">
        <f t="shared" si="167"/>
        <v>0</v>
      </c>
      <c r="U1215" s="859"/>
      <c r="V1215" s="863"/>
      <c r="W1215" s="859"/>
      <c r="X1215" s="859"/>
      <c r="Y1215" s="755">
        <f t="shared" si="163"/>
        <v>0</v>
      </c>
      <c r="Z1215" s="864"/>
      <c r="AA1215" s="863"/>
      <c r="AB1215" s="756">
        <f t="shared" si="164"/>
        <v>0</v>
      </c>
      <c r="AC1215" s="859"/>
      <c r="AD1215" s="863"/>
      <c r="AE1215" s="859"/>
      <c r="AF1215" s="859"/>
      <c r="AG1215" s="864"/>
      <c r="AH1215" s="865"/>
      <c r="AI1215" s="757">
        <f t="shared" si="168"/>
        <v>0</v>
      </c>
      <c r="AJ1215" s="758">
        <f t="shared" si="169"/>
        <v>0</v>
      </c>
    </row>
    <row r="1216" spans="1:36" x14ac:dyDescent="0.2">
      <c r="A1216" s="898" t="s">
        <v>150</v>
      </c>
      <c r="B1216" s="1153" t="s">
        <v>255</v>
      </c>
      <c r="C1216" s="925" t="s">
        <v>249</v>
      </c>
      <c r="D1216" s="926"/>
      <c r="E1216" s="1182"/>
      <c r="F1216" s="1183"/>
      <c r="G1216" s="859"/>
      <c r="H1216" s="860"/>
      <c r="I1216" s="861"/>
      <c r="J1216" s="862"/>
      <c r="K1216" s="859"/>
      <c r="L1216" s="863"/>
      <c r="M1216" s="859"/>
      <c r="N1216" s="859"/>
      <c r="O1216" s="752">
        <f t="shared" si="162"/>
        <v>0</v>
      </c>
      <c r="P1216" s="862"/>
      <c r="Q1216" s="860"/>
      <c r="R1216" s="753">
        <f t="shared" si="165"/>
        <v>0</v>
      </c>
      <c r="S1216" s="752">
        <f t="shared" si="166"/>
        <v>0</v>
      </c>
      <c r="T1216" s="754">
        <f t="shared" si="167"/>
        <v>0</v>
      </c>
      <c r="U1216" s="859">
        <v>660940</v>
      </c>
      <c r="V1216" s="1184">
        <v>704295</v>
      </c>
      <c r="W1216" s="859"/>
      <c r="X1216" s="859"/>
      <c r="Y1216" s="755">
        <f t="shared" si="163"/>
        <v>0</v>
      </c>
      <c r="Z1216" s="864"/>
      <c r="AA1216" s="863"/>
      <c r="AB1216" s="756">
        <f t="shared" si="164"/>
        <v>0</v>
      </c>
      <c r="AC1216" s="859"/>
      <c r="AD1216" s="863"/>
      <c r="AE1216" s="859"/>
      <c r="AF1216" s="859"/>
      <c r="AG1216" s="864"/>
      <c r="AH1216" s="865"/>
      <c r="AI1216" s="757">
        <f t="shared" si="168"/>
        <v>660940</v>
      </c>
      <c r="AJ1216" s="758">
        <f t="shared" si="169"/>
        <v>704295</v>
      </c>
    </row>
    <row r="1217" spans="1:36" x14ac:dyDescent="0.2">
      <c r="A1217" s="1254" t="s">
        <v>145</v>
      </c>
      <c r="B1217" s="1255" t="s">
        <v>264</v>
      </c>
      <c r="C1217" s="1256" t="s">
        <v>1238</v>
      </c>
      <c r="D1217" s="1257"/>
      <c r="E1217" s="1258">
        <v>159391</v>
      </c>
      <c r="F1217" s="1259">
        <v>1</v>
      </c>
      <c r="G1217" s="859">
        <v>122045827</v>
      </c>
      <c r="H1217" s="860">
        <v>96893044</v>
      </c>
      <c r="I1217" s="861"/>
      <c r="J1217" s="862"/>
      <c r="K1217" s="859"/>
      <c r="L1217" s="863"/>
      <c r="M1217" s="859">
        <v>254657507</v>
      </c>
      <c r="N1217" s="859"/>
      <c r="O1217" s="752">
        <f t="shared" si="162"/>
        <v>254657507</v>
      </c>
      <c r="P1217" s="862">
        <v>289520153</v>
      </c>
      <c r="Q1217" s="860"/>
      <c r="R1217" s="753">
        <f t="shared" si="165"/>
        <v>289520153</v>
      </c>
      <c r="S1217" s="752">
        <f t="shared" si="166"/>
        <v>376703334</v>
      </c>
      <c r="T1217" s="754">
        <f t="shared" si="167"/>
        <v>386413197</v>
      </c>
      <c r="U1217" s="859"/>
      <c r="V1217" s="863"/>
      <c r="W1217" s="859"/>
      <c r="X1217" s="859"/>
      <c r="Y1217" s="755">
        <f t="shared" si="163"/>
        <v>0</v>
      </c>
      <c r="Z1217" s="864"/>
      <c r="AA1217" s="863"/>
      <c r="AB1217" s="756">
        <f t="shared" si="164"/>
        <v>0</v>
      </c>
      <c r="AC1217" s="859"/>
      <c r="AD1217" s="863"/>
      <c r="AE1217" s="859"/>
      <c r="AF1217" s="859"/>
      <c r="AG1217" s="864"/>
      <c r="AH1217" s="865"/>
      <c r="AI1217" s="757">
        <f t="shared" si="168"/>
        <v>376703334</v>
      </c>
      <c r="AJ1217" s="758">
        <f t="shared" si="169"/>
        <v>386413197</v>
      </c>
    </row>
    <row r="1218" spans="1:36" x14ac:dyDescent="0.2">
      <c r="A1218" s="1254" t="s">
        <v>145</v>
      </c>
      <c r="B1218" s="1255" t="s">
        <v>279</v>
      </c>
      <c r="C1218" s="1260" t="s">
        <v>509</v>
      </c>
      <c r="D1218" s="1261"/>
      <c r="E1218" s="1258">
        <v>159391</v>
      </c>
      <c r="F1218" s="1259">
        <v>1</v>
      </c>
      <c r="G1218" s="859"/>
      <c r="H1218" s="860"/>
      <c r="I1218" s="861"/>
      <c r="J1218" s="862"/>
      <c r="K1218" s="859"/>
      <c r="L1218" s="863"/>
      <c r="M1218" s="859"/>
      <c r="N1218" s="859"/>
      <c r="O1218" s="752">
        <f t="shared" si="162"/>
        <v>0</v>
      </c>
      <c r="P1218" s="862"/>
      <c r="Q1218" s="860"/>
      <c r="R1218" s="753">
        <f t="shared" si="165"/>
        <v>0</v>
      </c>
      <c r="S1218" s="752">
        <f t="shared" si="166"/>
        <v>0</v>
      </c>
      <c r="T1218" s="754">
        <f t="shared" si="167"/>
        <v>0</v>
      </c>
      <c r="U1218" s="859"/>
      <c r="V1218" s="863"/>
      <c r="W1218" s="859"/>
      <c r="X1218" s="859"/>
      <c r="Y1218" s="755">
        <f t="shared" si="163"/>
        <v>0</v>
      </c>
      <c r="Z1218" s="864"/>
      <c r="AA1218" s="863"/>
      <c r="AB1218" s="756">
        <f t="shared" si="164"/>
        <v>0</v>
      </c>
      <c r="AC1218" s="859"/>
      <c r="AD1218" s="863"/>
      <c r="AE1218" s="859"/>
      <c r="AF1218" s="859"/>
      <c r="AG1218" s="864"/>
      <c r="AH1218" s="865"/>
      <c r="AI1218" s="757">
        <f t="shared" si="168"/>
        <v>0</v>
      </c>
      <c r="AJ1218" s="758">
        <f t="shared" si="169"/>
        <v>0</v>
      </c>
    </row>
    <row r="1219" spans="1:36" x14ac:dyDescent="0.2">
      <c r="A1219" s="1254" t="s">
        <v>145</v>
      </c>
      <c r="B1219" s="1255" t="s">
        <v>279</v>
      </c>
      <c r="C1219" s="1262" t="s">
        <v>1239</v>
      </c>
      <c r="D1219" s="1261"/>
      <c r="E1219" s="1258">
        <v>159391</v>
      </c>
      <c r="F1219" s="1259">
        <v>1</v>
      </c>
      <c r="G1219" s="859">
        <v>5812672</v>
      </c>
      <c r="H1219" s="860">
        <v>5048924</v>
      </c>
      <c r="I1219" s="861"/>
      <c r="J1219" s="862"/>
      <c r="K1219" s="859"/>
      <c r="L1219" s="863"/>
      <c r="M1219" s="859">
        <v>17625197</v>
      </c>
      <c r="N1219" s="859"/>
      <c r="O1219" s="752">
        <f t="shared" si="162"/>
        <v>17625197</v>
      </c>
      <c r="P1219" s="862">
        <v>18371936</v>
      </c>
      <c r="Q1219" s="860"/>
      <c r="R1219" s="753">
        <f t="shared" si="165"/>
        <v>18371936</v>
      </c>
      <c r="S1219" s="752">
        <f t="shared" si="166"/>
        <v>23437869</v>
      </c>
      <c r="T1219" s="754">
        <f t="shared" si="167"/>
        <v>23420860</v>
      </c>
      <c r="U1219" s="859"/>
      <c r="V1219" s="863"/>
      <c r="W1219" s="859"/>
      <c r="X1219" s="859"/>
      <c r="Y1219" s="755">
        <f t="shared" si="163"/>
        <v>0</v>
      </c>
      <c r="Z1219" s="864"/>
      <c r="AA1219" s="863"/>
      <c r="AB1219" s="756">
        <f t="shared" si="164"/>
        <v>0</v>
      </c>
      <c r="AC1219" s="859"/>
      <c r="AD1219" s="863"/>
      <c r="AE1219" s="859"/>
      <c r="AF1219" s="859"/>
      <c r="AG1219" s="864"/>
      <c r="AH1219" s="865"/>
      <c r="AI1219" s="757">
        <f t="shared" si="168"/>
        <v>23437869</v>
      </c>
      <c r="AJ1219" s="758">
        <f t="shared" si="169"/>
        <v>23420860</v>
      </c>
    </row>
    <row r="1220" spans="1:36" x14ac:dyDescent="0.2">
      <c r="A1220" s="1254" t="s">
        <v>145</v>
      </c>
      <c r="B1220" s="1255" t="s">
        <v>280</v>
      </c>
      <c r="C1220" s="1260" t="s">
        <v>814</v>
      </c>
      <c r="D1220" s="1261"/>
      <c r="E1220" s="1258">
        <v>159391</v>
      </c>
      <c r="F1220" s="1259">
        <v>1</v>
      </c>
      <c r="G1220" s="859"/>
      <c r="H1220" s="860"/>
      <c r="I1220" s="861"/>
      <c r="J1220" s="862"/>
      <c r="K1220" s="859"/>
      <c r="L1220" s="863"/>
      <c r="M1220" s="859"/>
      <c r="N1220" s="859"/>
      <c r="O1220" s="752">
        <f t="shared" si="162"/>
        <v>0</v>
      </c>
      <c r="P1220" s="862"/>
      <c r="Q1220" s="860"/>
      <c r="R1220" s="753">
        <f t="shared" si="165"/>
        <v>0</v>
      </c>
      <c r="S1220" s="752">
        <f t="shared" si="166"/>
        <v>0</v>
      </c>
      <c r="T1220" s="754">
        <f t="shared" si="167"/>
        <v>0</v>
      </c>
      <c r="U1220" s="859"/>
      <c r="V1220" s="863"/>
      <c r="W1220" s="859"/>
      <c r="X1220" s="859"/>
      <c r="Y1220" s="755">
        <f t="shared" si="163"/>
        <v>0</v>
      </c>
      <c r="Z1220" s="864"/>
      <c r="AA1220" s="863"/>
      <c r="AB1220" s="756">
        <f t="shared" si="164"/>
        <v>0</v>
      </c>
      <c r="AC1220" s="859"/>
      <c r="AD1220" s="863"/>
      <c r="AE1220" s="859"/>
      <c r="AF1220" s="859"/>
      <c r="AG1220" s="864"/>
      <c r="AH1220" s="865"/>
      <c r="AI1220" s="757">
        <f t="shared" si="168"/>
        <v>0</v>
      </c>
      <c r="AJ1220" s="758">
        <f t="shared" si="169"/>
        <v>0</v>
      </c>
    </row>
    <row r="1221" spans="1:36" x14ac:dyDescent="0.2">
      <c r="A1221" s="1254" t="s">
        <v>145</v>
      </c>
      <c r="B1221" s="1255" t="s">
        <v>280</v>
      </c>
      <c r="C1221" s="1262" t="s">
        <v>1240</v>
      </c>
      <c r="D1221" s="1261"/>
      <c r="E1221" s="1258">
        <v>159391</v>
      </c>
      <c r="F1221" s="1259">
        <v>1</v>
      </c>
      <c r="G1221" s="859"/>
      <c r="H1221" s="860"/>
      <c r="I1221" s="861"/>
      <c r="J1221" s="862"/>
      <c r="K1221" s="859"/>
      <c r="L1221" s="863"/>
      <c r="M1221" s="859"/>
      <c r="N1221" s="859"/>
      <c r="O1221" s="752">
        <f t="shared" si="162"/>
        <v>0</v>
      </c>
      <c r="P1221" s="862"/>
      <c r="Q1221" s="860"/>
      <c r="R1221" s="753">
        <f t="shared" si="165"/>
        <v>0</v>
      </c>
      <c r="S1221" s="752">
        <f t="shared" si="166"/>
        <v>0</v>
      </c>
      <c r="T1221" s="754">
        <f t="shared" si="167"/>
        <v>0</v>
      </c>
      <c r="U1221" s="859"/>
      <c r="V1221" s="863"/>
      <c r="W1221" s="859"/>
      <c r="X1221" s="859"/>
      <c r="Y1221" s="755">
        <f t="shared" si="163"/>
        <v>0</v>
      </c>
      <c r="Z1221" s="864"/>
      <c r="AA1221" s="863"/>
      <c r="AB1221" s="756">
        <f t="shared" si="164"/>
        <v>0</v>
      </c>
      <c r="AC1221" s="859">
        <v>19582008</v>
      </c>
      <c r="AD1221" s="863">
        <v>19901821</v>
      </c>
      <c r="AE1221" s="859">
        <v>11274295</v>
      </c>
      <c r="AF1221" s="859">
        <v>0</v>
      </c>
      <c r="AG1221" s="864">
        <v>12462470</v>
      </c>
      <c r="AH1221" s="865"/>
      <c r="AI1221" s="757">
        <f t="shared" si="168"/>
        <v>30856303</v>
      </c>
      <c r="AJ1221" s="758">
        <f t="shared" si="169"/>
        <v>32364291</v>
      </c>
    </row>
    <row r="1222" spans="1:36" x14ac:dyDescent="0.2">
      <c r="A1222" s="1254" t="s">
        <v>145</v>
      </c>
      <c r="B1222" s="1255" t="s">
        <v>268</v>
      </c>
      <c r="C1222" s="1260" t="s">
        <v>1241</v>
      </c>
      <c r="D1222" s="1261"/>
      <c r="E1222" s="1258">
        <v>159391</v>
      </c>
      <c r="F1222" s="1259">
        <v>1</v>
      </c>
      <c r="G1222" s="859"/>
      <c r="H1222" s="860"/>
      <c r="I1222" s="861"/>
      <c r="J1222" s="862"/>
      <c r="K1222" s="859"/>
      <c r="L1222" s="863"/>
      <c r="M1222" s="859"/>
      <c r="N1222" s="859"/>
      <c r="O1222" s="752">
        <f t="shared" si="162"/>
        <v>0</v>
      </c>
      <c r="P1222" s="862"/>
      <c r="Q1222" s="860"/>
      <c r="R1222" s="753">
        <f t="shared" si="165"/>
        <v>0</v>
      </c>
      <c r="S1222" s="752">
        <f t="shared" si="166"/>
        <v>0</v>
      </c>
      <c r="T1222" s="754">
        <f t="shared" si="167"/>
        <v>0</v>
      </c>
      <c r="U1222" s="859"/>
      <c r="V1222" s="863"/>
      <c r="W1222" s="859"/>
      <c r="X1222" s="859"/>
      <c r="Y1222" s="755">
        <f t="shared" si="163"/>
        <v>0</v>
      </c>
      <c r="Z1222" s="864"/>
      <c r="AA1222" s="863"/>
      <c r="AB1222" s="756">
        <f t="shared" si="164"/>
        <v>0</v>
      </c>
      <c r="AC1222" s="859"/>
      <c r="AD1222" s="863"/>
      <c r="AE1222" s="859"/>
      <c r="AF1222" s="859"/>
      <c r="AG1222" s="864"/>
      <c r="AH1222" s="865"/>
      <c r="AI1222" s="757">
        <f t="shared" si="168"/>
        <v>0</v>
      </c>
      <c r="AJ1222" s="758">
        <f t="shared" si="169"/>
        <v>0</v>
      </c>
    </row>
    <row r="1223" spans="1:36" x14ac:dyDescent="0.2">
      <c r="A1223" s="1254" t="s">
        <v>145</v>
      </c>
      <c r="B1223" s="1255" t="s">
        <v>268</v>
      </c>
      <c r="C1223" s="1262" t="s">
        <v>257</v>
      </c>
      <c r="D1223" s="1261"/>
      <c r="E1223" s="1258">
        <v>159391</v>
      </c>
      <c r="F1223" s="1259">
        <v>1</v>
      </c>
      <c r="G1223" s="859"/>
      <c r="H1223" s="860"/>
      <c r="I1223" s="861">
        <v>24197726</v>
      </c>
      <c r="J1223" s="862">
        <v>23938017</v>
      </c>
      <c r="K1223" s="859"/>
      <c r="L1223" s="863"/>
      <c r="M1223" s="859"/>
      <c r="N1223" s="859"/>
      <c r="O1223" s="752">
        <f t="shared" si="162"/>
        <v>0</v>
      </c>
      <c r="P1223" s="862"/>
      <c r="Q1223" s="860"/>
      <c r="R1223" s="753">
        <f t="shared" si="165"/>
        <v>0</v>
      </c>
      <c r="S1223" s="752">
        <f t="shared" si="166"/>
        <v>24197726</v>
      </c>
      <c r="T1223" s="754">
        <f t="shared" si="167"/>
        <v>23938017</v>
      </c>
      <c r="U1223" s="859"/>
      <c r="V1223" s="863"/>
      <c r="W1223" s="859"/>
      <c r="X1223" s="859"/>
      <c r="Y1223" s="755">
        <f t="shared" si="163"/>
        <v>0</v>
      </c>
      <c r="Z1223" s="864"/>
      <c r="AA1223" s="863"/>
      <c r="AB1223" s="756">
        <f t="shared" si="164"/>
        <v>0</v>
      </c>
      <c r="AC1223" s="859"/>
      <c r="AD1223" s="863"/>
      <c r="AE1223" s="859"/>
      <c r="AF1223" s="859"/>
      <c r="AG1223" s="864"/>
      <c r="AH1223" s="865"/>
      <c r="AI1223" s="757">
        <f t="shared" si="168"/>
        <v>24197726</v>
      </c>
      <c r="AJ1223" s="758">
        <f t="shared" si="169"/>
        <v>23938017</v>
      </c>
    </row>
    <row r="1224" spans="1:36" x14ac:dyDescent="0.2">
      <c r="A1224" s="1254" t="s">
        <v>145</v>
      </c>
      <c r="B1224" s="1255" t="s">
        <v>269</v>
      </c>
      <c r="C1224" s="1262" t="s">
        <v>256</v>
      </c>
      <c r="D1224" s="1261"/>
      <c r="E1224" s="1258">
        <v>159391</v>
      </c>
      <c r="F1224" s="1259">
        <v>1</v>
      </c>
      <c r="G1224" s="859"/>
      <c r="H1224" s="860"/>
      <c r="I1224" s="861">
        <v>30331621</v>
      </c>
      <c r="J1224" s="862">
        <v>30809105</v>
      </c>
      <c r="K1224" s="859"/>
      <c r="L1224" s="863"/>
      <c r="M1224" s="859"/>
      <c r="N1224" s="859"/>
      <c r="O1224" s="752">
        <f t="shared" si="162"/>
        <v>0</v>
      </c>
      <c r="P1224" s="862"/>
      <c r="Q1224" s="860"/>
      <c r="R1224" s="753">
        <f t="shared" si="165"/>
        <v>0</v>
      </c>
      <c r="S1224" s="752">
        <f t="shared" si="166"/>
        <v>30331621</v>
      </c>
      <c r="T1224" s="754">
        <f t="shared" si="167"/>
        <v>30809105</v>
      </c>
      <c r="U1224" s="859"/>
      <c r="V1224" s="863"/>
      <c r="W1224" s="859"/>
      <c r="X1224" s="859"/>
      <c r="Y1224" s="755">
        <f t="shared" si="163"/>
        <v>0</v>
      </c>
      <c r="Z1224" s="864"/>
      <c r="AA1224" s="863"/>
      <c r="AB1224" s="756">
        <f t="shared" si="164"/>
        <v>0</v>
      </c>
      <c r="AC1224" s="859"/>
      <c r="AD1224" s="863"/>
      <c r="AE1224" s="859"/>
      <c r="AF1224" s="859"/>
      <c r="AG1224" s="864"/>
      <c r="AH1224" s="865"/>
      <c r="AI1224" s="757">
        <f t="shared" si="168"/>
        <v>30331621</v>
      </c>
      <c r="AJ1224" s="758">
        <f t="shared" si="169"/>
        <v>30809105</v>
      </c>
    </row>
    <row r="1225" spans="1:36" x14ac:dyDescent="0.2">
      <c r="A1225" s="1254" t="s">
        <v>145</v>
      </c>
      <c r="B1225" s="1255" t="s">
        <v>268</v>
      </c>
      <c r="C1225" s="1262" t="s">
        <v>1242</v>
      </c>
      <c r="D1225" s="1261"/>
      <c r="E1225" s="1258">
        <v>159391</v>
      </c>
      <c r="F1225" s="1259">
        <v>1</v>
      </c>
      <c r="G1225" s="859"/>
      <c r="H1225" s="860"/>
      <c r="I1225" s="861">
        <v>15255443</v>
      </c>
      <c r="J1225" s="862">
        <v>15757720</v>
      </c>
      <c r="K1225" s="859"/>
      <c r="L1225" s="863"/>
      <c r="M1225" s="859"/>
      <c r="N1225" s="859"/>
      <c r="O1225" s="752">
        <f t="shared" si="162"/>
        <v>0</v>
      </c>
      <c r="P1225" s="862"/>
      <c r="Q1225" s="860"/>
      <c r="R1225" s="753">
        <f t="shared" si="165"/>
        <v>0</v>
      </c>
      <c r="S1225" s="752">
        <f t="shared" si="166"/>
        <v>15255443</v>
      </c>
      <c r="T1225" s="754">
        <f t="shared" si="167"/>
        <v>15757720</v>
      </c>
      <c r="U1225" s="859"/>
      <c r="V1225" s="863"/>
      <c r="W1225" s="859"/>
      <c r="X1225" s="859"/>
      <c r="Y1225" s="755">
        <f t="shared" si="163"/>
        <v>0</v>
      </c>
      <c r="Z1225" s="864"/>
      <c r="AA1225" s="863"/>
      <c r="AB1225" s="756">
        <f t="shared" si="164"/>
        <v>0</v>
      </c>
      <c r="AC1225" s="859"/>
      <c r="AD1225" s="863"/>
      <c r="AE1225" s="859"/>
      <c r="AF1225" s="859"/>
      <c r="AG1225" s="864"/>
      <c r="AH1225" s="865"/>
      <c r="AI1225" s="757">
        <f t="shared" si="168"/>
        <v>15255443</v>
      </c>
      <c r="AJ1225" s="758">
        <f t="shared" si="169"/>
        <v>15757720</v>
      </c>
    </row>
    <row r="1226" spans="1:36" x14ac:dyDescent="0.2">
      <c r="A1226" s="1254" t="s">
        <v>145</v>
      </c>
      <c r="B1226" s="1255" t="s">
        <v>264</v>
      </c>
      <c r="C1226" s="1263" t="s">
        <v>1243</v>
      </c>
      <c r="D1226" s="1264"/>
      <c r="E1226" s="1265">
        <v>159647</v>
      </c>
      <c r="F1226" s="1266">
        <v>2</v>
      </c>
      <c r="G1226" s="859">
        <v>37392451</v>
      </c>
      <c r="H1226" s="860">
        <v>29672838</v>
      </c>
      <c r="I1226" s="861"/>
      <c r="J1226" s="862"/>
      <c r="K1226" s="859"/>
      <c r="L1226" s="863"/>
      <c r="M1226" s="859">
        <v>54733000</v>
      </c>
      <c r="N1226" s="859"/>
      <c r="O1226" s="752">
        <f t="shared" si="162"/>
        <v>54733000</v>
      </c>
      <c r="P1226" s="862">
        <v>60435700</v>
      </c>
      <c r="Q1226" s="860"/>
      <c r="R1226" s="753">
        <f t="shared" si="165"/>
        <v>60435700</v>
      </c>
      <c r="S1226" s="752">
        <f t="shared" si="166"/>
        <v>92125451</v>
      </c>
      <c r="T1226" s="754">
        <f t="shared" si="167"/>
        <v>90108538</v>
      </c>
      <c r="U1226" s="859"/>
      <c r="V1226" s="863"/>
      <c r="W1226" s="859"/>
      <c r="X1226" s="859"/>
      <c r="Y1226" s="755">
        <f t="shared" si="163"/>
        <v>0</v>
      </c>
      <c r="Z1226" s="864"/>
      <c r="AA1226" s="863"/>
      <c r="AB1226" s="756">
        <f t="shared" si="164"/>
        <v>0</v>
      </c>
      <c r="AC1226" s="859"/>
      <c r="AD1226" s="863"/>
      <c r="AE1226" s="859"/>
      <c r="AF1226" s="859"/>
      <c r="AG1226" s="864"/>
      <c r="AH1226" s="865"/>
      <c r="AI1226" s="757">
        <f t="shared" si="168"/>
        <v>92125451</v>
      </c>
      <c r="AJ1226" s="758">
        <f t="shared" si="169"/>
        <v>90108538</v>
      </c>
    </row>
    <row r="1227" spans="1:36" x14ac:dyDescent="0.2">
      <c r="A1227" s="1254" t="s">
        <v>145</v>
      </c>
      <c r="B1227" s="1255" t="s">
        <v>264</v>
      </c>
      <c r="C1227" s="1256" t="s">
        <v>1244</v>
      </c>
      <c r="D1227" s="1257"/>
      <c r="E1227" s="1258">
        <v>160658</v>
      </c>
      <c r="F1227" s="1259">
        <v>2</v>
      </c>
      <c r="G1227" s="859">
        <v>56703542</v>
      </c>
      <c r="H1227" s="860">
        <v>47597349</v>
      </c>
      <c r="I1227" s="861"/>
      <c r="J1227" s="862"/>
      <c r="K1227" s="859"/>
      <c r="L1227" s="863"/>
      <c r="M1227" s="859">
        <v>69729300</v>
      </c>
      <c r="N1227" s="859"/>
      <c r="O1227" s="752">
        <f t="shared" ref="O1227:O1290" si="170">SUM(M1227:N1227)</f>
        <v>69729300</v>
      </c>
      <c r="P1227" s="862">
        <v>76591326</v>
      </c>
      <c r="Q1227" s="860"/>
      <c r="R1227" s="753">
        <f t="shared" si="165"/>
        <v>76591326</v>
      </c>
      <c r="S1227" s="752">
        <f t="shared" si="166"/>
        <v>126432842</v>
      </c>
      <c r="T1227" s="754">
        <f t="shared" si="167"/>
        <v>124188675</v>
      </c>
      <c r="U1227" s="859"/>
      <c r="V1227" s="863"/>
      <c r="W1227" s="859"/>
      <c r="X1227" s="859"/>
      <c r="Y1227" s="755">
        <f t="shared" ref="Y1227:Y1290" si="171">SUM(W1227:X1227)</f>
        <v>0</v>
      </c>
      <c r="Z1227" s="864"/>
      <c r="AA1227" s="863"/>
      <c r="AB1227" s="756">
        <f t="shared" ref="AB1227:AB1290" si="172">SUM(Z1227:AA1227)</f>
        <v>0</v>
      </c>
      <c r="AC1227" s="859"/>
      <c r="AD1227" s="863"/>
      <c r="AE1227" s="859"/>
      <c r="AF1227" s="859"/>
      <c r="AG1227" s="864"/>
      <c r="AH1227" s="865"/>
      <c r="AI1227" s="757">
        <f t="shared" si="168"/>
        <v>126432842</v>
      </c>
      <c r="AJ1227" s="758">
        <f t="shared" si="169"/>
        <v>124188675</v>
      </c>
    </row>
    <row r="1228" spans="1:36" x14ac:dyDescent="0.2">
      <c r="A1228" s="1254" t="s">
        <v>145</v>
      </c>
      <c r="B1228" s="1255" t="s">
        <v>264</v>
      </c>
      <c r="C1228" s="1256" t="s">
        <v>1245</v>
      </c>
      <c r="D1228" s="1257"/>
      <c r="E1228" s="1258">
        <v>159939</v>
      </c>
      <c r="F1228" s="1259">
        <v>2</v>
      </c>
      <c r="G1228" s="859">
        <v>38433113</v>
      </c>
      <c r="H1228" s="860">
        <v>32713516</v>
      </c>
      <c r="I1228" s="861"/>
      <c r="J1228" s="862"/>
      <c r="K1228" s="859"/>
      <c r="L1228" s="863"/>
      <c r="M1228" s="859">
        <v>65170399</v>
      </c>
      <c r="N1228" s="859"/>
      <c r="O1228" s="752">
        <f t="shared" si="170"/>
        <v>65170399</v>
      </c>
      <c r="P1228" s="862">
        <v>67064964</v>
      </c>
      <c r="Q1228" s="860"/>
      <c r="R1228" s="753">
        <f t="shared" ref="R1228:R1291" si="173">SUM(P1228:Q1228)</f>
        <v>67064964</v>
      </c>
      <c r="S1228" s="752">
        <f t="shared" ref="S1228:S1291" si="174">SUM(G1228,I1228,K1228,M1228)</f>
        <v>103603512</v>
      </c>
      <c r="T1228" s="754">
        <f t="shared" ref="T1228:T1291" si="175">SUM(H1228,J1228,L1228,P1228)</f>
        <v>99778480</v>
      </c>
      <c r="U1228" s="859"/>
      <c r="V1228" s="863"/>
      <c r="W1228" s="859"/>
      <c r="X1228" s="859"/>
      <c r="Y1228" s="755">
        <f t="shared" si="171"/>
        <v>0</v>
      </c>
      <c r="Z1228" s="864"/>
      <c r="AA1228" s="863"/>
      <c r="AB1228" s="756">
        <f t="shared" si="172"/>
        <v>0</v>
      </c>
      <c r="AC1228" s="859"/>
      <c r="AD1228" s="863"/>
      <c r="AE1228" s="859"/>
      <c r="AF1228" s="859"/>
      <c r="AG1228" s="864"/>
      <c r="AH1228" s="865"/>
      <c r="AI1228" s="757">
        <f t="shared" ref="AI1228:AI1291" si="176">SUM(S1228,U1228,W1228,AC1228,AE1228)</f>
        <v>103603512</v>
      </c>
      <c r="AJ1228" s="758">
        <f t="shared" ref="AJ1228:AJ1291" si="177">SUM(T1228,V1228,Z1228,AD1228,AG1228)</f>
        <v>99778480</v>
      </c>
    </row>
    <row r="1229" spans="1:36" x14ac:dyDescent="0.2">
      <c r="A1229" s="1254" t="s">
        <v>145</v>
      </c>
      <c r="B1229" s="1255" t="s">
        <v>264</v>
      </c>
      <c r="C1229" s="1263" t="s">
        <v>1246</v>
      </c>
      <c r="D1229" s="1264"/>
      <c r="E1229" s="1258">
        <v>160612</v>
      </c>
      <c r="F1229" s="1259">
        <v>3</v>
      </c>
      <c r="G1229" s="859">
        <v>39301339</v>
      </c>
      <c r="H1229" s="860">
        <v>31582069</v>
      </c>
      <c r="I1229" s="861"/>
      <c r="J1229" s="862"/>
      <c r="K1229" s="859"/>
      <c r="L1229" s="863"/>
      <c r="M1229" s="859">
        <v>64947412</v>
      </c>
      <c r="N1229" s="859"/>
      <c r="O1229" s="752">
        <f t="shared" si="170"/>
        <v>64947412</v>
      </c>
      <c r="P1229" s="862">
        <v>69906315</v>
      </c>
      <c r="Q1229" s="860"/>
      <c r="R1229" s="753">
        <f t="shared" si="173"/>
        <v>69906315</v>
      </c>
      <c r="S1229" s="752">
        <f t="shared" si="174"/>
        <v>104248751</v>
      </c>
      <c r="T1229" s="754">
        <f t="shared" si="175"/>
        <v>101488384</v>
      </c>
      <c r="U1229" s="859"/>
      <c r="V1229" s="863"/>
      <c r="W1229" s="859"/>
      <c r="X1229" s="859"/>
      <c r="Y1229" s="755">
        <f t="shared" si="171"/>
        <v>0</v>
      </c>
      <c r="Z1229" s="864"/>
      <c r="AA1229" s="863"/>
      <c r="AB1229" s="756">
        <f t="shared" si="172"/>
        <v>0</v>
      </c>
      <c r="AC1229" s="859"/>
      <c r="AD1229" s="863"/>
      <c r="AE1229" s="859"/>
      <c r="AF1229" s="859"/>
      <c r="AG1229" s="864"/>
      <c r="AH1229" s="865"/>
      <c r="AI1229" s="757">
        <f t="shared" si="176"/>
        <v>104248751</v>
      </c>
      <c r="AJ1229" s="758">
        <f t="shared" si="177"/>
        <v>101488384</v>
      </c>
    </row>
    <row r="1230" spans="1:36" x14ac:dyDescent="0.2">
      <c r="A1230" s="1254" t="s">
        <v>145</v>
      </c>
      <c r="B1230" s="1255" t="s">
        <v>264</v>
      </c>
      <c r="C1230" s="1256" t="s">
        <v>1247</v>
      </c>
      <c r="D1230" s="1267"/>
      <c r="E1230" s="1258">
        <v>160621</v>
      </c>
      <c r="F1230" s="1259">
        <v>3</v>
      </c>
      <c r="G1230" s="859">
        <v>29353076</v>
      </c>
      <c r="H1230" s="860">
        <v>24741106</v>
      </c>
      <c r="I1230" s="861"/>
      <c r="J1230" s="862"/>
      <c r="K1230" s="859"/>
      <c r="L1230" s="863"/>
      <c r="M1230" s="859">
        <v>37451464</v>
      </c>
      <c r="N1230" s="859"/>
      <c r="O1230" s="752">
        <f t="shared" si="170"/>
        <v>37451464</v>
      </c>
      <c r="P1230" s="862">
        <v>37837989</v>
      </c>
      <c r="Q1230" s="860"/>
      <c r="R1230" s="753">
        <f t="shared" si="173"/>
        <v>37837989</v>
      </c>
      <c r="S1230" s="752">
        <f t="shared" si="174"/>
        <v>66804540</v>
      </c>
      <c r="T1230" s="754">
        <f t="shared" si="175"/>
        <v>62579095</v>
      </c>
      <c r="U1230" s="859"/>
      <c r="V1230" s="863"/>
      <c r="W1230" s="859"/>
      <c r="X1230" s="859"/>
      <c r="Y1230" s="755">
        <f t="shared" si="171"/>
        <v>0</v>
      </c>
      <c r="Z1230" s="864"/>
      <c r="AA1230" s="863"/>
      <c r="AB1230" s="756">
        <f t="shared" si="172"/>
        <v>0</v>
      </c>
      <c r="AC1230" s="859"/>
      <c r="AD1230" s="863"/>
      <c r="AE1230" s="859"/>
      <c r="AF1230" s="859"/>
      <c r="AG1230" s="864"/>
      <c r="AH1230" s="865"/>
      <c r="AI1230" s="757">
        <f t="shared" si="176"/>
        <v>66804540</v>
      </c>
      <c r="AJ1230" s="758">
        <f t="shared" si="177"/>
        <v>62579095</v>
      </c>
    </row>
    <row r="1231" spans="1:36" x14ac:dyDescent="0.2">
      <c r="A1231" s="1254" t="s">
        <v>145</v>
      </c>
      <c r="B1231" s="1255" t="s">
        <v>264</v>
      </c>
      <c r="C1231" s="1262" t="s">
        <v>1248</v>
      </c>
      <c r="D1231" s="1261"/>
      <c r="E1231" s="1258">
        <v>160621</v>
      </c>
      <c r="F1231" s="1259">
        <v>3</v>
      </c>
      <c r="G1231" s="859">
        <v>4172612</v>
      </c>
      <c r="H1231" s="860">
        <v>4163974</v>
      </c>
      <c r="I1231" s="861"/>
      <c r="J1231" s="862"/>
      <c r="K1231" s="859"/>
      <c r="L1231" s="863"/>
      <c r="M1231" s="859">
        <v>8492876</v>
      </c>
      <c r="N1231" s="859"/>
      <c r="O1231" s="752">
        <f t="shared" si="170"/>
        <v>8492876</v>
      </c>
      <c r="P1231" s="862">
        <v>8492876</v>
      </c>
      <c r="Q1231" s="860"/>
      <c r="R1231" s="753">
        <f t="shared" si="173"/>
        <v>8492876</v>
      </c>
      <c r="S1231" s="752">
        <f t="shared" si="174"/>
        <v>12665488</v>
      </c>
      <c r="T1231" s="754">
        <f t="shared" si="175"/>
        <v>12656850</v>
      </c>
      <c r="U1231" s="859"/>
      <c r="V1231" s="863"/>
      <c r="W1231" s="859"/>
      <c r="X1231" s="859"/>
      <c r="Y1231" s="755">
        <f t="shared" si="171"/>
        <v>0</v>
      </c>
      <c r="Z1231" s="864"/>
      <c r="AA1231" s="863"/>
      <c r="AB1231" s="756">
        <f t="shared" si="172"/>
        <v>0</v>
      </c>
      <c r="AC1231" s="859"/>
      <c r="AD1231" s="863"/>
      <c r="AE1231" s="859"/>
      <c r="AF1231" s="859"/>
      <c r="AG1231" s="864"/>
      <c r="AH1231" s="865"/>
      <c r="AI1231" s="757">
        <f t="shared" si="176"/>
        <v>12665488</v>
      </c>
      <c r="AJ1231" s="758">
        <f t="shared" si="177"/>
        <v>12656850</v>
      </c>
    </row>
    <row r="1232" spans="1:36" x14ac:dyDescent="0.2">
      <c r="A1232" s="1254" t="s">
        <v>145</v>
      </c>
      <c r="B1232" s="1255" t="s">
        <v>268</v>
      </c>
      <c r="C1232" s="1260" t="s">
        <v>1241</v>
      </c>
      <c r="D1232" s="1261"/>
      <c r="E1232" s="1258">
        <v>160621</v>
      </c>
      <c r="F1232" s="1259">
        <v>3</v>
      </c>
      <c r="G1232" s="859"/>
      <c r="H1232" s="860"/>
      <c r="I1232" s="861"/>
      <c r="J1232" s="862"/>
      <c r="K1232" s="859"/>
      <c r="L1232" s="863"/>
      <c r="M1232" s="859"/>
      <c r="N1232" s="859"/>
      <c r="O1232" s="752">
        <f t="shared" si="170"/>
        <v>0</v>
      </c>
      <c r="P1232" s="862"/>
      <c r="Q1232" s="860"/>
      <c r="R1232" s="753">
        <f t="shared" si="173"/>
        <v>0</v>
      </c>
      <c r="S1232" s="752">
        <f t="shared" si="174"/>
        <v>0</v>
      </c>
      <c r="T1232" s="754">
        <f t="shared" si="175"/>
        <v>0</v>
      </c>
      <c r="U1232" s="859"/>
      <c r="V1232" s="863"/>
      <c r="W1232" s="859"/>
      <c r="X1232" s="859"/>
      <c r="Y1232" s="755">
        <f t="shared" si="171"/>
        <v>0</v>
      </c>
      <c r="Z1232" s="864"/>
      <c r="AA1232" s="863"/>
      <c r="AB1232" s="756">
        <f t="shared" si="172"/>
        <v>0</v>
      </c>
      <c r="AC1232" s="859"/>
      <c r="AD1232" s="863"/>
      <c r="AE1232" s="859"/>
      <c r="AF1232" s="859"/>
      <c r="AG1232" s="864"/>
      <c r="AH1232" s="865"/>
      <c r="AI1232" s="757">
        <f t="shared" si="176"/>
        <v>0</v>
      </c>
      <c r="AJ1232" s="758">
        <f t="shared" si="177"/>
        <v>0</v>
      </c>
    </row>
    <row r="1233" spans="1:36" x14ac:dyDescent="0.2">
      <c r="A1233" s="1254" t="s">
        <v>145</v>
      </c>
      <c r="B1233" s="1255" t="s">
        <v>268</v>
      </c>
      <c r="C1233" s="1262" t="s">
        <v>1249</v>
      </c>
      <c r="D1233" s="1261"/>
      <c r="E1233" s="1258">
        <v>160621</v>
      </c>
      <c r="F1233" s="1259">
        <v>3</v>
      </c>
      <c r="G1233" s="859"/>
      <c r="H1233" s="860"/>
      <c r="I1233" s="861">
        <v>4317454</v>
      </c>
      <c r="J1233" s="862">
        <v>5215083</v>
      </c>
      <c r="K1233" s="859"/>
      <c r="L1233" s="863"/>
      <c r="M1233" s="859"/>
      <c r="N1233" s="859"/>
      <c r="O1233" s="752">
        <f t="shared" si="170"/>
        <v>0</v>
      </c>
      <c r="P1233" s="862"/>
      <c r="Q1233" s="860"/>
      <c r="R1233" s="753">
        <f t="shared" si="173"/>
        <v>0</v>
      </c>
      <c r="S1233" s="752">
        <f t="shared" si="174"/>
        <v>4317454</v>
      </c>
      <c r="T1233" s="754">
        <f t="shared" si="175"/>
        <v>5215083</v>
      </c>
      <c r="U1233" s="859"/>
      <c r="V1233" s="863"/>
      <c r="W1233" s="859"/>
      <c r="X1233" s="859"/>
      <c r="Y1233" s="755">
        <f t="shared" si="171"/>
        <v>0</v>
      </c>
      <c r="Z1233" s="864"/>
      <c r="AA1233" s="863"/>
      <c r="AB1233" s="756">
        <f t="shared" si="172"/>
        <v>0</v>
      </c>
      <c r="AC1233" s="859"/>
      <c r="AD1233" s="863"/>
      <c r="AE1233" s="859"/>
      <c r="AF1233" s="859"/>
      <c r="AG1233" s="864"/>
      <c r="AH1233" s="865"/>
      <c r="AI1233" s="757">
        <f t="shared" si="176"/>
        <v>4317454</v>
      </c>
      <c r="AJ1233" s="758">
        <f t="shared" si="177"/>
        <v>5215083</v>
      </c>
    </row>
    <row r="1234" spans="1:36" x14ac:dyDescent="0.2">
      <c r="A1234" s="1254" t="s">
        <v>145</v>
      </c>
      <c r="B1234" s="1255" t="s">
        <v>264</v>
      </c>
      <c r="C1234" s="1256" t="s">
        <v>1250</v>
      </c>
      <c r="D1234" s="1257"/>
      <c r="E1234" s="1258">
        <v>159993</v>
      </c>
      <c r="F1234" s="1259">
        <v>3</v>
      </c>
      <c r="G1234" s="859">
        <v>30975353</v>
      </c>
      <c r="H1234" s="860">
        <v>26362846</v>
      </c>
      <c r="I1234" s="861"/>
      <c r="J1234" s="862"/>
      <c r="K1234" s="859"/>
      <c r="L1234" s="863"/>
      <c r="M1234" s="859">
        <v>40249575</v>
      </c>
      <c r="N1234" s="859"/>
      <c r="O1234" s="752">
        <f t="shared" si="170"/>
        <v>40249575</v>
      </c>
      <c r="P1234" s="862">
        <v>43816288</v>
      </c>
      <c r="Q1234" s="860"/>
      <c r="R1234" s="753">
        <f t="shared" si="173"/>
        <v>43816288</v>
      </c>
      <c r="S1234" s="752">
        <f t="shared" si="174"/>
        <v>71224928</v>
      </c>
      <c r="T1234" s="754">
        <f t="shared" si="175"/>
        <v>70179134</v>
      </c>
      <c r="U1234" s="859"/>
      <c r="V1234" s="863"/>
      <c r="W1234" s="859"/>
      <c r="X1234" s="859"/>
      <c r="Y1234" s="755">
        <f t="shared" si="171"/>
        <v>0</v>
      </c>
      <c r="Z1234" s="864"/>
      <c r="AA1234" s="863"/>
      <c r="AB1234" s="756">
        <f t="shared" si="172"/>
        <v>0</v>
      </c>
      <c r="AC1234" s="859"/>
      <c r="AD1234" s="863"/>
      <c r="AE1234" s="859"/>
      <c r="AF1234" s="859"/>
      <c r="AG1234" s="864"/>
      <c r="AH1234" s="865"/>
      <c r="AI1234" s="757">
        <f t="shared" si="176"/>
        <v>71224928</v>
      </c>
      <c r="AJ1234" s="758">
        <f t="shared" si="177"/>
        <v>70179134</v>
      </c>
    </row>
    <row r="1235" spans="1:36" x14ac:dyDescent="0.2">
      <c r="A1235" s="1254" t="s">
        <v>145</v>
      </c>
      <c r="B1235" s="1255" t="s">
        <v>264</v>
      </c>
      <c r="C1235" s="1256" t="s">
        <v>1251</v>
      </c>
      <c r="D1235" s="1267"/>
      <c r="E1235" s="1273">
        <v>159009</v>
      </c>
      <c r="F1235" s="1266">
        <v>4</v>
      </c>
      <c r="G1235" s="859">
        <v>16116486</v>
      </c>
      <c r="H1235" s="860">
        <v>13891949</v>
      </c>
      <c r="I1235" s="861"/>
      <c r="J1235" s="862"/>
      <c r="K1235" s="859"/>
      <c r="L1235" s="863"/>
      <c r="M1235" s="859">
        <v>35027884</v>
      </c>
      <c r="N1235" s="859"/>
      <c r="O1235" s="752">
        <f t="shared" si="170"/>
        <v>35027884</v>
      </c>
      <c r="P1235" s="862">
        <v>34420770</v>
      </c>
      <c r="Q1235" s="860"/>
      <c r="R1235" s="753">
        <f t="shared" si="173"/>
        <v>34420770</v>
      </c>
      <c r="S1235" s="752">
        <f t="shared" si="174"/>
        <v>51144370</v>
      </c>
      <c r="T1235" s="754">
        <f t="shared" si="175"/>
        <v>48312719</v>
      </c>
      <c r="U1235" s="859"/>
      <c r="V1235" s="863"/>
      <c r="W1235" s="859"/>
      <c r="X1235" s="859"/>
      <c r="Y1235" s="755">
        <f t="shared" si="171"/>
        <v>0</v>
      </c>
      <c r="Z1235" s="864"/>
      <c r="AA1235" s="863"/>
      <c r="AB1235" s="756">
        <f t="shared" si="172"/>
        <v>0</v>
      </c>
      <c r="AC1235" s="859"/>
      <c r="AD1235" s="863"/>
      <c r="AE1235" s="859"/>
      <c r="AF1235" s="859"/>
      <c r="AG1235" s="864"/>
      <c r="AH1235" s="865"/>
      <c r="AI1235" s="757">
        <f t="shared" si="176"/>
        <v>51144370</v>
      </c>
      <c r="AJ1235" s="758">
        <f t="shared" si="177"/>
        <v>48312719</v>
      </c>
    </row>
    <row r="1236" spans="1:36" x14ac:dyDescent="0.2">
      <c r="A1236" s="1254" t="s">
        <v>145</v>
      </c>
      <c r="B1236" s="1255" t="s">
        <v>264</v>
      </c>
      <c r="C1236" s="1256" t="s">
        <v>1252</v>
      </c>
      <c r="D1236" s="1267"/>
      <c r="E1236" s="1273">
        <v>159416</v>
      </c>
      <c r="F1236" s="1266">
        <v>4</v>
      </c>
      <c r="G1236" s="859">
        <v>9997854</v>
      </c>
      <c r="H1236" s="860">
        <v>7844685</v>
      </c>
      <c r="I1236" s="861"/>
      <c r="J1236" s="862"/>
      <c r="K1236" s="859"/>
      <c r="L1236" s="863"/>
      <c r="M1236" s="859">
        <v>18492357</v>
      </c>
      <c r="N1236" s="859"/>
      <c r="O1236" s="752">
        <f t="shared" si="170"/>
        <v>18492357</v>
      </c>
      <c r="P1236" s="862">
        <v>20420029</v>
      </c>
      <c r="Q1236" s="860"/>
      <c r="R1236" s="753">
        <f t="shared" si="173"/>
        <v>20420029</v>
      </c>
      <c r="S1236" s="752">
        <f t="shared" si="174"/>
        <v>28490211</v>
      </c>
      <c r="T1236" s="754">
        <f t="shared" si="175"/>
        <v>28264714</v>
      </c>
      <c r="U1236" s="859"/>
      <c r="V1236" s="863"/>
      <c r="W1236" s="859"/>
      <c r="X1236" s="859"/>
      <c r="Y1236" s="755">
        <f t="shared" si="171"/>
        <v>0</v>
      </c>
      <c r="Z1236" s="864"/>
      <c r="AA1236" s="863"/>
      <c r="AB1236" s="756">
        <f t="shared" si="172"/>
        <v>0</v>
      </c>
      <c r="AC1236" s="859"/>
      <c r="AD1236" s="863"/>
      <c r="AE1236" s="859"/>
      <c r="AF1236" s="859"/>
      <c r="AG1236" s="864"/>
      <c r="AH1236" s="865"/>
      <c r="AI1236" s="757">
        <f t="shared" si="176"/>
        <v>28490211</v>
      </c>
      <c r="AJ1236" s="758">
        <f t="shared" si="177"/>
        <v>28264714</v>
      </c>
    </row>
    <row r="1237" spans="1:36" x14ac:dyDescent="0.2">
      <c r="A1237" s="1254" t="s">
        <v>145</v>
      </c>
      <c r="B1237" s="1255" t="s">
        <v>264</v>
      </c>
      <c r="C1237" s="1256" t="s">
        <v>1253</v>
      </c>
      <c r="D1237" s="1267"/>
      <c r="E1237" s="1273">
        <v>159717</v>
      </c>
      <c r="F1237" s="1266">
        <v>4</v>
      </c>
      <c r="G1237" s="859">
        <v>23142671</v>
      </c>
      <c r="H1237" s="860">
        <v>20583545</v>
      </c>
      <c r="I1237" s="861"/>
      <c r="J1237" s="862"/>
      <c r="K1237" s="859"/>
      <c r="L1237" s="863"/>
      <c r="M1237" s="859">
        <v>35670828</v>
      </c>
      <c r="N1237" s="859"/>
      <c r="O1237" s="752">
        <f t="shared" si="170"/>
        <v>35670828</v>
      </c>
      <c r="P1237" s="862">
        <v>39657842</v>
      </c>
      <c r="Q1237" s="860"/>
      <c r="R1237" s="753">
        <f t="shared" si="173"/>
        <v>39657842</v>
      </c>
      <c r="S1237" s="752">
        <f t="shared" si="174"/>
        <v>58813499</v>
      </c>
      <c r="T1237" s="754">
        <f t="shared" si="175"/>
        <v>60241387</v>
      </c>
      <c r="U1237" s="859"/>
      <c r="V1237" s="863"/>
      <c r="W1237" s="859"/>
      <c r="X1237" s="859"/>
      <c r="Y1237" s="755">
        <f t="shared" si="171"/>
        <v>0</v>
      </c>
      <c r="Z1237" s="864"/>
      <c r="AA1237" s="863"/>
      <c r="AB1237" s="756">
        <f t="shared" si="172"/>
        <v>0</v>
      </c>
      <c r="AC1237" s="859"/>
      <c r="AD1237" s="863"/>
      <c r="AE1237" s="859"/>
      <c r="AF1237" s="859"/>
      <c r="AG1237" s="864"/>
      <c r="AH1237" s="865"/>
      <c r="AI1237" s="757">
        <f t="shared" si="176"/>
        <v>58813499</v>
      </c>
      <c r="AJ1237" s="758">
        <f t="shared" si="177"/>
        <v>60241387</v>
      </c>
    </row>
    <row r="1238" spans="1:36" x14ac:dyDescent="0.2">
      <c r="A1238" s="1254" t="s">
        <v>145</v>
      </c>
      <c r="B1238" s="1255" t="s">
        <v>264</v>
      </c>
      <c r="C1238" s="1263" t="s">
        <v>1254</v>
      </c>
      <c r="D1238" s="1267"/>
      <c r="E1238" s="1273">
        <v>159966</v>
      </c>
      <c r="F1238" s="1266">
        <v>4</v>
      </c>
      <c r="G1238" s="859">
        <v>18346022</v>
      </c>
      <c r="H1238" s="860">
        <v>16072597</v>
      </c>
      <c r="I1238" s="861"/>
      <c r="J1238" s="862"/>
      <c r="K1238" s="859"/>
      <c r="L1238" s="863"/>
      <c r="M1238" s="859">
        <v>30237559</v>
      </c>
      <c r="N1238" s="859"/>
      <c r="O1238" s="752">
        <f t="shared" si="170"/>
        <v>30237559</v>
      </c>
      <c r="P1238" s="862">
        <v>32207400</v>
      </c>
      <c r="Q1238" s="860"/>
      <c r="R1238" s="753">
        <f t="shared" si="173"/>
        <v>32207400</v>
      </c>
      <c r="S1238" s="752">
        <f t="shared" si="174"/>
        <v>48583581</v>
      </c>
      <c r="T1238" s="754">
        <f t="shared" si="175"/>
        <v>48279997</v>
      </c>
      <c r="U1238" s="859"/>
      <c r="V1238" s="863"/>
      <c r="W1238" s="859"/>
      <c r="X1238" s="859"/>
      <c r="Y1238" s="755">
        <f t="shared" si="171"/>
        <v>0</v>
      </c>
      <c r="Z1238" s="864"/>
      <c r="AA1238" s="863"/>
      <c r="AB1238" s="756">
        <f t="shared" si="172"/>
        <v>0</v>
      </c>
      <c r="AC1238" s="859"/>
      <c r="AD1238" s="863"/>
      <c r="AE1238" s="859"/>
      <c r="AF1238" s="859"/>
      <c r="AG1238" s="864"/>
      <c r="AH1238" s="865"/>
      <c r="AI1238" s="757">
        <f t="shared" si="176"/>
        <v>48583581</v>
      </c>
      <c r="AJ1238" s="758">
        <f t="shared" si="177"/>
        <v>48279997</v>
      </c>
    </row>
    <row r="1239" spans="1:36" x14ac:dyDescent="0.2">
      <c r="A1239" s="1254" t="s">
        <v>145</v>
      </c>
      <c r="B1239" s="1255" t="s">
        <v>264</v>
      </c>
      <c r="C1239" s="1256" t="s">
        <v>1255</v>
      </c>
      <c r="D1239" s="1267"/>
      <c r="E1239" s="1273">
        <v>160038</v>
      </c>
      <c r="F1239" s="1266">
        <v>4</v>
      </c>
      <c r="G1239" s="859">
        <v>26115237</v>
      </c>
      <c r="H1239" s="860">
        <v>21699327</v>
      </c>
      <c r="I1239" s="861"/>
      <c r="J1239" s="862"/>
      <c r="K1239" s="859"/>
      <c r="L1239" s="863"/>
      <c r="M1239" s="859">
        <v>42812195</v>
      </c>
      <c r="N1239" s="859"/>
      <c r="O1239" s="752">
        <f t="shared" si="170"/>
        <v>42812195</v>
      </c>
      <c r="P1239" s="862">
        <v>46321824</v>
      </c>
      <c r="Q1239" s="860"/>
      <c r="R1239" s="753">
        <f t="shared" si="173"/>
        <v>46321824</v>
      </c>
      <c r="S1239" s="752">
        <f t="shared" si="174"/>
        <v>68927432</v>
      </c>
      <c r="T1239" s="754">
        <f t="shared" si="175"/>
        <v>68021151</v>
      </c>
      <c r="U1239" s="859"/>
      <c r="V1239" s="863"/>
      <c r="W1239" s="859"/>
      <c r="X1239" s="859"/>
      <c r="Y1239" s="755">
        <f t="shared" si="171"/>
        <v>0</v>
      </c>
      <c r="Z1239" s="864"/>
      <c r="AA1239" s="863"/>
      <c r="AB1239" s="756">
        <f t="shared" si="172"/>
        <v>0</v>
      </c>
      <c r="AC1239" s="859"/>
      <c r="AD1239" s="863"/>
      <c r="AE1239" s="859"/>
      <c r="AF1239" s="859"/>
      <c r="AG1239" s="864"/>
      <c r="AH1239" s="865"/>
      <c r="AI1239" s="757">
        <f t="shared" si="176"/>
        <v>68927432</v>
      </c>
      <c r="AJ1239" s="758">
        <f t="shared" si="177"/>
        <v>68021151</v>
      </c>
    </row>
    <row r="1240" spans="1:36" x14ac:dyDescent="0.2">
      <c r="A1240" s="1254" t="s">
        <v>145</v>
      </c>
      <c r="B1240" s="1255" t="s">
        <v>264</v>
      </c>
      <c r="C1240" s="1268" t="s">
        <v>1256</v>
      </c>
      <c r="D1240" s="1267" t="s">
        <v>1129</v>
      </c>
      <c r="E1240" s="1273">
        <v>160630</v>
      </c>
      <c r="F1240" s="1266">
        <v>4</v>
      </c>
      <c r="G1240" s="859">
        <v>7978298</v>
      </c>
      <c r="H1240" s="860">
        <v>8038737</v>
      </c>
      <c r="I1240" s="861"/>
      <c r="J1240" s="862"/>
      <c r="K1240" s="859"/>
      <c r="L1240" s="863"/>
      <c r="M1240" s="859">
        <v>11097420</v>
      </c>
      <c r="N1240" s="859"/>
      <c r="O1240" s="752">
        <f t="shared" si="170"/>
        <v>11097420</v>
      </c>
      <c r="P1240" s="862">
        <v>11665746</v>
      </c>
      <c r="Q1240" s="860"/>
      <c r="R1240" s="753">
        <f t="shared" si="173"/>
        <v>11665746</v>
      </c>
      <c r="S1240" s="752">
        <f t="shared" si="174"/>
        <v>19075718</v>
      </c>
      <c r="T1240" s="754">
        <f t="shared" si="175"/>
        <v>19704483</v>
      </c>
      <c r="U1240" s="859"/>
      <c r="V1240" s="863"/>
      <c r="W1240" s="859"/>
      <c r="X1240" s="859"/>
      <c r="Y1240" s="755">
        <f t="shared" si="171"/>
        <v>0</v>
      </c>
      <c r="Z1240" s="864"/>
      <c r="AA1240" s="863"/>
      <c r="AB1240" s="756">
        <f t="shared" si="172"/>
        <v>0</v>
      </c>
      <c r="AC1240" s="859"/>
      <c r="AD1240" s="863"/>
      <c r="AE1240" s="859"/>
      <c r="AF1240" s="859"/>
      <c r="AG1240" s="864"/>
      <c r="AH1240" s="865"/>
      <c r="AI1240" s="757">
        <f t="shared" si="176"/>
        <v>19075718</v>
      </c>
      <c r="AJ1240" s="758">
        <f t="shared" si="177"/>
        <v>19704483</v>
      </c>
    </row>
    <row r="1241" spans="1:36" x14ac:dyDescent="0.2">
      <c r="A1241" s="1254" t="s">
        <v>145</v>
      </c>
      <c r="B1241" s="1255" t="s">
        <v>264</v>
      </c>
      <c r="C1241" s="1268" t="s">
        <v>1257</v>
      </c>
      <c r="D1241" s="1269"/>
      <c r="E1241" s="1273">
        <v>159382</v>
      </c>
      <c r="F1241" s="1266">
        <v>6</v>
      </c>
      <c r="G1241" s="859">
        <v>6620415</v>
      </c>
      <c r="H1241" s="860">
        <v>5520027</v>
      </c>
      <c r="I1241" s="861"/>
      <c r="J1241" s="862"/>
      <c r="K1241" s="859"/>
      <c r="L1241" s="863"/>
      <c r="M1241" s="859">
        <v>9115459</v>
      </c>
      <c r="N1241" s="859"/>
      <c r="O1241" s="752">
        <f t="shared" si="170"/>
        <v>9115459</v>
      </c>
      <c r="P1241" s="862">
        <v>9838448</v>
      </c>
      <c r="Q1241" s="860"/>
      <c r="R1241" s="753">
        <f t="shared" si="173"/>
        <v>9838448</v>
      </c>
      <c r="S1241" s="752">
        <f t="shared" si="174"/>
        <v>15735874</v>
      </c>
      <c r="T1241" s="754">
        <f t="shared" si="175"/>
        <v>15358475</v>
      </c>
      <c r="U1241" s="859"/>
      <c r="V1241" s="863"/>
      <c r="W1241" s="859"/>
      <c r="X1241" s="859"/>
      <c r="Y1241" s="755">
        <f t="shared" si="171"/>
        <v>0</v>
      </c>
      <c r="Z1241" s="864"/>
      <c r="AA1241" s="863"/>
      <c r="AB1241" s="756">
        <f t="shared" si="172"/>
        <v>0</v>
      </c>
      <c r="AC1241" s="859"/>
      <c r="AD1241" s="863"/>
      <c r="AE1241" s="859"/>
      <c r="AF1241" s="859"/>
      <c r="AG1241" s="864"/>
      <c r="AH1241" s="865"/>
      <c r="AI1241" s="757">
        <f t="shared" si="176"/>
        <v>15735874</v>
      </c>
      <c r="AJ1241" s="758">
        <f t="shared" si="177"/>
        <v>15358475</v>
      </c>
    </row>
    <row r="1242" spans="1:36" x14ac:dyDescent="0.2">
      <c r="A1242" s="1254" t="s">
        <v>145</v>
      </c>
      <c r="B1242" s="1255" t="s">
        <v>264</v>
      </c>
      <c r="C1242" s="1271" t="s">
        <v>1258</v>
      </c>
      <c r="D1242" s="1272"/>
      <c r="E1242" s="1273">
        <v>437103</v>
      </c>
      <c r="F1242" s="1275">
        <v>8</v>
      </c>
      <c r="G1242" s="859">
        <v>10059999</v>
      </c>
      <c r="H1242" s="860">
        <v>15506345</v>
      </c>
      <c r="I1242" s="861"/>
      <c r="J1242" s="862"/>
      <c r="K1242" s="859"/>
      <c r="L1242" s="863"/>
      <c r="M1242" s="859">
        <v>16970214</v>
      </c>
      <c r="N1242" s="859"/>
      <c r="O1242" s="752">
        <f t="shared" si="170"/>
        <v>16970214</v>
      </c>
      <c r="P1242" s="862">
        <v>21176742</v>
      </c>
      <c r="Q1242" s="860"/>
      <c r="R1242" s="753">
        <f t="shared" si="173"/>
        <v>21176742</v>
      </c>
      <c r="S1242" s="752">
        <f t="shared" si="174"/>
        <v>27030213</v>
      </c>
      <c r="T1242" s="754">
        <f t="shared" si="175"/>
        <v>36683087</v>
      </c>
      <c r="U1242" s="859"/>
      <c r="V1242" s="863"/>
      <c r="W1242" s="859"/>
      <c r="X1242" s="859"/>
      <c r="Y1242" s="755">
        <f t="shared" si="171"/>
        <v>0</v>
      </c>
      <c r="Z1242" s="864"/>
      <c r="AA1242" s="863"/>
      <c r="AB1242" s="756">
        <f t="shared" si="172"/>
        <v>0</v>
      </c>
      <c r="AC1242" s="859"/>
      <c r="AD1242" s="863"/>
      <c r="AE1242" s="859"/>
      <c r="AF1242" s="859"/>
      <c r="AG1242" s="864"/>
      <c r="AH1242" s="865"/>
      <c r="AI1242" s="757">
        <f t="shared" si="176"/>
        <v>27030213</v>
      </c>
      <c r="AJ1242" s="758">
        <f t="shared" si="177"/>
        <v>36683087</v>
      </c>
    </row>
    <row r="1243" spans="1:36" x14ac:dyDescent="0.2">
      <c r="A1243" s="1254" t="s">
        <v>145</v>
      </c>
      <c r="B1243" s="1255" t="s">
        <v>264</v>
      </c>
      <c r="C1243" s="1268" t="s">
        <v>1259</v>
      </c>
      <c r="D1243" s="1269"/>
      <c r="E1243" s="1273">
        <v>158431</v>
      </c>
      <c r="F1243" s="1270">
        <v>8</v>
      </c>
      <c r="G1243" s="859">
        <v>8266984</v>
      </c>
      <c r="H1243" s="860">
        <v>7597351</v>
      </c>
      <c r="I1243" s="861"/>
      <c r="J1243" s="862"/>
      <c r="K1243" s="859"/>
      <c r="L1243" s="863"/>
      <c r="M1243" s="859">
        <v>17667305</v>
      </c>
      <c r="N1243" s="859"/>
      <c r="O1243" s="752">
        <f t="shared" si="170"/>
        <v>17667305</v>
      </c>
      <c r="P1243" s="862">
        <v>22165605</v>
      </c>
      <c r="Q1243" s="860"/>
      <c r="R1243" s="753">
        <f t="shared" si="173"/>
        <v>22165605</v>
      </c>
      <c r="S1243" s="752">
        <f t="shared" si="174"/>
        <v>25934289</v>
      </c>
      <c r="T1243" s="754">
        <f t="shared" si="175"/>
        <v>29762956</v>
      </c>
      <c r="U1243" s="859"/>
      <c r="V1243" s="863"/>
      <c r="W1243" s="859"/>
      <c r="X1243" s="859"/>
      <c r="Y1243" s="755">
        <f t="shared" si="171"/>
        <v>0</v>
      </c>
      <c r="Z1243" s="864"/>
      <c r="AA1243" s="863"/>
      <c r="AB1243" s="756">
        <f t="shared" si="172"/>
        <v>0</v>
      </c>
      <c r="AC1243" s="859"/>
      <c r="AD1243" s="863"/>
      <c r="AE1243" s="859"/>
      <c r="AF1243" s="859"/>
      <c r="AG1243" s="864"/>
      <c r="AH1243" s="865"/>
      <c r="AI1243" s="757">
        <f t="shared" si="176"/>
        <v>25934289</v>
      </c>
      <c r="AJ1243" s="758">
        <f t="shared" si="177"/>
        <v>29762956</v>
      </c>
    </row>
    <row r="1244" spans="1:36" x14ac:dyDescent="0.2">
      <c r="A1244" s="1254" t="s">
        <v>145</v>
      </c>
      <c r="B1244" s="1255" t="s">
        <v>264</v>
      </c>
      <c r="C1244" s="1271" t="s">
        <v>1260</v>
      </c>
      <c r="D1244" s="1272"/>
      <c r="E1244" s="1273">
        <v>158662</v>
      </c>
      <c r="F1244" s="1298">
        <v>8</v>
      </c>
      <c r="G1244" s="859">
        <v>29250135</v>
      </c>
      <c r="H1244" s="860">
        <v>26855285</v>
      </c>
      <c r="I1244" s="861"/>
      <c r="J1244" s="862"/>
      <c r="K1244" s="859"/>
      <c r="L1244" s="863"/>
      <c r="M1244" s="859">
        <v>55578415</v>
      </c>
      <c r="N1244" s="859"/>
      <c r="O1244" s="752">
        <f t="shared" si="170"/>
        <v>55578415</v>
      </c>
      <c r="P1244" s="862">
        <v>53678415</v>
      </c>
      <c r="Q1244" s="860"/>
      <c r="R1244" s="753">
        <f t="shared" si="173"/>
        <v>53678415</v>
      </c>
      <c r="S1244" s="752">
        <f t="shared" si="174"/>
        <v>84828550</v>
      </c>
      <c r="T1244" s="754">
        <f t="shared" si="175"/>
        <v>80533700</v>
      </c>
      <c r="U1244" s="859"/>
      <c r="V1244" s="863"/>
      <c r="W1244" s="859"/>
      <c r="X1244" s="859"/>
      <c r="Y1244" s="755">
        <f t="shared" si="171"/>
        <v>0</v>
      </c>
      <c r="Z1244" s="864"/>
      <c r="AA1244" s="863"/>
      <c r="AB1244" s="756">
        <f t="shared" si="172"/>
        <v>0</v>
      </c>
      <c r="AC1244" s="859"/>
      <c r="AD1244" s="863"/>
      <c r="AE1244" s="859"/>
      <c r="AF1244" s="859"/>
      <c r="AG1244" s="864"/>
      <c r="AH1244" s="865"/>
      <c r="AI1244" s="757">
        <f t="shared" si="176"/>
        <v>84828550</v>
      </c>
      <c r="AJ1244" s="758">
        <f t="shared" si="177"/>
        <v>80533700</v>
      </c>
    </row>
    <row r="1245" spans="1:36" x14ac:dyDescent="0.2">
      <c r="A1245" s="1254" t="s">
        <v>145</v>
      </c>
      <c r="B1245" s="1255" t="s">
        <v>264</v>
      </c>
      <c r="C1245" s="1256" t="s">
        <v>1261</v>
      </c>
      <c r="D1245" s="1299" t="s">
        <v>1237</v>
      </c>
      <c r="E1245" s="1273">
        <v>159407</v>
      </c>
      <c r="F1245" s="1266">
        <v>9</v>
      </c>
      <c r="G1245" s="867">
        <v>5054935</v>
      </c>
      <c r="H1245" s="860">
        <v>4925736</v>
      </c>
      <c r="I1245" s="861"/>
      <c r="J1245" s="862"/>
      <c r="K1245" s="859"/>
      <c r="L1245" s="863"/>
      <c r="M1245" s="859">
        <v>7448837</v>
      </c>
      <c r="N1245" s="859"/>
      <c r="O1245" s="752">
        <f t="shared" si="170"/>
        <v>7448837</v>
      </c>
      <c r="P1245" s="862">
        <v>7451837</v>
      </c>
      <c r="Q1245" s="860"/>
      <c r="R1245" s="753">
        <f t="shared" si="173"/>
        <v>7451837</v>
      </c>
      <c r="S1245" s="752">
        <f t="shared" si="174"/>
        <v>12503772</v>
      </c>
      <c r="T1245" s="754">
        <f t="shared" si="175"/>
        <v>12377573</v>
      </c>
      <c r="U1245" s="859"/>
      <c r="V1245" s="863"/>
      <c r="W1245" s="859"/>
      <c r="X1245" s="859"/>
      <c r="Y1245" s="755">
        <f t="shared" si="171"/>
        <v>0</v>
      </c>
      <c r="Z1245" s="864"/>
      <c r="AA1245" s="863"/>
      <c r="AB1245" s="756">
        <f t="shared" si="172"/>
        <v>0</v>
      </c>
      <c r="AC1245" s="859"/>
      <c r="AD1245" s="863"/>
      <c r="AE1245" s="859"/>
      <c r="AF1245" s="859"/>
      <c r="AG1245" s="864"/>
      <c r="AH1245" s="865"/>
      <c r="AI1245" s="757">
        <f t="shared" si="176"/>
        <v>12503772</v>
      </c>
      <c r="AJ1245" s="758">
        <f t="shared" si="177"/>
        <v>12377573</v>
      </c>
    </row>
    <row r="1246" spans="1:36" x14ac:dyDescent="0.2">
      <c r="A1246" s="1254" t="s">
        <v>145</v>
      </c>
      <c r="B1246" s="1255" t="s">
        <v>264</v>
      </c>
      <c r="C1246" s="1462" t="s">
        <v>1262</v>
      </c>
      <c r="D1246" s="1272"/>
      <c r="E1246" s="1273">
        <v>434061</v>
      </c>
      <c r="F1246" s="1275">
        <v>9</v>
      </c>
      <c r="G1246" s="859">
        <v>14431435</v>
      </c>
      <c r="H1246" s="860">
        <v>13202447</v>
      </c>
      <c r="I1246" s="861"/>
      <c r="J1246" s="862"/>
      <c r="K1246" s="859"/>
      <c r="L1246" s="863"/>
      <c r="M1246" s="859">
        <v>13555912</v>
      </c>
      <c r="N1246" s="859"/>
      <c r="O1246" s="752">
        <f t="shared" si="170"/>
        <v>13555912</v>
      </c>
      <c r="P1246" s="862">
        <v>13615719</v>
      </c>
      <c r="Q1246" s="860"/>
      <c r="R1246" s="753">
        <f t="shared" si="173"/>
        <v>13615719</v>
      </c>
      <c r="S1246" s="752">
        <f t="shared" si="174"/>
        <v>27987347</v>
      </c>
      <c r="T1246" s="754">
        <f t="shared" si="175"/>
        <v>26818166</v>
      </c>
      <c r="U1246" s="859"/>
      <c r="V1246" s="863"/>
      <c r="W1246" s="859"/>
      <c r="X1246" s="859"/>
      <c r="Y1246" s="755">
        <f t="shared" si="171"/>
        <v>0</v>
      </c>
      <c r="Z1246" s="864"/>
      <c r="AA1246" s="863"/>
      <c r="AB1246" s="756">
        <f t="shared" si="172"/>
        <v>0</v>
      </c>
      <c r="AC1246" s="859"/>
      <c r="AD1246" s="863"/>
      <c r="AE1246" s="859"/>
      <c r="AF1246" s="859"/>
      <c r="AG1246" s="864"/>
      <c r="AH1246" s="865"/>
      <c r="AI1246" s="757">
        <f t="shared" si="176"/>
        <v>27987347</v>
      </c>
      <c r="AJ1246" s="758">
        <f t="shared" si="177"/>
        <v>26818166</v>
      </c>
    </row>
    <row r="1247" spans="1:36" x14ac:dyDescent="0.2">
      <c r="A1247" s="1254" t="s">
        <v>145</v>
      </c>
      <c r="B1247" s="1255" t="s">
        <v>264</v>
      </c>
      <c r="C1247" s="1463" t="s">
        <v>1263</v>
      </c>
      <c r="D1247" s="1269" t="s">
        <v>1297</v>
      </c>
      <c r="E1247" s="1273">
        <v>440624</v>
      </c>
      <c r="F1247" s="1274">
        <v>9</v>
      </c>
      <c r="G1247" s="859">
        <v>8463049</v>
      </c>
      <c r="H1247" s="860">
        <v>8320402</v>
      </c>
      <c r="I1247" s="861"/>
      <c r="J1247" s="862"/>
      <c r="K1247" s="859"/>
      <c r="L1247" s="863"/>
      <c r="M1247" s="859">
        <v>9493432</v>
      </c>
      <c r="N1247" s="859"/>
      <c r="O1247" s="752">
        <f t="shared" si="170"/>
        <v>9493432</v>
      </c>
      <c r="P1247" s="862">
        <v>9307432</v>
      </c>
      <c r="Q1247" s="860"/>
      <c r="R1247" s="753">
        <f t="shared" si="173"/>
        <v>9307432</v>
      </c>
      <c r="S1247" s="752">
        <f t="shared" si="174"/>
        <v>17956481</v>
      </c>
      <c r="T1247" s="754">
        <f t="shared" si="175"/>
        <v>17627834</v>
      </c>
      <c r="U1247" s="859"/>
      <c r="V1247" s="863"/>
      <c r="W1247" s="859"/>
      <c r="X1247" s="859"/>
      <c r="Y1247" s="755">
        <f t="shared" si="171"/>
        <v>0</v>
      </c>
      <c r="Z1247" s="864"/>
      <c r="AA1247" s="863"/>
      <c r="AB1247" s="756">
        <f t="shared" si="172"/>
        <v>0</v>
      </c>
      <c r="AC1247" s="859"/>
      <c r="AD1247" s="863"/>
      <c r="AE1247" s="859"/>
      <c r="AF1247" s="859"/>
      <c r="AG1247" s="864"/>
      <c r="AH1247" s="865"/>
      <c r="AI1247" s="757">
        <f t="shared" si="176"/>
        <v>17956481</v>
      </c>
      <c r="AJ1247" s="758">
        <f t="shared" si="177"/>
        <v>17627834</v>
      </c>
    </row>
    <row r="1248" spans="1:36" x14ac:dyDescent="0.2">
      <c r="A1248" s="1254" t="s">
        <v>145</v>
      </c>
      <c r="B1248" s="1255" t="s">
        <v>264</v>
      </c>
      <c r="C1248" s="1256" t="s">
        <v>1264</v>
      </c>
      <c r="D1248" s="1267"/>
      <c r="E1248" s="1279">
        <v>158884</v>
      </c>
      <c r="F1248" s="1266">
        <v>10</v>
      </c>
      <c r="G1248" s="859">
        <v>3324945</v>
      </c>
      <c r="H1248" s="860">
        <v>3195369</v>
      </c>
      <c r="I1248" s="861"/>
      <c r="J1248" s="862"/>
      <c r="K1248" s="859"/>
      <c r="L1248" s="863"/>
      <c r="M1248" s="859">
        <v>4200581</v>
      </c>
      <c r="N1248" s="859"/>
      <c r="O1248" s="752">
        <f t="shared" si="170"/>
        <v>4200581</v>
      </c>
      <c r="P1248" s="862">
        <v>4203128</v>
      </c>
      <c r="Q1248" s="860"/>
      <c r="R1248" s="753">
        <f t="shared" si="173"/>
        <v>4203128</v>
      </c>
      <c r="S1248" s="752">
        <f t="shared" si="174"/>
        <v>7525526</v>
      </c>
      <c r="T1248" s="754">
        <f t="shared" si="175"/>
        <v>7398497</v>
      </c>
      <c r="U1248" s="859"/>
      <c r="V1248" s="863"/>
      <c r="W1248" s="859"/>
      <c r="X1248" s="859"/>
      <c r="Y1248" s="755">
        <f t="shared" si="171"/>
        <v>0</v>
      </c>
      <c r="Z1248" s="864"/>
      <c r="AA1248" s="863"/>
      <c r="AB1248" s="756">
        <f t="shared" si="172"/>
        <v>0</v>
      </c>
      <c r="AC1248" s="859"/>
      <c r="AD1248" s="863"/>
      <c r="AE1248" s="859"/>
      <c r="AF1248" s="859"/>
      <c r="AG1248" s="864"/>
      <c r="AH1248" s="865"/>
      <c r="AI1248" s="757">
        <f t="shared" si="176"/>
        <v>7525526</v>
      </c>
      <c r="AJ1248" s="758">
        <f t="shared" si="177"/>
        <v>7398497</v>
      </c>
    </row>
    <row r="1249" spans="1:36" x14ac:dyDescent="0.2">
      <c r="A1249" s="1254" t="s">
        <v>145</v>
      </c>
      <c r="B1249" s="1255" t="s">
        <v>264</v>
      </c>
      <c r="C1249" s="1271" t="s">
        <v>1265</v>
      </c>
      <c r="D1249" s="1272"/>
      <c r="E1249" s="1279">
        <v>436304</v>
      </c>
      <c r="F1249" s="1266">
        <v>10</v>
      </c>
      <c r="G1249" s="859">
        <v>3292548</v>
      </c>
      <c r="H1249" s="860">
        <v>3064565</v>
      </c>
      <c r="I1249" s="861"/>
      <c r="J1249" s="862"/>
      <c r="K1249" s="859"/>
      <c r="L1249" s="863"/>
      <c r="M1249" s="859">
        <v>4885686</v>
      </c>
      <c r="N1249" s="859"/>
      <c r="O1249" s="752">
        <f t="shared" si="170"/>
        <v>4885686</v>
      </c>
      <c r="P1249" s="862">
        <v>4885686</v>
      </c>
      <c r="Q1249" s="860"/>
      <c r="R1249" s="753">
        <f t="shared" si="173"/>
        <v>4885686</v>
      </c>
      <c r="S1249" s="752">
        <f t="shared" si="174"/>
        <v>8178234</v>
      </c>
      <c r="T1249" s="754">
        <f t="shared" si="175"/>
        <v>7950251</v>
      </c>
      <c r="U1249" s="859"/>
      <c r="V1249" s="863"/>
      <c r="W1249" s="859"/>
      <c r="X1249" s="859"/>
      <c r="Y1249" s="755">
        <f t="shared" si="171"/>
        <v>0</v>
      </c>
      <c r="Z1249" s="864"/>
      <c r="AA1249" s="863"/>
      <c r="AB1249" s="756">
        <f t="shared" si="172"/>
        <v>0</v>
      </c>
      <c r="AC1249" s="859"/>
      <c r="AD1249" s="863"/>
      <c r="AE1249" s="859"/>
      <c r="AF1249" s="859"/>
      <c r="AG1249" s="864"/>
      <c r="AH1249" s="865"/>
      <c r="AI1249" s="757">
        <f t="shared" si="176"/>
        <v>8178234</v>
      </c>
      <c r="AJ1249" s="758">
        <f t="shared" si="177"/>
        <v>7950251</v>
      </c>
    </row>
    <row r="1250" spans="1:36" x14ac:dyDescent="0.2">
      <c r="A1250" s="1254" t="s">
        <v>145</v>
      </c>
      <c r="B1250" s="1255" t="s">
        <v>264</v>
      </c>
      <c r="C1250" s="1276" t="s">
        <v>1266</v>
      </c>
      <c r="D1250" s="1269" t="s">
        <v>1297</v>
      </c>
      <c r="E1250" s="1279">
        <v>160649</v>
      </c>
      <c r="F1250" s="1274">
        <v>9</v>
      </c>
      <c r="G1250" s="859">
        <v>5951073</v>
      </c>
      <c r="H1250" s="860">
        <v>7266720</v>
      </c>
      <c r="I1250" s="861"/>
      <c r="J1250" s="862"/>
      <c r="K1250" s="859"/>
      <c r="L1250" s="863"/>
      <c r="M1250" s="859">
        <v>6131429</v>
      </c>
      <c r="N1250" s="859"/>
      <c r="O1250" s="752">
        <f t="shared" si="170"/>
        <v>6131429</v>
      </c>
      <c r="P1250" s="862">
        <v>6914848</v>
      </c>
      <c r="Q1250" s="860"/>
      <c r="R1250" s="753">
        <f t="shared" si="173"/>
        <v>6914848</v>
      </c>
      <c r="S1250" s="752">
        <f t="shared" si="174"/>
        <v>12082502</v>
      </c>
      <c r="T1250" s="754">
        <f t="shared" si="175"/>
        <v>14181568</v>
      </c>
      <c r="U1250" s="859"/>
      <c r="V1250" s="863"/>
      <c r="W1250" s="859"/>
      <c r="X1250" s="859"/>
      <c r="Y1250" s="755">
        <f t="shared" si="171"/>
        <v>0</v>
      </c>
      <c r="Z1250" s="864"/>
      <c r="AA1250" s="863"/>
      <c r="AB1250" s="756">
        <f t="shared" si="172"/>
        <v>0</v>
      </c>
      <c r="AC1250" s="859"/>
      <c r="AD1250" s="863"/>
      <c r="AE1250" s="859"/>
      <c r="AF1250" s="859"/>
      <c r="AG1250" s="864"/>
      <c r="AH1250" s="865"/>
      <c r="AI1250" s="757">
        <f t="shared" si="176"/>
        <v>12082502</v>
      </c>
      <c r="AJ1250" s="758">
        <f t="shared" si="177"/>
        <v>14181568</v>
      </c>
    </row>
    <row r="1251" spans="1:36" x14ac:dyDescent="0.2">
      <c r="A1251" s="1254" t="s">
        <v>145</v>
      </c>
      <c r="B1251" s="1255" t="s">
        <v>264</v>
      </c>
      <c r="C1251" s="1277" t="s">
        <v>1267</v>
      </c>
      <c r="D1251" s="1278" t="s">
        <v>1298</v>
      </c>
      <c r="E1251" s="1279">
        <v>158352</v>
      </c>
      <c r="F1251" s="1266">
        <v>12</v>
      </c>
      <c r="G1251" s="859">
        <v>6736654</v>
      </c>
      <c r="H1251" s="860">
        <v>0</v>
      </c>
      <c r="I1251" s="861"/>
      <c r="J1251" s="862"/>
      <c r="K1251" s="859"/>
      <c r="L1251" s="863"/>
      <c r="M1251" s="859">
        <v>2156123</v>
      </c>
      <c r="N1251" s="859"/>
      <c r="O1251" s="752">
        <f t="shared" si="170"/>
        <v>2156123</v>
      </c>
      <c r="P1251" s="862">
        <v>0</v>
      </c>
      <c r="Q1251" s="860"/>
      <c r="R1251" s="753">
        <f t="shared" si="173"/>
        <v>0</v>
      </c>
      <c r="S1251" s="752">
        <f t="shared" si="174"/>
        <v>8892777</v>
      </c>
      <c r="T1251" s="754">
        <f t="shared" si="175"/>
        <v>0</v>
      </c>
      <c r="U1251" s="859"/>
      <c r="V1251" s="863"/>
      <c r="W1251" s="859"/>
      <c r="X1251" s="859"/>
      <c r="Y1251" s="755">
        <f t="shared" si="171"/>
        <v>0</v>
      </c>
      <c r="Z1251" s="864"/>
      <c r="AA1251" s="863"/>
      <c r="AB1251" s="756">
        <f t="shared" si="172"/>
        <v>0</v>
      </c>
      <c r="AC1251" s="859"/>
      <c r="AD1251" s="863"/>
      <c r="AE1251" s="859"/>
      <c r="AF1251" s="859"/>
      <c r="AG1251" s="864"/>
      <c r="AH1251" s="865"/>
      <c r="AI1251" s="757">
        <f t="shared" si="176"/>
        <v>8892777</v>
      </c>
      <c r="AJ1251" s="758">
        <f t="shared" si="177"/>
        <v>0</v>
      </c>
    </row>
    <row r="1252" spans="1:36" x14ac:dyDescent="0.2">
      <c r="A1252" s="1254" t="s">
        <v>145</v>
      </c>
      <c r="B1252" s="1255" t="s">
        <v>264</v>
      </c>
      <c r="C1252" s="1277" t="s">
        <v>1268</v>
      </c>
      <c r="D1252" s="1278"/>
      <c r="E1252" s="1279">
        <v>158088</v>
      </c>
      <c r="F1252" s="1266">
        <v>12</v>
      </c>
      <c r="G1252" s="859">
        <v>6307926</v>
      </c>
      <c r="H1252" s="860">
        <v>5964289</v>
      </c>
      <c r="I1252" s="861"/>
      <c r="J1252" s="862"/>
      <c r="K1252" s="859"/>
      <c r="L1252" s="863"/>
      <c r="M1252" s="859">
        <v>3622581</v>
      </c>
      <c r="N1252" s="859"/>
      <c r="O1252" s="752">
        <f t="shared" si="170"/>
        <v>3622581</v>
      </c>
      <c r="P1252" s="862">
        <v>3568428</v>
      </c>
      <c r="Q1252" s="860"/>
      <c r="R1252" s="753">
        <f t="shared" si="173"/>
        <v>3568428</v>
      </c>
      <c r="S1252" s="752">
        <f t="shared" si="174"/>
        <v>9930507</v>
      </c>
      <c r="T1252" s="754">
        <f t="shared" si="175"/>
        <v>9532717</v>
      </c>
      <c r="U1252" s="859"/>
      <c r="V1252" s="863"/>
      <c r="W1252" s="859"/>
      <c r="X1252" s="859"/>
      <c r="Y1252" s="755">
        <f t="shared" si="171"/>
        <v>0</v>
      </c>
      <c r="Z1252" s="864"/>
      <c r="AA1252" s="863"/>
      <c r="AB1252" s="756">
        <f t="shared" si="172"/>
        <v>0</v>
      </c>
      <c r="AC1252" s="859"/>
      <c r="AD1252" s="863"/>
      <c r="AE1252" s="859"/>
      <c r="AF1252" s="859"/>
      <c r="AG1252" s="864"/>
      <c r="AH1252" s="865"/>
      <c r="AI1252" s="757">
        <f t="shared" si="176"/>
        <v>9930507</v>
      </c>
      <c r="AJ1252" s="758">
        <f t="shared" si="177"/>
        <v>9532717</v>
      </c>
    </row>
    <row r="1253" spans="1:36" x14ac:dyDescent="0.2">
      <c r="A1253" s="1254" t="s">
        <v>145</v>
      </c>
      <c r="B1253" s="1255" t="s">
        <v>264</v>
      </c>
      <c r="C1253" s="1268" t="s">
        <v>1269</v>
      </c>
      <c r="D1253" s="1269"/>
      <c r="E1253" s="1279">
        <v>160481</v>
      </c>
      <c r="F1253" s="1266">
        <v>12</v>
      </c>
      <c r="G1253" s="859">
        <v>2974394</v>
      </c>
      <c r="H1253" s="860">
        <v>2750722</v>
      </c>
      <c r="I1253" s="861"/>
      <c r="J1253" s="862"/>
      <c r="K1253" s="859"/>
      <c r="L1253" s="863"/>
      <c r="M1253" s="859">
        <v>5258138</v>
      </c>
      <c r="N1253" s="859"/>
      <c r="O1253" s="752">
        <f t="shared" si="170"/>
        <v>5258138</v>
      </c>
      <c r="P1253" s="862">
        <v>5260138</v>
      </c>
      <c r="Q1253" s="860"/>
      <c r="R1253" s="753">
        <f t="shared" si="173"/>
        <v>5260138</v>
      </c>
      <c r="S1253" s="752">
        <f t="shared" si="174"/>
        <v>8232532</v>
      </c>
      <c r="T1253" s="754">
        <f t="shared" si="175"/>
        <v>8010860</v>
      </c>
      <c r="U1253" s="859"/>
      <c r="V1253" s="863"/>
      <c r="W1253" s="859"/>
      <c r="X1253" s="859"/>
      <c r="Y1253" s="755">
        <f t="shared" si="171"/>
        <v>0</v>
      </c>
      <c r="Z1253" s="864"/>
      <c r="AA1253" s="863"/>
      <c r="AB1253" s="756">
        <f t="shared" si="172"/>
        <v>0</v>
      </c>
      <c r="AC1253" s="859"/>
      <c r="AD1253" s="863"/>
      <c r="AE1253" s="859"/>
      <c r="AF1253" s="859"/>
      <c r="AG1253" s="864"/>
      <c r="AH1253" s="865"/>
      <c r="AI1253" s="757">
        <f t="shared" si="176"/>
        <v>8232532</v>
      </c>
      <c r="AJ1253" s="758">
        <f t="shared" si="177"/>
        <v>8010860</v>
      </c>
    </row>
    <row r="1254" spans="1:36" x14ac:dyDescent="0.2">
      <c r="A1254" s="1254" t="s">
        <v>145</v>
      </c>
      <c r="B1254" s="1255" t="s">
        <v>264</v>
      </c>
      <c r="C1254" s="1277" t="s">
        <v>1270</v>
      </c>
      <c r="D1254" s="1278"/>
      <c r="E1254" s="1279">
        <v>160667</v>
      </c>
      <c r="F1254" s="1266">
        <v>12</v>
      </c>
      <c r="G1254" s="859">
        <v>5088336</v>
      </c>
      <c r="H1254" s="860">
        <v>5139834</v>
      </c>
      <c r="I1254" s="861"/>
      <c r="J1254" s="862"/>
      <c r="K1254" s="859"/>
      <c r="L1254" s="863"/>
      <c r="M1254" s="859">
        <v>4592135</v>
      </c>
      <c r="N1254" s="859"/>
      <c r="O1254" s="752">
        <f t="shared" si="170"/>
        <v>4592135</v>
      </c>
      <c r="P1254" s="862">
        <v>4602943</v>
      </c>
      <c r="Q1254" s="860"/>
      <c r="R1254" s="753">
        <f t="shared" si="173"/>
        <v>4602943</v>
      </c>
      <c r="S1254" s="752">
        <f t="shared" si="174"/>
        <v>9680471</v>
      </c>
      <c r="T1254" s="754">
        <f t="shared" si="175"/>
        <v>9742777</v>
      </c>
      <c r="U1254" s="859"/>
      <c r="V1254" s="863"/>
      <c r="W1254" s="859"/>
      <c r="X1254" s="859"/>
      <c r="Y1254" s="755">
        <f t="shared" si="171"/>
        <v>0</v>
      </c>
      <c r="Z1254" s="864"/>
      <c r="AA1254" s="863"/>
      <c r="AB1254" s="756">
        <f t="shared" si="172"/>
        <v>0</v>
      </c>
      <c r="AC1254" s="859"/>
      <c r="AD1254" s="863"/>
      <c r="AE1254" s="859"/>
      <c r="AF1254" s="859"/>
      <c r="AG1254" s="864"/>
      <c r="AH1254" s="865"/>
      <c r="AI1254" s="757">
        <f t="shared" si="176"/>
        <v>9680471</v>
      </c>
      <c r="AJ1254" s="758">
        <f t="shared" si="177"/>
        <v>9742777</v>
      </c>
    </row>
    <row r="1255" spans="1:36" x14ac:dyDescent="0.2">
      <c r="A1255" s="1254" t="s">
        <v>145</v>
      </c>
      <c r="B1255" s="1255" t="s">
        <v>264</v>
      </c>
      <c r="C1255" s="1277" t="s">
        <v>1271</v>
      </c>
      <c r="D1255" s="1278"/>
      <c r="E1255" s="1279">
        <v>160010</v>
      </c>
      <c r="F1255" s="1266">
        <v>12</v>
      </c>
      <c r="G1255" s="859">
        <v>7425604</v>
      </c>
      <c r="H1255" s="860">
        <v>7073086</v>
      </c>
      <c r="I1255" s="861"/>
      <c r="J1255" s="862"/>
      <c r="K1255" s="859"/>
      <c r="L1255" s="863"/>
      <c r="M1255" s="859">
        <v>2904576</v>
      </c>
      <c r="N1255" s="859"/>
      <c r="O1255" s="752">
        <f t="shared" si="170"/>
        <v>2904576</v>
      </c>
      <c r="P1255" s="862">
        <v>3194576</v>
      </c>
      <c r="Q1255" s="860"/>
      <c r="R1255" s="753">
        <f t="shared" si="173"/>
        <v>3194576</v>
      </c>
      <c r="S1255" s="752">
        <f t="shared" si="174"/>
        <v>10330180</v>
      </c>
      <c r="T1255" s="754">
        <f t="shared" si="175"/>
        <v>10267662</v>
      </c>
      <c r="U1255" s="859"/>
      <c r="V1255" s="863"/>
      <c r="W1255" s="859"/>
      <c r="X1255" s="859"/>
      <c r="Y1255" s="755">
        <f t="shared" si="171"/>
        <v>0</v>
      </c>
      <c r="Z1255" s="864"/>
      <c r="AA1255" s="863"/>
      <c r="AB1255" s="756">
        <f t="shared" si="172"/>
        <v>0</v>
      </c>
      <c r="AC1255" s="859"/>
      <c r="AD1255" s="863"/>
      <c r="AE1255" s="859"/>
      <c r="AF1255" s="859"/>
      <c r="AG1255" s="864"/>
      <c r="AH1255" s="865"/>
      <c r="AI1255" s="757">
        <f t="shared" si="176"/>
        <v>10330180</v>
      </c>
      <c r="AJ1255" s="758">
        <f t="shared" si="177"/>
        <v>10267662</v>
      </c>
    </row>
    <row r="1256" spans="1:36" x14ac:dyDescent="0.2">
      <c r="A1256" s="1254" t="s">
        <v>145</v>
      </c>
      <c r="B1256" s="1255" t="s">
        <v>264</v>
      </c>
      <c r="C1256" s="1277" t="s">
        <v>1272</v>
      </c>
      <c r="D1256" s="1278"/>
      <c r="E1256" s="1279">
        <v>160913</v>
      </c>
      <c r="F1256" s="1266">
        <v>12</v>
      </c>
      <c r="G1256" s="859">
        <v>5200772</v>
      </c>
      <c r="H1256" s="860">
        <v>4382401</v>
      </c>
      <c r="I1256" s="861"/>
      <c r="J1256" s="862"/>
      <c r="K1256" s="859"/>
      <c r="L1256" s="863"/>
      <c r="M1256" s="859">
        <v>3378827</v>
      </c>
      <c r="N1256" s="859"/>
      <c r="O1256" s="752">
        <f t="shared" si="170"/>
        <v>3378827</v>
      </c>
      <c r="P1256" s="862">
        <v>3378827</v>
      </c>
      <c r="Q1256" s="860"/>
      <c r="R1256" s="753">
        <f t="shared" si="173"/>
        <v>3378827</v>
      </c>
      <c r="S1256" s="752">
        <f t="shared" si="174"/>
        <v>8579599</v>
      </c>
      <c r="T1256" s="754">
        <f t="shared" si="175"/>
        <v>7761228</v>
      </c>
      <c r="U1256" s="859"/>
      <c r="V1256" s="863"/>
      <c r="W1256" s="859"/>
      <c r="X1256" s="859"/>
      <c r="Y1256" s="755">
        <f t="shared" si="171"/>
        <v>0</v>
      </c>
      <c r="Z1256" s="864"/>
      <c r="AA1256" s="863"/>
      <c r="AB1256" s="756">
        <f t="shared" si="172"/>
        <v>0</v>
      </c>
      <c r="AC1256" s="859"/>
      <c r="AD1256" s="863"/>
      <c r="AE1256" s="859"/>
      <c r="AF1256" s="859"/>
      <c r="AG1256" s="864"/>
      <c r="AH1256" s="865"/>
      <c r="AI1256" s="757">
        <f t="shared" si="176"/>
        <v>8579599</v>
      </c>
      <c r="AJ1256" s="758">
        <f t="shared" si="177"/>
        <v>7761228</v>
      </c>
    </row>
    <row r="1257" spans="1:36" x14ac:dyDescent="0.2">
      <c r="A1257" s="1254" t="s">
        <v>145</v>
      </c>
      <c r="B1257" s="1255" t="s">
        <v>264</v>
      </c>
      <c r="C1257" s="1263" t="s">
        <v>1273</v>
      </c>
      <c r="D1257" s="1267"/>
      <c r="E1257" s="1279">
        <v>160579</v>
      </c>
      <c r="F1257" s="1266">
        <v>12</v>
      </c>
      <c r="G1257" s="859">
        <v>6116270</v>
      </c>
      <c r="H1257" s="860">
        <v>5969614</v>
      </c>
      <c r="I1257" s="861"/>
      <c r="J1257" s="862"/>
      <c r="K1257" s="859"/>
      <c r="L1257" s="863"/>
      <c r="M1257" s="859">
        <v>5785517</v>
      </c>
      <c r="N1257" s="859"/>
      <c r="O1257" s="752">
        <f t="shared" si="170"/>
        <v>5785517</v>
      </c>
      <c r="P1257" s="862">
        <v>6587706</v>
      </c>
      <c r="Q1257" s="860"/>
      <c r="R1257" s="753">
        <f t="shared" si="173"/>
        <v>6587706</v>
      </c>
      <c r="S1257" s="752">
        <f t="shared" si="174"/>
        <v>11901787</v>
      </c>
      <c r="T1257" s="754">
        <f t="shared" si="175"/>
        <v>12557320</v>
      </c>
      <c r="U1257" s="859"/>
      <c r="V1257" s="863"/>
      <c r="W1257" s="859"/>
      <c r="X1257" s="859"/>
      <c r="Y1257" s="755">
        <f t="shared" si="171"/>
        <v>0</v>
      </c>
      <c r="Z1257" s="864"/>
      <c r="AA1257" s="863"/>
      <c r="AB1257" s="756">
        <f t="shared" si="172"/>
        <v>0</v>
      </c>
      <c r="AC1257" s="859"/>
      <c r="AD1257" s="863"/>
      <c r="AE1257" s="859"/>
      <c r="AF1257" s="859"/>
      <c r="AG1257" s="864"/>
      <c r="AH1257" s="865"/>
      <c r="AI1257" s="757">
        <f t="shared" si="176"/>
        <v>11901787</v>
      </c>
      <c r="AJ1257" s="758">
        <f t="shared" si="177"/>
        <v>12557320</v>
      </c>
    </row>
    <row r="1258" spans="1:36" x14ac:dyDescent="0.2">
      <c r="A1258" s="1254" t="s">
        <v>145</v>
      </c>
      <c r="B1258" s="1255" t="s">
        <v>301</v>
      </c>
      <c r="C1258" s="1256" t="s">
        <v>1274</v>
      </c>
      <c r="D1258" s="1267"/>
      <c r="E1258" s="1273">
        <v>159373</v>
      </c>
      <c r="F1258" s="1266">
        <v>15</v>
      </c>
      <c r="G1258" s="859"/>
      <c r="H1258" s="860"/>
      <c r="I1258" s="861"/>
      <c r="J1258" s="862"/>
      <c r="K1258" s="859"/>
      <c r="L1258" s="863"/>
      <c r="M1258" s="859"/>
      <c r="N1258" s="859"/>
      <c r="O1258" s="752">
        <f t="shared" si="170"/>
        <v>0</v>
      </c>
      <c r="P1258" s="862"/>
      <c r="Q1258" s="860"/>
      <c r="R1258" s="753">
        <f t="shared" si="173"/>
        <v>0</v>
      </c>
      <c r="S1258" s="752">
        <f t="shared" si="174"/>
        <v>0</v>
      </c>
      <c r="T1258" s="754">
        <f t="shared" si="175"/>
        <v>0</v>
      </c>
      <c r="U1258" s="859"/>
      <c r="V1258" s="863"/>
      <c r="W1258" s="859"/>
      <c r="X1258" s="859"/>
      <c r="Y1258" s="755">
        <f t="shared" si="171"/>
        <v>0</v>
      </c>
      <c r="Z1258" s="864"/>
      <c r="AA1258" s="863"/>
      <c r="AB1258" s="756">
        <f t="shared" si="172"/>
        <v>0</v>
      </c>
      <c r="AC1258" s="859">
        <v>95248738</v>
      </c>
      <c r="AD1258" s="863">
        <v>92191762</v>
      </c>
      <c r="AE1258" s="859">
        <v>33672249</v>
      </c>
      <c r="AF1258" s="859"/>
      <c r="AG1258" s="864">
        <v>38433326</v>
      </c>
      <c r="AH1258" s="865"/>
      <c r="AI1258" s="757">
        <f t="shared" si="176"/>
        <v>128920987</v>
      </c>
      <c r="AJ1258" s="758">
        <f t="shared" si="177"/>
        <v>130625088</v>
      </c>
    </row>
    <row r="1259" spans="1:36" x14ac:dyDescent="0.2">
      <c r="A1259" s="1254" t="s">
        <v>145</v>
      </c>
      <c r="B1259" s="1255" t="s">
        <v>301</v>
      </c>
      <c r="C1259" s="1263" t="s">
        <v>1275</v>
      </c>
      <c r="D1259" s="1267"/>
      <c r="E1259" s="1273">
        <v>435000</v>
      </c>
      <c r="F1259" s="1266">
        <v>15</v>
      </c>
      <c r="G1259" s="859"/>
      <c r="H1259" s="860"/>
      <c r="I1259" s="861"/>
      <c r="J1259" s="862"/>
      <c r="K1259" s="859"/>
      <c r="L1259" s="863"/>
      <c r="M1259" s="859"/>
      <c r="N1259" s="859"/>
      <c r="O1259" s="752">
        <f t="shared" si="170"/>
        <v>0</v>
      </c>
      <c r="P1259" s="862"/>
      <c r="Q1259" s="860"/>
      <c r="R1259" s="753">
        <f t="shared" si="173"/>
        <v>0</v>
      </c>
      <c r="S1259" s="752">
        <f t="shared" si="174"/>
        <v>0</v>
      </c>
      <c r="T1259" s="754">
        <f t="shared" si="175"/>
        <v>0</v>
      </c>
      <c r="U1259" s="859"/>
      <c r="V1259" s="863"/>
      <c r="W1259" s="859"/>
      <c r="X1259" s="859"/>
      <c r="Y1259" s="755">
        <f t="shared" si="171"/>
        <v>0</v>
      </c>
      <c r="Z1259" s="864"/>
      <c r="AA1259" s="863"/>
      <c r="AB1259" s="756">
        <f t="shared" si="172"/>
        <v>0</v>
      </c>
      <c r="AC1259" s="859">
        <v>60728817</v>
      </c>
      <c r="AD1259" s="863">
        <v>47521783</v>
      </c>
      <c r="AE1259" s="859">
        <v>12272191</v>
      </c>
      <c r="AF1259" s="859"/>
      <c r="AG1259" s="864">
        <v>13803766</v>
      </c>
      <c r="AH1259" s="865"/>
      <c r="AI1259" s="757">
        <f t="shared" si="176"/>
        <v>73001008</v>
      </c>
      <c r="AJ1259" s="758">
        <f t="shared" si="177"/>
        <v>61325549</v>
      </c>
    </row>
    <row r="1260" spans="1:36" ht="15" customHeight="1" x14ac:dyDescent="0.2">
      <c r="A1260" s="1254" t="s">
        <v>145</v>
      </c>
      <c r="B1260" s="1255" t="s">
        <v>273</v>
      </c>
      <c r="C1260" s="1280" t="s">
        <v>787</v>
      </c>
      <c r="D1260" s="1257"/>
      <c r="E1260" s="1258"/>
      <c r="F1260" s="1259"/>
      <c r="G1260" s="859"/>
      <c r="H1260" s="860"/>
      <c r="I1260" s="861"/>
      <c r="J1260" s="862"/>
      <c r="K1260" s="859"/>
      <c r="L1260" s="863"/>
      <c r="M1260" s="859"/>
      <c r="N1260" s="859"/>
      <c r="O1260" s="752">
        <f t="shared" si="170"/>
        <v>0</v>
      </c>
      <c r="P1260" s="862"/>
      <c r="Q1260" s="860"/>
      <c r="R1260" s="753">
        <f t="shared" si="173"/>
        <v>0</v>
      </c>
      <c r="S1260" s="752">
        <f t="shared" si="174"/>
        <v>0</v>
      </c>
      <c r="T1260" s="754">
        <f t="shared" si="175"/>
        <v>0</v>
      </c>
      <c r="U1260" s="859"/>
      <c r="V1260" s="863"/>
      <c r="W1260" s="859"/>
      <c r="X1260" s="859"/>
      <c r="Y1260" s="755">
        <f t="shared" si="171"/>
        <v>0</v>
      </c>
      <c r="Z1260" s="864"/>
      <c r="AA1260" s="863"/>
      <c r="AB1260" s="756">
        <f t="shared" si="172"/>
        <v>0</v>
      </c>
      <c r="AC1260" s="859"/>
      <c r="AD1260" s="863"/>
      <c r="AE1260" s="859"/>
      <c r="AF1260" s="859"/>
      <c r="AG1260" s="864"/>
      <c r="AH1260" s="865"/>
      <c r="AI1260" s="757">
        <f t="shared" si="176"/>
        <v>0</v>
      </c>
      <c r="AJ1260" s="758">
        <f t="shared" si="177"/>
        <v>0</v>
      </c>
    </row>
    <row r="1261" spans="1:36" x14ac:dyDescent="0.2">
      <c r="A1261" s="1254" t="s">
        <v>145</v>
      </c>
      <c r="B1261" s="1255" t="s">
        <v>274</v>
      </c>
      <c r="C1261" s="1260" t="s">
        <v>319</v>
      </c>
      <c r="D1261" s="1261"/>
      <c r="E1261" s="1258"/>
      <c r="F1261" s="1259"/>
      <c r="G1261" s="859"/>
      <c r="H1261" s="860"/>
      <c r="I1261" s="861"/>
      <c r="J1261" s="862"/>
      <c r="K1261" s="859"/>
      <c r="L1261" s="863"/>
      <c r="M1261" s="859"/>
      <c r="N1261" s="859"/>
      <c r="O1261" s="752">
        <f t="shared" si="170"/>
        <v>0</v>
      </c>
      <c r="P1261" s="862"/>
      <c r="Q1261" s="860"/>
      <c r="R1261" s="753">
        <f t="shared" si="173"/>
        <v>0</v>
      </c>
      <c r="S1261" s="752">
        <f t="shared" si="174"/>
        <v>0</v>
      </c>
      <c r="T1261" s="754">
        <f t="shared" si="175"/>
        <v>0</v>
      </c>
      <c r="U1261" s="859"/>
      <c r="V1261" s="863"/>
      <c r="W1261" s="859"/>
      <c r="X1261" s="859"/>
      <c r="Y1261" s="755">
        <f t="shared" si="171"/>
        <v>0</v>
      </c>
      <c r="Z1261" s="864"/>
      <c r="AA1261" s="863"/>
      <c r="AB1261" s="756">
        <f t="shared" si="172"/>
        <v>0</v>
      </c>
      <c r="AC1261" s="859"/>
      <c r="AD1261" s="863"/>
      <c r="AE1261" s="859"/>
      <c r="AF1261" s="859"/>
      <c r="AG1261" s="864"/>
      <c r="AH1261" s="865"/>
      <c r="AI1261" s="757">
        <f t="shared" si="176"/>
        <v>0</v>
      </c>
      <c r="AJ1261" s="758">
        <f t="shared" si="177"/>
        <v>0</v>
      </c>
    </row>
    <row r="1262" spans="1:36" x14ac:dyDescent="0.2">
      <c r="A1262" s="1254" t="s">
        <v>145</v>
      </c>
      <c r="B1262" s="1255" t="s">
        <v>274</v>
      </c>
      <c r="C1262" s="1262" t="s">
        <v>1276</v>
      </c>
      <c r="D1262" s="1261"/>
      <c r="E1262" s="1258"/>
      <c r="F1262" s="1259"/>
      <c r="G1262" s="859"/>
      <c r="H1262" s="860"/>
      <c r="I1262" s="861">
        <v>311466</v>
      </c>
      <c r="J1262" s="862">
        <v>287216</v>
      </c>
      <c r="K1262" s="859"/>
      <c r="L1262" s="863"/>
      <c r="M1262" s="859"/>
      <c r="N1262" s="859"/>
      <c r="O1262" s="752">
        <f t="shared" si="170"/>
        <v>0</v>
      </c>
      <c r="P1262" s="862"/>
      <c r="Q1262" s="860"/>
      <c r="R1262" s="753">
        <f t="shared" si="173"/>
        <v>0</v>
      </c>
      <c r="S1262" s="752">
        <f t="shared" si="174"/>
        <v>311466</v>
      </c>
      <c r="T1262" s="754">
        <f t="shared" si="175"/>
        <v>287216</v>
      </c>
      <c r="U1262" s="859"/>
      <c r="V1262" s="863"/>
      <c r="W1262" s="859"/>
      <c r="X1262" s="859"/>
      <c r="Y1262" s="755">
        <f t="shared" si="171"/>
        <v>0</v>
      </c>
      <c r="Z1262" s="864"/>
      <c r="AA1262" s="863"/>
      <c r="AB1262" s="756">
        <f t="shared" si="172"/>
        <v>0</v>
      </c>
      <c r="AC1262" s="859"/>
      <c r="AD1262" s="863"/>
      <c r="AE1262" s="859"/>
      <c r="AF1262" s="859"/>
      <c r="AG1262" s="864"/>
      <c r="AH1262" s="865"/>
      <c r="AI1262" s="757">
        <f t="shared" si="176"/>
        <v>311466</v>
      </c>
      <c r="AJ1262" s="758">
        <f t="shared" si="177"/>
        <v>287216</v>
      </c>
    </row>
    <row r="1263" spans="1:36" x14ac:dyDescent="0.2">
      <c r="A1263" s="1254" t="s">
        <v>145</v>
      </c>
      <c r="B1263" s="1255" t="s">
        <v>278</v>
      </c>
      <c r="C1263" s="1262" t="s">
        <v>1277</v>
      </c>
      <c r="D1263" s="1261"/>
      <c r="E1263" s="1281"/>
      <c r="F1263" s="1259"/>
      <c r="G1263" s="859"/>
      <c r="H1263" s="860"/>
      <c r="I1263" s="861">
        <v>2439647</v>
      </c>
      <c r="J1263" s="862">
        <v>2376091</v>
      </c>
      <c r="K1263" s="859"/>
      <c r="L1263" s="863"/>
      <c r="M1263" s="859"/>
      <c r="N1263" s="859"/>
      <c r="O1263" s="752">
        <f t="shared" si="170"/>
        <v>0</v>
      </c>
      <c r="P1263" s="862"/>
      <c r="Q1263" s="860"/>
      <c r="R1263" s="753">
        <f t="shared" si="173"/>
        <v>0</v>
      </c>
      <c r="S1263" s="752">
        <f t="shared" si="174"/>
        <v>2439647</v>
      </c>
      <c r="T1263" s="754">
        <f t="shared" si="175"/>
        <v>2376091</v>
      </c>
      <c r="U1263" s="859"/>
      <c r="V1263" s="863"/>
      <c r="W1263" s="859"/>
      <c r="X1263" s="859"/>
      <c r="Y1263" s="755">
        <f t="shared" si="171"/>
        <v>0</v>
      </c>
      <c r="Z1263" s="864"/>
      <c r="AA1263" s="863"/>
      <c r="AB1263" s="756">
        <f t="shared" si="172"/>
        <v>0</v>
      </c>
      <c r="AC1263" s="859"/>
      <c r="AD1263" s="863"/>
      <c r="AE1263" s="859"/>
      <c r="AF1263" s="859"/>
      <c r="AG1263" s="864"/>
      <c r="AH1263" s="865"/>
      <c r="AI1263" s="757">
        <f t="shared" si="176"/>
        <v>2439647</v>
      </c>
      <c r="AJ1263" s="758">
        <f t="shared" si="177"/>
        <v>2376091</v>
      </c>
    </row>
    <row r="1264" spans="1:36" x14ac:dyDescent="0.2">
      <c r="A1264" s="1254" t="s">
        <v>145</v>
      </c>
      <c r="B1264" s="1255" t="s">
        <v>278</v>
      </c>
      <c r="C1264" s="1262" t="s">
        <v>1278</v>
      </c>
      <c r="D1264" s="1261"/>
      <c r="E1264" s="1281"/>
      <c r="F1264" s="1259"/>
      <c r="G1264" s="859"/>
      <c r="H1264" s="860"/>
      <c r="I1264" s="861">
        <v>12454062</v>
      </c>
      <c r="J1264" s="862">
        <v>13450046</v>
      </c>
      <c r="K1264" s="859"/>
      <c r="L1264" s="863"/>
      <c r="M1264" s="859"/>
      <c r="N1264" s="859"/>
      <c r="O1264" s="752">
        <f t="shared" si="170"/>
        <v>0</v>
      </c>
      <c r="P1264" s="862"/>
      <c r="Q1264" s="860"/>
      <c r="R1264" s="753">
        <f t="shared" si="173"/>
        <v>0</v>
      </c>
      <c r="S1264" s="752">
        <f t="shared" si="174"/>
        <v>12454062</v>
      </c>
      <c r="T1264" s="754">
        <f t="shared" si="175"/>
        <v>13450046</v>
      </c>
      <c r="U1264" s="859"/>
      <c r="V1264" s="863"/>
      <c r="W1264" s="859"/>
      <c r="X1264" s="859"/>
      <c r="Y1264" s="755">
        <f t="shared" si="171"/>
        <v>0</v>
      </c>
      <c r="Z1264" s="864"/>
      <c r="AA1264" s="863"/>
      <c r="AB1264" s="756">
        <f t="shared" si="172"/>
        <v>0</v>
      </c>
      <c r="AC1264" s="859"/>
      <c r="AD1264" s="863"/>
      <c r="AE1264" s="859"/>
      <c r="AF1264" s="859"/>
      <c r="AG1264" s="864"/>
      <c r="AH1264" s="865"/>
      <c r="AI1264" s="757">
        <f t="shared" si="176"/>
        <v>12454062</v>
      </c>
      <c r="AJ1264" s="758">
        <f t="shared" si="177"/>
        <v>13450046</v>
      </c>
    </row>
    <row r="1265" spans="1:36" x14ac:dyDescent="0.2">
      <c r="A1265" s="1254" t="s">
        <v>145</v>
      </c>
      <c r="B1265" s="1255" t="s">
        <v>303</v>
      </c>
      <c r="C1265" s="1280" t="s">
        <v>789</v>
      </c>
      <c r="D1265" s="1257"/>
      <c r="E1265" s="1258"/>
      <c r="F1265" s="1259"/>
      <c r="G1265" s="859"/>
      <c r="H1265" s="860"/>
      <c r="I1265" s="861"/>
      <c r="J1265" s="862"/>
      <c r="K1265" s="859"/>
      <c r="L1265" s="863"/>
      <c r="M1265" s="859"/>
      <c r="N1265" s="859"/>
      <c r="O1265" s="752">
        <f t="shared" si="170"/>
        <v>0</v>
      </c>
      <c r="P1265" s="862"/>
      <c r="Q1265" s="860"/>
      <c r="R1265" s="753">
        <f t="shared" si="173"/>
        <v>0</v>
      </c>
      <c r="S1265" s="752">
        <f t="shared" si="174"/>
        <v>0</v>
      </c>
      <c r="T1265" s="754">
        <f t="shared" si="175"/>
        <v>0</v>
      </c>
      <c r="U1265" s="859"/>
      <c r="V1265" s="863"/>
      <c r="W1265" s="859"/>
      <c r="X1265" s="859"/>
      <c r="Y1265" s="755">
        <f t="shared" si="171"/>
        <v>0</v>
      </c>
      <c r="Z1265" s="864"/>
      <c r="AA1265" s="863"/>
      <c r="AB1265" s="756">
        <f t="shared" si="172"/>
        <v>0</v>
      </c>
      <c r="AC1265" s="859"/>
      <c r="AD1265" s="863"/>
      <c r="AE1265" s="859"/>
      <c r="AF1265" s="859"/>
      <c r="AG1265" s="864"/>
      <c r="AH1265" s="865"/>
      <c r="AI1265" s="757">
        <f t="shared" si="176"/>
        <v>0</v>
      </c>
      <c r="AJ1265" s="758">
        <f t="shared" si="177"/>
        <v>0</v>
      </c>
    </row>
    <row r="1266" spans="1:36" x14ac:dyDescent="0.2">
      <c r="A1266" s="1254" t="s">
        <v>145</v>
      </c>
      <c r="B1266" s="1255" t="s">
        <v>303</v>
      </c>
      <c r="C1266" s="1262" t="s">
        <v>1279</v>
      </c>
      <c r="D1266" s="1261"/>
      <c r="E1266" s="1258"/>
      <c r="F1266" s="1259"/>
      <c r="G1266" s="859"/>
      <c r="H1266" s="860"/>
      <c r="I1266" s="861">
        <v>1487676</v>
      </c>
      <c r="J1266" s="862">
        <v>400000</v>
      </c>
      <c r="K1266" s="859"/>
      <c r="L1266" s="863"/>
      <c r="M1266" s="859"/>
      <c r="N1266" s="859"/>
      <c r="O1266" s="752">
        <f t="shared" si="170"/>
        <v>0</v>
      </c>
      <c r="P1266" s="862"/>
      <c r="Q1266" s="860"/>
      <c r="R1266" s="753">
        <f t="shared" si="173"/>
        <v>0</v>
      </c>
      <c r="S1266" s="752">
        <f t="shared" si="174"/>
        <v>1487676</v>
      </c>
      <c r="T1266" s="754">
        <f t="shared" si="175"/>
        <v>400000</v>
      </c>
      <c r="U1266" s="859"/>
      <c r="V1266" s="863"/>
      <c r="W1266" s="859"/>
      <c r="X1266" s="859"/>
      <c r="Y1266" s="755">
        <f t="shared" si="171"/>
        <v>0</v>
      </c>
      <c r="Z1266" s="864"/>
      <c r="AA1266" s="863"/>
      <c r="AB1266" s="756">
        <f t="shared" si="172"/>
        <v>0</v>
      </c>
      <c r="AC1266" s="859"/>
      <c r="AD1266" s="863"/>
      <c r="AE1266" s="859"/>
      <c r="AF1266" s="859"/>
      <c r="AG1266" s="864"/>
      <c r="AH1266" s="865"/>
      <c r="AI1266" s="757">
        <f t="shared" si="176"/>
        <v>1487676</v>
      </c>
      <c r="AJ1266" s="758">
        <f t="shared" si="177"/>
        <v>400000</v>
      </c>
    </row>
    <row r="1267" spans="1:36" x14ac:dyDescent="0.2">
      <c r="A1267" s="1254" t="s">
        <v>145</v>
      </c>
      <c r="B1267" s="1255" t="s">
        <v>303</v>
      </c>
      <c r="C1267" s="1262" t="s">
        <v>1280</v>
      </c>
      <c r="D1267" s="1261"/>
      <c r="E1267" s="1258"/>
      <c r="F1267" s="1259"/>
      <c r="G1267" s="859"/>
      <c r="H1267" s="860"/>
      <c r="I1267" s="861">
        <v>354000</v>
      </c>
      <c r="J1267" s="862">
        <v>250000</v>
      </c>
      <c r="K1267" s="859"/>
      <c r="L1267" s="863"/>
      <c r="M1267" s="859"/>
      <c r="N1267" s="859"/>
      <c r="O1267" s="752">
        <f t="shared" si="170"/>
        <v>0</v>
      </c>
      <c r="P1267" s="862"/>
      <c r="Q1267" s="860"/>
      <c r="R1267" s="753">
        <f t="shared" si="173"/>
        <v>0</v>
      </c>
      <c r="S1267" s="752">
        <f t="shared" si="174"/>
        <v>354000</v>
      </c>
      <c r="T1267" s="754">
        <f t="shared" si="175"/>
        <v>250000</v>
      </c>
      <c r="U1267" s="859"/>
      <c r="V1267" s="863"/>
      <c r="W1267" s="859"/>
      <c r="X1267" s="859"/>
      <c r="Y1267" s="755">
        <f t="shared" si="171"/>
        <v>0</v>
      </c>
      <c r="Z1267" s="864"/>
      <c r="AA1267" s="863"/>
      <c r="AB1267" s="756">
        <f t="shared" si="172"/>
        <v>0</v>
      </c>
      <c r="AC1267" s="859"/>
      <c r="AD1267" s="863"/>
      <c r="AE1267" s="859"/>
      <c r="AF1267" s="859"/>
      <c r="AG1267" s="864"/>
      <c r="AH1267" s="865"/>
      <c r="AI1267" s="757">
        <f t="shared" si="176"/>
        <v>354000</v>
      </c>
      <c r="AJ1267" s="758">
        <f t="shared" si="177"/>
        <v>250000</v>
      </c>
    </row>
    <row r="1268" spans="1:36" x14ac:dyDescent="0.2">
      <c r="A1268" s="1254" t="s">
        <v>145</v>
      </c>
      <c r="B1268" s="1255" t="s">
        <v>303</v>
      </c>
      <c r="C1268" s="1262" t="s">
        <v>1281</v>
      </c>
      <c r="D1268" s="1261"/>
      <c r="E1268" s="1258"/>
      <c r="F1268" s="1259"/>
      <c r="G1268" s="859"/>
      <c r="H1268" s="860"/>
      <c r="I1268" s="861">
        <v>500000</v>
      </c>
      <c r="J1268" s="862">
        <v>500000</v>
      </c>
      <c r="K1268" s="859"/>
      <c r="L1268" s="863"/>
      <c r="M1268" s="859"/>
      <c r="N1268" s="859"/>
      <c r="O1268" s="752">
        <f t="shared" si="170"/>
        <v>0</v>
      </c>
      <c r="P1268" s="862"/>
      <c r="Q1268" s="860"/>
      <c r="R1268" s="753">
        <f t="shared" si="173"/>
        <v>0</v>
      </c>
      <c r="S1268" s="752">
        <f t="shared" si="174"/>
        <v>500000</v>
      </c>
      <c r="T1268" s="754">
        <f t="shared" si="175"/>
        <v>500000</v>
      </c>
      <c r="U1268" s="859"/>
      <c r="V1268" s="863"/>
      <c r="W1268" s="859"/>
      <c r="X1268" s="859"/>
      <c r="Y1268" s="755">
        <f t="shared" si="171"/>
        <v>0</v>
      </c>
      <c r="Z1268" s="864"/>
      <c r="AA1268" s="863"/>
      <c r="AB1268" s="756">
        <f t="shared" si="172"/>
        <v>0</v>
      </c>
      <c r="AC1268" s="859"/>
      <c r="AD1268" s="863"/>
      <c r="AE1268" s="859"/>
      <c r="AF1268" s="859"/>
      <c r="AG1268" s="864"/>
      <c r="AH1268" s="865"/>
      <c r="AI1268" s="757">
        <f t="shared" si="176"/>
        <v>500000</v>
      </c>
      <c r="AJ1268" s="758">
        <f t="shared" si="177"/>
        <v>500000</v>
      </c>
    </row>
    <row r="1269" spans="1:36" x14ac:dyDescent="0.2">
      <c r="A1269" s="1254" t="s">
        <v>145</v>
      </c>
      <c r="B1269" s="1255" t="s">
        <v>303</v>
      </c>
      <c r="C1269" s="1262" t="s">
        <v>1282</v>
      </c>
      <c r="D1269" s="1261"/>
      <c r="E1269" s="1258"/>
      <c r="F1269" s="1259"/>
      <c r="G1269" s="859"/>
      <c r="H1269" s="860"/>
      <c r="I1269" s="861">
        <v>0</v>
      </c>
      <c r="J1269" s="862">
        <v>0</v>
      </c>
      <c r="K1269" s="859"/>
      <c r="L1269" s="863"/>
      <c r="M1269" s="859"/>
      <c r="N1269" s="859"/>
      <c r="O1269" s="752">
        <f t="shared" si="170"/>
        <v>0</v>
      </c>
      <c r="P1269" s="862"/>
      <c r="Q1269" s="860"/>
      <c r="R1269" s="753">
        <f t="shared" si="173"/>
        <v>0</v>
      </c>
      <c r="S1269" s="752">
        <f t="shared" si="174"/>
        <v>0</v>
      </c>
      <c r="T1269" s="754">
        <f t="shared" si="175"/>
        <v>0</v>
      </c>
      <c r="U1269" s="859"/>
      <c r="V1269" s="863"/>
      <c r="W1269" s="859"/>
      <c r="X1269" s="859"/>
      <c r="Y1269" s="755">
        <f t="shared" si="171"/>
        <v>0</v>
      </c>
      <c r="Z1269" s="864"/>
      <c r="AA1269" s="863"/>
      <c r="AB1269" s="756">
        <f t="shared" si="172"/>
        <v>0</v>
      </c>
      <c r="AC1269" s="859"/>
      <c r="AD1269" s="863"/>
      <c r="AE1269" s="859"/>
      <c r="AF1269" s="859"/>
      <c r="AG1269" s="864"/>
      <c r="AH1269" s="865"/>
      <c r="AI1269" s="757">
        <f t="shared" si="176"/>
        <v>0</v>
      </c>
      <c r="AJ1269" s="758">
        <f t="shared" si="177"/>
        <v>0</v>
      </c>
    </row>
    <row r="1270" spans="1:36" x14ac:dyDescent="0.2">
      <c r="A1270" s="1254" t="s">
        <v>145</v>
      </c>
      <c r="B1270" s="1255" t="s">
        <v>303</v>
      </c>
      <c r="C1270" s="1262" t="s">
        <v>1283</v>
      </c>
      <c r="D1270" s="1261"/>
      <c r="E1270" s="1258"/>
      <c r="F1270" s="1259"/>
      <c r="G1270" s="859"/>
      <c r="H1270" s="860"/>
      <c r="I1270" s="861">
        <v>3200000</v>
      </c>
      <c r="J1270" s="862">
        <v>4020000</v>
      </c>
      <c r="K1270" s="859"/>
      <c r="L1270" s="863"/>
      <c r="M1270" s="859"/>
      <c r="N1270" s="859"/>
      <c r="O1270" s="752">
        <f t="shared" si="170"/>
        <v>0</v>
      </c>
      <c r="P1270" s="862"/>
      <c r="Q1270" s="860"/>
      <c r="R1270" s="753">
        <f t="shared" si="173"/>
        <v>0</v>
      </c>
      <c r="S1270" s="752">
        <f t="shared" si="174"/>
        <v>3200000</v>
      </c>
      <c r="T1270" s="754">
        <f t="shared" si="175"/>
        <v>4020000</v>
      </c>
      <c r="U1270" s="859"/>
      <c r="V1270" s="863"/>
      <c r="W1270" s="859"/>
      <c r="X1270" s="859"/>
      <c r="Y1270" s="755">
        <f t="shared" si="171"/>
        <v>0</v>
      </c>
      <c r="Z1270" s="864"/>
      <c r="AA1270" s="863"/>
      <c r="AB1270" s="756">
        <f t="shared" si="172"/>
        <v>0</v>
      </c>
      <c r="AC1270" s="859"/>
      <c r="AD1270" s="863"/>
      <c r="AE1270" s="859"/>
      <c r="AF1270" s="859"/>
      <c r="AG1270" s="864"/>
      <c r="AH1270" s="865"/>
      <c r="AI1270" s="757">
        <f t="shared" si="176"/>
        <v>3200000</v>
      </c>
      <c r="AJ1270" s="758">
        <f t="shared" si="177"/>
        <v>4020000</v>
      </c>
    </row>
    <row r="1271" spans="1:36" x14ac:dyDescent="0.2">
      <c r="A1271" s="1254" t="s">
        <v>145</v>
      </c>
      <c r="B1271" s="1255" t="s">
        <v>303</v>
      </c>
      <c r="C1271" s="1262" t="s">
        <v>1284</v>
      </c>
      <c r="D1271" s="1261"/>
      <c r="E1271" s="1258"/>
      <c r="F1271" s="1259"/>
      <c r="G1271" s="859"/>
      <c r="H1271" s="860"/>
      <c r="I1271" s="861">
        <v>1000000</v>
      </c>
      <c r="J1271" s="862">
        <v>1000000</v>
      </c>
      <c r="K1271" s="859"/>
      <c r="L1271" s="863"/>
      <c r="M1271" s="859"/>
      <c r="N1271" s="859"/>
      <c r="O1271" s="752">
        <f t="shared" si="170"/>
        <v>0</v>
      </c>
      <c r="P1271" s="862"/>
      <c r="Q1271" s="860"/>
      <c r="R1271" s="753">
        <f t="shared" si="173"/>
        <v>0</v>
      </c>
      <c r="S1271" s="752">
        <f t="shared" si="174"/>
        <v>1000000</v>
      </c>
      <c r="T1271" s="754">
        <f t="shared" si="175"/>
        <v>1000000</v>
      </c>
      <c r="U1271" s="859"/>
      <c r="V1271" s="863"/>
      <c r="W1271" s="859"/>
      <c r="X1271" s="859"/>
      <c r="Y1271" s="755">
        <f t="shared" si="171"/>
        <v>0</v>
      </c>
      <c r="Z1271" s="864"/>
      <c r="AA1271" s="863"/>
      <c r="AB1271" s="756">
        <f t="shared" si="172"/>
        <v>0</v>
      </c>
      <c r="AC1271" s="859"/>
      <c r="AD1271" s="863"/>
      <c r="AE1271" s="859"/>
      <c r="AF1271" s="859"/>
      <c r="AG1271" s="864"/>
      <c r="AH1271" s="865"/>
      <c r="AI1271" s="757">
        <f t="shared" si="176"/>
        <v>1000000</v>
      </c>
      <c r="AJ1271" s="758">
        <f t="shared" si="177"/>
        <v>1000000</v>
      </c>
    </row>
    <row r="1272" spans="1:36" x14ac:dyDescent="0.2">
      <c r="A1272" s="1254" t="s">
        <v>145</v>
      </c>
      <c r="B1272" s="1255" t="s">
        <v>303</v>
      </c>
      <c r="C1272" s="1262" t="s">
        <v>1285</v>
      </c>
      <c r="D1272" s="1261"/>
      <c r="E1272" s="1258"/>
      <c r="F1272" s="1259"/>
      <c r="G1272" s="859"/>
      <c r="H1272" s="860"/>
      <c r="I1272" s="861">
        <v>3740434</v>
      </c>
      <c r="J1272" s="862">
        <v>4626423</v>
      </c>
      <c r="K1272" s="859"/>
      <c r="L1272" s="863"/>
      <c r="M1272" s="859"/>
      <c r="N1272" s="859"/>
      <c r="O1272" s="752">
        <f t="shared" si="170"/>
        <v>0</v>
      </c>
      <c r="P1272" s="862"/>
      <c r="Q1272" s="860"/>
      <c r="R1272" s="753">
        <f t="shared" si="173"/>
        <v>0</v>
      </c>
      <c r="S1272" s="752">
        <f t="shared" si="174"/>
        <v>3740434</v>
      </c>
      <c r="T1272" s="754">
        <f t="shared" si="175"/>
        <v>4626423</v>
      </c>
      <c r="U1272" s="859"/>
      <c r="V1272" s="863"/>
      <c r="W1272" s="859"/>
      <c r="X1272" s="859"/>
      <c r="Y1272" s="755">
        <f t="shared" si="171"/>
        <v>0</v>
      </c>
      <c r="Z1272" s="864"/>
      <c r="AA1272" s="863"/>
      <c r="AB1272" s="756">
        <f t="shared" si="172"/>
        <v>0</v>
      </c>
      <c r="AC1272" s="859"/>
      <c r="AD1272" s="863"/>
      <c r="AE1272" s="859"/>
      <c r="AF1272" s="859"/>
      <c r="AG1272" s="864"/>
      <c r="AH1272" s="865"/>
      <c r="AI1272" s="757">
        <f t="shared" si="176"/>
        <v>3740434</v>
      </c>
      <c r="AJ1272" s="758">
        <f t="shared" si="177"/>
        <v>4626423</v>
      </c>
    </row>
    <row r="1273" spans="1:36" x14ac:dyDescent="0.2">
      <c r="A1273" s="1254" t="s">
        <v>145</v>
      </c>
      <c r="B1273" s="1255" t="s">
        <v>303</v>
      </c>
      <c r="C1273" s="1262" t="s">
        <v>1286</v>
      </c>
      <c r="D1273" s="1261"/>
      <c r="E1273" s="1258"/>
      <c r="F1273" s="1259"/>
      <c r="G1273" s="859"/>
      <c r="H1273" s="860"/>
      <c r="I1273" s="861">
        <v>100000</v>
      </c>
      <c r="J1273" s="862">
        <v>0</v>
      </c>
      <c r="K1273" s="859"/>
      <c r="L1273" s="863"/>
      <c r="M1273" s="859"/>
      <c r="N1273" s="859"/>
      <c r="O1273" s="752">
        <f t="shared" si="170"/>
        <v>0</v>
      </c>
      <c r="P1273" s="862"/>
      <c r="Q1273" s="860"/>
      <c r="R1273" s="753">
        <f t="shared" si="173"/>
        <v>0</v>
      </c>
      <c r="S1273" s="752">
        <f t="shared" si="174"/>
        <v>100000</v>
      </c>
      <c r="T1273" s="754">
        <f t="shared" si="175"/>
        <v>0</v>
      </c>
      <c r="U1273" s="859"/>
      <c r="V1273" s="863"/>
      <c r="W1273" s="859"/>
      <c r="X1273" s="859"/>
      <c r="Y1273" s="755">
        <f t="shared" si="171"/>
        <v>0</v>
      </c>
      <c r="Z1273" s="864"/>
      <c r="AA1273" s="863"/>
      <c r="AB1273" s="756">
        <f t="shared" si="172"/>
        <v>0</v>
      </c>
      <c r="AC1273" s="859"/>
      <c r="AD1273" s="863"/>
      <c r="AE1273" s="859"/>
      <c r="AF1273" s="859"/>
      <c r="AG1273" s="864"/>
      <c r="AH1273" s="865"/>
      <c r="AI1273" s="757">
        <f t="shared" si="176"/>
        <v>100000</v>
      </c>
      <c r="AJ1273" s="758">
        <f t="shared" si="177"/>
        <v>0</v>
      </c>
    </row>
    <row r="1274" spans="1:36" x14ac:dyDescent="0.2">
      <c r="A1274" s="1254" t="s">
        <v>145</v>
      </c>
      <c r="B1274" s="1255" t="s">
        <v>303</v>
      </c>
      <c r="C1274" s="1262" t="s">
        <v>1287</v>
      </c>
      <c r="D1274" s="1261"/>
      <c r="E1274" s="1258"/>
      <c r="F1274" s="1259"/>
      <c r="G1274" s="859"/>
      <c r="H1274" s="860"/>
      <c r="I1274" s="861">
        <v>350000</v>
      </c>
      <c r="J1274" s="862">
        <v>150000</v>
      </c>
      <c r="K1274" s="859"/>
      <c r="L1274" s="863"/>
      <c r="M1274" s="859"/>
      <c r="N1274" s="859"/>
      <c r="O1274" s="752">
        <f t="shared" si="170"/>
        <v>0</v>
      </c>
      <c r="P1274" s="862"/>
      <c r="Q1274" s="860"/>
      <c r="R1274" s="753">
        <f t="shared" si="173"/>
        <v>0</v>
      </c>
      <c r="S1274" s="752">
        <f t="shared" si="174"/>
        <v>350000</v>
      </c>
      <c r="T1274" s="754">
        <f t="shared" si="175"/>
        <v>150000</v>
      </c>
      <c r="U1274" s="859"/>
      <c r="V1274" s="863"/>
      <c r="W1274" s="859"/>
      <c r="X1274" s="859"/>
      <c r="Y1274" s="755">
        <f t="shared" si="171"/>
        <v>0</v>
      </c>
      <c r="Z1274" s="864"/>
      <c r="AA1274" s="863"/>
      <c r="AB1274" s="756">
        <f t="shared" si="172"/>
        <v>0</v>
      </c>
      <c r="AC1274" s="859"/>
      <c r="AD1274" s="863"/>
      <c r="AE1274" s="859"/>
      <c r="AF1274" s="859"/>
      <c r="AG1274" s="864"/>
      <c r="AH1274" s="865"/>
      <c r="AI1274" s="757">
        <f t="shared" si="176"/>
        <v>350000</v>
      </c>
      <c r="AJ1274" s="758">
        <f t="shared" si="177"/>
        <v>150000</v>
      </c>
    </row>
    <row r="1275" spans="1:36" x14ac:dyDescent="0.2">
      <c r="A1275" s="1254" t="s">
        <v>145</v>
      </c>
      <c r="B1275" s="1255" t="s">
        <v>281</v>
      </c>
      <c r="C1275" s="1280" t="s">
        <v>109</v>
      </c>
      <c r="D1275" s="1257"/>
      <c r="E1275" s="1258"/>
      <c r="F1275" s="1259"/>
      <c r="G1275" s="859"/>
      <c r="H1275" s="860"/>
      <c r="I1275" s="861"/>
      <c r="J1275" s="862"/>
      <c r="K1275" s="859"/>
      <c r="L1275" s="863"/>
      <c r="M1275" s="859"/>
      <c r="N1275" s="859"/>
      <c r="O1275" s="752">
        <f t="shared" si="170"/>
        <v>0</v>
      </c>
      <c r="P1275" s="862"/>
      <c r="Q1275" s="860"/>
      <c r="R1275" s="753">
        <f t="shared" si="173"/>
        <v>0</v>
      </c>
      <c r="S1275" s="752">
        <f t="shared" si="174"/>
        <v>0</v>
      </c>
      <c r="T1275" s="754">
        <f t="shared" si="175"/>
        <v>0</v>
      </c>
      <c r="U1275" s="859"/>
      <c r="V1275" s="863"/>
      <c r="W1275" s="859"/>
      <c r="X1275" s="859"/>
      <c r="Y1275" s="755">
        <f t="shared" si="171"/>
        <v>0</v>
      </c>
      <c r="Z1275" s="864"/>
      <c r="AA1275" s="863"/>
      <c r="AB1275" s="756">
        <f t="shared" si="172"/>
        <v>0</v>
      </c>
      <c r="AC1275" s="859"/>
      <c r="AD1275" s="863"/>
      <c r="AE1275" s="859"/>
      <c r="AF1275" s="859"/>
      <c r="AG1275" s="864"/>
      <c r="AH1275" s="865"/>
      <c r="AI1275" s="757">
        <f t="shared" si="176"/>
        <v>0</v>
      </c>
      <c r="AJ1275" s="758">
        <f t="shared" si="177"/>
        <v>0</v>
      </c>
    </row>
    <row r="1276" spans="1:36" x14ac:dyDescent="0.2">
      <c r="A1276" s="1254" t="s">
        <v>145</v>
      </c>
      <c r="B1276" s="1255" t="s">
        <v>282</v>
      </c>
      <c r="C1276" s="1260" t="s">
        <v>140</v>
      </c>
      <c r="D1276" s="1261"/>
      <c r="E1276" s="1258"/>
      <c r="F1276" s="1259"/>
      <c r="G1276" s="859"/>
      <c r="H1276" s="860"/>
      <c r="I1276" s="861"/>
      <c r="J1276" s="862"/>
      <c r="K1276" s="859"/>
      <c r="L1276" s="863"/>
      <c r="M1276" s="859"/>
      <c r="N1276" s="859"/>
      <c r="O1276" s="752">
        <f t="shared" si="170"/>
        <v>0</v>
      </c>
      <c r="P1276" s="862"/>
      <c r="Q1276" s="860"/>
      <c r="R1276" s="753">
        <f t="shared" si="173"/>
        <v>0</v>
      </c>
      <c r="S1276" s="752">
        <f t="shared" si="174"/>
        <v>0</v>
      </c>
      <c r="T1276" s="754">
        <f t="shared" si="175"/>
        <v>0</v>
      </c>
      <c r="U1276" s="859"/>
      <c r="V1276" s="863"/>
      <c r="W1276" s="859"/>
      <c r="X1276" s="859"/>
      <c r="Y1276" s="755">
        <f t="shared" si="171"/>
        <v>0</v>
      </c>
      <c r="Z1276" s="864"/>
      <c r="AA1276" s="863"/>
      <c r="AB1276" s="756">
        <f t="shared" si="172"/>
        <v>0</v>
      </c>
      <c r="AC1276" s="859"/>
      <c r="AD1276" s="863"/>
      <c r="AE1276" s="859"/>
      <c r="AF1276" s="859"/>
      <c r="AG1276" s="864"/>
      <c r="AH1276" s="865"/>
      <c r="AI1276" s="757">
        <f t="shared" si="176"/>
        <v>0</v>
      </c>
      <c r="AJ1276" s="758">
        <f t="shared" si="177"/>
        <v>0</v>
      </c>
    </row>
    <row r="1277" spans="1:36" x14ac:dyDescent="0.2">
      <c r="A1277" s="1254" t="s">
        <v>145</v>
      </c>
      <c r="B1277" s="1255" t="s">
        <v>282</v>
      </c>
      <c r="C1277" s="1262" t="s">
        <v>1288</v>
      </c>
      <c r="D1277" s="1261"/>
      <c r="E1277" s="1258"/>
      <c r="F1277" s="1259"/>
      <c r="G1277" s="859"/>
      <c r="H1277" s="860"/>
      <c r="I1277" s="861"/>
      <c r="J1277" s="862"/>
      <c r="K1277" s="859"/>
      <c r="L1277" s="863"/>
      <c r="M1277" s="859"/>
      <c r="N1277" s="859"/>
      <c r="O1277" s="752">
        <f t="shared" si="170"/>
        <v>0</v>
      </c>
      <c r="P1277" s="862"/>
      <c r="Q1277" s="860"/>
      <c r="R1277" s="753">
        <f t="shared" si="173"/>
        <v>0</v>
      </c>
      <c r="S1277" s="752">
        <f t="shared" si="174"/>
        <v>0</v>
      </c>
      <c r="T1277" s="754">
        <f t="shared" si="175"/>
        <v>0</v>
      </c>
      <c r="U1277" s="859">
        <v>6428372</v>
      </c>
      <c r="V1277" s="863">
        <v>6897522</v>
      </c>
      <c r="W1277" s="859"/>
      <c r="X1277" s="859"/>
      <c r="Y1277" s="755">
        <f t="shared" si="171"/>
        <v>0</v>
      </c>
      <c r="Z1277" s="864"/>
      <c r="AA1277" s="863"/>
      <c r="AB1277" s="756">
        <f t="shared" si="172"/>
        <v>0</v>
      </c>
      <c r="AC1277" s="859"/>
      <c r="AD1277" s="863"/>
      <c r="AE1277" s="859"/>
      <c r="AF1277" s="859"/>
      <c r="AG1277" s="864"/>
      <c r="AH1277" s="865"/>
      <c r="AI1277" s="757">
        <f t="shared" si="176"/>
        <v>6428372</v>
      </c>
      <c r="AJ1277" s="758">
        <f t="shared" si="177"/>
        <v>6897522</v>
      </c>
    </row>
    <row r="1278" spans="1:36" x14ac:dyDescent="0.2">
      <c r="A1278" s="1254" t="s">
        <v>145</v>
      </c>
      <c r="B1278" s="1255" t="s">
        <v>282</v>
      </c>
      <c r="C1278" s="1262" t="s">
        <v>1289</v>
      </c>
      <c r="D1278" s="1261"/>
      <c r="E1278" s="1258"/>
      <c r="F1278" s="1259"/>
      <c r="G1278" s="859"/>
      <c r="H1278" s="860"/>
      <c r="I1278" s="861"/>
      <c r="J1278" s="862"/>
      <c r="K1278" s="859"/>
      <c r="L1278" s="863"/>
      <c r="M1278" s="859"/>
      <c r="N1278" s="859"/>
      <c r="O1278" s="752">
        <f t="shared" si="170"/>
        <v>0</v>
      </c>
      <c r="P1278" s="862"/>
      <c r="Q1278" s="860"/>
      <c r="R1278" s="753">
        <f t="shared" si="173"/>
        <v>0</v>
      </c>
      <c r="S1278" s="752">
        <f t="shared" si="174"/>
        <v>0</v>
      </c>
      <c r="T1278" s="754">
        <f t="shared" si="175"/>
        <v>0</v>
      </c>
      <c r="U1278" s="859">
        <v>2421547</v>
      </c>
      <c r="V1278" s="863">
        <v>14421547</v>
      </c>
      <c r="W1278" s="859"/>
      <c r="X1278" s="859"/>
      <c r="Y1278" s="755">
        <f t="shared" si="171"/>
        <v>0</v>
      </c>
      <c r="Z1278" s="864"/>
      <c r="AA1278" s="863"/>
      <c r="AB1278" s="756">
        <f t="shared" si="172"/>
        <v>0</v>
      </c>
      <c r="AC1278" s="859"/>
      <c r="AD1278" s="863"/>
      <c r="AE1278" s="859"/>
      <c r="AF1278" s="859"/>
      <c r="AG1278" s="864"/>
      <c r="AH1278" s="865"/>
      <c r="AI1278" s="757">
        <f t="shared" si="176"/>
        <v>2421547</v>
      </c>
      <c r="AJ1278" s="758">
        <f t="shared" si="177"/>
        <v>14421547</v>
      </c>
    </row>
    <row r="1279" spans="1:36" x14ac:dyDescent="0.2">
      <c r="A1279" s="1254" t="s">
        <v>145</v>
      </c>
      <c r="B1279" s="1255" t="s">
        <v>282</v>
      </c>
      <c r="C1279" s="1262" t="s">
        <v>1290</v>
      </c>
      <c r="D1279" s="1261"/>
      <c r="E1279" s="1258"/>
      <c r="F1279" s="1259"/>
      <c r="G1279" s="859"/>
      <c r="H1279" s="860"/>
      <c r="I1279" s="861"/>
      <c r="J1279" s="862"/>
      <c r="K1279" s="859"/>
      <c r="L1279" s="863"/>
      <c r="M1279" s="859"/>
      <c r="N1279" s="859"/>
      <c r="O1279" s="752">
        <f t="shared" si="170"/>
        <v>0</v>
      </c>
      <c r="P1279" s="862"/>
      <c r="Q1279" s="860"/>
      <c r="R1279" s="753">
        <f t="shared" si="173"/>
        <v>0</v>
      </c>
      <c r="S1279" s="752">
        <f t="shared" si="174"/>
        <v>0</v>
      </c>
      <c r="T1279" s="754">
        <f t="shared" si="175"/>
        <v>0</v>
      </c>
      <c r="U1279" s="859">
        <v>3495054</v>
      </c>
      <c r="V1279" s="863">
        <v>12495054</v>
      </c>
      <c r="W1279" s="859"/>
      <c r="X1279" s="859"/>
      <c r="Y1279" s="755">
        <f t="shared" si="171"/>
        <v>0</v>
      </c>
      <c r="Z1279" s="864"/>
      <c r="AA1279" s="863"/>
      <c r="AB1279" s="756">
        <f t="shared" si="172"/>
        <v>0</v>
      </c>
      <c r="AC1279" s="859"/>
      <c r="AD1279" s="863"/>
      <c r="AE1279" s="859"/>
      <c r="AF1279" s="859"/>
      <c r="AG1279" s="864"/>
      <c r="AH1279" s="865"/>
      <c r="AI1279" s="757">
        <f t="shared" si="176"/>
        <v>3495054</v>
      </c>
      <c r="AJ1279" s="758">
        <f t="shared" si="177"/>
        <v>12495054</v>
      </c>
    </row>
    <row r="1280" spans="1:36" x14ac:dyDescent="0.2">
      <c r="A1280" s="1254" t="s">
        <v>145</v>
      </c>
      <c r="B1280" s="1255" t="s">
        <v>282</v>
      </c>
      <c r="C1280" s="1262" t="s">
        <v>1291</v>
      </c>
      <c r="D1280" s="1261"/>
      <c r="E1280" s="1258"/>
      <c r="F1280" s="1259"/>
      <c r="G1280" s="859"/>
      <c r="H1280" s="860"/>
      <c r="I1280" s="861"/>
      <c r="J1280" s="862"/>
      <c r="K1280" s="859"/>
      <c r="L1280" s="863"/>
      <c r="M1280" s="859"/>
      <c r="N1280" s="859"/>
      <c r="O1280" s="752">
        <f t="shared" si="170"/>
        <v>0</v>
      </c>
      <c r="P1280" s="862"/>
      <c r="Q1280" s="860"/>
      <c r="R1280" s="753">
        <f t="shared" si="173"/>
        <v>0</v>
      </c>
      <c r="S1280" s="752">
        <f t="shared" si="174"/>
        <v>0</v>
      </c>
      <c r="T1280" s="754">
        <f t="shared" si="175"/>
        <v>0</v>
      </c>
      <c r="U1280" s="859">
        <v>1034112</v>
      </c>
      <c r="V1280" s="863">
        <v>11034112</v>
      </c>
      <c r="W1280" s="859"/>
      <c r="X1280" s="859"/>
      <c r="Y1280" s="755">
        <f t="shared" si="171"/>
        <v>0</v>
      </c>
      <c r="Z1280" s="864"/>
      <c r="AA1280" s="863"/>
      <c r="AB1280" s="756">
        <f t="shared" si="172"/>
        <v>0</v>
      </c>
      <c r="AC1280" s="859"/>
      <c r="AD1280" s="863"/>
      <c r="AE1280" s="859"/>
      <c r="AF1280" s="859"/>
      <c r="AG1280" s="864"/>
      <c r="AH1280" s="865"/>
      <c r="AI1280" s="757">
        <f t="shared" si="176"/>
        <v>1034112</v>
      </c>
      <c r="AJ1280" s="758">
        <f t="shared" si="177"/>
        <v>11034112</v>
      </c>
    </row>
    <row r="1281" spans="1:36" x14ac:dyDescent="0.2">
      <c r="A1281" s="1254" t="s">
        <v>145</v>
      </c>
      <c r="B1281" s="1255" t="s">
        <v>283</v>
      </c>
      <c r="C1281" s="1260" t="s">
        <v>139</v>
      </c>
      <c r="D1281" s="1261"/>
      <c r="E1281" s="1258"/>
      <c r="F1281" s="1259"/>
      <c r="G1281" s="859"/>
      <c r="H1281" s="860"/>
      <c r="I1281" s="861"/>
      <c r="J1281" s="862"/>
      <c r="K1281" s="859"/>
      <c r="L1281" s="863"/>
      <c r="M1281" s="859"/>
      <c r="N1281" s="859"/>
      <c r="O1281" s="752">
        <f t="shared" si="170"/>
        <v>0</v>
      </c>
      <c r="P1281" s="862"/>
      <c r="Q1281" s="860"/>
      <c r="R1281" s="753">
        <f t="shared" si="173"/>
        <v>0</v>
      </c>
      <c r="S1281" s="752">
        <f t="shared" si="174"/>
        <v>0</v>
      </c>
      <c r="T1281" s="754">
        <f t="shared" si="175"/>
        <v>0</v>
      </c>
      <c r="U1281" s="859"/>
      <c r="V1281" s="863"/>
      <c r="W1281" s="859"/>
      <c r="X1281" s="859"/>
      <c r="Y1281" s="755">
        <f t="shared" si="171"/>
        <v>0</v>
      </c>
      <c r="Z1281" s="864"/>
      <c r="AA1281" s="863"/>
      <c r="AB1281" s="756">
        <f t="shared" si="172"/>
        <v>0</v>
      </c>
      <c r="AC1281" s="859"/>
      <c r="AD1281" s="863"/>
      <c r="AE1281" s="859"/>
      <c r="AF1281" s="859"/>
      <c r="AG1281" s="864"/>
      <c r="AH1281" s="865"/>
      <c r="AI1281" s="757">
        <f t="shared" si="176"/>
        <v>0</v>
      </c>
      <c r="AJ1281" s="758">
        <f t="shared" si="177"/>
        <v>0</v>
      </c>
    </row>
    <row r="1282" spans="1:36" x14ac:dyDescent="0.2">
      <c r="A1282" s="1254" t="s">
        <v>145</v>
      </c>
      <c r="B1282" s="1255" t="s">
        <v>283</v>
      </c>
      <c r="C1282" s="1262" t="s">
        <v>1292</v>
      </c>
      <c r="D1282" s="1261"/>
      <c r="E1282" s="1258"/>
      <c r="F1282" s="1259"/>
      <c r="G1282" s="859"/>
      <c r="H1282" s="860"/>
      <c r="I1282" s="861"/>
      <c r="J1282" s="862"/>
      <c r="K1282" s="859"/>
      <c r="L1282" s="863"/>
      <c r="M1282" s="859"/>
      <c r="N1282" s="859"/>
      <c r="O1282" s="752">
        <f t="shared" si="170"/>
        <v>0</v>
      </c>
      <c r="P1282" s="862"/>
      <c r="Q1282" s="860"/>
      <c r="R1282" s="753">
        <f t="shared" si="173"/>
        <v>0</v>
      </c>
      <c r="S1282" s="752">
        <f t="shared" si="174"/>
        <v>0</v>
      </c>
      <c r="T1282" s="754">
        <f t="shared" si="175"/>
        <v>0</v>
      </c>
      <c r="U1282" s="859">
        <v>17059701</v>
      </c>
      <c r="V1282" s="863">
        <v>27156540</v>
      </c>
      <c r="W1282" s="859"/>
      <c r="X1282" s="859"/>
      <c r="Y1282" s="755">
        <f t="shared" si="171"/>
        <v>0</v>
      </c>
      <c r="Z1282" s="864"/>
      <c r="AA1282" s="863"/>
      <c r="AB1282" s="756">
        <f t="shared" si="172"/>
        <v>0</v>
      </c>
      <c r="AC1282" s="859"/>
      <c r="AD1282" s="863"/>
      <c r="AE1282" s="859"/>
      <c r="AF1282" s="859"/>
      <c r="AG1282" s="864"/>
      <c r="AH1282" s="865"/>
      <c r="AI1282" s="757">
        <f t="shared" si="176"/>
        <v>17059701</v>
      </c>
      <c r="AJ1282" s="758">
        <f t="shared" si="177"/>
        <v>27156540</v>
      </c>
    </row>
    <row r="1283" spans="1:36" x14ac:dyDescent="0.2">
      <c r="A1283" s="1254" t="s">
        <v>145</v>
      </c>
      <c r="B1283" s="1255" t="s">
        <v>284</v>
      </c>
      <c r="C1283" s="1260" t="s">
        <v>138</v>
      </c>
      <c r="D1283" s="1261"/>
      <c r="E1283" s="1258"/>
      <c r="F1283" s="1259"/>
      <c r="G1283" s="859"/>
      <c r="H1283" s="860"/>
      <c r="I1283" s="861"/>
      <c r="J1283" s="862"/>
      <c r="K1283" s="859"/>
      <c r="L1283" s="863"/>
      <c r="M1283" s="859"/>
      <c r="N1283" s="859"/>
      <c r="O1283" s="752">
        <f t="shared" si="170"/>
        <v>0</v>
      </c>
      <c r="P1283" s="862"/>
      <c r="Q1283" s="860"/>
      <c r="R1283" s="753">
        <f t="shared" si="173"/>
        <v>0</v>
      </c>
      <c r="S1283" s="752">
        <f t="shared" si="174"/>
        <v>0</v>
      </c>
      <c r="T1283" s="754">
        <f t="shared" si="175"/>
        <v>0</v>
      </c>
      <c r="U1283" s="859"/>
      <c r="V1283" s="863"/>
      <c r="W1283" s="859"/>
      <c r="X1283" s="859"/>
      <c r="Y1283" s="755">
        <f t="shared" si="171"/>
        <v>0</v>
      </c>
      <c r="Z1283" s="864"/>
      <c r="AA1283" s="863"/>
      <c r="AB1283" s="756">
        <f t="shared" si="172"/>
        <v>0</v>
      </c>
      <c r="AC1283" s="859"/>
      <c r="AD1283" s="863"/>
      <c r="AE1283" s="859"/>
      <c r="AF1283" s="859"/>
      <c r="AG1283" s="864"/>
      <c r="AH1283" s="865"/>
      <c r="AI1283" s="757">
        <f t="shared" si="176"/>
        <v>0</v>
      </c>
      <c r="AJ1283" s="758">
        <f t="shared" si="177"/>
        <v>0</v>
      </c>
    </row>
    <row r="1284" spans="1:36" x14ac:dyDescent="0.2">
      <c r="A1284" s="1254" t="s">
        <v>145</v>
      </c>
      <c r="B1284" s="1255" t="s">
        <v>284</v>
      </c>
      <c r="C1284" s="1262" t="s">
        <v>792</v>
      </c>
      <c r="D1284" s="1261"/>
      <c r="E1284" s="1258"/>
      <c r="F1284" s="1259"/>
      <c r="G1284" s="859"/>
      <c r="H1284" s="860"/>
      <c r="I1284" s="861"/>
      <c r="J1284" s="862"/>
      <c r="K1284" s="859"/>
      <c r="L1284" s="863"/>
      <c r="M1284" s="859"/>
      <c r="N1284" s="859"/>
      <c r="O1284" s="752">
        <f t="shared" si="170"/>
        <v>0</v>
      </c>
      <c r="P1284" s="862"/>
      <c r="Q1284" s="860"/>
      <c r="R1284" s="753">
        <f t="shared" si="173"/>
        <v>0</v>
      </c>
      <c r="S1284" s="752">
        <f t="shared" si="174"/>
        <v>0</v>
      </c>
      <c r="T1284" s="754">
        <f t="shared" si="175"/>
        <v>0</v>
      </c>
      <c r="U1284" s="859"/>
      <c r="V1284" s="863"/>
      <c r="W1284" s="859"/>
      <c r="X1284" s="859"/>
      <c r="Y1284" s="755">
        <f t="shared" si="171"/>
        <v>0</v>
      </c>
      <c r="Z1284" s="864"/>
      <c r="AA1284" s="863"/>
      <c r="AB1284" s="756">
        <f t="shared" si="172"/>
        <v>0</v>
      </c>
      <c r="AC1284" s="859"/>
      <c r="AD1284" s="863"/>
      <c r="AE1284" s="859"/>
      <c r="AF1284" s="859"/>
      <c r="AG1284" s="864"/>
      <c r="AH1284" s="865"/>
      <c r="AI1284" s="757">
        <f t="shared" si="176"/>
        <v>0</v>
      </c>
      <c r="AJ1284" s="758">
        <f t="shared" si="177"/>
        <v>0</v>
      </c>
    </row>
    <row r="1285" spans="1:36" x14ac:dyDescent="0.2">
      <c r="A1285" s="1254" t="s">
        <v>145</v>
      </c>
      <c r="B1285" s="1255" t="s">
        <v>285</v>
      </c>
      <c r="C1285" s="1282" t="s">
        <v>646</v>
      </c>
      <c r="D1285" s="1283"/>
      <c r="E1285" s="1258"/>
      <c r="F1285" s="1259"/>
      <c r="G1285" s="859"/>
      <c r="H1285" s="860"/>
      <c r="I1285" s="861"/>
      <c r="J1285" s="862"/>
      <c r="K1285" s="859"/>
      <c r="L1285" s="863"/>
      <c r="M1285" s="859"/>
      <c r="N1285" s="859"/>
      <c r="O1285" s="752">
        <f t="shared" si="170"/>
        <v>0</v>
      </c>
      <c r="P1285" s="862"/>
      <c r="Q1285" s="860"/>
      <c r="R1285" s="753">
        <f t="shared" si="173"/>
        <v>0</v>
      </c>
      <c r="S1285" s="752">
        <f t="shared" si="174"/>
        <v>0</v>
      </c>
      <c r="T1285" s="754">
        <f t="shared" si="175"/>
        <v>0</v>
      </c>
      <c r="U1285" s="859"/>
      <c r="V1285" s="863"/>
      <c r="W1285" s="859"/>
      <c r="X1285" s="859"/>
      <c r="Y1285" s="755">
        <f t="shared" si="171"/>
        <v>0</v>
      </c>
      <c r="Z1285" s="864"/>
      <c r="AA1285" s="863"/>
      <c r="AB1285" s="756">
        <f t="shared" si="172"/>
        <v>0</v>
      </c>
      <c r="AC1285" s="859"/>
      <c r="AD1285" s="863"/>
      <c r="AE1285" s="859"/>
      <c r="AF1285" s="859"/>
      <c r="AG1285" s="864"/>
      <c r="AH1285" s="865"/>
      <c r="AI1285" s="757">
        <f t="shared" si="176"/>
        <v>0</v>
      </c>
      <c r="AJ1285" s="758">
        <f t="shared" si="177"/>
        <v>0</v>
      </c>
    </row>
    <row r="1286" spans="1:36" x14ac:dyDescent="0.2">
      <c r="A1286" s="1254" t="s">
        <v>145</v>
      </c>
      <c r="B1286" s="1255" t="s">
        <v>285</v>
      </c>
      <c r="C1286" s="1284" t="s">
        <v>1293</v>
      </c>
      <c r="D1286" s="1283"/>
      <c r="E1286" s="1258"/>
      <c r="F1286" s="1259"/>
      <c r="G1286" s="859"/>
      <c r="H1286" s="860"/>
      <c r="I1286" s="861"/>
      <c r="J1286" s="862"/>
      <c r="K1286" s="859"/>
      <c r="L1286" s="863"/>
      <c r="M1286" s="859"/>
      <c r="N1286" s="859"/>
      <c r="O1286" s="752">
        <f t="shared" si="170"/>
        <v>0</v>
      </c>
      <c r="P1286" s="862"/>
      <c r="Q1286" s="860"/>
      <c r="R1286" s="753">
        <f t="shared" si="173"/>
        <v>0</v>
      </c>
      <c r="S1286" s="752">
        <f t="shared" si="174"/>
        <v>0</v>
      </c>
      <c r="T1286" s="754">
        <f t="shared" si="175"/>
        <v>0</v>
      </c>
      <c r="U1286" s="859">
        <v>2228864</v>
      </c>
      <c r="V1286" s="863">
        <v>120864</v>
      </c>
      <c r="W1286" s="859"/>
      <c r="X1286" s="859"/>
      <c r="Y1286" s="755">
        <f t="shared" si="171"/>
        <v>0</v>
      </c>
      <c r="Z1286" s="864"/>
      <c r="AA1286" s="863"/>
      <c r="AB1286" s="756">
        <f t="shared" si="172"/>
        <v>0</v>
      </c>
      <c r="AC1286" s="859"/>
      <c r="AD1286" s="863"/>
      <c r="AE1286" s="859"/>
      <c r="AF1286" s="859"/>
      <c r="AG1286" s="864"/>
      <c r="AH1286" s="865"/>
      <c r="AI1286" s="757">
        <f t="shared" si="176"/>
        <v>2228864</v>
      </c>
      <c r="AJ1286" s="758">
        <f t="shared" si="177"/>
        <v>120864</v>
      </c>
    </row>
    <row r="1287" spans="1:36" x14ac:dyDescent="0.2">
      <c r="A1287" s="1254" t="s">
        <v>145</v>
      </c>
      <c r="B1287" s="1255" t="s">
        <v>286</v>
      </c>
      <c r="C1287" s="1280" t="s">
        <v>1294</v>
      </c>
      <c r="D1287" s="1257"/>
      <c r="E1287" s="1258"/>
      <c r="F1287" s="1259"/>
      <c r="G1287" s="859"/>
      <c r="H1287" s="860"/>
      <c r="I1287" s="861"/>
      <c r="J1287" s="862"/>
      <c r="K1287" s="859"/>
      <c r="L1287" s="863"/>
      <c r="M1287" s="859"/>
      <c r="N1287" s="859"/>
      <c r="O1287" s="752">
        <f t="shared" si="170"/>
        <v>0</v>
      </c>
      <c r="P1287" s="862"/>
      <c r="Q1287" s="860"/>
      <c r="R1287" s="753">
        <f t="shared" si="173"/>
        <v>0</v>
      </c>
      <c r="S1287" s="752">
        <f t="shared" si="174"/>
        <v>0</v>
      </c>
      <c r="T1287" s="754">
        <f t="shared" si="175"/>
        <v>0</v>
      </c>
      <c r="U1287" s="859"/>
      <c r="V1287" s="863"/>
      <c r="W1287" s="859"/>
      <c r="X1287" s="859"/>
      <c r="Y1287" s="755">
        <f t="shared" si="171"/>
        <v>0</v>
      </c>
      <c r="Z1287" s="864"/>
      <c r="AA1287" s="863"/>
      <c r="AB1287" s="756">
        <f t="shared" si="172"/>
        <v>0</v>
      </c>
      <c r="AC1287" s="859"/>
      <c r="AD1287" s="863"/>
      <c r="AE1287" s="859"/>
      <c r="AF1287" s="859"/>
      <c r="AG1287" s="864"/>
      <c r="AH1287" s="865"/>
      <c r="AI1287" s="757">
        <f t="shared" si="176"/>
        <v>0</v>
      </c>
      <c r="AJ1287" s="758">
        <f t="shared" si="177"/>
        <v>0</v>
      </c>
    </row>
    <row r="1288" spans="1:36" x14ac:dyDescent="0.2">
      <c r="A1288" s="1254" t="s">
        <v>145</v>
      </c>
      <c r="B1288" s="1255" t="s">
        <v>287</v>
      </c>
      <c r="C1288" s="1280" t="s">
        <v>570</v>
      </c>
      <c r="D1288" s="1257"/>
      <c r="E1288" s="1258"/>
      <c r="F1288" s="1259"/>
      <c r="G1288" s="859"/>
      <c r="H1288" s="860"/>
      <c r="I1288" s="861"/>
      <c r="J1288" s="862"/>
      <c r="K1288" s="859"/>
      <c r="L1288" s="863"/>
      <c r="M1288" s="859"/>
      <c r="N1288" s="859"/>
      <c r="O1288" s="752">
        <f t="shared" si="170"/>
        <v>0</v>
      </c>
      <c r="P1288" s="862"/>
      <c r="Q1288" s="860"/>
      <c r="R1288" s="753">
        <f t="shared" si="173"/>
        <v>0</v>
      </c>
      <c r="S1288" s="752">
        <f t="shared" si="174"/>
        <v>0</v>
      </c>
      <c r="T1288" s="754">
        <f t="shared" si="175"/>
        <v>0</v>
      </c>
      <c r="U1288" s="859"/>
      <c r="V1288" s="863"/>
      <c r="W1288" s="859"/>
      <c r="X1288" s="859"/>
      <c r="Y1288" s="755">
        <f t="shared" si="171"/>
        <v>0</v>
      </c>
      <c r="Z1288" s="864"/>
      <c r="AA1288" s="863"/>
      <c r="AB1288" s="756">
        <f t="shared" si="172"/>
        <v>0</v>
      </c>
      <c r="AC1288" s="859"/>
      <c r="AD1288" s="863"/>
      <c r="AE1288" s="859"/>
      <c r="AF1288" s="859"/>
      <c r="AG1288" s="864"/>
      <c r="AH1288" s="865"/>
      <c r="AI1288" s="757">
        <f t="shared" si="176"/>
        <v>0</v>
      </c>
      <c r="AJ1288" s="758">
        <f t="shared" si="177"/>
        <v>0</v>
      </c>
    </row>
    <row r="1289" spans="1:36" x14ac:dyDescent="0.2">
      <c r="A1289" s="1254" t="s">
        <v>145</v>
      </c>
      <c r="B1289" s="1255" t="s">
        <v>288</v>
      </c>
      <c r="C1289" s="1260" t="s">
        <v>571</v>
      </c>
      <c r="D1289" s="1261"/>
      <c r="E1289" s="1258"/>
      <c r="F1289" s="1259"/>
      <c r="G1289" s="859"/>
      <c r="H1289" s="860"/>
      <c r="I1289" s="861"/>
      <c r="J1289" s="862"/>
      <c r="K1289" s="859"/>
      <c r="L1289" s="863"/>
      <c r="M1289" s="859"/>
      <c r="N1289" s="859"/>
      <c r="O1289" s="752">
        <f t="shared" si="170"/>
        <v>0</v>
      </c>
      <c r="P1289" s="862"/>
      <c r="Q1289" s="860"/>
      <c r="R1289" s="753">
        <f t="shared" si="173"/>
        <v>0</v>
      </c>
      <c r="S1289" s="752">
        <f t="shared" si="174"/>
        <v>0</v>
      </c>
      <c r="T1289" s="754">
        <f t="shared" si="175"/>
        <v>0</v>
      </c>
      <c r="U1289" s="859"/>
      <c r="V1289" s="863"/>
      <c r="W1289" s="859"/>
      <c r="X1289" s="859"/>
      <c r="Y1289" s="755">
        <f t="shared" si="171"/>
        <v>0</v>
      </c>
      <c r="Z1289" s="864"/>
      <c r="AA1289" s="863"/>
      <c r="AB1289" s="756">
        <f t="shared" si="172"/>
        <v>0</v>
      </c>
      <c r="AC1289" s="859"/>
      <c r="AD1289" s="863"/>
      <c r="AE1289" s="859"/>
      <c r="AF1289" s="859"/>
      <c r="AG1289" s="864"/>
      <c r="AH1289" s="865"/>
      <c r="AI1289" s="757">
        <f t="shared" si="176"/>
        <v>0</v>
      </c>
      <c r="AJ1289" s="758">
        <f t="shared" si="177"/>
        <v>0</v>
      </c>
    </row>
    <row r="1290" spans="1:36" x14ac:dyDescent="0.2">
      <c r="A1290" s="1254" t="s">
        <v>145</v>
      </c>
      <c r="B1290" s="1255" t="s">
        <v>289</v>
      </c>
      <c r="C1290" s="1260" t="s">
        <v>573</v>
      </c>
      <c r="D1290" s="1261"/>
      <c r="E1290" s="1258"/>
      <c r="F1290" s="1259"/>
      <c r="G1290" s="859"/>
      <c r="H1290" s="860"/>
      <c r="I1290" s="861"/>
      <c r="J1290" s="862"/>
      <c r="K1290" s="859"/>
      <c r="L1290" s="863"/>
      <c r="M1290" s="859"/>
      <c r="N1290" s="859"/>
      <c r="O1290" s="752">
        <f t="shared" si="170"/>
        <v>0</v>
      </c>
      <c r="P1290" s="862"/>
      <c r="Q1290" s="860"/>
      <c r="R1290" s="753">
        <f t="shared" si="173"/>
        <v>0</v>
      </c>
      <c r="S1290" s="752">
        <f t="shared" si="174"/>
        <v>0</v>
      </c>
      <c r="T1290" s="754">
        <f t="shared" si="175"/>
        <v>0</v>
      </c>
      <c r="U1290" s="859">
        <v>380000</v>
      </c>
      <c r="V1290" s="863">
        <v>587495</v>
      </c>
      <c r="W1290" s="859"/>
      <c r="X1290" s="859"/>
      <c r="Y1290" s="755">
        <f t="shared" si="171"/>
        <v>0</v>
      </c>
      <c r="Z1290" s="864"/>
      <c r="AA1290" s="863"/>
      <c r="AB1290" s="756">
        <f t="shared" si="172"/>
        <v>0</v>
      </c>
      <c r="AC1290" s="859"/>
      <c r="AD1290" s="863"/>
      <c r="AE1290" s="859"/>
      <c r="AF1290" s="859"/>
      <c r="AG1290" s="864"/>
      <c r="AH1290" s="865"/>
      <c r="AI1290" s="757">
        <f t="shared" si="176"/>
        <v>380000</v>
      </c>
      <c r="AJ1290" s="758">
        <f t="shared" si="177"/>
        <v>587495</v>
      </c>
    </row>
    <row r="1291" spans="1:36" x14ac:dyDescent="0.2">
      <c r="A1291" s="1254" t="s">
        <v>145</v>
      </c>
      <c r="B1291" s="1255" t="s">
        <v>290</v>
      </c>
      <c r="C1291" s="1260" t="s">
        <v>137</v>
      </c>
      <c r="D1291" s="1261"/>
      <c r="E1291" s="1258"/>
      <c r="F1291" s="1259"/>
      <c r="G1291" s="859"/>
      <c r="H1291" s="860"/>
      <c r="I1291" s="861"/>
      <c r="J1291" s="862"/>
      <c r="K1291" s="859"/>
      <c r="L1291" s="863"/>
      <c r="M1291" s="859"/>
      <c r="N1291" s="859"/>
      <c r="O1291" s="752">
        <f t="shared" ref="O1291:O1354" si="178">SUM(M1291:N1291)</f>
        <v>0</v>
      </c>
      <c r="P1291" s="862"/>
      <c r="Q1291" s="860"/>
      <c r="R1291" s="753">
        <f t="shared" si="173"/>
        <v>0</v>
      </c>
      <c r="S1291" s="752">
        <f t="shared" si="174"/>
        <v>0</v>
      </c>
      <c r="T1291" s="754">
        <f t="shared" si="175"/>
        <v>0</v>
      </c>
      <c r="U1291" s="859"/>
      <c r="V1291" s="863"/>
      <c r="W1291" s="859"/>
      <c r="X1291" s="859"/>
      <c r="Y1291" s="755">
        <f t="shared" ref="Y1291:Y1354" si="179">SUM(W1291:X1291)</f>
        <v>0</v>
      </c>
      <c r="Z1291" s="864"/>
      <c r="AA1291" s="863"/>
      <c r="AB1291" s="756">
        <f t="shared" ref="AB1291:AB1354" si="180">SUM(Z1291:AA1291)</f>
        <v>0</v>
      </c>
      <c r="AC1291" s="859"/>
      <c r="AD1291" s="863"/>
      <c r="AE1291" s="859"/>
      <c r="AF1291" s="859"/>
      <c r="AG1291" s="864"/>
      <c r="AH1291" s="865"/>
      <c r="AI1291" s="757">
        <f t="shared" si="176"/>
        <v>0</v>
      </c>
      <c r="AJ1291" s="758">
        <f t="shared" si="177"/>
        <v>0</v>
      </c>
    </row>
    <row r="1292" spans="1:36" x14ac:dyDescent="0.2">
      <c r="A1292" s="1254" t="s">
        <v>145</v>
      </c>
      <c r="B1292" s="1255" t="s">
        <v>291</v>
      </c>
      <c r="C1292" s="1280" t="s">
        <v>574</v>
      </c>
      <c r="D1292" s="1257"/>
      <c r="E1292" s="1258"/>
      <c r="F1292" s="1259"/>
      <c r="G1292" s="859"/>
      <c r="H1292" s="860"/>
      <c r="I1292" s="861"/>
      <c r="J1292" s="862"/>
      <c r="K1292" s="859"/>
      <c r="L1292" s="863"/>
      <c r="M1292" s="859"/>
      <c r="N1292" s="859"/>
      <c r="O1292" s="752">
        <f t="shared" si="178"/>
        <v>0</v>
      </c>
      <c r="P1292" s="862"/>
      <c r="Q1292" s="860"/>
      <c r="R1292" s="753">
        <f t="shared" ref="R1292:R1355" si="181">SUM(P1292:Q1292)</f>
        <v>0</v>
      </c>
      <c r="S1292" s="752">
        <f t="shared" ref="S1292:S1355" si="182">SUM(G1292,I1292,K1292,M1292)</f>
        <v>0</v>
      </c>
      <c r="T1292" s="754">
        <f t="shared" ref="T1292:T1355" si="183">SUM(H1292,J1292,L1292,P1292)</f>
        <v>0</v>
      </c>
      <c r="U1292" s="859"/>
      <c r="V1292" s="863"/>
      <c r="W1292" s="859"/>
      <c r="X1292" s="859"/>
      <c r="Y1292" s="755">
        <f t="shared" si="179"/>
        <v>0</v>
      </c>
      <c r="Z1292" s="864"/>
      <c r="AA1292" s="863"/>
      <c r="AB1292" s="756">
        <f t="shared" si="180"/>
        <v>0</v>
      </c>
      <c r="AC1292" s="859"/>
      <c r="AD1292" s="863"/>
      <c r="AE1292" s="859"/>
      <c r="AF1292" s="859"/>
      <c r="AG1292" s="864"/>
      <c r="AH1292" s="865"/>
      <c r="AI1292" s="757">
        <f t="shared" ref="AI1292:AI1355" si="184">SUM(S1292,U1292,W1292,AC1292,AE1292)</f>
        <v>0</v>
      </c>
      <c r="AJ1292" s="758">
        <f t="shared" ref="AJ1292:AJ1355" si="185">SUM(T1292,V1292,Z1292,AD1292,AG1292)</f>
        <v>0</v>
      </c>
    </row>
    <row r="1293" spans="1:36" x14ac:dyDescent="0.2">
      <c r="A1293" s="1254" t="s">
        <v>145</v>
      </c>
      <c r="B1293" s="1255" t="s">
        <v>292</v>
      </c>
      <c r="C1293" s="1285" t="s">
        <v>34</v>
      </c>
      <c r="D1293" s="1286"/>
      <c r="E1293" s="1258"/>
      <c r="F1293" s="1259"/>
      <c r="G1293" s="859"/>
      <c r="H1293" s="860"/>
      <c r="I1293" s="861"/>
      <c r="J1293" s="862"/>
      <c r="K1293" s="859"/>
      <c r="L1293" s="863"/>
      <c r="M1293" s="859"/>
      <c r="N1293" s="859"/>
      <c r="O1293" s="752">
        <f t="shared" si="178"/>
        <v>0</v>
      </c>
      <c r="P1293" s="862"/>
      <c r="Q1293" s="860"/>
      <c r="R1293" s="753">
        <f t="shared" si="181"/>
        <v>0</v>
      </c>
      <c r="S1293" s="752">
        <f t="shared" si="182"/>
        <v>0</v>
      </c>
      <c r="T1293" s="754">
        <f t="shared" si="183"/>
        <v>0</v>
      </c>
      <c r="U1293" s="859"/>
      <c r="V1293" s="863"/>
      <c r="W1293" s="859"/>
      <c r="X1293" s="859"/>
      <c r="Y1293" s="755">
        <f t="shared" si="179"/>
        <v>0</v>
      </c>
      <c r="Z1293" s="864"/>
      <c r="AA1293" s="863"/>
      <c r="AB1293" s="756">
        <f t="shared" si="180"/>
        <v>0</v>
      </c>
      <c r="AC1293" s="859"/>
      <c r="AD1293" s="863"/>
      <c r="AE1293" s="859"/>
      <c r="AF1293" s="859"/>
      <c r="AG1293" s="864"/>
      <c r="AH1293" s="865"/>
      <c r="AI1293" s="757">
        <f t="shared" si="184"/>
        <v>0</v>
      </c>
      <c r="AJ1293" s="758">
        <f t="shared" si="185"/>
        <v>0</v>
      </c>
    </row>
    <row r="1294" spans="1:36" x14ac:dyDescent="0.2">
      <c r="A1294" s="1254" t="s">
        <v>145</v>
      </c>
      <c r="B1294" s="1255" t="s">
        <v>292</v>
      </c>
      <c r="C1294" s="1287" t="s">
        <v>1295</v>
      </c>
      <c r="D1294" s="1261"/>
      <c r="E1294" s="1258"/>
      <c r="F1294" s="1259"/>
      <c r="G1294" s="859"/>
      <c r="H1294" s="860"/>
      <c r="I1294" s="861"/>
      <c r="J1294" s="862"/>
      <c r="K1294" s="859"/>
      <c r="L1294" s="863"/>
      <c r="M1294" s="859"/>
      <c r="N1294" s="859"/>
      <c r="O1294" s="752">
        <f t="shared" si="178"/>
        <v>0</v>
      </c>
      <c r="P1294" s="862"/>
      <c r="Q1294" s="860"/>
      <c r="R1294" s="753">
        <f t="shared" si="181"/>
        <v>0</v>
      </c>
      <c r="S1294" s="752">
        <f t="shared" si="182"/>
        <v>0</v>
      </c>
      <c r="T1294" s="754">
        <f t="shared" si="183"/>
        <v>0</v>
      </c>
      <c r="U1294" s="859"/>
      <c r="V1294" s="863"/>
      <c r="W1294" s="859"/>
      <c r="X1294" s="859"/>
      <c r="Y1294" s="755">
        <f t="shared" si="179"/>
        <v>0</v>
      </c>
      <c r="Z1294" s="864"/>
      <c r="AA1294" s="863"/>
      <c r="AB1294" s="756">
        <f t="shared" si="180"/>
        <v>0</v>
      </c>
      <c r="AC1294" s="859"/>
      <c r="AD1294" s="863"/>
      <c r="AE1294" s="859"/>
      <c r="AF1294" s="859"/>
      <c r="AG1294" s="864"/>
      <c r="AH1294" s="865"/>
      <c r="AI1294" s="757">
        <f t="shared" si="184"/>
        <v>0</v>
      </c>
      <c r="AJ1294" s="758">
        <f t="shared" si="185"/>
        <v>0</v>
      </c>
    </row>
    <row r="1295" spans="1:36" x14ac:dyDescent="0.2">
      <c r="A1295" s="1254" t="s">
        <v>145</v>
      </c>
      <c r="B1295" s="1288" t="s">
        <v>209</v>
      </c>
      <c r="C1295" s="1289" t="s">
        <v>576</v>
      </c>
      <c r="D1295" s="1290"/>
      <c r="E1295" s="1258"/>
      <c r="F1295" s="1259"/>
      <c r="G1295" s="859"/>
      <c r="H1295" s="860"/>
      <c r="I1295" s="861"/>
      <c r="J1295" s="862"/>
      <c r="K1295" s="859"/>
      <c r="L1295" s="863"/>
      <c r="M1295" s="859"/>
      <c r="N1295" s="859"/>
      <c r="O1295" s="752">
        <f t="shared" si="178"/>
        <v>0</v>
      </c>
      <c r="P1295" s="862"/>
      <c r="Q1295" s="860"/>
      <c r="R1295" s="753">
        <f t="shared" si="181"/>
        <v>0</v>
      </c>
      <c r="S1295" s="752">
        <f t="shared" si="182"/>
        <v>0</v>
      </c>
      <c r="T1295" s="754">
        <f t="shared" si="183"/>
        <v>0</v>
      </c>
      <c r="U1295" s="859"/>
      <c r="V1295" s="863"/>
      <c r="W1295" s="859"/>
      <c r="X1295" s="859"/>
      <c r="Y1295" s="755">
        <f t="shared" si="179"/>
        <v>0</v>
      </c>
      <c r="Z1295" s="864"/>
      <c r="AA1295" s="863"/>
      <c r="AB1295" s="756">
        <f t="shared" si="180"/>
        <v>0</v>
      </c>
      <c r="AC1295" s="859"/>
      <c r="AD1295" s="863"/>
      <c r="AE1295" s="859"/>
      <c r="AF1295" s="859"/>
      <c r="AG1295" s="864"/>
      <c r="AH1295" s="865"/>
      <c r="AI1295" s="757">
        <f t="shared" si="184"/>
        <v>0</v>
      </c>
      <c r="AJ1295" s="758">
        <f t="shared" si="185"/>
        <v>0</v>
      </c>
    </row>
    <row r="1296" spans="1:36" x14ac:dyDescent="0.2">
      <c r="A1296" s="1254" t="s">
        <v>145</v>
      </c>
      <c r="B1296" s="1288" t="s">
        <v>210</v>
      </c>
      <c r="C1296" s="1289" t="s">
        <v>311</v>
      </c>
      <c r="D1296" s="1290"/>
      <c r="E1296" s="1258"/>
      <c r="F1296" s="1259"/>
      <c r="G1296" s="859"/>
      <c r="H1296" s="860"/>
      <c r="I1296" s="861"/>
      <c r="J1296" s="862"/>
      <c r="K1296" s="859"/>
      <c r="L1296" s="863"/>
      <c r="M1296" s="859"/>
      <c r="N1296" s="859"/>
      <c r="O1296" s="752">
        <f t="shared" si="178"/>
        <v>0</v>
      </c>
      <c r="P1296" s="862"/>
      <c r="Q1296" s="860"/>
      <c r="R1296" s="753">
        <f t="shared" si="181"/>
        <v>0</v>
      </c>
      <c r="S1296" s="752">
        <f t="shared" si="182"/>
        <v>0</v>
      </c>
      <c r="T1296" s="754">
        <f t="shared" si="183"/>
        <v>0</v>
      </c>
      <c r="U1296" s="859">
        <v>23823140</v>
      </c>
      <c r="V1296" s="863">
        <v>23783131</v>
      </c>
      <c r="W1296" s="859"/>
      <c r="X1296" s="859"/>
      <c r="Y1296" s="755">
        <f t="shared" si="179"/>
        <v>0</v>
      </c>
      <c r="Z1296" s="864"/>
      <c r="AA1296" s="863"/>
      <c r="AB1296" s="756">
        <f t="shared" si="180"/>
        <v>0</v>
      </c>
      <c r="AC1296" s="859"/>
      <c r="AD1296" s="863"/>
      <c r="AE1296" s="859"/>
      <c r="AF1296" s="859"/>
      <c r="AG1296" s="864"/>
      <c r="AH1296" s="865"/>
      <c r="AI1296" s="757">
        <f t="shared" si="184"/>
        <v>23823140</v>
      </c>
      <c r="AJ1296" s="758">
        <f t="shared" si="185"/>
        <v>23783131</v>
      </c>
    </row>
    <row r="1297" spans="1:36" x14ac:dyDescent="0.2">
      <c r="A1297" s="1254" t="s">
        <v>145</v>
      </c>
      <c r="B1297" s="1288" t="s">
        <v>204</v>
      </c>
      <c r="C1297" s="1289" t="s">
        <v>249</v>
      </c>
      <c r="D1297" s="1290"/>
      <c r="E1297" s="1258"/>
      <c r="F1297" s="1259"/>
      <c r="G1297" s="859"/>
      <c r="H1297" s="860"/>
      <c r="I1297" s="861"/>
      <c r="J1297" s="862"/>
      <c r="K1297" s="859"/>
      <c r="L1297" s="863"/>
      <c r="M1297" s="859"/>
      <c r="N1297" s="859"/>
      <c r="O1297" s="752">
        <f t="shared" si="178"/>
        <v>0</v>
      </c>
      <c r="P1297" s="862"/>
      <c r="Q1297" s="860"/>
      <c r="R1297" s="753">
        <f t="shared" si="181"/>
        <v>0</v>
      </c>
      <c r="S1297" s="752">
        <f t="shared" si="182"/>
        <v>0</v>
      </c>
      <c r="T1297" s="754">
        <f t="shared" si="183"/>
        <v>0</v>
      </c>
      <c r="U1297" s="859">
        <v>176903369</v>
      </c>
      <c r="V1297" s="863">
        <v>199825710</v>
      </c>
      <c r="W1297" s="859"/>
      <c r="X1297" s="859"/>
      <c r="Y1297" s="755">
        <f t="shared" si="179"/>
        <v>0</v>
      </c>
      <c r="Z1297" s="864"/>
      <c r="AA1297" s="863"/>
      <c r="AB1297" s="756">
        <f t="shared" si="180"/>
        <v>0</v>
      </c>
      <c r="AC1297" s="859"/>
      <c r="AD1297" s="863"/>
      <c r="AE1297" s="859"/>
      <c r="AF1297" s="859"/>
      <c r="AG1297" s="864"/>
      <c r="AH1297" s="865"/>
      <c r="AI1297" s="757">
        <f t="shared" si="184"/>
        <v>176903369</v>
      </c>
      <c r="AJ1297" s="758">
        <f t="shared" si="185"/>
        <v>199825710</v>
      </c>
    </row>
    <row r="1298" spans="1:36" x14ac:dyDescent="0.2">
      <c r="A1298" s="1254" t="s">
        <v>145</v>
      </c>
      <c r="B1298" s="1288" t="s">
        <v>205</v>
      </c>
      <c r="C1298" s="1289" t="s">
        <v>577</v>
      </c>
      <c r="D1298" s="1290"/>
      <c r="E1298" s="1258"/>
      <c r="F1298" s="1259"/>
      <c r="G1298" s="859"/>
      <c r="H1298" s="860"/>
      <c r="I1298" s="861"/>
      <c r="J1298" s="862"/>
      <c r="K1298" s="859"/>
      <c r="L1298" s="863"/>
      <c r="M1298" s="859"/>
      <c r="N1298" s="859"/>
      <c r="O1298" s="752">
        <f t="shared" si="178"/>
        <v>0</v>
      </c>
      <c r="P1298" s="862"/>
      <c r="Q1298" s="860"/>
      <c r="R1298" s="753">
        <f t="shared" si="181"/>
        <v>0</v>
      </c>
      <c r="S1298" s="752">
        <f t="shared" si="182"/>
        <v>0</v>
      </c>
      <c r="T1298" s="754">
        <f t="shared" si="183"/>
        <v>0</v>
      </c>
      <c r="U1298" s="859"/>
      <c r="V1298" s="863"/>
      <c r="W1298" s="859"/>
      <c r="X1298" s="859"/>
      <c r="Y1298" s="755">
        <f t="shared" si="179"/>
        <v>0</v>
      </c>
      <c r="Z1298" s="864"/>
      <c r="AA1298" s="863"/>
      <c r="AB1298" s="756">
        <f t="shared" si="180"/>
        <v>0</v>
      </c>
      <c r="AC1298" s="859"/>
      <c r="AD1298" s="863"/>
      <c r="AE1298" s="859"/>
      <c r="AF1298" s="859"/>
      <c r="AG1298" s="864"/>
      <c r="AH1298" s="865"/>
      <c r="AI1298" s="757">
        <f t="shared" si="184"/>
        <v>0</v>
      </c>
      <c r="AJ1298" s="758">
        <f t="shared" si="185"/>
        <v>0</v>
      </c>
    </row>
    <row r="1299" spans="1:36" x14ac:dyDescent="0.2">
      <c r="A1299" s="1254" t="s">
        <v>145</v>
      </c>
      <c r="B1299" s="1288" t="s">
        <v>218</v>
      </c>
      <c r="C1299" s="1289" t="s">
        <v>311</v>
      </c>
      <c r="D1299" s="1290"/>
      <c r="E1299" s="1258"/>
      <c r="F1299" s="1259"/>
      <c r="G1299" s="859"/>
      <c r="H1299" s="860"/>
      <c r="I1299" s="861"/>
      <c r="J1299" s="862"/>
      <c r="K1299" s="859"/>
      <c r="L1299" s="863"/>
      <c r="M1299" s="859"/>
      <c r="N1299" s="859"/>
      <c r="O1299" s="752">
        <f t="shared" si="178"/>
        <v>0</v>
      </c>
      <c r="P1299" s="862"/>
      <c r="Q1299" s="860"/>
      <c r="R1299" s="753">
        <f t="shared" si="181"/>
        <v>0</v>
      </c>
      <c r="S1299" s="752">
        <f t="shared" si="182"/>
        <v>0</v>
      </c>
      <c r="T1299" s="754">
        <f t="shared" si="183"/>
        <v>0</v>
      </c>
      <c r="U1299" s="859">
        <v>2340677</v>
      </c>
      <c r="V1299" s="863">
        <v>2335638</v>
      </c>
      <c r="W1299" s="859"/>
      <c r="X1299" s="859"/>
      <c r="Y1299" s="755">
        <f t="shared" si="179"/>
        <v>0</v>
      </c>
      <c r="Z1299" s="864"/>
      <c r="AA1299" s="863"/>
      <c r="AB1299" s="756">
        <f t="shared" si="180"/>
        <v>0</v>
      </c>
      <c r="AC1299" s="859"/>
      <c r="AD1299" s="863"/>
      <c r="AE1299" s="859"/>
      <c r="AF1299" s="859"/>
      <c r="AG1299" s="864"/>
      <c r="AH1299" s="865"/>
      <c r="AI1299" s="757">
        <f t="shared" si="184"/>
        <v>2340677</v>
      </c>
      <c r="AJ1299" s="758">
        <f t="shared" si="185"/>
        <v>2335638</v>
      </c>
    </row>
    <row r="1300" spans="1:36" x14ac:dyDescent="0.2">
      <c r="A1300" s="1254" t="s">
        <v>145</v>
      </c>
      <c r="B1300" s="1288" t="s">
        <v>219</v>
      </c>
      <c r="C1300" s="1289" t="s">
        <v>249</v>
      </c>
      <c r="D1300" s="1290"/>
      <c r="E1300" s="1258"/>
      <c r="F1300" s="1259"/>
      <c r="G1300" s="859"/>
      <c r="H1300" s="860"/>
      <c r="I1300" s="861"/>
      <c r="J1300" s="862"/>
      <c r="K1300" s="859"/>
      <c r="L1300" s="863"/>
      <c r="M1300" s="859"/>
      <c r="N1300" s="859"/>
      <c r="O1300" s="752">
        <f t="shared" si="178"/>
        <v>0</v>
      </c>
      <c r="P1300" s="862"/>
      <c r="Q1300" s="860"/>
      <c r="R1300" s="753">
        <f t="shared" si="181"/>
        <v>0</v>
      </c>
      <c r="S1300" s="752">
        <f t="shared" si="182"/>
        <v>0</v>
      </c>
      <c r="T1300" s="754">
        <f t="shared" si="183"/>
        <v>0</v>
      </c>
      <c r="U1300" s="859">
        <v>14121895</v>
      </c>
      <c r="V1300" s="863">
        <v>14866958</v>
      </c>
      <c r="W1300" s="859"/>
      <c r="X1300" s="859"/>
      <c r="Y1300" s="755">
        <f t="shared" si="179"/>
        <v>0</v>
      </c>
      <c r="Z1300" s="864"/>
      <c r="AA1300" s="863"/>
      <c r="AB1300" s="756">
        <f t="shared" si="180"/>
        <v>0</v>
      </c>
      <c r="AC1300" s="859"/>
      <c r="AD1300" s="863"/>
      <c r="AE1300" s="859"/>
      <c r="AF1300" s="859"/>
      <c r="AG1300" s="864"/>
      <c r="AH1300" s="865"/>
      <c r="AI1300" s="757">
        <f t="shared" si="184"/>
        <v>14121895</v>
      </c>
      <c r="AJ1300" s="758">
        <f t="shared" si="185"/>
        <v>14866958</v>
      </c>
    </row>
    <row r="1301" spans="1:36" x14ac:dyDescent="0.2">
      <c r="A1301" s="1254" t="s">
        <v>145</v>
      </c>
      <c r="B1301" s="1288" t="s">
        <v>293</v>
      </c>
      <c r="C1301" s="1291" t="s">
        <v>588</v>
      </c>
      <c r="D1301" s="1292"/>
      <c r="E1301" s="1258"/>
      <c r="F1301" s="1259"/>
      <c r="G1301" s="859"/>
      <c r="H1301" s="860"/>
      <c r="I1301" s="861"/>
      <c r="J1301" s="862"/>
      <c r="K1301" s="859"/>
      <c r="L1301" s="863"/>
      <c r="M1301" s="859"/>
      <c r="N1301" s="859"/>
      <c r="O1301" s="752">
        <f t="shared" si="178"/>
        <v>0</v>
      </c>
      <c r="P1301" s="862"/>
      <c r="Q1301" s="860"/>
      <c r="R1301" s="753">
        <f t="shared" si="181"/>
        <v>0</v>
      </c>
      <c r="S1301" s="752">
        <f t="shared" si="182"/>
        <v>0</v>
      </c>
      <c r="T1301" s="754">
        <f t="shared" si="183"/>
        <v>0</v>
      </c>
      <c r="U1301" s="859"/>
      <c r="V1301" s="863"/>
      <c r="W1301" s="859"/>
      <c r="X1301" s="859"/>
      <c r="Y1301" s="755">
        <f t="shared" si="179"/>
        <v>0</v>
      </c>
      <c r="Z1301" s="864"/>
      <c r="AA1301" s="863"/>
      <c r="AB1301" s="756">
        <f t="shared" si="180"/>
        <v>0</v>
      </c>
      <c r="AC1301" s="859"/>
      <c r="AD1301" s="863"/>
      <c r="AE1301" s="859"/>
      <c r="AF1301" s="859"/>
      <c r="AG1301" s="864"/>
      <c r="AH1301" s="865"/>
      <c r="AI1301" s="757">
        <f t="shared" si="184"/>
        <v>0</v>
      </c>
      <c r="AJ1301" s="758">
        <f t="shared" si="185"/>
        <v>0</v>
      </c>
    </row>
    <row r="1302" spans="1:36" x14ac:dyDescent="0.2">
      <c r="A1302" s="1254" t="s">
        <v>145</v>
      </c>
      <c r="B1302" s="1288" t="s">
        <v>293</v>
      </c>
      <c r="C1302" s="1287" t="s">
        <v>1296</v>
      </c>
      <c r="D1302" s="1261"/>
      <c r="E1302" s="1258"/>
      <c r="F1302" s="1259"/>
      <c r="G1302" s="859"/>
      <c r="H1302" s="860"/>
      <c r="I1302" s="861"/>
      <c r="J1302" s="862"/>
      <c r="K1302" s="859"/>
      <c r="L1302" s="863"/>
      <c r="M1302" s="859"/>
      <c r="N1302" s="859"/>
      <c r="O1302" s="752">
        <f t="shared" si="178"/>
        <v>0</v>
      </c>
      <c r="P1302" s="862"/>
      <c r="Q1302" s="860"/>
      <c r="R1302" s="753">
        <f t="shared" si="181"/>
        <v>0</v>
      </c>
      <c r="S1302" s="752">
        <f t="shared" si="182"/>
        <v>0</v>
      </c>
      <c r="T1302" s="754">
        <f t="shared" si="183"/>
        <v>0</v>
      </c>
      <c r="U1302" s="859"/>
      <c r="V1302" s="863"/>
      <c r="W1302" s="859"/>
      <c r="X1302" s="859"/>
      <c r="Y1302" s="755">
        <f t="shared" si="179"/>
        <v>0</v>
      </c>
      <c r="Z1302" s="864"/>
      <c r="AA1302" s="863"/>
      <c r="AB1302" s="756">
        <f t="shared" si="180"/>
        <v>0</v>
      </c>
      <c r="AC1302" s="859"/>
      <c r="AD1302" s="863"/>
      <c r="AE1302" s="859"/>
      <c r="AF1302" s="859"/>
      <c r="AG1302" s="864"/>
      <c r="AH1302" s="865"/>
      <c r="AI1302" s="757">
        <f t="shared" si="184"/>
        <v>0</v>
      </c>
      <c r="AJ1302" s="758">
        <f t="shared" si="185"/>
        <v>0</v>
      </c>
    </row>
    <row r="1303" spans="1:36" x14ac:dyDescent="0.2">
      <c r="A1303" s="1254" t="s">
        <v>145</v>
      </c>
      <c r="B1303" s="1288" t="s">
        <v>252</v>
      </c>
      <c r="C1303" s="1289" t="s">
        <v>311</v>
      </c>
      <c r="D1303" s="1290"/>
      <c r="E1303" s="1258"/>
      <c r="F1303" s="1259"/>
      <c r="G1303" s="859"/>
      <c r="H1303" s="860"/>
      <c r="I1303" s="861"/>
      <c r="J1303" s="862"/>
      <c r="K1303" s="859"/>
      <c r="L1303" s="863"/>
      <c r="M1303" s="859"/>
      <c r="N1303" s="859"/>
      <c r="O1303" s="752">
        <f t="shared" si="178"/>
        <v>0</v>
      </c>
      <c r="P1303" s="862"/>
      <c r="Q1303" s="860"/>
      <c r="R1303" s="753">
        <f t="shared" si="181"/>
        <v>0</v>
      </c>
      <c r="S1303" s="752">
        <f t="shared" si="182"/>
        <v>0</v>
      </c>
      <c r="T1303" s="754">
        <f t="shared" si="183"/>
        <v>0</v>
      </c>
      <c r="U1303" s="859"/>
      <c r="V1303" s="863"/>
      <c r="W1303" s="859"/>
      <c r="X1303" s="859"/>
      <c r="Y1303" s="755">
        <f t="shared" si="179"/>
        <v>0</v>
      </c>
      <c r="Z1303" s="864"/>
      <c r="AA1303" s="863"/>
      <c r="AB1303" s="756">
        <f t="shared" si="180"/>
        <v>0</v>
      </c>
      <c r="AC1303" s="859"/>
      <c r="AD1303" s="863"/>
      <c r="AE1303" s="859"/>
      <c r="AF1303" s="859"/>
      <c r="AG1303" s="864"/>
      <c r="AH1303" s="865"/>
      <c r="AI1303" s="757">
        <f t="shared" si="184"/>
        <v>0</v>
      </c>
      <c r="AJ1303" s="758">
        <f t="shared" si="185"/>
        <v>0</v>
      </c>
    </row>
    <row r="1304" spans="1:36" x14ac:dyDescent="0.2">
      <c r="A1304" s="1254" t="s">
        <v>145</v>
      </c>
      <c r="B1304" s="1288" t="s">
        <v>253</v>
      </c>
      <c r="C1304" s="1289" t="s">
        <v>249</v>
      </c>
      <c r="D1304" s="1290"/>
      <c r="E1304" s="1258"/>
      <c r="F1304" s="1259"/>
      <c r="G1304" s="859"/>
      <c r="H1304" s="860"/>
      <c r="I1304" s="861"/>
      <c r="J1304" s="862"/>
      <c r="K1304" s="859"/>
      <c r="L1304" s="863"/>
      <c r="M1304" s="859"/>
      <c r="N1304" s="859"/>
      <c r="O1304" s="752">
        <f t="shared" si="178"/>
        <v>0</v>
      </c>
      <c r="P1304" s="862"/>
      <c r="Q1304" s="860"/>
      <c r="R1304" s="753">
        <f t="shared" si="181"/>
        <v>0</v>
      </c>
      <c r="S1304" s="752">
        <f t="shared" si="182"/>
        <v>0</v>
      </c>
      <c r="T1304" s="754">
        <f t="shared" si="183"/>
        <v>0</v>
      </c>
      <c r="U1304" s="859">
        <v>0</v>
      </c>
      <c r="V1304" s="863"/>
      <c r="W1304" s="859"/>
      <c r="X1304" s="859"/>
      <c r="Y1304" s="755">
        <f t="shared" si="179"/>
        <v>0</v>
      </c>
      <c r="Z1304" s="864"/>
      <c r="AA1304" s="863"/>
      <c r="AB1304" s="756">
        <f t="shared" si="180"/>
        <v>0</v>
      </c>
      <c r="AC1304" s="859"/>
      <c r="AD1304" s="863"/>
      <c r="AE1304" s="859"/>
      <c r="AF1304" s="859"/>
      <c r="AG1304" s="864"/>
      <c r="AH1304" s="865"/>
      <c r="AI1304" s="757">
        <f t="shared" si="184"/>
        <v>0</v>
      </c>
      <c r="AJ1304" s="758">
        <f t="shared" si="185"/>
        <v>0</v>
      </c>
    </row>
    <row r="1305" spans="1:36" x14ac:dyDescent="0.2">
      <c r="A1305" s="1254" t="s">
        <v>145</v>
      </c>
      <c r="B1305" s="1293" t="s">
        <v>294</v>
      </c>
      <c r="C1305" s="1294" t="s">
        <v>591</v>
      </c>
      <c r="D1305" s="1295"/>
      <c r="E1305" s="1296"/>
      <c r="F1305" s="1297"/>
      <c r="G1305" s="859"/>
      <c r="H1305" s="860"/>
      <c r="I1305" s="861"/>
      <c r="J1305" s="862"/>
      <c r="K1305" s="859"/>
      <c r="L1305" s="863"/>
      <c r="M1305" s="859"/>
      <c r="N1305" s="859"/>
      <c r="O1305" s="752">
        <f t="shared" si="178"/>
        <v>0</v>
      </c>
      <c r="P1305" s="862"/>
      <c r="Q1305" s="860"/>
      <c r="R1305" s="753">
        <f t="shared" si="181"/>
        <v>0</v>
      </c>
      <c r="S1305" s="752">
        <f t="shared" si="182"/>
        <v>0</v>
      </c>
      <c r="T1305" s="754">
        <f t="shared" si="183"/>
        <v>0</v>
      </c>
      <c r="U1305" s="859"/>
      <c r="V1305" s="863"/>
      <c r="W1305" s="859"/>
      <c r="X1305" s="859"/>
      <c r="Y1305" s="755">
        <f t="shared" si="179"/>
        <v>0</v>
      </c>
      <c r="Z1305" s="864"/>
      <c r="AA1305" s="863"/>
      <c r="AB1305" s="756">
        <f t="shared" si="180"/>
        <v>0</v>
      </c>
      <c r="AC1305" s="859"/>
      <c r="AD1305" s="863"/>
      <c r="AE1305" s="859"/>
      <c r="AF1305" s="859"/>
      <c r="AG1305" s="864"/>
      <c r="AH1305" s="865"/>
      <c r="AI1305" s="757">
        <f t="shared" si="184"/>
        <v>0</v>
      </c>
      <c r="AJ1305" s="758">
        <f t="shared" si="185"/>
        <v>0</v>
      </c>
    </row>
    <row r="1306" spans="1:36" x14ac:dyDescent="0.2">
      <c r="A1306" s="1254" t="s">
        <v>145</v>
      </c>
      <c r="B1306" s="1288" t="s">
        <v>254</v>
      </c>
      <c r="C1306" s="1289" t="s">
        <v>311</v>
      </c>
      <c r="D1306" s="1290"/>
      <c r="E1306" s="1296"/>
      <c r="F1306" s="1297"/>
      <c r="G1306" s="859"/>
      <c r="H1306" s="860"/>
      <c r="I1306" s="861"/>
      <c r="J1306" s="862"/>
      <c r="K1306" s="859"/>
      <c r="L1306" s="863"/>
      <c r="M1306" s="859"/>
      <c r="N1306" s="859"/>
      <c r="O1306" s="752">
        <f t="shared" si="178"/>
        <v>0</v>
      </c>
      <c r="P1306" s="862"/>
      <c r="Q1306" s="860"/>
      <c r="R1306" s="753">
        <f t="shared" si="181"/>
        <v>0</v>
      </c>
      <c r="S1306" s="752">
        <f t="shared" si="182"/>
        <v>0</v>
      </c>
      <c r="T1306" s="754">
        <f t="shared" si="183"/>
        <v>0</v>
      </c>
      <c r="U1306" s="859">
        <v>0</v>
      </c>
      <c r="V1306" s="863"/>
      <c r="W1306" s="859"/>
      <c r="X1306" s="859"/>
      <c r="Y1306" s="755">
        <f t="shared" si="179"/>
        <v>0</v>
      </c>
      <c r="Z1306" s="864"/>
      <c r="AA1306" s="863"/>
      <c r="AB1306" s="756">
        <f t="shared" si="180"/>
        <v>0</v>
      </c>
      <c r="AC1306" s="859"/>
      <c r="AD1306" s="863"/>
      <c r="AE1306" s="859"/>
      <c r="AF1306" s="859"/>
      <c r="AG1306" s="864"/>
      <c r="AH1306" s="865"/>
      <c r="AI1306" s="757">
        <f t="shared" si="184"/>
        <v>0</v>
      </c>
      <c r="AJ1306" s="758">
        <f t="shared" si="185"/>
        <v>0</v>
      </c>
    </row>
    <row r="1307" spans="1:36" x14ac:dyDescent="0.2">
      <c r="A1307" s="1254" t="s">
        <v>145</v>
      </c>
      <c r="B1307" s="1288" t="s">
        <v>255</v>
      </c>
      <c r="C1307" s="1289" t="s">
        <v>249</v>
      </c>
      <c r="D1307" s="1290"/>
      <c r="E1307" s="1296"/>
      <c r="F1307" s="1297"/>
      <c r="G1307" s="859"/>
      <c r="H1307" s="860"/>
      <c r="I1307" s="861"/>
      <c r="J1307" s="862"/>
      <c r="K1307" s="859"/>
      <c r="L1307" s="863"/>
      <c r="M1307" s="859"/>
      <c r="N1307" s="859"/>
      <c r="O1307" s="752">
        <f t="shared" si="178"/>
        <v>0</v>
      </c>
      <c r="P1307" s="862"/>
      <c r="Q1307" s="860"/>
      <c r="R1307" s="753">
        <f t="shared" si="181"/>
        <v>0</v>
      </c>
      <c r="S1307" s="752">
        <f t="shared" si="182"/>
        <v>0</v>
      </c>
      <c r="T1307" s="754">
        <f t="shared" si="183"/>
        <v>0</v>
      </c>
      <c r="U1307" s="859"/>
      <c r="V1307" s="863"/>
      <c r="W1307" s="859"/>
      <c r="X1307" s="859"/>
      <c r="Y1307" s="755">
        <f t="shared" si="179"/>
        <v>0</v>
      </c>
      <c r="Z1307" s="864"/>
      <c r="AA1307" s="863"/>
      <c r="AB1307" s="756">
        <f t="shared" si="180"/>
        <v>0</v>
      </c>
      <c r="AC1307" s="859"/>
      <c r="AD1307" s="863"/>
      <c r="AE1307" s="859"/>
      <c r="AF1307" s="859"/>
      <c r="AG1307" s="864"/>
      <c r="AH1307" s="865"/>
      <c r="AI1307" s="757">
        <f t="shared" si="184"/>
        <v>0</v>
      </c>
      <c r="AJ1307" s="758">
        <f t="shared" si="185"/>
        <v>0</v>
      </c>
    </row>
    <row r="1308" spans="1:36" x14ac:dyDescent="0.2">
      <c r="A1308" s="1318" t="s">
        <v>151</v>
      </c>
      <c r="B1308" s="1319" t="s">
        <v>264</v>
      </c>
      <c r="C1308" s="1320" t="s">
        <v>1415</v>
      </c>
      <c r="D1308" s="1321"/>
      <c r="E1308" s="1078">
        <v>163286</v>
      </c>
      <c r="F1308" s="1079">
        <v>1</v>
      </c>
      <c r="G1308" s="859">
        <v>410197182</v>
      </c>
      <c r="H1308" s="1322">
        <v>455159393</v>
      </c>
      <c r="I1308" s="861"/>
      <c r="J1308" s="862"/>
      <c r="K1308" s="859"/>
      <c r="L1308" s="863"/>
      <c r="M1308" s="859">
        <v>473762537</v>
      </c>
      <c r="N1308" s="859"/>
      <c r="O1308" s="752">
        <f t="shared" si="178"/>
        <v>473762537</v>
      </c>
      <c r="P1308" s="862">
        <v>488480692</v>
      </c>
      <c r="Q1308" s="860"/>
      <c r="R1308" s="753">
        <f t="shared" si="181"/>
        <v>488480692</v>
      </c>
      <c r="S1308" s="752">
        <f t="shared" si="182"/>
        <v>883959719</v>
      </c>
      <c r="T1308" s="754">
        <f t="shared" si="183"/>
        <v>943640085</v>
      </c>
      <c r="U1308" s="859"/>
      <c r="V1308" s="863"/>
      <c r="W1308" s="859"/>
      <c r="X1308" s="859"/>
      <c r="Y1308" s="755">
        <f t="shared" si="179"/>
        <v>0</v>
      </c>
      <c r="Z1308" s="864"/>
      <c r="AA1308" s="863"/>
      <c r="AB1308" s="756">
        <f t="shared" si="180"/>
        <v>0</v>
      </c>
      <c r="AC1308" s="859"/>
      <c r="AD1308" s="863"/>
      <c r="AE1308" s="859"/>
      <c r="AF1308" s="859"/>
      <c r="AG1308" s="864"/>
      <c r="AH1308" s="865"/>
      <c r="AI1308" s="757">
        <f t="shared" si="184"/>
        <v>883959719</v>
      </c>
      <c r="AJ1308" s="758">
        <f t="shared" si="185"/>
        <v>943640085</v>
      </c>
    </row>
    <row r="1309" spans="1:36" x14ac:dyDescent="0.2">
      <c r="A1309" s="1318" t="s">
        <v>151</v>
      </c>
      <c r="B1309" s="1319" t="s">
        <v>267</v>
      </c>
      <c r="C1309" s="1091" t="s">
        <v>1416</v>
      </c>
      <c r="D1309" s="1092"/>
      <c r="E1309" s="1078">
        <v>163286</v>
      </c>
      <c r="F1309" s="1079">
        <v>1</v>
      </c>
      <c r="G1309" s="859"/>
      <c r="H1309" s="860"/>
      <c r="I1309" s="861"/>
      <c r="J1309" s="862"/>
      <c r="K1309" s="859"/>
      <c r="L1309" s="863"/>
      <c r="M1309" s="859"/>
      <c r="N1309" s="859"/>
      <c r="O1309" s="752">
        <f t="shared" si="178"/>
        <v>0</v>
      </c>
      <c r="P1309" s="862"/>
      <c r="Q1309" s="860"/>
      <c r="R1309" s="753">
        <f t="shared" si="181"/>
        <v>0</v>
      </c>
      <c r="S1309" s="752">
        <f t="shared" si="182"/>
        <v>0</v>
      </c>
      <c r="T1309" s="754">
        <f t="shared" si="183"/>
        <v>0</v>
      </c>
      <c r="U1309" s="859"/>
      <c r="V1309" s="863"/>
      <c r="W1309" s="859"/>
      <c r="X1309" s="859"/>
      <c r="Y1309" s="755">
        <f t="shared" si="179"/>
        <v>0</v>
      </c>
      <c r="Z1309" s="864"/>
      <c r="AA1309" s="863"/>
      <c r="AB1309" s="756">
        <f t="shared" si="180"/>
        <v>0</v>
      </c>
      <c r="AC1309" s="859"/>
      <c r="AD1309" s="863"/>
      <c r="AE1309" s="859"/>
      <c r="AF1309" s="859"/>
      <c r="AG1309" s="864"/>
      <c r="AH1309" s="865"/>
      <c r="AI1309" s="757">
        <f t="shared" si="184"/>
        <v>0</v>
      </c>
      <c r="AJ1309" s="758">
        <f t="shared" si="185"/>
        <v>0</v>
      </c>
    </row>
    <row r="1310" spans="1:36" x14ac:dyDescent="0.2">
      <c r="A1310" s="1318" t="s">
        <v>151</v>
      </c>
      <c r="B1310" s="1319" t="s">
        <v>268</v>
      </c>
      <c r="C1310" s="1091" t="s">
        <v>257</v>
      </c>
      <c r="D1310" s="1092"/>
      <c r="E1310" s="1078">
        <v>163286</v>
      </c>
      <c r="F1310" s="1079">
        <v>1</v>
      </c>
      <c r="G1310" s="859"/>
      <c r="H1310" s="860"/>
      <c r="I1310" s="861">
        <v>19443892</v>
      </c>
      <c r="J1310" s="862">
        <v>20588859</v>
      </c>
      <c r="K1310" s="859"/>
      <c r="L1310" s="863"/>
      <c r="M1310" s="859"/>
      <c r="N1310" s="859"/>
      <c r="O1310" s="752">
        <f t="shared" si="178"/>
        <v>0</v>
      </c>
      <c r="P1310" s="862"/>
      <c r="Q1310" s="860"/>
      <c r="R1310" s="753">
        <f t="shared" si="181"/>
        <v>0</v>
      </c>
      <c r="S1310" s="752">
        <f t="shared" si="182"/>
        <v>19443892</v>
      </c>
      <c r="T1310" s="754">
        <f t="shared" si="183"/>
        <v>20588859</v>
      </c>
      <c r="U1310" s="859"/>
      <c r="V1310" s="863"/>
      <c r="W1310" s="859"/>
      <c r="X1310" s="859"/>
      <c r="Y1310" s="755">
        <f t="shared" si="179"/>
        <v>0</v>
      </c>
      <c r="Z1310" s="864"/>
      <c r="AA1310" s="863"/>
      <c r="AB1310" s="756">
        <f t="shared" si="180"/>
        <v>0</v>
      </c>
      <c r="AC1310" s="859"/>
      <c r="AD1310" s="863"/>
      <c r="AE1310" s="859"/>
      <c r="AF1310" s="859"/>
      <c r="AG1310" s="864"/>
      <c r="AH1310" s="865"/>
      <c r="AI1310" s="757">
        <f t="shared" si="184"/>
        <v>19443892</v>
      </c>
      <c r="AJ1310" s="758">
        <f t="shared" si="185"/>
        <v>20588859</v>
      </c>
    </row>
    <row r="1311" spans="1:36" x14ac:dyDescent="0.2">
      <c r="A1311" s="1318" t="s">
        <v>151</v>
      </c>
      <c r="B1311" s="1319" t="s">
        <v>269</v>
      </c>
      <c r="C1311" s="1091" t="s">
        <v>256</v>
      </c>
      <c r="D1311" s="1092"/>
      <c r="E1311" s="1078">
        <v>163286</v>
      </c>
      <c r="F1311" s="1079">
        <v>1</v>
      </c>
      <c r="G1311" s="859"/>
      <c r="H1311" s="860"/>
      <c r="I1311" s="861">
        <v>17912363</v>
      </c>
      <c r="J1311" s="862">
        <v>19055840</v>
      </c>
      <c r="K1311" s="859"/>
      <c r="L1311" s="863"/>
      <c r="M1311" s="859"/>
      <c r="N1311" s="859"/>
      <c r="O1311" s="752">
        <f t="shared" si="178"/>
        <v>0</v>
      </c>
      <c r="P1311" s="862"/>
      <c r="Q1311" s="860"/>
      <c r="R1311" s="753">
        <f t="shared" si="181"/>
        <v>0</v>
      </c>
      <c r="S1311" s="752">
        <f t="shared" si="182"/>
        <v>17912363</v>
      </c>
      <c r="T1311" s="754">
        <f t="shared" si="183"/>
        <v>19055840</v>
      </c>
      <c r="U1311" s="859"/>
      <c r="V1311" s="863"/>
      <c r="W1311" s="859"/>
      <c r="X1311" s="859"/>
      <c r="Y1311" s="755">
        <f t="shared" si="179"/>
        <v>0</v>
      </c>
      <c r="Z1311" s="864"/>
      <c r="AA1311" s="863"/>
      <c r="AB1311" s="756">
        <f t="shared" si="180"/>
        <v>0</v>
      </c>
      <c r="AC1311" s="859"/>
      <c r="AD1311" s="863"/>
      <c r="AE1311" s="859"/>
      <c r="AF1311" s="859"/>
      <c r="AG1311" s="864"/>
      <c r="AH1311" s="865"/>
      <c r="AI1311" s="757">
        <f t="shared" si="184"/>
        <v>17912363</v>
      </c>
      <c r="AJ1311" s="758">
        <f t="shared" si="185"/>
        <v>19055840</v>
      </c>
    </row>
    <row r="1312" spans="1:36" x14ac:dyDescent="0.2">
      <c r="A1312" s="1318" t="s">
        <v>151</v>
      </c>
      <c r="B1312" s="1319" t="s">
        <v>271</v>
      </c>
      <c r="C1312" s="1091" t="s">
        <v>309</v>
      </c>
      <c r="D1312" s="1092"/>
      <c r="E1312" s="1078">
        <v>163286</v>
      </c>
      <c r="F1312" s="1079">
        <v>1</v>
      </c>
      <c r="G1312" s="859"/>
      <c r="H1312" s="860"/>
      <c r="I1312" s="861"/>
      <c r="J1312" s="862"/>
      <c r="K1312" s="859"/>
      <c r="L1312" s="863"/>
      <c r="M1312" s="859"/>
      <c r="N1312" s="859"/>
      <c r="O1312" s="752">
        <f t="shared" si="178"/>
        <v>0</v>
      </c>
      <c r="P1312" s="862"/>
      <c r="Q1312" s="860"/>
      <c r="R1312" s="753">
        <f t="shared" si="181"/>
        <v>0</v>
      </c>
      <c r="S1312" s="752">
        <f t="shared" si="182"/>
        <v>0</v>
      </c>
      <c r="T1312" s="754">
        <f t="shared" si="183"/>
        <v>0</v>
      </c>
      <c r="U1312" s="859"/>
      <c r="V1312" s="863"/>
      <c r="W1312" s="859"/>
      <c r="X1312" s="859"/>
      <c r="Y1312" s="755">
        <f t="shared" si="179"/>
        <v>0</v>
      </c>
      <c r="Z1312" s="864"/>
      <c r="AA1312" s="863"/>
      <c r="AB1312" s="756">
        <f t="shared" si="180"/>
        <v>0</v>
      </c>
      <c r="AC1312" s="859"/>
      <c r="AD1312" s="863"/>
      <c r="AE1312" s="859"/>
      <c r="AF1312" s="859"/>
      <c r="AG1312" s="864"/>
      <c r="AH1312" s="865"/>
      <c r="AI1312" s="757">
        <f t="shared" si="184"/>
        <v>0</v>
      </c>
      <c r="AJ1312" s="758">
        <f t="shared" si="185"/>
        <v>0</v>
      </c>
    </row>
    <row r="1313" spans="1:36" x14ac:dyDescent="0.2">
      <c r="A1313" s="1318" t="s">
        <v>151</v>
      </c>
      <c r="B1313" s="1319" t="s">
        <v>271</v>
      </c>
      <c r="C1313" s="1323" t="s">
        <v>1417</v>
      </c>
      <c r="D1313" s="1092"/>
      <c r="E1313" s="1078">
        <v>163286</v>
      </c>
      <c r="F1313" s="1079">
        <v>1</v>
      </c>
      <c r="G1313" s="859"/>
      <c r="H1313" s="860"/>
      <c r="I1313" s="861">
        <v>19645704</v>
      </c>
      <c r="J1313" s="862">
        <v>21216681</v>
      </c>
      <c r="K1313" s="859"/>
      <c r="L1313" s="863"/>
      <c r="M1313" s="859"/>
      <c r="N1313" s="859"/>
      <c r="O1313" s="752">
        <f t="shared" si="178"/>
        <v>0</v>
      </c>
      <c r="P1313" s="862"/>
      <c r="Q1313" s="860"/>
      <c r="R1313" s="753">
        <f t="shared" si="181"/>
        <v>0</v>
      </c>
      <c r="S1313" s="752">
        <f t="shared" si="182"/>
        <v>19645704</v>
      </c>
      <c r="T1313" s="754">
        <f t="shared" si="183"/>
        <v>21216681</v>
      </c>
      <c r="U1313" s="859"/>
      <c r="V1313" s="863"/>
      <c r="W1313" s="859"/>
      <c r="X1313" s="859"/>
      <c r="Y1313" s="755">
        <f t="shared" si="179"/>
        <v>0</v>
      </c>
      <c r="Z1313" s="864"/>
      <c r="AA1313" s="863"/>
      <c r="AB1313" s="756">
        <f t="shared" si="180"/>
        <v>0</v>
      </c>
      <c r="AC1313" s="859"/>
      <c r="AD1313" s="863"/>
      <c r="AE1313" s="859"/>
      <c r="AF1313" s="859"/>
      <c r="AG1313" s="864"/>
      <c r="AH1313" s="865"/>
      <c r="AI1313" s="757">
        <f t="shared" si="184"/>
        <v>19645704</v>
      </c>
      <c r="AJ1313" s="758">
        <f t="shared" si="185"/>
        <v>21216681</v>
      </c>
    </row>
    <row r="1314" spans="1:36" x14ac:dyDescent="0.2">
      <c r="A1314" s="1318" t="s">
        <v>151</v>
      </c>
      <c r="B1314" s="1319" t="s">
        <v>264</v>
      </c>
      <c r="C1314" s="1071" t="s">
        <v>1418</v>
      </c>
      <c r="D1314" s="1324"/>
      <c r="E1314" s="1085">
        <v>163453</v>
      </c>
      <c r="F1314" s="1074">
        <v>2</v>
      </c>
      <c r="G1314" s="859">
        <v>73494626</v>
      </c>
      <c r="H1314" s="860">
        <v>82210974</v>
      </c>
      <c r="I1314" s="861"/>
      <c r="J1314" s="862"/>
      <c r="K1314" s="859"/>
      <c r="L1314" s="863"/>
      <c r="M1314" s="859">
        <v>55765780</v>
      </c>
      <c r="N1314" s="859"/>
      <c r="O1314" s="752">
        <f t="shared" si="178"/>
        <v>55765780</v>
      </c>
      <c r="P1314" s="862">
        <v>53111520</v>
      </c>
      <c r="Q1314" s="860"/>
      <c r="R1314" s="753">
        <f t="shared" si="181"/>
        <v>53111520</v>
      </c>
      <c r="S1314" s="752">
        <f t="shared" si="182"/>
        <v>129260406</v>
      </c>
      <c r="T1314" s="754">
        <f t="shared" si="183"/>
        <v>135322494</v>
      </c>
      <c r="U1314" s="859"/>
      <c r="V1314" s="863"/>
      <c r="W1314" s="859"/>
      <c r="X1314" s="859"/>
      <c r="Y1314" s="755">
        <f t="shared" si="179"/>
        <v>0</v>
      </c>
      <c r="Z1314" s="864"/>
      <c r="AA1314" s="863"/>
      <c r="AB1314" s="756">
        <f t="shared" si="180"/>
        <v>0</v>
      </c>
      <c r="AC1314" s="859"/>
      <c r="AD1314" s="863"/>
      <c r="AE1314" s="859"/>
      <c r="AF1314" s="859"/>
      <c r="AG1314" s="864"/>
      <c r="AH1314" s="865"/>
      <c r="AI1314" s="757">
        <f t="shared" si="184"/>
        <v>129260406</v>
      </c>
      <c r="AJ1314" s="758">
        <f t="shared" si="185"/>
        <v>135322494</v>
      </c>
    </row>
    <row r="1315" spans="1:36" x14ac:dyDescent="0.2">
      <c r="A1315" s="1318" t="s">
        <v>151</v>
      </c>
      <c r="B1315" s="1319" t="s">
        <v>264</v>
      </c>
      <c r="C1315" s="1320" t="s">
        <v>1419</v>
      </c>
      <c r="D1315" s="1072"/>
      <c r="E1315" s="1085">
        <v>163268</v>
      </c>
      <c r="F1315" s="1201">
        <v>2</v>
      </c>
      <c r="G1315" s="859">
        <v>95582802</v>
      </c>
      <c r="H1315" s="860">
        <v>105320819</v>
      </c>
      <c r="I1315" s="861"/>
      <c r="J1315" s="862"/>
      <c r="K1315" s="859"/>
      <c r="L1315" s="863"/>
      <c r="M1315" s="859">
        <v>105521183</v>
      </c>
      <c r="N1315" s="859"/>
      <c r="O1315" s="752">
        <f t="shared" si="178"/>
        <v>105521183</v>
      </c>
      <c r="P1315" s="862">
        <v>110706350</v>
      </c>
      <c r="Q1315" s="860"/>
      <c r="R1315" s="753">
        <f t="shared" si="181"/>
        <v>110706350</v>
      </c>
      <c r="S1315" s="752">
        <f t="shared" si="182"/>
        <v>201103985</v>
      </c>
      <c r="T1315" s="754">
        <f t="shared" si="183"/>
        <v>216027169</v>
      </c>
      <c r="U1315" s="859"/>
      <c r="V1315" s="863"/>
      <c r="W1315" s="859"/>
      <c r="X1315" s="859"/>
      <c r="Y1315" s="755">
        <f t="shared" si="179"/>
        <v>0</v>
      </c>
      <c r="Z1315" s="864"/>
      <c r="AA1315" s="863"/>
      <c r="AB1315" s="756">
        <f t="shared" si="180"/>
        <v>0</v>
      </c>
      <c r="AC1315" s="859"/>
      <c r="AD1315" s="863"/>
      <c r="AE1315" s="859"/>
      <c r="AF1315" s="859"/>
      <c r="AG1315" s="864"/>
      <c r="AH1315" s="865"/>
      <c r="AI1315" s="757">
        <f t="shared" si="184"/>
        <v>201103985</v>
      </c>
      <c r="AJ1315" s="758">
        <f t="shared" si="185"/>
        <v>216027169</v>
      </c>
    </row>
    <row r="1316" spans="1:36" x14ac:dyDescent="0.2">
      <c r="A1316" s="1318" t="s">
        <v>151</v>
      </c>
      <c r="B1316" s="1319" t="s">
        <v>264</v>
      </c>
      <c r="C1316" s="1320" t="s">
        <v>1420</v>
      </c>
      <c r="D1316" s="1072"/>
      <c r="E1316" s="1085">
        <v>164076</v>
      </c>
      <c r="F1316" s="1201">
        <v>3</v>
      </c>
      <c r="G1316" s="859">
        <v>90645750</v>
      </c>
      <c r="H1316" s="860">
        <v>101246531</v>
      </c>
      <c r="I1316" s="861"/>
      <c r="J1316" s="862"/>
      <c r="K1316" s="859"/>
      <c r="L1316" s="863"/>
      <c r="M1316" s="859">
        <v>171212937</v>
      </c>
      <c r="N1316" s="859"/>
      <c r="O1316" s="752">
        <f t="shared" si="178"/>
        <v>171212937</v>
      </c>
      <c r="P1316" s="862">
        <v>174715652</v>
      </c>
      <c r="Q1316" s="860"/>
      <c r="R1316" s="753">
        <f t="shared" si="181"/>
        <v>174715652</v>
      </c>
      <c r="S1316" s="752">
        <f t="shared" si="182"/>
        <v>261858687</v>
      </c>
      <c r="T1316" s="754">
        <f t="shared" si="183"/>
        <v>275962183</v>
      </c>
      <c r="U1316" s="859"/>
      <c r="V1316" s="863"/>
      <c r="W1316" s="859"/>
      <c r="X1316" s="859"/>
      <c r="Y1316" s="755">
        <f t="shared" si="179"/>
        <v>0</v>
      </c>
      <c r="Z1316" s="864"/>
      <c r="AA1316" s="863"/>
      <c r="AB1316" s="756">
        <f t="shared" si="180"/>
        <v>0</v>
      </c>
      <c r="AC1316" s="859"/>
      <c r="AD1316" s="863"/>
      <c r="AE1316" s="859"/>
      <c r="AF1316" s="859"/>
      <c r="AG1316" s="864"/>
      <c r="AH1316" s="865"/>
      <c r="AI1316" s="757">
        <f t="shared" si="184"/>
        <v>261858687</v>
      </c>
      <c r="AJ1316" s="758">
        <f t="shared" si="185"/>
        <v>275962183</v>
      </c>
    </row>
    <row r="1317" spans="1:36" x14ac:dyDescent="0.2">
      <c r="A1317" s="1318" t="s">
        <v>151</v>
      </c>
      <c r="B1317" s="1319" t="s">
        <v>264</v>
      </c>
      <c r="C1317" s="1320" t="s">
        <v>1421</v>
      </c>
      <c r="D1317" s="1072"/>
      <c r="E1317" s="1085">
        <v>162007</v>
      </c>
      <c r="F1317" s="1201">
        <v>4</v>
      </c>
      <c r="G1317" s="859">
        <v>35697747</v>
      </c>
      <c r="H1317" s="860">
        <v>39854302</v>
      </c>
      <c r="I1317" s="861"/>
      <c r="J1317" s="862"/>
      <c r="K1317" s="859"/>
      <c r="L1317" s="863"/>
      <c r="M1317" s="859">
        <v>33315610</v>
      </c>
      <c r="N1317" s="859"/>
      <c r="O1317" s="752">
        <f t="shared" si="178"/>
        <v>33315610</v>
      </c>
      <c r="P1317" s="862">
        <v>32432764</v>
      </c>
      <c r="Q1317" s="860"/>
      <c r="R1317" s="753">
        <f t="shared" si="181"/>
        <v>32432764</v>
      </c>
      <c r="S1317" s="752">
        <f t="shared" si="182"/>
        <v>69013357</v>
      </c>
      <c r="T1317" s="754">
        <f t="shared" si="183"/>
        <v>72287066</v>
      </c>
      <c r="U1317" s="859"/>
      <c r="V1317" s="863"/>
      <c r="W1317" s="859"/>
      <c r="X1317" s="859"/>
      <c r="Y1317" s="755">
        <f t="shared" si="179"/>
        <v>0</v>
      </c>
      <c r="Z1317" s="864"/>
      <c r="AA1317" s="863"/>
      <c r="AB1317" s="756">
        <f t="shared" si="180"/>
        <v>0</v>
      </c>
      <c r="AC1317" s="859"/>
      <c r="AD1317" s="863"/>
      <c r="AE1317" s="859"/>
      <c r="AF1317" s="859"/>
      <c r="AG1317" s="864"/>
      <c r="AH1317" s="865"/>
      <c r="AI1317" s="757">
        <f t="shared" si="184"/>
        <v>69013357</v>
      </c>
      <c r="AJ1317" s="758">
        <f t="shared" si="185"/>
        <v>72287066</v>
      </c>
    </row>
    <row r="1318" spans="1:36" x14ac:dyDescent="0.2">
      <c r="A1318" s="1318" t="s">
        <v>151</v>
      </c>
      <c r="B1318" s="1319" t="s">
        <v>264</v>
      </c>
      <c r="C1318" s="1320" t="s">
        <v>1422</v>
      </c>
      <c r="D1318" s="1072"/>
      <c r="E1318" s="1085">
        <v>162584</v>
      </c>
      <c r="F1318" s="1201">
        <v>4</v>
      </c>
      <c r="G1318" s="859">
        <v>33192007</v>
      </c>
      <c r="H1318" s="860">
        <v>37053890</v>
      </c>
      <c r="I1318" s="861"/>
      <c r="J1318" s="862"/>
      <c r="K1318" s="859"/>
      <c r="L1318" s="863"/>
      <c r="M1318" s="859">
        <v>33507317</v>
      </c>
      <c r="N1318" s="859"/>
      <c r="O1318" s="752">
        <f t="shared" si="178"/>
        <v>33507317</v>
      </c>
      <c r="P1318" s="862">
        <v>34494919</v>
      </c>
      <c r="Q1318" s="860"/>
      <c r="R1318" s="753">
        <f t="shared" si="181"/>
        <v>34494919</v>
      </c>
      <c r="S1318" s="752">
        <f t="shared" si="182"/>
        <v>66699324</v>
      </c>
      <c r="T1318" s="754">
        <f t="shared" si="183"/>
        <v>71548809</v>
      </c>
      <c r="U1318" s="859"/>
      <c r="V1318" s="863"/>
      <c r="W1318" s="859"/>
      <c r="X1318" s="859"/>
      <c r="Y1318" s="755">
        <f t="shared" si="179"/>
        <v>0</v>
      </c>
      <c r="Z1318" s="864"/>
      <c r="AA1318" s="863"/>
      <c r="AB1318" s="756">
        <f t="shared" si="180"/>
        <v>0</v>
      </c>
      <c r="AC1318" s="859"/>
      <c r="AD1318" s="863"/>
      <c r="AE1318" s="859"/>
      <c r="AF1318" s="859"/>
      <c r="AG1318" s="864"/>
      <c r="AH1318" s="865"/>
      <c r="AI1318" s="757">
        <f t="shared" si="184"/>
        <v>66699324</v>
      </c>
      <c r="AJ1318" s="758">
        <f t="shared" si="185"/>
        <v>71548809</v>
      </c>
    </row>
    <row r="1319" spans="1:36" x14ac:dyDescent="0.2">
      <c r="A1319" s="1318" t="s">
        <v>151</v>
      </c>
      <c r="B1319" s="1319" t="s">
        <v>264</v>
      </c>
      <c r="C1319" s="1320" t="s">
        <v>1423</v>
      </c>
      <c r="D1319" s="1072"/>
      <c r="E1319" s="1085">
        <v>163851</v>
      </c>
      <c r="F1319" s="1201">
        <v>4</v>
      </c>
      <c r="G1319" s="859">
        <v>39474316</v>
      </c>
      <c r="H1319" s="860">
        <v>43645198</v>
      </c>
      <c r="I1319" s="861"/>
      <c r="J1319" s="862"/>
      <c r="K1319" s="859"/>
      <c r="L1319" s="863"/>
      <c r="M1319" s="859">
        <v>63138678</v>
      </c>
      <c r="N1319" s="859"/>
      <c r="O1319" s="752">
        <f t="shared" si="178"/>
        <v>63138678</v>
      </c>
      <c r="P1319" s="862">
        <v>65763097</v>
      </c>
      <c r="Q1319" s="860"/>
      <c r="R1319" s="753">
        <f t="shared" si="181"/>
        <v>65763097</v>
      </c>
      <c r="S1319" s="752">
        <f t="shared" si="182"/>
        <v>102612994</v>
      </c>
      <c r="T1319" s="754">
        <f t="shared" si="183"/>
        <v>109408295</v>
      </c>
      <c r="U1319" s="859"/>
      <c r="V1319" s="863"/>
      <c r="W1319" s="859"/>
      <c r="X1319" s="859"/>
      <c r="Y1319" s="755">
        <f t="shared" si="179"/>
        <v>0</v>
      </c>
      <c r="Z1319" s="864"/>
      <c r="AA1319" s="863"/>
      <c r="AB1319" s="756">
        <f t="shared" si="180"/>
        <v>0</v>
      </c>
      <c r="AC1319" s="859"/>
      <c r="AD1319" s="863"/>
      <c r="AE1319" s="859"/>
      <c r="AF1319" s="859"/>
      <c r="AG1319" s="864"/>
      <c r="AH1319" s="865"/>
      <c r="AI1319" s="757">
        <f t="shared" si="184"/>
        <v>102612994</v>
      </c>
      <c r="AJ1319" s="758">
        <f t="shared" si="185"/>
        <v>109408295</v>
      </c>
    </row>
    <row r="1320" spans="1:36" x14ac:dyDescent="0.2">
      <c r="A1320" s="1318" t="s">
        <v>151</v>
      </c>
      <c r="B1320" s="1319" t="s">
        <v>264</v>
      </c>
      <c r="C1320" s="1320" t="s">
        <v>1424</v>
      </c>
      <c r="D1320" s="1072"/>
      <c r="E1320" s="1085">
        <v>161873</v>
      </c>
      <c r="F1320" s="1201">
        <v>4</v>
      </c>
      <c r="G1320" s="859">
        <v>30041834</v>
      </c>
      <c r="H1320" s="860">
        <v>33737000</v>
      </c>
      <c r="I1320" s="861"/>
      <c r="J1320" s="862"/>
      <c r="K1320" s="859"/>
      <c r="L1320" s="863"/>
      <c r="M1320" s="859">
        <v>67234638</v>
      </c>
      <c r="N1320" s="859"/>
      <c r="O1320" s="752">
        <f t="shared" si="178"/>
        <v>67234638</v>
      </c>
      <c r="P1320" s="862">
        <v>67723540</v>
      </c>
      <c r="Q1320" s="860"/>
      <c r="R1320" s="753">
        <f t="shared" si="181"/>
        <v>67723540</v>
      </c>
      <c r="S1320" s="752">
        <f t="shared" si="182"/>
        <v>97276472</v>
      </c>
      <c r="T1320" s="754">
        <f t="shared" si="183"/>
        <v>101460540</v>
      </c>
      <c r="U1320" s="859"/>
      <c r="V1320" s="863"/>
      <c r="W1320" s="859"/>
      <c r="X1320" s="859"/>
      <c r="Y1320" s="755">
        <f t="shared" si="179"/>
        <v>0</v>
      </c>
      <c r="Z1320" s="864"/>
      <c r="AA1320" s="863"/>
      <c r="AB1320" s="756">
        <f t="shared" si="180"/>
        <v>0</v>
      </c>
      <c r="AC1320" s="859"/>
      <c r="AD1320" s="863"/>
      <c r="AE1320" s="859"/>
      <c r="AF1320" s="859"/>
      <c r="AG1320" s="864"/>
      <c r="AH1320" s="865"/>
      <c r="AI1320" s="757">
        <f t="shared" si="184"/>
        <v>97276472</v>
      </c>
      <c r="AJ1320" s="758">
        <f t="shared" si="185"/>
        <v>101460540</v>
      </c>
    </row>
    <row r="1321" spans="1:36" x14ac:dyDescent="0.2">
      <c r="A1321" s="1318" t="s">
        <v>151</v>
      </c>
      <c r="B1321" s="1319" t="s">
        <v>264</v>
      </c>
      <c r="C1321" s="1320" t="s">
        <v>1425</v>
      </c>
      <c r="D1321" s="1072"/>
      <c r="E1321" s="1085">
        <v>163338</v>
      </c>
      <c r="F1321" s="1201">
        <v>4</v>
      </c>
      <c r="G1321" s="859">
        <v>31978642</v>
      </c>
      <c r="H1321" s="860">
        <v>36380402</v>
      </c>
      <c r="I1321" s="861"/>
      <c r="J1321" s="862"/>
      <c r="K1321" s="859"/>
      <c r="L1321" s="863"/>
      <c r="M1321" s="859">
        <v>31855005</v>
      </c>
      <c r="N1321" s="859"/>
      <c r="O1321" s="752">
        <f t="shared" si="178"/>
        <v>31855005</v>
      </c>
      <c r="P1321" s="862">
        <v>33222356</v>
      </c>
      <c r="Q1321" s="860"/>
      <c r="R1321" s="753">
        <f t="shared" si="181"/>
        <v>33222356</v>
      </c>
      <c r="S1321" s="752">
        <f t="shared" si="182"/>
        <v>63833647</v>
      </c>
      <c r="T1321" s="754">
        <f t="shared" si="183"/>
        <v>69602758</v>
      </c>
      <c r="U1321" s="859"/>
      <c r="V1321" s="863"/>
      <c r="W1321" s="859"/>
      <c r="X1321" s="859"/>
      <c r="Y1321" s="755">
        <f t="shared" si="179"/>
        <v>0</v>
      </c>
      <c r="Z1321" s="864"/>
      <c r="AA1321" s="863"/>
      <c r="AB1321" s="756">
        <f t="shared" si="180"/>
        <v>0</v>
      </c>
      <c r="AC1321" s="859"/>
      <c r="AD1321" s="863"/>
      <c r="AE1321" s="859"/>
      <c r="AF1321" s="859"/>
      <c r="AG1321" s="864"/>
      <c r="AH1321" s="865"/>
      <c r="AI1321" s="757">
        <f t="shared" si="184"/>
        <v>63833647</v>
      </c>
      <c r="AJ1321" s="758">
        <f t="shared" si="185"/>
        <v>69602758</v>
      </c>
    </row>
    <row r="1322" spans="1:36" x14ac:dyDescent="0.2">
      <c r="A1322" s="1318" t="s">
        <v>151</v>
      </c>
      <c r="B1322" s="1319" t="s">
        <v>264</v>
      </c>
      <c r="C1322" s="1071" t="s">
        <v>1426</v>
      </c>
      <c r="D1322" s="1072" t="s">
        <v>1236</v>
      </c>
      <c r="E1322" s="1085">
        <v>162283</v>
      </c>
      <c r="F1322" s="1355">
        <v>5</v>
      </c>
      <c r="G1322" s="859">
        <v>37868454</v>
      </c>
      <c r="H1322" s="860">
        <v>42179694</v>
      </c>
      <c r="I1322" s="861"/>
      <c r="J1322" s="862"/>
      <c r="K1322" s="859"/>
      <c r="L1322" s="863"/>
      <c r="M1322" s="859">
        <v>16227546</v>
      </c>
      <c r="N1322" s="859"/>
      <c r="O1322" s="752">
        <f t="shared" si="178"/>
        <v>16227546</v>
      </c>
      <c r="P1322" s="862">
        <v>16109389</v>
      </c>
      <c r="Q1322" s="860"/>
      <c r="R1322" s="753">
        <f t="shared" si="181"/>
        <v>16109389</v>
      </c>
      <c r="S1322" s="752">
        <f t="shared" si="182"/>
        <v>54096000</v>
      </c>
      <c r="T1322" s="754">
        <f t="shared" si="183"/>
        <v>58289083</v>
      </c>
      <c r="U1322" s="859"/>
      <c r="V1322" s="863"/>
      <c r="W1322" s="859"/>
      <c r="X1322" s="859"/>
      <c r="Y1322" s="755">
        <f t="shared" si="179"/>
        <v>0</v>
      </c>
      <c r="Z1322" s="864"/>
      <c r="AA1322" s="863"/>
      <c r="AB1322" s="756">
        <f t="shared" si="180"/>
        <v>0</v>
      </c>
      <c r="AC1322" s="859"/>
      <c r="AD1322" s="863"/>
      <c r="AE1322" s="859"/>
      <c r="AF1322" s="859"/>
      <c r="AG1322" s="864"/>
      <c r="AH1322" s="865"/>
      <c r="AI1322" s="757">
        <f t="shared" si="184"/>
        <v>54096000</v>
      </c>
      <c r="AJ1322" s="758">
        <f t="shared" si="185"/>
        <v>58289083</v>
      </c>
    </row>
    <row r="1323" spans="1:36" x14ac:dyDescent="0.2">
      <c r="A1323" s="1318" t="s">
        <v>151</v>
      </c>
      <c r="B1323" s="1319" t="s">
        <v>264</v>
      </c>
      <c r="C1323" s="1071" t="s">
        <v>1427</v>
      </c>
      <c r="D1323" s="1072"/>
      <c r="E1323" s="1085">
        <v>163912</v>
      </c>
      <c r="F1323" s="1201">
        <v>6</v>
      </c>
      <c r="G1323" s="859">
        <v>18074321</v>
      </c>
      <c r="H1323" s="860">
        <v>19908997</v>
      </c>
      <c r="I1323" s="861"/>
      <c r="J1323" s="862"/>
      <c r="K1323" s="859"/>
      <c r="L1323" s="863"/>
      <c r="M1323" s="859">
        <v>30502480</v>
      </c>
      <c r="N1323" s="859"/>
      <c r="O1323" s="752">
        <f t="shared" si="178"/>
        <v>30502480</v>
      </c>
      <c r="P1323" s="862">
        <v>27567945</v>
      </c>
      <c r="Q1323" s="860"/>
      <c r="R1323" s="753">
        <f t="shared" si="181"/>
        <v>27567945</v>
      </c>
      <c r="S1323" s="752">
        <f t="shared" si="182"/>
        <v>48576801</v>
      </c>
      <c r="T1323" s="754">
        <f t="shared" si="183"/>
        <v>47476942</v>
      </c>
      <c r="U1323" s="859"/>
      <c r="V1323" s="863"/>
      <c r="W1323" s="859"/>
      <c r="X1323" s="859"/>
      <c r="Y1323" s="755">
        <f t="shared" si="179"/>
        <v>0</v>
      </c>
      <c r="Z1323" s="864"/>
      <c r="AA1323" s="863"/>
      <c r="AB1323" s="756">
        <f t="shared" si="180"/>
        <v>0</v>
      </c>
      <c r="AC1323" s="859"/>
      <c r="AD1323" s="863"/>
      <c r="AE1323" s="859"/>
      <c r="AF1323" s="859"/>
      <c r="AG1323" s="864"/>
      <c r="AH1323" s="865"/>
      <c r="AI1323" s="757">
        <f t="shared" si="184"/>
        <v>48576801</v>
      </c>
      <c r="AJ1323" s="758">
        <f t="shared" si="185"/>
        <v>47476942</v>
      </c>
    </row>
    <row r="1324" spans="1:36" x14ac:dyDescent="0.2">
      <c r="A1324" s="1318" t="s">
        <v>151</v>
      </c>
      <c r="B1324" s="1319" t="s">
        <v>264</v>
      </c>
      <c r="C1324" s="1320" t="s">
        <v>1428</v>
      </c>
      <c r="D1324" s="1072"/>
      <c r="E1324" s="1085">
        <v>161767</v>
      </c>
      <c r="F1324" s="1074">
        <v>8</v>
      </c>
      <c r="G1324" s="859">
        <v>27235329</v>
      </c>
      <c r="H1324" s="860">
        <v>28108493</v>
      </c>
      <c r="I1324" s="861"/>
      <c r="J1324" s="862"/>
      <c r="K1324" s="859">
        <v>32047700</v>
      </c>
      <c r="L1324" s="863">
        <v>35137700</v>
      </c>
      <c r="M1324" s="859">
        <v>45860000</v>
      </c>
      <c r="N1324" s="859"/>
      <c r="O1324" s="752">
        <f t="shared" si="178"/>
        <v>45860000</v>
      </c>
      <c r="P1324" s="862">
        <v>45710000</v>
      </c>
      <c r="Q1324" s="860"/>
      <c r="R1324" s="753">
        <f t="shared" si="181"/>
        <v>45710000</v>
      </c>
      <c r="S1324" s="752">
        <f t="shared" si="182"/>
        <v>105143029</v>
      </c>
      <c r="T1324" s="754">
        <f t="shared" si="183"/>
        <v>108956193</v>
      </c>
      <c r="U1324" s="859"/>
      <c r="V1324" s="863"/>
      <c r="W1324" s="859"/>
      <c r="X1324" s="859"/>
      <c r="Y1324" s="755">
        <f t="shared" si="179"/>
        <v>0</v>
      </c>
      <c r="Z1324" s="864"/>
      <c r="AA1324" s="863"/>
      <c r="AB1324" s="756">
        <f t="shared" si="180"/>
        <v>0</v>
      </c>
      <c r="AC1324" s="859"/>
      <c r="AD1324" s="863"/>
      <c r="AE1324" s="859"/>
      <c r="AF1324" s="859"/>
      <c r="AG1324" s="864"/>
      <c r="AH1324" s="865"/>
      <c r="AI1324" s="757">
        <f t="shared" si="184"/>
        <v>105143029</v>
      </c>
      <c r="AJ1324" s="758">
        <f t="shared" si="185"/>
        <v>108956193</v>
      </c>
    </row>
    <row r="1325" spans="1:36" x14ac:dyDescent="0.2">
      <c r="A1325" s="1318" t="s">
        <v>151</v>
      </c>
      <c r="B1325" s="1319" t="s">
        <v>264</v>
      </c>
      <c r="C1325" s="1071" t="s">
        <v>1429</v>
      </c>
      <c r="D1325" s="1324"/>
      <c r="E1325" s="1085">
        <v>162122</v>
      </c>
      <c r="F1325" s="1074">
        <v>8</v>
      </c>
      <c r="G1325" s="859">
        <v>10902580</v>
      </c>
      <c r="H1325" s="860">
        <v>12088572</v>
      </c>
      <c r="I1325" s="861"/>
      <c r="J1325" s="862"/>
      <c r="K1325" s="859">
        <v>16663918</v>
      </c>
      <c r="L1325" s="863">
        <v>17477362</v>
      </c>
      <c r="M1325" s="859">
        <v>29864227</v>
      </c>
      <c r="N1325" s="859"/>
      <c r="O1325" s="752">
        <f t="shared" si="178"/>
        <v>29864227</v>
      </c>
      <c r="P1325" s="862">
        <v>31173469</v>
      </c>
      <c r="Q1325" s="860"/>
      <c r="R1325" s="753">
        <f t="shared" si="181"/>
        <v>31173469</v>
      </c>
      <c r="S1325" s="752">
        <f t="shared" si="182"/>
        <v>57430725</v>
      </c>
      <c r="T1325" s="754">
        <f t="shared" si="183"/>
        <v>60739403</v>
      </c>
      <c r="U1325" s="859"/>
      <c r="V1325" s="863"/>
      <c r="W1325" s="859"/>
      <c r="X1325" s="859"/>
      <c r="Y1325" s="755">
        <f t="shared" si="179"/>
        <v>0</v>
      </c>
      <c r="Z1325" s="864"/>
      <c r="AA1325" s="863"/>
      <c r="AB1325" s="756">
        <f t="shared" si="180"/>
        <v>0</v>
      </c>
      <c r="AC1325" s="859"/>
      <c r="AD1325" s="863"/>
      <c r="AE1325" s="859"/>
      <c r="AF1325" s="859"/>
      <c r="AG1325" s="864"/>
      <c r="AH1325" s="865"/>
      <c r="AI1325" s="757">
        <f t="shared" si="184"/>
        <v>57430725</v>
      </c>
      <c r="AJ1325" s="758">
        <f t="shared" si="185"/>
        <v>60739403</v>
      </c>
    </row>
    <row r="1326" spans="1:36" x14ac:dyDescent="0.2">
      <c r="A1326" s="1318" t="s">
        <v>151</v>
      </c>
      <c r="B1326" s="1319" t="s">
        <v>264</v>
      </c>
      <c r="C1326" s="1320" t="s">
        <v>1430</v>
      </c>
      <c r="D1326" s="1072"/>
      <c r="E1326" s="1085">
        <v>434672</v>
      </c>
      <c r="F1326" s="1074">
        <v>8</v>
      </c>
      <c r="G1326" s="859">
        <v>34398366</v>
      </c>
      <c r="H1326" s="860">
        <v>37412633</v>
      </c>
      <c r="I1326" s="861"/>
      <c r="J1326" s="862"/>
      <c r="K1326" s="859">
        <v>38462795</v>
      </c>
      <c r="L1326" s="863">
        <v>38462795</v>
      </c>
      <c r="M1326" s="859">
        <v>85656305</v>
      </c>
      <c r="N1326" s="859"/>
      <c r="O1326" s="752">
        <f t="shared" si="178"/>
        <v>85656305</v>
      </c>
      <c r="P1326" s="862">
        <v>83018061</v>
      </c>
      <c r="Q1326" s="860"/>
      <c r="R1326" s="753">
        <f t="shared" si="181"/>
        <v>83018061</v>
      </c>
      <c r="S1326" s="752">
        <f t="shared" si="182"/>
        <v>158517466</v>
      </c>
      <c r="T1326" s="754">
        <f t="shared" si="183"/>
        <v>158893489</v>
      </c>
      <c r="U1326" s="859"/>
      <c r="V1326" s="863"/>
      <c r="W1326" s="859"/>
      <c r="X1326" s="859"/>
      <c r="Y1326" s="755">
        <f t="shared" si="179"/>
        <v>0</v>
      </c>
      <c r="Z1326" s="864"/>
      <c r="AA1326" s="863"/>
      <c r="AB1326" s="756">
        <f t="shared" si="180"/>
        <v>0</v>
      </c>
      <c r="AC1326" s="859"/>
      <c r="AD1326" s="863"/>
      <c r="AE1326" s="859"/>
      <c r="AF1326" s="859"/>
      <c r="AG1326" s="864"/>
      <c r="AH1326" s="865"/>
      <c r="AI1326" s="757">
        <f t="shared" si="184"/>
        <v>158517466</v>
      </c>
      <c r="AJ1326" s="758">
        <f t="shared" si="185"/>
        <v>158893489</v>
      </c>
    </row>
    <row r="1327" spans="1:36" x14ac:dyDescent="0.2">
      <c r="A1327" s="1318" t="s">
        <v>151</v>
      </c>
      <c r="B1327" s="1319" t="s">
        <v>264</v>
      </c>
      <c r="C1327" s="1071" t="s">
        <v>1431</v>
      </c>
      <c r="D1327" s="1324"/>
      <c r="E1327" s="1085">
        <v>162779</v>
      </c>
      <c r="F1327" s="1074">
        <v>8</v>
      </c>
      <c r="G1327" s="859">
        <v>12584485</v>
      </c>
      <c r="H1327" s="860">
        <v>14073509</v>
      </c>
      <c r="I1327" s="861"/>
      <c r="J1327" s="862"/>
      <c r="K1327" s="859">
        <v>27093286</v>
      </c>
      <c r="L1327" s="863">
        <v>29131683</v>
      </c>
      <c r="M1327" s="859">
        <v>40434542</v>
      </c>
      <c r="N1327" s="859"/>
      <c r="O1327" s="752">
        <f t="shared" si="178"/>
        <v>40434542</v>
      </c>
      <c r="P1327" s="862">
        <v>42006001</v>
      </c>
      <c r="Q1327" s="860"/>
      <c r="R1327" s="753">
        <f t="shared" si="181"/>
        <v>42006001</v>
      </c>
      <c r="S1327" s="752">
        <f t="shared" si="182"/>
        <v>80112313</v>
      </c>
      <c r="T1327" s="754">
        <f t="shared" si="183"/>
        <v>85211193</v>
      </c>
      <c r="U1327" s="859"/>
      <c r="V1327" s="863"/>
      <c r="W1327" s="859"/>
      <c r="X1327" s="859"/>
      <c r="Y1327" s="755">
        <f t="shared" si="179"/>
        <v>0</v>
      </c>
      <c r="Z1327" s="864"/>
      <c r="AA1327" s="863"/>
      <c r="AB1327" s="756">
        <f t="shared" si="180"/>
        <v>0</v>
      </c>
      <c r="AC1327" s="859"/>
      <c r="AD1327" s="863"/>
      <c r="AE1327" s="859"/>
      <c r="AF1327" s="859"/>
      <c r="AG1327" s="864"/>
      <c r="AH1327" s="865"/>
      <c r="AI1327" s="757">
        <f t="shared" si="184"/>
        <v>80112313</v>
      </c>
      <c r="AJ1327" s="758">
        <f t="shared" si="185"/>
        <v>85211193</v>
      </c>
    </row>
    <row r="1328" spans="1:36" x14ac:dyDescent="0.2">
      <c r="A1328" s="1318" t="s">
        <v>151</v>
      </c>
      <c r="B1328" s="1319" t="s">
        <v>264</v>
      </c>
      <c r="C1328" s="1320" t="s">
        <v>1432</v>
      </c>
      <c r="D1328" s="1072"/>
      <c r="E1328" s="1085">
        <v>163426</v>
      </c>
      <c r="F1328" s="1074">
        <v>8</v>
      </c>
      <c r="G1328" s="859">
        <v>35998553</v>
      </c>
      <c r="H1328" s="860">
        <v>37835547</v>
      </c>
      <c r="I1328" s="861"/>
      <c r="J1328" s="862"/>
      <c r="K1328" s="859">
        <v>96263605</v>
      </c>
      <c r="L1328" s="863">
        <v>100529527</v>
      </c>
      <c r="M1328" s="859">
        <v>95548152</v>
      </c>
      <c r="N1328" s="859"/>
      <c r="O1328" s="752">
        <f t="shared" si="178"/>
        <v>95548152</v>
      </c>
      <c r="P1328" s="862">
        <v>96703251</v>
      </c>
      <c r="Q1328" s="860"/>
      <c r="R1328" s="753">
        <f t="shared" si="181"/>
        <v>96703251</v>
      </c>
      <c r="S1328" s="752">
        <f t="shared" si="182"/>
        <v>227810310</v>
      </c>
      <c r="T1328" s="754">
        <f t="shared" si="183"/>
        <v>235068325</v>
      </c>
      <c r="U1328" s="859"/>
      <c r="V1328" s="863"/>
      <c r="W1328" s="859"/>
      <c r="X1328" s="859"/>
      <c r="Y1328" s="755">
        <f t="shared" si="179"/>
        <v>0</v>
      </c>
      <c r="Z1328" s="864"/>
      <c r="AA1328" s="863"/>
      <c r="AB1328" s="756">
        <f t="shared" si="180"/>
        <v>0</v>
      </c>
      <c r="AC1328" s="859"/>
      <c r="AD1328" s="863"/>
      <c r="AE1328" s="859"/>
      <c r="AF1328" s="859"/>
      <c r="AG1328" s="864"/>
      <c r="AH1328" s="865"/>
      <c r="AI1328" s="757">
        <f t="shared" si="184"/>
        <v>227810310</v>
      </c>
      <c r="AJ1328" s="758">
        <f t="shared" si="185"/>
        <v>235068325</v>
      </c>
    </row>
    <row r="1329" spans="1:36" x14ac:dyDescent="0.2">
      <c r="A1329" s="1318" t="s">
        <v>151</v>
      </c>
      <c r="B1329" s="1319" t="s">
        <v>264</v>
      </c>
      <c r="C1329" s="1320" t="s">
        <v>1433</v>
      </c>
      <c r="D1329" s="1072"/>
      <c r="E1329" s="1085">
        <v>163657</v>
      </c>
      <c r="F1329" s="1074">
        <v>8</v>
      </c>
      <c r="G1329" s="859">
        <v>22013074</v>
      </c>
      <c r="H1329" s="860">
        <v>24412144</v>
      </c>
      <c r="I1329" s="861"/>
      <c r="J1329" s="862"/>
      <c r="K1329" s="859">
        <v>29545200</v>
      </c>
      <c r="L1329" s="863">
        <v>29545200</v>
      </c>
      <c r="M1329" s="859">
        <v>45317826</v>
      </c>
      <c r="N1329" s="859"/>
      <c r="O1329" s="752">
        <f t="shared" si="178"/>
        <v>45317826</v>
      </c>
      <c r="P1329" s="862">
        <v>44969658</v>
      </c>
      <c r="Q1329" s="860"/>
      <c r="R1329" s="753">
        <f t="shared" si="181"/>
        <v>44969658</v>
      </c>
      <c r="S1329" s="752">
        <f t="shared" si="182"/>
        <v>96876100</v>
      </c>
      <c r="T1329" s="754">
        <f t="shared" si="183"/>
        <v>98927002</v>
      </c>
      <c r="U1329" s="859"/>
      <c r="V1329" s="863"/>
      <c r="W1329" s="859"/>
      <c r="X1329" s="859"/>
      <c r="Y1329" s="755">
        <f t="shared" si="179"/>
        <v>0</v>
      </c>
      <c r="Z1329" s="864"/>
      <c r="AA1329" s="863"/>
      <c r="AB1329" s="756">
        <f t="shared" si="180"/>
        <v>0</v>
      </c>
      <c r="AC1329" s="859"/>
      <c r="AD1329" s="863"/>
      <c r="AE1329" s="859"/>
      <c r="AF1329" s="859"/>
      <c r="AG1329" s="864"/>
      <c r="AH1329" s="865"/>
      <c r="AI1329" s="757">
        <f t="shared" si="184"/>
        <v>96876100</v>
      </c>
      <c r="AJ1329" s="758">
        <f t="shared" si="185"/>
        <v>98927002</v>
      </c>
    </row>
    <row r="1330" spans="1:36" x14ac:dyDescent="0.2">
      <c r="A1330" s="1318" t="s">
        <v>151</v>
      </c>
      <c r="B1330" s="1319" t="s">
        <v>264</v>
      </c>
      <c r="C1330" s="1320" t="s">
        <v>1434</v>
      </c>
      <c r="D1330" s="1072"/>
      <c r="E1330" s="1325">
        <v>161688</v>
      </c>
      <c r="F1330" s="1326">
        <v>9</v>
      </c>
      <c r="G1330" s="859">
        <v>4773622</v>
      </c>
      <c r="H1330" s="860">
        <v>4773622</v>
      </c>
      <c r="I1330" s="861">
        <v>1013810</v>
      </c>
      <c r="J1330" s="862"/>
      <c r="K1330" s="859">
        <v>7425000</v>
      </c>
      <c r="L1330" s="863">
        <v>7555000</v>
      </c>
      <c r="M1330" s="859">
        <v>15172103</v>
      </c>
      <c r="N1330" s="859"/>
      <c r="O1330" s="752">
        <f t="shared" si="178"/>
        <v>15172103</v>
      </c>
      <c r="P1330" s="862">
        <v>15034786</v>
      </c>
      <c r="Q1330" s="860"/>
      <c r="R1330" s="753">
        <f t="shared" si="181"/>
        <v>15034786</v>
      </c>
      <c r="S1330" s="752">
        <f t="shared" si="182"/>
        <v>28384535</v>
      </c>
      <c r="T1330" s="754">
        <f t="shared" si="183"/>
        <v>27363408</v>
      </c>
      <c r="U1330" s="859"/>
      <c r="V1330" s="863"/>
      <c r="W1330" s="859"/>
      <c r="X1330" s="859"/>
      <c r="Y1330" s="755">
        <f t="shared" si="179"/>
        <v>0</v>
      </c>
      <c r="Z1330" s="864"/>
      <c r="AA1330" s="863"/>
      <c r="AB1330" s="756">
        <f t="shared" si="180"/>
        <v>0</v>
      </c>
      <c r="AC1330" s="859"/>
      <c r="AD1330" s="863"/>
      <c r="AE1330" s="859"/>
      <c r="AF1330" s="859"/>
      <c r="AG1330" s="864"/>
      <c r="AH1330" s="865"/>
      <c r="AI1330" s="757">
        <f t="shared" si="184"/>
        <v>28384535</v>
      </c>
      <c r="AJ1330" s="758">
        <f t="shared" si="185"/>
        <v>27363408</v>
      </c>
    </row>
    <row r="1331" spans="1:36" x14ac:dyDescent="0.2">
      <c r="A1331" s="1318" t="s">
        <v>151</v>
      </c>
      <c r="B1331" s="1319" t="s">
        <v>264</v>
      </c>
      <c r="C1331" s="1320" t="s">
        <v>1435</v>
      </c>
      <c r="D1331" s="1072"/>
      <c r="E1331" s="1085">
        <v>161864</v>
      </c>
      <c r="F1331" s="1074">
        <v>9</v>
      </c>
      <c r="G1331" s="859">
        <v>40564700</v>
      </c>
      <c r="H1331" s="860">
        <v>42239662</v>
      </c>
      <c r="I1331" s="861"/>
      <c r="J1331" s="862"/>
      <c r="K1331" s="859">
        <v>125000</v>
      </c>
      <c r="L1331" s="863">
        <v>125000</v>
      </c>
      <c r="M1331" s="859">
        <v>19413554</v>
      </c>
      <c r="N1331" s="859"/>
      <c r="O1331" s="752">
        <f t="shared" si="178"/>
        <v>19413554</v>
      </c>
      <c r="P1331" s="862">
        <v>14140492</v>
      </c>
      <c r="Q1331" s="860"/>
      <c r="R1331" s="753">
        <f t="shared" si="181"/>
        <v>14140492</v>
      </c>
      <c r="S1331" s="752">
        <f t="shared" si="182"/>
        <v>60103254</v>
      </c>
      <c r="T1331" s="754">
        <f t="shared" si="183"/>
        <v>56505154</v>
      </c>
      <c r="U1331" s="859"/>
      <c r="V1331" s="863"/>
      <c r="W1331" s="859"/>
      <c r="X1331" s="859"/>
      <c r="Y1331" s="755">
        <f t="shared" si="179"/>
        <v>0</v>
      </c>
      <c r="Z1331" s="864"/>
      <c r="AA1331" s="863"/>
      <c r="AB1331" s="756">
        <f t="shared" si="180"/>
        <v>0</v>
      </c>
      <c r="AC1331" s="859"/>
      <c r="AD1331" s="863"/>
      <c r="AE1331" s="859"/>
      <c r="AF1331" s="859"/>
      <c r="AG1331" s="864"/>
      <c r="AH1331" s="865"/>
      <c r="AI1331" s="757">
        <f t="shared" si="184"/>
        <v>60103254</v>
      </c>
      <c r="AJ1331" s="758">
        <f t="shared" si="185"/>
        <v>56505154</v>
      </c>
    </row>
    <row r="1332" spans="1:36" x14ac:dyDescent="0.2">
      <c r="A1332" s="1318" t="s">
        <v>151</v>
      </c>
      <c r="B1332" s="1319" t="s">
        <v>264</v>
      </c>
      <c r="C1332" s="1327" t="s">
        <v>1436</v>
      </c>
      <c r="D1332" s="1328"/>
      <c r="E1332" s="1329">
        <v>405872</v>
      </c>
      <c r="F1332" s="1074">
        <v>9</v>
      </c>
      <c r="G1332" s="859">
        <v>6851515</v>
      </c>
      <c r="H1332" s="860">
        <v>7119212</v>
      </c>
      <c r="I1332" s="861">
        <v>326900</v>
      </c>
      <c r="J1332" s="862"/>
      <c r="K1332" s="859">
        <v>8625450</v>
      </c>
      <c r="L1332" s="863">
        <v>8924024</v>
      </c>
      <c r="M1332" s="859">
        <v>12833052</v>
      </c>
      <c r="N1332" s="859"/>
      <c r="O1332" s="752">
        <f t="shared" si="178"/>
        <v>12833052</v>
      </c>
      <c r="P1332" s="862">
        <v>13390715</v>
      </c>
      <c r="Q1332" s="860"/>
      <c r="R1332" s="753">
        <f t="shared" si="181"/>
        <v>13390715</v>
      </c>
      <c r="S1332" s="752">
        <f t="shared" si="182"/>
        <v>28636917</v>
      </c>
      <c r="T1332" s="754">
        <f t="shared" si="183"/>
        <v>29433951</v>
      </c>
      <c r="U1332" s="859"/>
      <c r="V1332" s="863"/>
      <c r="W1332" s="859"/>
      <c r="X1332" s="859"/>
      <c r="Y1332" s="755">
        <f t="shared" si="179"/>
        <v>0</v>
      </c>
      <c r="Z1332" s="864"/>
      <c r="AA1332" s="863"/>
      <c r="AB1332" s="756">
        <f t="shared" si="180"/>
        <v>0</v>
      </c>
      <c r="AC1332" s="859"/>
      <c r="AD1332" s="863"/>
      <c r="AE1332" s="859"/>
      <c r="AF1332" s="859"/>
      <c r="AG1332" s="864"/>
      <c r="AH1332" s="865"/>
      <c r="AI1332" s="757">
        <f t="shared" si="184"/>
        <v>28636917</v>
      </c>
      <c r="AJ1332" s="758">
        <f t="shared" si="185"/>
        <v>29433951</v>
      </c>
    </row>
    <row r="1333" spans="1:36" x14ac:dyDescent="0.2">
      <c r="A1333" s="1318" t="s">
        <v>151</v>
      </c>
      <c r="B1333" s="1319" t="s">
        <v>264</v>
      </c>
      <c r="C1333" s="1320" t="s">
        <v>1437</v>
      </c>
      <c r="D1333" s="1072"/>
      <c r="E1333" s="1085">
        <v>162557</v>
      </c>
      <c r="F1333" s="1074">
        <v>9</v>
      </c>
      <c r="G1333" s="859">
        <v>8145648</v>
      </c>
      <c r="H1333" s="860">
        <v>8839216</v>
      </c>
      <c r="I1333" s="861"/>
      <c r="J1333" s="862"/>
      <c r="K1333" s="859">
        <v>14004812</v>
      </c>
      <c r="L1333" s="863">
        <v>14279055</v>
      </c>
      <c r="M1333" s="859">
        <v>19042818</v>
      </c>
      <c r="N1333" s="859"/>
      <c r="O1333" s="752">
        <f t="shared" si="178"/>
        <v>19042818</v>
      </c>
      <c r="P1333" s="862">
        <v>18728576</v>
      </c>
      <c r="Q1333" s="860"/>
      <c r="R1333" s="753">
        <f t="shared" si="181"/>
        <v>18728576</v>
      </c>
      <c r="S1333" s="752">
        <f t="shared" si="182"/>
        <v>41193278</v>
      </c>
      <c r="T1333" s="754">
        <f t="shared" si="183"/>
        <v>41846847</v>
      </c>
      <c r="U1333" s="859"/>
      <c r="V1333" s="863"/>
      <c r="W1333" s="859"/>
      <c r="X1333" s="859"/>
      <c r="Y1333" s="755">
        <f t="shared" si="179"/>
        <v>0</v>
      </c>
      <c r="Z1333" s="864"/>
      <c r="AA1333" s="863"/>
      <c r="AB1333" s="756">
        <f t="shared" si="180"/>
        <v>0</v>
      </c>
      <c r="AC1333" s="859"/>
      <c r="AD1333" s="863"/>
      <c r="AE1333" s="859"/>
      <c r="AF1333" s="859"/>
      <c r="AG1333" s="864"/>
      <c r="AH1333" s="865"/>
      <c r="AI1333" s="757">
        <f t="shared" si="184"/>
        <v>41193278</v>
      </c>
      <c r="AJ1333" s="758">
        <f t="shared" si="185"/>
        <v>41846847</v>
      </c>
    </row>
    <row r="1334" spans="1:36" x14ac:dyDescent="0.2">
      <c r="A1334" s="1318" t="s">
        <v>151</v>
      </c>
      <c r="B1334" s="1319" t="s">
        <v>264</v>
      </c>
      <c r="C1334" s="1320" t="s">
        <v>1438</v>
      </c>
      <c r="D1334" s="1072"/>
      <c r="E1334" s="1325">
        <v>162690</v>
      </c>
      <c r="F1334" s="1074">
        <v>9</v>
      </c>
      <c r="G1334" s="859">
        <v>6965064</v>
      </c>
      <c r="H1334" s="860">
        <v>7365786</v>
      </c>
      <c r="I1334" s="861">
        <v>653800</v>
      </c>
      <c r="J1334" s="862"/>
      <c r="K1334" s="859">
        <v>8865010</v>
      </c>
      <c r="L1334" s="863">
        <v>8965010</v>
      </c>
      <c r="M1334" s="859">
        <v>16052729</v>
      </c>
      <c r="N1334" s="859"/>
      <c r="O1334" s="752">
        <f t="shared" si="178"/>
        <v>16052729</v>
      </c>
      <c r="P1334" s="862">
        <v>17011249</v>
      </c>
      <c r="Q1334" s="860"/>
      <c r="R1334" s="753">
        <f t="shared" si="181"/>
        <v>17011249</v>
      </c>
      <c r="S1334" s="752">
        <f t="shared" si="182"/>
        <v>32536603</v>
      </c>
      <c r="T1334" s="754">
        <f t="shared" si="183"/>
        <v>33342045</v>
      </c>
      <c r="U1334" s="859"/>
      <c r="V1334" s="863"/>
      <c r="W1334" s="859"/>
      <c r="X1334" s="859"/>
      <c r="Y1334" s="755">
        <f t="shared" si="179"/>
        <v>0</v>
      </c>
      <c r="Z1334" s="864"/>
      <c r="AA1334" s="863"/>
      <c r="AB1334" s="756">
        <f t="shared" si="180"/>
        <v>0</v>
      </c>
      <c r="AC1334" s="859"/>
      <c r="AD1334" s="863"/>
      <c r="AE1334" s="859"/>
      <c r="AF1334" s="859"/>
      <c r="AG1334" s="864"/>
      <c r="AH1334" s="865"/>
      <c r="AI1334" s="757">
        <f t="shared" si="184"/>
        <v>32536603</v>
      </c>
      <c r="AJ1334" s="758">
        <f t="shared" si="185"/>
        <v>33342045</v>
      </c>
    </row>
    <row r="1335" spans="1:36" x14ac:dyDescent="0.2">
      <c r="A1335" s="1318" t="s">
        <v>151</v>
      </c>
      <c r="B1335" s="1319" t="s">
        <v>264</v>
      </c>
      <c r="C1335" s="1320" t="s">
        <v>1439</v>
      </c>
      <c r="D1335" s="1072"/>
      <c r="E1335" s="1085">
        <v>162706</v>
      </c>
      <c r="F1335" s="1074">
        <v>9</v>
      </c>
      <c r="G1335" s="859">
        <v>9990806</v>
      </c>
      <c r="H1335" s="860">
        <v>10345649</v>
      </c>
      <c r="I1335" s="861"/>
      <c r="J1335" s="862"/>
      <c r="K1335" s="859">
        <v>14961612</v>
      </c>
      <c r="L1335" s="863">
        <v>14961612</v>
      </c>
      <c r="M1335" s="859">
        <v>17467429</v>
      </c>
      <c r="N1335" s="859"/>
      <c r="O1335" s="752">
        <f t="shared" si="178"/>
        <v>17467429</v>
      </c>
      <c r="P1335" s="862">
        <v>18181704</v>
      </c>
      <c r="Q1335" s="860"/>
      <c r="R1335" s="753">
        <f t="shared" si="181"/>
        <v>18181704</v>
      </c>
      <c r="S1335" s="752">
        <f t="shared" si="182"/>
        <v>42419847</v>
      </c>
      <c r="T1335" s="754">
        <f t="shared" si="183"/>
        <v>43488965</v>
      </c>
      <c r="U1335" s="859"/>
      <c r="V1335" s="863"/>
      <c r="W1335" s="859"/>
      <c r="X1335" s="859"/>
      <c r="Y1335" s="755">
        <f t="shared" si="179"/>
        <v>0</v>
      </c>
      <c r="Z1335" s="864"/>
      <c r="AA1335" s="863"/>
      <c r="AB1335" s="756">
        <f t="shared" si="180"/>
        <v>0</v>
      </c>
      <c r="AC1335" s="859"/>
      <c r="AD1335" s="863"/>
      <c r="AE1335" s="859"/>
      <c r="AF1335" s="859"/>
      <c r="AG1335" s="864"/>
      <c r="AH1335" s="865"/>
      <c r="AI1335" s="757">
        <f t="shared" si="184"/>
        <v>42419847</v>
      </c>
      <c r="AJ1335" s="758">
        <f t="shared" si="185"/>
        <v>43488965</v>
      </c>
    </row>
    <row r="1336" spans="1:36" x14ac:dyDescent="0.2">
      <c r="A1336" s="1318" t="s">
        <v>151</v>
      </c>
      <c r="B1336" s="1319" t="s">
        <v>264</v>
      </c>
      <c r="C1336" s="1327" t="s">
        <v>1440</v>
      </c>
      <c r="D1336" s="1328"/>
      <c r="E1336" s="1329">
        <v>164313</v>
      </c>
      <c r="F1336" s="1074">
        <v>9</v>
      </c>
      <c r="G1336" s="859">
        <v>6784796</v>
      </c>
      <c r="H1336" s="860">
        <v>7020911</v>
      </c>
      <c r="I1336" s="861">
        <v>326900</v>
      </c>
      <c r="J1336" s="862"/>
      <c r="K1336" s="859">
        <v>4507360</v>
      </c>
      <c r="L1336" s="863">
        <v>5273134</v>
      </c>
      <c r="M1336" s="859">
        <v>11186794</v>
      </c>
      <c r="N1336" s="859"/>
      <c r="O1336" s="752">
        <f t="shared" si="178"/>
        <v>11186794</v>
      </c>
      <c r="P1336" s="862">
        <v>10556856</v>
      </c>
      <c r="Q1336" s="860"/>
      <c r="R1336" s="753">
        <f t="shared" si="181"/>
        <v>10556856</v>
      </c>
      <c r="S1336" s="752">
        <f t="shared" si="182"/>
        <v>22805850</v>
      </c>
      <c r="T1336" s="754">
        <f t="shared" si="183"/>
        <v>22850901</v>
      </c>
      <c r="U1336" s="859"/>
      <c r="V1336" s="863"/>
      <c r="W1336" s="859"/>
      <c r="X1336" s="859"/>
      <c r="Y1336" s="755">
        <f t="shared" si="179"/>
        <v>0</v>
      </c>
      <c r="Z1336" s="864"/>
      <c r="AA1336" s="863"/>
      <c r="AB1336" s="756">
        <f t="shared" si="180"/>
        <v>0</v>
      </c>
      <c r="AC1336" s="859"/>
      <c r="AD1336" s="863"/>
      <c r="AE1336" s="859"/>
      <c r="AF1336" s="859"/>
      <c r="AG1336" s="864"/>
      <c r="AH1336" s="865"/>
      <c r="AI1336" s="757">
        <f t="shared" si="184"/>
        <v>22805850</v>
      </c>
      <c r="AJ1336" s="758">
        <f t="shared" si="185"/>
        <v>22850901</v>
      </c>
    </row>
    <row r="1337" spans="1:36" x14ac:dyDescent="0.2">
      <c r="A1337" s="1318" t="s">
        <v>151</v>
      </c>
      <c r="B1337" s="1319" t="s">
        <v>264</v>
      </c>
      <c r="C1337" s="1320" t="s">
        <v>1441</v>
      </c>
      <c r="D1337" s="1072"/>
      <c r="E1337" s="1085">
        <v>162104</v>
      </c>
      <c r="F1337" s="1074">
        <v>10</v>
      </c>
      <c r="G1337" s="859">
        <v>4645771</v>
      </c>
      <c r="H1337" s="860">
        <v>4940229</v>
      </c>
      <c r="I1337" s="861">
        <v>326900</v>
      </c>
      <c r="J1337" s="862"/>
      <c r="K1337" s="859">
        <v>8025308</v>
      </c>
      <c r="L1337" s="863">
        <v>8197009</v>
      </c>
      <c r="M1337" s="859">
        <v>7919325</v>
      </c>
      <c r="N1337" s="859"/>
      <c r="O1337" s="752">
        <f t="shared" si="178"/>
        <v>7919325</v>
      </c>
      <c r="P1337" s="862">
        <v>8210706</v>
      </c>
      <c r="Q1337" s="860"/>
      <c r="R1337" s="753">
        <f t="shared" si="181"/>
        <v>8210706</v>
      </c>
      <c r="S1337" s="752">
        <f t="shared" si="182"/>
        <v>20917304</v>
      </c>
      <c r="T1337" s="754">
        <f t="shared" si="183"/>
        <v>21347944</v>
      </c>
      <c r="U1337" s="859"/>
      <c r="V1337" s="863"/>
      <c r="W1337" s="859"/>
      <c r="X1337" s="859"/>
      <c r="Y1337" s="755">
        <f t="shared" si="179"/>
        <v>0</v>
      </c>
      <c r="Z1337" s="864"/>
      <c r="AA1337" s="863"/>
      <c r="AB1337" s="756">
        <f t="shared" si="180"/>
        <v>0</v>
      </c>
      <c r="AC1337" s="859"/>
      <c r="AD1337" s="863"/>
      <c r="AE1337" s="859"/>
      <c r="AF1337" s="859"/>
      <c r="AG1337" s="864"/>
      <c r="AH1337" s="865"/>
      <c r="AI1337" s="757">
        <f t="shared" si="184"/>
        <v>20917304</v>
      </c>
      <c r="AJ1337" s="758">
        <f t="shared" si="185"/>
        <v>21347944</v>
      </c>
    </row>
    <row r="1338" spans="1:36" x14ac:dyDescent="0.2">
      <c r="A1338" s="1318" t="s">
        <v>151</v>
      </c>
      <c r="B1338" s="1319" t="s">
        <v>264</v>
      </c>
      <c r="C1338" s="1320" t="s">
        <v>1442</v>
      </c>
      <c r="D1338" s="1072"/>
      <c r="E1338" s="1085">
        <v>162168</v>
      </c>
      <c r="F1338" s="1074">
        <v>10</v>
      </c>
      <c r="G1338" s="859">
        <v>5675851</v>
      </c>
      <c r="H1338" s="860">
        <v>6134108</v>
      </c>
      <c r="I1338" s="861">
        <v>326900</v>
      </c>
      <c r="J1338" s="862"/>
      <c r="K1338" s="859">
        <v>6126591</v>
      </c>
      <c r="L1338" s="863">
        <v>5885591</v>
      </c>
      <c r="M1338" s="859">
        <v>8082196</v>
      </c>
      <c r="N1338" s="859"/>
      <c r="O1338" s="752">
        <f t="shared" si="178"/>
        <v>8082196</v>
      </c>
      <c r="P1338" s="862">
        <v>8170166</v>
      </c>
      <c r="Q1338" s="860"/>
      <c r="R1338" s="753">
        <f t="shared" si="181"/>
        <v>8170166</v>
      </c>
      <c r="S1338" s="752">
        <f t="shared" si="182"/>
        <v>20211538</v>
      </c>
      <c r="T1338" s="754">
        <f t="shared" si="183"/>
        <v>20189865</v>
      </c>
      <c r="U1338" s="859"/>
      <c r="V1338" s="863"/>
      <c r="W1338" s="859"/>
      <c r="X1338" s="859"/>
      <c r="Y1338" s="755">
        <f t="shared" si="179"/>
        <v>0</v>
      </c>
      <c r="Z1338" s="864"/>
      <c r="AA1338" s="863"/>
      <c r="AB1338" s="756">
        <f t="shared" si="180"/>
        <v>0</v>
      </c>
      <c r="AC1338" s="859"/>
      <c r="AD1338" s="863"/>
      <c r="AE1338" s="859"/>
      <c r="AF1338" s="859"/>
      <c r="AG1338" s="864"/>
      <c r="AH1338" s="865"/>
      <c r="AI1338" s="757">
        <f t="shared" si="184"/>
        <v>20211538</v>
      </c>
      <c r="AJ1338" s="758">
        <f t="shared" si="185"/>
        <v>20189865</v>
      </c>
    </row>
    <row r="1339" spans="1:36" x14ac:dyDescent="0.2">
      <c r="A1339" s="1318" t="s">
        <v>151</v>
      </c>
      <c r="B1339" s="1319" t="s">
        <v>264</v>
      </c>
      <c r="C1339" s="1320" t="s">
        <v>1443</v>
      </c>
      <c r="D1339" s="1072"/>
      <c r="E1339" s="1085">
        <v>162609</v>
      </c>
      <c r="F1339" s="1074">
        <v>10</v>
      </c>
      <c r="G1339" s="859">
        <v>2246709</v>
      </c>
      <c r="H1339" s="860">
        <v>2497547</v>
      </c>
      <c r="I1339" s="861">
        <v>893800</v>
      </c>
      <c r="J1339" s="862"/>
      <c r="K1339" s="859">
        <v>4523000</v>
      </c>
      <c r="L1339" s="863">
        <v>4523000</v>
      </c>
      <c r="M1339" s="859">
        <v>4156050</v>
      </c>
      <c r="N1339" s="859"/>
      <c r="O1339" s="752">
        <f t="shared" si="178"/>
        <v>4156050</v>
      </c>
      <c r="P1339" s="862">
        <v>4099621</v>
      </c>
      <c r="Q1339" s="860"/>
      <c r="R1339" s="753">
        <f t="shared" si="181"/>
        <v>4099621</v>
      </c>
      <c r="S1339" s="752">
        <f t="shared" si="182"/>
        <v>11819559</v>
      </c>
      <c r="T1339" s="754">
        <f t="shared" si="183"/>
        <v>11120168</v>
      </c>
      <c r="U1339" s="859"/>
      <c r="V1339" s="863"/>
      <c r="W1339" s="859"/>
      <c r="X1339" s="859"/>
      <c r="Y1339" s="755">
        <f t="shared" si="179"/>
        <v>0</v>
      </c>
      <c r="Z1339" s="864"/>
      <c r="AA1339" s="863"/>
      <c r="AB1339" s="756">
        <f t="shared" si="180"/>
        <v>0</v>
      </c>
      <c r="AC1339" s="859"/>
      <c r="AD1339" s="863"/>
      <c r="AE1339" s="859"/>
      <c r="AF1339" s="859"/>
      <c r="AG1339" s="864"/>
      <c r="AH1339" s="865"/>
      <c r="AI1339" s="757">
        <f t="shared" si="184"/>
        <v>11819559</v>
      </c>
      <c r="AJ1339" s="758">
        <f t="shared" si="185"/>
        <v>11120168</v>
      </c>
    </row>
    <row r="1340" spans="1:36" x14ac:dyDescent="0.2">
      <c r="A1340" s="1318" t="s">
        <v>151</v>
      </c>
      <c r="B1340" s="1319" t="s">
        <v>302</v>
      </c>
      <c r="C1340" s="1320" t="s">
        <v>1444</v>
      </c>
      <c r="D1340" s="1072"/>
      <c r="E1340" s="1085">
        <v>163204</v>
      </c>
      <c r="F1340" s="1201">
        <v>15</v>
      </c>
      <c r="G1340" s="859"/>
      <c r="H1340" s="860"/>
      <c r="I1340" s="861"/>
      <c r="J1340" s="862"/>
      <c r="K1340" s="859"/>
      <c r="L1340" s="863"/>
      <c r="M1340" s="859"/>
      <c r="N1340" s="859"/>
      <c r="O1340" s="752">
        <f t="shared" si="178"/>
        <v>0</v>
      </c>
      <c r="P1340" s="862"/>
      <c r="Q1340" s="860"/>
      <c r="R1340" s="753">
        <f t="shared" si="181"/>
        <v>0</v>
      </c>
      <c r="S1340" s="752">
        <f t="shared" si="182"/>
        <v>0</v>
      </c>
      <c r="T1340" s="754">
        <f t="shared" si="183"/>
        <v>0</v>
      </c>
      <c r="U1340" s="859">
        <v>33898386</v>
      </c>
      <c r="V1340" s="863">
        <v>36601760</v>
      </c>
      <c r="W1340" s="859">
        <v>350389432</v>
      </c>
      <c r="X1340" s="859"/>
      <c r="Y1340" s="755">
        <f t="shared" si="179"/>
        <v>350389432</v>
      </c>
      <c r="Z1340" s="864">
        <v>350158351</v>
      </c>
      <c r="AA1340" s="863"/>
      <c r="AB1340" s="756">
        <f t="shared" si="180"/>
        <v>350158351</v>
      </c>
      <c r="AC1340" s="859"/>
      <c r="AD1340" s="863"/>
      <c r="AE1340" s="859"/>
      <c r="AF1340" s="859"/>
      <c r="AG1340" s="864"/>
      <c r="AH1340" s="865"/>
      <c r="AI1340" s="757">
        <f t="shared" si="184"/>
        <v>384287818</v>
      </c>
      <c r="AJ1340" s="758">
        <f t="shared" si="185"/>
        <v>386760111</v>
      </c>
    </row>
    <row r="1341" spans="1:36" x14ac:dyDescent="0.2">
      <c r="A1341" s="1318" t="s">
        <v>151</v>
      </c>
      <c r="B1341" s="1319" t="s">
        <v>301</v>
      </c>
      <c r="C1341" s="1320" t="s">
        <v>1445</v>
      </c>
      <c r="D1341" s="1072"/>
      <c r="E1341" s="1085">
        <v>163259</v>
      </c>
      <c r="F1341" s="1201">
        <v>15</v>
      </c>
      <c r="G1341" s="859"/>
      <c r="H1341" s="860"/>
      <c r="I1341" s="861"/>
      <c r="J1341" s="862"/>
      <c r="K1341" s="859"/>
      <c r="L1341" s="863"/>
      <c r="M1341" s="859"/>
      <c r="N1341" s="859"/>
      <c r="O1341" s="752">
        <f t="shared" si="178"/>
        <v>0</v>
      </c>
      <c r="P1341" s="862"/>
      <c r="Q1341" s="860"/>
      <c r="R1341" s="753">
        <f t="shared" si="181"/>
        <v>0</v>
      </c>
      <c r="S1341" s="752">
        <f t="shared" si="182"/>
        <v>0</v>
      </c>
      <c r="T1341" s="754">
        <f t="shared" si="183"/>
        <v>0</v>
      </c>
      <c r="U1341" s="859"/>
      <c r="V1341" s="863"/>
      <c r="W1341" s="859"/>
      <c r="X1341" s="859"/>
      <c r="Y1341" s="755">
        <f t="shared" si="179"/>
        <v>0</v>
      </c>
      <c r="Z1341" s="864"/>
      <c r="AA1341" s="863"/>
      <c r="AB1341" s="756">
        <f t="shared" si="180"/>
        <v>0</v>
      </c>
      <c r="AC1341" s="859">
        <v>183986492</v>
      </c>
      <c r="AD1341" s="863">
        <v>203312714</v>
      </c>
      <c r="AE1341" s="859">
        <v>116228036</v>
      </c>
      <c r="AF1341" s="859"/>
      <c r="AG1341" s="864">
        <v>118107254</v>
      </c>
      <c r="AH1341" s="865"/>
      <c r="AI1341" s="757">
        <f t="shared" si="184"/>
        <v>300214528</v>
      </c>
      <c r="AJ1341" s="758">
        <f t="shared" si="185"/>
        <v>321419968</v>
      </c>
    </row>
    <row r="1342" spans="1:36" x14ac:dyDescent="0.2">
      <c r="A1342" s="1318" t="s">
        <v>151</v>
      </c>
      <c r="B1342" s="1319" t="s">
        <v>303</v>
      </c>
      <c r="C1342" s="1330" t="s">
        <v>789</v>
      </c>
      <c r="D1342" s="1321"/>
      <c r="E1342" s="1078"/>
      <c r="F1342" s="1079"/>
      <c r="G1342" s="859"/>
      <c r="H1342" s="860"/>
      <c r="I1342" s="861"/>
      <c r="J1342" s="862"/>
      <c r="K1342" s="859"/>
      <c r="L1342" s="863"/>
      <c r="M1342" s="859"/>
      <c r="N1342" s="859"/>
      <c r="O1342" s="752">
        <f t="shared" si="178"/>
        <v>0</v>
      </c>
      <c r="P1342" s="862"/>
      <c r="Q1342" s="860"/>
      <c r="R1342" s="753">
        <f t="shared" si="181"/>
        <v>0</v>
      </c>
      <c r="S1342" s="752">
        <f t="shared" si="182"/>
        <v>0</v>
      </c>
      <c r="T1342" s="754">
        <f t="shared" si="183"/>
        <v>0</v>
      </c>
      <c r="U1342" s="859"/>
      <c r="V1342" s="863"/>
      <c r="W1342" s="859"/>
      <c r="X1342" s="859"/>
      <c r="Y1342" s="755">
        <f t="shared" si="179"/>
        <v>0</v>
      </c>
      <c r="Z1342" s="864"/>
      <c r="AA1342" s="863"/>
      <c r="AB1342" s="756">
        <f t="shared" si="180"/>
        <v>0</v>
      </c>
      <c r="AC1342" s="859"/>
      <c r="AD1342" s="863"/>
      <c r="AE1342" s="859"/>
      <c r="AF1342" s="859"/>
      <c r="AG1342" s="864"/>
      <c r="AH1342" s="865"/>
      <c r="AI1342" s="757">
        <f t="shared" si="184"/>
        <v>0</v>
      </c>
      <c r="AJ1342" s="758">
        <f t="shared" si="185"/>
        <v>0</v>
      </c>
    </row>
    <row r="1343" spans="1:36" x14ac:dyDescent="0.2">
      <c r="A1343" s="1318" t="s">
        <v>151</v>
      </c>
      <c r="B1343" s="1319" t="s">
        <v>303</v>
      </c>
      <c r="C1343" s="1323" t="s">
        <v>1446</v>
      </c>
      <c r="D1343" s="1092"/>
      <c r="E1343" s="1078"/>
      <c r="F1343" s="1079"/>
      <c r="G1343" s="859"/>
      <c r="H1343" s="860"/>
      <c r="I1343" s="861">
        <v>6000000</v>
      </c>
      <c r="J1343" s="862">
        <v>6000000</v>
      </c>
      <c r="K1343" s="859"/>
      <c r="L1343" s="863"/>
      <c r="M1343" s="859"/>
      <c r="N1343" s="859"/>
      <c r="O1343" s="752">
        <f t="shared" si="178"/>
        <v>0</v>
      </c>
      <c r="P1343" s="862"/>
      <c r="Q1343" s="860"/>
      <c r="R1343" s="753">
        <f t="shared" si="181"/>
        <v>0</v>
      </c>
      <c r="S1343" s="752">
        <f t="shared" si="182"/>
        <v>6000000</v>
      </c>
      <c r="T1343" s="754">
        <f t="shared" si="183"/>
        <v>6000000</v>
      </c>
      <c r="U1343" s="859"/>
      <c r="V1343" s="863"/>
      <c r="W1343" s="859"/>
      <c r="X1343" s="859"/>
      <c r="Y1343" s="755">
        <f t="shared" si="179"/>
        <v>0</v>
      </c>
      <c r="Z1343" s="864"/>
      <c r="AA1343" s="863"/>
      <c r="AB1343" s="756">
        <f t="shared" si="180"/>
        <v>0</v>
      </c>
      <c r="AC1343" s="859"/>
      <c r="AD1343" s="863"/>
      <c r="AE1343" s="859"/>
      <c r="AF1343" s="859"/>
      <c r="AG1343" s="864"/>
      <c r="AH1343" s="865"/>
      <c r="AI1343" s="757">
        <f t="shared" si="184"/>
        <v>6000000</v>
      </c>
      <c r="AJ1343" s="758">
        <f t="shared" si="185"/>
        <v>6000000</v>
      </c>
    </row>
    <row r="1344" spans="1:36" x14ac:dyDescent="0.2">
      <c r="A1344" s="1318" t="s">
        <v>151</v>
      </c>
      <c r="B1344" s="1319" t="s">
        <v>281</v>
      </c>
      <c r="C1344" s="1330" t="s">
        <v>109</v>
      </c>
      <c r="D1344" s="1321"/>
      <c r="E1344" s="1078"/>
      <c r="F1344" s="1079"/>
      <c r="G1344" s="859"/>
      <c r="H1344" s="860"/>
      <c r="I1344" s="861"/>
      <c r="J1344" s="862"/>
      <c r="K1344" s="859"/>
      <c r="L1344" s="863"/>
      <c r="M1344" s="859"/>
      <c r="N1344" s="859"/>
      <c r="O1344" s="752">
        <f t="shared" si="178"/>
        <v>0</v>
      </c>
      <c r="P1344" s="862"/>
      <c r="Q1344" s="860"/>
      <c r="R1344" s="753">
        <f t="shared" si="181"/>
        <v>0</v>
      </c>
      <c r="S1344" s="752">
        <f t="shared" si="182"/>
        <v>0</v>
      </c>
      <c r="T1344" s="754">
        <f t="shared" si="183"/>
        <v>0</v>
      </c>
      <c r="U1344" s="859"/>
      <c r="V1344" s="863"/>
      <c r="W1344" s="859"/>
      <c r="X1344" s="859"/>
      <c r="Y1344" s="755">
        <f t="shared" si="179"/>
        <v>0</v>
      </c>
      <c r="Z1344" s="864"/>
      <c r="AA1344" s="863"/>
      <c r="AB1344" s="756">
        <f t="shared" si="180"/>
        <v>0</v>
      </c>
      <c r="AC1344" s="859"/>
      <c r="AD1344" s="863"/>
      <c r="AE1344" s="859"/>
      <c r="AF1344" s="859"/>
      <c r="AG1344" s="864"/>
      <c r="AH1344" s="865"/>
      <c r="AI1344" s="757">
        <f t="shared" si="184"/>
        <v>0</v>
      </c>
      <c r="AJ1344" s="758">
        <f t="shared" si="185"/>
        <v>0</v>
      </c>
    </row>
    <row r="1345" spans="1:36" x14ac:dyDescent="0.2">
      <c r="A1345" s="1318" t="s">
        <v>151</v>
      </c>
      <c r="B1345" s="1319" t="s">
        <v>282</v>
      </c>
      <c r="C1345" s="1091" t="s">
        <v>140</v>
      </c>
      <c r="D1345" s="1092"/>
      <c r="E1345" s="1078"/>
      <c r="F1345" s="1079"/>
      <c r="G1345" s="859"/>
      <c r="H1345" s="860"/>
      <c r="I1345" s="861"/>
      <c r="J1345" s="862"/>
      <c r="K1345" s="859"/>
      <c r="L1345" s="863"/>
      <c r="M1345" s="859"/>
      <c r="N1345" s="859"/>
      <c r="O1345" s="752">
        <f t="shared" si="178"/>
        <v>0</v>
      </c>
      <c r="P1345" s="862"/>
      <c r="Q1345" s="860"/>
      <c r="R1345" s="753">
        <f t="shared" si="181"/>
        <v>0</v>
      </c>
      <c r="S1345" s="752">
        <f t="shared" si="182"/>
        <v>0</v>
      </c>
      <c r="T1345" s="754">
        <f t="shared" si="183"/>
        <v>0</v>
      </c>
      <c r="U1345" s="859"/>
      <c r="V1345" s="863"/>
      <c r="W1345" s="859"/>
      <c r="X1345" s="859"/>
      <c r="Y1345" s="755">
        <f t="shared" si="179"/>
        <v>0</v>
      </c>
      <c r="Z1345" s="864"/>
      <c r="AA1345" s="863"/>
      <c r="AB1345" s="756">
        <f t="shared" si="180"/>
        <v>0</v>
      </c>
      <c r="AC1345" s="859"/>
      <c r="AD1345" s="863"/>
      <c r="AE1345" s="859"/>
      <c r="AF1345" s="859"/>
      <c r="AG1345" s="864"/>
      <c r="AH1345" s="865"/>
      <c r="AI1345" s="757">
        <f t="shared" si="184"/>
        <v>0</v>
      </c>
      <c r="AJ1345" s="758">
        <f t="shared" si="185"/>
        <v>0</v>
      </c>
    </row>
    <row r="1346" spans="1:36" x14ac:dyDescent="0.2">
      <c r="A1346" s="1318" t="s">
        <v>151</v>
      </c>
      <c r="B1346" s="1319" t="s">
        <v>282</v>
      </c>
      <c r="C1346" s="1323" t="s">
        <v>1447</v>
      </c>
      <c r="D1346" s="1092"/>
      <c r="E1346" s="1078"/>
      <c r="F1346" s="1079"/>
      <c r="G1346" s="859"/>
      <c r="H1346" s="860"/>
      <c r="I1346" s="861"/>
      <c r="J1346" s="862"/>
      <c r="K1346" s="859"/>
      <c r="L1346" s="863"/>
      <c r="M1346" s="859"/>
      <c r="N1346" s="859"/>
      <c r="O1346" s="752">
        <f t="shared" si="178"/>
        <v>0</v>
      </c>
      <c r="P1346" s="862"/>
      <c r="Q1346" s="860"/>
      <c r="R1346" s="753">
        <f t="shared" si="181"/>
        <v>0</v>
      </c>
      <c r="S1346" s="752">
        <f t="shared" si="182"/>
        <v>0</v>
      </c>
      <c r="T1346" s="754">
        <f t="shared" si="183"/>
        <v>0</v>
      </c>
      <c r="U1346" s="859">
        <v>8472327</v>
      </c>
      <c r="V1346" s="863">
        <v>11723416</v>
      </c>
      <c r="W1346" s="859"/>
      <c r="X1346" s="859"/>
      <c r="Y1346" s="755">
        <f t="shared" si="179"/>
        <v>0</v>
      </c>
      <c r="Z1346" s="864"/>
      <c r="AA1346" s="863"/>
      <c r="AB1346" s="756">
        <f t="shared" si="180"/>
        <v>0</v>
      </c>
      <c r="AC1346" s="859"/>
      <c r="AD1346" s="863"/>
      <c r="AE1346" s="859"/>
      <c r="AF1346" s="859"/>
      <c r="AG1346" s="864"/>
      <c r="AH1346" s="865"/>
      <c r="AI1346" s="757">
        <f t="shared" si="184"/>
        <v>8472327</v>
      </c>
      <c r="AJ1346" s="758">
        <f t="shared" si="185"/>
        <v>11723416</v>
      </c>
    </row>
    <row r="1347" spans="1:36" x14ac:dyDescent="0.2">
      <c r="A1347" s="1318" t="s">
        <v>151</v>
      </c>
      <c r="B1347" s="1319" t="s">
        <v>282</v>
      </c>
      <c r="C1347" s="1323" t="s">
        <v>1448</v>
      </c>
      <c r="D1347" s="1092"/>
      <c r="E1347" s="1078"/>
      <c r="F1347" s="1079"/>
      <c r="G1347" s="859"/>
      <c r="H1347" s="860"/>
      <c r="I1347" s="861"/>
      <c r="J1347" s="862"/>
      <c r="K1347" s="859"/>
      <c r="L1347" s="863"/>
      <c r="M1347" s="859"/>
      <c r="N1347" s="859"/>
      <c r="O1347" s="752">
        <f t="shared" si="178"/>
        <v>0</v>
      </c>
      <c r="P1347" s="862"/>
      <c r="Q1347" s="860"/>
      <c r="R1347" s="753">
        <f t="shared" si="181"/>
        <v>0</v>
      </c>
      <c r="S1347" s="752">
        <f t="shared" si="182"/>
        <v>0</v>
      </c>
      <c r="T1347" s="754">
        <f t="shared" si="183"/>
        <v>0</v>
      </c>
      <c r="U1347" s="859">
        <v>4386488</v>
      </c>
      <c r="V1347" s="863">
        <v>5359053</v>
      </c>
      <c r="W1347" s="859"/>
      <c r="X1347" s="859"/>
      <c r="Y1347" s="755">
        <f t="shared" si="179"/>
        <v>0</v>
      </c>
      <c r="Z1347" s="864"/>
      <c r="AA1347" s="863"/>
      <c r="AB1347" s="756">
        <f t="shared" si="180"/>
        <v>0</v>
      </c>
      <c r="AC1347" s="859"/>
      <c r="AD1347" s="863"/>
      <c r="AE1347" s="859"/>
      <c r="AF1347" s="859"/>
      <c r="AG1347" s="864"/>
      <c r="AH1347" s="865"/>
      <c r="AI1347" s="757">
        <f t="shared" si="184"/>
        <v>4386488</v>
      </c>
      <c r="AJ1347" s="758">
        <f t="shared" si="185"/>
        <v>5359053</v>
      </c>
    </row>
    <row r="1348" spans="1:36" x14ac:dyDescent="0.2">
      <c r="A1348" s="1318" t="s">
        <v>151</v>
      </c>
      <c r="B1348" s="1319" t="s">
        <v>284</v>
      </c>
      <c r="C1348" s="1091" t="s">
        <v>138</v>
      </c>
      <c r="D1348" s="1092"/>
      <c r="E1348" s="1078"/>
      <c r="F1348" s="1079"/>
      <c r="G1348" s="859"/>
      <c r="H1348" s="860"/>
      <c r="I1348" s="861"/>
      <c r="J1348" s="862"/>
      <c r="K1348" s="859"/>
      <c r="L1348" s="863"/>
      <c r="M1348" s="859"/>
      <c r="N1348" s="859"/>
      <c r="O1348" s="752">
        <f t="shared" si="178"/>
        <v>0</v>
      </c>
      <c r="P1348" s="862"/>
      <c r="Q1348" s="860"/>
      <c r="R1348" s="753">
        <f t="shared" si="181"/>
        <v>0</v>
      </c>
      <c r="S1348" s="752">
        <f t="shared" si="182"/>
        <v>0</v>
      </c>
      <c r="T1348" s="754">
        <f t="shared" si="183"/>
        <v>0</v>
      </c>
      <c r="U1348" s="859"/>
      <c r="V1348" s="863"/>
      <c r="W1348" s="859"/>
      <c r="X1348" s="859"/>
      <c r="Y1348" s="755">
        <f t="shared" si="179"/>
        <v>0</v>
      </c>
      <c r="Z1348" s="864"/>
      <c r="AA1348" s="863"/>
      <c r="AB1348" s="756">
        <f t="shared" si="180"/>
        <v>0</v>
      </c>
      <c r="AC1348" s="859"/>
      <c r="AD1348" s="863"/>
      <c r="AE1348" s="859"/>
      <c r="AF1348" s="859"/>
      <c r="AG1348" s="864"/>
      <c r="AH1348" s="865"/>
      <c r="AI1348" s="757">
        <f t="shared" si="184"/>
        <v>0</v>
      </c>
      <c r="AJ1348" s="758">
        <f t="shared" si="185"/>
        <v>0</v>
      </c>
    </row>
    <row r="1349" spans="1:36" x14ac:dyDescent="0.2">
      <c r="A1349" s="1318" t="s">
        <v>151</v>
      </c>
      <c r="B1349" s="1319" t="s">
        <v>284</v>
      </c>
      <c r="C1349" s="1323" t="s">
        <v>792</v>
      </c>
      <c r="D1349" s="1092"/>
      <c r="E1349" s="1078"/>
      <c r="F1349" s="1079"/>
      <c r="G1349" s="859"/>
      <c r="H1349" s="860"/>
      <c r="I1349" s="861"/>
      <c r="J1349" s="862"/>
      <c r="K1349" s="859"/>
      <c r="L1349" s="863"/>
      <c r="M1349" s="859"/>
      <c r="N1349" s="859"/>
      <c r="O1349" s="752">
        <f t="shared" si="178"/>
        <v>0</v>
      </c>
      <c r="P1349" s="862"/>
      <c r="Q1349" s="860"/>
      <c r="R1349" s="753">
        <f t="shared" si="181"/>
        <v>0</v>
      </c>
      <c r="S1349" s="752">
        <f t="shared" si="182"/>
        <v>0</v>
      </c>
      <c r="T1349" s="754">
        <f t="shared" si="183"/>
        <v>0</v>
      </c>
      <c r="U1349" s="859"/>
      <c r="V1349" s="863"/>
      <c r="W1349" s="859"/>
      <c r="X1349" s="859"/>
      <c r="Y1349" s="755">
        <f t="shared" si="179"/>
        <v>0</v>
      </c>
      <c r="Z1349" s="864"/>
      <c r="AA1349" s="863"/>
      <c r="AB1349" s="756">
        <f t="shared" si="180"/>
        <v>0</v>
      </c>
      <c r="AC1349" s="859"/>
      <c r="AD1349" s="863"/>
      <c r="AE1349" s="859"/>
      <c r="AF1349" s="859"/>
      <c r="AG1349" s="864"/>
      <c r="AH1349" s="865"/>
      <c r="AI1349" s="757">
        <f t="shared" si="184"/>
        <v>0</v>
      </c>
      <c r="AJ1349" s="758">
        <f t="shared" si="185"/>
        <v>0</v>
      </c>
    </row>
    <row r="1350" spans="1:36" x14ac:dyDescent="0.2">
      <c r="A1350" s="1318" t="s">
        <v>151</v>
      </c>
      <c r="B1350" s="1319" t="s">
        <v>285</v>
      </c>
      <c r="C1350" s="1091" t="s">
        <v>646</v>
      </c>
      <c r="D1350" s="1092"/>
      <c r="E1350" s="1078"/>
      <c r="F1350" s="1079"/>
      <c r="G1350" s="859"/>
      <c r="H1350" s="860"/>
      <c r="I1350" s="861"/>
      <c r="J1350" s="862"/>
      <c r="K1350" s="859"/>
      <c r="L1350" s="863"/>
      <c r="M1350" s="859"/>
      <c r="N1350" s="859"/>
      <c r="O1350" s="752">
        <f t="shared" si="178"/>
        <v>0</v>
      </c>
      <c r="P1350" s="862"/>
      <c r="Q1350" s="860"/>
      <c r="R1350" s="753">
        <f t="shared" si="181"/>
        <v>0</v>
      </c>
      <c r="S1350" s="752">
        <f t="shared" si="182"/>
        <v>0</v>
      </c>
      <c r="T1350" s="754">
        <f t="shared" si="183"/>
        <v>0</v>
      </c>
      <c r="U1350" s="859"/>
      <c r="V1350" s="863"/>
      <c r="W1350" s="859"/>
      <c r="X1350" s="859"/>
      <c r="Y1350" s="755">
        <f t="shared" si="179"/>
        <v>0</v>
      </c>
      <c r="Z1350" s="864"/>
      <c r="AA1350" s="863"/>
      <c r="AB1350" s="756">
        <f t="shared" si="180"/>
        <v>0</v>
      </c>
      <c r="AC1350" s="859"/>
      <c r="AD1350" s="863"/>
      <c r="AE1350" s="859"/>
      <c r="AF1350" s="859"/>
      <c r="AG1350" s="864"/>
      <c r="AH1350" s="865"/>
      <c r="AI1350" s="757">
        <f t="shared" si="184"/>
        <v>0</v>
      </c>
      <c r="AJ1350" s="758">
        <f t="shared" si="185"/>
        <v>0</v>
      </c>
    </row>
    <row r="1351" spans="1:36" x14ac:dyDescent="0.2">
      <c r="A1351" s="1318" t="s">
        <v>151</v>
      </c>
      <c r="B1351" s="1319" t="s">
        <v>286</v>
      </c>
      <c r="C1351" s="1330" t="s">
        <v>565</v>
      </c>
      <c r="D1351" s="1321"/>
      <c r="E1351" s="1078"/>
      <c r="F1351" s="1079"/>
      <c r="G1351" s="859"/>
      <c r="H1351" s="860"/>
      <c r="I1351" s="861"/>
      <c r="J1351" s="862"/>
      <c r="K1351" s="859"/>
      <c r="L1351" s="863"/>
      <c r="M1351" s="859"/>
      <c r="N1351" s="859"/>
      <c r="O1351" s="752">
        <f t="shared" si="178"/>
        <v>0</v>
      </c>
      <c r="P1351" s="862"/>
      <c r="Q1351" s="860"/>
      <c r="R1351" s="753">
        <f t="shared" si="181"/>
        <v>0</v>
      </c>
      <c r="S1351" s="752">
        <f t="shared" si="182"/>
        <v>0</v>
      </c>
      <c r="T1351" s="754">
        <f t="shared" si="183"/>
        <v>0</v>
      </c>
      <c r="U1351" s="859">
        <v>38056175</v>
      </c>
      <c r="V1351" s="863">
        <v>41291975</v>
      </c>
      <c r="W1351" s="859"/>
      <c r="X1351" s="859"/>
      <c r="Y1351" s="755">
        <f t="shared" si="179"/>
        <v>0</v>
      </c>
      <c r="Z1351" s="864"/>
      <c r="AA1351" s="863"/>
      <c r="AB1351" s="756">
        <f t="shared" si="180"/>
        <v>0</v>
      </c>
      <c r="AC1351" s="859"/>
      <c r="AD1351" s="863"/>
      <c r="AE1351" s="859"/>
      <c r="AF1351" s="859"/>
      <c r="AG1351" s="864"/>
      <c r="AH1351" s="865"/>
      <c r="AI1351" s="757">
        <f t="shared" si="184"/>
        <v>38056175</v>
      </c>
      <c r="AJ1351" s="758">
        <f t="shared" si="185"/>
        <v>41291975</v>
      </c>
    </row>
    <row r="1352" spans="1:36" x14ac:dyDescent="0.2">
      <c r="A1352" s="1318" t="s">
        <v>151</v>
      </c>
      <c r="B1352" s="1319" t="s">
        <v>287</v>
      </c>
      <c r="C1352" s="1330" t="s">
        <v>570</v>
      </c>
      <c r="D1352" s="1321"/>
      <c r="E1352" s="1078"/>
      <c r="F1352" s="1079"/>
      <c r="G1352" s="859"/>
      <c r="H1352" s="860"/>
      <c r="I1352" s="861"/>
      <c r="J1352" s="862"/>
      <c r="K1352" s="859"/>
      <c r="L1352" s="863"/>
      <c r="M1352" s="859"/>
      <c r="N1352" s="859"/>
      <c r="O1352" s="752">
        <f t="shared" si="178"/>
        <v>0</v>
      </c>
      <c r="P1352" s="862"/>
      <c r="Q1352" s="860"/>
      <c r="R1352" s="753">
        <f t="shared" si="181"/>
        <v>0</v>
      </c>
      <c r="S1352" s="752">
        <f t="shared" si="182"/>
        <v>0</v>
      </c>
      <c r="T1352" s="754">
        <f t="shared" si="183"/>
        <v>0</v>
      </c>
      <c r="U1352" s="859"/>
      <c r="V1352" s="863"/>
      <c r="W1352" s="859"/>
      <c r="X1352" s="859"/>
      <c r="Y1352" s="755">
        <f t="shared" si="179"/>
        <v>0</v>
      </c>
      <c r="Z1352" s="864"/>
      <c r="AA1352" s="863"/>
      <c r="AB1352" s="756">
        <f t="shared" si="180"/>
        <v>0</v>
      </c>
      <c r="AC1352" s="859"/>
      <c r="AD1352" s="863"/>
      <c r="AE1352" s="859"/>
      <c r="AF1352" s="859"/>
      <c r="AG1352" s="864"/>
      <c r="AH1352" s="865"/>
      <c r="AI1352" s="757">
        <f t="shared" si="184"/>
        <v>0</v>
      </c>
      <c r="AJ1352" s="758">
        <f t="shared" si="185"/>
        <v>0</v>
      </c>
    </row>
    <row r="1353" spans="1:36" x14ac:dyDescent="0.2">
      <c r="A1353" s="1318" t="s">
        <v>151</v>
      </c>
      <c r="B1353" s="1319" t="s">
        <v>288</v>
      </c>
      <c r="C1353" s="1091" t="s">
        <v>571</v>
      </c>
      <c r="D1353" s="1092"/>
      <c r="E1353" s="1078"/>
      <c r="F1353" s="1079"/>
      <c r="G1353" s="859"/>
      <c r="H1353" s="860"/>
      <c r="I1353" s="861"/>
      <c r="J1353" s="862"/>
      <c r="K1353" s="859"/>
      <c r="L1353" s="863"/>
      <c r="M1353" s="859"/>
      <c r="N1353" s="859"/>
      <c r="O1353" s="752">
        <f t="shared" si="178"/>
        <v>0</v>
      </c>
      <c r="P1353" s="862"/>
      <c r="Q1353" s="860"/>
      <c r="R1353" s="753">
        <f t="shared" si="181"/>
        <v>0</v>
      </c>
      <c r="S1353" s="752">
        <f t="shared" si="182"/>
        <v>0</v>
      </c>
      <c r="T1353" s="754">
        <f t="shared" si="183"/>
        <v>0</v>
      </c>
      <c r="U1353" s="859"/>
      <c r="V1353" s="863"/>
      <c r="W1353" s="859"/>
      <c r="X1353" s="859"/>
      <c r="Y1353" s="755">
        <f t="shared" si="179"/>
        <v>0</v>
      </c>
      <c r="Z1353" s="864"/>
      <c r="AA1353" s="863"/>
      <c r="AB1353" s="756">
        <f t="shared" si="180"/>
        <v>0</v>
      </c>
      <c r="AC1353" s="859"/>
      <c r="AD1353" s="863"/>
      <c r="AE1353" s="859"/>
      <c r="AF1353" s="859"/>
      <c r="AG1353" s="864"/>
      <c r="AH1353" s="865"/>
      <c r="AI1353" s="757">
        <f t="shared" si="184"/>
        <v>0</v>
      </c>
      <c r="AJ1353" s="758">
        <f t="shared" si="185"/>
        <v>0</v>
      </c>
    </row>
    <row r="1354" spans="1:36" x14ac:dyDescent="0.2">
      <c r="A1354" s="1318" t="s">
        <v>151</v>
      </c>
      <c r="B1354" s="1319" t="s">
        <v>289</v>
      </c>
      <c r="C1354" s="1091" t="s">
        <v>573</v>
      </c>
      <c r="D1354" s="1092"/>
      <c r="E1354" s="1078"/>
      <c r="F1354" s="1079"/>
      <c r="G1354" s="859"/>
      <c r="H1354" s="860"/>
      <c r="I1354" s="861"/>
      <c r="J1354" s="862"/>
      <c r="K1354" s="859"/>
      <c r="L1354" s="863"/>
      <c r="M1354" s="859"/>
      <c r="N1354" s="859"/>
      <c r="O1354" s="752">
        <f t="shared" si="178"/>
        <v>0</v>
      </c>
      <c r="P1354" s="862"/>
      <c r="Q1354" s="860"/>
      <c r="R1354" s="753">
        <f t="shared" si="181"/>
        <v>0</v>
      </c>
      <c r="S1354" s="752">
        <f t="shared" si="182"/>
        <v>0</v>
      </c>
      <c r="T1354" s="754">
        <f t="shared" si="183"/>
        <v>0</v>
      </c>
      <c r="U1354" s="859"/>
      <c r="V1354" s="863"/>
      <c r="W1354" s="859"/>
      <c r="X1354" s="859"/>
      <c r="Y1354" s="755">
        <f t="shared" si="179"/>
        <v>0</v>
      </c>
      <c r="Z1354" s="864"/>
      <c r="AA1354" s="863"/>
      <c r="AB1354" s="756">
        <f t="shared" si="180"/>
        <v>0</v>
      </c>
      <c r="AC1354" s="859"/>
      <c r="AD1354" s="863"/>
      <c r="AE1354" s="859"/>
      <c r="AF1354" s="859"/>
      <c r="AG1354" s="864"/>
      <c r="AH1354" s="865"/>
      <c r="AI1354" s="757">
        <f t="shared" si="184"/>
        <v>0</v>
      </c>
      <c r="AJ1354" s="758">
        <f t="shared" si="185"/>
        <v>0</v>
      </c>
    </row>
    <row r="1355" spans="1:36" x14ac:dyDescent="0.2">
      <c r="A1355" s="1318" t="s">
        <v>151</v>
      </c>
      <c r="B1355" s="1319" t="s">
        <v>290</v>
      </c>
      <c r="C1355" s="1091" t="s">
        <v>137</v>
      </c>
      <c r="D1355" s="1092"/>
      <c r="E1355" s="1078"/>
      <c r="F1355" s="1079"/>
      <c r="G1355" s="859"/>
      <c r="H1355" s="860"/>
      <c r="I1355" s="861"/>
      <c r="J1355" s="862"/>
      <c r="K1355" s="859"/>
      <c r="L1355" s="863"/>
      <c r="M1355" s="859"/>
      <c r="N1355" s="859"/>
      <c r="O1355" s="752">
        <f t="shared" ref="O1355:O1418" si="186">SUM(M1355:N1355)</f>
        <v>0</v>
      </c>
      <c r="P1355" s="862"/>
      <c r="Q1355" s="860"/>
      <c r="R1355" s="753">
        <f t="shared" si="181"/>
        <v>0</v>
      </c>
      <c r="S1355" s="752">
        <f t="shared" si="182"/>
        <v>0</v>
      </c>
      <c r="T1355" s="754">
        <f t="shared" si="183"/>
        <v>0</v>
      </c>
      <c r="U1355" s="859"/>
      <c r="V1355" s="863"/>
      <c r="W1355" s="859"/>
      <c r="X1355" s="859"/>
      <c r="Y1355" s="755">
        <f t="shared" ref="Y1355:Y1418" si="187">SUM(W1355:X1355)</f>
        <v>0</v>
      </c>
      <c r="Z1355" s="864"/>
      <c r="AA1355" s="863"/>
      <c r="AB1355" s="756">
        <f t="shared" ref="AB1355:AB1418" si="188">SUM(Z1355:AA1355)</f>
        <v>0</v>
      </c>
      <c r="AC1355" s="859"/>
      <c r="AD1355" s="863"/>
      <c r="AE1355" s="859"/>
      <c r="AF1355" s="859"/>
      <c r="AG1355" s="864"/>
      <c r="AH1355" s="865"/>
      <c r="AI1355" s="757">
        <f t="shared" si="184"/>
        <v>0</v>
      </c>
      <c r="AJ1355" s="758">
        <f t="shared" si="185"/>
        <v>0</v>
      </c>
    </row>
    <row r="1356" spans="1:36" x14ac:dyDescent="0.2">
      <c r="A1356" s="1318" t="s">
        <v>151</v>
      </c>
      <c r="B1356" s="1319" t="s">
        <v>291</v>
      </c>
      <c r="C1356" s="1330" t="s">
        <v>574</v>
      </c>
      <c r="D1356" s="1321"/>
      <c r="E1356" s="1078"/>
      <c r="F1356" s="1079"/>
      <c r="G1356" s="859"/>
      <c r="H1356" s="860"/>
      <c r="I1356" s="861"/>
      <c r="J1356" s="862"/>
      <c r="K1356" s="859"/>
      <c r="L1356" s="863"/>
      <c r="M1356" s="859"/>
      <c r="N1356" s="859"/>
      <c r="O1356" s="752">
        <f t="shared" si="186"/>
        <v>0</v>
      </c>
      <c r="P1356" s="862"/>
      <c r="Q1356" s="860"/>
      <c r="R1356" s="753">
        <f t="shared" ref="R1356:R1419" si="189">SUM(P1356:Q1356)</f>
        <v>0</v>
      </c>
      <c r="S1356" s="752">
        <f t="shared" ref="S1356:S1419" si="190">SUM(G1356,I1356,K1356,M1356)</f>
        <v>0</v>
      </c>
      <c r="T1356" s="754">
        <f t="shared" ref="T1356:T1419" si="191">SUM(H1356,J1356,L1356,P1356)</f>
        <v>0</v>
      </c>
      <c r="U1356" s="859"/>
      <c r="V1356" s="863"/>
      <c r="W1356" s="859"/>
      <c r="X1356" s="859"/>
      <c r="Y1356" s="755">
        <f t="shared" si="187"/>
        <v>0</v>
      </c>
      <c r="Z1356" s="864"/>
      <c r="AA1356" s="863"/>
      <c r="AB1356" s="756">
        <f t="shared" si="188"/>
        <v>0</v>
      </c>
      <c r="AC1356" s="859"/>
      <c r="AD1356" s="863"/>
      <c r="AE1356" s="859"/>
      <c r="AF1356" s="859"/>
      <c r="AG1356" s="864"/>
      <c r="AH1356" s="865"/>
      <c r="AI1356" s="757">
        <f t="shared" ref="AI1356:AI1419" si="192">SUM(S1356,U1356,W1356,AC1356,AE1356)</f>
        <v>0</v>
      </c>
      <c r="AJ1356" s="758">
        <f t="shared" ref="AJ1356:AJ1419" si="193">SUM(T1356,V1356,Z1356,AD1356,AG1356)</f>
        <v>0</v>
      </c>
    </row>
    <row r="1357" spans="1:36" x14ac:dyDescent="0.2">
      <c r="A1357" s="1318" t="s">
        <v>151</v>
      </c>
      <c r="B1357" s="1319" t="s">
        <v>292</v>
      </c>
      <c r="C1357" s="1331" t="s">
        <v>34</v>
      </c>
      <c r="D1357" s="1332"/>
      <c r="E1357" s="1078"/>
      <c r="F1357" s="1079"/>
      <c r="G1357" s="859"/>
      <c r="H1357" s="860"/>
      <c r="I1357" s="861"/>
      <c r="J1357" s="862"/>
      <c r="K1357" s="859"/>
      <c r="L1357" s="863"/>
      <c r="M1357" s="859"/>
      <c r="N1357" s="859"/>
      <c r="O1357" s="752">
        <f t="shared" si="186"/>
        <v>0</v>
      </c>
      <c r="P1357" s="862"/>
      <c r="Q1357" s="860"/>
      <c r="R1357" s="753">
        <f t="shared" si="189"/>
        <v>0</v>
      </c>
      <c r="S1357" s="752">
        <f t="shared" si="190"/>
        <v>0</v>
      </c>
      <c r="T1357" s="754">
        <f t="shared" si="191"/>
        <v>0</v>
      </c>
      <c r="U1357" s="859"/>
      <c r="V1357" s="863"/>
      <c r="W1357" s="859"/>
      <c r="X1357" s="859"/>
      <c r="Y1357" s="755">
        <f t="shared" si="187"/>
        <v>0</v>
      </c>
      <c r="Z1357" s="864"/>
      <c r="AA1357" s="863"/>
      <c r="AB1357" s="756">
        <f t="shared" si="188"/>
        <v>0</v>
      </c>
      <c r="AC1357" s="859"/>
      <c r="AD1357" s="863"/>
      <c r="AE1357" s="859"/>
      <c r="AF1357" s="859"/>
      <c r="AG1357" s="864"/>
      <c r="AH1357" s="865"/>
      <c r="AI1357" s="757">
        <f t="shared" si="192"/>
        <v>0</v>
      </c>
      <c r="AJ1357" s="758">
        <f t="shared" si="193"/>
        <v>0</v>
      </c>
    </row>
    <row r="1358" spans="1:36" x14ac:dyDescent="0.2">
      <c r="A1358" s="1318" t="s">
        <v>151</v>
      </c>
      <c r="B1358" s="1319" t="s">
        <v>292</v>
      </c>
      <c r="C1358" s="1333" t="s">
        <v>1449</v>
      </c>
      <c r="D1358" s="1092"/>
      <c r="E1358" s="1078"/>
      <c r="F1358" s="1079"/>
      <c r="G1358" s="859"/>
      <c r="H1358" s="860"/>
      <c r="I1358" s="861"/>
      <c r="J1358" s="862"/>
      <c r="K1358" s="859"/>
      <c r="L1358" s="863"/>
      <c r="M1358" s="859"/>
      <c r="N1358" s="859"/>
      <c r="O1358" s="752">
        <f t="shared" si="186"/>
        <v>0</v>
      </c>
      <c r="P1358" s="862"/>
      <c r="Q1358" s="860"/>
      <c r="R1358" s="753">
        <f t="shared" si="189"/>
        <v>0</v>
      </c>
      <c r="S1358" s="752">
        <f t="shared" si="190"/>
        <v>0</v>
      </c>
      <c r="T1358" s="754">
        <f t="shared" si="191"/>
        <v>0</v>
      </c>
      <c r="U1358" s="859"/>
      <c r="V1358" s="863"/>
      <c r="W1358" s="859"/>
      <c r="X1358" s="859"/>
      <c r="Y1358" s="755">
        <f t="shared" si="187"/>
        <v>0</v>
      </c>
      <c r="Z1358" s="864"/>
      <c r="AA1358" s="863"/>
      <c r="AB1358" s="756">
        <f t="shared" si="188"/>
        <v>0</v>
      </c>
      <c r="AC1358" s="859"/>
      <c r="AD1358" s="863"/>
      <c r="AE1358" s="859"/>
      <c r="AF1358" s="859"/>
      <c r="AG1358" s="864"/>
      <c r="AH1358" s="865"/>
      <c r="AI1358" s="757">
        <f t="shared" si="192"/>
        <v>0</v>
      </c>
      <c r="AJ1358" s="758">
        <f t="shared" si="193"/>
        <v>0</v>
      </c>
    </row>
    <row r="1359" spans="1:36" x14ac:dyDescent="0.2">
      <c r="A1359" s="1318" t="s">
        <v>151</v>
      </c>
      <c r="B1359" s="1319" t="s">
        <v>310</v>
      </c>
      <c r="C1359" s="1097" t="s">
        <v>311</v>
      </c>
      <c r="D1359" s="1098"/>
      <c r="E1359" s="1078"/>
      <c r="F1359" s="1079"/>
      <c r="G1359" s="859"/>
      <c r="H1359" s="860"/>
      <c r="I1359" s="861"/>
      <c r="J1359" s="862"/>
      <c r="K1359" s="859"/>
      <c r="L1359" s="863"/>
      <c r="M1359" s="859"/>
      <c r="N1359" s="859"/>
      <c r="O1359" s="752">
        <f t="shared" si="186"/>
        <v>0</v>
      </c>
      <c r="P1359" s="862"/>
      <c r="Q1359" s="860"/>
      <c r="R1359" s="753">
        <f t="shared" si="189"/>
        <v>0</v>
      </c>
      <c r="S1359" s="752">
        <f t="shared" si="190"/>
        <v>0</v>
      </c>
      <c r="T1359" s="754">
        <f t="shared" si="191"/>
        <v>0</v>
      </c>
      <c r="U1359" s="859"/>
      <c r="V1359" s="863"/>
      <c r="W1359" s="859"/>
      <c r="X1359" s="859"/>
      <c r="Y1359" s="755">
        <f t="shared" si="187"/>
        <v>0</v>
      </c>
      <c r="Z1359" s="864"/>
      <c r="AA1359" s="863"/>
      <c r="AB1359" s="756">
        <f t="shared" si="188"/>
        <v>0</v>
      </c>
      <c r="AC1359" s="859"/>
      <c r="AD1359" s="863"/>
      <c r="AE1359" s="859"/>
      <c r="AF1359" s="859"/>
      <c r="AG1359" s="864"/>
      <c r="AH1359" s="865"/>
      <c r="AI1359" s="757">
        <f t="shared" si="192"/>
        <v>0</v>
      </c>
      <c r="AJ1359" s="758">
        <f t="shared" si="193"/>
        <v>0</v>
      </c>
    </row>
    <row r="1360" spans="1:36" x14ac:dyDescent="0.2">
      <c r="A1360" s="1318" t="s">
        <v>151</v>
      </c>
      <c r="B1360" s="1319" t="s">
        <v>251</v>
      </c>
      <c r="C1360" s="1097" t="s">
        <v>249</v>
      </c>
      <c r="D1360" s="1098"/>
      <c r="E1360" s="1078"/>
      <c r="F1360" s="1079"/>
      <c r="G1360" s="859"/>
      <c r="H1360" s="860"/>
      <c r="I1360" s="861"/>
      <c r="J1360" s="862"/>
      <c r="K1360" s="859"/>
      <c r="L1360" s="863"/>
      <c r="M1360" s="859"/>
      <c r="N1360" s="859"/>
      <c r="O1360" s="752">
        <f t="shared" si="186"/>
        <v>0</v>
      </c>
      <c r="P1360" s="862"/>
      <c r="Q1360" s="860"/>
      <c r="R1360" s="753">
        <f t="shared" si="189"/>
        <v>0</v>
      </c>
      <c r="S1360" s="752">
        <f t="shared" si="190"/>
        <v>0</v>
      </c>
      <c r="T1360" s="754">
        <f t="shared" si="191"/>
        <v>0</v>
      </c>
      <c r="U1360" s="859"/>
      <c r="V1360" s="863"/>
      <c r="W1360" s="859"/>
      <c r="X1360" s="859"/>
      <c r="Y1360" s="755">
        <f t="shared" si="187"/>
        <v>0</v>
      </c>
      <c r="Z1360" s="864"/>
      <c r="AA1360" s="863"/>
      <c r="AB1360" s="756">
        <f t="shared" si="188"/>
        <v>0</v>
      </c>
      <c r="AC1360" s="859"/>
      <c r="AD1360" s="863"/>
      <c r="AE1360" s="859"/>
      <c r="AF1360" s="859"/>
      <c r="AG1360" s="864"/>
      <c r="AH1360" s="865"/>
      <c r="AI1360" s="757">
        <f t="shared" si="192"/>
        <v>0</v>
      </c>
      <c r="AJ1360" s="758">
        <f t="shared" si="193"/>
        <v>0</v>
      </c>
    </row>
    <row r="1361" spans="1:36" x14ac:dyDescent="0.2">
      <c r="A1361" s="1318" t="s">
        <v>151</v>
      </c>
      <c r="B1361" s="1096" t="s">
        <v>209</v>
      </c>
      <c r="C1361" s="1097" t="s">
        <v>576</v>
      </c>
      <c r="D1361" s="1098"/>
      <c r="E1361" s="1078"/>
      <c r="F1361" s="1079"/>
      <c r="G1361" s="859"/>
      <c r="H1361" s="860"/>
      <c r="I1361" s="861"/>
      <c r="J1361" s="862"/>
      <c r="K1361" s="859"/>
      <c r="L1361" s="863"/>
      <c r="M1361" s="859"/>
      <c r="N1361" s="859"/>
      <c r="O1361" s="752">
        <f t="shared" si="186"/>
        <v>0</v>
      </c>
      <c r="P1361" s="862"/>
      <c r="Q1361" s="860"/>
      <c r="R1361" s="753">
        <f t="shared" si="189"/>
        <v>0</v>
      </c>
      <c r="S1361" s="752">
        <f t="shared" si="190"/>
        <v>0</v>
      </c>
      <c r="T1361" s="754">
        <f t="shared" si="191"/>
        <v>0</v>
      </c>
      <c r="U1361" s="859"/>
      <c r="V1361" s="863"/>
      <c r="W1361" s="859"/>
      <c r="X1361" s="859"/>
      <c r="Y1361" s="755">
        <f t="shared" si="187"/>
        <v>0</v>
      </c>
      <c r="Z1361" s="864"/>
      <c r="AA1361" s="863"/>
      <c r="AB1361" s="756">
        <f t="shared" si="188"/>
        <v>0</v>
      </c>
      <c r="AC1361" s="859"/>
      <c r="AD1361" s="863"/>
      <c r="AE1361" s="859"/>
      <c r="AF1361" s="859"/>
      <c r="AG1361" s="864"/>
      <c r="AH1361" s="865"/>
      <c r="AI1361" s="757">
        <f t="shared" si="192"/>
        <v>0</v>
      </c>
      <c r="AJ1361" s="758">
        <f t="shared" si="193"/>
        <v>0</v>
      </c>
    </row>
    <row r="1362" spans="1:36" x14ac:dyDescent="0.2">
      <c r="A1362" s="1318" t="s">
        <v>151</v>
      </c>
      <c r="B1362" s="1096" t="s">
        <v>210</v>
      </c>
      <c r="C1362" s="1097" t="s">
        <v>311</v>
      </c>
      <c r="D1362" s="1098"/>
      <c r="E1362" s="1078"/>
      <c r="F1362" s="1079"/>
      <c r="G1362" s="859"/>
      <c r="H1362" s="860"/>
      <c r="I1362" s="861"/>
      <c r="J1362" s="862"/>
      <c r="K1362" s="859"/>
      <c r="L1362" s="863"/>
      <c r="M1362" s="859"/>
      <c r="N1362" s="859"/>
      <c r="O1362" s="752">
        <f t="shared" si="186"/>
        <v>0</v>
      </c>
      <c r="P1362" s="862"/>
      <c r="Q1362" s="860"/>
      <c r="R1362" s="753">
        <f t="shared" si="189"/>
        <v>0</v>
      </c>
      <c r="S1362" s="752">
        <f t="shared" si="190"/>
        <v>0</v>
      </c>
      <c r="T1362" s="754">
        <f t="shared" si="191"/>
        <v>0</v>
      </c>
      <c r="U1362" s="859">
        <v>1025900</v>
      </c>
      <c r="V1362" s="863">
        <v>1258575</v>
      </c>
      <c r="W1362" s="859"/>
      <c r="X1362" s="859"/>
      <c r="Y1362" s="755">
        <f t="shared" si="187"/>
        <v>0</v>
      </c>
      <c r="Z1362" s="864"/>
      <c r="AA1362" s="863"/>
      <c r="AB1362" s="756">
        <f t="shared" si="188"/>
        <v>0</v>
      </c>
      <c r="AC1362" s="859"/>
      <c r="AD1362" s="863"/>
      <c r="AE1362" s="859"/>
      <c r="AF1362" s="859"/>
      <c r="AG1362" s="864"/>
      <c r="AH1362" s="865"/>
      <c r="AI1362" s="757">
        <f t="shared" si="192"/>
        <v>1025900</v>
      </c>
      <c r="AJ1362" s="758">
        <f t="shared" si="193"/>
        <v>1258575</v>
      </c>
    </row>
    <row r="1363" spans="1:36" x14ac:dyDescent="0.2">
      <c r="A1363" s="1318" t="s">
        <v>151</v>
      </c>
      <c r="B1363" s="1319" t="s">
        <v>251</v>
      </c>
      <c r="C1363" s="1097" t="s">
        <v>249</v>
      </c>
      <c r="D1363" s="1098"/>
      <c r="E1363" s="1078"/>
      <c r="F1363" s="1079"/>
      <c r="G1363" s="859"/>
      <c r="H1363" s="860"/>
      <c r="I1363" s="861"/>
      <c r="J1363" s="862"/>
      <c r="K1363" s="859"/>
      <c r="L1363" s="863"/>
      <c r="M1363" s="859"/>
      <c r="N1363" s="859"/>
      <c r="O1363" s="752">
        <f t="shared" si="186"/>
        <v>0</v>
      </c>
      <c r="P1363" s="862"/>
      <c r="Q1363" s="860"/>
      <c r="R1363" s="753">
        <f t="shared" si="189"/>
        <v>0</v>
      </c>
      <c r="S1363" s="752">
        <f t="shared" si="190"/>
        <v>0</v>
      </c>
      <c r="T1363" s="754">
        <f t="shared" si="191"/>
        <v>0</v>
      </c>
      <c r="U1363" s="859"/>
      <c r="V1363" s="863"/>
      <c r="W1363" s="859"/>
      <c r="X1363" s="859"/>
      <c r="Y1363" s="755">
        <f t="shared" si="187"/>
        <v>0</v>
      </c>
      <c r="Z1363" s="864"/>
      <c r="AA1363" s="863"/>
      <c r="AB1363" s="756">
        <f t="shared" si="188"/>
        <v>0</v>
      </c>
      <c r="AC1363" s="859"/>
      <c r="AD1363" s="863"/>
      <c r="AE1363" s="859"/>
      <c r="AF1363" s="859"/>
      <c r="AG1363" s="864"/>
      <c r="AH1363" s="865"/>
      <c r="AI1363" s="757">
        <f t="shared" si="192"/>
        <v>0</v>
      </c>
      <c r="AJ1363" s="758">
        <f t="shared" si="193"/>
        <v>0</v>
      </c>
    </row>
    <row r="1364" spans="1:36" x14ac:dyDescent="0.2">
      <c r="A1364" s="1318" t="s">
        <v>151</v>
      </c>
      <c r="B1364" s="1096" t="s">
        <v>205</v>
      </c>
      <c r="C1364" s="1097" t="s">
        <v>577</v>
      </c>
      <c r="D1364" s="1098"/>
      <c r="E1364" s="1078"/>
      <c r="F1364" s="1079"/>
      <c r="G1364" s="859"/>
      <c r="H1364" s="860"/>
      <c r="I1364" s="861"/>
      <c r="J1364" s="862"/>
      <c r="K1364" s="859"/>
      <c r="L1364" s="863"/>
      <c r="M1364" s="859"/>
      <c r="N1364" s="859"/>
      <c r="O1364" s="752">
        <f t="shared" si="186"/>
        <v>0</v>
      </c>
      <c r="P1364" s="862"/>
      <c r="Q1364" s="860"/>
      <c r="R1364" s="753">
        <f t="shared" si="189"/>
        <v>0</v>
      </c>
      <c r="S1364" s="752">
        <f t="shared" si="190"/>
        <v>0</v>
      </c>
      <c r="T1364" s="754">
        <f t="shared" si="191"/>
        <v>0</v>
      </c>
      <c r="U1364" s="859"/>
      <c r="V1364" s="863"/>
      <c r="W1364" s="859"/>
      <c r="X1364" s="859"/>
      <c r="Y1364" s="755">
        <f t="shared" si="187"/>
        <v>0</v>
      </c>
      <c r="Z1364" s="864"/>
      <c r="AA1364" s="863"/>
      <c r="AB1364" s="756">
        <f t="shared" si="188"/>
        <v>0</v>
      </c>
      <c r="AC1364" s="859"/>
      <c r="AD1364" s="863"/>
      <c r="AE1364" s="859"/>
      <c r="AF1364" s="859"/>
      <c r="AG1364" s="864"/>
      <c r="AH1364" s="865"/>
      <c r="AI1364" s="757">
        <f t="shared" si="192"/>
        <v>0</v>
      </c>
      <c r="AJ1364" s="758">
        <f t="shared" si="193"/>
        <v>0</v>
      </c>
    </row>
    <row r="1365" spans="1:36" x14ac:dyDescent="0.2">
      <c r="A1365" s="1318" t="s">
        <v>151</v>
      </c>
      <c r="B1365" s="1096" t="s">
        <v>218</v>
      </c>
      <c r="C1365" s="1097" t="s">
        <v>311</v>
      </c>
      <c r="D1365" s="1098"/>
      <c r="E1365" s="1078"/>
      <c r="F1365" s="1079"/>
      <c r="G1365" s="859"/>
      <c r="H1365" s="860"/>
      <c r="I1365" s="861"/>
      <c r="J1365" s="862"/>
      <c r="K1365" s="859"/>
      <c r="L1365" s="863"/>
      <c r="M1365" s="859"/>
      <c r="N1365" s="859"/>
      <c r="O1365" s="752">
        <f t="shared" si="186"/>
        <v>0</v>
      </c>
      <c r="P1365" s="862"/>
      <c r="Q1365" s="860"/>
      <c r="R1365" s="753">
        <f t="shared" si="189"/>
        <v>0</v>
      </c>
      <c r="S1365" s="752">
        <f t="shared" si="190"/>
        <v>0</v>
      </c>
      <c r="T1365" s="754">
        <f t="shared" si="191"/>
        <v>0</v>
      </c>
      <c r="U1365" s="859">
        <v>30170</v>
      </c>
      <c r="V1365" s="863">
        <v>78800</v>
      </c>
      <c r="W1365" s="859"/>
      <c r="X1365" s="859"/>
      <c r="Y1365" s="755">
        <f t="shared" si="187"/>
        <v>0</v>
      </c>
      <c r="Z1365" s="864"/>
      <c r="AA1365" s="863"/>
      <c r="AB1365" s="756">
        <f t="shared" si="188"/>
        <v>0</v>
      </c>
      <c r="AC1365" s="859"/>
      <c r="AD1365" s="863"/>
      <c r="AE1365" s="859"/>
      <c r="AF1365" s="859"/>
      <c r="AG1365" s="864"/>
      <c r="AH1365" s="865"/>
      <c r="AI1365" s="757">
        <f t="shared" si="192"/>
        <v>30170</v>
      </c>
      <c r="AJ1365" s="758">
        <f t="shared" si="193"/>
        <v>78800</v>
      </c>
    </row>
    <row r="1366" spans="1:36" x14ac:dyDescent="0.2">
      <c r="A1366" s="1318" t="s">
        <v>151</v>
      </c>
      <c r="B1366" s="1319" t="s">
        <v>251</v>
      </c>
      <c r="C1366" s="1097" t="s">
        <v>249</v>
      </c>
      <c r="D1366" s="1098"/>
      <c r="E1366" s="1078"/>
      <c r="F1366" s="1079"/>
      <c r="G1366" s="859"/>
      <c r="H1366" s="860"/>
      <c r="I1366" s="861"/>
      <c r="J1366" s="862"/>
      <c r="K1366" s="859"/>
      <c r="L1366" s="863"/>
      <c r="M1366" s="859"/>
      <c r="N1366" s="859"/>
      <c r="O1366" s="752">
        <f t="shared" si="186"/>
        <v>0</v>
      </c>
      <c r="P1366" s="862"/>
      <c r="Q1366" s="860"/>
      <c r="R1366" s="753">
        <f t="shared" si="189"/>
        <v>0</v>
      </c>
      <c r="S1366" s="752">
        <f t="shared" si="190"/>
        <v>0</v>
      </c>
      <c r="T1366" s="754">
        <f t="shared" si="191"/>
        <v>0</v>
      </c>
      <c r="U1366" s="859"/>
      <c r="V1366" s="863"/>
      <c r="W1366" s="859"/>
      <c r="X1366" s="859"/>
      <c r="Y1366" s="755">
        <f t="shared" si="187"/>
        <v>0</v>
      </c>
      <c r="Z1366" s="864"/>
      <c r="AA1366" s="863"/>
      <c r="AB1366" s="756">
        <f t="shared" si="188"/>
        <v>0</v>
      </c>
      <c r="AC1366" s="859"/>
      <c r="AD1366" s="863"/>
      <c r="AE1366" s="859"/>
      <c r="AF1366" s="859"/>
      <c r="AG1366" s="864"/>
      <c r="AH1366" s="865"/>
      <c r="AI1366" s="757">
        <f t="shared" si="192"/>
        <v>0</v>
      </c>
      <c r="AJ1366" s="758">
        <f t="shared" si="193"/>
        <v>0</v>
      </c>
    </row>
    <row r="1367" spans="1:36" x14ac:dyDescent="0.2">
      <c r="A1367" s="1318" t="s">
        <v>151</v>
      </c>
      <c r="B1367" s="1319" t="s">
        <v>292</v>
      </c>
      <c r="C1367" s="1333" t="s">
        <v>1450</v>
      </c>
      <c r="D1367" s="1092"/>
      <c r="E1367" s="1078"/>
      <c r="F1367" s="1079"/>
      <c r="G1367" s="859"/>
      <c r="H1367" s="860"/>
      <c r="I1367" s="861"/>
      <c r="J1367" s="862"/>
      <c r="K1367" s="859"/>
      <c r="L1367" s="863"/>
      <c r="M1367" s="859"/>
      <c r="N1367" s="859"/>
      <c r="O1367" s="752">
        <f t="shared" si="186"/>
        <v>0</v>
      </c>
      <c r="P1367" s="862"/>
      <c r="Q1367" s="860"/>
      <c r="R1367" s="753">
        <f t="shared" si="189"/>
        <v>0</v>
      </c>
      <c r="S1367" s="752">
        <f t="shared" si="190"/>
        <v>0</v>
      </c>
      <c r="T1367" s="754">
        <f t="shared" si="191"/>
        <v>0</v>
      </c>
      <c r="U1367" s="859"/>
      <c r="V1367" s="863"/>
      <c r="W1367" s="859"/>
      <c r="X1367" s="859"/>
      <c r="Y1367" s="755">
        <f t="shared" si="187"/>
        <v>0</v>
      </c>
      <c r="Z1367" s="864"/>
      <c r="AA1367" s="863"/>
      <c r="AB1367" s="756">
        <f t="shared" si="188"/>
        <v>0</v>
      </c>
      <c r="AC1367" s="859"/>
      <c r="AD1367" s="863"/>
      <c r="AE1367" s="859"/>
      <c r="AF1367" s="859"/>
      <c r="AG1367" s="864"/>
      <c r="AH1367" s="865"/>
      <c r="AI1367" s="757">
        <f t="shared" si="192"/>
        <v>0</v>
      </c>
      <c r="AJ1367" s="758">
        <f t="shared" si="193"/>
        <v>0</v>
      </c>
    </row>
    <row r="1368" spans="1:36" x14ac:dyDescent="0.2">
      <c r="A1368" s="1318" t="s">
        <v>151</v>
      </c>
      <c r="B1368" s="1096" t="s">
        <v>209</v>
      </c>
      <c r="C1368" s="1097" t="s">
        <v>576</v>
      </c>
      <c r="D1368" s="1098"/>
      <c r="E1368" s="1078"/>
      <c r="F1368" s="1079"/>
      <c r="G1368" s="859"/>
      <c r="H1368" s="860"/>
      <c r="I1368" s="861"/>
      <c r="J1368" s="862"/>
      <c r="K1368" s="859"/>
      <c r="L1368" s="863"/>
      <c r="M1368" s="859"/>
      <c r="N1368" s="859"/>
      <c r="O1368" s="752">
        <f t="shared" si="186"/>
        <v>0</v>
      </c>
      <c r="P1368" s="862"/>
      <c r="Q1368" s="860"/>
      <c r="R1368" s="753">
        <f t="shared" si="189"/>
        <v>0</v>
      </c>
      <c r="S1368" s="752">
        <f t="shared" si="190"/>
        <v>0</v>
      </c>
      <c r="T1368" s="754">
        <f t="shared" si="191"/>
        <v>0</v>
      </c>
      <c r="U1368" s="859"/>
      <c r="V1368" s="863"/>
      <c r="W1368" s="859"/>
      <c r="X1368" s="859"/>
      <c r="Y1368" s="755">
        <f t="shared" si="187"/>
        <v>0</v>
      </c>
      <c r="Z1368" s="864"/>
      <c r="AA1368" s="863"/>
      <c r="AB1368" s="756">
        <f t="shared" si="188"/>
        <v>0</v>
      </c>
      <c r="AC1368" s="859"/>
      <c r="AD1368" s="863"/>
      <c r="AE1368" s="859"/>
      <c r="AF1368" s="859"/>
      <c r="AG1368" s="864"/>
      <c r="AH1368" s="865"/>
      <c r="AI1368" s="757">
        <f t="shared" si="192"/>
        <v>0</v>
      </c>
      <c r="AJ1368" s="758">
        <f t="shared" si="193"/>
        <v>0</v>
      </c>
    </row>
    <row r="1369" spans="1:36" x14ac:dyDescent="0.2">
      <c r="A1369" s="1318" t="s">
        <v>151</v>
      </c>
      <c r="B1369" s="1096" t="s">
        <v>210</v>
      </c>
      <c r="C1369" s="1097" t="s">
        <v>311</v>
      </c>
      <c r="D1369" s="1098"/>
      <c r="E1369" s="1078"/>
      <c r="F1369" s="1079"/>
      <c r="G1369" s="859"/>
      <c r="H1369" s="860"/>
      <c r="I1369" s="861"/>
      <c r="J1369" s="862"/>
      <c r="K1369" s="859"/>
      <c r="L1369" s="863"/>
      <c r="M1369" s="859"/>
      <c r="N1369" s="859"/>
      <c r="O1369" s="752">
        <f t="shared" si="186"/>
        <v>0</v>
      </c>
      <c r="P1369" s="862"/>
      <c r="Q1369" s="860"/>
      <c r="R1369" s="753">
        <f t="shared" si="189"/>
        <v>0</v>
      </c>
      <c r="S1369" s="752">
        <f t="shared" si="190"/>
        <v>0</v>
      </c>
      <c r="T1369" s="754">
        <f t="shared" si="191"/>
        <v>0</v>
      </c>
      <c r="U1369" s="859">
        <v>69238525</v>
      </c>
      <c r="V1369" s="863">
        <v>68657528</v>
      </c>
      <c r="W1369" s="859"/>
      <c r="X1369" s="859"/>
      <c r="Y1369" s="755">
        <f t="shared" si="187"/>
        <v>0</v>
      </c>
      <c r="Z1369" s="864"/>
      <c r="AA1369" s="863"/>
      <c r="AB1369" s="756">
        <f t="shared" si="188"/>
        <v>0</v>
      </c>
      <c r="AC1369" s="859"/>
      <c r="AD1369" s="863"/>
      <c r="AE1369" s="859"/>
      <c r="AF1369" s="859"/>
      <c r="AG1369" s="864"/>
      <c r="AH1369" s="865"/>
      <c r="AI1369" s="757">
        <f t="shared" si="192"/>
        <v>69238525</v>
      </c>
      <c r="AJ1369" s="758">
        <f t="shared" si="193"/>
        <v>68657528</v>
      </c>
    </row>
    <row r="1370" spans="1:36" x14ac:dyDescent="0.2">
      <c r="A1370" s="1318" t="s">
        <v>151</v>
      </c>
      <c r="B1370" s="1319" t="s">
        <v>251</v>
      </c>
      <c r="C1370" s="1097" t="s">
        <v>249</v>
      </c>
      <c r="D1370" s="1098"/>
      <c r="E1370" s="1078"/>
      <c r="F1370" s="1079"/>
      <c r="G1370" s="859"/>
      <c r="H1370" s="860"/>
      <c r="I1370" s="861"/>
      <c r="J1370" s="862"/>
      <c r="K1370" s="859"/>
      <c r="L1370" s="863"/>
      <c r="M1370" s="859"/>
      <c r="N1370" s="859"/>
      <c r="O1370" s="752">
        <f t="shared" si="186"/>
        <v>0</v>
      </c>
      <c r="P1370" s="862"/>
      <c r="Q1370" s="860"/>
      <c r="R1370" s="753">
        <f t="shared" si="189"/>
        <v>0</v>
      </c>
      <c r="S1370" s="752">
        <f t="shared" si="190"/>
        <v>0</v>
      </c>
      <c r="T1370" s="754">
        <f t="shared" si="191"/>
        <v>0</v>
      </c>
      <c r="U1370" s="859"/>
      <c r="V1370" s="863"/>
      <c r="W1370" s="859"/>
      <c r="X1370" s="859"/>
      <c r="Y1370" s="755">
        <f t="shared" si="187"/>
        <v>0</v>
      </c>
      <c r="Z1370" s="864"/>
      <c r="AA1370" s="863"/>
      <c r="AB1370" s="756">
        <f t="shared" si="188"/>
        <v>0</v>
      </c>
      <c r="AC1370" s="859"/>
      <c r="AD1370" s="863"/>
      <c r="AE1370" s="859"/>
      <c r="AF1370" s="859"/>
      <c r="AG1370" s="864"/>
      <c r="AH1370" s="865"/>
      <c r="AI1370" s="757">
        <f t="shared" si="192"/>
        <v>0</v>
      </c>
      <c r="AJ1370" s="758">
        <f t="shared" si="193"/>
        <v>0</v>
      </c>
    </row>
    <row r="1371" spans="1:36" x14ac:dyDescent="0.2">
      <c r="A1371" s="1318" t="s">
        <v>151</v>
      </c>
      <c r="B1371" s="1096" t="s">
        <v>205</v>
      </c>
      <c r="C1371" s="1097" t="s">
        <v>577</v>
      </c>
      <c r="D1371" s="1098"/>
      <c r="E1371" s="1078"/>
      <c r="F1371" s="1079"/>
      <c r="G1371" s="859"/>
      <c r="H1371" s="860"/>
      <c r="I1371" s="861"/>
      <c r="J1371" s="862"/>
      <c r="K1371" s="859"/>
      <c r="L1371" s="863"/>
      <c r="M1371" s="859"/>
      <c r="N1371" s="859"/>
      <c r="O1371" s="752">
        <f t="shared" si="186"/>
        <v>0</v>
      </c>
      <c r="P1371" s="862"/>
      <c r="Q1371" s="860"/>
      <c r="R1371" s="753">
        <f t="shared" si="189"/>
        <v>0</v>
      </c>
      <c r="S1371" s="752">
        <f t="shared" si="190"/>
        <v>0</v>
      </c>
      <c r="T1371" s="754">
        <f t="shared" si="191"/>
        <v>0</v>
      </c>
      <c r="U1371" s="859"/>
      <c r="V1371" s="863"/>
      <c r="W1371" s="859"/>
      <c r="X1371" s="859"/>
      <c r="Y1371" s="755">
        <f t="shared" si="187"/>
        <v>0</v>
      </c>
      <c r="Z1371" s="864"/>
      <c r="AA1371" s="863"/>
      <c r="AB1371" s="756">
        <f t="shared" si="188"/>
        <v>0</v>
      </c>
      <c r="AC1371" s="859"/>
      <c r="AD1371" s="863"/>
      <c r="AE1371" s="859"/>
      <c r="AF1371" s="859"/>
      <c r="AG1371" s="864"/>
      <c r="AH1371" s="865"/>
      <c r="AI1371" s="757">
        <f t="shared" si="192"/>
        <v>0</v>
      </c>
      <c r="AJ1371" s="758">
        <f t="shared" si="193"/>
        <v>0</v>
      </c>
    </row>
    <row r="1372" spans="1:36" x14ac:dyDescent="0.2">
      <c r="A1372" s="1318" t="s">
        <v>151</v>
      </c>
      <c r="B1372" s="1096" t="s">
        <v>218</v>
      </c>
      <c r="C1372" s="1097" t="s">
        <v>311</v>
      </c>
      <c r="D1372" s="1098"/>
      <c r="E1372" s="1078"/>
      <c r="F1372" s="1079"/>
      <c r="G1372" s="859"/>
      <c r="H1372" s="860"/>
      <c r="I1372" s="861"/>
      <c r="J1372" s="862"/>
      <c r="K1372" s="859"/>
      <c r="L1372" s="863"/>
      <c r="M1372" s="859"/>
      <c r="N1372" s="859"/>
      <c r="O1372" s="752">
        <f t="shared" si="186"/>
        <v>0</v>
      </c>
      <c r="P1372" s="862"/>
      <c r="Q1372" s="860"/>
      <c r="R1372" s="753">
        <f t="shared" si="189"/>
        <v>0</v>
      </c>
      <c r="S1372" s="752">
        <f t="shared" si="190"/>
        <v>0</v>
      </c>
      <c r="T1372" s="754">
        <f t="shared" si="191"/>
        <v>0</v>
      </c>
      <c r="U1372" s="859">
        <v>15465575</v>
      </c>
      <c r="V1372" s="863">
        <v>15329700</v>
      </c>
      <c r="W1372" s="859"/>
      <c r="X1372" s="859"/>
      <c r="Y1372" s="755">
        <f t="shared" si="187"/>
        <v>0</v>
      </c>
      <c r="Z1372" s="864"/>
      <c r="AA1372" s="863"/>
      <c r="AB1372" s="756">
        <f t="shared" si="188"/>
        <v>0</v>
      </c>
      <c r="AC1372" s="859"/>
      <c r="AD1372" s="863"/>
      <c r="AE1372" s="859"/>
      <c r="AF1372" s="859"/>
      <c r="AG1372" s="864"/>
      <c r="AH1372" s="865"/>
      <c r="AI1372" s="757">
        <f t="shared" si="192"/>
        <v>15465575</v>
      </c>
      <c r="AJ1372" s="758">
        <f t="shared" si="193"/>
        <v>15329700</v>
      </c>
    </row>
    <row r="1373" spans="1:36" x14ac:dyDescent="0.2">
      <c r="A1373" s="1318" t="s">
        <v>151</v>
      </c>
      <c r="B1373" s="1319" t="s">
        <v>251</v>
      </c>
      <c r="C1373" s="1097" t="s">
        <v>249</v>
      </c>
      <c r="D1373" s="1098"/>
      <c r="E1373" s="1078"/>
      <c r="F1373" s="1079"/>
      <c r="G1373" s="859"/>
      <c r="H1373" s="860"/>
      <c r="I1373" s="861"/>
      <c r="J1373" s="862"/>
      <c r="K1373" s="859"/>
      <c r="L1373" s="863"/>
      <c r="M1373" s="859"/>
      <c r="N1373" s="859"/>
      <c r="O1373" s="752">
        <f t="shared" si="186"/>
        <v>0</v>
      </c>
      <c r="P1373" s="862"/>
      <c r="Q1373" s="860"/>
      <c r="R1373" s="753">
        <f t="shared" si="189"/>
        <v>0</v>
      </c>
      <c r="S1373" s="752">
        <f t="shared" si="190"/>
        <v>0</v>
      </c>
      <c r="T1373" s="754">
        <f t="shared" si="191"/>
        <v>0</v>
      </c>
      <c r="U1373" s="859"/>
      <c r="V1373" s="863"/>
      <c r="W1373" s="859"/>
      <c r="X1373" s="859"/>
      <c r="Y1373" s="755">
        <f t="shared" si="187"/>
        <v>0</v>
      </c>
      <c r="Z1373" s="864"/>
      <c r="AA1373" s="863"/>
      <c r="AB1373" s="756">
        <f t="shared" si="188"/>
        <v>0</v>
      </c>
      <c r="AC1373" s="859"/>
      <c r="AD1373" s="863"/>
      <c r="AE1373" s="859"/>
      <c r="AF1373" s="859"/>
      <c r="AG1373" s="864"/>
      <c r="AH1373" s="865"/>
      <c r="AI1373" s="757">
        <f t="shared" si="192"/>
        <v>0</v>
      </c>
      <c r="AJ1373" s="758">
        <f t="shared" si="193"/>
        <v>0</v>
      </c>
    </row>
    <row r="1374" spans="1:36" x14ac:dyDescent="0.2">
      <c r="A1374" s="1318" t="s">
        <v>151</v>
      </c>
      <c r="B1374" s="1319" t="s">
        <v>292</v>
      </c>
      <c r="C1374" s="1334" t="s">
        <v>1451</v>
      </c>
      <c r="D1374" s="1335"/>
      <c r="E1374" s="1078"/>
      <c r="F1374" s="1079"/>
      <c r="G1374" s="859"/>
      <c r="H1374" s="860"/>
      <c r="I1374" s="861"/>
      <c r="J1374" s="862"/>
      <c r="K1374" s="859"/>
      <c r="L1374" s="863"/>
      <c r="M1374" s="859"/>
      <c r="N1374" s="859"/>
      <c r="O1374" s="752">
        <f t="shared" si="186"/>
        <v>0</v>
      </c>
      <c r="P1374" s="862"/>
      <c r="Q1374" s="860"/>
      <c r="R1374" s="753">
        <f t="shared" si="189"/>
        <v>0</v>
      </c>
      <c r="S1374" s="752">
        <f t="shared" si="190"/>
        <v>0</v>
      </c>
      <c r="T1374" s="754">
        <f t="shared" si="191"/>
        <v>0</v>
      </c>
      <c r="U1374" s="859"/>
      <c r="V1374" s="863"/>
      <c r="W1374" s="859"/>
      <c r="X1374" s="859"/>
      <c r="Y1374" s="755">
        <f t="shared" si="187"/>
        <v>0</v>
      </c>
      <c r="Z1374" s="864"/>
      <c r="AA1374" s="863"/>
      <c r="AB1374" s="756">
        <f t="shared" si="188"/>
        <v>0</v>
      </c>
      <c r="AC1374" s="859"/>
      <c r="AD1374" s="863"/>
      <c r="AE1374" s="859"/>
      <c r="AF1374" s="859"/>
      <c r="AG1374" s="864"/>
      <c r="AH1374" s="865"/>
      <c r="AI1374" s="757">
        <f t="shared" si="192"/>
        <v>0</v>
      </c>
      <c r="AJ1374" s="758">
        <f t="shared" si="193"/>
        <v>0</v>
      </c>
    </row>
    <row r="1375" spans="1:36" x14ac:dyDescent="0.2">
      <c r="A1375" s="1318" t="s">
        <v>151</v>
      </c>
      <c r="B1375" s="1319" t="s">
        <v>310</v>
      </c>
      <c r="C1375" s="1097" t="s">
        <v>311</v>
      </c>
      <c r="D1375" s="1098"/>
      <c r="E1375" s="1078"/>
      <c r="F1375" s="1079"/>
      <c r="G1375" s="859"/>
      <c r="H1375" s="860"/>
      <c r="I1375" s="861"/>
      <c r="J1375" s="862"/>
      <c r="K1375" s="859"/>
      <c r="L1375" s="863"/>
      <c r="M1375" s="859"/>
      <c r="N1375" s="859"/>
      <c r="O1375" s="752">
        <f t="shared" si="186"/>
        <v>0</v>
      </c>
      <c r="P1375" s="862"/>
      <c r="Q1375" s="860"/>
      <c r="R1375" s="753">
        <f t="shared" si="189"/>
        <v>0</v>
      </c>
      <c r="S1375" s="752">
        <f t="shared" si="190"/>
        <v>0</v>
      </c>
      <c r="T1375" s="754">
        <f t="shared" si="191"/>
        <v>0</v>
      </c>
      <c r="U1375" s="859"/>
      <c r="V1375" s="863"/>
      <c r="W1375" s="859"/>
      <c r="X1375" s="859"/>
      <c r="Y1375" s="755">
        <f t="shared" si="187"/>
        <v>0</v>
      </c>
      <c r="Z1375" s="864"/>
      <c r="AA1375" s="863"/>
      <c r="AB1375" s="756">
        <f t="shared" si="188"/>
        <v>0</v>
      </c>
      <c r="AC1375" s="859"/>
      <c r="AD1375" s="863"/>
      <c r="AE1375" s="859"/>
      <c r="AF1375" s="859"/>
      <c r="AG1375" s="864"/>
      <c r="AH1375" s="865"/>
      <c r="AI1375" s="757">
        <f t="shared" si="192"/>
        <v>0</v>
      </c>
      <c r="AJ1375" s="758">
        <f t="shared" si="193"/>
        <v>0</v>
      </c>
    </row>
    <row r="1376" spans="1:36" x14ac:dyDescent="0.2">
      <c r="A1376" s="1318" t="s">
        <v>151</v>
      </c>
      <c r="B1376" s="1319" t="s">
        <v>251</v>
      </c>
      <c r="C1376" s="1097" t="s">
        <v>249</v>
      </c>
      <c r="D1376" s="1098"/>
      <c r="E1376" s="1078"/>
      <c r="F1376" s="1079"/>
      <c r="G1376" s="859"/>
      <c r="H1376" s="860"/>
      <c r="I1376" s="861"/>
      <c r="J1376" s="862"/>
      <c r="K1376" s="859"/>
      <c r="L1376" s="863"/>
      <c r="M1376" s="859"/>
      <c r="N1376" s="859"/>
      <c r="O1376" s="752">
        <f t="shared" si="186"/>
        <v>0</v>
      </c>
      <c r="P1376" s="862"/>
      <c r="Q1376" s="860"/>
      <c r="R1376" s="753">
        <f t="shared" si="189"/>
        <v>0</v>
      </c>
      <c r="S1376" s="752">
        <f t="shared" si="190"/>
        <v>0</v>
      </c>
      <c r="T1376" s="754">
        <f t="shared" si="191"/>
        <v>0</v>
      </c>
      <c r="U1376" s="859"/>
      <c r="V1376" s="863"/>
      <c r="W1376" s="859"/>
      <c r="X1376" s="859"/>
      <c r="Y1376" s="755">
        <f t="shared" si="187"/>
        <v>0</v>
      </c>
      <c r="Z1376" s="864"/>
      <c r="AA1376" s="863"/>
      <c r="AB1376" s="756">
        <f t="shared" si="188"/>
        <v>0</v>
      </c>
      <c r="AC1376" s="859"/>
      <c r="AD1376" s="863"/>
      <c r="AE1376" s="859"/>
      <c r="AF1376" s="859"/>
      <c r="AG1376" s="864"/>
      <c r="AH1376" s="865"/>
      <c r="AI1376" s="757">
        <f t="shared" si="192"/>
        <v>0</v>
      </c>
      <c r="AJ1376" s="758">
        <f t="shared" si="193"/>
        <v>0</v>
      </c>
    </row>
    <row r="1377" spans="1:36" x14ac:dyDescent="0.2">
      <c r="A1377" s="1318" t="s">
        <v>151</v>
      </c>
      <c r="B1377" s="1096" t="s">
        <v>209</v>
      </c>
      <c r="C1377" s="1097" t="s">
        <v>576</v>
      </c>
      <c r="D1377" s="1098"/>
      <c r="E1377" s="1078"/>
      <c r="F1377" s="1079"/>
      <c r="G1377" s="859"/>
      <c r="H1377" s="860"/>
      <c r="I1377" s="861"/>
      <c r="J1377" s="862"/>
      <c r="K1377" s="859"/>
      <c r="L1377" s="863"/>
      <c r="M1377" s="859"/>
      <c r="N1377" s="859"/>
      <c r="O1377" s="752">
        <f t="shared" si="186"/>
        <v>0</v>
      </c>
      <c r="P1377" s="862"/>
      <c r="Q1377" s="860"/>
      <c r="R1377" s="753">
        <f t="shared" si="189"/>
        <v>0</v>
      </c>
      <c r="S1377" s="752">
        <f t="shared" si="190"/>
        <v>0</v>
      </c>
      <c r="T1377" s="754">
        <f t="shared" si="191"/>
        <v>0</v>
      </c>
      <c r="U1377" s="859"/>
      <c r="V1377" s="863"/>
      <c r="W1377" s="859"/>
      <c r="X1377" s="859"/>
      <c r="Y1377" s="755">
        <f t="shared" si="187"/>
        <v>0</v>
      </c>
      <c r="Z1377" s="864"/>
      <c r="AA1377" s="863"/>
      <c r="AB1377" s="756">
        <f t="shared" si="188"/>
        <v>0</v>
      </c>
      <c r="AC1377" s="859"/>
      <c r="AD1377" s="863"/>
      <c r="AE1377" s="859"/>
      <c r="AF1377" s="859"/>
      <c r="AG1377" s="864"/>
      <c r="AH1377" s="865"/>
      <c r="AI1377" s="757">
        <f t="shared" si="192"/>
        <v>0</v>
      </c>
      <c r="AJ1377" s="758">
        <f t="shared" si="193"/>
        <v>0</v>
      </c>
    </row>
    <row r="1378" spans="1:36" x14ac:dyDescent="0.2">
      <c r="A1378" s="1318" t="s">
        <v>151</v>
      </c>
      <c r="B1378" s="1096" t="s">
        <v>210</v>
      </c>
      <c r="C1378" s="1097" t="s">
        <v>311</v>
      </c>
      <c r="D1378" s="1098"/>
      <c r="E1378" s="1078"/>
      <c r="F1378" s="1079"/>
      <c r="G1378" s="859"/>
      <c r="H1378" s="860"/>
      <c r="I1378" s="861"/>
      <c r="J1378" s="862"/>
      <c r="K1378" s="859"/>
      <c r="L1378" s="863"/>
      <c r="M1378" s="859"/>
      <c r="N1378" s="859"/>
      <c r="O1378" s="752">
        <f t="shared" si="186"/>
        <v>0</v>
      </c>
      <c r="P1378" s="862"/>
      <c r="Q1378" s="860"/>
      <c r="R1378" s="753">
        <f t="shared" si="189"/>
        <v>0</v>
      </c>
      <c r="S1378" s="752">
        <f t="shared" si="190"/>
        <v>0</v>
      </c>
      <c r="T1378" s="754">
        <f t="shared" si="191"/>
        <v>0</v>
      </c>
      <c r="U1378" s="859">
        <v>5868784</v>
      </c>
      <c r="V1378" s="863">
        <v>5665833</v>
      </c>
      <c r="W1378" s="859"/>
      <c r="X1378" s="859"/>
      <c r="Y1378" s="755">
        <f t="shared" si="187"/>
        <v>0</v>
      </c>
      <c r="Z1378" s="864"/>
      <c r="AA1378" s="863"/>
      <c r="AB1378" s="756">
        <f t="shared" si="188"/>
        <v>0</v>
      </c>
      <c r="AC1378" s="859"/>
      <c r="AD1378" s="863"/>
      <c r="AE1378" s="859"/>
      <c r="AF1378" s="859"/>
      <c r="AG1378" s="864"/>
      <c r="AH1378" s="865"/>
      <c r="AI1378" s="757">
        <f t="shared" si="192"/>
        <v>5868784</v>
      </c>
      <c r="AJ1378" s="758">
        <f t="shared" si="193"/>
        <v>5665833</v>
      </c>
    </row>
    <row r="1379" spans="1:36" x14ac:dyDescent="0.2">
      <c r="A1379" s="1318" t="s">
        <v>151</v>
      </c>
      <c r="B1379" s="1319" t="s">
        <v>251</v>
      </c>
      <c r="C1379" s="1097" t="s">
        <v>249</v>
      </c>
      <c r="D1379" s="1098"/>
      <c r="E1379" s="1078"/>
      <c r="F1379" s="1079"/>
      <c r="G1379" s="859"/>
      <c r="H1379" s="860"/>
      <c r="I1379" s="861"/>
      <c r="J1379" s="862"/>
      <c r="K1379" s="859"/>
      <c r="L1379" s="863"/>
      <c r="M1379" s="859"/>
      <c r="N1379" s="859"/>
      <c r="O1379" s="752">
        <f t="shared" si="186"/>
        <v>0</v>
      </c>
      <c r="P1379" s="862"/>
      <c r="Q1379" s="860"/>
      <c r="R1379" s="753">
        <f t="shared" si="189"/>
        <v>0</v>
      </c>
      <c r="S1379" s="752">
        <f t="shared" si="190"/>
        <v>0</v>
      </c>
      <c r="T1379" s="754">
        <f t="shared" si="191"/>
        <v>0</v>
      </c>
      <c r="U1379" s="859"/>
      <c r="V1379" s="863"/>
      <c r="W1379" s="859"/>
      <c r="X1379" s="859"/>
      <c r="Y1379" s="755">
        <f t="shared" si="187"/>
        <v>0</v>
      </c>
      <c r="Z1379" s="864"/>
      <c r="AA1379" s="863"/>
      <c r="AB1379" s="756">
        <f t="shared" si="188"/>
        <v>0</v>
      </c>
      <c r="AC1379" s="859"/>
      <c r="AD1379" s="863"/>
      <c r="AE1379" s="859"/>
      <c r="AF1379" s="859"/>
      <c r="AG1379" s="864"/>
      <c r="AH1379" s="865"/>
      <c r="AI1379" s="757">
        <f t="shared" si="192"/>
        <v>0</v>
      </c>
      <c r="AJ1379" s="758">
        <f t="shared" si="193"/>
        <v>0</v>
      </c>
    </row>
    <row r="1380" spans="1:36" x14ac:dyDescent="0.2">
      <c r="A1380" s="1318" t="s">
        <v>151</v>
      </c>
      <c r="B1380" s="1096" t="s">
        <v>205</v>
      </c>
      <c r="C1380" s="1097" t="s">
        <v>577</v>
      </c>
      <c r="D1380" s="1098"/>
      <c r="E1380" s="1078"/>
      <c r="F1380" s="1079"/>
      <c r="G1380" s="859"/>
      <c r="H1380" s="860"/>
      <c r="I1380" s="861"/>
      <c r="J1380" s="862"/>
      <c r="K1380" s="859"/>
      <c r="L1380" s="863"/>
      <c r="M1380" s="859"/>
      <c r="N1380" s="859"/>
      <c r="O1380" s="752">
        <f t="shared" si="186"/>
        <v>0</v>
      </c>
      <c r="P1380" s="862"/>
      <c r="Q1380" s="860"/>
      <c r="R1380" s="753">
        <f t="shared" si="189"/>
        <v>0</v>
      </c>
      <c r="S1380" s="752">
        <f t="shared" si="190"/>
        <v>0</v>
      </c>
      <c r="T1380" s="754">
        <f t="shared" si="191"/>
        <v>0</v>
      </c>
      <c r="U1380" s="859"/>
      <c r="V1380" s="863"/>
      <c r="W1380" s="859"/>
      <c r="X1380" s="859"/>
      <c r="Y1380" s="755">
        <f t="shared" si="187"/>
        <v>0</v>
      </c>
      <c r="Z1380" s="864"/>
      <c r="AA1380" s="863"/>
      <c r="AB1380" s="756">
        <f t="shared" si="188"/>
        <v>0</v>
      </c>
      <c r="AC1380" s="859"/>
      <c r="AD1380" s="863"/>
      <c r="AE1380" s="859"/>
      <c r="AF1380" s="859"/>
      <c r="AG1380" s="864"/>
      <c r="AH1380" s="865"/>
      <c r="AI1380" s="757">
        <f t="shared" si="192"/>
        <v>0</v>
      </c>
      <c r="AJ1380" s="758">
        <f t="shared" si="193"/>
        <v>0</v>
      </c>
    </row>
    <row r="1381" spans="1:36" x14ac:dyDescent="0.2">
      <c r="A1381" s="1318" t="s">
        <v>151</v>
      </c>
      <c r="B1381" s="1096" t="s">
        <v>218</v>
      </c>
      <c r="C1381" s="1097" t="s">
        <v>311</v>
      </c>
      <c r="D1381" s="1098"/>
      <c r="E1381" s="1078"/>
      <c r="F1381" s="1079"/>
      <c r="G1381" s="859"/>
      <c r="H1381" s="860"/>
      <c r="I1381" s="861"/>
      <c r="J1381" s="862"/>
      <c r="K1381" s="859"/>
      <c r="L1381" s="863"/>
      <c r="M1381" s="859"/>
      <c r="N1381" s="859"/>
      <c r="O1381" s="752">
        <f t="shared" si="186"/>
        <v>0</v>
      </c>
      <c r="P1381" s="862"/>
      <c r="Q1381" s="860"/>
      <c r="R1381" s="753">
        <f t="shared" si="189"/>
        <v>0</v>
      </c>
      <c r="S1381" s="752">
        <f t="shared" si="190"/>
        <v>0</v>
      </c>
      <c r="T1381" s="754">
        <f t="shared" si="191"/>
        <v>0</v>
      </c>
      <c r="U1381" s="859">
        <v>1180450</v>
      </c>
      <c r="V1381" s="863">
        <v>1115125</v>
      </c>
      <c r="W1381" s="859"/>
      <c r="X1381" s="859"/>
      <c r="Y1381" s="755">
        <f t="shared" si="187"/>
        <v>0</v>
      </c>
      <c r="Z1381" s="864"/>
      <c r="AA1381" s="863"/>
      <c r="AB1381" s="756">
        <f t="shared" si="188"/>
        <v>0</v>
      </c>
      <c r="AC1381" s="859"/>
      <c r="AD1381" s="863"/>
      <c r="AE1381" s="859"/>
      <c r="AF1381" s="859"/>
      <c r="AG1381" s="864"/>
      <c r="AH1381" s="865"/>
      <c r="AI1381" s="757">
        <f t="shared" si="192"/>
        <v>1180450</v>
      </c>
      <c r="AJ1381" s="758">
        <f t="shared" si="193"/>
        <v>1115125</v>
      </c>
    </row>
    <row r="1382" spans="1:36" x14ac:dyDescent="0.2">
      <c r="A1382" s="1318" t="s">
        <v>151</v>
      </c>
      <c r="B1382" s="1319" t="s">
        <v>251</v>
      </c>
      <c r="C1382" s="1097" t="s">
        <v>249</v>
      </c>
      <c r="D1382" s="1098"/>
      <c r="E1382" s="1078"/>
      <c r="F1382" s="1079"/>
      <c r="G1382" s="859"/>
      <c r="H1382" s="860"/>
      <c r="I1382" s="861"/>
      <c r="J1382" s="862"/>
      <c r="K1382" s="859"/>
      <c r="L1382" s="863"/>
      <c r="M1382" s="859"/>
      <c r="N1382" s="859"/>
      <c r="O1382" s="752">
        <f t="shared" si="186"/>
        <v>0</v>
      </c>
      <c r="P1382" s="862"/>
      <c r="Q1382" s="860"/>
      <c r="R1382" s="753">
        <f t="shared" si="189"/>
        <v>0</v>
      </c>
      <c r="S1382" s="752">
        <f t="shared" si="190"/>
        <v>0</v>
      </c>
      <c r="T1382" s="754">
        <f t="shared" si="191"/>
        <v>0</v>
      </c>
      <c r="U1382" s="859"/>
      <c r="V1382" s="863"/>
      <c r="W1382" s="859"/>
      <c r="X1382" s="859"/>
      <c r="Y1382" s="755">
        <f t="shared" si="187"/>
        <v>0</v>
      </c>
      <c r="Z1382" s="864"/>
      <c r="AA1382" s="863"/>
      <c r="AB1382" s="756">
        <f t="shared" si="188"/>
        <v>0</v>
      </c>
      <c r="AC1382" s="859"/>
      <c r="AD1382" s="863"/>
      <c r="AE1382" s="859"/>
      <c r="AF1382" s="859"/>
      <c r="AG1382" s="864"/>
      <c r="AH1382" s="865"/>
      <c r="AI1382" s="757">
        <f t="shared" si="192"/>
        <v>0</v>
      </c>
      <c r="AJ1382" s="758">
        <f t="shared" si="193"/>
        <v>0</v>
      </c>
    </row>
    <row r="1383" spans="1:36" x14ac:dyDescent="0.2">
      <c r="A1383" s="1318" t="s">
        <v>151</v>
      </c>
      <c r="B1383" s="1336" t="s">
        <v>292</v>
      </c>
      <c r="C1383" s="1334" t="s">
        <v>1452</v>
      </c>
      <c r="D1383" s="1335"/>
      <c r="E1383" s="1078"/>
      <c r="F1383" s="1079"/>
      <c r="G1383" s="859"/>
      <c r="H1383" s="860"/>
      <c r="I1383" s="861"/>
      <c r="J1383" s="862"/>
      <c r="K1383" s="859"/>
      <c r="L1383" s="863"/>
      <c r="M1383" s="859"/>
      <c r="N1383" s="859"/>
      <c r="O1383" s="752">
        <f t="shared" si="186"/>
        <v>0</v>
      </c>
      <c r="P1383" s="862"/>
      <c r="Q1383" s="860"/>
      <c r="R1383" s="753">
        <f t="shared" si="189"/>
        <v>0</v>
      </c>
      <c r="S1383" s="752">
        <f t="shared" si="190"/>
        <v>0</v>
      </c>
      <c r="T1383" s="754">
        <f t="shared" si="191"/>
        <v>0</v>
      </c>
      <c r="U1383" s="859"/>
      <c r="V1383" s="863"/>
      <c r="W1383" s="859"/>
      <c r="X1383" s="859"/>
      <c r="Y1383" s="755">
        <f t="shared" si="187"/>
        <v>0</v>
      </c>
      <c r="Z1383" s="864"/>
      <c r="AA1383" s="863"/>
      <c r="AB1383" s="756">
        <f t="shared" si="188"/>
        <v>0</v>
      </c>
      <c r="AC1383" s="859"/>
      <c r="AD1383" s="863"/>
      <c r="AE1383" s="859"/>
      <c r="AF1383" s="859"/>
      <c r="AG1383" s="864"/>
      <c r="AH1383" s="865"/>
      <c r="AI1383" s="757">
        <f t="shared" si="192"/>
        <v>0</v>
      </c>
      <c r="AJ1383" s="758">
        <f t="shared" si="193"/>
        <v>0</v>
      </c>
    </row>
    <row r="1384" spans="1:36" x14ac:dyDescent="0.2">
      <c r="A1384" s="1318" t="s">
        <v>151</v>
      </c>
      <c r="B1384" s="1319" t="s">
        <v>209</v>
      </c>
      <c r="C1384" s="1323" t="s">
        <v>576</v>
      </c>
      <c r="D1384" s="1092"/>
      <c r="E1384" s="1078"/>
      <c r="F1384" s="1079"/>
      <c r="G1384" s="859"/>
      <c r="H1384" s="860"/>
      <c r="I1384" s="861"/>
      <c r="J1384" s="862"/>
      <c r="K1384" s="859"/>
      <c r="L1384" s="863"/>
      <c r="M1384" s="859"/>
      <c r="N1384" s="859"/>
      <c r="O1384" s="752">
        <f t="shared" si="186"/>
        <v>0</v>
      </c>
      <c r="P1384" s="862"/>
      <c r="Q1384" s="860"/>
      <c r="R1384" s="753">
        <f t="shared" si="189"/>
        <v>0</v>
      </c>
      <c r="S1384" s="752">
        <f t="shared" si="190"/>
        <v>0</v>
      </c>
      <c r="T1384" s="754">
        <f t="shared" si="191"/>
        <v>0</v>
      </c>
      <c r="U1384" s="859"/>
      <c r="V1384" s="863"/>
      <c r="W1384" s="859"/>
      <c r="X1384" s="859"/>
      <c r="Y1384" s="755">
        <f t="shared" si="187"/>
        <v>0</v>
      </c>
      <c r="Z1384" s="864"/>
      <c r="AA1384" s="863"/>
      <c r="AB1384" s="756">
        <f t="shared" si="188"/>
        <v>0</v>
      </c>
      <c r="AC1384" s="859"/>
      <c r="AD1384" s="863"/>
      <c r="AE1384" s="859"/>
      <c r="AF1384" s="859"/>
      <c r="AG1384" s="864"/>
      <c r="AH1384" s="865"/>
      <c r="AI1384" s="757">
        <f t="shared" si="192"/>
        <v>0</v>
      </c>
      <c r="AJ1384" s="758">
        <f t="shared" si="193"/>
        <v>0</v>
      </c>
    </row>
    <row r="1385" spans="1:36" x14ac:dyDescent="0.2">
      <c r="A1385" s="1318" t="s">
        <v>151</v>
      </c>
      <c r="B1385" s="1319" t="s">
        <v>210</v>
      </c>
      <c r="C1385" s="1323" t="s">
        <v>311</v>
      </c>
      <c r="D1385" s="1092"/>
      <c r="E1385" s="1078"/>
      <c r="F1385" s="1079"/>
      <c r="G1385" s="859"/>
      <c r="H1385" s="860"/>
      <c r="I1385" s="861"/>
      <c r="J1385" s="862"/>
      <c r="K1385" s="859"/>
      <c r="L1385" s="863"/>
      <c r="M1385" s="859"/>
      <c r="N1385" s="859"/>
      <c r="O1385" s="752">
        <f t="shared" si="186"/>
        <v>0</v>
      </c>
      <c r="P1385" s="862"/>
      <c r="Q1385" s="860"/>
      <c r="R1385" s="753">
        <f t="shared" si="189"/>
        <v>0</v>
      </c>
      <c r="S1385" s="752">
        <f t="shared" si="190"/>
        <v>0</v>
      </c>
      <c r="T1385" s="754">
        <f t="shared" si="191"/>
        <v>0</v>
      </c>
      <c r="U1385" s="859"/>
      <c r="V1385" s="863"/>
      <c r="W1385" s="859"/>
      <c r="X1385" s="859"/>
      <c r="Y1385" s="755">
        <f t="shared" si="187"/>
        <v>0</v>
      </c>
      <c r="Z1385" s="864"/>
      <c r="AA1385" s="863"/>
      <c r="AB1385" s="756">
        <f t="shared" si="188"/>
        <v>0</v>
      </c>
      <c r="AC1385" s="859"/>
      <c r="AD1385" s="863"/>
      <c r="AE1385" s="859"/>
      <c r="AF1385" s="859"/>
      <c r="AG1385" s="864"/>
      <c r="AH1385" s="865"/>
      <c r="AI1385" s="757">
        <f t="shared" si="192"/>
        <v>0</v>
      </c>
      <c r="AJ1385" s="758">
        <f t="shared" si="193"/>
        <v>0</v>
      </c>
    </row>
    <row r="1386" spans="1:36" x14ac:dyDescent="0.2">
      <c r="A1386" s="1318" t="s">
        <v>151</v>
      </c>
      <c r="B1386" s="1319" t="s">
        <v>204</v>
      </c>
      <c r="C1386" s="1323" t="s">
        <v>1453</v>
      </c>
      <c r="D1386" s="1092"/>
      <c r="E1386" s="1078"/>
      <c r="F1386" s="1079"/>
      <c r="G1386" s="859"/>
      <c r="H1386" s="860"/>
      <c r="I1386" s="861"/>
      <c r="J1386" s="862"/>
      <c r="K1386" s="859"/>
      <c r="L1386" s="863"/>
      <c r="M1386" s="859"/>
      <c r="N1386" s="859"/>
      <c r="O1386" s="752">
        <f t="shared" si="186"/>
        <v>0</v>
      </c>
      <c r="P1386" s="862"/>
      <c r="Q1386" s="860"/>
      <c r="R1386" s="753">
        <f t="shared" si="189"/>
        <v>0</v>
      </c>
      <c r="S1386" s="752">
        <f t="shared" si="190"/>
        <v>0</v>
      </c>
      <c r="T1386" s="754">
        <f t="shared" si="191"/>
        <v>0</v>
      </c>
      <c r="U1386" s="859">
        <v>151346</v>
      </c>
      <c r="V1386" s="863">
        <v>516032</v>
      </c>
      <c r="W1386" s="859"/>
      <c r="X1386" s="859"/>
      <c r="Y1386" s="755">
        <f t="shared" si="187"/>
        <v>0</v>
      </c>
      <c r="Z1386" s="864"/>
      <c r="AA1386" s="863"/>
      <c r="AB1386" s="756">
        <f t="shared" si="188"/>
        <v>0</v>
      </c>
      <c r="AC1386" s="859"/>
      <c r="AD1386" s="863"/>
      <c r="AE1386" s="859"/>
      <c r="AF1386" s="859"/>
      <c r="AG1386" s="864"/>
      <c r="AH1386" s="865"/>
      <c r="AI1386" s="757">
        <f t="shared" si="192"/>
        <v>151346</v>
      </c>
      <c r="AJ1386" s="758">
        <f t="shared" si="193"/>
        <v>516032</v>
      </c>
    </row>
    <row r="1387" spans="1:36" x14ac:dyDescent="0.2">
      <c r="A1387" s="1318" t="s">
        <v>151</v>
      </c>
      <c r="B1387" s="1096" t="s">
        <v>205</v>
      </c>
      <c r="C1387" s="1097" t="s">
        <v>577</v>
      </c>
      <c r="D1387" s="1098"/>
      <c r="E1387" s="1078"/>
      <c r="F1387" s="1079"/>
      <c r="G1387" s="859"/>
      <c r="H1387" s="860"/>
      <c r="I1387" s="861"/>
      <c r="J1387" s="862"/>
      <c r="K1387" s="859"/>
      <c r="L1387" s="863"/>
      <c r="M1387" s="859"/>
      <c r="N1387" s="859"/>
      <c r="O1387" s="752">
        <f t="shared" si="186"/>
        <v>0</v>
      </c>
      <c r="P1387" s="862"/>
      <c r="Q1387" s="860"/>
      <c r="R1387" s="753">
        <f t="shared" si="189"/>
        <v>0</v>
      </c>
      <c r="S1387" s="752">
        <f t="shared" si="190"/>
        <v>0</v>
      </c>
      <c r="T1387" s="754">
        <f t="shared" si="191"/>
        <v>0</v>
      </c>
      <c r="U1387" s="859"/>
      <c r="V1387" s="863"/>
      <c r="W1387" s="859"/>
      <c r="X1387" s="859"/>
      <c r="Y1387" s="755">
        <f t="shared" si="187"/>
        <v>0</v>
      </c>
      <c r="Z1387" s="864"/>
      <c r="AA1387" s="863"/>
      <c r="AB1387" s="756">
        <f t="shared" si="188"/>
        <v>0</v>
      </c>
      <c r="AC1387" s="859"/>
      <c r="AD1387" s="863"/>
      <c r="AE1387" s="859"/>
      <c r="AF1387" s="859"/>
      <c r="AG1387" s="864"/>
      <c r="AH1387" s="865"/>
      <c r="AI1387" s="757">
        <f t="shared" si="192"/>
        <v>0</v>
      </c>
      <c r="AJ1387" s="758">
        <f t="shared" si="193"/>
        <v>0</v>
      </c>
    </row>
    <row r="1388" spans="1:36" x14ac:dyDescent="0.2">
      <c r="A1388" s="1318" t="s">
        <v>151</v>
      </c>
      <c r="B1388" s="1096" t="s">
        <v>218</v>
      </c>
      <c r="C1388" s="1097" t="s">
        <v>311</v>
      </c>
      <c r="D1388" s="1098"/>
      <c r="E1388" s="1078"/>
      <c r="F1388" s="1079"/>
      <c r="G1388" s="859"/>
      <c r="H1388" s="860"/>
      <c r="I1388" s="861"/>
      <c r="J1388" s="862"/>
      <c r="K1388" s="859"/>
      <c r="L1388" s="863"/>
      <c r="M1388" s="859"/>
      <c r="N1388" s="859"/>
      <c r="O1388" s="752">
        <f t="shared" si="186"/>
        <v>0</v>
      </c>
      <c r="P1388" s="862"/>
      <c r="Q1388" s="860"/>
      <c r="R1388" s="753">
        <f t="shared" si="189"/>
        <v>0</v>
      </c>
      <c r="S1388" s="752">
        <f t="shared" si="190"/>
        <v>0</v>
      </c>
      <c r="T1388" s="754">
        <f t="shared" si="191"/>
        <v>0</v>
      </c>
      <c r="U1388" s="859"/>
      <c r="V1388" s="863"/>
      <c r="W1388" s="859"/>
      <c r="X1388" s="859"/>
      <c r="Y1388" s="755">
        <f t="shared" si="187"/>
        <v>0</v>
      </c>
      <c r="Z1388" s="864"/>
      <c r="AA1388" s="863"/>
      <c r="AB1388" s="756">
        <f t="shared" si="188"/>
        <v>0</v>
      </c>
      <c r="AC1388" s="859"/>
      <c r="AD1388" s="863"/>
      <c r="AE1388" s="859"/>
      <c r="AF1388" s="859"/>
      <c r="AG1388" s="864"/>
      <c r="AH1388" s="865"/>
      <c r="AI1388" s="757">
        <f t="shared" si="192"/>
        <v>0</v>
      </c>
      <c r="AJ1388" s="758">
        <f t="shared" si="193"/>
        <v>0</v>
      </c>
    </row>
    <row r="1389" spans="1:36" x14ac:dyDescent="0.2">
      <c r="A1389" s="1318" t="s">
        <v>151</v>
      </c>
      <c r="B1389" s="1319" t="s">
        <v>219</v>
      </c>
      <c r="C1389" s="1323" t="s">
        <v>1453</v>
      </c>
      <c r="D1389" s="1092"/>
      <c r="E1389" s="1078"/>
      <c r="F1389" s="1079"/>
      <c r="G1389" s="859"/>
      <c r="H1389" s="860"/>
      <c r="I1389" s="861"/>
      <c r="J1389" s="862"/>
      <c r="K1389" s="859"/>
      <c r="L1389" s="863"/>
      <c r="M1389" s="859"/>
      <c r="N1389" s="859"/>
      <c r="O1389" s="752">
        <f t="shared" si="186"/>
        <v>0</v>
      </c>
      <c r="P1389" s="862"/>
      <c r="Q1389" s="860"/>
      <c r="R1389" s="753">
        <f t="shared" si="189"/>
        <v>0</v>
      </c>
      <c r="S1389" s="752">
        <f t="shared" si="190"/>
        <v>0</v>
      </c>
      <c r="T1389" s="754">
        <f t="shared" si="191"/>
        <v>0</v>
      </c>
      <c r="U1389" s="859">
        <v>53358</v>
      </c>
      <c r="V1389" s="863">
        <v>70062</v>
      </c>
      <c r="W1389" s="859"/>
      <c r="X1389" s="859"/>
      <c r="Y1389" s="755">
        <f t="shared" si="187"/>
        <v>0</v>
      </c>
      <c r="Z1389" s="864"/>
      <c r="AA1389" s="863"/>
      <c r="AB1389" s="756">
        <f t="shared" si="188"/>
        <v>0</v>
      </c>
      <c r="AC1389" s="859"/>
      <c r="AD1389" s="863"/>
      <c r="AE1389" s="859"/>
      <c r="AF1389" s="859"/>
      <c r="AG1389" s="864"/>
      <c r="AH1389" s="865"/>
      <c r="AI1389" s="757">
        <f t="shared" si="192"/>
        <v>53358</v>
      </c>
      <c r="AJ1389" s="758">
        <f t="shared" si="193"/>
        <v>70062</v>
      </c>
    </row>
    <row r="1390" spans="1:36" x14ac:dyDescent="0.2">
      <c r="A1390" s="1318" t="s">
        <v>151</v>
      </c>
      <c r="B1390" s="1336" t="s">
        <v>292</v>
      </c>
      <c r="C1390" s="1334" t="s">
        <v>1454</v>
      </c>
      <c r="D1390" s="1335"/>
      <c r="E1390" s="1078"/>
      <c r="F1390" s="1079"/>
      <c r="G1390" s="859"/>
      <c r="H1390" s="860"/>
      <c r="I1390" s="861"/>
      <c r="J1390" s="862"/>
      <c r="K1390" s="859"/>
      <c r="L1390" s="863"/>
      <c r="M1390" s="859"/>
      <c r="N1390" s="859"/>
      <c r="O1390" s="752">
        <f t="shared" si="186"/>
        <v>0</v>
      </c>
      <c r="P1390" s="862"/>
      <c r="Q1390" s="860"/>
      <c r="R1390" s="753">
        <f t="shared" si="189"/>
        <v>0</v>
      </c>
      <c r="S1390" s="752">
        <f t="shared" si="190"/>
        <v>0</v>
      </c>
      <c r="T1390" s="754">
        <f t="shared" si="191"/>
        <v>0</v>
      </c>
      <c r="U1390" s="859"/>
      <c r="V1390" s="863"/>
      <c r="W1390" s="859"/>
      <c r="X1390" s="859"/>
      <c r="Y1390" s="755">
        <f t="shared" si="187"/>
        <v>0</v>
      </c>
      <c r="Z1390" s="864"/>
      <c r="AA1390" s="863"/>
      <c r="AB1390" s="756">
        <f t="shared" si="188"/>
        <v>0</v>
      </c>
      <c r="AC1390" s="859"/>
      <c r="AD1390" s="863"/>
      <c r="AE1390" s="859"/>
      <c r="AF1390" s="859"/>
      <c r="AG1390" s="864"/>
      <c r="AH1390" s="865"/>
      <c r="AI1390" s="757">
        <f t="shared" si="192"/>
        <v>0</v>
      </c>
      <c r="AJ1390" s="758">
        <f t="shared" si="193"/>
        <v>0</v>
      </c>
    </row>
    <row r="1391" spans="1:36" x14ac:dyDescent="0.2">
      <c r="A1391" s="1318" t="s">
        <v>151</v>
      </c>
      <c r="B1391" s="1319" t="s">
        <v>310</v>
      </c>
      <c r="C1391" s="1097" t="s">
        <v>311</v>
      </c>
      <c r="D1391" s="1098"/>
      <c r="E1391" s="1078"/>
      <c r="F1391" s="1079"/>
      <c r="G1391" s="859"/>
      <c r="H1391" s="860"/>
      <c r="I1391" s="861"/>
      <c r="J1391" s="862"/>
      <c r="K1391" s="859"/>
      <c r="L1391" s="863"/>
      <c r="M1391" s="859"/>
      <c r="N1391" s="859"/>
      <c r="O1391" s="752">
        <f t="shared" si="186"/>
        <v>0</v>
      </c>
      <c r="P1391" s="862"/>
      <c r="Q1391" s="860"/>
      <c r="R1391" s="753">
        <f t="shared" si="189"/>
        <v>0</v>
      </c>
      <c r="S1391" s="752">
        <f t="shared" si="190"/>
        <v>0</v>
      </c>
      <c r="T1391" s="754">
        <f t="shared" si="191"/>
        <v>0</v>
      </c>
      <c r="U1391" s="859"/>
      <c r="V1391" s="863"/>
      <c r="W1391" s="859"/>
      <c r="X1391" s="859"/>
      <c r="Y1391" s="755">
        <f t="shared" si="187"/>
        <v>0</v>
      </c>
      <c r="Z1391" s="864"/>
      <c r="AA1391" s="863"/>
      <c r="AB1391" s="756">
        <f t="shared" si="188"/>
        <v>0</v>
      </c>
      <c r="AC1391" s="859"/>
      <c r="AD1391" s="863"/>
      <c r="AE1391" s="859"/>
      <c r="AF1391" s="859"/>
      <c r="AG1391" s="864"/>
      <c r="AH1391" s="865"/>
      <c r="AI1391" s="757">
        <f t="shared" si="192"/>
        <v>0</v>
      </c>
      <c r="AJ1391" s="758">
        <f t="shared" si="193"/>
        <v>0</v>
      </c>
    </row>
    <row r="1392" spans="1:36" x14ac:dyDescent="0.2">
      <c r="A1392" s="1318" t="s">
        <v>151</v>
      </c>
      <c r="B1392" s="1319" t="s">
        <v>251</v>
      </c>
      <c r="C1392" s="1097" t="s">
        <v>249</v>
      </c>
      <c r="D1392" s="1098"/>
      <c r="E1392" s="1078"/>
      <c r="F1392" s="1079"/>
      <c r="G1392" s="859"/>
      <c r="H1392" s="860"/>
      <c r="I1392" s="861"/>
      <c r="J1392" s="862"/>
      <c r="K1392" s="859"/>
      <c r="L1392" s="863"/>
      <c r="M1392" s="859"/>
      <c r="N1392" s="859"/>
      <c r="O1392" s="752">
        <f t="shared" si="186"/>
        <v>0</v>
      </c>
      <c r="P1392" s="862"/>
      <c r="Q1392" s="860"/>
      <c r="R1392" s="753">
        <f t="shared" si="189"/>
        <v>0</v>
      </c>
      <c r="S1392" s="752">
        <f t="shared" si="190"/>
        <v>0</v>
      </c>
      <c r="T1392" s="754">
        <f t="shared" si="191"/>
        <v>0</v>
      </c>
      <c r="U1392" s="859"/>
      <c r="V1392" s="863"/>
      <c r="W1392" s="859"/>
      <c r="X1392" s="859"/>
      <c r="Y1392" s="755">
        <f t="shared" si="187"/>
        <v>0</v>
      </c>
      <c r="Z1392" s="864"/>
      <c r="AA1392" s="863"/>
      <c r="AB1392" s="756">
        <f t="shared" si="188"/>
        <v>0</v>
      </c>
      <c r="AC1392" s="859"/>
      <c r="AD1392" s="863"/>
      <c r="AE1392" s="859"/>
      <c r="AF1392" s="859"/>
      <c r="AG1392" s="864"/>
      <c r="AH1392" s="865"/>
      <c r="AI1392" s="757">
        <f t="shared" si="192"/>
        <v>0</v>
      </c>
      <c r="AJ1392" s="758">
        <f t="shared" si="193"/>
        <v>0</v>
      </c>
    </row>
    <row r="1393" spans="1:36" x14ac:dyDescent="0.2">
      <c r="A1393" s="1318" t="s">
        <v>151</v>
      </c>
      <c r="B1393" s="1319" t="s">
        <v>209</v>
      </c>
      <c r="C1393" s="1323" t="s">
        <v>576</v>
      </c>
      <c r="D1393" s="1092"/>
      <c r="E1393" s="1078"/>
      <c r="F1393" s="1079"/>
      <c r="G1393" s="859"/>
      <c r="H1393" s="860"/>
      <c r="I1393" s="861"/>
      <c r="J1393" s="862"/>
      <c r="K1393" s="859"/>
      <c r="L1393" s="863"/>
      <c r="M1393" s="859"/>
      <c r="N1393" s="859"/>
      <c r="O1393" s="752">
        <f t="shared" si="186"/>
        <v>0</v>
      </c>
      <c r="P1393" s="862"/>
      <c r="Q1393" s="860"/>
      <c r="R1393" s="753">
        <f t="shared" si="189"/>
        <v>0</v>
      </c>
      <c r="S1393" s="752">
        <f t="shared" si="190"/>
        <v>0</v>
      </c>
      <c r="T1393" s="754">
        <f t="shared" si="191"/>
        <v>0</v>
      </c>
      <c r="U1393" s="859"/>
      <c r="V1393" s="863"/>
      <c r="W1393" s="859"/>
      <c r="X1393" s="859"/>
      <c r="Y1393" s="755">
        <f t="shared" si="187"/>
        <v>0</v>
      </c>
      <c r="Z1393" s="864"/>
      <c r="AA1393" s="863"/>
      <c r="AB1393" s="756">
        <f t="shared" si="188"/>
        <v>0</v>
      </c>
      <c r="AC1393" s="859"/>
      <c r="AD1393" s="863"/>
      <c r="AE1393" s="859"/>
      <c r="AF1393" s="859"/>
      <c r="AG1393" s="864"/>
      <c r="AH1393" s="865"/>
      <c r="AI1393" s="757">
        <f t="shared" si="192"/>
        <v>0</v>
      </c>
      <c r="AJ1393" s="758">
        <f t="shared" si="193"/>
        <v>0</v>
      </c>
    </row>
    <row r="1394" spans="1:36" x14ac:dyDescent="0.2">
      <c r="A1394" s="1318" t="s">
        <v>151</v>
      </c>
      <c r="B1394" s="1319" t="s">
        <v>210</v>
      </c>
      <c r="C1394" s="1323" t="s">
        <v>311</v>
      </c>
      <c r="D1394" s="1092"/>
      <c r="E1394" s="1078"/>
      <c r="F1394" s="1079"/>
      <c r="G1394" s="859"/>
      <c r="H1394" s="860"/>
      <c r="I1394" s="861"/>
      <c r="J1394" s="862"/>
      <c r="K1394" s="859"/>
      <c r="L1394" s="863"/>
      <c r="M1394" s="859"/>
      <c r="N1394" s="859"/>
      <c r="O1394" s="752">
        <f t="shared" si="186"/>
        <v>0</v>
      </c>
      <c r="P1394" s="862"/>
      <c r="Q1394" s="860"/>
      <c r="R1394" s="753">
        <f t="shared" si="189"/>
        <v>0</v>
      </c>
      <c r="S1394" s="752">
        <f t="shared" si="190"/>
        <v>0</v>
      </c>
      <c r="T1394" s="754">
        <f t="shared" si="191"/>
        <v>0</v>
      </c>
      <c r="U1394" s="859"/>
      <c r="V1394" s="863"/>
      <c r="W1394" s="859"/>
      <c r="X1394" s="859"/>
      <c r="Y1394" s="755">
        <f t="shared" si="187"/>
        <v>0</v>
      </c>
      <c r="Z1394" s="864"/>
      <c r="AA1394" s="863"/>
      <c r="AB1394" s="756">
        <f t="shared" si="188"/>
        <v>0</v>
      </c>
      <c r="AC1394" s="859"/>
      <c r="AD1394" s="863"/>
      <c r="AE1394" s="859"/>
      <c r="AF1394" s="859"/>
      <c r="AG1394" s="864"/>
      <c r="AH1394" s="865"/>
      <c r="AI1394" s="757">
        <f t="shared" si="192"/>
        <v>0</v>
      </c>
      <c r="AJ1394" s="758">
        <f t="shared" si="193"/>
        <v>0</v>
      </c>
    </row>
    <row r="1395" spans="1:36" x14ac:dyDescent="0.2">
      <c r="A1395" s="1318" t="s">
        <v>151</v>
      </c>
      <c r="B1395" s="1319" t="s">
        <v>204</v>
      </c>
      <c r="C1395" s="1323" t="s">
        <v>1453</v>
      </c>
      <c r="D1395" s="1092"/>
      <c r="E1395" s="1078"/>
      <c r="F1395" s="1079"/>
      <c r="G1395" s="859"/>
      <c r="H1395" s="860"/>
      <c r="I1395" s="861"/>
      <c r="J1395" s="862"/>
      <c r="K1395" s="859"/>
      <c r="L1395" s="863"/>
      <c r="M1395" s="859"/>
      <c r="N1395" s="859"/>
      <c r="O1395" s="752">
        <f t="shared" si="186"/>
        <v>0</v>
      </c>
      <c r="P1395" s="862"/>
      <c r="Q1395" s="860"/>
      <c r="R1395" s="753">
        <f t="shared" si="189"/>
        <v>0</v>
      </c>
      <c r="S1395" s="752">
        <f t="shared" si="190"/>
        <v>0</v>
      </c>
      <c r="T1395" s="754">
        <f t="shared" si="191"/>
        <v>0</v>
      </c>
      <c r="U1395" s="859">
        <v>4343241</v>
      </c>
      <c r="V1395" s="863">
        <v>4348007</v>
      </c>
      <c r="W1395" s="859"/>
      <c r="X1395" s="859"/>
      <c r="Y1395" s="755">
        <f t="shared" si="187"/>
        <v>0</v>
      </c>
      <c r="Z1395" s="864"/>
      <c r="AA1395" s="863"/>
      <c r="AB1395" s="756">
        <f t="shared" si="188"/>
        <v>0</v>
      </c>
      <c r="AC1395" s="859"/>
      <c r="AD1395" s="863"/>
      <c r="AE1395" s="859"/>
      <c r="AF1395" s="859"/>
      <c r="AG1395" s="864"/>
      <c r="AH1395" s="865"/>
      <c r="AI1395" s="757">
        <f t="shared" si="192"/>
        <v>4343241</v>
      </c>
      <c r="AJ1395" s="758">
        <f t="shared" si="193"/>
        <v>4348007</v>
      </c>
    </row>
    <row r="1396" spans="1:36" x14ac:dyDescent="0.2">
      <c r="A1396" s="1318" t="s">
        <v>151</v>
      </c>
      <c r="B1396" s="1096" t="s">
        <v>205</v>
      </c>
      <c r="C1396" s="1097" t="s">
        <v>577</v>
      </c>
      <c r="D1396" s="1098"/>
      <c r="E1396" s="1078"/>
      <c r="F1396" s="1079"/>
      <c r="G1396" s="859"/>
      <c r="H1396" s="860"/>
      <c r="I1396" s="861"/>
      <c r="J1396" s="862"/>
      <c r="K1396" s="859"/>
      <c r="L1396" s="863"/>
      <c r="M1396" s="859"/>
      <c r="N1396" s="859"/>
      <c r="O1396" s="752">
        <f t="shared" si="186"/>
        <v>0</v>
      </c>
      <c r="P1396" s="862"/>
      <c r="Q1396" s="860"/>
      <c r="R1396" s="753">
        <f t="shared" si="189"/>
        <v>0</v>
      </c>
      <c r="S1396" s="752">
        <f t="shared" si="190"/>
        <v>0</v>
      </c>
      <c r="T1396" s="754">
        <f t="shared" si="191"/>
        <v>0</v>
      </c>
      <c r="U1396" s="859"/>
      <c r="V1396" s="863"/>
      <c r="W1396" s="859"/>
      <c r="X1396" s="859"/>
      <c r="Y1396" s="755">
        <f t="shared" si="187"/>
        <v>0</v>
      </c>
      <c r="Z1396" s="864"/>
      <c r="AA1396" s="863"/>
      <c r="AB1396" s="756">
        <f t="shared" si="188"/>
        <v>0</v>
      </c>
      <c r="AC1396" s="859"/>
      <c r="AD1396" s="863"/>
      <c r="AE1396" s="859"/>
      <c r="AF1396" s="859"/>
      <c r="AG1396" s="864"/>
      <c r="AH1396" s="865"/>
      <c r="AI1396" s="757">
        <f t="shared" si="192"/>
        <v>0</v>
      </c>
      <c r="AJ1396" s="758">
        <f t="shared" si="193"/>
        <v>0</v>
      </c>
    </row>
    <row r="1397" spans="1:36" x14ac:dyDescent="0.2">
      <c r="A1397" s="1318" t="s">
        <v>151</v>
      </c>
      <c r="B1397" s="1096" t="s">
        <v>218</v>
      </c>
      <c r="C1397" s="1097" t="s">
        <v>311</v>
      </c>
      <c r="D1397" s="1098"/>
      <c r="E1397" s="1078"/>
      <c r="F1397" s="1079"/>
      <c r="G1397" s="859"/>
      <c r="H1397" s="860"/>
      <c r="I1397" s="861"/>
      <c r="J1397" s="862"/>
      <c r="K1397" s="859"/>
      <c r="L1397" s="863"/>
      <c r="M1397" s="859"/>
      <c r="N1397" s="859"/>
      <c r="O1397" s="752">
        <f t="shared" si="186"/>
        <v>0</v>
      </c>
      <c r="P1397" s="862"/>
      <c r="Q1397" s="860"/>
      <c r="R1397" s="753">
        <f t="shared" si="189"/>
        <v>0</v>
      </c>
      <c r="S1397" s="752">
        <f t="shared" si="190"/>
        <v>0</v>
      </c>
      <c r="T1397" s="754">
        <f t="shared" si="191"/>
        <v>0</v>
      </c>
      <c r="U1397" s="859"/>
      <c r="V1397" s="863"/>
      <c r="W1397" s="859"/>
      <c r="X1397" s="859"/>
      <c r="Y1397" s="755">
        <f t="shared" si="187"/>
        <v>0</v>
      </c>
      <c r="Z1397" s="864"/>
      <c r="AA1397" s="863"/>
      <c r="AB1397" s="756">
        <f t="shared" si="188"/>
        <v>0</v>
      </c>
      <c r="AC1397" s="859"/>
      <c r="AD1397" s="863"/>
      <c r="AE1397" s="859"/>
      <c r="AF1397" s="859"/>
      <c r="AG1397" s="864"/>
      <c r="AH1397" s="865"/>
      <c r="AI1397" s="757">
        <f t="shared" si="192"/>
        <v>0</v>
      </c>
      <c r="AJ1397" s="758">
        <f t="shared" si="193"/>
        <v>0</v>
      </c>
    </row>
    <row r="1398" spans="1:36" x14ac:dyDescent="0.2">
      <c r="A1398" s="1318" t="s">
        <v>151</v>
      </c>
      <c r="B1398" s="1319" t="s">
        <v>219</v>
      </c>
      <c r="C1398" s="1323" t="s">
        <v>1453</v>
      </c>
      <c r="D1398" s="1092"/>
      <c r="E1398" s="1078"/>
      <c r="F1398" s="1079"/>
      <c r="G1398" s="859"/>
      <c r="H1398" s="860"/>
      <c r="I1398" s="861"/>
      <c r="J1398" s="862"/>
      <c r="K1398" s="859"/>
      <c r="L1398" s="863"/>
      <c r="M1398" s="859"/>
      <c r="N1398" s="859"/>
      <c r="O1398" s="752">
        <f t="shared" si="186"/>
        <v>0</v>
      </c>
      <c r="P1398" s="862"/>
      <c r="Q1398" s="860"/>
      <c r="R1398" s="753">
        <f t="shared" si="189"/>
        <v>0</v>
      </c>
      <c r="S1398" s="752">
        <f t="shared" si="190"/>
        <v>0</v>
      </c>
      <c r="T1398" s="754">
        <f t="shared" si="191"/>
        <v>0</v>
      </c>
      <c r="U1398" s="859">
        <v>861393</v>
      </c>
      <c r="V1398" s="863">
        <v>799919</v>
      </c>
      <c r="W1398" s="859"/>
      <c r="X1398" s="859"/>
      <c r="Y1398" s="755">
        <f t="shared" si="187"/>
        <v>0</v>
      </c>
      <c r="Z1398" s="864"/>
      <c r="AA1398" s="863"/>
      <c r="AB1398" s="756">
        <f t="shared" si="188"/>
        <v>0</v>
      </c>
      <c r="AC1398" s="859"/>
      <c r="AD1398" s="863"/>
      <c r="AE1398" s="859"/>
      <c r="AF1398" s="859"/>
      <c r="AG1398" s="864"/>
      <c r="AH1398" s="865"/>
      <c r="AI1398" s="757">
        <f t="shared" si="192"/>
        <v>861393</v>
      </c>
      <c r="AJ1398" s="758">
        <f t="shared" si="193"/>
        <v>799919</v>
      </c>
    </row>
    <row r="1399" spans="1:36" x14ac:dyDescent="0.2">
      <c r="A1399" s="1318" t="s">
        <v>151</v>
      </c>
      <c r="B1399" s="1336" t="s">
        <v>292</v>
      </c>
      <c r="C1399" s="1334" t="s">
        <v>1455</v>
      </c>
      <c r="D1399" s="1335"/>
      <c r="E1399" s="1078"/>
      <c r="F1399" s="1079"/>
      <c r="G1399" s="859"/>
      <c r="H1399" s="860"/>
      <c r="I1399" s="861"/>
      <c r="J1399" s="862"/>
      <c r="K1399" s="859"/>
      <c r="L1399" s="863"/>
      <c r="M1399" s="859"/>
      <c r="N1399" s="859"/>
      <c r="O1399" s="752">
        <f t="shared" si="186"/>
        <v>0</v>
      </c>
      <c r="P1399" s="862"/>
      <c r="Q1399" s="860"/>
      <c r="R1399" s="753">
        <f t="shared" si="189"/>
        <v>0</v>
      </c>
      <c r="S1399" s="752">
        <f t="shared" si="190"/>
        <v>0</v>
      </c>
      <c r="T1399" s="754">
        <f t="shared" si="191"/>
        <v>0</v>
      </c>
      <c r="U1399" s="859"/>
      <c r="V1399" s="863"/>
      <c r="W1399" s="859"/>
      <c r="X1399" s="859"/>
      <c r="Y1399" s="755">
        <f t="shared" si="187"/>
        <v>0</v>
      </c>
      <c r="Z1399" s="864"/>
      <c r="AA1399" s="863"/>
      <c r="AB1399" s="756">
        <f t="shared" si="188"/>
        <v>0</v>
      </c>
      <c r="AC1399" s="859"/>
      <c r="AD1399" s="863"/>
      <c r="AE1399" s="859"/>
      <c r="AF1399" s="859"/>
      <c r="AG1399" s="864"/>
      <c r="AH1399" s="865"/>
      <c r="AI1399" s="757">
        <f t="shared" si="192"/>
        <v>0</v>
      </c>
      <c r="AJ1399" s="758">
        <f t="shared" si="193"/>
        <v>0</v>
      </c>
    </row>
    <row r="1400" spans="1:36" x14ac:dyDescent="0.2">
      <c r="A1400" s="1318" t="s">
        <v>151</v>
      </c>
      <c r="B1400" s="1319" t="s">
        <v>209</v>
      </c>
      <c r="C1400" s="1323" t="s">
        <v>576</v>
      </c>
      <c r="D1400" s="1092"/>
      <c r="E1400" s="1078"/>
      <c r="F1400" s="1079"/>
      <c r="G1400" s="859"/>
      <c r="H1400" s="860"/>
      <c r="I1400" s="861"/>
      <c r="J1400" s="862"/>
      <c r="K1400" s="859"/>
      <c r="L1400" s="863"/>
      <c r="M1400" s="859"/>
      <c r="N1400" s="859"/>
      <c r="O1400" s="752">
        <f t="shared" si="186"/>
        <v>0</v>
      </c>
      <c r="P1400" s="862"/>
      <c r="Q1400" s="860"/>
      <c r="R1400" s="753">
        <f t="shared" si="189"/>
        <v>0</v>
      </c>
      <c r="S1400" s="752">
        <f t="shared" si="190"/>
        <v>0</v>
      </c>
      <c r="T1400" s="754">
        <f t="shared" si="191"/>
        <v>0</v>
      </c>
      <c r="U1400" s="859"/>
      <c r="V1400" s="863"/>
      <c r="W1400" s="859"/>
      <c r="X1400" s="859"/>
      <c r="Y1400" s="755">
        <f t="shared" si="187"/>
        <v>0</v>
      </c>
      <c r="Z1400" s="864"/>
      <c r="AA1400" s="863"/>
      <c r="AB1400" s="756">
        <f t="shared" si="188"/>
        <v>0</v>
      </c>
      <c r="AC1400" s="859"/>
      <c r="AD1400" s="863"/>
      <c r="AE1400" s="859"/>
      <c r="AF1400" s="859"/>
      <c r="AG1400" s="864"/>
      <c r="AH1400" s="865"/>
      <c r="AI1400" s="757">
        <f t="shared" si="192"/>
        <v>0</v>
      </c>
      <c r="AJ1400" s="758">
        <f t="shared" si="193"/>
        <v>0</v>
      </c>
    </row>
    <row r="1401" spans="1:36" x14ac:dyDescent="0.2">
      <c r="A1401" s="1318" t="s">
        <v>151</v>
      </c>
      <c r="B1401" s="1319" t="s">
        <v>210</v>
      </c>
      <c r="C1401" s="1323" t="s">
        <v>311</v>
      </c>
      <c r="D1401" s="1092"/>
      <c r="E1401" s="1078"/>
      <c r="F1401" s="1079"/>
      <c r="G1401" s="859"/>
      <c r="H1401" s="860"/>
      <c r="I1401" s="861"/>
      <c r="J1401" s="862"/>
      <c r="K1401" s="859"/>
      <c r="L1401" s="863"/>
      <c r="M1401" s="859"/>
      <c r="N1401" s="859"/>
      <c r="O1401" s="752">
        <f t="shared" si="186"/>
        <v>0</v>
      </c>
      <c r="P1401" s="862"/>
      <c r="Q1401" s="860"/>
      <c r="R1401" s="753">
        <f t="shared" si="189"/>
        <v>0</v>
      </c>
      <c r="S1401" s="752">
        <f t="shared" si="190"/>
        <v>0</v>
      </c>
      <c r="T1401" s="754">
        <f t="shared" si="191"/>
        <v>0</v>
      </c>
      <c r="U1401" s="859"/>
      <c r="V1401" s="863"/>
      <c r="W1401" s="859"/>
      <c r="X1401" s="859"/>
      <c r="Y1401" s="755">
        <f t="shared" si="187"/>
        <v>0</v>
      </c>
      <c r="Z1401" s="864"/>
      <c r="AA1401" s="863"/>
      <c r="AB1401" s="756">
        <f t="shared" si="188"/>
        <v>0</v>
      </c>
      <c r="AC1401" s="859"/>
      <c r="AD1401" s="863"/>
      <c r="AE1401" s="859"/>
      <c r="AF1401" s="859"/>
      <c r="AG1401" s="864"/>
      <c r="AH1401" s="865"/>
      <c r="AI1401" s="757">
        <f t="shared" si="192"/>
        <v>0</v>
      </c>
      <c r="AJ1401" s="758">
        <f t="shared" si="193"/>
        <v>0</v>
      </c>
    </row>
    <row r="1402" spans="1:36" x14ac:dyDescent="0.2">
      <c r="A1402" s="1318" t="s">
        <v>151</v>
      </c>
      <c r="B1402" s="1319" t="s">
        <v>204</v>
      </c>
      <c r="C1402" s="1323" t="s">
        <v>1453</v>
      </c>
      <c r="D1402" s="1092"/>
      <c r="E1402" s="1078"/>
      <c r="F1402" s="1079"/>
      <c r="G1402" s="859"/>
      <c r="H1402" s="860"/>
      <c r="I1402" s="861"/>
      <c r="J1402" s="862"/>
      <c r="K1402" s="859"/>
      <c r="L1402" s="863"/>
      <c r="M1402" s="859"/>
      <c r="N1402" s="859"/>
      <c r="O1402" s="752">
        <f t="shared" si="186"/>
        <v>0</v>
      </c>
      <c r="P1402" s="862"/>
      <c r="Q1402" s="860"/>
      <c r="R1402" s="753">
        <f t="shared" si="189"/>
        <v>0</v>
      </c>
      <c r="S1402" s="752">
        <f t="shared" si="190"/>
        <v>0</v>
      </c>
      <c r="T1402" s="754">
        <f t="shared" si="191"/>
        <v>0</v>
      </c>
      <c r="U1402" s="859">
        <v>305698</v>
      </c>
      <c r="V1402" s="863">
        <v>330692</v>
      </c>
      <c r="W1402" s="859"/>
      <c r="X1402" s="859"/>
      <c r="Y1402" s="755">
        <f t="shared" si="187"/>
        <v>0</v>
      </c>
      <c r="Z1402" s="864"/>
      <c r="AA1402" s="863"/>
      <c r="AB1402" s="756">
        <f t="shared" si="188"/>
        <v>0</v>
      </c>
      <c r="AC1402" s="859"/>
      <c r="AD1402" s="863"/>
      <c r="AE1402" s="859"/>
      <c r="AF1402" s="859"/>
      <c r="AG1402" s="864"/>
      <c r="AH1402" s="865"/>
      <c r="AI1402" s="757">
        <f t="shared" si="192"/>
        <v>305698</v>
      </c>
      <c r="AJ1402" s="758">
        <f t="shared" si="193"/>
        <v>330692</v>
      </c>
    </row>
    <row r="1403" spans="1:36" x14ac:dyDescent="0.2">
      <c r="A1403" s="1318" t="s">
        <v>151</v>
      </c>
      <c r="B1403" s="1096" t="s">
        <v>205</v>
      </c>
      <c r="C1403" s="1097" t="s">
        <v>577</v>
      </c>
      <c r="D1403" s="1098"/>
      <c r="E1403" s="1078"/>
      <c r="F1403" s="1079"/>
      <c r="G1403" s="859"/>
      <c r="H1403" s="860"/>
      <c r="I1403" s="861"/>
      <c r="J1403" s="862"/>
      <c r="K1403" s="859"/>
      <c r="L1403" s="863"/>
      <c r="M1403" s="859"/>
      <c r="N1403" s="859"/>
      <c r="O1403" s="752">
        <f t="shared" si="186"/>
        <v>0</v>
      </c>
      <c r="P1403" s="862"/>
      <c r="Q1403" s="860"/>
      <c r="R1403" s="753">
        <f t="shared" si="189"/>
        <v>0</v>
      </c>
      <c r="S1403" s="752">
        <f t="shared" si="190"/>
        <v>0</v>
      </c>
      <c r="T1403" s="754">
        <f t="shared" si="191"/>
        <v>0</v>
      </c>
      <c r="U1403" s="859"/>
      <c r="V1403" s="863"/>
      <c r="W1403" s="859"/>
      <c r="X1403" s="859"/>
      <c r="Y1403" s="755">
        <f t="shared" si="187"/>
        <v>0</v>
      </c>
      <c r="Z1403" s="864"/>
      <c r="AA1403" s="863"/>
      <c r="AB1403" s="756">
        <f t="shared" si="188"/>
        <v>0</v>
      </c>
      <c r="AC1403" s="859"/>
      <c r="AD1403" s="863"/>
      <c r="AE1403" s="859"/>
      <c r="AF1403" s="859"/>
      <c r="AG1403" s="864"/>
      <c r="AH1403" s="865"/>
      <c r="AI1403" s="757">
        <f t="shared" si="192"/>
        <v>0</v>
      </c>
      <c r="AJ1403" s="758">
        <f t="shared" si="193"/>
        <v>0</v>
      </c>
    </row>
    <row r="1404" spans="1:36" x14ac:dyDescent="0.2">
      <c r="A1404" s="1318" t="s">
        <v>151</v>
      </c>
      <c r="B1404" s="1096" t="s">
        <v>218</v>
      </c>
      <c r="C1404" s="1097" t="s">
        <v>311</v>
      </c>
      <c r="D1404" s="1098"/>
      <c r="E1404" s="1078"/>
      <c r="F1404" s="1079"/>
      <c r="G1404" s="859"/>
      <c r="H1404" s="860"/>
      <c r="I1404" s="861"/>
      <c r="J1404" s="862"/>
      <c r="K1404" s="859"/>
      <c r="L1404" s="863"/>
      <c r="M1404" s="859"/>
      <c r="N1404" s="859"/>
      <c r="O1404" s="752">
        <f t="shared" si="186"/>
        <v>0</v>
      </c>
      <c r="P1404" s="862"/>
      <c r="Q1404" s="860"/>
      <c r="R1404" s="753">
        <f t="shared" si="189"/>
        <v>0</v>
      </c>
      <c r="S1404" s="752">
        <f t="shared" si="190"/>
        <v>0</v>
      </c>
      <c r="T1404" s="754">
        <f t="shared" si="191"/>
        <v>0</v>
      </c>
      <c r="U1404" s="859"/>
      <c r="V1404" s="863"/>
      <c r="W1404" s="859"/>
      <c r="X1404" s="859"/>
      <c r="Y1404" s="755">
        <f t="shared" si="187"/>
        <v>0</v>
      </c>
      <c r="Z1404" s="864"/>
      <c r="AA1404" s="863"/>
      <c r="AB1404" s="756">
        <f t="shared" si="188"/>
        <v>0</v>
      </c>
      <c r="AC1404" s="859"/>
      <c r="AD1404" s="863"/>
      <c r="AE1404" s="859"/>
      <c r="AF1404" s="859"/>
      <c r="AG1404" s="864"/>
      <c r="AH1404" s="865"/>
      <c r="AI1404" s="757">
        <f t="shared" si="192"/>
        <v>0</v>
      </c>
      <c r="AJ1404" s="758">
        <f t="shared" si="193"/>
        <v>0</v>
      </c>
    </row>
    <row r="1405" spans="1:36" x14ac:dyDescent="0.2">
      <c r="A1405" s="1318" t="s">
        <v>151</v>
      </c>
      <c r="B1405" s="1319" t="s">
        <v>219</v>
      </c>
      <c r="C1405" s="1323" t="s">
        <v>1453</v>
      </c>
      <c r="D1405" s="1092"/>
      <c r="E1405" s="1078"/>
      <c r="F1405" s="1079"/>
      <c r="G1405" s="859"/>
      <c r="H1405" s="860"/>
      <c r="I1405" s="861"/>
      <c r="J1405" s="862"/>
      <c r="K1405" s="859"/>
      <c r="L1405" s="863"/>
      <c r="M1405" s="859"/>
      <c r="N1405" s="859"/>
      <c r="O1405" s="752">
        <f t="shared" si="186"/>
        <v>0</v>
      </c>
      <c r="P1405" s="862"/>
      <c r="Q1405" s="860"/>
      <c r="R1405" s="753">
        <f t="shared" si="189"/>
        <v>0</v>
      </c>
      <c r="S1405" s="752">
        <f t="shared" si="190"/>
        <v>0</v>
      </c>
      <c r="T1405" s="754">
        <f t="shared" si="191"/>
        <v>0</v>
      </c>
      <c r="U1405" s="859"/>
      <c r="V1405" s="863"/>
      <c r="W1405" s="859"/>
      <c r="X1405" s="859"/>
      <c r="Y1405" s="755">
        <f t="shared" si="187"/>
        <v>0</v>
      </c>
      <c r="Z1405" s="864"/>
      <c r="AA1405" s="863"/>
      <c r="AB1405" s="756">
        <f t="shared" si="188"/>
        <v>0</v>
      </c>
      <c r="AC1405" s="859"/>
      <c r="AD1405" s="863"/>
      <c r="AE1405" s="859"/>
      <c r="AF1405" s="859"/>
      <c r="AG1405" s="864"/>
      <c r="AH1405" s="865"/>
      <c r="AI1405" s="757">
        <f t="shared" si="192"/>
        <v>0</v>
      </c>
      <c r="AJ1405" s="758">
        <f t="shared" si="193"/>
        <v>0</v>
      </c>
    </row>
    <row r="1406" spans="1:36" x14ac:dyDescent="0.2">
      <c r="A1406" s="1318" t="s">
        <v>151</v>
      </c>
      <c r="B1406" s="1336" t="s">
        <v>292</v>
      </c>
      <c r="C1406" s="1334" t="s">
        <v>1456</v>
      </c>
      <c r="D1406" s="1335"/>
      <c r="E1406" s="1078"/>
      <c r="F1406" s="1079"/>
      <c r="G1406" s="859"/>
      <c r="H1406" s="860"/>
      <c r="I1406" s="861"/>
      <c r="J1406" s="862"/>
      <c r="K1406" s="859"/>
      <c r="L1406" s="863"/>
      <c r="M1406" s="859"/>
      <c r="N1406" s="859"/>
      <c r="O1406" s="752">
        <f t="shared" si="186"/>
        <v>0</v>
      </c>
      <c r="P1406" s="862"/>
      <c r="Q1406" s="860"/>
      <c r="R1406" s="753">
        <f t="shared" si="189"/>
        <v>0</v>
      </c>
      <c r="S1406" s="752">
        <f t="shared" si="190"/>
        <v>0</v>
      </c>
      <c r="T1406" s="754">
        <f t="shared" si="191"/>
        <v>0</v>
      </c>
      <c r="U1406" s="859"/>
      <c r="V1406" s="863"/>
      <c r="W1406" s="859"/>
      <c r="X1406" s="859"/>
      <c r="Y1406" s="755">
        <f t="shared" si="187"/>
        <v>0</v>
      </c>
      <c r="Z1406" s="864"/>
      <c r="AA1406" s="863"/>
      <c r="AB1406" s="756">
        <f t="shared" si="188"/>
        <v>0</v>
      </c>
      <c r="AC1406" s="859"/>
      <c r="AD1406" s="863"/>
      <c r="AE1406" s="859"/>
      <c r="AF1406" s="859"/>
      <c r="AG1406" s="864"/>
      <c r="AH1406" s="865"/>
      <c r="AI1406" s="757">
        <f t="shared" si="192"/>
        <v>0</v>
      </c>
      <c r="AJ1406" s="758">
        <f t="shared" si="193"/>
        <v>0</v>
      </c>
    </row>
    <row r="1407" spans="1:36" x14ac:dyDescent="0.2">
      <c r="A1407" s="1318" t="s">
        <v>151</v>
      </c>
      <c r="B1407" s="1319" t="s">
        <v>209</v>
      </c>
      <c r="C1407" s="1323" t="s">
        <v>576</v>
      </c>
      <c r="D1407" s="1092"/>
      <c r="E1407" s="1078"/>
      <c r="F1407" s="1079"/>
      <c r="G1407" s="859"/>
      <c r="H1407" s="860"/>
      <c r="I1407" s="861"/>
      <c r="J1407" s="862"/>
      <c r="K1407" s="859"/>
      <c r="L1407" s="863"/>
      <c r="M1407" s="859"/>
      <c r="N1407" s="859"/>
      <c r="O1407" s="752">
        <f t="shared" si="186"/>
        <v>0</v>
      </c>
      <c r="P1407" s="862"/>
      <c r="Q1407" s="860"/>
      <c r="R1407" s="753">
        <f t="shared" si="189"/>
        <v>0</v>
      </c>
      <c r="S1407" s="752">
        <f t="shared" si="190"/>
        <v>0</v>
      </c>
      <c r="T1407" s="754">
        <f t="shared" si="191"/>
        <v>0</v>
      </c>
      <c r="U1407" s="859"/>
      <c r="V1407" s="863"/>
      <c r="W1407" s="859"/>
      <c r="X1407" s="859"/>
      <c r="Y1407" s="755">
        <f t="shared" si="187"/>
        <v>0</v>
      </c>
      <c r="Z1407" s="864"/>
      <c r="AA1407" s="863"/>
      <c r="AB1407" s="756">
        <f t="shared" si="188"/>
        <v>0</v>
      </c>
      <c r="AC1407" s="859"/>
      <c r="AD1407" s="863"/>
      <c r="AE1407" s="859"/>
      <c r="AF1407" s="859"/>
      <c r="AG1407" s="864"/>
      <c r="AH1407" s="865"/>
      <c r="AI1407" s="757">
        <f t="shared" si="192"/>
        <v>0</v>
      </c>
      <c r="AJ1407" s="758">
        <f t="shared" si="193"/>
        <v>0</v>
      </c>
    </row>
    <row r="1408" spans="1:36" x14ac:dyDescent="0.2">
      <c r="A1408" s="1318" t="s">
        <v>151</v>
      </c>
      <c r="B1408" s="1319" t="s">
        <v>210</v>
      </c>
      <c r="C1408" s="1323" t="s">
        <v>311</v>
      </c>
      <c r="D1408" s="1092"/>
      <c r="E1408" s="1078"/>
      <c r="F1408" s="1079"/>
      <c r="G1408" s="859"/>
      <c r="H1408" s="860"/>
      <c r="I1408" s="861"/>
      <c r="J1408" s="862"/>
      <c r="K1408" s="859"/>
      <c r="L1408" s="863"/>
      <c r="M1408" s="859"/>
      <c r="N1408" s="859"/>
      <c r="O1408" s="752">
        <f t="shared" si="186"/>
        <v>0</v>
      </c>
      <c r="P1408" s="862"/>
      <c r="Q1408" s="860"/>
      <c r="R1408" s="753">
        <f t="shared" si="189"/>
        <v>0</v>
      </c>
      <c r="S1408" s="752">
        <f t="shared" si="190"/>
        <v>0</v>
      </c>
      <c r="T1408" s="754">
        <f t="shared" si="191"/>
        <v>0</v>
      </c>
      <c r="U1408" s="859"/>
      <c r="V1408" s="863"/>
      <c r="W1408" s="859"/>
      <c r="X1408" s="859"/>
      <c r="Y1408" s="755">
        <f t="shared" si="187"/>
        <v>0</v>
      </c>
      <c r="Z1408" s="864"/>
      <c r="AA1408" s="863"/>
      <c r="AB1408" s="756">
        <f t="shared" si="188"/>
        <v>0</v>
      </c>
      <c r="AC1408" s="859"/>
      <c r="AD1408" s="863"/>
      <c r="AE1408" s="859"/>
      <c r="AF1408" s="859"/>
      <c r="AG1408" s="864"/>
      <c r="AH1408" s="865"/>
      <c r="AI1408" s="757">
        <f t="shared" si="192"/>
        <v>0</v>
      </c>
      <c r="AJ1408" s="758">
        <f t="shared" si="193"/>
        <v>0</v>
      </c>
    </row>
    <row r="1409" spans="1:36" x14ac:dyDescent="0.2">
      <c r="A1409" s="1318" t="s">
        <v>151</v>
      </c>
      <c r="B1409" s="1319" t="s">
        <v>204</v>
      </c>
      <c r="C1409" s="1323" t="s">
        <v>1453</v>
      </c>
      <c r="D1409" s="1092"/>
      <c r="E1409" s="1078"/>
      <c r="F1409" s="1079"/>
      <c r="G1409" s="859"/>
      <c r="H1409" s="860"/>
      <c r="I1409" s="861"/>
      <c r="J1409" s="862"/>
      <c r="K1409" s="859"/>
      <c r="L1409" s="863"/>
      <c r="M1409" s="859"/>
      <c r="N1409" s="859"/>
      <c r="O1409" s="752">
        <f t="shared" si="186"/>
        <v>0</v>
      </c>
      <c r="P1409" s="862"/>
      <c r="Q1409" s="860"/>
      <c r="R1409" s="753">
        <f t="shared" si="189"/>
        <v>0</v>
      </c>
      <c r="S1409" s="752">
        <f t="shared" si="190"/>
        <v>0</v>
      </c>
      <c r="T1409" s="754">
        <f t="shared" si="191"/>
        <v>0</v>
      </c>
      <c r="U1409" s="859">
        <v>1857000</v>
      </c>
      <c r="V1409" s="863">
        <v>1179000</v>
      </c>
      <c r="W1409" s="859"/>
      <c r="X1409" s="859"/>
      <c r="Y1409" s="755">
        <f t="shared" si="187"/>
        <v>0</v>
      </c>
      <c r="Z1409" s="864"/>
      <c r="AA1409" s="863"/>
      <c r="AB1409" s="756">
        <f t="shared" si="188"/>
        <v>0</v>
      </c>
      <c r="AC1409" s="859"/>
      <c r="AD1409" s="863"/>
      <c r="AE1409" s="859"/>
      <c r="AF1409" s="859"/>
      <c r="AG1409" s="864"/>
      <c r="AH1409" s="865"/>
      <c r="AI1409" s="757">
        <f t="shared" si="192"/>
        <v>1857000</v>
      </c>
      <c r="AJ1409" s="758">
        <f t="shared" si="193"/>
        <v>1179000</v>
      </c>
    </row>
    <row r="1410" spans="1:36" x14ac:dyDescent="0.2">
      <c r="A1410" s="1318" t="s">
        <v>151</v>
      </c>
      <c r="B1410" s="1096" t="s">
        <v>205</v>
      </c>
      <c r="C1410" s="1097" t="s">
        <v>577</v>
      </c>
      <c r="D1410" s="1098"/>
      <c r="E1410" s="1078"/>
      <c r="F1410" s="1079"/>
      <c r="G1410" s="859"/>
      <c r="H1410" s="860"/>
      <c r="I1410" s="861"/>
      <c r="J1410" s="862"/>
      <c r="K1410" s="859"/>
      <c r="L1410" s="863"/>
      <c r="M1410" s="859"/>
      <c r="N1410" s="859"/>
      <c r="O1410" s="752">
        <f t="shared" si="186"/>
        <v>0</v>
      </c>
      <c r="P1410" s="862"/>
      <c r="Q1410" s="860"/>
      <c r="R1410" s="753">
        <f t="shared" si="189"/>
        <v>0</v>
      </c>
      <c r="S1410" s="752">
        <f t="shared" si="190"/>
        <v>0</v>
      </c>
      <c r="T1410" s="754">
        <f t="shared" si="191"/>
        <v>0</v>
      </c>
      <c r="U1410" s="859"/>
      <c r="V1410" s="863"/>
      <c r="W1410" s="859"/>
      <c r="X1410" s="859"/>
      <c r="Y1410" s="755">
        <f t="shared" si="187"/>
        <v>0</v>
      </c>
      <c r="Z1410" s="864"/>
      <c r="AA1410" s="863"/>
      <c r="AB1410" s="756">
        <f t="shared" si="188"/>
        <v>0</v>
      </c>
      <c r="AC1410" s="859"/>
      <c r="AD1410" s="863"/>
      <c r="AE1410" s="859"/>
      <c r="AF1410" s="859"/>
      <c r="AG1410" s="864"/>
      <c r="AH1410" s="865"/>
      <c r="AI1410" s="757">
        <f t="shared" si="192"/>
        <v>0</v>
      </c>
      <c r="AJ1410" s="758">
        <f t="shared" si="193"/>
        <v>0</v>
      </c>
    </row>
    <row r="1411" spans="1:36" x14ac:dyDescent="0.2">
      <c r="A1411" s="1318" t="s">
        <v>151</v>
      </c>
      <c r="B1411" s="1096" t="s">
        <v>218</v>
      </c>
      <c r="C1411" s="1097" t="s">
        <v>311</v>
      </c>
      <c r="D1411" s="1098"/>
      <c r="E1411" s="1078"/>
      <c r="F1411" s="1079"/>
      <c r="G1411" s="859"/>
      <c r="H1411" s="860"/>
      <c r="I1411" s="861"/>
      <c r="J1411" s="862"/>
      <c r="K1411" s="859"/>
      <c r="L1411" s="863"/>
      <c r="M1411" s="859"/>
      <c r="N1411" s="859"/>
      <c r="O1411" s="752">
        <f t="shared" si="186"/>
        <v>0</v>
      </c>
      <c r="P1411" s="862"/>
      <c r="Q1411" s="860"/>
      <c r="R1411" s="753">
        <f t="shared" si="189"/>
        <v>0</v>
      </c>
      <c r="S1411" s="752">
        <f t="shared" si="190"/>
        <v>0</v>
      </c>
      <c r="T1411" s="754">
        <f t="shared" si="191"/>
        <v>0</v>
      </c>
      <c r="U1411" s="859"/>
      <c r="V1411" s="863"/>
      <c r="W1411" s="859"/>
      <c r="X1411" s="859"/>
      <c r="Y1411" s="755">
        <f t="shared" si="187"/>
        <v>0</v>
      </c>
      <c r="Z1411" s="864"/>
      <c r="AA1411" s="863"/>
      <c r="AB1411" s="756">
        <f t="shared" si="188"/>
        <v>0</v>
      </c>
      <c r="AC1411" s="859"/>
      <c r="AD1411" s="863"/>
      <c r="AE1411" s="859"/>
      <c r="AF1411" s="859"/>
      <c r="AG1411" s="864"/>
      <c r="AH1411" s="865"/>
      <c r="AI1411" s="757">
        <f t="shared" si="192"/>
        <v>0</v>
      </c>
      <c r="AJ1411" s="758">
        <f t="shared" si="193"/>
        <v>0</v>
      </c>
    </row>
    <row r="1412" spans="1:36" x14ac:dyDescent="0.2">
      <c r="A1412" s="1318" t="s">
        <v>151</v>
      </c>
      <c r="B1412" s="1319" t="s">
        <v>219</v>
      </c>
      <c r="C1412" s="1323" t="s">
        <v>1453</v>
      </c>
      <c r="D1412" s="1092"/>
      <c r="E1412" s="1078"/>
      <c r="F1412" s="1079"/>
      <c r="G1412" s="859"/>
      <c r="H1412" s="860"/>
      <c r="I1412" s="861"/>
      <c r="J1412" s="862"/>
      <c r="K1412" s="859"/>
      <c r="L1412" s="863"/>
      <c r="M1412" s="859"/>
      <c r="N1412" s="859"/>
      <c r="O1412" s="752">
        <f t="shared" si="186"/>
        <v>0</v>
      </c>
      <c r="P1412" s="862"/>
      <c r="Q1412" s="860"/>
      <c r="R1412" s="753">
        <f t="shared" si="189"/>
        <v>0</v>
      </c>
      <c r="S1412" s="752">
        <f t="shared" si="190"/>
        <v>0</v>
      </c>
      <c r="T1412" s="754">
        <f t="shared" si="191"/>
        <v>0</v>
      </c>
      <c r="U1412" s="859">
        <v>421500</v>
      </c>
      <c r="V1412" s="863">
        <v>262500</v>
      </c>
      <c r="W1412" s="859"/>
      <c r="X1412" s="859"/>
      <c r="Y1412" s="755">
        <f t="shared" si="187"/>
        <v>0</v>
      </c>
      <c r="Z1412" s="864"/>
      <c r="AA1412" s="863"/>
      <c r="AB1412" s="756">
        <f t="shared" si="188"/>
        <v>0</v>
      </c>
      <c r="AC1412" s="859"/>
      <c r="AD1412" s="863"/>
      <c r="AE1412" s="859"/>
      <c r="AF1412" s="859"/>
      <c r="AG1412" s="864"/>
      <c r="AH1412" s="865"/>
      <c r="AI1412" s="757">
        <f t="shared" si="192"/>
        <v>421500</v>
      </c>
      <c r="AJ1412" s="758">
        <f t="shared" si="193"/>
        <v>262500</v>
      </c>
    </row>
    <row r="1413" spans="1:36" x14ac:dyDescent="0.2">
      <c r="A1413" s="1318" t="s">
        <v>151</v>
      </c>
      <c r="B1413" s="1336" t="s">
        <v>292</v>
      </c>
      <c r="C1413" s="1334" t="s">
        <v>1457</v>
      </c>
      <c r="D1413" s="1335"/>
      <c r="E1413" s="1078"/>
      <c r="F1413" s="1079"/>
      <c r="G1413" s="859"/>
      <c r="H1413" s="860"/>
      <c r="I1413" s="861"/>
      <c r="J1413" s="862"/>
      <c r="K1413" s="859"/>
      <c r="L1413" s="863"/>
      <c r="M1413" s="859"/>
      <c r="N1413" s="859"/>
      <c r="O1413" s="752">
        <f t="shared" si="186"/>
        <v>0</v>
      </c>
      <c r="P1413" s="862"/>
      <c r="Q1413" s="860"/>
      <c r="R1413" s="753">
        <f t="shared" si="189"/>
        <v>0</v>
      </c>
      <c r="S1413" s="752">
        <f t="shared" si="190"/>
        <v>0</v>
      </c>
      <c r="T1413" s="754">
        <f t="shared" si="191"/>
        <v>0</v>
      </c>
      <c r="U1413" s="859"/>
      <c r="V1413" s="863"/>
      <c r="W1413" s="859"/>
      <c r="X1413" s="859"/>
      <c r="Y1413" s="755">
        <f t="shared" si="187"/>
        <v>0</v>
      </c>
      <c r="Z1413" s="864"/>
      <c r="AA1413" s="863"/>
      <c r="AB1413" s="756">
        <f t="shared" si="188"/>
        <v>0</v>
      </c>
      <c r="AC1413" s="859"/>
      <c r="AD1413" s="863"/>
      <c r="AE1413" s="859"/>
      <c r="AF1413" s="859"/>
      <c r="AG1413" s="864"/>
      <c r="AH1413" s="865"/>
      <c r="AI1413" s="757">
        <f t="shared" si="192"/>
        <v>0</v>
      </c>
      <c r="AJ1413" s="758">
        <f t="shared" si="193"/>
        <v>0</v>
      </c>
    </row>
    <row r="1414" spans="1:36" x14ac:dyDescent="0.2">
      <c r="A1414" s="1318" t="s">
        <v>151</v>
      </c>
      <c r="B1414" s="1319" t="s">
        <v>209</v>
      </c>
      <c r="C1414" s="1323" t="s">
        <v>576</v>
      </c>
      <c r="D1414" s="1092"/>
      <c r="E1414" s="1078"/>
      <c r="F1414" s="1079"/>
      <c r="G1414" s="859"/>
      <c r="H1414" s="860"/>
      <c r="I1414" s="861"/>
      <c r="J1414" s="862"/>
      <c r="K1414" s="859"/>
      <c r="L1414" s="863"/>
      <c r="M1414" s="859"/>
      <c r="N1414" s="859"/>
      <c r="O1414" s="752">
        <f t="shared" si="186"/>
        <v>0</v>
      </c>
      <c r="P1414" s="862"/>
      <c r="Q1414" s="860"/>
      <c r="R1414" s="753">
        <f t="shared" si="189"/>
        <v>0</v>
      </c>
      <c r="S1414" s="752">
        <f t="shared" si="190"/>
        <v>0</v>
      </c>
      <c r="T1414" s="754">
        <f t="shared" si="191"/>
        <v>0</v>
      </c>
      <c r="U1414" s="859"/>
      <c r="V1414" s="863"/>
      <c r="W1414" s="859"/>
      <c r="X1414" s="859"/>
      <c r="Y1414" s="755">
        <f t="shared" si="187"/>
        <v>0</v>
      </c>
      <c r="Z1414" s="864"/>
      <c r="AA1414" s="863"/>
      <c r="AB1414" s="756">
        <f t="shared" si="188"/>
        <v>0</v>
      </c>
      <c r="AC1414" s="859"/>
      <c r="AD1414" s="863"/>
      <c r="AE1414" s="859"/>
      <c r="AF1414" s="859"/>
      <c r="AG1414" s="864"/>
      <c r="AH1414" s="865"/>
      <c r="AI1414" s="757">
        <f t="shared" si="192"/>
        <v>0</v>
      </c>
      <c r="AJ1414" s="758">
        <f t="shared" si="193"/>
        <v>0</v>
      </c>
    </row>
    <row r="1415" spans="1:36" x14ac:dyDescent="0.2">
      <c r="A1415" s="1318" t="s">
        <v>151</v>
      </c>
      <c r="B1415" s="1319" t="s">
        <v>210</v>
      </c>
      <c r="C1415" s="1323" t="s">
        <v>311</v>
      </c>
      <c r="D1415" s="1092"/>
      <c r="E1415" s="1078"/>
      <c r="F1415" s="1079"/>
      <c r="G1415" s="859"/>
      <c r="H1415" s="860"/>
      <c r="I1415" s="861"/>
      <c r="J1415" s="862"/>
      <c r="K1415" s="859"/>
      <c r="L1415" s="863"/>
      <c r="M1415" s="859"/>
      <c r="N1415" s="859"/>
      <c r="O1415" s="752">
        <f t="shared" si="186"/>
        <v>0</v>
      </c>
      <c r="P1415" s="862"/>
      <c r="Q1415" s="860"/>
      <c r="R1415" s="753">
        <f t="shared" si="189"/>
        <v>0</v>
      </c>
      <c r="S1415" s="752">
        <f t="shared" si="190"/>
        <v>0</v>
      </c>
      <c r="T1415" s="754">
        <f t="shared" si="191"/>
        <v>0</v>
      </c>
      <c r="U1415" s="859"/>
      <c r="V1415" s="863"/>
      <c r="W1415" s="859"/>
      <c r="X1415" s="859"/>
      <c r="Y1415" s="755">
        <f t="shared" si="187"/>
        <v>0</v>
      </c>
      <c r="Z1415" s="864"/>
      <c r="AA1415" s="863"/>
      <c r="AB1415" s="756">
        <f t="shared" si="188"/>
        <v>0</v>
      </c>
      <c r="AC1415" s="859"/>
      <c r="AD1415" s="863"/>
      <c r="AE1415" s="859"/>
      <c r="AF1415" s="859"/>
      <c r="AG1415" s="864"/>
      <c r="AH1415" s="865"/>
      <c r="AI1415" s="757">
        <f t="shared" si="192"/>
        <v>0</v>
      </c>
      <c r="AJ1415" s="758">
        <f t="shared" si="193"/>
        <v>0</v>
      </c>
    </row>
    <row r="1416" spans="1:36" x14ac:dyDescent="0.2">
      <c r="A1416" s="1318" t="s">
        <v>151</v>
      </c>
      <c r="B1416" s="1319" t="s">
        <v>204</v>
      </c>
      <c r="C1416" s="1323" t="s">
        <v>1453</v>
      </c>
      <c r="D1416" s="1092"/>
      <c r="E1416" s="1078"/>
      <c r="F1416" s="1079"/>
      <c r="G1416" s="859"/>
      <c r="H1416" s="860"/>
      <c r="I1416" s="861"/>
      <c r="J1416" s="862"/>
      <c r="K1416" s="859"/>
      <c r="L1416" s="863"/>
      <c r="M1416" s="859"/>
      <c r="N1416" s="859"/>
      <c r="O1416" s="752">
        <f t="shared" si="186"/>
        <v>0</v>
      </c>
      <c r="P1416" s="862"/>
      <c r="Q1416" s="860"/>
      <c r="R1416" s="753">
        <f t="shared" si="189"/>
        <v>0</v>
      </c>
      <c r="S1416" s="752">
        <f t="shared" si="190"/>
        <v>0</v>
      </c>
      <c r="T1416" s="754">
        <f t="shared" si="191"/>
        <v>0</v>
      </c>
      <c r="U1416" s="859"/>
      <c r="V1416" s="863"/>
      <c r="W1416" s="859"/>
      <c r="X1416" s="859"/>
      <c r="Y1416" s="755">
        <f t="shared" si="187"/>
        <v>0</v>
      </c>
      <c r="Z1416" s="864"/>
      <c r="AA1416" s="863"/>
      <c r="AB1416" s="756">
        <f t="shared" si="188"/>
        <v>0</v>
      </c>
      <c r="AC1416" s="859"/>
      <c r="AD1416" s="863"/>
      <c r="AE1416" s="859"/>
      <c r="AF1416" s="859"/>
      <c r="AG1416" s="864"/>
      <c r="AH1416" s="865"/>
      <c r="AI1416" s="757">
        <f t="shared" si="192"/>
        <v>0</v>
      </c>
      <c r="AJ1416" s="758">
        <f t="shared" si="193"/>
        <v>0</v>
      </c>
    </row>
    <row r="1417" spans="1:36" x14ac:dyDescent="0.2">
      <c r="A1417" s="1318" t="s">
        <v>151</v>
      </c>
      <c r="B1417" s="1096" t="s">
        <v>205</v>
      </c>
      <c r="C1417" s="1097" t="s">
        <v>577</v>
      </c>
      <c r="D1417" s="1098"/>
      <c r="E1417" s="1078"/>
      <c r="F1417" s="1079"/>
      <c r="G1417" s="859"/>
      <c r="H1417" s="860"/>
      <c r="I1417" s="861"/>
      <c r="J1417" s="862"/>
      <c r="K1417" s="859"/>
      <c r="L1417" s="863"/>
      <c r="M1417" s="861"/>
      <c r="N1417" s="859"/>
      <c r="O1417" s="752">
        <f t="shared" si="186"/>
        <v>0</v>
      </c>
      <c r="P1417" s="862"/>
      <c r="Q1417" s="860"/>
      <c r="R1417" s="753">
        <f t="shared" si="189"/>
        <v>0</v>
      </c>
      <c r="S1417" s="752">
        <f t="shared" si="190"/>
        <v>0</v>
      </c>
      <c r="T1417" s="754">
        <f t="shared" si="191"/>
        <v>0</v>
      </c>
      <c r="U1417" s="859"/>
      <c r="V1417" s="863"/>
      <c r="W1417" s="859"/>
      <c r="X1417" s="859"/>
      <c r="Y1417" s="755">
        <f t="shared" si="187"/>
        <v>0</v>
      </c>
      <c r="Z1417" s="864"/>
      <c r="AA1417" s="863"/>
      <c r="AB1417" s="756">
        <f t="shared" si="188"/>
        <v>0</v>
      </c>
      <c r="AC1417" s="859"/>
      <c r="AD1417" s="863"/>
      <c r="AE1417" s="859"/>
      <c r="AF1417" s="859"/>
      <c r="AG1417" s="864"/>
      <c r="AH1417" s="865"/>
      <c r="AI1417" s="757">
        <f t="shared" si="192"/>
        <v>0</v>
      </c>
      <c r="AJ1417" s="758">
        <f t="shared" si="193"/>
        <v>0</v>
      </c>
    </row>
    <row r="1418" spans="1:36" x14ac:dyDescent="0.2">
      <c r="A1418" s="1318" t="s">
        <v>151</v>
      </c>
      <c r="B1418" s="1096" t="s">
        <v>218</v>
      </c>
      <c r="C1418" s="1097" t="s">
        <v>311</v>
      </c>
      <c r="D1418" s="1098"/>
      <c r="E1418" s="1078"/>
      <c r="F1418" s="1079"/>
      <c r="G1418" s="859"/>
      <c r="H1418" s="860"/>
      <c r="I1418" s="861"/>
      <c r="J1418" s="862"/>
      <c r="K1418" s="859"/>
      <c r="L1418" s="863"/>
      <c r="M1418" s="861"/>
      <c r="N1418" s="859"/>
      <c r="O1418" s="752">
        <f t="shared" si="186"/>
        <v>0</v>
      </c>
      <c r="P1418" s="862"/>
      <c r="Q1418" s="860"/>
      <c r="R1418" s="753">
        <f t="shared" si="189"/>
        <v>0</v>
      </c>
      <c r="S1418" s="752">
        <f t="shared" si="190"/>
        <v>0</v>
      </c>
      <c r="T1418" s="754">
        <f t="shared" si="191"/>
        <v>0</v>
      </c>
      <c r="U1418" s="859">
        <v>125750</v>
      </c>
      <c r="V1418" s="863">
        <v>117000</v>
      </c>
      <c r="W1418" s="859"/>
      <c r="X1418" s="859"/>
      <c r="Y1418" s="755">
        <f t="shared" si="187"/>
        <v>0</v>
      </c>
      <c r="Z1418" s="864"/>
      <c r="AA1418" s="863"/>
      <c r="AB1418" s="756">
        <f t="shared" si="188"/>
        <v>0</v>
      </c>
      <c r="AC1418" s="859"/>
      <c r="AD1418" s="863"/>
      <c r="AE1418" s="859"/>
      <c r="AF1418" s="859"/>
      <c r="AG1418" s="864"/>
      <c r="AH1418" s="865"/>
      <c r="AI1418" s="757">
        <f t="shared" si="192"/>
        <v>125750</v>
      </c>
      <c r="AJ1418" s="758">
        <f t="shared" si="193"/>
        <v>117000</v>
      </c>
    </row>
    <row r="1419" spans="1:36" x14ac:dyDescent="0.2">
      <c r="A1419" s="1318" t="s">
        <v>151</v>
      </c>
      <c r="B1419" s="1319" t="s">
        <v>219</v>
      </c>
      <c r="C1419" s="1323" t="s">
        <v>1453</v>
      </c>
      <c r="D1419" s="1092"/>
      <c r="E1419" s="1078"/>
      <c r="F1419" s="1079"/>
      <c r="G1419" s="859"/>
      <c r="H1419" s="860"/>
      <c r="I1419" s="861"/>
      <c r="J1419" s="862"/>
      <c r="K1419" s="859"/>
      <c r="L1419" s="863"/>
      <c r="M1419" s="861"/>
      <c r="N1419" s="859"/>
      <c r="O1419" s="752">
        <f t="shared" ref="O1419:O1482" si="194">SUM(M1419:N1419)</f>
        <v>0</v>
      </c>
      <c r="P1419" s="862"/>
      <c r="Q1419" s="860"/>
      <c r="R1419" s="753">
        <f t="shared" si="189"/>
        <v>0</v>
      </c>
      <c r="S1419" s="752">
        <f t="shared" si="190"/>
        <v>0</v>
      </c>
      <c r="T1419" s="754">
        <f t="shared" si="191"/>
        <v>0</v>
      </c>
      <c r="U1419" s="859"/>
      <c r="V1419" s="863"/>
      <c r="W1419" s="859"/>
      <c r="X1419" s="859"/>
      <c r="Y1419" s="755">
        <f t="shared" ref="Y1419:Y1482" si="195">SUM(W1419:X1419)</f>
        <v>0</v>
      </c>
      <c r="Z1419" s="864"/>
      <c r="AA1419" s="863"/>
      <c r="AB1419" s="756">
        <f t="shared" ref="AB1419:AB1482" si="196">SUM(Z1419:AA1419)</f>
        <v>0</v>
      </c>
      <c r="AC1419" s="859"/>
      <c r="AD1419" s="863"/>
      <c r="AE1419" s="859"/>
      <c r="AF1419" s="859"/>
      <c r="AG1419" s="864"/>
      <c r="AH1419" s="865"/>
      <c r="AI1419" s="757">
        <f t="shared" si="192"/>
        <v>0</v>
      </c>
      <c r="AJ1419" s="758">
        <f t="shared" si="193"/>
        <v>0</v>
      </c>
    </row>
    <row r="1420" spans="1:36" x14ac:dyDescent="0.2">
      <c r="A1420" s="1318" t="s">
        <v>151</v>
      </c>
      <c r="B1420" s="1336" t="s">
        <v>292</v>
      </c>
      <c r="C1420" s="1334" t="s">
        <v>1458</v>
      </c>
      <c r="D1420" s="1335"/>
      <c r="E1420" s="1078"/>
      <c r="F1420" s="1079"/>
      <c r="G1420" s="859"/>
      <c r="H1420" s="860"/>
      <c r="I1420" s="861"/>
      <c r="J1420" s="862"/>
      <c r="K1420" s="859"/>
      <c r="L1420" s="863"/>
      <c r="M1420" s="861"/>
      <c r="N1420" s="859"/>
      <c r="O1420" s="752">
        <f t="shared" si="194"/>
        <v>0</v>
      </c>
      <c r="P1420" s="862"/>
      <c r="Q1420" s="860"/>
      <c r="R1420" s="753">
        <f t="shared" ref="R1420:R1483" si="197">SUM(P1420:Q1420)</f>
        <v>0</v>
      </c>
      <c r="S1420" s="752">
        <f t="shared" ref="S1420:S1483" si="198">SUM(G1420,I1420,K1420,M1420)</f>
        <v>0</v>
      </c>
      <c r="T1420" s="754">
        <f t="shared" ref="T1420:T1483" si="199">SUM(H1420,J1420,L1420,P1420)</f>
        <v>0</v>
      </c>
      <c r="U1420" s="859"/>
      <c r="V1420" s="863"/>
      <c r="W1420" s="859"/>
      <c r="X1420" s="859"/>
      <c r="Y1420" s="755">
        <f t="shared" si="195"/>
        <v>0</v>
      </c>
      <c r="Z1420" s="864"/>
      <c r="AA1420" s="863"/>
      <c r="AB1420" s="756">
        <f t="shared" si="196"/>
        <v>0</v>
      </c>
      <c r="AC1420" s="859"/>
      <c r="AD1420" s="863"/>
      <c r="AE1420" s="859"/>
      <c r="AF1420" s="859"/>
      <c r="AG1420" s="864"/>
      <c r="AH1420" s="865"/>
      <c r="AI1420" s="757">
        <f t="shared" ref="AI1420:AI1483" si="200">SUM(S1420,U1420,W1420,AC1420,AE1420)</f>
        <v>0</v>
      </c>
      <c r="AJ1420" s="758">
        <f t="shared" ref="AJ1420:AJ1483" si="201">SUM(T1420,V1420,Z1420,AD1420,AG1420)</f>
        <v>0</v>
      </c>
    </row>
    <row r="1421" spans="1:36" x14ac:dyDescent="0.2">
      <c r="A1421" s="1318" t="s">
        <v>151</v>
      </c>
      <c r="B1421" s="1319" t="s">
        <v>209</v>
      </c>
      <c r="C1421" s="1323" t="s">
        <v>576</v>
      </c>
      <c r="D1421" s="1092"/>
      <c r="E1421" s="1078"/>
      <c r="F1421" s="1079"/>
      <c r="G1421" s="859"/>
      <c r="H1421" s="860"/>
      <c r="I1421" s="861"/>
      <c r="J1421" s="862"/>
      <c r="K1421" s="859"/>
      <c r="L1421" s="863"/>
      <c r="M1421" s="861"/>
      <c r="N1421" s="859"/>
      <c r="O1421" s="752">
        <f t="shared" si="194"/>
        <v>0</v>
      </c>
      <c r="P1421" s="862"/>
      <c r="Q1421" s="860"/>
      <c r="R1421" s="753">
        <f t="shared" si="197"/>
        <v>0</v>
      </c>
      <c r="S1421" s="752">
        <f t="shared" si="198"/>
        <v>0</v>
      </c>
      <c r="T1421" s="754">
        <f t="shared" si="199"/>
        <v>0</v>
      </c>
      <c r="U1421" s="859"/>
      <c r="V1421" s="863"/>
      <c r="W1421" s="859"/>
      <c r="X1421" s="859"/>
      <c r="Y1421" s="755">
        <f t="shared" si="195"/>
        <v>0</v>
      </c>
      <c r="Z1421" s="864"/>
      <c r="AA1421" s="863"/>
      <c r="AB1421" s="756">
        <f t="shared" si="196"/>
        <v>0</v>
      </c>
      <c r="AC1421" s="859"/>
      <c r="AD1421" s="863"/>
      <c r="AE1421" s="859"/>
      <c r="AF1421" s="859"/>
      <c r="AG1421" s="864"/>
      <c r="AH1421" s="865"/>
      <c r="AI1421" s="757">
        <f t="shared" si="200"/>
        <v>0</v>
      </c>
      <c r="AJ1421" s="758">
        <f t="shared" si="201"/>
        <v>0</v>
      </c>
    </row>
    <row r="1422" spans="1:36" x14ac:dyDescent="0.2">
      <c r="A1422" s="1318" t="s">
        <v>151</v>
      </c>
      <c r="B1422" s="1319" t="s">
        <v>210</v>
      </c>
      <c r="C1422" s="1323" t="s">
        <v>311</v>
      </c>
      <c r="D1422" s="1092"/>
      <c r="E1422" s="1078"/>
      <c r="F1422" s="1079"/>
      <c r="G1422" s="859"/>
      <c r="H1422" s="860"/>
      <c r="I1422" s="861"/>
      <c r="J1422" s="862"/>
      <c r="K1422" s="859"/>
      <c r="L1422" s="863"/>
      <c r="M1422" s="861"/>
      <c r="N1422" s="859"/>
      <c r="O1422" s="752">
        <f t="shared" si="194"/>
        <v>0</v>
      </c>
      <c r="P1422" s="862"/>
      <c r="Q1422" s="860"/>
      <c r="R1422" s="753">
        <f t="shared" si="197"/>
        <v>0</v>
      </c>
      <c r="S1422" s="752">
        <f t="shared" si="198"/>
        <v>0</v>
      </c>
      <c r="T1422" s="754">
        <f t="shared" si="199"/>
        <v>0</v>
      </c>
      <c r="U1422" s="859"/>
      <c r="V1422" s="863"/>
      <c r="W1422" s="859"/>
      <c r="X1422" s="859"/>
      <c r="Y1422" s="755">
        <f t="shared" si="195"/>
        <v>0</v>
      </c>
      <c r="Z1422" s="864"/>
      <c r="AA1422" s="863"/>
      <c r="AB1422" s="756">
        <f t="shared" si="196"/>
        <v>0</v>
      </c>
      <c r="AC1422" s="859"/>
      <c r="AD1422" s="863"/>
      <c r="AE1422" s="859"/>
      <c r="AF1422" s="859"/>
      <c r="AG1422" s="864"/>
      <c r="AH1422" s="865"/>
      <c r="AI1422" s="757">
        <f t="shared" si="200"/>
        <v>0</v>
      </c>
      <c r="AJ1422" s="758">
        <f t="shared" si="201"/>
        <v>0</v>
      </c>
    </row>
    <row r="1423" spans="1:36" x14ac:dyDescent="0.2">
      <c r="A1423" s="1318" t="s">
        <v>151</v>
      </c>
      <c r="B1423" s="1319" t="s">
        <v>204</v>
      </c>
      <c r="C1423" s="1323" t="s">
        <v>1453</v>
      </c>
      <c r="D1423" s="1092"/>
      <c r="E1423" s="1078"/>
      <c r="F1423" s="1079"/>
      <c r="G1423" s="859"/>
      <c r="H1423" s="860"/>
      <c r="I1423" s="861"/>
      <c r="J1423" s="862"/>
      <c r="K1423" s="859"/>
      <c r="L1423" s="863"/>
      <c r="M1423" s="861"/>
      <c r="N1423" s="859"/>
      <c r="O1423" s="752">
        <f t="shared" si="194"/>
        <v>0</v>
      </c>
      <c r="P1423" s="862"/>
      <c r="Q1423" s="860"/>
      <c r="R1423" s="753">
        <f t="shared" si="197"/>
        <v>0</v>
      </c>
      <c r="S1423" s="752">
        <f t="shared" si="198"/>
        <v>0</v>
      </c>
      <c r="T1423" s="754">
        <f t="shared" si="199"/>
        <v>0</v>
      </c>
      <c r="U1423" s="859">
        <v>0</v>
      </c>
      <c r="V1423" s="863"/>
      <c r="W1423" s="859"/>
      <c r="X1423" s="859"/>
      <c r="Y1423" s="755">
        <f t="shared" si="195"/>
        <v>0</v>
      </c>
      <c r="Z1423" s="864"/>
      <c r="AA1423" s="863"/>
      <c r="AB1423" s="756">
        <f t="shared" si="196"/>
        <v>0</v>
      </c>
      <c r="AC1423" s="859"/>
      <c r="AD1423" s="863"/>
      <c r="AE1423" s="859"/>
      <c r="AF1423" s="859"/>
      <c r="AG1423" s="864"/>
      <c r="AH1423" s="865"/>
      <c r="AI1423" s="757">
        <f t="shared" si="200"/>
        <v>0</v>
      </c>
      <c r="AJ1423" s="758">
        <f t="shared" si="201"/>
        <v>0</v>
      </c>
    </row>
    <row r="1424" spans="1:36" x14ac:dyDescent="0.2">
      <c r="A1424" s="1318" t="s">
        <v>151</v>
      </c>
      <c r="B1424" s="1096" t="s">
        <v>205</v>
      </c>
      <c r="C1424" s="1097" t="s">
        <v>577</v>
      </c>
      <c r="D1424" s="1098"/>
      <c r="E1424" s="1078"/>
      <c r="F1424" s="1079"/>
      <c r="G1424" s="859"/>
      <c r="H1424" s="860"/>
      <c r="I1424" s="861"/>
      <c r="J1424" s="862"/>
      <c r="K1424" s="859"/>
      <c r="L1424" s="863"/>
      <c r="M1424" s="861"/>
      <c r="N1424" s="859"/>
      <c r="O1424" s="752">
        <f t="shared" si="194"/>
        <v>0</v>
      </c>
      <c r="P1424" s="862"/>
      <c r="Q1424" s="860"/>
      <c r="R1424" s="753">
        <f t="shared" si="197"/>
        <v>0</v>
      </c>
      <c r="S1424" s="752">
        <f t="shared" si="198"/>
        <v>0</v>
      </c>
      <c r="T1424" s="754">
        <f t="shared" si="199"/>
        <v>0</v>
      </c>
      <c r="U1424" s="859"/>
      <c r="V1424" s="863"/>
      <c r="W1424" s="859"/>
      <c r="X1424" s="859"/>
      <c r="Y1424" s="755">
        <f t="shared" si="195"/>
        <v>0</v>
      </c>
      <c r="Z1424" s="864"/>
      <c r="AA1424" s="863"/>
      <c r="AB1424" s="756">
        <f t="shared" si="196"/>
        <v>0</v>
      </c>
      <c r="AC1424" s="859"/>
      <c r="AD1424" s="863"/>
      <c r="AE1424" s="859"/>
      <c r="AF1424" s="859"/>
      <c r="AG1424" s="864"/>
      <c r="AH1424" s="865"/>
      <c r="AI1424" s="757">
        <f t="shared" si="200"/>
        <v>0</v>
      </c>
      <c r="AJ1424" s="758">
        <f t="shared" si="201"/>
        <v>0</v>
      </c>
    </row>
    <row r="1425" spans="1:36" x14ac:dyDescent="0.2">
      <c r="A1425" s="1318" t="s">
        <v>151</v>
      </c>
      <c r="B1425" s="1096" t="s">
        <v>218</v>
      </c>
      <c r="C1425" s="1097" t="s">
        <v>311</v>
      </c>
      <c r="D1425" s="1098"/>
      <c r="E1425" s="1078"/>
      <c r="F1425" s="1079"/>
      <c r="G1425" s="859"/>
      <c r="H1425" s="860"/>
      <c r="I1425" s="861"/>
      <c r="J1425" s="862"/>
      <c r="K1425" s="859"/>
      <c r="L1425" s="863"/>
      <c r="M1425" s="861"/>
      <c r="N1425" s="859"/>
      <c r="O1425" s="752">
        <f t="shared" si="194"/>
        <v>0</v>
      </c>
      <c r="P1425" s="862"/>
      <c r="Q1425" s="860"/>
      <c r="R1425" s="753">
        <f t="shared" si="197"/>
        <v>0</v>
      </c>
      <c r="S1425" s="752">
        <f t="shared" si="198"/>
        <v>0</v>
      </c>
      <c r="T1425" s="754">
        <f t="shared" si="199"/>
        <v>0</v>
      </c>
      <c r="U1425" s="859"/>
      <c r="V1425" s="863"/>
      <c r="W1425" s="859"/>
      <c r="X1425" s="859"/>
      <c r="Y1425" s="755">
        <f t="shared" si="195"/>
        <v>0</v>
      </c>
      <c r="Z1425" s="864"/>
      <c r="AA1425" s="863"/>
      <c r="AB1425" s="756">
        <f t="shared" si="196"/>
        <v>0</v>
      </c>
      <c r="AC1425" s="859"/>
      <c r="AD1425" s="863"/>
      <c r="AE1425" s="859"/>
      <c r="AF1425" s="859"/>
      <c r="AG1425" s="864"/>
      <c r="AH1425" s="865"/>
      <c r="AI1425" s="757">
        <f t="shared" si="200"/>
        <v>0</v>
      </c>
      <c r="AJ1425" s="758">
        <f t="shared" si="201"/>
        <v>0</v>
      </c>
    </row>
    <row r="1426" spans="1:36" x14ac:dyDescent="0.2">
      <c r="A1426" s="1318" t="s">
        <v>151</v>
      </c>
      <c r="B1426" s="1319" t="s">
        <v>219</v>
      </c>
      <c r="C1426" s="1323" t="s">
        <v>1453</v>
      </c>
      <c r="D1426" s="1092"/>
      <c r="E1426" s="1078"/>
      <c r="F1426" s="1079"/>
      <c r="G1426" s="859"/>
      <c r="H1426" s="860"/>
      <c r="I1426" s="861"/>
      <c r="J1426" s="862"/>
      <c r="K1426" s="859"/>
      <c r="L1426" s="863"/>
      <c r="M1426" s="861"/>
      <c r="N1426" s="859"/>
      <c r="O1426" s="752">
        <f t="shared" si="194"/>
        <v>0</v>
      </c>
      <c r="P1426" s="862"/>
      <c r="Q1426" s="860"/>
      <c r="R1426" s="753">
        <f t="shared" si="197"/>
        <v>0</v>
      </c>
      <c r="S1426" s="752">
        <f t="shared" si="198"/>
        <v>0</v>
      </c>
      <c r="T1426" s="754">
        <f t="shared" si="199"/>
        <v>0</v>
      </c>
      <c r="U1426" s="859"/>
      <c r="V1426" s="863"/>
      <c r="W1426" s="859"/>
      <c r="X1426" s="859"/>
      <c r="Y1426" s="755">
        <f t="shared" si="195"/>
        <v>0</v>
      </c>
      <c r="Z1426" s="864"/>
      <c r="AA1426" s="863"/>
      <c r="AB1426" s="756">
        <f t="shared" si="196"/>
        <v>0</v>
      </c>
      <c r="AC1426" s="859"/>
      <c r="AD1426" s="863"/>
      <c r="AE1426" s="859"/>
      <c r="AF1426" s="859"/>
      <c r="AG1426" s="864"/>
      <c r="AH1426" s="865"/>
      <c r="AI1426" s="757">
        <f t="shared" si="200"/>
        <v>0</v>
      </c>
      <c r="AJ1426" s="758">
        <f t="shared" si="201"/>
        <v>0</v>
      </c>
    </row>
    <row r="1427" spans="1:36" ht="38.25" x14ac:dyDescent="0.2">
      <c r="A1427" s="1337" t="s">
        <v>151</v>
      </c>
      <c r="B1427" s="1338" t="s">
        <v>292</v>
      </c>
      <c r="C1427" s="1339" t="s">
        <v>1459</v>
      </c>
      <c r="D1427" s="1340"/>
      <c r="E1427" s="1078"/>
      <c r="F1427" s="1079"/>
      <c r="G1427" s="859"/>
      <c r="H1427" s="860"/>
      <c r="I1427" s="861"/>
      <c r="J1427" s="862"/>
      <c r="K1427" s="859"/>
      <c r="L1427" s="863"/>
      <c r="M1427" s="861"/>
      <c r="N1427" s="859"/>
      <c r="O1427" s="752">
        <f t="shared" si="194"/>
        <v>0</v>
      </c>
      <c r="P1427" s="862"/>
      <c r="Q1427" s="860"/>
      <c r="R1427" s="753">
        <f t="shared" si="197"/>
        <v>0</v>
      </c>
      <c r="S1427" s="752">
        <f t="shared" si="198"/>
        <v>0</v>
      </c>
      <c r="T1427" s="754">
        <f t="shared" si="199"/>
        <v>0</v>
      </c>
      <c r="U1427" s="859"/>
      <c r="V1427" s="863"/>
      <c r="W1427" s="859"/>
      <c r="X1427" s="859"/>
      <c r="Y1427" s="755">
        <f t="shared" si="195"/>
        <v>0</v>
      </c>
      <c r="Z1427" s="864"/>
      <c r="AA1427" s="863"/>
      <c r="AB1427" s="756">
        <f t="shared" si="196"/>
        <v>0</v>
      </c>
      <c r="AC1427" s="859"/>
      <c r="AD1427" s="863"/>
      <c r="AE1427" s="859"/>
      <c r="AF1427" s="859"/>
      <c r="AG1427" s="864"/>
      <c r="AH1427" s="865"/>
      <c r="AI1427" s="757">
        <f t="shared" si="200"/>
        <v>0</v>
      </c>
      <c r="AJ1427" s="758">
        <f t="shared" si="201"/>
        <v>0</v>
      </c>
    </row>
    <row r="1428" spans="1:36" x14ac:dyDescent="0.2">
      <c r="A1428" s="1318" t="s">
        <v>151</v>
      </c>
      <c r="B1428" s="1319" t="s">
        <v>209</v>
      </c>
      <c r="C1428" s="1323" t="s">
        <v>576</v>
      </c>
      <c r="D1428" s="1092"/>
      <c r="E1428" s="1078"/>
      <c r="F1428" s="1079"/>
      <c r="G1428" s="859"/>
      <c r="H1428" s="860"/>
      <c r="I1428" s="861"/>
      <c r="J1428" s="862"/>
      <c r="K1428" s="859"/>
      <c r="L1428" s="863"/>
      <c r="M1428" s="861"/>
      <c r="N1428" s="859"/>
      <c r="O1428" s="752">
        <f t="shared" si="194"/>
        <v>0</v>
      </c>
      <c r="P1428" s="862"/>
      <c r="Q1428" s="860"/>
      <c r="R1428" s="753">
        <f t="shared" si="197"/>
        <v>0</v>
      </c>
      <c r="S1428" s="752">
        <f t="shared" si="198"/>
        <v>0</v>
      </c>
      <c r="T1428" s="754">
        <f t="shared" si="199"/>
        <v>0</v>
      </c>
      <c r="U1428" s="859"/>
      <c r="V1428" s="863"/>
      <c r="W1428" s="859"/>
      <c r="X1428" s="859"/>
      <c r="Y1428" s="755">
        <f t="shared" si="195"/>
        <v>0</v>
      </c>
      <c r="Z1428" s="864"/>
      <c r="AA1428" s="863"/>
      <c r="AB1428" s="756">
        <f t="shared" si="196"/>
        <v>0</v>
      </c>
      <c r="AC1428" s="859"/>
      <c r="AD1428" s="863"/>
      <c r="AE1428" s="859"/>
      <c r="AF1428" s="859"/>
      <c r="AG1428" s="864"/>
      <c r="AH1428" s="865"/>
      <c r="AI1428" s="757">
        <f t="shared" si="200"/>
        <v>0</v>
      </c>
      <c r="AJ1428" s="758">
        <f t="shared" si="201"/>
        <v>0</v>
      </c>
    </row>
    <row r="1429" spans="1:36" x14ac:dyDescent="0.2">
      <c r="A1429" s="1318" t="s">
        <v>151</v>
      </c>
      <c r="B1429" s="1319" t="s">
        <v>210</v>
      </c>
      <c r="C1429" s="1323" t="s">
        <v>311</v>
      </c>
      <c r="D1429" s="1092"/>
      <c r="E1429" s="1078"/>
      <c r="F1429" s="1079"/>
      <c r="G1429" s="859"/>
      <c r="H1429" s="860"/>
      <c r="I1429" s="861"/>
      <c r="J1429" s="862"/>
      <c r="K1429" s="859"/>
      <c r="L1429" s="863"/>
      <c r="M1429" s="861"/>
      <c r="N1429" s="859"/>
      <c r="O1429" s="752">
        <f t="shared" si="194"/>
        <v>0</v>
      </c>
      <c r="P1429" s="862"/>
      <c r="Q1429" s="860"/>
      <c r="R1429" s="753">
        <f t="shared" si="197"/>
        <v>0</v>
      </c>
      <c r="S1429" s="752">
        <f t="shared" si="198"/>
        <v>0</v>
      </c>
      <c r="T1429" s="754">
        <f t="shared" si="199"/>
        <v>0</v>
      </c>
      <c r="U1429" s="859"/>
      <c r="V1429" s="863"/>
      <c r="W1429" s="859"/>
      <c r="X1429" s="859"/>
      <c r="Y1429" s="755">
        <f t="shared" si="195"/>
        <v>0</v>
      </c>
      <c r="Z1429" s="864"/>
      <c r="AA1429" s="863"/>
      <c r="AB1429" s="756">
        <f t="shared" si="196"/>
        <v>0</v>
      </c>
      <c r="AC1429" s="859"/>
      <c r="AD1429" s="863"/>
      <c r="AE1429" s="859"/>
      <c r="AF1429" s="859"/>
      <c r="AG1429" s="864"/>
      <c r="AH1429" s="865"/>
      <c r="AI1429" s="757">
        <f t="shared" si="200"/>
        <v>0</v>
      </c>
      <c r="AJ1429" s="758">
        <f t="shared" si="201"/>
        <v>0</v>
      </c>
    </row>
    <row r="1430" spans="1:36" x14ac:dyDescent="0.2">
      <c r="A1430" s="1318" t="s">
        <v>151</v>
      </c>
      <c r="B1430" s="1319" t="s">
        <v>204</v>
      </c>
      <c r="C1430" s="1323" t="s">
        <v>1453</v>
      </c>
      <c r="D1430" s="1092"/>
      <c r="E1430" s="1078"/>
      <c r="F1430" s="1079"/>
      <c r="G1430" s="859"/>
      <c r="H1430" s="860"/>
      <c r="I1430" s="861"/>
      <c r="J1430" s="862"/>
      <c r="K1430" s="859"/>
      <c r="L1430" s="863"/>
      <c r="M1430" s="861"/>
      <c r="N1430" s="859"/>
      <c r="O1430" s="752">
        <f t="shared" si="194"/>
        <v>0</v>
      </c>
      <c r="P1430" s="862"/>
      <c r="Q1430" s="860"/>
      <c r="R1430" s="753">
        <f t="shared" si="197"/>
        <v>0</v>
      </c>
      <c r="S1430" s="752">
        <f t="shared" si="198"/>
        <v>0</v>
      </c>
      <c r="T1430" s="754">
        <f t="shared" si="199"/>
        <v>0</v>
      </c>
      <c r="U1430" s="859">
        <v>0</v>
      </c>
      <c r="V1430" s="863"/>
      <c r="W1430" s="859"/>
      <c r="X1430" s="859"/>
      <c r="Y1430" s="755">
        <f t="shared" si="195"/>
        <v>0</v>
      </c>
      <c r="Z1430" s="864"/>
      <c r="AA1430" s="863"/>
      <c r="AB1430" s="756">
        <f t="shared" si="196"/>
        <v>0</v>
      </c>
      <c r="AC1430" s="859"/>
      <c r="AD1430" s="863"/>
      <c r="AE1430" s="859"/>
      <c r="AF1430" s="859"/>
      <c r="AG1430" s="864"/>
      <c r="AH1430" s="865"/>
      <c r="AI1430" s="757">
        <f t="shared" si="200"/>
        <v>0</v>
      </c>
      <c r="AJ1430" s="758">
        <f t="shared" si="201"/>
        <v>0</v>
      </c>
    </row>
    <row r="1431" spans="1:36" x14ac:dyDescent="0.2">
      <c r="A1431" s="1318" t="s">
        <v>151</v>
      </c>
      <c r="B1431" s="1096" t="s">
        <v>205</v>
      </c>
      <c r="C1431" s="1097" t="s">
        <v>577</v>
      </c>
      <c r="D1431" s="1098"/>
      <c r="E1431" s="1078"/>
      <c r="F1431" s="1079"/>
      <c r="G1431" s="859"/>
      <c r="H1431" s="860"/>
      <c r="I1431" s="861"/>
      <c r="J1431" s="862"/>
      <c r="K1431" s="859"/>
      <c r="L1431" s="863"/>
      <c r="M1431" s="861"/>
      <c r="N1431" s="859"/>
      <c r="O1431" s="752">
        <f t="shared" si="194"/>
        <v>0</v>
      </c>
      <c r="P1431" s="862"/>
      <c r="Q1431" s="860"/>
      <c r="R1431" s="753">
        <f t="shared" si="197"/>
        <v>0</v>
      </c>
      <c r="S1431" s="752">
        <f t="shared" si="198"/>
        <v>0</v>
      </c>
      <c r="T1431" s="754">
        <f t="shared" si="199"/>
        <v>0</v>
      </c>
      <c r="U1431" s="859"/>
      <c r="V1431" s="863"/>
      <c r="W1431" s="859"/>
      <c r="X1431" s="859"/>
      <c r="Y1431" s="755">
        <f t="shared" si="195"/>
        <v>0</v>
      </c>
      <c r="Z1431" s="864"/>
      <c r="AA1431" s="863"/>
      <c r="AB1431" s="756">
        <f t="shared" si="196"/>
        <v>0</v>
      </c>
      <c r="AC1431" s="859"/>
      <c r="AD1431" s="863"/>
      <c r="AE1431" s="859"/>
      <c r="AF1431" s="859"/>
      <c r="AG1431" s="864"/>
      <c r="AH1431" s="865"/>
      <c r="AI1431" s="757">
        <f t="shared" si="200"/>
        <v>0</v>
      </c>
      <c r="AJ1431" s="758">
        <f t="shared" si="201"/>
        <v>0</v>
      </c>
    </row>
    <row r="1432" spans="1:36" x14ac:dyDescent="0.2">
      <c r="A1432" s="1318" t="s">
        <v>151</v>
      </c>
      <c r="B1432" s="1096" t="s">
        <v>218</v>
      </c>
      <c r="C1432" s="1097" t="s">
        <v>311</v>
      </c>
      <c r="D1432" s="1098"/>
      <c r="E1432" s="1078"/>
      <c r="F1432" s="1079"/>
      <c r="G1432" s="859"/>
      <c r="H1432" s="860"/>
      <c r="I1432" s="861"/>
      <c r="J1432" s="862"/>
      <c r="K1432" s="859"/>
      <c r="L1432" s="863"/>
      <c r="M1432" s="861"/>
      <c r="N1432" s="859"/>
      <c r="O1432" s="752">
        <f t="shared" si="194"/>
        <v>0</v>
      </c>
      <c r="P1432" s="862"/>
      <c r="Q1432" s="860"/>
      <c r="R1432" s="753">
        <f t="shared" si="197"/>
        <v>0</v>
      </c>
      <c r="S1432" s="752">
        <f t="shared" si="198"/>
        <v>0</v>
      </c>
      <c r="T1432" s="754">
        <f t="shared" si="199"/>
        <v>0</v>
      </c>
      <c r="U1432" s="859"/>
      <c r="V1432" s="863"/>
      <c r="W1432" s="859"/>
      <c r="X1432" s="859"/>
      <c r="Y1432" s="755">
        <f t="shared" si="195"/>
        <v>0</v>
      </c>
      <c r="Z1432" s="864"/>
      <c r="AA1432" s="863"/>
      <c r="AB1432" s="756">
        <f t="shared" si="196"/>
        <v>0</v>
      </c>
      <c r="AC1432" s="859"/>
      <c r="AD1432" s="863"/>
      <c r="AE1432" s="859"/>
      <c r="AF1432" s="859"/>
      <c r="AG1432" s="864"/>
      <c r="AH1432" s="865"/>
      <c r="AI1432" s="757">
        <f t="shared" si="200"/>
        <v>0</v>
      </c>
      <c r="AJ1432" s="758">
        <f t="shared" si="201"/>
        <v>0</v>
      </c>
    </row>
    <row r="1433" spans="1:36" ht="13.5" customHeight="1" x14ac:dyDescent="0.2">
      <c r="A1433" s="1318" t="s">
        <v>151</v>
      </c>
      <c r="B1433" s="1319" t="s">
        <v>219</v>
      </c>
      <c r="C1433" s="1323" t="s">
        <v>1453</v>
      </c>
      <c r="D1433" s="1092"/>
      <c r="E1433" s="1078"/>
      <c r="F1433" s="1079"/>
      <c r="G1433" s="859"/>
      <c r="H1433" s="860"/>
      <c r="I1433" s="861"/>
      <c r="J1433" s="862"/>
      <c r="K1433" s="859"/>
      <c r="L1433" s="863"/>
      <c r="M1433" s="861"/>
      <c r="N1433" s="859"/>
      <c r="O1433" s="752">
        <f t="shared" si="194"/>
        <v>0</v>
      </c>
      <c r="P1433" s="862"/>
      <c r="Q1433" s="860"/>
      <c r="R1433" s="753">
        <f t="shared" si="197"/>
        <v>0</v>
      </c>
      <c r="S1433" s="752">
        <f t="shared" si="198"/>
        <v>0</v>
      </c>
      <c r="T1433" s="754">
        <f t="shared" si="199"/>
        <v>0</v>
      </c>
      <c r="U1433" s="859"/>
      <c r="V1433" s="863"/>
      <c r="W1433" s="859"/>
      <c r="X1433" s="859"/>
      <c r="Y1433" s="755">
        <f t="shared" si="195"/>
        <v>0</v>
      </c>
      <c r="Z1433" s="864"/>
      <c r="AA1433" s="863"/>
      <c r="AB1433" s="756">
        <f t="shared" si="196"/>
        <v>0</v>
      </c>
      <c r="AC1433" s="859"/>
      <c r="AD1433" s="863"/>
      <c r="AE1433" s="859"/>
      <c r="AF1433" s="859"/>
      <c r="AG1433" s="864"/>
      <c r="AH1433" s="865"/>
      <c r="AI1433" s="757">
        <f t="shared" si="200"/>
        <v>0</v>
      </c>
      <c r="AJ1433" s="758">
        <f t="shared" si="201"/>
        <v>0</v>
      </c>
    </row>
    <row r="1434" spans="1:36" ht="13.5" customHeight="1" x14ac:dyDescent="0.2">
      <c r="A1434" s="1318" t="s">
        <v>151</v>
      </c>
      <c r="B1434" s="1336" t="s">
        <v>292</v>
      </c>
      <c r="C1434" s="1341" t="s">
        <v>1460</v>
      </c>
      <c r="D1434" s="1342"/>
      <c r="E1434" s="1078"/>
      <c r="F1434" s="1079"/>
      <c r="G1434" s="859"/>
      <c r="H1434" s="860"/>
      <c r="I1434" s="861"/>
      <c r="J1434" s="862"/>
      <c r="K1434" s="859"/>
      <c r="L1434" s="863"/>
      <c r="M1434" s="861"/>
      <c r="N1434" s="859"/>
      <c r="O1434" s="752">
        <f t="shared" si="194"/>
        <v>0</v>
      </c>
      <c r="P1434" s="862"/>
      <c r="Q1434" s="860"/>
      <c r="R1434" s="753">
        <f t="shared" si="197"/>
        <v>0</v>
      </c>
      <c r="S1434" s="752">
        <f t="shared" si="198"/>
        <v>0</v>
      </c>
      <c r="T1434" s="754">
        <f t="shared" si="199"/>
        <v>0</v>
      </c>
      <c r="U1434" s="859"/>
      <c r="V1434" s="863"/>
      <c r="W1434" s="859"/>
      <c r="X1434" s="859"/>
      <c r="Y1434" s="755">
        <f t="shared" si="195"/>
        <v>0</v>
      </c>
      <c r="Z1434" s="864"/>
      <c r="AA1434" s="863"/>
      <c r="AB1434" s="756">
        <f t="shared" si="196"/>
        <v>0</v>
      </c>
      <c r="AC1434" s="859"/>
      <c r="AD1434" s="863"/>
      <c r="AE1434" s="859"/>
      <c r="AF1434" s="859"/>
      <c r="AG1434" s="864"/>
      <c r="AH1434" s="865"/>
      <c r="AI1434" s="757">
        <f t="shared" si="200"/>
        <v>0</v>
      </c>
      <c r="AJ1434" s="758">
        <f t="shared" si="201"/>
        <v>0</v>
      </c>
    </row>
    <row r="1435" spans="1:36" x14ac:dyDescent="0.2">
      <c r="A1435" s="1318" t="s">
        <v>151</v>
      </c>
      <c r="B1435" s="1319" t="s">
        <v>209</v>
      </c>
      <c r="C1435" s="1323" t="s">
        <v>576</v>
      </c>
      <c r="D1435" s="1092"/>
      <c r="E1435" s="1078"/>
      <c r="F1435" s="1079"/>
      <c r="G1435" s="859"/>
      <c r="H1435" s="860"/>
      <c r="I1435" s="861"/>
      <c r="J1435" s="862"/>
      <c r="K1435" s="859"/>
      <c r="L1435" s="863"/>
      <c r="M1435" s="861"/>
      <c r="N1435" s="859"/>
      <c r="O1435" s="752">
        <f t="shared" si="194"/>
        <v>0</v>
      </c>
      <c r="P1435" s="862"/>
      <c r="Q1435" s="860"/>
      <c r="R1435" s="753">
        <f t="shared" si="197"/>
        <v>0</v>
      </c>
      <c r="S1435" s="752">
        <f t="shared" si="198"/>
        <v>0</v>
      </c>
      <c r="T1435" s="754">
        <f t="shared" si="199"/>
        <v>0</v>
      </c>
      <c r="U1435" s="859"/>
      <c r="V1435" s="863"/>
      <c r="W1435" s="859"/>
      <c r="X1435" s="859"/>
      <c r="Y1435" s="755">
        <f t="shared" si="195"/>
        <v>0</v>
      </c>
      <c r="Z1435" s="864"/>
      <c r="AA1435" s="863"/>
      <c r="AB1435" s="756">
        <f t="shared" si="196"/>
        <v>0</v>
      </c>
      <c r="AC1435" s="859"/>
      <c r="AD1435" s="863"/>
      <c r="AE1435" s="859"/>
      <c r="AF1435" s="859"/>
      <c r="AG1435" s="864"/>
      <c r="AH1435" s="865"/>
      <c r="AI1435" s="757">
        <f t="shared" si="200"/>
        <v>0</v>
      </c>
      <c r="AJ1435" s="758">
        <f t="shared" si="201"/>
        <v>0</v>
      </c>
    </row>
    <row r="1436" spans="1:36" x14ac:dyDescent="0.2">
      <c r="A1436" s="1318" t="s">
        <v>151</v>
      </c>
      <c r="B1436" s="1319" t="s">
        <v>210</v>
      </c>
      <c r="C1436" s="1323" t="s">
        <v>311</v>
      </c>
      <c r="D1436" s="1092"/>
      <c r="E1436" s="1078"/>
      <c r="F1436" s="1079"/>
      <c r="G1436" s="859"/>
      <c r="H1436" s="860"/>
      <c r="I1436" s="861"/>
      <c r="J1436" s="862"/>
      <c r="K1436" s="859"/>
      <c r="L1436" s="863"/>
      <c r="M1436" s="861"/>
      <c r="N1436" s="859"/>
      <c r="O1436" s="752">
        <f t="shared" si="194"/>
        <v>0</v>
      </c>
      <c r="P1436" s="862"/>
      <c r="Q1436" s="860"/>
      <c r="R1436" s="753">
        <f t="shared" si="197"/>
        <v>0</v>
      </c>
      <c r="S1436" s="752">
        <f t="shared" si="198"/>
        <v>0</v>
      </c>
      <c r="T1436" s="754">
        <f t="shared" si="199"/>
        <v>0</v>
      </c>
      <c r="U1436" s="859"/>
      <c r="V1436" s="863"/>
      <c r="W1436" s="859"/>
      <c r="X1436" s="859"/>
      <c r="Y1436" s="755">
        <f t="shared" si="195"/>
        <v>0</v>
      </c>
      <c r="Z1436" s="864"/>
      <c r="AA1436" s="863"/>
      <c r="AB1436" s="756">
        <f t="shared" si="196"/>
        <v>0</v>
      </c>
      <c r="AC1436" s="859"/>
      <c r="AD1436" s="863"/>
      <c r="AE1436" s="859"/>
      <c r="AF1436" s="859"/>
      <c r="AG1436" s="864"/>
      <c r="AH1436" s="865"/>
      <c r="AI1436" s="757">
        <f t="shared" si="200"/>
        <v>0</v>
      </c>
      <c r="AJ1436" s="758">
        <f t="shared" si="201"/>
        <v>0</v>
      </c>
    </row>
    <row r="1437" spans="1:36" x14ac:dyDescent="0.2">
      <c r="A1437" s="1318" t="s">
        <v>151</v>
      </c>
      <c r="B1437" s="1319" t="s">
        <v>204</v>
      </c>
      <c r="C1437" s="1323" t="s">
        <v>1453</v>
      </c>
      <c r="D1437" s="1092"/>
      <c r="E1437" s="1078"/>
      <c r="F1437" s="1079"/>
      <c r="G1437" s="859"/>
      <c r="H1437" s="860"/>
      <c r="I1437" s="861"/>
      <c r="J1437" s="862"/>
      <c r="K1437" s="859"/>
      <c r="L1437" s="863"/>
      <c r="M1437" s="861"/>
      <c r="N1437" s="859"/>
      <c r="O1437" s="752">
        <f t="shared" si="194"/>
        <v>0</v>
      </c>
      <c r="P1437" s="862"/>
      <c r="Q1437" s="860"/>
      <c r="R1437" s="753">
        <f t="shared" si="197"/>
        <v>0</v>
      </c>
      <c r="S1437" s="752">
        <f t="shared" si="198"/>
        <v>0</v>
      </c>
      <c r="T1437" s="754">
        <f t="shared" si="199"/>
        <v>0</v>
      </c>
      <c r="U1437" s="859">
        <v>0</v>
      </c>
      <c r="V1437" s="863"/>
      <c r="W1437" s="859"/>
      <c r="X1437" s="859"/>
      <c r="Y1437" s="755">
        <f t="shared" si="195"/>
        <v>0</v>
      </c>
      <c r="Z1437" s="864"/>
      <c r="AA1437" s="863"/>
      <c r="AB1437" s="756">
        <f t="shared" si="196"/>
        <v>0</v>
      </c>
      <c r="AC1437" s="859"/>
      <c r="AD1437" s="863"/>
      <c r="AE1437" s="859"/>
      <c r="AF1437" s="859"/>
      <c r="AG1437" s="864"/>
      <c r="AH1437" s="865"/>
      <c r="AI1437" s="757">
        <f t="shared" si="200"/>
        <v>0</v>
      </c>
      <c r="AJ1437" s="758">
        <f t="shared" si="201"/>
        <v>0</v>
      </c>
    </row>
    <row r="1438" spans="1:36" x14ac:dyDescent="0.2">
      <c r="A1438" s="1318" t="s">
        <v>151</v>
      </c>
      <c r="B1438" s="1096" t="s">
        <v>205</v>
      </c>
      <c r="C1438" s="1097" t="s">
        <v>577</v>
      </c>
      <c r="D1438" s="1098"/>
      <c r="E1438" s="1078"/>
      <c r="F1438" s="1079"/>
      <c r="G1438" s="859"/>
      <c r="H1438" s="860"/>
      <c r="I1438" s="861"/>
      <c r="J1438" s="862"/>
      <c r="K1438" s="859"/>
      <c r="L1438" s="863"/>
      <c r="M1438" s="861"/>
      <c r="N1438" s="859"/>
      <c r="O1438" s="752">
        <f t="shared" si="194"/>
        <v>0</v>
      </c>
      <c r="P1438" s="862"/>
      <c r="Q1438" s="860"/>
      <c r="R1438" s="753">
        <f t="shared" si="197"/>
        <v>0</v>
      </c>
      <c r="S1438" s="752">
        <f t="shared" si="198"/>
        <v>0</v>
      </c>
      <c r="T1438" s="754">
        <f t="shared" si="199"/>
        <v>0</v>
      </c>
      <c r="U1438" s="859"/>
      <c r="V1438" s="863"/>
      <c r="W1438" s="859"/>
      <c r="X1438" s="859"/>
      <c r="Y1438" s="755">
        <f t="shared" si="195"/>
        <v>0</v>
      </c>
      <c r="Z1438" s="864"/>
      <c r="AA1438" s="863"/>
      <c r="AB1438" s="756">
        <f t="shared" si="196"/>
        <v>0</v>
      </c>
      <c r="AC1438" s="859"/>
      <c r="AD1438" s="863"/>
      <c r="AE1438" s="859"/>
      <c r="AF1438" s="859"/>
      <c r="AG1438" s="864"/>
      <c r="AH1438" s="865"/>
      <c r="AI1438" s="757">
        <f t="shared" si="200"/>
        <v>0</v>
      </c>
      <c r="AJ1438" s="758">
        <f t="shared" si="201"/>
        <v>0</v>
      </c>
    </row>
    <row r="1439" spans="1:36" x14ac:dyDescent="0.2">
      <c r="A1439" s="1318" t="s">
        <v>151</v>
      </c>
      <c r="B1439" s="1096" t="s">
        <v>218</v>
      </c>
      <c r="C1439" s="1097" t="s">
        <v>311</v>
      </c>
      <c r="D1439" s="1098"/>
      <c r="E1439" s="1078"/>
      <c r="F1439" s="1079"/>
      <c r="G1439" s="859"/>
      <c r="H1439" s="860"/>
      <c r="I1439" s="861"/>
      <c r="J1439" s="862"/>
      <c r="K1439" s="859"/>
      <c r="L1439" s="863"/>
      <c r="M1439" s="861"/>
      <c r="N1439" s="859"/>
      <c r="O1439" s="752">
        <f t="shared" si="194"/>
        <v>0</v>
      </c>
      <c r="P1439" s="862"/>
      <c r="Q1439" s="860"/>
      <c r="R1439" s="753">
        <f t="shared" si="197"/>
        <v>0</v>
      </c>
      <c r="S1439" s="752">
        <f t="shared" si="198"/>
        <v>0</v>
      </c>
      <c r="T1439" s="754">
        <f t="shared" si="199"/>
        <v>0</v>
      </c>
      <c r="U1439" s="859"/>
      <c r="V1439" s="863"/>
      <c r="W1439" s="859"/>
      <c r="X1439" s="859"/>
      <c r="Y1439" s="755">
        <f t="shared" si="195"/>
        <v>0</v>
      </c>
      <c r="Z1439" s="864"/>
      <c r="AA1439" s="863"/>
      <c r="AB1439" s="756">
        <f t="shared" si="196"/>
        <v>0</v>
      </c>
      <c r="AC1439" s="859"/>
      <c r="AD1439" s="863"/>
      <c r="AE1439" s="859"/>
      <c r="AF1439" s="859"/>
      <c r="AG1439" s="864"/>
      <c r="AH1439" s="865"/>
      <c r="AI1439" s="757">
        <f t="shared" si="200"/>
        <v>0</v>
      </c>
      <c r="AJ1439" s="758">
        <f t="shared" si="201"/>
        <v>0</v>
      </c>
    </row>
    <row r="1440" spans="1:36" x14ac:dyDescent="0.2">
      <c r="A1440" s="1318" t="s">
        <v>151</v>
      </c>
      <c r="B1440" s="1319" t="s">
        <v>219</v>
      </c>
      <c r="C1440" s="1323" t="s">
        <v>1453</v>
      </c>
      <c r="D1440" s="1092"/>
      <c r="E1440" s="1078"/>
      <c r="F1440" s="1079"/>
      <c r="G1440" s="859"/>
      <c r="H1440" s="860"/>
      <c r="I1440" s="861"/>
      <c r="J1440" s="862"/>
      <c r="K1440" s="859"/>
      <c r="L1440" s="863"/>
      <c r="M1440" s="861"/>
      <c r="N1440" s="859"/>
      <c r="O1440" s="752">
        <f t="shared" si="194"/>
        <v>0</v>
      </c>
      <c r="P1440" s="862"/>
      <c r="Q1440" s="860"/>
      <c r="R1440" s="753">
        <f t="shared" si="197"/>
        <v>0</v>
      </c>
      <c r="S1440" s="752">
        <f t="shared" si="198"/>
        <v>0</v>
      </c>
      <c r="T1440" s="754">
        <f t="shared" si="199"/>
        <v>0</v>
      </c>
      <c r="U1440" s="859">
        <v>0</v>
      </c>
      <c r="V1440" s="863"/>
      <c r="W1440" s="859"/>
      <c r="X1440" s="859"/>
      <c r="Y1440" s="755">
        <f t="shared" si="195"/>
        <v>0</v>
      </c>
      <c r="Z1440" s="864"/>
      <c r="AA1440" s="863"/>
      <c r="AB1440" s="756">
        <f t="shared" si="196"/>
        <v>0</v>
      </c>
      <c r="AC1440" s="859"/>
      <c r="AD1440" s="863"/>
      <c r="AE1440" s="859"/>
      <c r="AF1440" s="859"/>
      <c r="AG1440" s="864"/>
      <c r="AH1440" s="865"/>
      <c r="AI1440" s="757">
        <f t="shared" si="200"/>
        <v>0</v>
      </c>
      <c r="AJ1440" s="758">
        <f t="shared" si="201"/>
        <v>0</v>
      </c>
    </row>
    <row r="1441" spans="1:36" x14ac:dyDescent="0.2">
      <c r="A1441" s="1318" t="s">
        <v>151</v>
      </c>
      <c r="B1441" s="1336" t="s">
        <v>292</v>
      </c>
      <c r="C1441" s="1334" t="s">
        <v>1461</v>
      </c>
      <c r="D1441" s="1335"/>
      <c r="E1441" s="1078"/>
      <c r="F1441" s="1079"/>
      <c r="G1441" s="859"/>
      <c r="H1441" s="860"/>
      <c r="I1441" s="861"/>
      <c r="J1441" s="862"/>
      <c r="K1441" s="859"/>
      <c r="L1441" s="863"/>
      <c r="M1441" s="861"/>
      <c r="N1441" s="859"/>
      <c r="O1441" s="752">
        <f t="shared" si="194"/>
        <v>0</v>
      </c>
      <c r="P1441" s="862"/>
      <c r="Q1441" s="860"/>
      <c r="R1441" s="753">
        <f t="shared" si="197"/>
        <v>0</v>
      </c>
      <c r="S1441" s="752">
        <f t="shared" si="198"/>
        <v>0</v>
      </c>
      <c r="T1441" s="754">
        <f t="shared" si="199"/>
        <v>0</v>
      </c>
      <c r="U1441" s="859"/>
      <c r="V1441" s="863"/>
      <c r="W1441" s="859"/>
      <c r="X1441" s="859"/>
      <c r="Y1441" s="755">
        <f t="shared" si="195"/>
        <v>0</v>
      </c>
      <c r="Z1441" s="864"/>
      <c r="AA1441" s="863"/>
      <c r="AB1441" s="756">
        <f t="shared" si="196"/>
        <v>0</v>
      </c>
      <c r="AC1441" s="859"/>
      <c r="AD1441" s="863"/>
      <c r="AE1441" s="859"/>
      <c r="AF1441" s="859"/>
      <c r="AG1441" s="864"/>
      <c r="AH1441" s="865"/>
      <c r="AI1441" s="757">
        <f t="shared" si="200"/>
        <v>0</v>
      </c>
      <c r="AJ1441" s="758">
        <f t="shared" si="201"/>
        <v>0</v>
      </c>
    </row>
    <row r="1442" spans="1:36" x14ac:dyDescent="0.2">
      <c r="A1442" s="1318" t="s">
        <v>151</v>
      </c>
      <c r="B1442" s="1319" t="s">
        <v>310</v>
      </c>
      <c r="C1442" s="1097" t="s">
        <v>311</v>
      </c>
      <c r="D1442" s="1098"/>
      <c r="E1442" s="1078"/>
      <c r="F1442" s="1079"/>
      <c r="G1442" s="859"/>
      <c r="H1442" s="860"/>
      <c r="I1442" s="861"/>
      <c r="J1442" s="862"/>
      <c r="K1442" s="859"/>
      <c r="L1442" s="863"/>
      <c r="M1442" s="861"/>
      <c r="N1442" s="859"/>
      <c r="O1442" s="752">
        <f t="shared" si="194"/>
        <v>0</v>
      </c>
      <c r="P1442" s="862"/>
      <c r="Q1442" s="860"/>
      <c r="R1442" s="753">
        <f t="shared" si="197"/>
        <v>0</v>
      </c>
      <c r="S1442" s="752">
        <f t="shared" si="198"/>
        <v>0</v>
      </c>
      <c r="T1442" s="754">
        <f t="shared" si="199"/>
        <v>0</v>
      </c>
      <c r="U1442" s="859"/>
      <c r="V1442" s="863"/>
      <c r="W1442" s="859"/>
      <c r="X1442" s="859"/>
      <c r="Y1442" s="755">
        <f t="shared" si="195"/>
        <v>0</v>
      </c>
      <c r="Z1442" s="864"/>
      <c r="AA1442" s="863"/>
      <c r="AB1442" s="756">
        <f t="shared" si="196"/>
        <v>0</v>
      </c>
      <c r="AC1442" s="859"/>
      <c r="AD1442" s="863"/>
      <c r="AE1442" s="859"/>
      <c r="AF1442" s="859"/>
      <c r="AG1442" s="864"/>
      <c r="AH1442" s="865"/>
      <c r="AI1442" s="757">
        <f t="shared" si="200"/>
        <v>0</v>
      </c>
      <c r="AJ1442" s="758">
        <f t="shared" si="201"/>
        <v>0</v>
      </c>
    </row>
    <row r="1443" spans="1:36" x14ac:dyDescent="0.2">
      <c r="A1443" s="1318" t="s">
        <v>151</v>
      </c>
      <c r="B1443" s="1319" t="s">
        <v>209</v>
      </c>
      <c r="C1443" s="1323" t="s">
        <v>576</v>
      </c>
      <c r="D1443" s="1092"/>
      <c r="E1443" s="1078"/>
      <c r="F1443" s="1079"/>
      <c r="G1443" s="859"/>
      <c r="H1443" s="860"/>
      <c r="I1443" s="861"/>
      <c r="J1443" s="862"/>
      <c r="K1443" s="859"/>
      <c r="L1443" s="863"/>
      <c r="M1443" s="861"/>
      <c r="N1443" s="859"/>
      <c r="O1443" s="752">
        <f t="shared" si="194"/>
        <v>0</v>
      </c>
      <c r="P1443" s="862"/>
      <c r="Q1443" s="860"/>
      <c r="R1443" s="753">
        <f t="shared" si="197"/>
        <v>0</v>
      </c>
      <c r="S1443" s="752">
        <f t="shared" si="198"/>
        <v>0</v>
      </c>
      <c r="T1443" s="754">
        <f t="shared" si="199"/>
        <v>0</v>
      </c>
      <c r="U1443" s="859"/>
      <c r="V1443" s="863"/>
      <c r="W1443" s="859"/>
      <c r="X1443" s="859"/>
      <c r="Y1443" s="755">
        <f t="shared" si="195"/>
        <v>0</v>
      </c>
      <c r="Z1443" s="864"/>
      <c r="AA1443" s="863"/>
      <c r="AB1443" s="756">
        <f t="shared" si="196"/>
        <v>0</v>
      </c>
      <c r="AC1443" s="859"/>
      <c r="AD1443" s="863"/>
      <c r="AE1443" s="859"/>
      <c r="AF1443" s="859"/>
      <c r="AG1443" s="864"/>
      <c r="AH1443" s="865"/>
      <c r="AI1443" s="757">
        <f t="shared" si="200"/>
        <v>0</v>
      </c>
      <c r="AJ1443" s="758">
        <f t="shared" si="201"/>
        <v>0</v>
      </c>
    </row>
    <row r="1444" spans="1:36" x14ac:dyDescent="0.2">
      <c r="A1444" s="1318" t="s">
        <v>151</v>
      </c>
      <c r="B1444" s="1319" t="s">
        <v>210</v>
      </c>
      <c r="C1444" s="1323" t="s">
        <v>311</v>
      </c>
      <c r="D1444" s="1092"/>
      <c r="E1444" s="1078"/>
      <c r="F1444" s="1079"/>
      <c r="G1444" s="859"/>
      <c r="H1444" s="860"/>
      <c r="I1444" s="861"/>
      <c r="J1444" s="862"/>
      <c r="K1444" s="859"/>
      <c r="L1444" s="863"/>
      <c r="M1444" s="861"/>
      <c r="N1444" s="859"/>
      <c r="O1444" s="752">
        <f t="shared" si="194"/>
        <v>0</v>
      </c>
      <c r="P1444" s="862"/>
      <c r="Q1444" s="860"/>
      <c r="R1444" s="753">
        <f t="shared" si="197"/>
        <v>0</v>
      </c>
      <c r="S1444" s="752">
        <f t="shared" si="198"/>
        <v>0</v>
      </c>
      <c r="T1444" s="754">
        <f t="shared" si="199"/>
        <v>0</v>
      </c>
      <c r="U1444" s="859"/>
      <c r="V1444" s="863"/>
      <c r="W1444" s="859"/>
      <c r="X1444" s="859"/>
      <c r="Y1444" s="755">
        <f t="shared" si="195"/>
        <v>0</v>
      </c>
      <c r="Z1444" s="864"/>
      <c r="AA1444" s="863"/>
      <c r="AB1444" s="756">
        <f t="shared" si="196"/>
        <v>0</v>
      </c>
      <c r="AC1444" s="859"/>
      <c r="AD1444" s="863"/>
      <c r="AE1444" s="859"/>
      <c r="AF1444" s="859"/>
      <c r="AG1444" s="864"/>
      <c r="AH1444" s="865"/>
      <c r="AI1444" s="757">
        <f t="shared" si="200"/>
        <v>0</v>
      </c>
      <c r="AJ1444" s="758">
        <f t="shared" si="201"/>
        <v>0</v>
      </c>
    </row>
    <row r="1445" spans="1:36" x14ac:dyDescent="0.2">
      <c r="A1445" s="1318" t="s">
        <v>151</v>
      </c>
      <c r="B1445" s="1319" t="s">
        <v>204</v>
      </c>
      <c r="C1445" s="1323" t="s">
        <v>1453</v>
      </c>
      <c r="D1445" s="1092"/>
      <c r="E1445" s="1078"/>
      <c r="F1445" s="1079"/>
      <c r="G1445" s="859"/>
      <c r="H1445" s="860"/>
      <c r="I1445" s="861"/>
      <c r="J1445" s="862"/>
      <c r="K1445" s="859"/>
      <c r="L1445" s="863"/>
      <c r="M1445" s="861"/>
      <c r="N1445" s="859"/>
      <c r="O1445" s="752">
        <f t="shared" si="194"/>
        <v>0</v>
      </c>
      <c r="P1445" s="862"/>
      <c r="Q1445" s="860"/>
      <c r="R1445" s="753">
        <f t="shared" si="197"/>
        <v>0</v>
      </c>
      <c r="S1445" s="752">
        <f t="shared" si="198"/>
        <v>0</v>
      </c>
      <c r="T1445" s="754">
        <f t="shared" si="199"/>
        <v>0</v>
      </c>
      <c r="U1445" s="859">
        <v>15100</v>
      </c>
      <c r="V1445" s="863">
        <v>10700</v>
      </c>
      <c r="W1445" s="859"/>
      <c r="X1445" s="859"/>
      <c r="Y1445" s="755">
        <f t="shared" si="195"/>
        <v>0</v>
      </c>
      <c r="Z1445" s="864"/>
      <c r="AA1445" s="863"/>
      <c r="AB1445" s="756">
        <f t="shared" si="196"/>
        <v>0</v>
      </c>
      <c r="AC1445" s="859"/>
      <c r="AD1445" s="863"/>
      <c r="AE1445" s="859"/>
      <c r="AF1445" s="859"/>
      <c r="AG1445" s="864"/>
      <c r="AH1445" s="865"/>
      <c r="AI1445" s="757">
        <f t="shared" si="200"/>
        <v>15100</v>
      </c>
      <c r="AJ1445" s="758">
        <f t="shared" si="201"/>
        <v>10700</v>
      </c>
    </row>
    <row r="1446" spans="1:36" x14ac:dyDescent="0.2">
      <c r="A1446" s="1318" t="s">
        <v>151</v>
      </c>
      <c r="B1446" s="1096" t="s">
        <v>205</v>
      </c>
      <c r="C1446" s="1097" t="s">
        <v>577</v>
      </c>
      <c r="D1446" s="1098"/>
      <c r="E1446" s="1078"/>
      <c r="F1446" s="1079"/>
      <c r="G1446" s="859"/>
      <c r="H1446" s="860"/>
      <c r="I1446" s="861"/>
      <c r="J1446" s="862"/>
      <c r="K1446" s="859"/>
      <c r="L1446" s="863"/>
      <c r="M1446" s="861"/>
      <c r="N1446" s="859"/>
      <c r="O1446" s="752">
        <f t="shared" si="194"/>
        <v>0</v>
      </c>
      <c r="P1446" s="862"/>
      <c r="Q1446" s="860"/>
      <c r="R1446" s="753">
        <f t="shared" si="197"/>
        <v>0</v>
      </c>
      <c r="S1446" s="752">
        <f t="shared" si="198"/>
        <v>0</v>
      </c>
      <c r="T1446" s="754">
        <f t="shared" si="199"/>
        <v>0</v>
      </c>
      <c r="U1446" s="859"/>
      <c r="V1446" s="863"/>
      <c r="W1446" s="859"/>
      <c r="X1446" s="859"/>
      <c r="Y1446" s="755">
        <f t="shared" si="195"/>
        <v>0</v>
      </c>
      <c r="Z1446" s="864"/>
      <c r="AA1446" s="863"/>
      <c r="AB1446" s="756">
        <f t="shared" si="196"/>
        <v>0</v>
      </c>
      <c r="AC1446" s="859"/>
      <c r="AD1446" s="863"/>
      <c r="AE1446" s="859"/>
      <c r="AF1446" s="859"/>
      <c r="AG1446" s="864"/>
      <c r="AH1446" s="865"/>
      <c r="AI1446" s="757">
        <f t="shared" si="200"/>
        <v>0</v>
      </c>
      <c r="AJ1446" s="758">
        <f t="shared" si="201"/>
        <v>0</v>
      </c>
    </row>
    <row r="1447" spans="1:36" x14ac:dyDescent="0.2">
      <c r="A1447" s="1318" t="s">
        <v>151</v>
      </c>
      <c r="B1447" s="1096" t="s">
        <v>218</v>
      </c>
      <c r="C1447" s="1097" t="s">
        <v>311</v>
      </c>
      <c r="D1447" s="1098"/>
      <c r="E1447" s="1078"/>
      <c r="F1447" s="1079"/>
      <c r="G1447" s="859"/>
      <c r="H1447" s="860"/>
      <c r="I1447" s="861"/>
      <c r="J1447" s="862"/>
      <c r="K1447" s="859"/>
      <c r="L1447" s="863"/>
      <c r="M1447" s="861"/>
      <c r="N1447" s="859"/>
      <c r="O1447" s="752">
        <f t="shared" si="194"/>
        <v>0</v>
      </c>
      <c r="P1447" s="862"/>
      <c r="Q1447" s="860"/>
      <c r="R1447" s="753">
        <f t="shared" si="197"/>
        <v>0</v>
      </c>
      <c r="S1447" s="752">
        <f t="shared" si="198"/>
        <v>0</v>
      </c>
      <c r="T1447" s="754">
        <f t="shared" si="199"/>
        <v>0</v>
      </c>
      <c r="U1447" s="859"/>
      <c r="V1447" s="863"/>
      <c r="W1447" s="859"/>
      <c r="X1447" s="859"/>
      <c r="Y1447" s="755">
        <f t="shared" si="195"/>
        <v>0</v>
      </c>
      <c r="Z1447" s="864"/>
      <c r="AA1447" s="863"/>
      <c r="AB1447" s="756">
        <f t="shared" si="196"/>
        <v>0</v>
      </c>
      <c r="AC1447" s="859"/>
      <c r="AD1447" s="863"/>
      <c r="AE1447" s="859"/>
      <c r="AF1447" s="859"/>
      <c r="AG1447" s="864"/>
      <c r="AH1447" s="865"/>
      <c r="AI1447" s="757">
        <f t="shared" si="200"/>
        <v>0</v>
      </c>
      <c r="AJ1447" s="758">
        <f t="shared" si="201"/>
        <v>0</v>
      </c>
    </row>
    <row r="1448" spans="1:36" x14ac:dyDescent="0.2">
      <c r="A1448" s="1318" t="s">
        <v>151</v>
      </c>
      <c r="B1448" s="1319" t="s">
        <v>219</v>
      </c>
      <c r="C1448" s="1323" t="s">
        <v>1453</v>
      </c>
      <c r="D1448" s="1092"/>
      <c r="E1448" s="1078"/>
      <c r="F1448" s="1079"/>
      <c r="G1448" s="859"/>
      <c r="H1448" s="860"/>
      <c r="I1448" s="861"/>
      <c r="J1448" s="862"/>
      <c r="K1448" s="859"/>
      <c r="L1448" s="863"/>
      <c r="M1448" s="861"/>
      <c r="N1448" s="859"/>
      <c r="O1448" s="752">
        <f t="shared" si="194"/>
        <v>0</v>
      </c>
      <c r="P1448" s="862"/>
      <c r="Q1448" s="860"/>
      <c r="R1448" s="753">
        <f t="shared" si="197"/>
        <v>0</v>
      </c>
      <c r="S1448" s="752">
        <f t="shared" si="198"/>
        <v>0</v>
      </c>
      <c r="T1448" s="754">
        <f t="shared" si="199"/>
        <v>0</v>
      </c>
      <c r="U1448" s="859">
        <v>1000</v>
      </c>
      <c r="V1448" s="863">
        <v>1000</v>
      </c>
      <c r="W1448" s="859"/>
      <c r="X1448" s="859"/>
      <c r="Y1448" s="755">
        <f t="shared" si="195"/>
        <v>0</v>
      </c>
      <c r="Z1448" s="864"/>
      <c r="AA1448" s="863"/>
      <c r="AB1448" s="756">
        <f t="shared" si="196"/>
        <v>0</v>
      </c>
      <c r="AC1448" s="859"/>
      <c r="AD1448" s="863"/>
      <c r="AE1448" s="859"/>
      <c r="AF1448" s="859"/>
      <c r="AG1448" s="864"/>
      <c r="AH1448" s="865"/>
      <c r="AI1448" s="757">
        <f t="shared" si="200"/>
        <v>1000</v>
      </c>
      <c r="AJ1448" s="758">
        <f t="shared" si="201"/>
        <v>1000</v>
      </c>
    </row>
    <row r="1449" spans="1:36" x14ac:dyDescent="0.2">
      <c r="A1449" s="1318" t="s">
        <v>151</v>
      </c>
      <c r="B1449" s="1336" t="s">
        <v>292</v>
      </c>
      <c r="C1449" s="1334" t="s">
        <v>1462</v>
      </c>
      <c r="D1449" s="1335"/>
      <c r="E1449" s="1078"/>
      <c r="F1449" s="1079"/>
      <c r="G1449" s="859"/>
      <c r="H1449" s="860"/>
      <c r="I1449" s="861"/>
      <c r="J1449" s="862"/>
      <c r="K1449" s="859"/>
      <c r="L1449" s="863"/>
      <c r="M1449" s="861"/>
      <c r="N1449" s="859"/>
      <c r="O1449" s="752">
        <f t="shared" si="194"/>
        <v>0</v>
      </c>
      <c r="P1449" s="862"/>
      <c r="Q1449" s="860"/>
      <c r="R1449" s="753">
        <f t="shared" si="197"/>
        <v>0</v>
      </c>
      <c r="S1449" s="752">
        <f t="shared" si="198"/>
        <v>0</v>
      </c>
      <c r="T1449" s="754">
        <f t="shared" si="199"/>
        <v>0</v>
      </c>
      <c r="U1449" s="859"/>
      <c r="V1449" s="863"/>
      <c r="W1449" s="859"/>
      <c r="X1449" s="859"/>
      <c r="Y1449" s="755">
        <f t="shared" si="195"/>
        <v>0</v>
      </c>
      <c r="Z1449" s="864"/>
      <c r="AA1449" s="863"/>
      <c r="AB1449" s="756">
        <f t="shared" si="196"/>
        <v>0</v>
      </c>
      <c r="AC1449" s="859"/>
      <c r="AD1449" s="863"/>
      <c r="AE1449" s="859"/>
      <c r="AF1449" s="859"/>
      <c r="AG1449" s="864"/>
      <c r="AH1449" s="865"/>
      <c r="AI1449" s="757">
        <f t="shared" si="200"/>
        <v>0</v>
      </c>
      <c r="AJ1449" s="758">
        <f t="shared" si="201"/>
        <v>0</v>
      </c>
    </row>
    <row r="1450" spans="1:36" x14ac:dyDescent="0.2">
      <c r="A1450" s="1318" t="s">
        <v>151</v>
      </c>
      <c r="B1450" s="1319" t="s">
        <v>209</v>
      </c>
      <c r="C1450" s="1323" t="s">
        <v>576</v>
      </c>
      <c r="D1450" s="1092"/>
      <c r="E1450" s="1078"/>
      <c r="F1450" s="1079"/>
      <c r="G1450" s="859"/>
      <c r="H1450" s="860"/>
      <c r="I1450" s="861"/>
      <c r="J1450" s="862"/>
      <c r="K1450" s="859"/>
      <c r="L1450" s="863"/>
      <c r="M1450" s="861"/>
      <c r="N1450" s="859"/>
      <c r="O1450" s="752">
        <f t="shared" si="194"/>
        <v>0</v>
      </c>
      <c r="P1450" s="862"/>
      <c r="Q1450" s="860"/>
      <c r="R1450" s="753">
        <f t="shared" si="197"/>
        <v>0</v>
      </c>
      <c r="S1450" s="752">
        <f t="shared" si="198"/>
        <v>0</v>
      </c>
      <c r="T1450" s="754">
        <f t="shared" si="199"/>
        <v>0</v>
      </c>
      <c r="U1450" s="859"/>
      <c r="V1450" s="863"/>
      <c r="W1450" s="859"/>
      <c r="X1450" s="859"/>
      <c r="Y1450" s="755">
        <f t="shared" si="195"/>
        <v>0</v>
      </c>
      <c r="Z1450" s="864"/>
      <c r="AA1450" s="863"/>
      <c r="AB1450" s="756">
        <f t="shared" si="196"/>
        <v>0</v>
      </c>
      <c r="AC1450" s="859"/>
      <c r="AD1450" s="863"/>
      <c r="AE1450" s="859"/>
      <c r="AF1450" s="859"/>
      <c r="AG1450" s="864"/>
      <c r="AH1450" s="865"/>
      <c r="AI1450" s="757">
        <f t="shared" si="200"/>
        <v>0</v>
      </c>
      <c r="AJ1450" s="758">
        <f t="shared" si="201"/>
        <v>0</v>
      </c>
    </row>
    <row r="1451" spans="1:36" x14ac:dyDescent="0.2">
      <c r="A1451" s="1318" t="s">
        <v>151</v>
      </c>
      <c r="B1451" s="1319" t="s">
        <v>210</v>
      </c>
      <c r="C1451" s="1323" t="s">
        <v>311</v>
      </c>
      <c r="D1451" s="1092"/>
      <c r="E1451" s="1078"/>
      <c r="F1451" s="1079"/>
      <c r="G1451" s="859"/>
      <c r="H1451" s="860"/>
      <c r="I1451" s="861"/>
      <c r="J1451" s="862"/>
      <c r="K1451" s="859"/>
      <c r="L1451" s="863"/>
      <c r="M1451" s="861"/>
      <c r="N1451" s="859"/>
      <c r="O1451" s="752">
        <f t="shared" si="194"/>
        <v>0</v>
      </c>
      <c r="P1451" s="862"/>
      <c r="Q1451" s="860"/>
      <c r="R1451" s="753">
        <f t="shared" si="197"/>
        <v>0</v>
      </c>
      <c r="S1451" s="752">
        <f t="shared" si="198"/>
        <v>0</v>
      </c>
      <c r="T1451" s="754">
        <f t="shared" si="199"/>
        <v>0</v>
      </c>
      <c r="U1451" s="859"/>
      <c r="V1451" s="863"/>
      <c r="W1451" s="859"/>
      <c r="X1451" s="859"/>
      <c r="Y1451" s="755">
        <f t="shared" si="195"/>
        <v>0</v>
      </c>
      <c r="Z1451" s="864"/>
      <c r="AA1451" s="863"/>
      <c r="AB1451" s="756">
        <f t="shared" si="196"/>
        <v>0</v>
      </c>
      <c r="AC1451" s="859"/>
      <c r="AD1451" s="863"/>
      <c r="AE1451" s="859"/>
      <c r="AF1451" s="859"/>
      <c r="AG1451" s="864"/>
      <c r="AH1451" s="865"/>
      <c r="AI1451" s="757">
        <f t="shared" si="200"/>
        <v>0</v>
      </c>
      <c r="AJ1451" s="758">
        <f t="shared" si="201"/>
        <v>0</v>
      </c>
    </row>
    <row r="1452" spans="1:36" x14ac:dyDescent="0.2">
      <c r="A1452" s="1318" t="s">
        <v>151</v>
      </c>
      <c r="B1452" s="1319" t="s">
        <v>204</v>
      </c>
      <c r="C1452" s="1323" t="s">
        <v>1453</v>
      </c>
      <c r="D1452" s="1092"/>
      <c r="E1452" s="1078"/>
      <c r="F1452" s="1079"/>
      <c r="G1452" s="859"/>
      <c r="H1452" s="860"/>
      <c r="I1452" s="861"/>
      <c r="J1452" s="862"/>
      <c r="K1452" s="859"/>
      <c r="L1452" s="863"/>
      <c r="M1452" s="861"/>
      <c r="N1452" s="859"/>
      <c r="O1452" s="752">
        <f t="shared" si="194"/>
        <v>0</v>
      </c>
      <c r="P1452" s="862"/>
      <c r="Q1452" s="860"/>
      <c r="R1452" s="753">
        <f t="shared" si="197"/>
        <v>0</v>
      </c>
      <c r="S1452" s="752">
        <f t="shared" si="198"/>
        <v>0</v>
      </c>
      <c r="T1452" s="754">
        <f t="shared" si="199"/>
        <v>0</v>
      </c>
      <c r="U1452" s="859">
        <v>1031917</v>
      </c>
      <c r="V1452" s="863">
        <v>662642</v>
      </c>
      <c r="W1452" s="859"/>
      <c r="X1452" s="859"/>
      <c r="Y1452" s="755">
        <f t="shared" si="195"/>
        <v>0</v>
      </c>
      <c r="Z1452" s="864"/>
      <c r="AA1452" s="863"/>
      <c r="AB1452" s="756">
        <f t="shared" si="196"/>
        <v>0</v>
      </c>
      <c r="AC1452" s="859"/>
      <c r="AD1452" s="863"/>
      <c r="AE1452" s="859"/>
      <c r="AF1452" s="859"/>
      <c r="AG1452" s="864"/>
      <c r="AH1452" s="865"/>
      <c r="AI1452" s="757">
        <f t="shared" si="200"/>
        <v>1031917</v>
      </c>
      <c r="AJ1452" s="758">
        <f t="shared" si="201"/>
        <v>662642</v>
      </c>
    </row>
    <row r="1453" spans="1:36" x14ac:dyDescent="0.2">
      <c r="A1453" s="1318" t="s">
        <v>151</v>
      </c>
      <c r="B1453" s="1096" t="s">
        <v>205</v>
      </c>
      <c r="C1453" s="1097" t="s">
        <v>577</v>
      </c>
      <c r="D1453" s="1098"/>
      <c r="E1453" s="1078"/>
      <c r="F1453" s="1079"/>
      <c r="G1453" s="859"/>
      <c r="H1453" s="860"/>
      <c r="I1453" s="861"/>
      <c r="J1453" s="862"/>
      <c r="K1453" s="859"/>
      <c r="L1453" s="863"/>
      <c r="M1453" s="861"/>
      <c r="N1453" s="859"/>
      <c r="O1453" s="752">
        <f t="shared" si="194"/>
        <v>0</v>
      </c>
      <c r="P1453" s="862"/>
      <c r="Q1453" s="860"/>
      <c r="R1453" s="753">
        <f t="shared" si="197"/>
        <v>0</v>
      </c>
      <c r="S1453" s="752">
        <f t="shared" si="198"/>
        <v>0</v>
      </c>
      <c r="T1453" s="754">
        <f t="shared" si="199"/>
        <v>0</v>
      </c>
      <c r="U1453" s="859"/>
      <c r="V1453" s="863"/>
      <c r="W1453" s="859"/>
      <c r="X1453" s="859"/>
      <c r="Y1453" s="755">
        <f t="shared" si="195"/>
        <v>0</v>
      </c>
      <c r="Z1453" s="864"/>
      <c r="AA1453" s="863"/>
      <c r="AB1453" s="756">
        <f t="shared" si="196"/>
        <v>0</v>
      </c>
      <c r="AC1453" s="859"/>
      <c r="AD1453" s="863"/>
      <c r="AE1453" s="859"/>
      <c r="AF1453" s="859"/>
      <c r="AG1453" s="864"/>
      <c r="AH1453" s="865"/>
      <c r="AI1453" s="757">
        <f t="shared" si="200"/>
        <v>0</v>
      </c>
      <c r="AJ1453" s="758">
        <f t="shared" si="201"/>
        <v>0</v>
      </c>
    </row>
    <row r="1454" spans="1:36" x14ac:dyDescent="0.2">
      <c r="A1454" s="1318" t="s">
        <v>151</v>
      </c>
      <c r="B1454" s="1096" t="s">
        <v>218</v>
      </c>
      <c r="C1454" s="1097" t="s">
        <v>311</v>
      </c>
      <c r="D1454" s="1098"/>
      <c r="E1454" s="1078"/>
      <c r="F1454" s="1079"/>
      <c r="G1454" s="859"/>
      <c r="H1454" s="860"/>
      <c r="I1454" s="861"/>
      <c r="J1454" s="862"/>
      <c r="K1454" s="859"/>
      <c r="L1454" s="863"/>
      <c r="M1454" s="861"/>
      <c r="N1454" s="859"/>
      <c r="O1454" s="752">
        <f t="shared" si="194"/>
        <v>0</v>
      </c>
      <c r="P1454" s="862"/>
      <c r="Q1454" s="860"/>
      <c r="R1454" s="753">
        <f t="shared" si="197"/>
        <v>0</v>
      </c>
      <c r="S1454" s="752">
        <f t="shared" si="198"/>
        <v>0</v>
      </c>
      <c r="T1454" s="754">
        <f t="shared" si="199"/>
        <v>0</v>
      </c>
      <c r="U1454" s="859"/>
      <c r="V1454" s="863"/>
      <c r="W1454" s="859"/>
      <c r="X1454" s="859"/>
      <c r="Y1454" s="755">
        <f t="shared" si="195"/>
        <v>0</v>
      </c>
      <c r="Z1454" s="864"/>
      <c r="AA1454" s="863"/>
      <c r="AB1454" s="756">
        <f t="shared" si="196"/>
        <v>0</v>
      </c>
      <c r="AC1454" s="859"/>
      <c r="AD1454" s="863"/>
      <c r="AE1454" s="859"/>
      <c r="AF1454" s="859"/>
      <c r="AG1454" s="864"/>
      <c r="AH1454" s="865"/>
      <c r="AI1454" s="757">
        <f t="shared" si="200"/>
        <v>0</v>
      </c>
      <c r="AJ1454" s="758">
        <f t="shared" si="201"/>
        <v>0</v>
      </c>
    </row>
    <row r="1455" spans="1:36" x14ac:dyDescent="0.2">
      <c r="A1455" s="1318" t="s">
        <v>151</v>
      </c>
      <c r="B1455" s="1319" t="s">
        <v>219</v>
      </c>
      <c r="C1455" s="1323" t="s">
        <v>1453</v>
      </c>
      <c r="D1455" s="1092"/>
      <c r="E1455" s="1078"/>
      <c r="F1455" s="1079"/>
      <c r="G1455" s="859"/>
      <c r="H1455" s="860"/>
      <c r="I1455" s="861"/>
      <c r="J1455" s="862"/>
      <c r="K1455" s="859"/>
      <c r="L1455" s="863"/>
      <c r="M1455" s="861"/>
      <c r="N1455" s="859"/>
      <c r="O1455" s="752">
        <f t="shared" si="194"/>
        <v>0</v>
      </c>
      <c r="P1455" s="862"/>
      <c r="Q1455" s="860"/>
      <c r="R1455" s="753">
        <f t="shared" si="197"/>
        <v>0</v>
      </c>
      <c r="S1455" s="752">
        <f t="shared" si="198"/>
        <v>0</v>
      </c>
      <c r="T1455" s="754">
        <f t="shared" si="199"/>
        <v>0</v>
      </c>
      <c r="U1455" s="859">
        <v>510965</v>
      </c>
      <c r="V1455" s="863">
        <v>458682</v>
      </c>
      <c r="W1455" s="859"/>
      <c r="X1455" s="859"/>
      <c r="Y1455" s="755">
        <f t="shared" si="195"/>
        <v>0</v>
      </c>
      <c r="Z1455" s="864"/>
      <c r="AA1455" s="863"/>
      <c r="AB1455" s="756">
        <f t="shared" si="196"/>
        <v>0</v>
      </c>
      <c r="AC1455" s="859"/>
      <c r="AD1455" s="863"/>
      <c r="AE1455" s="859"/>
      <c r="AF1455" s="859"/>
      <c r="AG1455" s="864"/>
      <c r="AH1455" s="865"/>
      <c r="AI1455" s="757">
        <f t="shared" si="200"/>
        <v>510965</v>
      </c>
      <c r="AJ1455" s="758">
        <f t="shared" si="201"/>
        <v>458682</v>
      </c>
    </row>
    <row r="1456" spans="1:36" x14ac:dyDescent="0.2">
      <c r="A1456" s="1318" t="s">
        <v>151</v>
      </c>
      <c r="B1456" s="1336" t="s">
        <v>292</v>
      </c>
      <c r="C1456" s="1334" t="s">
        <v>1463</v>
      </c>
      <c r="D1456" s="1335"/>
      <c r="E1456" s="1078"/>
      <c r="F1456" s="1079"/>
      <c r="G1456" s="859"/>
      <c r="H1456" s="860"/>
      <c r="I1456" s="861"/>
      <c r="J1456" s="862"/>
      <c r="K1456" s="859"/>
      <c r="L1456" s="863"/>
      <c r="M1456" s="861"/>
      <c r="N1456" s="859"/>
      <c r="O1456" s="752">
        <f t="shared" si="194"/>
        <v>0</v>
      </c>
      <c r="P1456" s="862"/>
      <c r="Q1456" s="860"/>
      <c r="R1456" s="753">
        <f t="shared" si="197"/>
        <v>0</v>
      </c>
      <c r="S1456" s="752">
        <f t="shared" si="198"/>
        <v>0</v>
      </c>
      <c r="T1456" s="754">
        <f t="shared" si="199"/>
        <v>0</v>
      </c>
      <c r="U1456" s="859"/>
      <c r="V1456" s="863"/>
      <c r="W1456" s="859"/>
      <c r="X1456" s="859"/>
      <c r="Y1456" s="755">
        <f t="shared" si="195"/>
        <v>0</v>
      </c>
      <c r="Z1456" s="864"/>
      <c r="AA1456" s="863"/>
      <c r="AB1456" s="756">
        <f t="shared" si="196"/>
        <v>0</v>
      </c>
      <c r="AC1456" s="859"/>
      <c r="AD1456" s="863"/>
      <c r="AE1456" s="859"/>
      <c r="AF1456" s="859"/>
      <c r="AG1456" s="864"/>
      <c r="AH1456" s="865"/>
      <c r="AI1456" s="757">
        <f t="shared" si="200"/>
        <v>0</v>
      </c>
      <c r="AJ1456" s="758">
        <f t="shared" si="201"/>
        <v>0</v>
      </c>
    </row>
    <row r="1457" spans="1:36" x14ac:dyDescent="0.2">
      <c r="A1457" s="1318" t="s">
        <v>151</v>
      </c>
      <c r="B1457" s="1319" t="s">
        <v>209</v>
      </c>
      <c r="C1457" s="1323" t="s">
        <v>576</v>
      </c>
      <c r="D1457" s="1092"/>
      <c r="E1457" s="1078"/>
      <c r="F1457" s="1079"/>
      <c r="G1457" s="859"/>
      <c r="H1457" s="860"/>
      <c r="I1457" s="861"/>
      <c r="J1457" s="862"/>
      <c r="K1457" s="859"/>
      <c r="L1457" s="863"/>
      <c r="M1457" s="861"/>
      <c r="N1457" s="859"/>
      <c r="O1457" s="752">
        <f t="shared" si="194"/>
        <v>0</v>
      </c>
      <c r="P1457" s="862"/>
      <c r="Q1457" s="860"/>
      <c r="R1457" s="753">
        <f t="shared" si="197"/>
        <v>0</v>
      </c>
      <c r="S1457" s="752">
        <f t="shared" si="198"/>
        <v>0</v>
      </c>
      <c r="T1457" s="754">
        <f t="shared" si="199"/>
        <v>0</v>
      </c>
      <c r="U1457" s="859"/>
      <c r="V1457" s="863"/>
      <c r="W1457" s="859"/>
      <c r="X1457" s="859"/>
      <c r="Y1457" s="755">
        <f t="shared" si="195"/>
        <v>0</v>
      </c>
      <c r="Z1457" s="864"/>
      <c r="AA1457" s="863"/>
      <c r="AB1457" s="756">
        <f t="shared" si="196"/>
        <v>0</v>
      </c>
      <c r="AC1457" s="859"/>
      <c r="AD1457" s="863"/>
      <c r="AE1457" s="859"/>
      <c r="AF1457" s="859"/>
      <c r="AG1457" s="864"/>
      <c r="AH1457" s="865"/>
      <c r="AI1457" s="757">
        <f t="shared" si="200"/>
        <v>0</v>
      </c>
      <c r="AJ1457" s="758">
        <f t="shared" si="201"/>
        <v>0</v>
      </c>
    </row>
    <row r="1458" spans="1:36" x14ac:dyDescent="0.2">
      <c r="A1458" s="1318" t="s">
        <v>151</v>
      </c>
      <c r="B1458" s="1319" t="s">
        <v>210</v>
      </c>
      <c r="C1458" s="1323" t="s">
        <v>311</v>
      </c>
      <c r="D1458" s="1092"/>
      <c r="E1458" s="1078"/>
      <c r="F1458" s="1079"/>
      <c r="G1458" s="859"/>
      <c r="H1458" s="860"/>
      <c r="I1458" s="861"/>
      <c r="J1458" s="862"/>
      <c r="K1458" s="859"/>
      <c r="L1458" s="863"/>
      <c r="M1458" s="861"/>
      <c r="N1458" s="859"/>
      <c r="O1458" s="752">
        <f t="shared" si="194"/>
        <v>0</v>
      </c>
      <c r="P1458" s="862"/>
      <c r="Q1458" s="860"/>
      <c r="R1458" s="753">
        <f t="shared" si="197"/>
        <v>0</v>
      </c>
      <c r="S1458" s="752">
        <f t="shared" si="198"/>
        <v>0</v>
      </c>
      <c r="T1458" s="754">
        <f t="shared" si="199"/>
        <v>0</v>
      </c>
      <c r="U1458" s="859"/>
      <c r="V1458" s="863"/>
      <c r="W1458" s="859"/>
      <c r="X1458" s="859"/>
      <c r="Y1458" s="755">
        <f t="shared" si="195"/>
        <v>0</v>
      </c>
      <c r="Z1458" s="864"/>
      <c r="AA1458" s="863"/>
      <c r="AB1458" s="756">
        <f t="shared" si="196"/>
        <v>0</v>
      </c>
      <c r="AC1458" s="859"/>
      <c r="AD1458" s="863"/>
      <c r="AE1458" s="859"/>
      <c r="AF1458" s="859"/>
      <c r="AG1458" s="864"/>
      <c r="AH1458" s="865"/>
      <c r="AI1458" s="757">
        <f t="shared" si="200"/>
        <v>0</v>
      </c>
      <c r="AJ1458" s="758">
        <f t="shared" si="201"/>
        <v>0</v>
      </c>
    </row>
    <row r="1459" spans="1:36" x14ac:dyDescent="0.2">
      <c r="A1459" s="1318" t="s">
        <v>151</v>
      </c>
      <c r="B1459" s="1319" t="s">
        <v>204</v>
      </c>
      <c r="C1459" s="1323" t="s">
        <v>1453</v>
      </c>
      <c r="D1459" s="1092"/>
      <c r="E1459" s="1078"/>
      <c r="F1459" s="1079"/>
      <c r="G1459" s="859"/>
      <c r="H1459" s="860"/>
      <c r="I1459" s="861"/>
      <c r="J1459" s="862"/>
      <c r="K1459" s="859"/>
      <c r="L1459" s="863"/>
      <c r="M1459" s="861"/>
      <c r="N1459" s="859"/>
      <c r="O1459" s="752">
        <f t="shared" si="194"/>
        <v>0</v>
      </c>
      <c r="P1459" s="862"/>
      <c r="Q1459" s="860"/>
      <c r="R1459" s="753">
        <f t="shared" si="197"/>
        <v>0</v>
      </c>
      <c r="S1459" s="752">
        <f t="shared" si="198"/>
        <v>0</v>
      </c>
      <c r="T1459" s="754">
        <f t="shared" si="199"/>
        <v>0</v>
      </c>
      <c r="U1459" s="859">
        <v>721250</v>
      </c>
      <c r="V1459" s="863">
        <v>409375</v>
      </c>
      <c r="W1459" s="859"/>
      <c r="X1459" s="859"/>
      <c r="Y1459" s="755">
        <f t="shared" si="195"/>
        <v>0</v>
      </c>
      <c r="Z1459" s="864"/>
      <c r="AA1459" s="863"/>
      <c r="AB1459" s="756">
        <f t="shared" si="196"/>
        <v>0</v>
      </c>
      <c r="AC1459" s="859"/>
      <c r="AD1459" s="863"/>
      <c r="AE1459" s="859"/>
      <c r="AF1459" s="859"/>
      <c r="AG1459" s="864"/>
      <c r="AH1459" s="865"/>
      <c r="AI1459" s="757">
        <f t="shared" si="200"/>
        <v>721250</v>
      </c>
      <c r="AJ1459" s="758">
        <f t="shared" si="201"/>
        <v>409375</v>
      </c>
    </row>
    <row r="1460" spans="1:36" x14ac:dyDescent="0.2">
      <c r="A1460" s="1318" t="s">
        <v>151</v>
      </c>
      <c r="B1460" s="1096" t="s">
        <v>205</v>
      </c>
      <c r="C1460" s="1097" t="s">
        <v>577</v>
      </c>
      <c r="D1460" s="1098"/>
      <c r="E1460" s="1078"/>
      <c r="F1460" s="1079"/>
      <c r="G1460" s="859"/>
      <c r="H1460" s="860"/>
      <c r="I1460" s="861"/>
      <c r="J1460" s="862"/>
      <c r="K1460" s="859"/>
      <c r="L1460" s="863"/>
      <c r="M1460" s="861"/>
      <c r="N1460" s="859"/>
      <c r="O1460" s="752">
        <f t="shared" si="194"/>
        <v>0</v>
      </c>
      <c r="P1460" s="862"/>
      <c r="Q1460" s="860"/>
      <c r="R1460" s="753">
        <f t="shared" si="197"/>
        <v>0</v>
      </c>
      <c r="S1460" s="752">
        <f t="shared" si="198"/>
        <v>0</v>
      </c>
      <c r="T1460" s="754">
        <f t="shared" si="199"/>
        <v>0</v>
      </c>
      <c r="U1460" s="859"/>
      <c r="V1460" s="863"/>
      <c r="W1460" s="859"/>
      <c r="X1460" s="859"/>
      <c r="Y1460" s="755">
        <f t="shared" si="195"/>
        <v>0</v>
      </c>
      <c r="Z1460" s="864"/>
      <c r="AA1460" s="863"/>
      <c r="AB1460" s="756">
        <f t="shared" si="196"/>
        <v>0</v>
      </c>
      <c r="AC1460" s="859"/>
      <c r="AD1460" s="863"/>
      <c r="AE1460" s="859"/>
      <c r="AF1460" s="859"/>
      <c r="AG1460" s="864"/>
      <c r="AH1460" s="865"/>
      <c r="AI1460" s="757">
        <f t="shared" si="200"/>
        <v>0</v>
      </c>
      <c r="AJ1460" s="758">
        <f t="shared" si="201"/>
        <v>0</v>
      </c>
    </row>
    <row r="1461" spans="1:36" x14ac:dyDescent="0.2">
      <c r="A1461" s="1318" t="s">
        <v>151</v>
      </c>
      <c r="B1461" s="1096" t="s">
        <v>218</v>
      </c>
      <c r="C1461" s="1097" t="s">
        <v>311</v>
      </c>
      <c r="D1461" s="1098"/>
      <c r="E1461" s="1078"/>
      <c r="F1461" s="1079"/>
      <c r="G1461" s="859"/>
      <c r="H1461" s="860"/>
      <c r="I1461" s="861"/>
      <c r="J1461" s="862"/>
      <c r="K1461" s="859"/>
      <c r="L1461" s="863"/>
      <c r="M1461" s="861"/>
      <c r="N1461" s="859"/>
      <c r="O1461" s="752">
        <f t="shared" si="194"/>
        <v>0</v>
      </c>
      <c r="P1461" s="862"/>
      <c r="Q1461" s="860"/>
      <c r="R1461" s="753">
        <f t="shared" si="197"/>
        <v>0</v>
      </c>
      <c r="S1461" s="752">
        <f t="shared" si="198"/>
        <v>0</v>
      </c>
      <c r="T1461" s="754">
        <f t="shared" si="199"/>
        <v>0</v>
      </c>
      <c r="U1461" s="859"/>
      <c r="V1461" s="863"/>
      <c r="W1461" s="859"/>
      <c r="X1461" s="859"/>
      <c r="Y1461" s="755">
        <f t="shared" si="195"/>
        <v>0</v>
      </c>
      <c r="Z1461" s="864"/>
      <c r="AA1461" s="863"/>
      <c r="AB1461" s="756">
        <f t="shared" si="196"/>
        <v>0</v>
      </c>
      <c r="AC1461" s="859"/>
      <c r="AD1461" s="863"/>
      <c r="AE1461" s="859"/>
      <c r="AF1461" s="859"/>
      <c r="AG1461" s="864"/>
      <c r="AH1461" s="865"/>
      <c r="AI1461" s="757">
        <f t="shared" si="200"/>
        <v>0</v>
      </c>
      <c r="AJ1461" s="758">
        <f t="shared" si="201"/>
        <v>0</v>
      </c>
    </row>
    <row r="1462" spans="1:36" x14ac:dyDescent="0.2">
      <c r="A1462" s="1318" t="s">
        <v>151</v>
      </c>
      <c r="B1462" s="1319" t="s">
        <v>219</v>
      </c>
      <c r="C1462" s="1323" t="s">
        <v>1453</v>
      </c>
      <c r="D1462" s="1092"/>
      <c r="E1462" s="1078"/>
      <c r="F1462" s="1079"/>
      <c r="G1462" s="859"/>
      <c r="H1462" s="860"/>
      <c r="I1462" s="861"/>
      <c r="J1462" s="862"/>
      <c r="K1462" s="859"/>
      <c r="L1462" s="863"/>
      <c r="M1462" s="861"/>
      <c r="N1462" s="859"/>
      <c r="O1462" s="752">
        <f t="shared" si="194"/>
        <v>0</v>
      </c>
      <c r="P1462" s="862"/>
      <c r="Q1462" s="860"/>
      <c r="R1462" s="753">
        <f t="shared" si="197"/>
        <v>0</v>
      </c>
      <c r="S1462" s="752">
        <f t="shared" si="198"/>
        <v>0</v>
      </c>
      <c r="T1462" s="754">
        <f t="shared" si="199"/>
        <v>0</v>
      </c>
      <c r="U1462" s="859">
        <v>227000</v>
      </c>
      <c r="V1462" s="863">
        <v>156250</v>
      </c>
      <c r="W1462" s="859"/>
      <c r="X1462" s="859"/>
      <c r="Y1462" s="755">
        <f t="shared" si="195"/>
        <v>0</v>
      </c>
      <c r="Z1462" s="864"/>
      <c r="AA1462" s="863"/>
      <c r="AB1462" s="756">
        <f t="shared" si="196"/>
        <v>0</v>
      </c>
      <c r="AC1462" s="859"/>
      <c r="AD1462" s="863"/>
      <c r="AE1462" s="859"/>
      <c r="AF1462" s="859"/>
      <c r="AG1462" s="864"/>
      <c r="AH1462" s="865"/>
      <c r="AI1462" s="757">
        <f t="shared" si="200"/>
        <v>227000</v>
      </c>
      <c r="AJ1462" s="758">
        <f t="shared" si="201"/>
        <v>156250</v>
      </c>
    </row>
    <row r="1463" spans="1:36" x14ac:dyDescent="0.2">
      <c r="A1463" s="1318" t="s">
        <v>151</v>
      </c>
      <c r="B1463" s="1336" t="s">
        <v>292</v>
      </c>
      <c r="C1463" s="1334" t="s">
        <v>1464</v>
      </c>
      <c r="D1463" s="1335"/>
      <c r="E1463" s="1078"/>
      <c r="F1463" s="1079"/>
      <c r="G1463" s="859"/>
      <c r="H1463" s="860"/>
      <c r="I1463" s="861"/>
      <c r="J1463" s="862"/>
      <c r="K1463" s="859"/>
      <c r="L1463" s="863"/>
      <c r="M1463" s="861"/>
      <c r="N1463" s="859"/>
      <c r="O1463" s="752">
        <f t="shared" si="194"/>
        <v>0</v>
      </c>
      <c r="P1463" s="862"/>
      <c r="Q1463" s="860"/>
      <c r="R1463" s="753">
        <f t="shared" si="197"/>
        <v>0</v>
      </c>
      <c r="S1463" s="752">
        <f t="shared" si="198"/>
        <v>0</v>
      </c>
      <c r="T1463" s="754">
        <f t="shared" si="199"/>
        <v>0</v>
      </c>
      <c r="U1463" s="859"/>
      <c r="V1463" s="863"/>
      <c r="W1463" s="859"/>
      <c r="X1463" s="859"/>
      <c r="Y1463" s="755">
        <f t="shared" si="195"/>
        <v>0</v>
      </c>
      <c r="Z1463" s="864"/>
      <c r="AA1463" s="863"/>
      <c r="AB1463" s="756">
        <f t="shared" si="196"/>
        <v>0</v>
      </c>
      <c r="AC1463" s="859"/>
      <c r="AD1463" s="863"/>
      <c r="AE1463" s="859"/>
      <c r="AF1463" s="859"/>
      <c r="AG1463" s="864"/>
      <c r="AH1463" s="865"/>
      <c r="AI1463" s="757">
        <f t="shared" si="200"/>
        <v>0</v>
      </c>
      <c r="AJ1463" s="758">
        <f t="shared" si="201"/>
        <v>0</v>
      </c>
    </row>
    <row r="1464" spans="1:36" x14ac:dyDescent="0.2">
      <c r="A1464" s="1318" t="s">
        <v>151</v>
      </c>
      <c r="B1464" s="1319" t="s">
        <v>209</v>
      </c>
      <c r="C1464" s="1323" t="s">
        <v>576</v>
      </c>
      <c r="D1464" s="1092"/>
      <c r="E1464" s="1078"/>
      <c r="F1464" s="1079"/>
      <c r="G1464" s="859"/>
      <c r="H1464" s="860"/>
      <c r="I1464" s="861"/>
      <c r="J1464" s="862"/>
      <c r="K1464" s="859"/>
      <c r="L1464" s="863"/>
      <c r="M1464" s="861"/>
      <c r="N1464" s="859"/>
      <c r="O1464" s="752">
        <f t="shared" si="194"/>
        <v>0</v>
      </c>
      <c r="P1464" s="862"/>
      <c r="Q1464" s="860"/>
      <c r="R1464" s="753">
        <f t="shared" si="197"/>
        <v>0</v>
      </c>
      <c r="S1464" s="752">
        <f t="shared" si="198"/>
        <v>0</v>
      </c>
      <c r="T1464" s="754">
        <f t="shared" si="199"/>
        <v>0</v>
      </c>
      <c r="U1464" s="859"/>
      <c r="V1464" s="863"/>
      <c r="W1464" s="859"/>
      <c r="X1464" s="859"/>
      <c r="Y1464" s="755">
        <f t="shared" si="195"/>
        <v>0</v>
      </c>
      <c r="Z1464" s="864"/>
      <c r="AA1464" s="863"/>
      <c r="AB1464" s="756">
        <f t="shared" si="196"/>
        <v>0</v>
      </c>
      <c r="AC1464" s="859"/>
      <c r="AD1464" s="863"/>
      <c r="AE1464" s="859"/>
      <c r="AF1464" s="859"/>
      <c r="AG1464" s="864"/>
      <c r="AH1464" s="865"/>
      <c r="AI1464" s="757">
        <f t="shared" si="200"/>
        <v>0</v>
      </c>
      <c r="AJ1464" s="758">
        <f t="shared" si="201"/>
        <v>0</v>
      </c>
    </row>
    <row r="1465" spans="1:36" x14ac:dyDescent="0.2">
      <c r="A1465" s="1318" t="s">
        <v>151</v>
      </c>
      <c r="B1465" s="1319" t="s">
        <v>210</v>
      </c>
      <c r="C1465" s="1323" t="s">
        <v>311</v>
      </c>
      <c r="D1465" s="1092"/>
      <c r="E1465" s="1078"/>
      <c r="F1465" s="1079"/>
      <c r="G1465" s="859"/>
      <c r="H1465" s="860"/>
      <c r="I1465" s="861"/>
      <c r="J1465" s="862"/>
      <c r="K1465" s="859"/>
      <c r="L1465" s="863"/>
      <c r="M1465" s="861"/>
      <c r="N1465" s="859"/>
      <c r="O1465" s="752">
        <f t="shared" si="194"/>
        <v>0</v>
      </c>
      <c r="P1465" s="862"/>
      <c r="Q1465" s="860"/>
      <c r="R1465" s="753">
        <f t="shared" si="197"/>
        <v>0</v>
      </c>
      <c r="S1465" s="752">
        <f t="shared" si="198"/>
        <v>0</v>
      </c>
      <c r="T1465" s="754">
        <f t="shared" si="199"/>
        <v>0</v>
      </c>
      <c r="U1465" s="859"/>
      <c r="V1465" s="863"/>
      <c r="W1465" s="859"/>
      <c r="X1465" s="859"/>
      <c r="Y1465" s="755">
        <f t="shared" si="195"/>
        <v>0</v>
      </c>
      <c r="Z1465" s="864"/>
      <c r="AA1465" s="863"/>
      <c r="AB1465" s="756">
        <f t="shared" si="196"/>
        <v>0</v>
      </c>
      <c r="AC1465" s="859"/>
      <c r="AD1465" s="863"/>
      <c r="AE1465" s="859"/>
      <c r="AF1465" s="859"/>
      <c r="AG1465" s="864"/>
      <c r="AH1465" s="865"/>
      <c r="AI1465" s="757">
        <f t="shared" si="200"/>
        <v>0</v>
      </c>
      <c r="AJ1465" s="758">
        <f t="shared" si="201"/>
        <v>0</v>
      </c>
    </row>
    <row r="1466" spans="1:36" x14ac:dyDescent="0.2">
      <c r="A1466" s="1318" t="s">
        <v>151</v>
      </c>
      <c r="B1466" s="1319" t="s">
        <v>204</v>
      </c>
      <c r="C1466" s="1323" t="s">
        <v>1453</v>
      </c>
      <c r="D1466" s="1092"/>
      <c r="E1466" s="1078"/>
      <c r="F1466" s="1079"/>
      <c r="G1466" s="859"/>
      <c r="H1466" s="860"/>
      <c r="I1466" s="861"/>
      <c r="J1466" s="862"/>
      <c r="K1466" s="859"/>
      <c r="L1466" s="863"/>
      <c r="M1466" s="861"/>
      <c r="N1466" s="859"/>
      <c r="O1466" s="752">
        <f t="shared" si="194"/>
        <v>0</v>
      </c>
      <c r="P1466" s="862"/>
      <c r="Q1466" s="860"/>
      <c r="R1466" s="753">
        <f t="shared" si="197"/>
        <v>0</v>
      </c>
      <c r="S1466" s="752">
        <f t="shared" si="198"/>
        <v>0</v>
      </c>
      <c r="T1466" s="754">
        <f t="shared" si="199"/>
        <v>0</v>
      </c>
      <c r="U1466" s="859">
        <v>713516</v>
      </c>
      <c r="V1466" s="863">
        <v>1185913</v>
      </c>
      <c r="W1466" s="859"/>
      <c r="X1466" s="859"/>
      <c r="Y1466" s="755">
        <f t="shared" si="195"/>
        <v>0</v>
      </c>
      <c r="Z1466" s="864"/>
      <c r="AA1466" s="863"/>
      <c r="AB1466" s="756">
        <f t="shared" si="196"/>
        <v>0</v>
      </c>
      <c r="AC1466" s="859"/>
      <c r="AD1466" s="863"/>
      <c r="AE1466" s="859"/>
      <c r="AF1466" s="859"/>
      <c r="AG1466" s="864"/>
      <c r="AH1466" s="865"/>
      <c r="AI1466" s="757">
        <f t="shared" si="200"/>
        <v>713516</v>
      </c>
      <c r="AJ1466" s="758">
        <f t="shared" si="201"/>
        <v>1185913</v>
      </c>
    </row>
    <row r="1467" spans="1:36" x14ac:dyDescent="0.2">
      <c r="A1467" s="1318" t="s">
        <v>151</v>
      </c>
      <c r="B1467" s="1096" t="s">
        <v>205</v>
      </c>
      <c r="C1467" s="1097" t="s">
        <v>577</v>
      </c>
      <c r="D1467" s="1098"/>
      <c r="E1467" s="1078"/>
      <c r="F1467" s="1079"/>
      <c r="G1467" s="859"/>
      <c r="H1467" s="860"/>
      <c r="I1467" s="861"/>
      <c r="J1467" s="862"/>
      <c r="K1467" s="859"/>
      <c r="L1467" s="863"/>
      <c r="M1467" s="861"/>
      <c r="N1467" s="859"/>
      <c r="O1467" s="752">
        <f t="shared" si="194"/>
        <v>0</v>
      </c>
      <c r="P1467" s="862"/>
      <c r="Q1467" s="860"/>
      <c r="R1467" s="753">
        <f t="shared" si="197"/>
        <v>0</v>
      </c>
      <c r="S1467" s="752">
        <f t="shared" si="198"/>
        <v>0</v>
      </c>
      <c r="T1467" s="754">
        <f t="shared" si="199"/>
        <v>0</v>
      </c>
      <c r="U1467" s="859"/>
      <c r="V1467" s="863"/>
      <c r="W1467" s="859"/>
      <c r="X1467" s="859"/>
      <c r="Y1467" s="755">
        <f t="shared" si="195"/>
        <v>0</v>
      </c>
      <c r="Z1467" s="864"/>
      <c r="AA1467" s="863"/>
      <c r="AB1467" s="756">
        <f t="shared" si="196"/>
        <v>0</v>
      </c>
      <c r="AC1467" s="859"/>
      <c r="AD1467" s="863"/>
      <c r="AE1467" s="859"/>
      <c r="AF1467" s="859"/>
      <c r="AG1467" s="864"/>
      <c r="AH1467" s="865"/>
      <c r="AI1467" s="757">
        <f t="shared" si="200"/>
        <v>0</v>
      </c>
      <c r="AJ1467" s="758">
        <f t="shared" si="201"/>
        <v>0</v>
      </c>
    </row>
    <row r="1468" spans="1:36" x14ac:dyDescent="0.2">
      <c r="A1468" s="1318" t="s">
        <v>151</v>
      </c>
      <c r="B1468" s="1096" t="s">
        <v>218</v>
      </c>
      <c r="C1468" s="1097" t="s">
        <v>311</v>
      </c>
      <c r="D1468" s="1098"/>
      <c r="E1468" s="1078"/>
      <c r="F1468" s="1079"/>
      <c r="G1468" s="859"/>
      <c r="H1468" s="860"/>
      <c r="I1468" s="861"/>
      <c r="J1468" s="862"/>
      <c r="K1468" s="859"/>
      <c r="L1468" s="863"/>
      <c r="M1468" s="861"/>
      <c r="N1468" s="859"/>
      <c r="O1468" s="752">
        <f t="shared" si="194"/>
        <v>0</v>
      </c>
      <c r="P1468" s="862"/>
      <c r="Q1468" s="860"/>
      <c r="R1468" s="753">
        <f t="shared" si="197"/>
        <v>0</v>
      </c>
      <c r="S1468" s="752">
        <f t="shared" si="198"/>
        <v>0</v>
      </c>
      <c r="T1468" s="754">
        <f t="shared" si="199"/>
        <v>0</v>
      </c>
      <c r="U1468" s="859"/>
      <c r="V1468" s="863"/>
      <c r="W1468" s="859"/>
      <c r="X1468" s="859"/>
      <c r="Y1468" s="755">
        <f t="shared" si="195"/>
        <v>0</v>
      </c>
      <c r="Z1468" s="864"/>
      <c r="AA1468" s="863"/>
      <c r="AB1468" s="756">
        <f t="shared" si="196"/>
        <v>0</v>
      </c>
      <c r="AC1468" s="859"/>
      <c r="AD1468" s="863"/>
      <c r="AE1468" s="859"/>
      <c r="AF1468" s="859"/>
      <c r="AG1468" s="864"/>
      <c r="AH1468" s="865"/>
      <c r="AI1468" s="757">
        <f t="shared" si="200"/>
        <v>0</v>
      </c>
      <c r="AJ1468" s="758">
        <f t="shared" si="201"/>
        <v>0</v>
      </c>
    </row>
    <row r="1469" spans="1:36" x14ac:dyDescent="0.2">
      <c r="A1469" s="1318" t="s">
        <v>151</v>
      </c>
      <c r="B1469" s="1319" t="s">
        <v>219</v>
      </c>
      <c r="C1469" s="1323" t="s">
        <v>1453</v>
      </c>
      <c r="D1469" s="1092"/>
      <c r="E1469" s="1078"/>
      <c r="F1469" s="1079"/>
      <c r="G1469" s="859"/>
      <c r="H1469" s="860"/>
      <c r="I1469" s="861"/>
      <c r="J1469" s="862"/>
      <c r="K1469" s="859"/>
      <c r="L1469" s="863"/>
      <c r="M1469" s="861"/>
      <c r="N1469" s="859"/>
      <c r="O1469" s="752">
        <f t="shared" si="194"/>
        <v>0</v>
      </c>
      <c r="P1469" s="862"/>
      <c r="Q1469" s="860"/>
      <c r="R1469" s="753">
        <f t="shared" si="197"/>
        <v>0</v>
      </c>
      <c r="S1469" s="752">
        <f t="shared" si="198"/>
        <v>0</v>
      </c>
      <c r="T1469" s="754">
        <f t="shared" si="199"/>
        <v>0</v>
      </c>
      <c r="U1469" s="859">
        <v>113395</v>
      </c>
      <c r="V1469" s="863">
        <v>165058</v>
      </c>
      <c r="W1469" s="859"/>
      <c r="X1469" s="859"/>
      <c r="Y1469" s="755">
        <f t="shared" si="195"/>
        <v>0</v>
      </c>
      <c r="Z1469" s="864"/>
      <c r="AA1469" s="863"/>
      <c r="AB1469" s="756">
        <f t="shared" si="196"/>
        <v>0</v>
      </c>
      <c r="AC1469" s="859"/>
      <c r="AD1469" s="863"/>
      <c r="AE1469" s="859"/>
      <c r="AF1469" s="859"/>
      <c r="AG1469" s="864"/>
      <c r="AH1469" s="865"/>
      <c r="AI1469" s="757">
        <f t="shared" si="200"/>
        <v>113395</v>
      </c>
      <c r="AJ1469" s="758">
        <f t="shared" si="201"/>
        <v>165058</v>
      </c>
    </row>
    <row r="1470" spans="1:36" x14ac:dyDescent="0.2">
      <c r="A1470" s="1318" t="s">
        <v>151</v>
      </c>
      <c r="B1470" s="1336" t="s">
        <v>292</v>
      </c>
      <c r="C1470" s="1334" t="s">
        <v>1465</v>
      </c>
      <c r="D1470" s="1335"/>
      <c r="E1470" s="1078"/>
      <c r="F1470" s="1079"/>
      <c r="G1470" s="859"/>
      <c r="H1470" s="860"/>
      <c r="I1470" s="861"/>
      <c r="J1470" s="862"/>
      <c r="K1470" s="859"/>
      <c r="L1470" s="863"/>
      <c r="M1470" s="861"/>
      <c r="N1470" s="859"/>
      <c r="O1470" s="752">
        <f t="shared" si="194"/>
        <v>0</v>
      </c>
      <c r="P1470" s="862"/>
      <c r="Q1470" s="860"/>
      <c r="R1470" s="753">
        <f t="shared" si="197"/>
        <v>0</v>
      </c>
      <c r="S1470" s="752">
        <f t="shared" si="198"/>
        <v>0</v>
      </c>
      <c r="T1470" s="754">
        <f t="shared" si="199"/>
        <v>0</v>
      </c>
      <c r="U1470" s="859"/>
      <c r="V1470" s="863"/>
      <c r="W1470" s="859"/>
      <c r="X1470" s="859"/>
      <c r="Y1470" s="755">
        <f t="shared" si="195"/>
        <v>0</v>
      </c>
      <c r="Z1470" s="864"/>
      <c r="AA1470" s="863"/>
      <c r="AB1470" s="756">
        <f t="shared" si="196"/>
        <v>0</v>
      </c>
      <c r="AC1470" s="859"/>
      <c r="AD1470" s="863"/>
      <c r="AE1470" s="859"/>
      <c r="AF1470" s="859"/>
      <c r="AG1470" s="864"/>
      <c r="AH1470" s="865"/>
      <c r="AI1470" s="757">
        <f t="shared" si="200"/>
        <v>0</v>
      </c>
      <c r="AJ1470" s="758">
        <f t="shared" si="201"/>
        <v>0</v>
      </c>
    </row>
    <row r="1471" spans="1:36" x14ac:dyDescent="0.2">
      <c r="A1471" s="1318" t="s">
        <v>151</v>
      </c>
      <c r="B1471" s="1319" t="s">
        <v>209</v>
      </c>
      <c r="C1471" s="1323" t="s">
        <v>576</v>
      </c>
      <c r="D1471" s="1092"/>
      <c r="E1471" s="1078"/>
      <c r="F1471" s="1079"/>
      <c r="G1471" s="859"/>
      <c r="H1471" s="860"/>
      <c r="I1471" s="861"/>
      <c r="J1471" s="862"/>
      <c r="K1471" s="859"/>
      <c r="L1471" s="863"/>
      <c r="M1471" s="861"/>
      <c r="N1471" s="859"/>
      <c r="O1471" s="752">
        <f t="shared" si="194"/>
        <v>0</v>
      </c>
      <c r="P1471" s="862"/>
      <c r="Q1471" s="860"/>
      <c r="R1471" s="753">
        <f t="shared" si="197"/>
        <v>0</v>
      </c>
      <c r="S1471" s="752">
        <f t="shared" si="198"/>
        <v>0</v>
      </c>
      <c r="T1471" s="754">
        <f t="shared" si="199"/>
        <v>0</v>
      </c>
      <c r="U1471" s="859"/>
      <c r="V1471" s="863"/>
      <c r="W1471" s="859"/>
      <c r="X1471" s="859"/>
      <c r="Y1471" s="755">
        <f t="shared" si="195"/>
        <v>0</v>
      </c>
      <c r="Z1471" s="864"/>
      <c r="AA1471" s="863"/>
      <c r="AB1471" s="756">
        <f t="shared" si="196"/>
        <v>0</v>
      </c>
      <c r="AC1471" s="859"/>
      <c r="AD1471" s="863"/>
      <c r="AE1471" s="859"/>
      <c r="AF1471" s="859"/>
      <c r="AG1471" s="864"/>
      <c r="AH1471" s="865"/>
      <c r="AI1471" s="757">
        <f t="shared" si="200"/>
        <v>0</v>
      </c>
      <c r="AJ1471" s="758">
        <f t="shared" si="201"/>
        <v>0</v>
      </c>
    </row>
    <row r="1472" spans="1:36" x14ac:dyDescent="0.2">
      <c r="A1472" s="1318" t="s">
        <v>151</v>
      </c>
      <c r="B1472" s="1319" t="s">
        <v>210</v>
      </c>
      <c r="C1472" s="1323" t="s">
        <v>311</v>
      </c>
      <c r="D1472" s="1092"/>
      <c r="E1472" s="1078"/>
      <c r="F1472" s="1079"/>
      <c r="G1472" s="859"/>
      <c r="H1472" s="860"/>
      <c r="I1472" s="861"/>
      <c r="J1472" s="862"/>
      <c r="K1472" s="859"/>
      <c r="L1472" s="863"/>
      <c r="M1472" s="861"/>
      <c r="N1472" s="859"/>
      <c r="O1472" s="752">
        <f t="shared" si="194"/>
        <v>0</v>
      </c>
      <c r="P1472" s="862"/>
      <c r="Q1472" s="860"/>
      <c r="R1472" s="753">
        <f t="shared" si="197"/>
        <v>0</v>
      </c>
      <c r="S1472" s="752">
        <f t="shared" si="198"/>
        <v>0</v>
      </c>
      <c r="T1472" s="754">
        <f t="shared" si="199"/>
        <v>0</v>
      </c>
      <c r="U1472" s="859">
        <v>899750</v>
      </c>
      <c r="V1472" s="863">
        <v>570250</v>
      </c>
      <c r="W1472" s="859"/>
      <c r="X1472" s="859"/>
      <c r="Y1472" s="755">
        <f t="shared" si="195"/>
        <v>0</v>
      </c>
      <c r="Z1472" s="864"/>
      <c r="AA1472" s="863"/>
      <c r="AB1472" s="756">
        <f t="shared" si="196"/>
        <v>0</v>
      </c>
      <c r="AC1472" s="859"/>
      <c r="AD1472" s="863"/>
      <c r="AE1472" s="859"/>
      <c r="AF1472" s="859"/>
      <c r="AG1472" s="864"/>
      <c r="AH1472" s="865"/>
      <c r="AI1472" s="757">
        <f t="shared" si="200"/>
        <v>899750</v>
      </c>
      <c r="AJ1472" s="758">
        <f t="shared" si="201"/>
        <v>570250</v>
      </c>
    </row>
    <row r="1473" spans="1:36" x14ac:dyDescent="0.2">
      <c r="A1473" s="1318" t="s">
        <v>151</v>
      </c>
      <c r="B1473" s="1319" t="s">
        <v>204</v>
      </c>
      <c r="C1473" s="1323" t="s">
        <v>1453</v>
      </c>
      <c r="D1473" s="1092"/>
      <c r="E1473" s="1078"/>
      <c r="F1473" s="1079"/>
      <c r="G1473" s="859"/>
      <c r="H1473" s="860"/>
      <c r="I1473" s="861"/>
      <c r="J1473" s="862"/>
      <c r="K1473" s="859"/>
      <c r="L1473" s="863"/>
      <c r="M1473" s="861"/>
      <c r="N1473" s="859"/>
      <c r="O1473" s="752">
        <f t="shared" si="194"/>
        <v>0</v>
      </c>
      <c r="P1473" s="862"/>
      <c r="Q1473" s="860"/>
      <c r="R1473" s="753">
        <f t="shared" si="197"/>
        <v>0</v>
      </c>
      <c r="S1473" s="752">
        <f t="shared" si="198"/>
        <v>0</v>
      </c>
      <c r="T1473" s="754">
        <f t="shared" si="199"/>
        <v>0</v>
      </c>
      <c r="U1473" s="859"/>
      <c r="V1473" s="863"/>
      <c r="W1473" s="859"/>
      <c r="X1473" s="859"/>
      <c r="Y1473" s="755">
        <f t="shared" si="195"/>
        <v>0</v>
      </c>
      <c r="Z1473" s="864"/>
      <c r="AA1473" s="863"/>
      <c r="AB1473" s="756">
        <f t="shared" si="196"/>
        <v>0</v>
      </c>
      <c r="AC1473" s="859"/>
      <c r="AD1473" s="863"/>
      <c r="AE1473" s="859"/>
      <c r="AF1473" s="859"/>
      <c r="AG1473" s="864"/>
      <c r="AH1473" s="865"/>
      <c r="AI1473" s="757">
        <f t="shared" si="200"/>
        <v>0</v>
      </c>
      <c r="AJ1473" s="758">
        <f t="shared" si="201"/>
        <v>0</v>
      </c>
    </row>
    <row r="1474" spans="1:36" x14ac:dyDescent="0.2">
      <c r="A1474" s="1318" t="s">
        <v>151</v>
      </c>
      <c r="B1474" s="1096" t="s">
        <v>205</v>
      </c>
      <c r="C1474" s="1097" t="s">
        <v>577</v>
      </c>
      <c r="D1474" s="1098"/>
      <c r="E1474" s="1078"/>
      <c r="F1474" s="1079"/>
      <c r="G1474" s="859"/>
      <c r="H1474" s="860"/>
      <c r="I1474" s="861"/>
      <c r="J1474" s="862"/>
      <c r="K1474" s="859"/>
      <c r="L1474" s="863"/>
      <c r="M1474" s="861"/>
      <c r="N1474" s="859"/>
      <c r="O1474" s="752">
        <f t="shared" si="194"/>
        <v>0</v>
      </c>
      <c r="P1474" s="862"/>
      <c r="Q1474" s="860"/>
      <c r="R1474" s="753">
        <f t="shared" si="197"/>
        <v>0</v>
      </c>
      <c r="S1474" s="752">
        <f t="shared" si="198"/>
        <v>0</v>
      </c>
      <c r="T1474" s="754">
        <f t="shared" si="199"/>
        <v>0</v>
      </c>
      <c r="U1474" s="859"/>
      <c r="V1474" s="863"/>
      <c r="W1474" s="859"/>
      <c r="X1474" s="859"/>
      <c r="Y1474" s="755">
        <f t="shared" si="195"/>
        <v>0</v>
      </c>
      <c r="Z1474" s="864"/>
      <c r="AA1474" s="863"/>
      <c r="AB1474" s="756">
        <f t="shared" si="196"/>
        <v>0</v>
      </c>
      <c r="AC1474" s="859"/>
      <c r="AD1474" s="863"/>
      <c r="AE1474" s="859"/>
      <c r="AF1474" s="859"/>
      <c r="AG1474" s="864"/>
      <c r="AH1474" s="865"/>
      <c r="AI1474" s="757">
        <f t="shared" si="200"/>
        <v>0</v>
      </c>
      <c r="AJ1474" s="758">
        <f t="shared" si="201"/>
        <v>0</v>
      </c>
    </row>
    <row r="1475" spans="1:36" x14ac:dyDescent="0.2">
      <c r="A1475" s="1318" t="s">
        <v>151</v>
      </c>
      <c r="B1475" s="1096" t="s">
        <v>218</v>
      </c>
      <c r="C1475" s="1097" t="s">
        <v>311</v>
      </c>
      <c r="D1475" s="1098"/>
      <c r="E1475" s="1078"/>
      <c r="F1475" s="1079"/>
      <c r="G1475" s="859"/>
      <c r="H1475" s="860"/>
      <c r="I1475" s="861"/>
      <c r="J1475" s="862"/>
      <c r="K1475" s="859"/>
      <c r="L1475" s="863"/>
      <c r="M1475" s="861"/>
      <c r="N1475" s="859"/>
      <c r="O1475" s="752">
        <f t="shared" si="194"/>
        <v>0</v>
      </c>
      <c r="P1475" s="862"/>
      <c r="Q1475" s="860"/>
      <c r="R1475" s="753">
        <f t="shared" si="197"/>
        <v>0</v>
      </c>
      <c r="S1475" s="752">
        <f t="shared" si="198"/>
        <v>0</v>
      </c>
      <c r="T1475" s="754">
        <f t="shared" si="199"/>
        <v>0</v>
      </c>
      <c r="U1475" s="859">
        <v>293500</v>
      </c>
      <c r="V1475" s="863">
        <v>175500</v>
      </c>
      <c r="W1475" s="859"/>
      <c r="X1475" s="859"/>
      <c r="Y1475" s="755">
        <f t="shared" si="195"/>
        <v>0</v>
      </c>
      <c r="Z1475" s="864"/>
      <c r="AA1475" s="863"/>
      <c r="AB1475" s="756">
        <f t="shared" si="196"/>
        <v>0</v>
      </c>
      <c r="AC1475" s="859"/>
      <c r="AD1475" s="863"/>
      <c r="AE1475" s="859"/>
      <c r="AF1475" s="859"/>
      <c r="AG1475" s="864"/>
      <c r="AH1475" s="865"/>
      <c r="AI1475" s="757">
        <f t="shared" si="200"/>
        <v>293500</v>
      </c>
      <c r="AJ1475" s="758">
        <f t="shared" si="201"/>
        <v>175500</v>
      </c>
    </row>
    <row r="1476" spans="1:36" x14ac:dyDescent="0.2">
      <c r="A1476" s="1318" t="s">
        <v>151</v>
      </c>
      <c r="B1476" s="1319" t="s">
        <v>219</v>
      </c>
      <c r="C1476" s="1323" t="s">
        <v>1453</v>
      </c>
      <c r="D1476" s="1092"/>
      <c r="E1476" s="1078"/>
      <c r="F1476" s="1079"/>
      <c r="G1476" s="859"/>
      <c r="H1476" s="860"/>
      <c r="I1476" s="861"/>
      <c r="J1476" s="862"/>
      <c r="K1476" s="859"/>
      <c r="L1476" s="863"/>
      <c r="M1476" s="859"/>
      <c r="N1476" s="859"/>
      <c r="O1476" s="752">
        <f t="shared" si="194"/>
        <v>0</v>
      </c>
      <c r="P1476" s="862"/>
      <c r="Q1476" s="860"/>
      <c r="R1476" s="753">
        <f t="shared" si="197"/>
        <v>0</v>
      </c>
      <c r="S1476" s="752">
        <f t="shared" si="198"/>
        <v>0</v>
      </c>
      <c r="T1476" s="754">
        <f t="shared" si="199"/>
        <v>0</v>
      </c>
      <c r="U1476" s="859"/>
      <c r="V1476" s="863"/>
      <c r="W1476" s="859"/>
      <c r="X1476" s="859"/>
      <c r="Y1476" s="755">
        <f t="shared" si="195"/>
        <v>0</v>
      </c>
      <c r="Z1476" s="864"/>
      <c r="AA1476" s="863"/>
      <c r="AB1476" s="756">
        <f t="shared" si="196"/>
        <v>0</v>
      </c>
      <c r="AC1476" s="859"/>
      <c r="AD1476" s="863"/>
      <c r="AE1476" s="859"/>
      <c r="AF1476" s="859"/>
      <c r="AG1476" s="864"/>
      <c r="AH1476" s="865"/>
      <c r="AI1476" s="757">
        <f t="shared" si="200"/>
        <v>0</v>
      </c>
      <c r="AJ1476" s="758">
        <f t="shared" si="201"/>
        <v>0</v>
      </c>
    </row>
    <row r="1477" spans="1:36" x14ac:dyDescent="0.2">
      <c r="A1477" s="1318" t="s">
        <v>151</v>
      </c>
      <c r="B1477" s="1096" t="s">
        <v>293</v>
      </c>
      <c r="C1477" s="1102" t="s">
        <v>588</v>
      </c>
      <c r="D1477" s="1103"/>
      <c r="E1477" s="1099"/>
      <c r="F1477" s="1100"/>
      <c r="G1477" s="859"/>
      <c r="H1477" s="860"/>
      <c r="I1477" s="861"/>
      <c r="J1477" s="862"/>
      <c r="K1477" s="859"/>
      <c r="L1477" s="863"/>
      <c r="M1477" s="859"/>
      <c r="N1477" s="859"/>
      <c r="O1477" s="752">
        <f t="shared" si="194"/>
        <v>0</v>
      </c>
      <c r="P1477" s="862"/>
      <c r="Q1477" s="860"/>
      <c r="R1477" s="753">
        <f t="shared" si="197"/>
        <v>0</v>
      </c>
      <c r="S1477" s="752">
        <f t="shared" si="198"/>
        <v>0</v>
      </c>
      <c r="T1477" s="754">
        <f t="shared" si="199"/>
        <v>0</v>
      </c>
      <c r="U1477" s="859"/>
      <c r="V1477" s="863"/>
      <c r="W1477" s="859"/>
      <c r="X1477" s="859"/>
      <c r="Y1477" s="755">
        <f t="shared" si="195"/>
        <v>0</v>
      </c>
      <c r="Z1477" s="864"/>
      <c r="AA1477" s="863"/>
      <c r="AB1477" s="756">
        <f t="shared" si="196"/>
        <v>0</v>
      </c>
      <c r="AC1477" s="859"/>
      <c r="AD1477" s="863"/>
      <c r="AE1477" s="859"/>
      <c r="AF1477" s="859"/>
      <c r="AG1477" s="864"/>
      <c r="AH1477" s="865"/>
      <c r="AI1477" s="757">
        <f t="shared" si="200"/>
        <v>0</v>
      </c>
      <c r="AJ1477" s="758">
        <f t="shared" si="201"/>
        <v>0</v>
      </c>
    </row>
    <row r="1478" spans="1:36" x14ac:dyDescent="0.2">
      <c r="A1478" s="1318" t="s">
        <v>151</v>
      </c>
      <c r="B1478" s="1096" t="s">
        <v>252</v>
      </c>
      <c r="C1478" s="1097" t="s">
        <v>311</v>
      </c>
      <c r="D1478" s="1098"/>
      <c r="E1478" s="1099"/>
      <c r="F1478" s="1100"/>
      <c r="G1478" s="859"/>
      <c r="H1478" s="860"/>
      <c r="I1478" s="861"/>
      <c r="J1478" s="862"/>
      <c r="K1478" s="859"/>
      <c r="L1478" s="863"/>
      <c r="M1478" s="859"/>
      <c r="N1478" s="859"/>
      <c r="O1478" s="752">
        <f t="shared" si="194"/>
        <v>0</v>
      </c>
      <c r="P1478" s="862"/>
      <c r="Q1478" s="860"/>
      <c r="R1478" s="753">
        <f t="shared" si="197"/>
        <v>0</v>
      </c>
      <c r="S1478" s="752">
        <f t="shared" si="198"/>
        <v>0</v>
      </c>
      <c r="T1478" s="754">
        <f t="shared" si="199"/>
        <v>0</v>
      </c>
      <c r="U1478" s="859"/>
      <c r="V1478" s="863"/>
      <c r="W1478" s="859"/>
      <c r="X1478" s="859"/>
      <c r="Y1478" s="755">
        <f t="shared" si="195"/>
        <v>0</v>
      </c>
      <c r="Z1478" s="864"/>
      <c r="AA1478" s="863"/>
      <c r="AB1478" s="756">
        <f t="shared" si="196"/>
        <v>0</v>
      </c>
      <c r="AC1478" s="859"/>
      <c r="AD1478" s="863"/>
      <c r="AE1478" s="859"/>
      <c r="AF1478" s="859"/>
      <c r="AG1478" s="864"/>
      <c r="AH1478" s="865"/>
      <c r="AI1478" s="757">
        <f t="shared" si="200"/>
        <v>0</v>
      </c>
      <c r="AJ1478" s="758">
        <f t="shared" si="201"/>
        <v>0</v>
      </c>
    </row>
    <row r="1479" spans="1:36" x14ac:dyDescent="0.2">
      <c r="A1479" s="1318" t="s">
        <v>151</v>
      </c>
      <c r="B1479" s="1096" t="s">
        <v>253</v>
      </c>
      <c r="C1479" s="1097" t="s">
        <v>249</v>
      </c>
      <c r="D1479" s="1098"/>
      <c r="E1479" s="1099"/>
      <c r="F1479" s="1100"/>
      <c r="G1479" s="859"/>
      <c r="H1479" s="860"/>
      <c r="I1479" s="861"/>
      <c r="J1479" s="862"/>
      <c r="K1479" s="859"/>
      <c r="L1479" s="863"/>
      <c r="M1479" s="859"/>
      <c r="N1479" s="859"/>
      <c r="O1479" s="752">
        <f t="shared" si="194"/>
        <v>0</v>
      </c>
      <c r="P1479" s="862"/>
      <c r="Q1479" s="860"/>
      <c r="R1479" s="753">
        <f t="shared" si="197"/>
        <v>0</v>
      </c>
      <c r="S1479" s="752">
        <f t="shared" si="198"/>
        <v>0</v>
      </c>
      <c r="T1479" s="754">
        <f t="shared" si="199"/>
        <v>0</v>
      </c>
      <c r="U1479" s="859"/>
      <c r="V1479" s="863"/>
      <c r="W1479" s="859"/>
      <c r="X1479" s="859"/>
      <c r="Y1479" s="755">
        <f t="shared" si="195"/>
        <v>0</v>
      </c>
      <c r="Z1479" s="864"/>
      <c r="AA1479" s="863"/>
      <c r="AB1479" s="756">
        <f t="shared" si="196"/>
        <v>0</v>
      </c>
      <c r="AC1479" s="859"/>
      <c r="AD1479" s="863"/>
      <c r="AE1479" s="859"/>
      <c r="AF1479" s="859"/>
      <c r="AG1479" s="864"/>
      <c r="AH1479" s="865"/>
      <c r="AI1479" s="757">
        <f t="shared" si="200"/>
        <v>0</v>
      </c>
      <c r="AJ1479" s="758">
        <f t="shared" si="201"/>
        <v>0</v>
      </c>
    </row>
    <row r="1480" spans="1:36" x14ac:dyDescent="0.2">
      <c r="A1480" s="1318" t="s">
        <v>151</v>
      </c>
      <c r="B1480" s="1319" t="s">
        <v>294</v>
      </c>
      <c r="C1480" s="1331" t="s">
        <v>307</v>
      </c>
      <c r="D1480" s="1332"/>
      <c r="E1480" s="1078"/>
      <c r="F1480" s="1079"/>
      <c r="G1480" s="859"/>
      <c r="H1480" s="860"/>
      <c r="I1480" s="861"/>
      <c r="J1480" s="862"/>
      <c r="K1480" s="859"/>
      <c r="L1480" s="863"/>
      <c r="M1480" s="859"/>
      <c r="N1480" s="859"/>
      <c r="O1480" s="752">
        <f t="shared" si="194"/>
        <v>0</v>
      </c>
      <c r="P1480" s="862"/>
      <c r="Q1480" s="860"/>
      <c r="R1480" s="753">
        <f t="shared" si="197"/>
        <v>0</v>
      </c>
      <c r="S1480" s="752">
        <f t="shared" si="198"/>
        <v>0</v>
      </c>
      <c r="T1480" s="754">
        <f t="shared" si="199"/>
        <v>0</v>
      </c>
      <c r="U1480" s="859"/>
      <c r="V1480" s="863"/>
      <c r="W1480" s="859"/>
      <c r="X1480" s="859"/>
      <c r="Y1480" s="755">
        <f t="shared" si="195"/>
        <v>0</v>
      </c>
      <c r="Z1480" s="864"/>
      <c r="AA1480" s="863"/>
      <c r="AB1480" s="756">
        <f t="shared" si="196"/>
        <v>0</v>
      </c>
      <c r="AC1480" s="859"/>
      <c r="AD1480" s="863"/>
      <c r="AE1480" s="859"/>
      <c r="AF1480" s="859"/>
      <c r="AG1480" s="864"/>
      <c r="AH1480" s="865"/>
      <c r="AI1480" s="757">
        <f t="shared" si="200"/>
        <v>0</v>
      </c>
      <c r="AJ1480" s="758">
        <f t="shared" si="201"/>
        <v>0</v>
      </c>
    </row>
    <row r="1481" spans="1:36" x14ac:dyDescent="0.2">
      <c r="A1481" s="1318" t="s">
        <v>151</v>
      </c>
      <c r="B1481" s="1096" t="s">
        <v>254</v>
      </c>
      <c r="C1481" s="1097" t="s">
        <v>311</v>
      </c>
      <c r="D1481" s="1098"/>
      <c r="E1481" s="1099"/>
      <c r="F1481" s="1100"/>
      <c r="G1481" s="859"/>
      <c r="H1481" s="860"/>
      <c r="I1481" s="861"/>
      <c r="J1481" s="862"/>
      <c r="K1481" s="859"/>
      <c r="L1481" s="863"/>
      <c r="M1481" s="859"/>
      <c r="N1481" s="859"/>
      <c r="O1481" s="752">
        <f t="shared" si="194"/>
        <v>0</v>
      </c>
      <c r="P1481" s="862"/>
      <c r="Q1481" s="860"/>
      <c r="R1481" s="753">
        <f t="shared" si="197"/>
        <v>0</v>
      </c>
      <c r="S1481" s="752">
        <f t="shared" si="198"/>
        <v>0</v>
      </c>
      <c r="T1481" s="754">
        <f t="shared" si="199"/>
        <v>0</v>
      </c>
      <c r="U1481" s="859"/>
      <c r="V1481" s="863"/>
      <c r="W1481" s="859"/>
      <c r="X1481" s="859"/>
      <c r="Y1481" s="755">
        <f t="shared" si="195"/>
        <v>0</v>
      </c>
      <c r="Z1481" s="864"/>
      <c r="AA1481" s="863"/>
      <c r="AB1481" s="756">
        <f t="shared" si="196"/>
        <v>0</v>
      </c>
      <c r="AC1481" s="859"/>
      <c r="AD1481" s="863"/>
      <c r="AE1481" s="859"/>
      <c r="AF1481" s="859"/>
      <c r="AG1481" s="864"/>
      <c r="AH1481" s="865"/>
      <c r="AI1481" s="757">
        <f t="shared" si="200"/>
        <v>0</v>
      </c>
      <c r="AJ1481" s="758">
        <f t="shared" si="201"/>
        <v>0</v>
      </c>
    </row>
    <row r="1482" spans="1:36" x14ac:dyDescent="0.2">
      <c r="A1482" s="1318" t="s">
        <v>151</v>
      </c>
      <c r="B1482" s="1096" t="s">
        <v>255</v>
      </c>
      <c r="C1482" s="1097" t="s">
        <v>249</v>
      </c>
      <c r="D1482" s="1098"/>
      <c r="E1482" s="1099"/>
      <c r="F1482" s="1100"/>
      <c r="G1482" s="859"/>
      <c r="H1482" s="860"/>
      <c r="I1482" s="861"/>
      <c r="J1482" s="862"/>
      <c r="K1482" s="859"/>
      <c r="L1482" s="863"/>
      <c r="M1482" s="859"/>
      <c r="N1482" s="859"/>
      <c r="O1482" s="752">
        <f t="shared" si="194"/>
        <v>0</v>
      </c>
      <c r="P1482" s="862"/>
      <c r="Q1482" s="860"/>
      <c r="R1482" s="753">
        <f t="shared" si="197"/>
        <v>0</v>
      </c>
      <c r="S1482" s="752">
        <f t="shared" si="198"/>
        <v>0</v>
      </c>
      <c r="T1482" s="754">
        <f t="shared" si="199"/>
        <v>0</v>
      </c>
      <c r="U1482" s="859"/>
      <c r="V1482" s="863"/>
      <c r="W1482" s="859"/>
      <c r="X1482" s="859"/>
      <c r="Y1482" s="755">
        <f t="shared" si="195"/>
        <v>0</v>
      </c>
      <c r="Z1482" s="864"/>
      <c r="AA1482" s="863"/>
      <c r="AB1482" s="756">
        <f t="shared" si="196"/>
        <v>0</v>
      </c>
      <c r="AC1482" s="859"/>
      <c r="AD1482" s="863"/>
      <c r="AE1482" s="859"/>
      <c r="AF1482" s="859"/>
      <c r="AG1482" s="864"/>
      <c r="AH1482" s="865"/>
      <c r="AI1482" s="757">
        <f t="shared" si="200"/>
        <v>0</v>
      </c>
      <c r="AJ1482" s="758">
        <f t="shared" si="201"/>
        <v>0</v>
      </c>
    </row>
    <row r="1483" spans="1:36" x14ac:dyDescent="0.2">
      <c r="A1483" s="990" t="s">
        <v>152</v>
      </c>
      <c r="B1483" s="991" t="s">
        <v>264</v>
      </c>
      <c r="C1483" s="992" t="s">
        <v>757</v>
      </c>
      <c r="D1483" s="993"/>
      <c r="E1483" s="994">
        <v>176080</v>
      </c>
      <c r="F1483" s="995">
        <v>1</v>
      </c>
      <c r="G1483" s="867">
        <v>86543866</v>
      </c>
      <c r="H1483" s="860">
        <v>91296903</v>
      </c>
      <c r="I1483" s="861"/>
      <c r="J1483" s="862"/>
      <c r="K1483" s="859"/>
      <c r="L1483" s="863"/>
      <c r="M1483" s="859">
        <v>152943035</v>
      </c>
      <c r="N1483" s="859"/>
      <c r="O1483" s="752">
        <f t="shared" ref="O1483:O1546" si="202">SUM(M1483:N1483)</f>
        <v>152943035</v>
      </c>
      <c r="P1483" s="862">
        <v>160881543</v>
      </c>
      <c r="Q1483" s="860"/>
      <c r="R1483" s="753">
        <f t="shared" si="197"/>
        <v>160881543</v>
      </c>
      <c r="S1483" s="752">
        <f t="shared" si="198"/>
        <v>239486901</v>
      </c>
      <c r="T1483" s="754">
        <f t="shared" si="199"/>
        <v>252178446</v>
      </c>
      <c r="U1483" s="859"/>
      <c r="V1483" s="863"/>
      <c r="W1483" s="859"/>
      <c r="X1483" s="859"/>
      <c r="Y1483" s="755">
        <f t="shared" ref="Y1483:Y1546" si="203">SUM(W1483:X1483)</f>
        <v>0</v>
      </c>
      <c r="Z1483" s="864"/>
      <c r="AA1483" s="863"/>
      <c r="AB1483" s="756">
        <f t="shared" ref="AB1483:AB1546" si="204">SUM(Z1483:AA1483)</f>
        <v>0</v>
      </c>
      <c r="AC1483" s="859"/>
      <c r="AD1483" s="863"/>
      <c r="AE1483" s="859"/>
      <c r="AF1483" s="859"/>
      <c r="AG1483" s="864"/>
      <c r="AH1483" s="865"/>
      <c r="AI1483" s="757">
        <f t="shared" si="200"/>
        <v>239486901</v>
      </c>
      <c r="AJ1483" s="758">
        <f t="shared" si="201"/>
        <v>252178446</v>
      </c>
    </row>
    <row r="1484" spans="1:36" x14ac:dyDescent="0.2">
      <c r="A1484" s="990" t="s">
        <v>152</v>
      </c>
      <c r="B1484" s="991" t="s">
        <v>280</v>
      </c>
      <c r="C1484" s="996" t="s">
        <v>758</v>
      </c>
      <c r="D1484" s="997"/>
      <c r="E1484" s="994">
        <v>176080</v>
      </c>
      <c r="F1484" s="995">
        <v>1</v>
      </c>
      <c r="G1484" s="859"/>
      <c r="H1484" s="860"/>
      <c r="I1484" s="861"/>
      <c r="J1484" s="862"/>
      <c r="K1484" s="859"/>
      <c r="L1484" s="863"/>
      <c r="M1484" s="859"/>
      <c r="N1484" s="859"/>
      <c r="O1484" s="752">
        <f t="shared" si="202"/>
        <v>0</v>
      </c>
      <c r="P1484" s="862"/>
      <c r="Q1484" s="860"/>
      <c r="R1484" s="753">
        <f t="shared" ref="R1484:R1547" si="205">SUM(P1484:Q1484)</f>
        <v>0</v>
      </c>
      <c r="S1484" s="752">
        <f t="shared" ref="S1484:S1547" si="206">SUM(G1484,I1484,K1484,M1484)</f>
        <v>0</v>
      </c>
      <c r="T1484" s="754">
        <f t="shared" ref="T1484:T1547" si="207">SUM(H1484,J1484,L1484,P1484)</f>
        <v>0</v>
      </c>
      <c r="U1484" s="859"/>
      <c r="V1484" s="863"/>
      <c r="W1484" s="859"/>
      <c r="X1484" s="859"/>
      <c r="Y1484" s="755">
        <f t="shared" si="203"/>
        <v>0</v>
      </c>
      <c r="Z1484" s="864"/>
      <c r="AA1484" s="863"/>
      <c r="AB1484" s="756">
        <f t="shared" si="204"/>
        <v>0</v>
      </c>
      <c r="AC1484" s="859">
        <v>16203711</v>
      </c>
      <c r="AD1484" s="863">
        <v>17291269</v>
      </c>
      <c r="AE1484" s="859">
        <v>9550000</v>
      </c>
      <c r="AF1484" s="867">
        <v>0</v>
      </c>
      <c r="AG1484" s="998">
        <v>9900000</v>
      </c>
      <c r="AH1484" s="865"/>
      <c r="AI1484" s="757">
        <f t="shared" ref="AI1484:AI1547" si="208">SUM(S1484,U1484,W1484,AC1484,AE1484)</f>
        <v>25753711</v>
      </c>
      <c r="AJ1484" s="758">
        <f t="shared" ref="AJ1484:AJ1547" si="209">SUM(T1484,V1484,Z1484,AD1484,AG1484)</f>
        <v>27191269</v>
      </c>
    </row>
    <row r="1485" spans="1:36" x14ac:dyDescent="0.2">
      <c r="A1485" s="990" t="s">
        <v>152</v>
      </c>
      <c r="B1485" s="991" t="s">
        <v>268</v>
      </c>
      <c r="C1485" s="999" t="s">
        <v>759</v>
      </c>
      <c r="D1485" s="997"/>
      <c r="E1485" s="994">
        <v>176080</v>
      </c>
      <c r="F1485" s="995">
        <v>1</v>
      </c>
      <c r="G1485" s="859"/>
      <c r="H1485" s="860"/>
      <c r="I1485" s="861">
        <v>27369914</v>
      </c>
      <c r="J1485" s="862">
        <v>29139390</v>
      </c>
      <c r="K1485" s="859"/>
      <c r="L1485" s="863"/>
      <c r="M1485" s="859"/>
      <c r="N1485" s="859"/>
      <c r="O1485" s="752">
        <f t="shared" si="202"/>
        <v>0</v>
      </c>
      <c r="P1485" s="862"/>
      <c r="Q1485" s="860"/>
      <c r="R1485" s="753">
        <f t="shared" si="205"/>
        <v>0</v>
      </c>
      <c r="S1485" s="752">
        <f t="shared" si="206"/>
        <v>27369914</v>
      </c>
      <c r="T1485" s="754">
        <f t="shared" si="207"/>
        <v>29139390</v>
      </c>
      <c r="U1485" s="859"/>
      <c r="V1485" s="863"/>
      <c r="W1485" s="859"/>
      <c r="X1485" s="859"/>
      <c r="Y1485" s="755">
        <f t="shared" si="203"/>
        <v>0</v>
      </c>
      <c r="Z1485" s="864"/>
      <c r="AA1485" s="863"/>
      <c r="AB1485" s="756">
        <f t="shared" si="204"/>
        <v>0</v>
      </c>
      <c r="AC1485" s="859"/>
      <c r="AD1485" s="863"/>
      <c r="AE1485" s="859"/>
      <c r="AF1485" s="859"/>
      <c r="AG1485" s="864"/>
      <c r="AH1485" s="865"/>
      <c r="AI1485" s="757">
        <f t="shared" si="208"/>
        <v>27369914</v>
      </c>
      <c r="AJ1485" s="758">
        <f t="shared" si="209"/>
        <v>29139390</v>
      </c>
    </row>
    <row r="1486" spans="1:36" x14ac:dyDescent="0.2">
      <c r="A1486" s="990" t="s">
        <v>152</v>
      </c>
      <c r="B1486" s="991" t="s">
        <v>269</v>
      </c>
      <c r="C1486" s="999" t="s">
        <v>760</v>
      </c>
      <c r="D1486" s="997"/>
      <c r="E1486" s="994">
        <v>176080</v>
      </c>
      <c r="F1486" s="995">
        <v>1</v>
      </c>
      <c r="G1486" s="859"/>
      <c r="H1486" s="860"/>
      <c r="I1486" s="861">
        <v>21365833</v>
      </c>
      <c r="J1486" s="862">
        <v>22650355</v>
      </c>
      <c r="K1486" s="859"/>
      <c r="L1486" s="863"/>
      <c r="M1486" s="859"/>
      <c r="N1486" s="859"/>
      <c r="O1486" s="752">
        <f t="shared" si="202"/>
        <v>0</v>
      </c>
      <c r="P1486" s="862"/>
      <c r="Q1486" s="860"/>
      <c r="R1486" s="753">
        <f t="shared" si="205"/>
        <v>0</v>
      </c>
      <c r="S1486" s="752">
        <f t="shared" si="206"/>
        <v>21365833</v>
      </c>
      <c r="T1486" s="754">
        <f t="shared" si="207"/>
        <v>22650355</v>
      </c>
      <c r="U1486" s="859"/>
      <c r="V1486" s="863"/>
      <c r="W1486" s="859"/>
      <c r="X1486" s="859"/>
      <c r="Y1486" s="755">
        <f t="shared" si="203"/>
        <v>0</v>
      </c>
      <c r="Z1486" s="864"/>
      <c r="AA1486" s="863"/>
      <c r="AB1486" s="756">
        <f t="shared" si="204"/>
        <v>0</v>
      </c>
      <c r="AC1486" s="859"/>
      <c r="AD1486" s="863"/>
      <c r="AE1486" s="859"/>
      <c r="AF1486" s="859"/>
      <c r="AG1486" s="864"/>
      <c r="AH1486" s="865"/>
      <c r="AI1486" s="757">
        <f t="shared" si="208"/>
        <v>21365833</v>
      </c>
      <c r="AJ1486" s="758">
        <f t="shared" si="209"/>
        <v>22650355</v>
      </c>
    </row>
    <row r="1487" spans="1:36" x14ac:dyDescent="0.2">
      <c r="A1487" s="990" t="s">
        <v>152</v>
      </c>
      <c r="B1487" s="991" t="s">
        <v>271</v>
      </c>
      <c r="C1487" s="999" t="s">
        <v>761</v>
      </c>
      <c r="D1487" s="997"/>
      <c r="E1487" s="994">
        <v>176080</v>
      </c>
      <c r="F1487" s="995">
        <v>1</v>
      </c>
      <c r="G1487" s="859"/>
      <c r="H1487" s="860"/>
      <c r="I1487" s="861"/>
      <c r="J1487" s="862"/>
      <c r="K1487" s="859"/>
      <c r="L1487" s="863"/>
      <c r="M1487" s="859"/>
      <c r="N1487" s="859"/>
      <c r="O1487" s="752">
        <f t="shared" si="202"/>
        <v>0</v>
      </c>
      <c r="P1487" s="862"/>
      <c r="Q1487" s="860"/>
      <c r="R1487" s="753">
        <f t="shared" si="205"/>
        <v>0</v>
      </c>
      <c r="S1487" s="752">
        <f t="shared" si="206"/>
        <v>0</v>
      </c>
      <c r="T1487" s="754">
        <f t="shared" si="207"/>
        <v>0</v>
      </c>
      <c r="U1487" s="859"/>
      <c r="V1487" s="863"/>
      <c r="W1487" s="859"/>
      <c r="X1487" s="859"/>
      <c r="Y1487" s="755">
        <f t="shared" si="203"/>
        <v>0</v>
      </c>
      <c r="Z1487" s="864"/>
      <c r="AA1487" s="863"/>
      <c r="AB1487" s="756">
        <f t="shared" si="204"/>
        <v>0</v>
      </c>
      <c r="AC1487" s="859"/>
      <c r="AD1487" s="863"/>
      <c r="AE1487" s="859"/>
      <c r="AF1487" s="859"/>
      <c r="AG1487" s="864"/>
      <c r="AH1487" s="865"/>
      <c r="AI1487" s="757">
        <f t="shared" si="208"/>
        <v>0</v>
      </c>
      <c r="AJ1487" s="758">
        <f t="shared" si="209"/>
        <v>0</v>
      </c>
    </row>
    <row r="1488" spans="1:36" x14ac:dyDescent="0.2">
      <c r="A1488" s="990" t="s">
        <v>152</v>
      </c>
      <c r="B1488" s="991" t="s">
        <v>271</v>
      </c>
      <c r="C1488" s="996" t="s">
        <v>762</v>
      </c>
      <c r="D1488" s="997"/>
      <c r="E1488" s="994">
        <v>176080</v>
      </c>
      <c r="F1488" s="995">
        <v>1</v>
      </c>
      <c r="G1488" s="859"/>
      <c r="H1488" s="860"/>
      <c r="I1488" s="861">
        <v>1743849</v>
      </c>
      <c r="J1488" s="862">
        <v>2062803</v>
      </c>
      <c r="K1488" s="859"/>
      <c r="L1488" s="863"/>
      <c r="M1488" s="859"/>
      <c r="N1488" s="859"/>
      <c r="O1488" s="752">
        <f t="shared" si="202"/>
        <v>0</v>
      </c>
      <c r="P1488" s="862"/>
      <c r="Q1488" s="860"/>
      <c r="R1488" s="753">
        <f t="shared" si="205"/>
        <v>0</v>
      </c>
      <c r="S1488" s="752">
        <f t="shared" si="206"/>
        <v>1743849</v>
      </c>
      <c r="T1488" s="754">
        <f t="shared" si="207"/>
        <v>2062803</v>
      </c>
      <c r="U1488" s="859"/>
      <c r="V1488" s="863"/>
      <c r="W1488" s="859"/>
      <c r="X1488" s="859"/>
      <c r="Y1488" s="755">
        <f t="shared" si="203"/>
        <v>0</v>
      </c>
      <c r="Z1488" s="864"/>
      <c r="AA1488" s="863"/>
      <c r="AB1488" s="756">
        <f t="shared" si="204"/>
        <v>0</v>
      </c>
      <c r="AC1488" s="859"/>
      <c r="AD1488" s="863"/>
      <c r="AE1488" s="859"/>
      <c r="AF1488" s="859"/>
      <c r="AG1488" s="864"/>
      <c r="AH1488" s="865"/>
      <c r="AI1488" s="757">
        <f t="shared" si="208"/>
        <v>1743849</v>
      </c>
      <c r="AJ1488" s="758">
        <f t="shared" si="209"/>
        <v>2062803</v>
      </c>
    </row>
    <row r="1489" spans="1:36" x14ac:dyDescent="0.2">
      <c r="A1489" s="990" t="s">
        <v>152</v>
      </c>
      <c r="B1489" s="991" t="s">
        <v>271</v>
      </c>
      <c r="C1489" s="996" t="s">
        <v>763</v>
      </c>
      <c r="D1489" s="997"/>
      <c r="E1489" s="994">
        <v>176080</v>
      </c>
      <c r="F1489" s="995">
        <v>1</v>
      </c>
      <c r="G1489" s="859"/>
      <c r="H1489" s="860"/>
      <c r="I1489" s="861">
        <v>5392854</v>
      </c>
      <c r="J1489" s="862">
        <v>5972870</v>
      </c>
      <c r="K1489" s="859"/>
      <c r="L1489" s="863"/>
      <c r="M1489" s="859"/>
      <c r="N1489" s="859"/>
      <c r="O1489" s="752">
        <f t="shared" si="202"/>
        <v>0</v>
      </c>
      <c r="P1489" s="862"/>
      <c r="Q1489" s="860"/>
      <c r="R1489" s="753">
        <f t="shared" si="205"/>
        <v>0</v>
      </c>
      <c r="S1489" s="752">
        <f t="shared" si="206"/>
        <v>5392854</v>
      </c>
      <c r="T1489" s="754">
        <f t="shared" si="207"/>
        <v>5972870</v>
      </c>
      <c r="U1489" s="859"/>
      <c r="V1489" s="863"/>
      <c r="W1489" s="859"/>
      <c r="X1489" s="859"/>
      <c r="Y1489" s="755">
        <f t="shared" si="203"/>
        <v>0</v>
      </c>
      <c r="Z1489" s="864"/>
      <c r="AA1489" s="863"/>
      <c r="AB1489" s="756">
        <f t="shared" si="204"/>
        <v>0</v>
      </c>
      <c r="AC1489" s="859"/>
      <c r="AD1489" s="863"/>
      <c r="AE1489" s="859"/>
      <c r="AF1489" s="859"/>
      <c r="AG1489" s="864"/>
      <c r="AH1489" s="865"/>
      <c r="AI1489" s="757">
        <f t="shared" si="208"/>
        <v>5392854</v>
      </c>
      <c r="AJ1489" s="758">
        <f t="shared" si="209"/>
        <v>5972870</v>
      </c>
    </row>
    <row r="1490" spans="1:36" x14ac:dyDescent="0.2">
      <c r="A1490" s="990" t="s">
        <v>152</v>
      </c>
      <c r="B1490" s="991" t="s">
        <v>271</v>
      </c>
      <c r="C1490" s="996" t="s">
        <v>764</v>
      </c>
      <c r="D1490" s="997"/>
      <c r="E1490" s="994">
        <v>176080</v>
      </c>
      <c r="F1490" s="995">
        <v>1</v>
      </c>
      <c r="G1490" s="859"/>
      <c r="H1490" s="860"/>
      <c r="I1490" s="861">
        <v>180531</v>
      </c>
      <c r="J1490" s="862">
        <v>240531</v>
      </c>
      <c r="K1490" s="859"/>
      <c r="L1490" s="863"/>
      <c r="M1490" s="859"/>
      <c r="N1490" s="859"/>
      <c r="O1490" s="752">
        <f t="shared" si="202"/>
        <v>0</v>
      </c>
      <c r="P1490" s="862"/>
      <c r="Q1490" s="860"/>
      <c r="R1490" s="753">
        <f t="shared" si="205"/>
        <v>0</v>
      </c>
      <c r="S1490" s="752">
        <f t="shared" si="206"/>
        <v>180531</v>
      </c>
      <c r="T1490" s="754">
        <f t="shared" si="207"/>
        <v>240531</v>
      </c>
      <c r="U1490" s="859"/>
      <c r="V1490" s="863"/>
      <c r="W1490" s="859"/>
      <c r="X1490" s="859"/>
      <c r="Y1490" s="755">
        <f t="shared" si="203"/>
        <v>0</v>
      </c>
      <c r="Z1490" s="864"/>
      <c r="AA1490" s="863"/>
      <c r="AB1490" s="756">
        <f t="shared" si="204"/>
        <v>0</v>
      </c>
      <c r="AC1490" s="859"/>
      <c r="AD1490" s="863"/>
      <c r="AE1490" s="859"/>
      <c r="AF1490" s="859"/>
      <c r="AG1490" s="864"/>
      <c r="AH1490" s="865"/>
      <c r="AI1490" s="757">
        <f t="shared" si="208"/>
        <v>180531</v>
      </c>
      <c r="AJ1490" s="758">
        <f t="shared" si="209"/>
        <v>240531</v>
      </c>
    </row>
    <row r="1491" spans="1:36" x14ac:dyDescent="0.2">
      <c r="A1491" s="990" t="s">
        <v>152</v>
      </c>
      <c r="B1491" s="991" t="s">
        <v>271</v>
      </c>
      <c r="C1491" s="996" t="s">
        <v>765</v>
      </c>
      <c r="D1491" s="997"/>
      <c r="E1491" s="994">
        <v>176080</v>
      </c>
      <c r="F1491" s="995">
        <v>1</v>
      </c>
      <c r="G1491" s="859"/>
      <c r="H1491" s="860"/>
      <c r="I1491" s="861">
        <v>901782</v>
      </c>
      <c r="J1491" s="862">
        <v>909550</v>
      </c>
      <c r="K1491" s="859"/>
      <c r="L1491" s="863"/>
      <c r="M1491" s="859"/>
      <c r="N1491" s="859"/>
      <c r="O1491" s="752">
        <f t="shared" si="202"/>
        <v>0</v>
      </c>
      <c r="P1491" s="862"/>
      <c r="Q1491" s="860"/>
      <c r="R1491" s="753">
        <f t="shared" si="205"/>
        <v>0</v>
      </c>
      <c r="S1491" s="752">
        <f t="shared" si="206"/>
        <v>901782</v>
      </c>
      <c r="T1491" s="754">
        <f t="shared" si="207"/>
        <v>909550</v>
      </c>
      <c r="U1491" s="859"/>
      <c r="V1491" s="863"/>
      <c r="W1491" s="859"/>
      <c r="X1491" s="859"/>
      <c r="Y1491" s="755">
        <f t="shared" si="203"/>
        <v>0</v>
      </c>
      <c r="Z1491" s="864"/>
      <c r="AA1491" s="863"/>
      <c r="AB1491" s="756">
        <f t="shared" si="204"/>
        <v>0</v>
      </c>
      <c r="AC1491" s="859"/>
      <c r="AD1491" s="863"/>
      <c r="AE1491" s="859"/>
      <c r="AF1491" s="859"/>
      <c r="AG1491" s="864"/>
      <c r="AH1491" s="865"/>
      <c r="AI1491" s="757">
        <f t="shared" si="208"/>
        <v>901782</v>
      </c>
      <c r="AJ1491" s="758">
        <f t="shared" si="209"/>
        <v>909550</v>
      </c>
    </row>
    <row r="1492" spans="1:36" x14ac:dyDescent="0.2">
      <c r="A1492" s="990" t="s">
        <v>152</v>
      </c>
      <c r="B1492" s="991" t="s">
        <v>271</v>
      </c>
      <c r="C1492" s="996" t="s">
        <v>766</v>
      </c>
      <c r="D1492" s="997"/>
      <c r="E1492" s="994">
        <v>176080</v>
      </c>
      <c r="F1492" s="995">
        <v>1</v>
      </c>
      <c r="G1492" s="859"/>
      <c r="H1492" s="860"/>
      <c r="I1492" s="861">
        <v>3300000</v>
      </c>
      <c r="J1492" s="862">
        <v>3328126</v>
      </c>
      <c r="K1492" s="859"/>
      <c r="L1492" s="863"/>
      <c r="M1492" s="859"/>
      <c r="N1492" s="859"/>
      <c r="O1492" s="752">
        <f t="shared" si="202"/>
        <v>0</v>
      </c>
      <c r="P1492" s="862"/>
      <c r="Q1492" s="860"/>
      <c r="R1492" s="753">
        <f t="shared" si="205"/>
        <v>0</v>
      </c>
      <c r="S1492" s="752">
        <f t="shared" si="206"/>
        <v>3300000</v>
      </c>
      <c r="T1492" s="754">
        <f t="shared" si="207"/>
        <v>3328126</v>
      </c>
      <c r="U1492" s="859"/>
      <c r="V1492" s="863"/>
      <c r="W1492" s="859"/>
      <c r="X1492" s="859"/>
      <c r="Y1492" s="755">
        <f t="shared" si="203"/>
        <v>0</v>
      </c>
      <c r="Z1492" s="864"/>
      <c r="AA1492" s="863"/>
      <c r="AB1492" s="756">
        <f t="shared" si="204"/>
        <v>0</v>
      </c>
      <c r="AC1492" s="859"/>
      <c r="AD1492" s="863"/>
      <c r="AE1492" s="859"/>
      <c r="AF1492" s="859"/>
      <c r="AG1492" s="864"/>
      <c r="AH1492" s="865"/>
      <c r="AI1492" s="757">
        <f t="shared" si="208"/>
        <v>3300000</v>
      </c>
      <c r="AJ1492" s="758">
        <f t="shared" si="209"/>
        <v>3328126</v>
      </c>
    </row>
    <row r="1493" spans="1:36" x14ac:dyDescent="0.2">
      <c r="A1493" s="990" t="s">
        <v>152</v>
      </c>
      <c r="B1493" s="991" t="s">
        <v>264</v>
      </c>
      <c r="C1493" s="992" t="s">
        <v>767</v>
      </c>
      <c r="D1493" s="1000"/>
      <c r="E1493" s="994">
        <v>176372</v>
      </c>
      <c r="F1493" s="995">
        <v>1</v>
      </c>
      <c r="G1493" s="859">
        <v>77868748</v>
      </c>
      <c r="H1493" s="860">
        <v>82147618</v>
      </c>
      <c r="I1493" s="861"/>
      <c r="J1493" s="862"/>
      <c r="K1493" s="859"/>
      <c r="L1493" s="863"/>
      <c r="M1493" s="867">
        <v>107195807</v>
      </c>
      <c r="N1493" s="859"/>
      <c r="O1493" s="752">
        <f t="shared" si="202"/>
        <v>107195807</v>
      </c>
      <c r="P1493" s="1001">
        <v>113527117</v>
      </c>
      <c r="Q1493" s="860"/>
      <c r="R1493" s="753">
        <f t="shared" si="205"/>
        <v>113527117</v>
      </c>
      <c r="S1493" s="752">
        <f t="shared" si="206"/>
        <v>185064555</v>
      </c>
      <c r="T1493" s="754">
        <f t="shared" si="207"/>
        <v>195674735</v>
      </c>
      <c r="U1493" s="859"/>
      <c r="V1493" s="863"/>
      <c r="W1493" s="859"/>
      <c r="X1493" s="859"/>
      <c r="Y1493" s="755">
        <f t="shared" si="203"/>
        <v>0</v>
      </c>
      <c r="Z1493" s="864"/>
      <c r="AA1493" s="863"/>
      <c r="AB1493" s="756">
        <f t="shared" si="204"/>
        <v>0</v>
      </c>
      <c r="AC1493" s="859"/>
      <c r="AD1493" s="863"/>
      <c r="AE1493" s="859"/>
      <c r="AF1493" s="859"/>
      <c r="AG1493" s="864"/>
      <c r="AH1493" s="865"/>
      <c r="AI1493" s="757">
        <f t="shared" si="208"/>
        <v>185064555</v>
      </c>
      <c r="AJ1493" s="758">
        <f t="shared" si="209"/>
        <v>195674735</v>
      </c>
    </row>
    <row r="1494" spans="1:36" x14ac:dyDescent="0.2">
      <c r="A1494" s="990" t="s">
        <v>152</v>
      </c>
      <c r="B1494" s="991" t="s">
        <v>271</v>
      </c>
      <c r="C1494" s="999" t="s">
        <v>761</v>
      </c>
      <c r="D1494" s="997"/>
      <c r="E1494" s="994">
        <v>176372</v>
      </c>
      <c r="F1494" s="995">
        <v>1</v>
      </c>
      <c r="G1494" s="859"/>
      <c r="H1494" s="860"/>
      <c r="I1494" s="861"/>
      <c r="J1494" s="862"/>
      <c r="K1494" s="859"/>
      <c r="L1494" s="863"/>
      <c r="M1494" s="859"/>
      <c r="N1494" s="859"/>
      <c r="O1494" s="752">
        <f t="shared" si="202"/>
        <v>0</v>
      </c>
      <c r="P1494" s="862"/>
      <c r="Q1494" s="860"/>
      <c r="R1494" s="753">
        <f t="shared" si="205"/>
        <v>0</v>
      </c>
      <c r="S1494" s="752">
        <f t="shared" si="206"/>
        <v>0</v>
      </c>
      <c r="T1494" s="754">
        <f t="shared" si="207"/>
        <v>0</v>
      </c>
      <c r="U1494" s="859"/>
      <c r="V1494" s="863"/>
      <c r="W1494" s="859"/>
      <c r="X1494" s="859"/>
      <c r="Y1494" s="755">
        <f t="shared" si="203"/>
        <v>0</v>
      </c>
      <c r="Z1494" s="864"/>
      <c r="AA1494" s="863"/>
      <c r="AB1494" s="756">
        <f t="shared" si="204"/>
        <v>0</v>
      </c>
      <c r="AC1494" s="859"/>
      <c r="AD1494" s="863"/>
      <c r="AE1494" s="859"/>
      <c r="AF1494" s="859"/>
      <c r="AG1494" s="864"/>
      <c r="AH1494" s="865"/>
      <c r="AI1494" s="757">
        <f t="shared" si="208"/>
        <v>0</v>
      </c>
      <c r="AJ1494" s="758">
        <f t="shared" si="209"/>
        <v>0</v>
      </c>
    </row>
    <row r="1495" spans="1:36" x14ac:dyDescent="0.2">
      <c r="A1495" s="990" t="s">
        <v>152</v>
      </c>
      <c r="B1495" s="991" t="s">
        <v>271</v>
      </c>
      <c r="C1495" s="996" t="s">
        <v>768</v>
      </c>
      <c r="D1495" s="997"/>
      <c r="E1495" s="994">
        <v>176372</v>
      </c>
      <c r="F1495" s="995">
        <v>1</v>
      </c>
      <c r="G1495" s="859"/>
      <c r="H1495" s="860"/>
      <c r="I1495" s="861">
        <v>3176881</v>
      </c>
      <c r="J1495" s="862">
        <v>3517645</v>
      </c>
      <c r="K1495" s="859"/>
      <c r="L1495" s="863"/>
      <c r="M1495" s="859">
        <v>347000</v>
      </c>
      <c r="N1495" s="859"/>
      <c r="O1495" s="752">
        <f t="shared" si="202"/>
        <v>347000</v>
      </c>
      <c r="P1495" s="862">
        <v>256000</v>
      </c>
      <c r="Q1495" s="860"/>
      <c r="R1495" s="753">
        <f t="shared" si="205"/>
        <v>256000</v>
      </c>
      <c r="S1495" s="752">
        <f t="shared" si="206"/>
        <v>3523881</v>
      </c>
      <c r="T1495" s="754">
        <f t="shared" si="207"/>
        <v>3773645</v>
      </c>
      <c r="U1495" s="859"/>
      <c r="V1495" s="863"/>
      <c r="W1495" s="859"/>
      <c r="X1495" s="859"/>
      <c r="Y1495" s="755">
        <f t="shared" si="203"/>
        <v>0</v>
      </c>
      <c r="Z1495" s="864"/>
      <c r="AA1495" s="863"/>
      <c r="AB1495" s="756">
        <f t="shared" si="204"/>
        <v>0</v>
      </c>
      <c r="AC1495" s="859"/>
      <c r="AD1495" s="863"/>
      <c r="AE1495" s="859"/>
      <c r="AF1495" s="859"/>
      <c r="AG1495" s="864"/>
      <c r="AH1495" s="865"/>
      <c r="AI1495" s="757">
        <f t="shared" si="208"/>
        <v>3523881</v>
      </c>
      <c r="AJ1495" s="758">
        <f t="shared" si="209"/>
        <v>3773645</v>
      </c>
    </row>
    <row r="1496" spans="1:36" x14ac:dyDescent="0.2">
      <c r="A1496" s="990" t="s">
        <v>152</v>
      </c>
      <c r="B1496" s="991" t="s">
        <v>271</v>
      </c>
      <c r="C1496" s="996" t="s">
        <v>769</v>
      </c>
      <c r="D1496" s="997"/>
      <c r="E1496" s="994">
        <v>176372</v>
      </c>
      <c r="F1496" s="995">
        <v>1</v>
      </c>
      <c r="G1496" s="859"/>
      <c r="H1496" s="860"/>
      <c r="I1496" s="861">
        <v>668440</v>
      </c>
      <c r="J1496" s="862">
        <v>675869</v>
      </c>
      <c r="K1496" s="859"/>
      <c r="L1496" s="863"/>
      <c r="M1496" s="859"/>
      <c r="N1496" s="859"/>
      <c r="O1496" s="752">
        <f t="shared" si="202"/>
        <v>0</v>
      </c>
      <c r="P1496" s="862"/>
      <c r="Q1496" s="860"/>
      <c r="R1496" s="753">
        <f t="shared" si="205"/>
        <v>0</v>
      </c>
      <c r="S1496" s="752">
        <f t="shared" si="206"/>
        <v>668440</v>
      </c>
      <c r="T1496" s="754">
        <f t="shared" si="207"/>
        <v>675869</v>
      </c>
      <c r="U1496" s="859"/>
      <c r="V1496" s="863"/>
      <c r="W1496" s="859"/>
      <c r="X1496" s="859"/>
      <c r="Y1496" s="755">
        <f t="shared" si="203"/>
        <v>0</v>
      </c>
      <c r="Z1496" s="864"/>
      <c r="AA1496" s="863"/>
      <c r="AB1496" s="756">
        <f t="shared" si="204"/>
        <v>0</v>
      </c>
      <c r="AC1496" s="859"/>
      <c r="AD1496" s="863"/>
      <c r="AE1496" s="859"/>
      <c r="AF1496" s="859"/>
      <c r="AG1496" s="864"/>
      <c r="AH1496" s="865"/>
      <c r="AI1496" s="757">
        <f t="shared" si="208"/>
        <v>668440</v>
      </c>
      <c r="AJ1496" s="758">
        <f t="shared" si="209"/>
        <v>675869</v>
      </c>
    </row>
    <row r="1497" spans="1:36" x14ac:dyDescent="0.2">
      <c r="A1497" s="990" t="s">
        <v>152</v>
      </c>
      <c r="B1497" s="991" t="s">
        <v>271</v>
      </c>
      <c r="C1497" s="996" t="s">
        <v>770</v>
      </c>
      <c r="D1497" s="997"/>
      <c r="E1497" s="994">
        <v>176372</v>
      </c>
      <c r="F1497" s="995">
        <v>1</v>
      </c>
      <c r="G1497" s="859"/>
      <c r="H1497" s="860"/>
      <c r="I1497" s="861">
        <v>436618</v>
      </c>
      <c r="J1497" s="862">
        <v>439724</v>
      </c>
      <c r="K1497" s="859"/>
      <c r="L1497" s="863"/>
      <c r="M1497" s="859"/>
      <c r="N1497" s="859"/>
      <c r="O1497" s="752">
        <f t="shared" si="202"/>
        <v>0</v>
      </c>
      <c r="P1497" s="862"/>
      <c r="Q1497" s="860"/>
      <c r="R1497" s="753">
        <f t="shared" si="205"/>
        <v>0</v>
      </c>
      <c r="S1497" s="752">
        <f t="shared" si="206"/>
        <v>436618</v>
      </c>
      <c r="T1497" s="754">
        <f t="shared" si="207"/>
        <v>439724</v>
      </c>
      <c r="U1497" s="859"/>
      <c r="V1497" s="863"/>
      <c r="W1497" s="859"/>
      <c r="X1497" s="859"/>
      <c r="Y1497" s="755">
        <f t="shared" si="203"/>
        <v>0</v>
      </c>
      <c r="Z1497" s="864"/>
      <c r="AA1497" s="863"/>
      <c r="AB1497" s="756">
        <f t="shared" si="204"/>
        <v>0</v>
      </c>
      <c r="AC1497" s="859"/>
      <c r="AD1497" s="863"/>
      <c r="AE1497" s="859"/>
      <c r="AF1497" s="859"/>
      <c r="AG1497" s="864"/>
      <c r="AH1497" s="865"/>
      <c r="AI1497" s="757">
        <f t="shared" si="208"/>
        <v>436618</v>
      </c>
      <c r="AJ1497" s="758">
        <f t="shared" si="209"/>
        <v>439724</v>
      </c>
    </row>
    <row r="1498" spans="1:36" x14ac:dyDescent="0.2">
      <c r="A1498" s="990" t="s">
        <v>152</v>
      </c>
      <c r="B1498" s="991" t="s">
        <v>264</v>
      </c>
      <c r="C1498" s="992" t="s">
        <v>771</v>
      </c>
      <c r="D1498" s="993"/>
      <c r="E1498" s="994">
        <v>175856</v>
      </c>
      <c r="F1498" s="995">
        <v>2</v>
      </c>
      <c r="G1498" s="859">
        <v>47630108</v>
      </c>
      <c r="H1498" s="860">
        <v>47436266</v>
      </c>
      <c r="I1498" s="861"/>
      <c r="J1498" s="862"/>
      <c r="K1498" s="859"/>
      <c r="L1498" s="863"/>
      <c r="M1498" s="859">
        <v>50792633</v>
      </c>
      <c r="N1498" s="859"/>
      <c r="O1498" s="752">
        <f t="shared" si="202"/>
        <v>50792633</v>
      </c>
      <c r="P1498" s="1001">
        <v>55731643</v>
      </c>
      <c r="Q1498" s="860"/>
      <c r="R1498" s="753">
        <f t="shared" si="205"/>
        <v>55731643</v>
      </c>
      <c r="S1498" s="752">
        <f t="shared" si="206"/>
        <v>98422741</v>
      </c>
      <c r="T1498" s="754">
        <f t="shared" si="207"/>
        <v>103167909</v>
      </c>
      <c r="U1498" s="859"/>
      <c r="V1498" s="863"/>
      <c r="W1498" s="859"/>
      <c r="X1498" s="859"/>
      <c r="Y1498" s="755">
        <f t="shared" si="203"/>
        <v>0</v>
      </c>
      <c r="Z1498" s="864"/>
      <c r="AA1498" s="863"/>
      <c r="AB1498" s="756">
        <f t="shared" si="204"/>
        <v>0</v>
      </c>
      <c r="AC1498" s="859"/>
      <c r="AD1498" s="863"/>
      <c r="AE1498" s="859"/>
      <c r="AF1498" s="859"/>
      <c r="AG1498" s="864"/>
      <c r="AH1498" s="865"/>
      <c r="AI1498" s="757">
        <f t="shared" si="208"/>
        <v>98422741</v>
      </c>
      <c r="AJ1498" s="758">
        <f t="shared" si="209"/>
        <v>103167909</v>
      </c>
    </row>
    <row r="1499" spans="1:36" x14ac:dyDescent="0.2">
      <c r="A1499" s="990" t="s">
        <v>152</v>
      </c>
      <c r="B1499" s="991" t="s">
        <v>271</v>
      </c>
      <c r="C1499" s="999" t="s">
        <v>772</v>
      </c>
      <c r="D1499" s="997"/>
      <c r="E1499" s="994">
        <v>175856</v>
      </c>
      <c r="F1499" s="995">
        <v>2</v>
      </c>
      <c r="G1499" s="859"/>
      <c r="H1499" s="860"/>
      <c r="I1499" s="861">
        <v>515734</v>
      </c>
      <c r="J1499" s="862">
        <v>520372</v>
      </c>
      <c r="K1499" s="859"/>
      <c r="L1499" s="863"/>
      <c r="M1499" s="859"/>
      <c r="N1499" s="859"/>
      <c r="O1499" s="752">
        <f t="shared" si="202"/>
        <v>0</v>
      </c>
      <c r="P1499" s="862"/>
      <c r="Q1499" s="860"/>
      <c r="R1499" s="753">
        <f t="shared" si="205"/>
        <v>0</v>
      </c>
      <c r="S1499" s="752">
        <f t="shared" si="206"/>
        <v>515734</v>
      </c>
      <c r="T1499" s="754">
        <f t="shared" si="207"/>
        <v>520372</v>
      </c>
      <c r="U1499" s="859"/>
      <c r="V1499" s="863"/>
      <c r="W1499" s="859"/>
      <c r="X1499" s="859"/>
      <c r="Y1499" s="755">
        <f t="shared" si="203"/>
        <v>0</v>
      </c>
      <c r="Z1499" s="864"/>
      <c r="AA1499" s="863"/>
      <c r="AB1499" s="756">
        <f t="shared" si="204"/>
        <v>0</v>
      </c>
      <c r="AC1499" s="859"/>
      <c r="AD1499" s="863"/>
      <c r="AE1499" s="859"/>
      <c r="AF1499" s="859"/>
      <c r="AG1499" s="864"/>
      <c r="AH1499" s="865"/>
      <c r="AI1499" s="757">
        <f t="shared" si="208"/>
        <v>515734</v>
      </c>
      <c r="AJ1499" s="758">
        <f t="shared" si="209"/>
        <v>520372</v>
      </c>
    </row>
    <row r="1500" spans="1:36" x14ac:dyDescent="0.2">
      <c r="A1500" s="990" t="s">
        <v>152</v>
      </c>
      <c r="B1500" s="991" t="s">
        <v>264</v>
      </c>
      <c r="C1500" s="992" t="s">
        <v>773</v>
      </c>
      <c r="D1500" s="1000"/>
      <c r="E1500" s="994">
        <v>176017</v>
      </c>
      <c r="F1500" s="995">
        <v>2</v>
      </c>
      <c r="G1500" s="859">
        <v>71549034</v>
      </c>
      <c r="H1500" s="860">
        <v>79823071</v>
      </c>
      <c r="I1500" s="861"/>
      <c r="J1500" s="862"/>
      <c r="K1500" s="859"/>
      <c r="L1500" s="863"/>
      <c r="M1500" s="867">
        <v>183545731</v>
      </c>
      <c r="N1500" s="859"/>
      <c r="O1500" s="752">
        <f t="shared" si="202"/>
        <v>183545731</v>
      </c>
      <c r="P1500" s="1001">
        <v>198158864</v>
      </c>
      <c r="Q1500" s="860"/>
      <c r="R1500" s="753">
        <f t="shared" si="205"/>
        <v>198158864</v>
      </c>
      <c r="S1500" s="752">
        <f t="shared" si="206"/>
        <v>255094765</v>
      </c>
      <c r="T1500" s="754">
        <f t="shared" si="207"/>
        <v>277981935</v>
      </c>
      <c r="U1500" s="859"/>
      <c r="V1500" s="863"/>
      <c r="W1500" s="859"/>
      <c r="X1500" s="859"/>
      <c r="Y1500" s="755">
        <f t="shared" si="203"/>
        <v>0</v>
      </c>
      <c r="Z1500" s="864"/>
      <c r="AA1500" s="863"/>
      <c r="AB1500" s="756">
        <f t="shared" si="204"/>
        <v>0</v>
      </c>
      <c r="AC1500" s="859"/>
      <c r="AD1500" s="863"/>
      <c r="AE1500" s="859"/>
      <c r="AF1500" s="859"/>
      <c r="AG1500" s="864"/>
      <c r="AH1500" s="865"/>
      <c r="AI1500" s="757">
        <f t="shared" si="208"/>
        <v>255094765</v>
      </c>
      <c r="AJ1500" s="758">
        <f t="shared" si="209"/>
        <v>277981935</v>
      </c>
    </row>
    <row r="1501" spans="1:36" x14ac:dyDescent="0.2">
      <c r="A1501" s="990" t="s">
        <v>152</v>
      </c>
      <c r="B1501" s="991" t="s">
        <v>266</v>
      </c>
      <c r="C1501" s="999" t="s">
        <v>774</v>
      </c>
      <c r="D1501" s="997"/>
      <c r="E1501" s="994">
        <v>176017</v>
      </c>
      <c r="F1501" s="995">
        <v>2</v>
      </c>
      <c r="G1501" s="859"/>
      <c r="H1501" s="860"/>
      <c r="I1501" s="861"/>
      <c r="J1501" s="862"/>
      <c r="K1501" s="859"/>
      <c r="L1501" s="863"/>
      <c r="M1501" s="859"/>
      <c r="N1501" s="859"/>
      <c r="O1501" s="752">
        <f t="shared" si="202"/>
        <v>0</v>
      </c>
      <c r="P1501" s="862"/>
      <c r="Q1501" s="860"/>
      <c r="R1501" s="753">
        <f t="shared" si="205"/>
        <v>0</v>
      </c>
      <c r="S1501" s="752">
        <f t="shared" si="206"/>
        <v>0</v>
      </c>
      <c r="T1501" s="754">
        <f t="shared" si="207"/>
        <v>0</v>
      </c>
      <c r="U1501" s="859"/>
      <c r="V1501" s="863"/>
      <c r="W1501" s="859"/>
      <c r="X1501" s="859"/>
      <c r="Y1501" s="755">
        <f t="shared" si="203"/>
        <v>0</v>
      </c>
      <c r="Z1501" s="864"/>
      <c r="AA1501" s="863"/>
      <c r="AB1501" s="756">
        <f t="shared" si="204"/>
        <v>0</v>
      </c>
      <c r="AC1501" s="859"/>
      <c r="AD1501" s="863"/>
      <c r="AE1501" s="859"/>
      <c r="AF1501" s="859"/>
      <c r="AG1501" s="864"/>
      <c r="AH1501" s="865"/>
      <c r="AI1501" s="757">
        <f t="shared" si="208"/>
        <v>0</v>
      </c>
      <c r="AJ1501" s="758">
        <f t="shared" si="209"/>
        <v>0</v>
      </c>
    </row>
    <row r="1502" spans="1:36" x14ac:dyDescent="0.2">
      <c r="A1502" s="990" t="s">
        <v>152</v>
      </c>
      <c r="B1502" s="991" t="s">
        <v>266</v>
      </c>
      <c r="C1502" s="996" t="s">
        <v>775</v>
      </c>
      <c r="D1502" s="997"/>
      <c r="E1502" s="994">
        <v>176017</v>
      </c>
      <c r="F1502" s="995">
        <v>2</v>
      </c>
      <c r="G1502" s="859"/>
      <c r="H1502" s="860"/>
      <c r="I1502" s="861">
        <v>231222</v>
      </c>
      <c r="J1502" s="862">
        <v>290329</v>
      </c>
      <c r="K1502" s="859"/>
      <c r="L1502" s="863"/>
      <c r="M1502" s="859"/>
      <c r="N1502" s="859"/>
      <c r="O1502" s="752">
        <f t="shared" si="202"/>
        <v>0</v>
      </c>
      <c r="P1502" s="862"/>
      <c r="Q1502" s="860"/>
      <c r="R1502" s="753">
        <f t="shared" si="205"/>
        <v>0</v>
      </c>
      <c r="S1502" s="752">
        <f t="shared" si="206"/>
        <v>231222</v>
      </c>
      <c r="T1502" s="754">
        <f t="shared" si="207"/>
        <v>290329</v>
      </c>
      <c r="U1502" s="859"/>
      <c r="V1502" s="863"/>
      <c r="W1502" s="859"/>
      <c r="X1502" s="859"/>
      <c r="Y1502" s="755">
        <f t="shared" si="203"/>
        <v>0</v>
      </c>
      <c r="Z1502" s="864"/>
      <c r="AA1502" s="863"/>
      <c r="AB1502" s="756">
        <f t="shared" si="204"/>
        <v>0</v>
      </c>
      <c r="AC1502" s="859"/>
      <c r="AD1502" s="863"/>
      <c r="AE1502" s="859"/>
      <c r="AF1502" s="859"/>
      <c r="AG1502" s="864"/>
      <c r="AH1502" s="865"/>
      <c r="AI1502" s="757">
        <f t="shared" si="208"/>
        <v>231222</v>
      </c>
      <c r="AJ1502" s="758">
        <f t="shared" si="209"/>
        <v>290329</v>
      </c>
    </row>
    <row r="1503" spans="1:36" x14ac:dyDescent="0.2">
      <c r="A1503" s="990" t="s">
        <v>152</v>
      </c>
      <c r="B1503" s="991" t="s">
        <v>271</v>
      </c>
      <c r="C1503" s="999" t="s">
        <v>761</v>
      </c>
      <c r="D1503" s="997"/>
      <c r="E1503" s="994">
        <v>176017</v>
      </c>
      <c r="F1503" s="995">
        <v>2</v>
      </c>
      <c r="G1503" s="859"/>
      <c r="H1503" s="860"/>
      <c r="I1503" s="861"/>
      <c r="J1503" s="862"/>
      <c r="K1503" s="859"/>
      <c r="L1503" s="863"/>
      <c r="M1503" s="859"/>
      <c r="N1503" s="859"/>
      <c r="O1503" s="752">
        <f t="shared" si="202"/>
        <v>0</v>
      </c>
      <c r="P1503" s="862"/>
      <c r="Q1503" s="860"/>
      <c r="R1503" s="753">
        <f t="shared" si="205"/>
        <v>0</v>
      </c>
      <c r="S1503" s="752">
        <f t="shared" si="206"/>
        <v>0</v>
      </c>
      <c r="T1503" s="754">
        <f t="shared" si="207"/>
        <v>0</v>
      </c>
      <c r="U1503" s="859"/>
      <c r="V1503" s="863"/>
      <c r="W1503" s="859"/>
      <c r="X1503" s="859"/>
      <c r="Y1503" s="755">
        <f t="shared" si="203"/>
        <v>0</v>
      </c>
      <c r="Z1503" s="864"/>
      <c r="AA1503" s="863"/>
      <c r="AB1503" s="756">
        <f t="shared" si="204"/>
        <v>0</v>
      </c>
      <c r="AC1503" s="859"/>
      <c r="AD1503" s="863"/>
      <c r="AE1503" s="859"/>
      <c r="AF1503" s="859"/>
      <c r="AG1503" s="864"/>
      <c r="AH1503" s="865"/>
      <c r="AI1503" s="757">
        <f t="shared" si="208"/>
        <v>0</v>
      </c>
      <c r="AJ1503" s="758">
        <f t="shared" si="209"/>
        <v>0</v>
      </c>
    </row>
    <row r="1504" spans="1:36" x14ac:dyDescent="0.2">
      <c r="A1504" s="990" t="s">
        <v>152</v>
      </c>
      <c r="B1504" s="991" t="s">
        <v>271</v>
      </c>
      <c r="C1504" s="996" t="s">
        <v>776</v>
      </c>
      <c r="D1504" s="997"/>
      <c r="E1504" s="994">
        <v>176017</v>
      </c>
      <c r="F1504" s="995">
        <v>2</v>
      </c>
      <c r="G1504" s="859"/>
      <c r="H1504" s="860"/>
      <c r="I1504" s="861">
        <v>3202749</v>
      </c>
      <c r="J1504" s="862">
        <v>3291936</v>
      </c>
      <c r="K1504" s="859"/>
      <c r="L1504" s="863"/>
      <c r="M1504" s="859"/>
      <c r="N1504" s="859"/>
      <c r="O1504" s="752">
        <f t="shared" si="202"/>
        <v>0</v>
      </c>
      <c r="P1504" s="862"/>
      <c r="Q1504" s="860"/>
      <c r="R1504" s="753">
        <f t="shared" si="205"/>
        <v>0</v>
      </c>
      <c r="S1504" s="752">
        <f t="shared" si="206"/>
        <v>3202749</v>
      </c>
      <c r="T1504" s="754">
        <f t="shared" si="207"/>
        <v>3291936</v>
      </c>
      <c r="U1504" s="859"/>
      <c r="V1504" s="863"/>
      <c r="W1504" s="859"/>
      <c r="X1504" s="859"/>
      <c r="Y1504" s="755">
        <f t="shared" si="203"/>
        <v>0</v>
      </c>
      <c r="Z1504" s="864"/>
      <c r="AA1504" s="863"/>
      <c r="AB1504" s="756">
        <f t="shared" si="204"/>
        <v>0</v>
      </c>
      <c r="AC1504" s="859"/>
      <c r="AD1504" s="863"/>
      <c r="AE1504" s="859"/>
      <c r="AF1504" s="859"/>
      <c r="AG1504" s="864"/>
      <c r="AH1504" s="865"/>
      <c r="AI1504" s="757">
        <f t="shared" si="208"/>
        <v>3202749</v>
      </c>
      <c r="AJ1504" s="758">
        <f t="shared" si="209"/>
        <v>3291936</v>
      </c>
    </row>
    <row r="1505" spans="1:36" x14ac:dyDescent="0.2">
      <c r="A1505" s="990" t="s">
        <v>152</v>
      </c>
      <c r="B1505" s="991" t="s">
        <v>271</v>
      </c>
      <c r="C1505" s="996" t="s">
        <v>777</v>
      </c>
      <c r="D1505" s="997"/>
      <c r="E1505" s="994">
        <v>176017</v>
      </c>
      <c r="F1505" s="995">
        <v>2</v>
      </c>
      <c r="G1505" s="859"/>
      <c r="H1505" s="860"/>
      <c r="I1505" s="861">
        <v>809003</v>
      </c>
      <c r="J1505" s="862">
        <v>823015</v>
      </c>
      <c r="K1505" s="859"/>
      <c r="L1505" s="863"/>
      <c r="M1505" s="859"/>
      <c r="N1505" s="859"/>
      <c r="O1505" s="752">
        <f t="shared" si="202"/>
        <v>0</v>
      </c>
      <c r="P1505" s="862"/>
      <c r="Q1505" s="860"/>
      <c r="R1505" s="753">
        <f t="shared" si="205"/>
        <v>0</v>
      </c>
      <c r="S1505" s="752">
        <f t="shared" si="206"/>
        <v>809003</v>
      </c>
      <c r="T1505" s="754">
        <f t="shared" si="207"/>
        <v>823015</v>
      </c>
      <c r="U1505" s="859"/>
      <c r="V1505" s="863"/>
      <c r="W1505" s="859"/>
      <c r="X1505" s="859"/>
      <c r="Y1505" s="755">
        <f t="shared" si="203"/>
        <v>0</v>
      </c>
      <c r="Z1505" s="864"/>
      <c r="AA1505" s="863"/>
      <c r="AB1505" s="756">
        <f t="shared" si="204"/>
        <v>0</v>
      </c>
      <c r="AC1505" s="859"/>
      <c r="AD1505" s="863"/>
      <c r="AE1505" s="859"/>
      <c r="AF1505" s="859"/>
      <c r="AG1505" s="864"/>
      <c r="AH1505" s="865"/>
      <c r="AI1505" s="757">
        <f t="shared" si="208"/>
        <v>809003</v>
      </c>
      <c r="AJ1505" s="758">
        <f t="shared" si="209"/>
        <v>823015</v>
      </c>
    </row>
    <row r="1506" spans="1:36" x14ac:dyDescent="0.2">
      <c r="A1506" s="990" t="s">
        <v>152</v>
      </c>
      <c r="B1506" s="991" t="s">
        <v>271</v>
      </c>
      <c r="C1506" s="996" t="s">
        <v>778</v>
      </c>
      <c r="D1506" s="997"/>
      <c r="E1506" s="994">
        <v>176017</v>
      </c>
      <c r="F1506" s="995">
        <v>2</v>
      </c>
      <c r="G1506" s="859"/>
      <c r="H1506" s="860"/>
      <c r="I1506" s="861">
        <v>400824</v>
      </c>
      <c r="J1506" s="862">
        <v>413650</v>
      </c>
      <c r="K1506" s="859"/>
      <c r="L1506" s="863"/>
      <c r="M1506" s="859"/>
      <c r="N1506" s="859"/>
      <c r="O1506" s="752">
        <f t="shared" si="202"/>
        <v>0</v>
      </c>
      <c r="P1506" s="862"/>
      <c r="Q1506" s="860"/>
      <c r="R1506" s="753">
        <f t="shared" si="205"/>
        <v>0</v>
      </c>
      <c r="S1506" s="752">
        <f t="shared" si="206"/>
        <v>400824</v>
      </c>
      <c r="T1506" s="754">
        <f t="shared" si="207"/>
        <v>413650</v>
      </c>
      <c r="U1506" s="859"/>
      <c r="V1506" s="863"/>
      <c r="W1506" s="859"/>
      <c r="X1506" s="859"/>
      <c r="Y1506" s="755">
        <f t="shared" si="203"/>
        <v>0</v>
      </c>
      <c r="Z1506" s="864"/>
      <c r="AA1506" s="863"/>
      <c r="AB1506" s="756">
        <f t="shared" si="204"/>
        <v>0</v>
      </c>
      <c r="AC1506" s="859"/>
      <c r="AD1506" s="863"/>
      <c r="AE1506" s="859"/>
      <c r="AF1506" s="859"/>
      <c r="AG1506" s="864"/>
      <c r="AH1506" s="865"/>
      <c r="AI1506" s="757">
        <f t="shared" si="208"/>
        <v>400824</v>
      </c>
      <c r="AJ1506" s="758">
        <f t="shared" si="209"/>
        <v>413650</v>
      </c>
    </row>
    <row r="1507" spans="1:36" x14ac:dyDescent="0.2">
      <c r="A1507" s="990" t="s">
        <v>152</v>
      </c>
      <c r="B1507" s="991" t="s">
        <v>271</v>
      </c>
      <c r="C1507" s="996" t="s">
        <v>779</v>
      </c>
      <c r="D1507" s="997"/>
      <c r="E1507" s="994">
        <v>176017</v>
      </c>
      <c r="F1507" s="995">
        <v>2</v>
      </c>
      <c r="G1507" s="859"/>
      <c r="H1507" s="860"/>
      <c r="I1507" s="861">
        <v>691278</v>
      </c>
      <c r="J1507" s="862">
        <v>695804</v>
      </c>
      <c r="K1507" s="859"/>
      <c r="L1507" s="863"/>
      <c r="M1507" s="859"/>
      <c r="N1507" s="859"/>
      <c r="O1507" s="752">
        <f t="shared" si="202"/>
        <v>0</v>
      </c>
      <c r="P1507" s="862"/>
      <c r="Q1507" s="860"/>
      <c r="R1507" s="753">
        <f t="shared" si="205"/>
        <v>0</v>
      </c>
      <c r="S1507" s="752">
        <f t="shared" si="206"/>
        <v>691278</v>
      </c>
      <c r="T1507" s="754">
        <f t="shared" si="207"/>
        <v>695804</v>
      </c>
      <c r="U1507" s="859"/>
      <c r="V1507" s="863"/>
      <c r="W1507" s="859"/>
      <c r="X1507" s="859"/>
      <c r="Y1507" s="755">
        <f t="shared" si="203"/>
        <v>0</v>
      </c>
      <c r="Z1507" s="864"/>
      <c r="AA1507" s="863"/>
      <c r="AB1507" s="756">
        <f t="shared" si="204"/>
        <v>0</v>
      </c>
      <c r="AC1507" s="859"/>
      <c r="AD1507" s="863"/>
      <c r="AE1507" s="859"/>
      <c r="AF1507" s="859"/>
      <c r="AG1507" s="864"/>
      <c r="AH1507" s="865"/>
      <c r="AI1507" s="757">
        <f t="shared" si="208"/>
        <v>691278</v>
      </c>
      <c r="AJ1507" s="758">
        <f t="shared" si="209"/>
        <v>695804</v>
      </c>
    </row>
    <row r="1508" spans="1:36" x14ac:dyDescent="0.2">
      <c r="A1508" s="990" t="s">
        <v>152</v>
      </c>
      <c r="B1508" s="991" t="s">
        <v>271</v>
      </c>
      <c r="C1508" s="996" t="s">
        <v>780</v>
      </c>
      <c r="D1508" s="997"/>
      <c r="E1508" s="994">
        <v>176017</v>
      </c>
      <c r="F1508" s="995">
        <v>2</v>
      </c>
      <c r="G1508" s="859"/>
      <c r="H1508" s="860"/>
      <c r="I1508" s="861">
        <v>1000000</v>
      </c>
      <c r="J1508" s="862">
        <v>1310311</v>
      </c>
      <c r="K1508" s="859"/>
      <c r="L1508" s="863"/>
      <c r="M1508" s="859"/>
      <c r="N1508" s="859"/>
      <c r="O1508" s="752">
        <f t="shared" si="202"/>
        <v>0</v>
      </c>
      <c r="P1508" s="862"/>
      <c r="Q1508" s="860"/>
      <c r="R1508" s="753">
        <f t="shared" si="205"/>
        <v>0</v>
      </c>
      <c r="S1508" s="752">
        <f t="shared" si="206"/>
        <v>1000000</v>
      </c>
      <c r="T1508" s="754">
        <f t="shared" si="207"/>
        <v>1310311</v>
      </c>
      <c r="U1508" s="859"/>
      <c r="V1508" s="863"/>
      <c r="W1508" s="859"/>
      <c r="X1508" s="859"/>
      <c r="Y1508" s="755">
        <f t="shared" si="203"/>
        <v>0</v>
      </c>
      <c r="Z1508" s="864"/>
      <c r="AA1508" s="863"/>
      <c r="AB1508" s="756">
        <f t="shared" si="204"/>
        <v>0</v>
      </c>
      <c r="AC1508" s="859"/>
      <c r="AD1508" s="863"/>
      <c r="AE1508" s="859"/>
      <c r="AF1508" s="859"/>
      <c r="AG1508" s="864"/>
      <c r="AH1508" s="865"/>
      <c r="AI1508" s="757">
        <f t="shared" si="208"/>
        <v>1000000</v>
      </c>
      <c r="AJ1508" s="758">
        <f t="shared" si="209"/>
        <v>1310311</v>
      </c>
    </row>
    <row r="1509" spans="1:36" x14ac:dyDescent="0.2">
      <c r="A1509" s="990" t="s">
        <v>152</v>
      </c>
      <c r="B1509" s="991" t="s">
        <v>264</v>
      </c>
      <c r="C1509" s="991" t="s">
        <v>781</v>
      </c>
      <c r="D1509" s="997"/>
      <c r="E1509" s="994">
        <v>175342</v>
      </c>
      <c r="F1509" s="995">
        <v>4</v>
      </c>
      <c r="G1509" s="859">
        <v>22678641</v>
      </c>
      <c r="H1509" s="860">
        <v>23301476</v>
      </c>
      <c r="I1509" s="861"/>
      <c r="J1509" s="862"/>
      <c r="K1509" s="859"/>
      <c r="L1509" s="863"/>
      <c r="M1509" s="859">
        <v>27193798</v>
      </c>
      <c r="N1509" s="859"/>
      <c r="O1509" s="752">
        <f t="shared" si="202"/>
        <v>27193798</v>
      </c>
      <c r="P1509" s="1001">
        <v>27863638</v>
      </c>
      <c r="Q1509" s="860"/>
      <c r="R1509" s="753">
        <f t="shared" si="205"/>
        <v>27863638</v>
      </c>
      <c r="S1509" s="752">
        <f t="shared" si="206"/>
        <v>49872439</v>
      </c>
      <c r="T1509" s="754">
        <f t="shared" si="207"/>
        <v>51165114</v>
      </c>
      <c r="U1509" s="859"/>
      <c r="V1509" s="863"/>
      <c r="W1509" s="859"/>
      <c r="X1509" s="859"/>
      <c r="Y1509" s="755">
        <f t="shared" si="203"/>
        <v>0</v>
      </c>
      <c r="Z1509" s="864"/>
      <c r="AA1509" s="863"/>
      <c r="AB1509" s="756">
        <f t="shared" si="204"/>
        <v>0</v>
      </c>
      <c r="AC1509" s="859"/>
      <c r="AD1509" s="863"/>
      <c r="AE1509" s="859"/>
      <c r="AF1509" s="859"/>
      <c r="AG1509" s="864"/>
      <c r="AH1509" s="865"/>
      <c r="AI1509" s="757">
        <f t="shared" si="208"/>
        <v>49872439</v>
      </c>
      <c r="AJ1509" s="758">
        <f t="shared" si="209"/>
        <v>51165114</v>
      </c>
    </row>
    <row r="1510" spans="1:36" x14ac:dyDescent="0.2">
      <c r="A1510" s="990" t="s">
        <v>152</v>
      </c>
      <c r="B1510" s="991" t="s">
        <v>268</v>
      </c>
      <c r="C1510" s="996" t="s">
        <v>782</v>
      </c>
      <c r="D1510" s="997"/>
      <c r="E1510" s="994">
        <v>175342</v>
      </c>
      <c r="F1510" s="995">
        <v>4</v>
      </c>
      <c r="G1510" s="859"/>
      <c r="H1510" s="860"/>
      <c r="I1510" s="861">
        <v>5498389</v>
      </c>
      <c r="J1510" s="862">
        <v>5819110</v>
      </c>
      <c r="K1510" s="859"/>
      <c r="L1510" s="863"/>
      <c r="M1510" s="859"/>
      <c r="N1510" s="859"/>
      <c r="O1510" s="752">
        <f t="shared" si="202"/>
        <v>0</v>
      </c>
      <c r="P1510" s="862"/>
      <c r="Q1510" s="860"/>
      <c r="R1510" s="753">
        <f t="shared" si="205"/>
        <v>0</v>
      </c>
      <c r="S1510" s="752">
        <f t="shared" si="206"/>
        <v>5498389</v>
      </c>
      <c r="T1510" s="754">
        <f t="shared" si="207"/>
        <v>5819110</v>
      </c>
      <c r="U1510" s="859"/>
      <c r="V1510" s="863"/>
      <c r="W1510" s="859"/>
      <c r="X1510" s="859"/>
      <c r="Y1510" s="755">
        <f t="shared" si="203"/>
        <v>0</v>
      </c>
      <c r="Z1510" s="864"/>
      <c r="AA1510" s="863"/>
      <c r="AB1510" s="756">
        <f t="shared" si="204"/>
        <v>0</v>
      </c>
      <c r="AC1510" s="859"/>
      <c r="AD1510" s="863"/>
      <c r="AE1510" s="859"/>
      <c r="AF1510" s="859"/>
      <c r="AG1510" s="864"/>
      <c r="AH1510" s="865"/>
      <c r="AI1510" s="757">
        <f t="shared" si="208"/>
        <v>5498389</v>
      </c>
      <c r="AJ1510" s="758">
        <f t="shared" si="209"/>
        <v>5819110</v>
      </c>
    </row>
    <row r="1511" spans="1:36" x14ac:dyDescent="0.2">
      <c r="A1511" s="990" t="s">
        <v>152</v>
      </c>
      <c r="B1511" s="991" t="s">
        <v>264</v>
      </c>
      <c r="C1511" s="992" t="s">
        <v>783</v>
      </c>
      <c r="D1511" s="993"/>
      <c r="E1511" s="994">
        <v>175616</v>
      </c>
      <c r="F1511" s="995">
        <v>4</v>
      </c>
      <c r="G1511" s="859">
        <v>21180960</v>
      </c>
      <c r="H1511" s="860">
        <v>22015820</v>
      </c>
      <c r="I1511" s="861"/>
      <c r="J1511" s="862"/>
      <c r="K1511" s="859"/>
      <c r="L1511" s="863"/>
      <c r="M1511" s="859">
        <v>20997590</v>
      </c>
      <c r="N1511" s="859"/>
      <c r="O1511" s="752">
        <f t="shared" si="202"/>
        <v>20997590</v>
      </c>
      <c r="P1511" s="1001">
        <v>19311647</v>
      </c>
      <c r="Q1511" s="860"/>
      <c r="R1511" s="753">
        <f t="shared" si="205"/>
        <v>19311647</v>
      </c>
      <c r="S1511" s="752">
        <f t="shared" si="206"/>
        <v>42178550</v>
      </c>
      <c r="T1511" s="754">
        <f t="shared" si="207"/>
        <v>41327467</v>
      </c>
      <c r="U1511" s="859"/>
      <c r="V1511" s="863"/>
      <c r="W1511" s="859"/>
      <c r="X1511" s="859"/>
      <c r="Y1511" s="755">
        <f t="shared" si="203"/>
        <v>0</v>
      </c>
      <c r="Z1511" s="864"/>
      <c r="AA1511" s="863"/>
      <c r="AB1511" s="756">
        <f t="shared" si="204"/>
        <v>0</v>
      </c>
      <c r="AC1511" s="859"/>
      <c r="AD1511" s="863"/>
      <c r="AE1511" s="859"/>
      <c r="AF1511" s="859"/>
      <c r="AG1511" s="864"/>
      <c r="AH1511" s="865"/>
      <c r="AI1511" s="757">
        <f t="shared" si="208"/>
        <v>42178550</v>
      </c>
      <c r="AJ1511" s="758">
        <f t="shared" si="209"/>
        <v>41327467</v>
      </c>
    </row>
    <row r="1512" spans="1:36" x14ac:dyDescent="0.2">
      <c r="A1512" s="990" t="s">
        <v>152</v>
      </c>
      <c r="B1512" s="991" t="s">
        <v>264</v>
      </c>
      <c r="C1512" s="1002" t="s">
        <v>784</v>
      </c>
      <c r="D1512" s="1000"/>
      <c r="E1512" s="1003">
        <v>176044</v>
      </c>
      <c r="F1512" s="1004">
        <v>4</v>
      </c>
      <c r="G1512" s="859">
        <v>19342906</v>
      </c>
      <c r="H1512" s="860">
        <v>18711545</v>
      </c>
      <c r="I1512" s="861"/>
      <c r="J1512" s="862"/>
      <c r="K1512" s="859"/>
      <c r="L1512" s="863"/>
      <c r="M1512" s="859">
        <v>15645965</v>
      </c>
      <c r="N1512" s="859"/>
      <c r="O1512" s="752">
        <f t="shared" si="202"/>
        <v>15645965</v>
      </c>
      <c r="P1512" s="1001">
        <v>13611549</v>
      </c>
      <c r="Q1512" s="860"/>
      <c r="R1512" s="753">
        <f t="shared" si="205"/>
        <v>13611549</v>
      </c>
      <c r="S1512" s="752">
        <f t="shared" si="206"/>
        <v>34988871</v>
      </c>
      <c r="T1512" s="754">
        <f t="shared" si="207"/>
        <v>32323094</v>
      </c>
      <c r="U1512" s="859"/>
      <c r="V1512" s="863"/>
      <c r="W1512" s="859"/>
      <c r="X1512" s="859"/>
      <c r="Y1512" s="755">
        <f t="shared" si="203"/>
        <v>0</v>
      </c>
      <c r="Z1512" s="864"/>
      <c r="AA1512" s="863"/>
      <c r="AB1512" s="756">
        <f t="shared" si="204"/>
        <v>0</v>
      </c>
      <c r="AC1512" s="859"/>
      <c r="AD1512" s="863"/>
      <c r="AE1512" s="859"/>
      <c r="AF1512" s="859"/>
      <c r="AG1512" s="864"/>
      <c r="AH1512" s="865"/>
      <c r="AI1512" s="757">
        <f t="shared" si="208"/>
        <v>34988871</v>
      </c>
      <c r="AJ1512" s="758">
        <f t="shared" si="209"/>
        <v>32323094</v>
      </c>
    </row>
    <row r="1513" spans="1:36" x14ac:dyDescent="0.2">
      <c r="A1513" s="990" t="s">
        <v>152</v>
      </c>
      <c r="B1513" s="991" t="s">
        <v>264</v>
      </c>
      <c r="C1513" s="992" t="s">
        <v>785</v>
      </c>
      <c r="D1513" s="993"/>
      <c r="E1513" s="994">
        <v>176035</v>
      </c>
      <c r="F1513" s="995">
        <v>5</v>
      </c>
      <c r="G1513" s="859">
        <v>13638450</v>
      </c>
      <c r="H1513" s="860">
        <v>15103402</v>
      </c>
      <c r="I1513" s="861"/>
      <c r="J1513" s="862"/>
      <c r="K1513" s="859"/>
      <c r="L1513" s="863"/>
      <c r="M1513" s="859">
        <v>17024899</v>
      </c>
      <c r="N1513" s="859"/>
      <c r="O1513" s="752">
        <f t="shared" si="202"/>
        <v>17024899</v>
      </c>
      <c r="P1513" s="1001">
        <v>18278223</v>
      </c>
      <c r="Q1513" s="860"/>
      <c r="R1513" s="753">
        <f t="shared" si="205"/>
        <v>18278223</v>
      </c>
      <c r="S1513" s="752">
        <f t="shared" si="206"/>
        <v>30663349</v>
      </c>
      <c r="T1513" s="754">
        <f t="shared" si="207"/>
        <v>33381625</v>
      </c>
      <c r="U1513" s="859"/>
      <c r="V1513" s="863"/>
      <c r="W1513" s="859"/>
      <c r="X1513" s="859"/>
      <c r="Y1513" s="755">
        <f t="shared" si="203"/>
        <v>0</v>
      </c>
      <c r="Z1513" s="864"/>
      <c r="AA1513" s="863"/>
      <c r="AB1513" s="756">
        <f t="shared" si="204"/>
        <v>0</v>
      </c>
      <c r="AC1513" s="859"/>
      <c r="AD1513" s="863"/>
      <c r="AE1513" s="859"/>
      <c r="AF1513" s="859"/>
      <c r="AG1513" s="864"/>
      <c r="AH1513" s="865"/>
      <c r="AI1513" s="757">
        <f t="shared" si="208"/>
        <v>30663349</v>
      </c>
      <c r="AJ1513" s="758">
        <f t="shared" si="209"/>
        <v>33381625</v>
      </c>
    </row>
    <row r="1514" spans="1:36" x14ac:dyDescent="0.2">
      <c r="A1514" s="990" t="s">
        <v>152</v>
      </c>
      <c r="B1514" s="991" t="s">
        <v>301</v>
      </c>
      <c r="C1514" s="992" t="s">
        <v>786</v>
      </c>
      <c r="D1514" s="993"/>
      <c r="E1514" s="994">
        <v>176026</v>
      </c>
      <c r="F1514" s="995">
        <v>15</v>
      </c>
      <c r="G1514" s="859"/>
      <c r="H1514" s="860"/>
      <c r="I1514" s="861"/>
      <c r="J1514" s="862"/>
      <c r="K1514" s="859"/>
      <c r="L1514" s="863"/>
      <c r="M1514" s="859"/>
      <c r="N1514" s="859"/>
      <c r="O1514" s="752">
        <f t="shared" si="202"/>
        <v>0</v>
      </c>
      <c r="P1514" s="862"/>
      <c r="Q1514" s="860"/>
      <c r="R1514" s="753">
        <f t="shared" si="205"/>
        <v>0</v>
      </c>
      <c r="S1514" s="752">
        <f t="shared" si="206"/>
        <v>0</v>
      </c>
      <c r="T1514" s="754">
        <f t="shared" si="207"/>
        <v>0</v>
      </c>
      <c r="U1514" s="859"/>
      <c r="V1514" s="863"/>
      <c r="W1514" s="859"/>
      <c r="X1514" s="859"/>
      <c r="Y1514" s="755">
        <f t="shared" si="203"/>
        <v>0</v>
      </c>
      <c r="Z1514" s="864"/>
      <c r="AA1514" s="863"/>
      <c r="AB1514" s="756">
        <f t="shared" si="204"/>
        <v>0</v>
      </c>
      <c r="AC1514" s="859">
        <v>177017002</v>
      </c>
      <c r="AD1514" s="863">
        <v>185718612</v>
      </c>
      <c r="AE1514" s="859">
        <v>22962335</v>
      </c>
      <c r="AF1514" s="859"/>
      <c r="AG1514" s="1005">
        <v>27320057</v>
      </c>
      <c r="AH1514" s="865"/>
      <c r="AI1514" s="757">
        <f t="shared" si="208"/>
        <v>199979337</v>
      </c>
      <c r="AJ1514" s="758">
        <f t="shared" si="209"/>
        <v>213038669</v>
      </c>
    </row>
    <row r="1515" spans="1:36" x14ac:dyDescent="0.2">
      <c r="A1515" s="990" t="s">
        <v>152</v>
      </c>
      <c r="B1515" s="991" t="s">
        <v>273</v>
      </c>
      <c r="C1515" s="1006" t="s">
        <v>787</v>
      </c>
      <c r="D1515" s="993"/>
      <c r="E1515" s="994"/>
      <c r="F1515" s="995"/>
      <c r="G1515" s="859"/>
      <c r="H1515" s="860"/>
      <c r="I1515" s="861"/>
      <c r="J1515" s="862"/>
      <c r="K1515" s="859"/>
      <c r="L1515" s="863"/>
      <c r="M1515" s="859"/>
      <c r="N1515" s="859"/>
      <c r="O1515" s="752">
        <f t="shared" si="202"/>
        <v>0</v>
      </c>
      <c r="P1515" s="862"/>
      <c r="Q1515" s="860"/>
      <c r="R1515" s="753">
        <f t="shared" si="205"/>
        <v>0</v>
      </c>
      <c r="S1515" s="752">
        <f t="shared" si="206"/>
        <v>0</v>
      </c>
      <c r="T1515" s="754">
        <f t="shared" si="207"/>
        <v>0</v>
      </c>
      <c r="U1515" s="859"/>
      <c r="V1515" s="863"/>
      <c r="W1515" s="859"/>
      <c r="X1515" s="859"/>
      <c r="Y1515" s="755">
        <f t="shared" si="203"/>
        <v>0</v>
      </c>
      <c r="Z1515" s="864"/>
      <c r="AA1515" s="863"/>
      <c r="AB1515" s="756">
        <f t="shared" si="204"/>
        <v>0</v>
      </c>
      <c r="AC1515" s="859"/>
      <c r="AD1515" s="863"/>
      <c r="AE1515" s="859"/>
      <c r="AF1515" s="859"/>
      <c r="AG1515" s="864"/>
      <c r="AH1515" s="865"/>
      <c r="AI1515" s="757">
        <f t="shared" si="208"/>
        <v>0</v>
      </c>
      <c r="AJ1515" s="758">
        <f t="shared" si="209"/>
        <v>0</v>
      </c>
    </row>
    <row r="1516" spans="1:36" x14ac:dyDescent="0.2">
      <c r="A1516" s="990" t="s">
        <v>152</v>
      </c>
      <c r="B1516" s="991" t="s">
        <v>274</v>
      </c>
      <c r="C1516" s="999" t="s">
        <v>319</v>
      </c>
      <c r="D1516" s="997"/>
      <c r="E1516" s="994"/>
      <c r="F1516" s="995"/>
      <c r="G1516" s="859"/>
      <c r="H1516" s="860"/>
      <c r="I1516" s="861"/>
      <c r="J1516" s="862"/>
      <c r="K1516" s="859"/>
      <c r="L1516" s="863"/>
      <c r="M1516" s="859"/>
      <c r="N1516" s="859"/>
      <c r="O1516" s="752">
        <f t="shared" si="202"/>
        <v>0</v>
      </c>
      <c r="P1516" s="862"/>
      <c r="Q1516" s="860"/>
      <c r="R1516" s="753">
        <f t="shared" si="205"/>
        <v>0</v>
      </c>
      <c r="S1516" s="752">
        <f t="shared" si="206"/>
        <v>0</v>
      </c>
      <c r="T1516" s="754">
        <f t="shared" si="207"/>
        <v>0</v>
      </c>
      <c r="U1516" s="859"/>
      <c r="V1516" s="863"/>
      <c r="W1516" s="859"/>
      <c r="X1516" s="859"/>
      <c r="Y1516" s="755">
        <f t="shared" si="203"/>
        <v>0</v>
      </c>
      <c r="Z1516" s="864"/>
      <c r="AA1516" s="863"/>
      <c r="AB1516" s="756">
        <f t="shared" si="204"/>
        <v>0</v>
      </c>
      <c r="AC1516" s="859"/>
      <c r="AD1516" s="863"/>
      <c r="AE1516" s="859"/>
      <c r="AF1516" s="859"/>
      <c r="AG1516" s="864"/>
      <c r="AH1516" s="865"/>
      <c r="AI1516" s="757">
        <f t="shared" si="208"/>
        <v>0</v>
      </c>
      <c r="AJ1516" s="758">
        <f t="shared" si="209"/>
        <v>0</v>
      </c>
    </row>
    <row r="1517" spans="1:36" x14ac:dyDescent="0.2">
      <c r="A1517" s="990" t="s">
        <v>152</v>
      </c>
      <c r="B1517" s="991" t="s">
        <v>274</v>
      </c>
      <c r="C1517" s="996" t="s">
        <v>788</v>
      </c>
      <c r="D1517" s="997"/>
      <c r="E1517" s="994"/>
      <c r="F1517" s="995"/>
      <c r="G1517" s="859"/>
      <c r="H1517" s="860"/>
      <c r="I1517" s="861"/>
      <c r="J1517" s="862"/>
      <c r="K1517" s="859"/>
      <c r="L1517" s="863"/>
      <c r="M1517" s="859"/>
      <c r="N1517" s="859"/>
      <c r="O1517" s="752">
        <f t="shared" si="202"/>
        <v>0</v>
      </c>
      <c r="P1517" s="862"/>
      <c r="Q1517" s="860"/>
      <c r="R1517" s="753">
        <f t="shared" si="205"/>
        <v>0</v>
      </c>
      <c r="S1517" s="752">
        <f t="shared" si="206"/>
        <v>0</v>
      </c>
      <c r="T1517" s="754">
        <f t="shared" si="207"/>
        <v>0</v>
      </c>
      <c r="U1517" s="859">
        <v>500000</v>
      </c>
      <c r="V1517" s="863">
        <v>509619</v>
      </c>
      <c r="W1517" s="859"/>
      <c r="X1517" s="859"/>
      <c r="Y1517" s="755">
        <f t="shared" si="203"/>
        <v>0</v>
      </c>
      <c r="Z1517" s="864"/>
      <c r="AA1517" s="863"/>
      <c r="AB1517" s="756">
        <f t="shared" si="204"/>
        <v>0</v>
      </c>
      <c r="AC1517" s="859"/>
      <c r="AD1517" s="863"/>
      <c r="AE1517" s="859"/>
      <c r="AF1517" s="859"/>
      <c r="AG1517" s="864"/>
      <c r="AH1517" s="865"/>
      <c r="AI1517" s="757">
        <f t="shared" si="208"/>
        <v>500000</v>
      </c>
      <c r="AJ1517" s="758">
        <f t="shared" si="209"/>
        <v>509619</v>
      </c>
    </row>
    <row r="1518" spans="1:36" x14ac:dyDescent="0.2">
      <c r="A1518" s="990" t="s">
        <v>152</v>
      </c>
      <c r="B1518" s="991" t="s">
        <v>303</v>
      </c>
      <c r="C1518" s="1006" t="s">
        <v>789</v>
      </c>
      <c r="D1518" s="993"/>
      <c r="E1518" s="994"/>
      <c r="F1518" s="995"/>
      <c r="G1518" s="859"/>
      <c r="H1518" s="860"/>
      <c r="I1518" s="861"/>
      <c r="J1518" s="862"/>
      <c r="K1518" s="859"/>
      <c r="L1518" s="863"/>
      <c r="M1518" s="859"/>
      <c r="N1518" s="859"/>
      <c r="O1518" s="752">
        <f t="shared" si="202"/>
        <v>0</v>
      </c>
      <c r="P1518" s="862"/>
      <c r="Q1518" s="860"/>
      <c r="R1518" s="753">
        <f t="shared" si="205"/>
        <v>0</v>
      </c>
      <c r="S1518" s="752">
        <f t="shared" si="206"/>
        <v>0</v>
      </c>
      <c r="T1518" s="754">
        <f t="shared" si="207"/>
        <v>0</v>
      </c>
      <c r="U1518" s="859"/>
      <c r="V1518" s="863"/>
      <c r="W1518" s="859"/>
      <c r="X1518" s="859"/>
      <c r="Y1518" s="755">
        <f t="shared" si="203"/>
        <v>0</v>
      </c>
      <c r="Z1518" s="864"/>
      <c r="AA1518" s="863"/>
      <c r="AB1518" s="756">
        <f t="shared" si="204"/>
        <v>0</v>
      </c>
      <c r="AC1518" s="859"/>
      <c r="AD1518" s="863"/>
      <c r="AE1518" s="859"/>
      <c r="AF1518" s="859"/>
      <c r="AG1518" s="864"/>
      <c r="AH1518" s="865"/>
      <c r="AI1518" s="757">
        <f t="shared" si="208"/>
        <v>0</v>
      </c>
      <c r="AJ1518" s="758">
        <f t="shared" si="209"/>
        <v>0</v>
      </c>
    </row>
    <row r="1519" spans="1:36" x14ac:dyDescent="0.2">
      <c r="A1519" s="990" t="s">
        <v>152</v>
      </c>
      <c r="B1519" s="991" t="s">
        <v>303</v>
      </c>
      <c r="C1519" s="996" t="s">
        <v>790</v>
      </c>
      <c r="D1519" s="997"/>
      <c r="E1519" s="994"/>
      <c r="F1519" s="995"/>
      <c r="G1519" s="859"/>
      <c r="H1519" s="860"/>
      <c r="I1519" s="861">
        <v>5750000</v>
      </c>
      <c r="J1519" s="862">
        <v>5750000</v>
      </c>
      <c r="K1519" s="859"/>
      <c r="L1519" s="863"/>
      <c r="M1519" s="859"/>
      <c r="N1519" s="859"/>
      <c r="O1519" s="752">
        <f t="shared" si="202"/>
        <v>0</v>
      </c>
      <c r="P1519" s="862"/>
      <c r="Q1519" s="860"/>
      <c r="R1519" s="753">
        <f t="shared" si="205"/>
        <v>0</v>
      </c>
      <c r="S1519" s="752">
        <f t="shared" si="206"/>
        <v>5750000</v>
      </c>
      <c r="T1519" s="754">
        <f t="shared" si="207"/>
        <v>5750000</v>
      </c>
      <c r="U1519" s="859"/>
      <c r="V1519" s="863"/>
      <c r="W1519" s="859"/>
      <c r="X1519" s="859"/>
      <c r="Y1519" s="755">
        <f t="shared" si="203"/>
        <v>0</v>
      </c>
      <c r="Z1519" s="864"/>
      <c r="AA1519" s="863"/>
      <c r="AB1519" s="756">
        <f t="shared" si="204"/>
        <v>0</v>
      </c>
      <c r="AC1519" s="859"/>
      <c r="AD1519" s="863"/>
      <c r="AE1519" s="859"/>
      <c r="AF1519" s="859"/>
      <c r="AG1519" s="864"/>
      <c r="AH1519" s="865"/>
      <c r="AI1519" s="757">
        <f t="shared" si="208"/>
        <v>5750000</v>
      </c>
      <c r="AJ1519" s="758">
        <f t="shared" si="209"/>
        <v>5750000</v>
      </c>
    </row>
    <row r="1520" spans="1:36" x14ac:dyDescent="0.2">
      <c r="A1520" s="990" t="s">
        <v>152</v>
      </c>
      <c r="B1520" s="991" t="s">
        <v>281</v>
      </c>
      <c r="C1520" s="1006" t="s">
        <v>109</v>
      </c>
      <c r="D1520" s="993"/>
      <c r="E1520" s="994"/>
      <c r="F1520" s="995"/>
      <c r="G1520" s="859"/>
      <c r="H1520" s="860"/>
      <c r="I1520" s="861"/>
      <c r="J1520" s="862"/>
      <c r="K1520" s="859"/>
      <c r="L1520" s="863"/>
      <c r="M1520" s="859"/>
      <c r="N1520" s="859"/>
      <c r="O1520" s="752">
        <f t="shared" si="202"/>
        <v>0</v>
      </c>
      <c r="P1520" s="862"/>
      <c r="Q1520" s="860"/>
      <c r="R1520" s="753">
        <f t="shared" si="205"/>
        <v>0</v>
      </c>
      <c r="S1520" s="752">
        <f t="shared" si="206"/>
        <v>0</v>
      </c>
      <c r="T1520" s="754">
        <f t="shared" si="207"/>
        <v>0</v>
      </c>
      <c r="U1520" s="859"/>
      <c r="V1520" s="863"/>
      <c r="W1520" s="859"/>
      <c r="X1520" s="859"/>
      <c r="Y1520" s="755">
        <f t="shared" si="203"/>
        <v>0</v>
      </c>
      <c r="Z1520" s="864"/>
      <c r="AA1520" s="863"/>
      <c r="AB1520" s="756">
        <f t="shared" si="204"/>
        <v>0</v>
      </c>
      <c r="AC1520" s="859"/>
      <c r="AD1520" s="863"/>
      <c r="AE1520" s="859"/>
      <c r="AF1520" s="859"/>
      <c r="AG1520" s="864"/>
      <c r="AH1520" s="865"/>
      <c r="AI1520" s="757">
        <f t="shared" si="208"/>
        <v>0</v>
      </c>
      <c r="AJ1520" s="758">
        <f t="shared" si="209"/>
        <v>0</v>
      </c>
    </row>
    <row r="1521" spans="1:36" x14ac:dyDescent="0.2">
      <c r="A1521" s="990" t="s">
        <v>152</v>
      </c>
      <c r="B1521" s="991" t="s">
        <v>282</v>
      </c>
      <c r="C1521" s="999" t="s">
        <v>140</v>
      </c>
      <c r="D1521" s="997"/>
      <c r="E1521" s="994"/>
      <c r="F1521" s="995"/>
      <c r="G1521" s="859"/>
      <c r="H1521" s="860"/>
      <c r="I1521" s="861"/>
      <c r="J1521" s="862"/>
      <c r="K1521" s="859"/>
      <c r="L1521" s="863"/>
      <c r="M1521" s="859"/>
      <c r="N1521" s="859"/>
      <c r="O1521" s="752">
        <f t="shared" si="202"/>
        <v>0</v>
      </c>
      <c r="P1521" s="862"/>
      <c r="Q1521" s="860"/>
      <c r="R1521" s="753">
        <f t="shared" si="205"/>
        <v>0</v>
      </c>
      <c r="S1521" s="752">
        <f t="shared" si="206"/>
        <v>0</v>
      </c>
      <c r="T1521" s="754">
        <f t="shared" si="207"/>
        <v>0</v>
      </c>
      <c r="U1521" s="859"/>
      <c r="V1521" s="863"/>
      <c r="W1521" s="859"/>
      <c r="X1521" s="859"/>
      <c r="Y1521" s="755">
        <f t="shared" si="203"/>
        <v>0</v>
      </c>
      <c r="Z1521" s="864"/>
      <c r="AA1521" s="863"/>
      <c r="AB1521" s="756">
        <f t="shared" si="204"/>
        <v>0</v>
      </c>
      <c r="AC1521" s="859"/>
      <c r="AD1521" s="863"/>
      <c r="AE1521" s="859"/>
      <c r="AF1521" s="859"/>
      <c r="AG1521" s="864"/>
      <c r="AH1521" s="865"/>
      <c r="AI1521" s="757">
        <f t="shared" si="208"/>
        <v>0</v>
      </c>
      <c r="AJ1521" s="758">
        <f t="shared" si="209"/>
        <v>0</v>
      </c>
    </row>
    <row r="1522" spans="1:36" x14ac:dyDescent="0.2">
      <c r="A1522" s="990" t="s">
        <v>152</v>
      </c>
      <c r="B1522" s="991" t="s">
        <v>282</v>
      </c>
      <c r="C1522" s="996" t="s">
        <v>791</v>
      </c>
      <c r="D1522" s="997"/>
      <c r="E1522" s="994"/>
      <c r="F1522" s="995"/>
      <c r="G1522" s="859"/>
      <c r="H1522" s="860"/>
      <c r="I1522" s="861"/>
      <c r="J1522" s="862"/>
      <c r="K1522" s="859"/>
      <c r="L1522" s="863"/>
      <c r="M1522" s="859"/>
      <c r="N1522" s="859"/>
      <c r="O1522" s="752">
        <f t="shared" si="202"/>
        <v>0</v>
      </c>
      <c r="P1522" s="862"/>
      <c r="Q1522" s="860"/>
      <c r="R1522" s="753">
        <f t="shared" si="205"/>
        <v>0</v>
      </c>
      <c r="S1522" s="752">
        <f t="shared" si="206"/>
        <v>0</v>
      </c>
      <c r="T1522" s="754">
        <f t="shared" si="207"/>
        <v>0</v>
      </c>
      <c r="U1522" s="859">
        <v>6968781</v>
      </c>
      <c r="V1522" s="863">
        <v>7412934</v>
      </c>
      <c r="W1522" s="859"/>
      <c r="X1522" s="859"/>
      <c r="Y1522" s="755">
        <f t="shared" si="203"/>
        <v>0</v>
      </c>
      <c r="Z1522" s="864"/>
      <c r="AA1522" s="863"/>
      <c r="AB1522" s="756">
        <f t="shared" si="204"/>
        <v>0</v>
      </c>
      <c r="AC1522" s="859"/>
      <c r="AD1522" s="863"/>
      <c r="AE1522" s="859"/>
      <c r="AF1522" s="859"/>
      <c r="AG1522" s="864"/>
      <c r="AH1522" s="865"/>
      <c r="AI1522" s="757">
        <f t="shared" si="208"/>
        <v>6968781</v>
      </c>
      <c r="AJ1522" s="758">
        <f t="shared" si="209"/>
        <v>7412934</v>
      </c>
    </row>
    <row r="1523" spans="1:36" x14ac:dyDescent="0.2">
      <c r="A1523" s="990" t="s">
        <v>152</v>
      </c>
      <c r="B1523" s="991" t="s">
        <v>284</v>
      </c>
      <c r="C1523" s="999" t="s">
        <v>138</v>
      </c>
      <c r="D1523" s="997"/>
      <c r="E1523" s="994"/>
      <c r="F1523" s="995"/>
      <c r="G1523" s="859"/>
      <c r="H1523" s="860"/>
      <c r="I1523" s="861"/>
      <c r="J1523" s="862"/>
      <c r="K1523" s="859"/>
      <c r="L1523" s="863"/>
      <c r="M1523" s="859"/>
      <c r="N1523" s="859"/>
      <c r="O1523" s="752">
        <f t="shared" si="202"/>
        <v>0</v>
      </c>
      <c r="P1523" s="862"/>
      <c r="Q1523" s="860"/>
      <c r="R1523" s="753">
        <f t="shared" si="205"/>
        <v>0</v>
      </c>
      <c r="S1523" s="752">
        <f t="shared" si="206"/>
        <v>0</v>
      </c>
      <c r="T1523" s="754">
        <f t="shared" si="207"/>
        <v>0</v>
      </c>
      <c r="U1523" s="859"/>
      <c r="V1523" s="863"/>
      <c r="W1523" s="859"/>
      <c r="X1523" s="859"/>
      <c r="Y1523" s="755">
        <f t="shared" si="203"/>
        <v>0</v>
      </c>
      <c r="Z1523" s="864"/>
      <c r="AA1523" s="863"/>
      <c r="AB1523" s="756">
        <f t="shared" si="204"/>
        <v>0</v>
      </c>
      <c r="AC1523" s="859"/>
      <c r="AD1523" s="863"/>
      <c r="AE1523" s="859"/>
      <c r="AF1523" s="859"/>
      <c r="AG1523" s="864"/>
      <c r="AH1523" s="865"/>
      <c r="AI1523" s="757">
        <f t="shared" si="208"/>
        <v>0</v>
      </c>
      <c r="AJ1523" s="758">
        <f t="shared" si="209"/>
        <v>0</v>
      </c>
    </row>
    <row r="1524" spans="1:36" x14ac:dyDescent="0.2">
      <c r="A1524" s="990" t="s">
        <v>152</v>
      </c>
      <c r="B1524" s="991" t="s">
        <v>284</v>
      </c>
      <c r="C1524" s="996" t="s">
        <v>792</v>
      </c>
      <c r="D1524" s="997"/>
      <c r="E1524" s="994"/>
      <c r="F1524" s="995"/>
      <c r="G1524" s="859"/>
      <c r="H1524" s="860"/>
      <c r="I1524" s="861"/>
      <c r="J1524" s="862"/>
      <c r="K1524" s="859"/>
      <c r="L1524" s="863"/>
      <c r="M1524" s="859"/>
      <c r="N1524" s="859"/>
      <c r="O1524" s="752">
        <f t="shared" si="202"/>
        <v>0</v>
      </c>
      <c r="P1524" s="862"/>
      <c r="Q1524" s="860"/>
      <c r="R1524" s="753">
        <f t="shared" si="205"/>
        <v>0</v>
      </c>
      <c r="S1524" s="752">
        <f t="shared" si="206"/>
        <v>0</v>
      </c>
      <c r="T1524" s="754">
        <f t="shared" si="207"/>
        <v>0</v>
      </c>
      <c r="U1524" s="859"/>
      <c r="V1524" s="863"/>
      <c r="W1524" s="859"/>
      <c r="X1524" s="859"/>
      <c r="Y1524" s="755">
        <f t="shared" si="203"/>
        <v>0</v>
      </c>
      <c r="Z1524" s="864"/>
      <c r="AA1524" s="863"/>
      <c r="AB1524" s="756">
        <f t="shared" si="204"/>
        <v>0</v>
      </c>
      <c r="AC1524" s="859"/>
      <c r="AD1524" s="863"/>
      <c r="AE1524" s="859"/>
      <c r="AF1524" s="859"/>
      <c r="AG1524" s="864"/>
      <c r="AH1524" s="865"/>
      <c r="AI1524" s="757">
        <f t="shared" si="208"/>
        <v>0</v>
      </c>
      <c r="AJ1524" s="758">
        <f t="shared" si="209"/>
        <v>0</v>
      </c>
    </row>
    <row r="1525" spans="1:36" x14ac:dyDescent="0.2">
      <c r="A1525" s="990" t="s">
        <v>152</v>
      </c>
      <c r="B1525" s="991" t="s">
        <v>285</v>
      </c>
      <c r="C1525" s="999" t="s">
        <v>793</v>
      </c>
      <c r="D1525" s="997"/>
      <c r="E1525" s="994"/>
      <c r="F1525" s="995"/>
      <c r="G1525" s="859"/>
      <c r="H1525" s="860"/>
      <c r="I1525" s="861"/>
      <c r="J1525" s="862"/>
      <c r="K1525" s="859"/>
      <c r="L1525" s="863"/>
      <c r="M1525" s="859"/>
      <c r="N1525" s="859"/>
      <c r="O1525" s="752">
        <f t="shared" si="202"/>
        <v>0</v>
      </c>
      <c r="P1525" s="862"/>
      <c r="Q1525" s="860"/>
      <c r="R1525" s="753">
        <f t="shared" si="205"/>
        <v>0</v>
      </c>
      <c r="S1525" s="752">
        <f t="shared" si="206"/>
        <v>0</v>
      </c>
      <c r="T1525" s="754">
        <f t="shared" si="207"/>
        <v>0</v>
      </c>
      <c r="U1525" s="859">
        <v>1036941</v>
      </c>
      <c r="V1525" s="1007">
        <v>1106986</v>
      </c>
      <c r="W1525" s="859"/>
      <c r="X1525" s="859"/>
      <c r="Y1525" s="755">
        <f t="shared" si="203"/>
        <v>0</v>
      </c>
      <c r="Z1525" s="864"/>
      <c r="AA1525" s="863"/>
      <c r="AB1525" s="756">
        <f t="shared" si="204"/>
        <v>0</v>
      </c>
      <c r="AC1525" s="859"/>
      <c r="AD1525" s="863"/>
      <c r="AE1525" s="859"/>
      <c r="AF1525" s="859"/>
      <c r="AG1525" s="864"/>
      <c r="AH1525" s="865"/>
      <c r="AI1525" s="757">
        <f t="shared" si="208"/>
        <v>1036941</v>
      </c>
      <c r="AJ1525" s="758">
        <f t="shared" si="209"/>
        <v>1106986</v>
      </c>
    </row>
    <row r="1526" spans="1:36" x14ac:dyDescent="0.2">
      <c r="A1526" s="990" t="s">
        <v>152</v>
      </c>
      <c r="B1526" s="991" t="s">
        <v>286</v>
      </c>
      <c r="C1526" s="1006" t="s">
        <v>565</v>
      </c>
      <c r="D1526" s="993"/>
      <c r="E1526" s="994"/>
      <c r="F1526" s="995"/>
      <c r="G1526" s="859"/>
      <c r="H1526" s="860"/>
      <c r="I1526" s="861"/>
      <c r="J1526" s="862"/>
      <c r="K1526" s="859"/>
      <c r="L1526" s="863"/>
      <c r="M1526" s="859"/>
      <c r="N1526" s="859"/>
      <c r="O1526" s="752">
        <f t="shared" si="202"/>
        <v>0</v>
      </c>
      <c r="P1526" s="862"/>
      <c r="Q1526" s="860"/>
      <c r="R1526" s="753">
        <f t="shared" si="205"/>
        <v>0</v>
      </c>
      <c r="S1526" s="752">
        <f t="shared" si="206"/>
        <v>0</v>
      </c>
      <c r="T1526" s="754">
        <f t="shared" si="207"/>
        <v>0</v>
      </c>
      <c r="U1526" s="859"/>
      <c r="V1526" s="1007"/>
      <c r="W1526" s="859"/>
      <c r="X1526" s="859"/>
      <c r="Y1526" s="755">
        <f t="shared" si="203"/>
        <v>0</v>
      </c>
      <c r="Z1526" s="864"/>
      <c r="AA1526" s="863"/>
      <c r="AB1526" s="756">
        <f t="shared" si="204"/>
        <v>0</v>
      </c>
      <c r="AC1526" s="859"/>
      <c r="AD1526" s="863"/>
      <c r="AE1526" s="859"/>
      <c r="AF1526" s="859"/>
      <c r="AG1526" s="864"/>
      <c r="AH1526" s="865"/>
      <c r="AI1526" s="757">
        <f t="shared" si="208"/>
        <v>0</v>
      </c>
      <c r="AJ1526" s="758">
        <f t="shared" si="209"/>
        <v>0</v>
      </c>
    </row>
    <row r="1527" spans="1:36" x14ac:dyDescent="0.2">
      <c r="A1527" s="990" t="s">
        <v>152</v>
      </c>
      <c r="B1527" s="991" t="s">
        <v>287</v>
      </c>
      <c r="C1527" s="1006" t="s">
        <v>570</v>
      </c>
      <c r="D1527" s="993"/>
      <c r="E1527" s="994"/>
      <c r="F1527" s="995"/>
      <c r="G1527" s="859"/>
      <c r="H1527" s="860"/>
      <c r="I1527" s="861"/>
      <c r="J1527" s="862"/>
      <c r="K1527" s="859"/>
      <c r="L1527" s="863"/>
      <c r="M1527" s="859"/>
      <c r="N1527" s="859"/>
      <c r="O1527" s="752">
        <f t="shared" si="202"/>
        <v>0</v>
      </c>
      <c r="P1527" s="862"/>
      <c r="Q1527" s="860"/>
      <c r="R1527" s="753">
        <f t="shared" si="205"/>
        <v>0</v>
      </c>
      <c r="S1527" s="752">
        <f t="shared" si="206"/>
        <v>0</v>
      </c>
      <c r="T1527" s="754">
        <f t="shared" si="207"/>
        <v>0</v>
      </c>
      <c r="U1527" s="859"/>
      <c r="V1527" s="1007"/>
      <c r="W1527" s="859"/>
      <c r="X1527" s="859"/>
      <c r="Y1527" s="755">
        <f t="shared" si="203"/>
        <v>0</v>
      </c>
      <c r="Z1527" s="864"/>
      <c r="AA1527" s="863"/>
      <c r="AB1527" s="756">
        <f t="shared" si="204"/>
        <v>0</v>
      </c>
      <c r="AC1527" s="859"/>
      <c r="AD1527" s="863"/>
      <c r="AE1527" s="859"/>
      <c r="AF1527" s="859"/>
      <c r="AG1527" s="864"/>
      <c r="AH1527" s="865"/>
      <c r="AI1527" s="757">
        <f t="shared" si="208"/>
        <v>0</v>
      </c>
      <c r="AJ1527" s="758">
        <f t="shared" si="209"/>
        <v>0</v>
      </c>
    </row>
    <row r="1528" spans="1:36" x14ac:dyDescent="0.2">
      <c r="A1528" s="990" t="s">
        <v>152</v>
      </c>
      <c r="B1528" s="991" t="s">
        <v>288</v>
      </c>
      <c r="C1528" s="999" t="s">
        <v>571</v>
      </c>
      <c r="D1528" s="997"/>
      <c r="E1528" s="994"/>
      <c r="F1528" s="995"/>
      <c r="G1528" s="859"/>
      <c r="H1528" s="860"/>
      <c r="I1528" s="861"/>
      <c r="J1528" s="862"/>
      <c r="K1528" s="859"/>
      <c r="L1528" s="863"/>
      <c r="M1528" s="859"/>
      <c r="N1528" s="859"/>
      <c r="O1528" s="752">
        <f t="shared" si="202"/>
        <v>0</v>
      </c>
      <c r="P1528" s="862"/>
      <c r="Q1528" s="860"/>
      <c r="R1528" s="753">
        <f t="shared" si="205"/>
        <v>0</v>
      </c>
      <c r="S1528" s="752">
        <f t="shared" si="206"/>
        <v>0</v>
      </c>
      <c r="T1528" s="754">
        <f t="shared" si="207"/>
        <v>0</v>
      </c>
      <c r="U1528" s="859"/>
      <c r="V1528" s="1007"/>
      <c r="W1528" s="859"/>
      <c r="X1528" s="859"/>
      <c r="Y1528" s="755">
        <f t="shared" si="203"/>
        <v>0</v>
      </c>
      <c r="Z1528" s="864"/>
      <c r="AA1528" s="863"/>
      <c r="AB1528" s="756">
        <f t="shared" si="204"/>
        <v>0</v>
      </c>
      <c r="AC1528" s="859"/>
      <c r="AD1528" s="863"/>
      <c r="AE1528" s="859"/>
      <c r="AF1528" s="859"/>
      <c r="AG1528" s="864"/>
      <c r="AH1528" s="865"/>
      <c r="AI1528" s="757">
        <f t="shared" si="208"/>
        <v>0</v>
      </c>
      <c r="AJ1528" s="758">
        <f t="shared" si="209"/>
        <v>0</v>
      </c>
    </row>
    <row r="1529" spans="1:36" x14ac:dyDescent="0.2">
      <c r="A1529" s="990" t="s">
        <v>152</v>
      </c>
      <c r="B1529" s="991" t="s">
        <v>288</v>
      </c>
      <c r="C1529" s="996" t="s">
        <v>794</v>
      </c>
      <c r="D1529" s="997"/>
      <c r="E1529" s="994"/>
      <c r="F1529" s="995"/>
      <c r="G1529" s="859"/>
      <c r="H1529" s="860"/>
      <c r="I1529" s="861"/>
      <c r="J1529" s="862"/>
      <c r="K1529" s="859"/>
      <c r="L1529" s="863"/>
      <c r="M1529" s="859"/>
      <c r="N1529" s="859"/>
      <c r="O1529" s="752">
        <f t="shared" si="202"/>
        <v>0</v>
      </c>
      <c r="P1529" s="862"/>
      <c r="Q1529" s="860"/>
      <c r="R1529" s="753">
        <f t="shared" si="205"/>
        <v>0</v>
      </c>
      <c r="S1529" s="752">
        <f t="shared" si="206"/>
        <v>0</v>
      </c>
      <c r="T1529" s="754">
        <f t="shared" si="207"/>
        <v>0</v>
      </c>
      <c r="U1529" s="859">
        <v>0</v>
      </c>
      <c r="V1529" s="1007">
        <v>0</v>
      </c>
      <c r="W1529" s="859"/>
      <c r="X1529" s="859"/>
      <c r="Y1529" s="755">
        <f t="shared" si="203"/>
        <v>0</v>
      </c>
      <c r="Z1529" s="864"/>
      <c r="AA1529" s="863"/>
      <c r="AB1529" s="756">
        <f t="shared" si="204"/>
        <v>0</v>
      </c>
      <c r="AC1529" s="859"/>
      <c r="AD1529" s="863"/>
      <c r="AE1529" s="859"/>
      <c r="AF1529" s="859"/>
      <c r="AG1529" s="864"/>
      <c r="AH1529" s="865"/>
      <c r="AI1529" s="757">
        <f t="shared" si="208"/>
        <v>0</v>
      </c>
      <c r="AJ1529" s="758">
        <f t="shared" si="209"/>
        <v>0</v>
      </c>
    </row>
    <row r="1530" spans="1:36" x14ac:dyDescent="0.2">
      <c r="A1530" s="990" t="s">
        <v>152</v>
      </c>
      <c r="B1530" s="991" t="s">
        <v>288</v>
      </c>
      <c r="C1530" s="996" t="s">
        <v>650</v>
      </c>
      <c r="D1530" s="997"/>
      <c r="E1530" s="994"/>
      <c r="F1530" s="995"/>
      <c r="G1530" s="859"/>
      <c r="H1530" s="860"/>
      <c r="I1530" s="861"/>
      <c r="J1530" s="862"/>
      <c r="K1530" s="859"/>
      <c r="L1530" s="863"/>
      <c r="M1530" s="859"/>
      <c r="N1530" s="859"/>
      <c r="O1530" s="752">
        <f t="shared" si="202"/>
        <v>0</v>
      </c>
      <c r="P1530" s="862"/>
      <c r="Q1530" s="860"/>
      <c r="R1530" s="753">
        <f t="shared" si="205"/>
        <v>0</v>
      </c>
      <c r="S1530" s="752">
        <f t="shared" si="206"/>
        <v>0</v>
      </c>
      <c r="T1530" s="754">
        <f t="shared" si="207"/>
        <v>0</v>
      </c>
      <c r="U1530" s="859">
        <v>340400</v>
      </c>
      <c r="V1530" s="1007">
        <v>367200</v>
      </c>
      <c r="W1530" s="859"/>
      <c r="X1530" s="859"/>
      <c r="Y1530" s="755">
        <f t="shared" si="203"/>
        <v>0</v>
      </c>
      <c r="Z1530" s="864"/>
      <c r="AA1530" s="863"/>
      <c r="AB1530" s="756">
        <f t="shared" si="204"/>
        <v>0</v>
      </c>
      <c r="AC1530" s="859"/>
      <c r="AD1530" s="863"/>
      <c r="AE1530" s="859"/>
      <c r="AF1530" s="859"/>
      <c r="AG1530" s="864"/>
      <c r="AH1530" s="865"/>
      <c r="AI1530" s="757">
        <f t="shared" si="208"/>
        <v>340400</v>
      </c>
      <c r="AJ1530" s="758">
        <f t="shared" si="209"/>
        <v>367200</v>
      </c>
    </row>
    <row r="1531" spans="1:36" x14ac:dyDescent="0.2">
      <c r="A1531" s="990" t="s">
        <v>152</v>
      </c>
      <c r="B1531" s="991" t="s">
        <v>288</v>
      </c>
      <c r="C1531" s="996" t="s">
        <v>795</v>
      </c>
      <c r="D1531" s="997"/>
      <c r="E1531" s="994"/>
      <c r="F1531" s="995"/>
      <c r="G1531" s="859"/>
      <c r="H1531" s="860"/>
      <c r="I1531" s="861"/>
      <c r="J1531" s="862"/>
      <c r="K1531" s="859"/>
      <c r="L1531" s="863"/>
      <c r="M1531" s="859"/>
      <c r="N1531" s="859"/>
      <c r="O1531" s="752">
        <f t="shared" si="202"/>
        <v>0</v>
      </c>
      <c r="P1531" s="862"/>
      <c r="Q1531" s="860"/>
      <c r="R1531" s="753">
        <f t="shared" si="205"/>
        <v>0</v>
      </c>
      <c r="S1531" s="752">
        <f t="shared" si="206"/>
        <v>0</v>
      </c>
      <c r="T1531" s="754">
        <f t="shared" si="207"/>
        <v>0</v>
      </c>
      <c r="U1531" s="859">
        <v>14800</v>
      </c>
      <c r="V1531" s="1007">
        <v>0</v>
      </c>
      <c r="W1531" s="859"/>
      <c r="X1531" s="859"/>
      <c r="Y1531" s="755">
        <f t="shared" si="203"/>
        <v>0</v>
      </c>
      <c r="Z1531" s="864"/>
      <c r="AA1531" s="863"/>
      <c r="AB1531" s="756">
        <f t="shared" si="204"/>
        <v>0</v>
      </c>
      <c r="AC1531" s="859"/>
      <c r="AD1531" s="863"/>
      <c r="AE1531" s="859"/>
      <c r="AF1531" s="859"/>
      <c r="AG1531" s="864"/>
      <c r="AH1531" s="865"/>
      <c r="AI1531" s="757">
        <f t="shared" si="208"/>
        <v>14800</v>
      </c>
      <c r="AJ1531" s="758">
        <f t="shared" si="209"/>
        <v>0</v>
      </c>
    </row>
    <row r="1532" spans="1:36" x14ac:dyDescent="0.2">
      <c r="A1532" s="990" t="s">
        <v>152</v>
      </c>
      <c r="B1532" s="991" t="s">
        <v>289</v>
      </c>
      <c r="C1532" s="999" t="s">
        <v>573</v>
      </c>
      <c r="D1532" s="997"/>
      <c r="E1532" s="994"/>
      <c r="F1532" s="995"/>
      <c r="G1532" s="859"/>
      <c r="H1532" s="860"/>
      <c r="I1532" s="861"/>
      <c r="J1532" s="862"/>
      <c r="K1532" s="859"/>
      <c r="L1532" s="863"/>
      <c r="M1532" s="859"/>
      <c r="N1532" s="859"/>
      <c r="O1532" s="752">
        <f t="shared" si="202"/>
        <v>0</v>
      </c>
      <c r="P1532" s="862"/>
      <c r="Q1532" s="860"/>
      <c r="R1532" s="753">
        <f t="shared" si="205"/>
        <v>0</v>
      </c>
      <c r="S1532" s="752">
        <f t="shared" si="206"/>
        <v>0</v>
      </c>
      <c r="T1532" s="754">
        <f t="shared" si="207"/>
        <v>0</v>
      </c>
      <c r="U1532" s="859"/>
      <c r="V1532" s="1007"/>
      <c r="W1532" s="859"/>
      <c r="X1532" s="859"/>
      <c r="Y1532" s="755">
        <f t="shared" si="203"/>
        <v>0</v>
      </c>
      <c r="Z1532" s="864"/>
      <c r="AA1532" s="863"/>
      <c r="AB1532" s="756">
        <f t="shared" si="204"/>
        <v>0</v>
      </c>
      <c r="AC1532" s="859"/>
      <c r="AD1532" s="863"/>
      <c r="AE1532" s="859"/>
      <c r="AF1532" s="859"/>
      <c r="AG1532" s="864"/>
      <c r="AH1532" s="865"/>
      <c r="AI1532" s="757">
        <f t="shared" si="208"/>
        <v>0</v>
      </c>
      <c r="AJ1532" s="758">
        <f t="shared" si="209"/>
        <v>0</v>
      </c>
    </row>
    <row r="1533" spans="1:36" x14ac:dyDescent="0.2">
      <c r="A1533" s="990" t="s">
        <v>152</v>
      </c>
      <c r="B1533" s="991" t="s">
        <v>289</v>
      </c>
      <c r="C1533" s="996" t="s">
        <v>796</v>
      </c>
      <c r="D1533" s="997"/>
      <c r="E1533" s="994"/>
      <c r="F1533" s="995"/>
      <c r="G1533" s="859"/>
      <c r="H1533" s="860"/>
      <c r="I1533" s="861"/>
      <c r="J1533" s="862"/>
      <c r="K1533" s="859"/>
      <c r="L1533" s="863"/>
      <c r="M1533" s="859"/>
      <c r="N1533" s="859"/>
      <c r="O1533" s="752">
        <f t="shared" si="202"/>
        <v>0</v>
      </c>
      <c r="P1533" s="862"/>
      <c r="Q1533" s="860"/>
      <c r="R1533" s="753">
        <f t="shared" si="205"/>
        <v>0</v>
      </c>
      <c r="S1533" s="752">
        <f t="shared" si="206"/>
        <v>0</v>
      </c>
      <c r="T1533" s="754">
        <f t="shared" si="207"/>
        <v>0</v>
      </c>
      <c r="U1533" s="859">
        <v>14800</v>
      </c>
      <c r="V1533" s="1007">
        <v>0</v>
      </c>
      <c r="W1533" s="859"/>
      <c r="X1533" s="859"/>
      <c r="Y1533" s="755">
        <f t="shared" si="203"/>
        <v>0</v>
      </c>
      <c r="Z1533" s="864"/>
      <c r="AA1533" s="863"/>
      <c r="AB1533" s="756">
        <f t="shared" si="204"/>
        <v>0</v>
      </c>
      <c r="AC1533" s="859"/>
      <c r="AD1533" s="863"/>
      <c r="AE1533" s="859"/>
      <c r="AF1533" s="859"/>
      <c r="AG1533" s="864"/>
      <c r="AH1533" s="865"/>
      <c r="AI1533" s="757">
        <f t="shared" si="208"/>
        <v>14800</v>
      </c>
      <c r="AJ1533" s="758">
        <f t="shared" si="209"/>
        <v>0</v>
      </c>
    </row>
    <row r="1534" spans="1:36" x14ac:dyDescent="0.2">
      <c r="A1534" s="990" t="s">
        <v>152</v>
      </c>
      <c r="B1534" s="991" t="s">
        <v>289</v>
      </c>
      <c r="C1534" s="996" t="s">
        <v>797</v>
      </c>
      <c r="D1534" s="997"/>
      <c r="E1534" s="994"/>
      <c r="F1534" s="995"/>
      <c r="G1534" s="859"/>
      <c r="H1534" s="860"/>
      <c r="I1534" s="861"/>
      <c r="J1534" s="862"/>
      <c r="K1534" s="859"/>
      <c r="L1534" s="863"/>
      <c r="M1534" s="859"/>
      <c r="N1534" s="859"/>
      <c r="O1534" s="752">
        <f t="shared" si="202"/>
        <v>0</v>
      </c>
      <c r="P1534" s="862"/>
      <c r="Q1534" s="860"/>
      <c r="R1534" s="753">
        <f t="shared" si="205"/>
        <v>0</v>
      </c>
      <c r="S1534" s="752">
        <f t="shared" si="206"/>
        <v>0</v>
      </c>
      <c r="T1534" s="754">
        <f t="shared" si="207"/>
        <v>0</v>
      </c>
      <c r="U1534" s="859">
        <v>118400</v>
      </c>
      <c r="V1534" s="1007">
        <v>168300</v>
      </c>
      <c r="W1534" s="859"/>
      <c r="X1534" s="859"/>
      <c r="Y1534" s="755">
        <f t="shared" si="203"/>
        <v>0</v>
      </c>
      <c r="Z1534" s="864"/>
      <c r="AA1534" s="863"/>
      <c r="AB1534" s="756">
        <f t="shared" si="204"/>
        <v>0</v>
      </c>
      <c r="AC1534" s="859"/>
      <c r="AD1534" s="863"/>
      <c r="AE1534" s="859"/>
      <c r="AF1534" s="859"/>
      <c r="AG1534" s="864"/>
      <c r="AH1534" s="865"/>
      <c r="AI1534" s="757">
        <f t="shared" si="208"/>
        <v>118400</v>
      </c>
      <c r="AJ1534" s="758">
        <f t="shared" si="209"/>
        <v>168300</v>
      </c>
    </row>
    <row r="1535" spans="1:36" x14ac:dyDescent="0.2">
      <c r="A1535" s="990" t="s">
        <v>152</v>
      </c>
      <c r="B1535" s="991" t="s">
        <v>291</v>
      </c>
      <c r="C1535" s="1006" t="s">
        <v>574</v>
      </c>
      <c r="D1535" s="993"/>
      <c r="E1535" s="994"/>
      <c r="F1535" s="995"/>
      <c r="G1535" s="859"/>
      <c r="H1535" s="860"/>
      <c r="I1535" s="861"/>
      <c r="J1535" s="862"/>
      <c r="K1535" s="859"/>
      <c r="L1535" s="863"/>
      <c r="M1535" s="859"/>
      <c r="N1535" s="859"/>
      <c r="O1535" s="752">
        <f t="shared" si="202"/>
        <v>0</v>
      </c>
      <c r="P1535" s="862"/>
      <c r="Q1535" s="860"/>
      <c r="R1535" s="753">
        <f t="shared" si="205"/>
        <v>0</v>
      </c>
      <c r="S1535" s="752">
        <f t="shared" si="206"/>
        <v>0</v>
      </c>
      <c r="T1535" s="754">
        <f t="shared" si="207"/>
        <v>0</v>
      </c>
      <c r="U1535" s="859"/>
      <c r="V1535" s="1007"/>
      <c r="W1535" s="859"/>
      <c r="X1535" s="859"/>
      <c r="Y1535" s="755">
        <f t="shared" si="203"/>
        <v>0</v>
      </c>
      <c r="Z1535" s="864"/>
      <c r="AA1535" s="863"/>
      <c r="AB1535" s="756">
        <f t="shared" si="204"/>
        <v>0</v>
      </c>
      <c r="AC1535" s="859"/>
      <c r="AD1535" s="863"/>
      <c r="AE1535" s="859"/>
      <c r="AF1535" s="859"/>
      <c r="AG1535" s="864"/>
      <c r="AH1535" s="865"/>
      <c r="AI1535" s="757">
        <f t="shared" si="208"/>
        <v>0</v>
      </c>
      <c r="AJ1535" s="758">
        <f t="shared" si="209"/>
        <v>0</v>
      </c>
    </row>
    <row r="1536" spans="1:36" x14ac:dyDescent="0.2">
      <c r="A1536" s="990" t="s">
        <v>152</v>
      </c>
      <c r="B1536" s="1008" t="s">
        <v>292</v>
      </c>
      <c r="C1536" s="1009" t="s">
        <v>34</v>
      </c>
      <c r="D1536" s="1010"/>
      <c r="E1536" s="1011"/>
      <c r="F1536" s="1012"/>
      <c r="G1536" s="859"/>
      <c r="H1536" s="860"/>
      <c r="I1536" s="861"/>
      <c r="J1536" s="862"/>
      <c r="K1536" s="859"/>
      <c r="L1536" s="863"/>
      <c r="M1536" s="859"/>
      <c r="N1536" s="859"/>
      <c r="O1536" s="752">
        <f t="shared" si="202"/>
        <v>0</v>
      </c>
      <c r="P1536" s="862"/>
      <c r="Q1536" s="860"/>
      <c r="R1536" s="753">
        <f t="shared" si="205"/>
        <v>0</v>
      </c>
      <c r="S1536" s="752">
        <f t="shared" si="206"/>
        <v>0</v>
      </c>
      <c r="T1536" s="754">
        <f t="shared" si="207"/>
        <v>0</v>
      </c>
      <c r="U1536" s="859"/>
      <c r="V1536" s="1007"/>
      <c r="W1536" s="859"/>
      <c r="X1536" s="859"/>
      <c r="Y1536" s="755">
        <f t="shared" si="203"/>
        <v>0</v>
      </c>
      <c r="Z1536" s="864"/>
      <c r="AA1536" s="863"/>
      <c r="AB1536" s="756">
        <f t="shared" si="204"/>
        <v>0</v>
      </c>
      <c r="AC1536" s="859"/>
      <c r="AD1536" s="863"/>
      <c r="AE1536" s="859"/>
      <c r="AF1536" s="859"/>
      <c r="AG1536" s="864"/>
      <c r="AH1536" s="865"/>
      <c r="AI1536" s="757">
        <f t="shared" si="208"/>
        <v>0</v>
      </c>
      <c r="AJ1536" s="758">
        <f t="shared" si="209"/>
        <v>0</v>
      </c>
    </row>
    <row r="1537" spans="1:36" x14ac:dyDescent="0.2">
      <c r="A1537" s="990" t="s">
        <v>152</v>
      </c>
      <c r="B1537" s="1008" t="s">
        <v>292</v>
      </c>
      <c r="C1537" s="1013" t="s">
        <v>798</v>
      </c>
      <c r="D1537" s="997"/>
      <c r="E1537" s="1011"/>
      <c r="F1537" s="1012"/>
      <c r="G1537" s="859"/>
      <c r="H1537" s="860"/>
      <c r="I1537" s="861"/>
      <c r="J1537" s="862"/>
      <c r="K1537" s="859"/>
      <c r="L1537" s="863"/>
      <c r="M1537" s="859"/>
      <c r="N1537" s="859"/>
      <c r="O1537" s="752">
        <f t="shared" si="202"/>
        <v>0</v>
      </c>
      <c r="P1537" s="862"/>
      <c r="Q1537" s="860"/>
      <c r="R1537" s="753">
        <f t="shared" si="205"/>
        <v>0</v>
      </c>
      <c r="S1537" s="752">
        <f t="shared" si="206"/>
        <v>0</v>
      </c>
      <c r="T1537" s="754">
        <f t="shared" si="207"/>
        <v>0</v>
      </c>
      <c r="U1537" s="859"/>
      <c r="V1537" s="1007"/>
      <c r="W1537" s="859"/>
      <c r="X1537" s="859"/>
      <c r="Y1537" s="755">
        <f t="shared" si="203"/>
        <v>0</v>
      </c>
      <c r="Z1537" s="864"/>
      <c r="AA1537" s="863"/>
      <c r="AB1537" s="756">
        <f t="shared" si="204"/>
        <v>0</v>
      </c>
      <c r="AC1537" s="859"/>
      <c r="AD1537" s="863"/>
      <c r="AE1537" s="859"/>
      <c r="AF1537" s="859"/>
      <c r="AG1537" s="864"/>
      <c r="AH1537" s="865"/>
      <c r="AI1537" s="757">
        <f t="shared" si="208"/>
        <v>0</v>
      </c>
      <c r="AJ1537" s="758">
        <f t="shared" si="209"/>
        <v>0</v>
      </c>
    </row>
    <row r="1538" spans="1:36" x14ac:dyDescent="0.2">
      <c r="A1538" s="990" t="s">
        <v>152</v>
      </c>
      <c r="B1538" s="1014" t="s">
        <v>209</v>
      </c>
      <c r="C1538" s="1015" t="s">
        <v>576</v>
      </c>
      <c r="D1538" s="1016"/>
      <c r="E1538" s="1017"/>
      <c r="F1538" s="1018"/>
      <c r="G1538" s="859"/>
      <c r="H1538" s="860"/>
      <c r="I1538" s="861"/>
      <c r="J1538" s="862"/>
      <c r="K1538" s="859"/>
      <c r="L1538" s="863"/>
      <c r="M1538" s="859"/>
      <c r="N1538" s="859"/>
      <c r="O1538" s="752">
        <f t="shared" si="202"/>
        <v>0</v>
      </c>
      <c r="P1538" s="862"/>
      <c r="Q1538" s="860"/>
      <c r="R1538" s="753">
        <f t="shared" si="205"/>
        <v>0</v>
      </c>
      <c r="S1538" s="752">
        <f t="shared" si="206"/>
        <v>0</v>
      </c>
      <c r="T1538" s="754">
        <f t="shared" si="207"/>
        <v>0</v>
      </c>
      <c r="U1538" s="859"/>
      <c r="V1538" s="1007"/>
      <c r="W1538" s="859"/>
      <c r="X1538" s="859"/>
      <c r="Y1538" s="755">
        <f t="shared" si="203"/>
        <v>0</v>
      </c>
      <c r="Z1538" s="864"/>
      <c r="AA1538" s="863"/>
      <c r="AB1538" s="756">
        <f t="shared" si="204"/>
        <v>0</v>
      </c>
      <c r="AC1538" s="859"/>
      <c r="AD1538" s="863"/>
      <c r="AE1538" s="859"/>
      <c r="AF1538" s="859"/>
      <c r="AG1538" s="864"/>
      <c r="AH1538" s="865"/>
      <c r="AI1538" s="757">
        <f t="shared" si="208"/>
        <v>0</v>
      </c>
      <c r="AJ1538" s="758">
        <f t="shared" si="209"/>
        <v>0</v>
      </c>
    </row>
    <row r="1539" spans="1:36" x14ac:dyDescent="0.2">
      <c r="A1539" s="990" t="s">
        <v>152</v>
      </c>
      <c r="B1539" s="1019" t="s">
        <v>210</v>
      </c>
      <c r="C1539" s="996" t="s">
        <v>311</v>
      </c>
      <c r="D1539" s="997"/>
      <c r="E1539" s="1011"/>
      <c r="F1539" s="1012"/>
      <c r="G1539" s="859"/>
      <c r="H1539" s="860"/>
      <c r="I1539" s="861"/>
      <c r="J1539" s="862"/>
      <c r="K1539" s="859"/>
      <c r="L1539" s="863"/>
      <c r="M1539" s="859"/>
      <c r="N1539" s="859"/>
      <c r="O1539" s="752">
        <f t="shared" si="202"/>
        <v>0</v>
      </c>
      <c r="P1539" s="862"/>
      <c r="Q1539" s="860"/>
      <c r="R1539" s="753">
        <f t="shared" si="205"/>
        <v>0</v>
      </c>
      <c r="S1539" s="752">
        <f t="shared" si="206"/>
        <v>0</v>
      </c>
      <c r="T1539" s="754">
        <f t="shared" si="207"/>
        <v>0</v>
      </c>
      <c r="U1539" s="859">
        <v>4352527</v>
      </c>
      <c r="V1539" s="1007">
        <v>6725387</v>
      </c>
      <c r="W1539" s="859"/>
      <c r="X1539" s="859"/>
      <c r="Y1539" s="755">
        <f t="shared" si="203"/>
        <v>0</v>
      </c>
      <c r="Z1539" s="864"/>
      <c r="AA1539" s="863"/>
      <c r="AB1539" s="756">
        <f t="shared" si="204"/>
        <v>0</v>
      </c>
      <c r="AC1539" s="859"/>
      <c r="AD1539" s="863"/>
      <c r="AE1539" s="859"/>
      <c r="AF1539" s="859"/>
      <c r="AG1539" s="864"/>
      <c r="AH1539" s="865"/>
      <c r="AI1539" s="757">
        <f t="shared" si="208"/>
        <v>4352527</v>
      </c>
      <c r="AJ1539" s="758">
        <f t="shared" si="209"/>
        <v>6725387</v>
      </c>
    </row>
    <row r="1540" spans="1:36" x14ac:dyDescent="0.2">
      <c r="A1540" s="990" t="s">
        <v>152</v>
      </c>
      <c r="B1540" s="1019" t="s">
        <v>251</v>
      </c>
      <c r="C1540" s="996" t="s">
        <v>249</v>
      </c>
      <c r="D1540" s="997"/>
      <c r="E1540" s="1011"/>
      <c r="F1540" s="1012"/>
      <c r="G1540" s="859"/>
      <c r="H1540" s="860"/>
      <c r="I1540" s="861"/>
      <c r="J1540" s="862"/>
      <c r="K1540" s="859"/>
      <c r="L1540" s="863"/>
      <c r="M1540" s="859"/>
      <c r="N1540" s="859"/>
      <c r="O1540" s="752">
        <f t="shared" si="202"/>
        <v>0</v>
      </c>
      <c r="P1540" s="862"/>
      <c r="Q1540" s="860"/>
      <c r="R1540" s="753">
        <f t="shared" si="205"/>
        <v>0</v>
      </c>
      <c r="S1540" s="752">
        <f t="shared" si="206"/>
        <v>0</v>
      </c>
      <c r="T1540" s="754">
        <f t="shared" si="207"/>
        <v>0</v>
      </c>
      <c r="U1540" s="859"/>
      <c r="V1540" s="1007"/>
      <c r="W1540" s="859"/>
      <c r="X1540" s="859"/>
      <c r="Y1540" s="755">
        <f t="shared" si="203"/>
        <v>0</v>
      </c>
      <c r="Z1540" s="864"/>
      <c r="AA1540" s="863"/>
      <c r="AB1540" s="756">
        <f t="shared" si="204"/>
        <v>0</v>
      </c>
      <c r="AC1540" s="859"/>
      <c r="AD1540" s="863"/>
      <c r="AE1540" s="859"/>
      <c r="AF1540" s="859"/>
      <c r="AG1540" s="864"/>
      <c r="AH1540" s="865"/>
      <c r="AI1540" s="757">
        <f t="shared" si="208"/>
        <v>0</v>
      </c>
      <c r="AJ1540" s="758">
        <f t="shared" si="209"/>
        <v>0</v>
      </c>
    </row>
    <row r="1541" spans="1:36" x14ac:dyDescent="0.2">
      <c r="A1541" s="990" t="s">
        <v>152</v>
      </c>
      <c r="B1541" s="1014" t="s">
        <v>205</v>
      </c>
      <c r="C1541" s="1015" t="s">
        <v>577</v>
      </c>
      <c r="D1541" s="1016"/>
      <c r="E1541" s="1011"/>
      <c r="F1541" s="1012"/>
      <c r="G1541" s="859"/>
      <c r="H1541" s="860"/>
      <c r="I1541" s="861"/>
      <c r="J1541" s="862"/>
      <c r="K1541" s="859"/>
      <c r="L1541" s="863"/>
      <c r="M1541" s="859"/>
      <c r="N1541" s="859"/>
      <c r="O1541" s="752">
        <f t="shared" si="202"/>
        <v>0</v>
      </c>
      <c r="P1541" s="862"/>
      <c r="Q1541" s="860"/>
      <c r="R1541" s="753">
        <f t="shared" si="205"/>
        <v>0</v>
      </c>
      <c r="S1541" s="752">
        <f t="shared" si="206"/>
        <v>0</v>
      </c>
      <c r="T1541" s="754">
        <f t="shared" si="207"/>
        <v>0</v>
      </c>
      <c r="U1541" s="859"/>
      <c r="V1541" s="1007"/>
      <c r="W1541" s="859"/>
      <c r="X1541" s="859"/>
      <c r="Y1541" s="755">
        <f t="shared" si="203"/>
        <v>0</v>
      </c>
      <c r="Z1541" s="864"/>
      <c r="AA1541" s="863"/>
      <c r="AB1541" s="756">
        <f t="shared" si="204"/>
        <v>0</v>
      </c>
      <c r="AC1541" s="859"/>
      <c r="AD1541" s="863"/>
      <c r="AE1541" s="859"/>
      <c r="AF1541" s="859"/>
      <c r="AG1541" s="864"/>
      <c r="AH1541" s="865"/>
      <c r="AI1541" s="757">
        <f t="shared" si="208"/>
        <v>0</v>
      </c>
      <c r="AJ1541" s="758">
        <f t="shared" si="209"/>
        <v>0</v>
      </c>
    </row>
    <row r="1542" spans="1:36" x14ac:dyDescent="0.2">
      <c r="A1542" s="990" t="s">
        <v>152</v>
      </c>
      <c r="B1542" s="1014" t="s">
        <v>218</v>
      </c>
      <c r="C1542" s="996" t="s">
        <v>311</v>
      </c>
      <c r="D1542" s="997"/>
      <c r="E1542" s="1011"/>
      <c r="F1542" s="1012"/>
      <c r="G1542" s="859"/>
      <c r="H1542" s="860"/>
      <c r="I1542" s="861"/>
      <c r="J1542" s="862"/>
      <c r="K1542" s="859"/>
      <c r="L1542" s="863"/>
      <c r="M1542" s="859"/>
      <c r="N1542" s="859"/>
      <c r="O1542" s="752">
        <f t="shared" si="202"/>
        <v>0</v>
      </c>
      <c r="P1542" s="862"/>
      <c r="Q1542" s="860"/>
      <c r="R1542" s="753">
        <f t="shared" si="205"/>
        <v>0</v>
      </c>
      <c r="S1542" s="752">
        <f t="shared" si="206"/>
        <v>0</v>
      </c>
      <c r="T1542" s="754">
        <f t="shared" si="207"/>
        <v>0</v>
      </c>
      <c r="U1542" s="859">
        <v>501228</v>
      </c>
      <c r="V1542" s="1007">
        <v>761222</v>
      </c>
      <c r="W1542" s="859"/>
      <c r="X1542" s="859"/>
      <c r="Y1542" s="755">
        <f t="shared" si="203"/>
        <v>0</v>
      </c>
      <c r="Z1542" s="864"/>
      <c r="AA1542" s="863"/>
      <c r="AB1542" s="756">
        <f t="shared" si="204"/>
        <v>0</v>
      </c>
      <c r="AC1542" s="859"/>
      <c r="AD1542" s="863"/>
      <c r="AE1542" s="859"/>
      <c r="AF1542" s="859"/>
      <c r="AG1542" s="864"/>
      <c r="AH1542" s="865"/>
      <c r="AI1542" s="757">
        <f t="shared" si="208"/>
        <v>501228</v>
      </c>
      <c r="AJ1542" s="758">
        <f t="shared" si="209"/>
        <v>761222</v>
      </c>
    </row>
    <row r="1543" spans="1:36" x14ac:dyDescent="0.2">
      <c r="A1543" s="990" t="s">
        <v>152</v>
      </c>
      <c r="B1543" s="1019" t="s">
        <v>251</v>
      </c>
      <c r="C1543" s="996" t="s">
        <v>249</v>
      </c>
      <c r="D1543" s="997"/>
      <c r="E1543" s="1011"/>
      <c r="F1543" s="1012"/>
      <c r="G1543" s="859"/>
      <c r="H1543" s="860"/>
      <c r="I1543" s="861"/>
      <c r="J1543" s="862"/>
      <c r="K1543" s="859"/>
      <c r="L1543" s="863"/>
      <c r="M1543" s="859"/>
      <c r="N1543" s="859"/>
      <c r="O1543" s="752">
        <f t="shared" si="202"/>
        <v>0</v>
      </c>
      <c r="P1543" s="862"/>
      <c r="Q1543" s="860"/>
      <c r="R1543" s="753">
        <f t="shared" si="205"/>
        <v>0</v>
      </c>
      <c r="S1543" s="752">
        <f t="shared" si="206"/>
        <v>0</v>
      </c>
      <c r="T1543" s="754">
        <f t="shared" si="207"/>
        <v>0</v>
      </c>
      <c r="U1543" s="859"/>
      <c r="V1543" s="1007"/>
      <c r="W1543" s="859"/>
      <c r="X1543" s="859"/>
      <c r="Y1543" s="755">
        <f t="shared" si="203"/>
        <v>0</v>
      </c>
      <c r="Z1543" s="864"/>
      <c r="AA1543" s="863"/>
      <c r="AB1543" s="756">
        <f t="shared" si="204"/>
        <v>0</v>
      </c>
      <c r="AC1543" s="859"/>
      <c r="AD1543" s="863"/>
      <c r="AE1543" s="859"/>
      <c r="AF1543" s="859"/>
      <c r="AG1543" s="864"/>
      <c r="AH1543" s="865"/>
      <c r="AI1543" s="757">
        <f t="shared" si="208"/>
        <v>0</v>
      </c>
      <c r="AJ1543" s="758">
        <f t="shared" si="209"/>
        <v>0</v>
      </c>
    </row>
    <row r="1544" spans="1:36" x14ac:dyDescent="0.2">
      <c r="A1544" s="990" t="s">
        <v>152</v>
      </c>
      <c r="B1544" s="1019" t="s">
        <v>292</v>
      </c>
      <c r="C1544" s="1013" t="s">
        <v>799</v>
      </c>
      <c r="D1544" s="997"/>
      <c r="E1544" s="1011"/>
      <c r="F1544" s="1012"/>
      <c r="G1544" s="859"/>
      <c r="H1544" s="860"/>
      <c r="I1544" s="861"/>
      <c r="J1544" s="862"/>
      <c r="K1544" s="859"/>
      <c r="L1544" s="863"/>
      <c r="M1544" s="859"/>
      <c r="N1544" s="859"/>
      <c r="O1544" s="752">
        <f t="shared" si="202"/>
        <v>0</v>
      </c>
      <c r="P1544" s="862"/>
      <c r="Q1544" s="860"/>
      <c r="R1544" s="753">
        <f t="shared" si="205"/>
        <v>0</v>
      </c>
      <c r="S1544" s="752">
        <f t="shared" si="206"/>
        <v>0</v>
      </c>
      <c r="T1544" s="754">
        <f t="shared" si="207"/>
        <v>0</v>
      </c>
      <c r="U1544" s="859"/>
      <c r="V1544" s="1007"/>
      <c r="W1544" s="859"/>
      <c r="X1544" s="859"/>
      <c r="Y1544" s="755">
        <f t="shared" si="203"/>
        <v>0</v>
      </c>
      <c r="Z1544" s="864"/>
      <c r="AA1544" s="863"/>
      <c r="AB1544" s="756">
        <f t="shared" si="204"/>
        <v>0</v>
      </c>
      <c r="AC1544" s="859"/>
      <c r="AD1544" s="863"/>
      <c r="AE1544" s="859"/>
      <c r="AF1544" s="859"/>
      <c r="AG1544" s="864"/>
      <c r="AH1544" s="865"/>
      <c r="AI1544" s="757">
        <f t="shared" si="208"/>
        <v>0</v>
      </c>
      <c r="AJ1544" s="758">
        <f t="shared" si="209"/>
        <v>0</v>
      </c>
    </row>
    <row r="1545" spans="1:36" x14ac:dyDescent="0.2">
      <c r="A1545" s="990" t="s">
        <v>152</v>
      </c>
      <c r="B1545" s="1014" t="s">
        <v>209</v>
      </c>
      <c r="C1545" s="1015" t="s">
        <v>576</v>
      </c>
      <c r="D1545" s="1016"/>
      <c r="E1545" s="1011"/>
      <c r="F1545" s="1012"/>
      <c r="G1545" s="859"/>
      <c r="H1545" s="860"/>
      <c r="I1545" s="861"/>
      <c r="J1545" s="862"/>
      <c r="K1545" s="859"/>
      <c r="L1545" s="863"/>
      <c r="M1545" s="859"/>
      <c r="N1545" s="859"/>
      <c r="O1545" s="752">
        <f t="shared" si="202"/>
        <v>0</v>
      </c>
      <c r="P1545" s="862"/>
      <c r="Q1545" s="860"/>
      <c r="R1545" s="753">
        <f t="shared" si="205"/>
        <v>0</v>
      </c>
      <c r="S1545" s="752">
        <f t="shared" si="206"/>
        <v>0</v>
      </c>
      <c r="T1545" s="754">
        <f t="shared" si="207"/>
        <v>0</v>
      </c>
      <c r="U1545" s="859"/>
      <c r="V1545" s="1007"/>
      <c r="W1545" s="859"/>
      <c r="X1545" s="859"/>
      <c r="Y1545" s="755">
        <f t="shared" si="203"/>
        <v>0</v>
      </c>
      <c r="Z1545" s="864"/>
      <c r="AA1545" s="863"/>
      <c r="AB1545" s="756">
        <f t="shared" si="204"/>
        <v>0</v>
      </c>
      <c r="AC1545" s="859"/>
      <c r="AD1545" s="863"/>
      <c r="AE1545" s="859"/>
      <c r="AF1545" s="859"/>
      <c r="AG1545" s="864"/>
      <c r="AH1545" s="865"/>
      <c r="AI1545" s="757">
        <f t="shared" si="208"/>
        <v>0</v>
      </c>
      <c r="AJ1545" s="758">
        <f t="shared" si="209"/>
        <v>0</v>
      </c>
    </row>
    <row r="1546" spans="1:36" x14ac:dyDescent="0.2">
      <c r="A1546" s="990" t="s">
        <v>152</v>
      </c>
      <c r="B1546" s="1019" t="s">
        <v>210</v>
      </c>
      <c r="C1546" s="996" t="s">
        <v>800</v>
      </c>
      <c r="D1546" s="997"/>
      <c r="E1546" s="1011"/>
      <c r="F1546" s="1012"/>
      <c r="G1546" s="859"/>
      <c r="H1546" s="860"/>
      <c r="I1546" s="861"/>
      <c r="J1546" s="862"/>
      <c r="K1546" s="859"/>
      <c r="L1546" s="863"/>
      <c r="M1546" s="859"/>
      <c r="N1546" s="859"/>
      <c r="O1546" s="752">
        <f t="shared" si="202"/>
        <v>0</v>
      </c>
      <c r="P1546" s="862"/>
      <c r="Q1546" s="860"/>
      <c r="R1546" s="753">
        <f t="shared" si="205"/>
        <v>0</v>
      </c>
      <c r="S1546" s="752">
        <f t="shared" si="206"/>
        <v>0</v>
      </c>
      <c r="T1546" s="754">
        <f t="shared" si="207"/>
        <v>0</v>
      </c>
      <c r="U1546" s="859">
        <v>149351</v>
      </c>
      <c r="V1546" s="1007">
        <v>8440</v>
      </c>
      <c r="W1546" s="859"/>
      <c r="X1546" s="859"/>
      <c r="Y1546" s="755">
        <f t="shared" si="203"/>
        <v>0</v>
      </c>
      <c r="Z1546" s="864"/>
      <c r="AA1546" s="863"/>
      <c r="AB1546" s="756">
        <f t="shared" si="204"/>
        <v>0</v>
      </c>
      <c r="AC1546" s="859"/>
      <c r="AD1546" s="863"/>
      <c r="AE1546" s="859"/>
      <c r="AF1546" s="859"/>
      <c r="AG1546" s="864"/>
      <c r="AH1546" s="865"/>
      <c r="AI1546" s="757">
        <f t="shared" si="208"/>
        <v>149351</v>
      </c>
      <c r="AJ1546" s="758">
        <f t="shared" si="209"/>
        <v>8440</v>
      </c>
    </row>
    <row r="1547" spans="1:36" x14ac:dyDescent="0.2">
      <c r="A1547" s="990" t="s">
        <v>152</v>
      </c>
      <c r="B1547" s="1019" t="s">
        <v>251</v>
      </c>
      <c r="C1547" s="996" t="s">
        <v>801</v>
      </c>
      <c r="D1547" s="997"/>
      <c r="E1547" s="1011"/>
      <c r="F1547" s="1012"/>
      <c r="G1547" s="859"/>
      <c r="H1547" s="860"/>
      <c r="I1547" s="861"/>
      <c r="J1547" s="862"/>
      <c r="K1547" s="859"/>
      <c r="L1547" s="863"/>
      <c r="M1547" s="859"/>
      <c r="N1547" s="859"/>
      <c r="O1547" s="752">
        <f t="shared" ref="O1547:O1610" si="210">SUM(M1547:N1547)</f>
        <v>0</v>
      </c>
      <c r="P1547" s="862"/>
      <c r="Q1547" s="860"/>
      <c r="R1547" s="753">
        <f t="shared" si="205"/>
        <v>0</v>
      </c>
      <c r="S1547" s="752">
        <f t="shared" si="206"/>
        <v>0</v>
      </c>
      <c r="T1547" s="754">
        <f t="shared" si="207"/>
        <v>0</v>
      </c>
      <c r="U1547" s="859">
        <v>18750</v>
      </c>
      <c r="V1547" s="1007">
        <v>19500</v>
      </c>
      <c r="W1547" s="859"/>
      <c r="X1547" s="859"/>
      <c r="Y1547" s="755">
        <f t="shared" ref="Y1547:Y1610" si="211">SUM(W1547:X1547)</f>
        <v>0</v>
      </c>
      <c r="Z1547" s="864"/>
      <c r="AA1547" s="863"/>
      <c r="AB1547" s="756">
        <f t="shared" ref="AB1547:AB1610" si="212">SUM(Z1547:AA1547)</f>
        <v>0</v>
      </c>
      <c r="AC1547" s="859"/>
      <c r="AD1547" s="863"/>
      <c r="AE1547" s="859"/>
      <c r="AF1547" s="859"/>
      <c r="AG1547" s="864"/>
      <c r="AH1547" s="865"/>
      <c r="AI1547" s="757">
        <f t="shared" si="208"/>
        <v>18750</v>
      </c>
      <c r="AJ1547" s="758">
        <f t="shared" si="209"/>
        <v>19500</v>
      </c>
    </row>
    <row r="1548" spans="1:36" x14ac:dyDescent="0.2">
      <c r="A1548" s="990" t="s">
        <v>152</v>
      </c>
      <c r="B1548" s="1014" t="s">
        <v>205</v>
      </c>
      <c r="C1548" s="1015" t="s">
        <v>577</v>
      </c>
      <c r="D1548" s="1016"/>
      <c r="E1548" s="1011"/>
      <c r="F1548" s="1012"/>
      <c r="G1548" s="859"/>
      <c r="H1548" s="860"/>
      <c r="I1548" s="861"/>
      <c r="J1548" s="862"/>
      <c r="K1548" s="859"/>
      <c r="L1548" s="863"/>
      <c r="M1548" s="859"/>
      <c r="N1548" s="859"/>
      <c r="O1548" s="752">
        <f t="shared" si="210"/>
        <v>0</v>
      </c>
      <c r="P1548" s="862"/>
      <c r="Q1548" s="860"/>
      <c r="R1548" s="753">
        <f t="shared" ref="R1548:R1611" si="213">SUM(P1548:Q1548)</f>
        <v>0</v>
      </c>
      <c r="S1548" s="752">
        <f t="shared" ref="S1548:S1611" si="214">SUM(G1548,I1548,K1548,M1548)</f>
        <v>0</v>
      </c>
      <c r="T1548" s="754">
        <f t="shared" ref="T1548:T1611" si="215">SUM(H1548,J1548,L1548,P1548)</f>
        <v>0</v>
      </c>
      <c r="U1548" s="859"/>
      <c r="V1548" s="1007"/>
      <c r="W1548" s="859"/>
      <c r="X1548" s="859"/>
      <c r="Y1548" s="755">
        <f t="shared" si="211"/>
        <v>0</v>
      </c>
      <c r="Z1548" s="864"/>
      <c r="AA1548" s="863"/>
      <c r="AB1548" s="756">
        <f t="shared" si="212"/>
        <v>0</v>
      </c>
      <c r="AC1548" s="859"/>
      <c r="AD1548" s="863"/>
      <c r="AE1548" s="859"/>
      <c r="AF1548" s="859"/>
      <c r="AG1548" s="864"/>
      <c r="AH1548" s="865"/>
      <c r="AI1548" s="757">
        <f t="shared" ref="AI1548:AI1611" si="216">SUM(S1548,U1548,W1548,AC1548,AE1548)</f>
        <v>0</v>
      </c>
      <c r="AJ1548" s="758">
        <f t="shared" ref="AJ1548:AJ1611" si="217">SUM(T1548,V1548,Z1548,AD1548,AG1548)</f>
        <v>0</v>
      </c>
    </row>
    <row r="1549" spans="1:36" x14ac:dyDescent="0.2">
      <c r="A1549" s="990" t="s">
        <v>152</v>
      </c>
      <c r="B1549" s="1014" t="s">
        <v>218</v>
      </c>
      <c r="C1549" s="996" t="s">
        <v>800</v>
      </c>
      <c r="D1549" s="997"/>
      <c r="E1549" s="1011"/>
      <c r="F1549" s="1012"/>
      <c r="G1549" s="859"/>
      <c r="H1549" s="860"/>
      <c r="I1549" s="861"/>
      <c r="J1549" s="862"/>
      <c r="K1549" s="859"/>
      <c r="L1549" s="863"/>
      <c r="M1549" s="859"/>
      <c r="N1549" s="859"/>
      <c r="O1549" s="752">
        <f t="shared" si="210"/>
        <v>0</v>
      </c>
      <c r="P1549" s="862"/>
      <c r="Q1549" s="860"/>
      <c r="R1549" s="753">
        <f t="shared" si="213"/>
        <v>0</v>
      </c>
      <c r="S1549" s="752">
        <f t="shared" si="214"/>
        <v>0</v>
      </c>
      <c r="T1549" s="754">
        <f t="shared" si="215"/>
        <v>0</v>
      </c>
      <c r="U1549" s="859">
        <v>2775</v>
      </c>
      <c r="V1549" s="1007">
        <v>0</v>
      </c>
      <c r="W1549" s="859"/>
      <c r="X1549" s="859"/>
      <c r="Y1549" s="755">
        <f t="shared" si="211"/>
        <v>0</v>
      </c>
      <c r="Z1549" s="864"/>
      <c r="AA1549" s="863"/>
      <c r="AB1549" s="756">
        <f t="shared" si="212"/>
        <v>0</v>
      </c>
      <c r="AC1549" s="859"/>
      <c r="AD1549" s="863"/>
      <c r="AE1549" s="859"/>
      <c r="AF1549" s="859"/>
      <c r="AG1549" s="864"/>
      <c r="AH1549" s="865"/>
      <c r="AI1549" s="757">
        <f t="shared" si="216"/>
        <v>2775</v>
      </c>
      <c r="AJ1549" s="758">
        <f t="shared" si="217"/>
        <v>0</v>
      </c>
    </row>
    <row r="1550" spans="1:36" x14ac:dyDescent="0.2">
      <c r="A1550" s="990" t="s">
        <v>152</v>
      </c>
      <c r="B1550" s="1019" t="s">
        <v>251</v>
      </c>
      <c r="C1550" s="996" t="s">
        <v>801</v>
      </c>
      <c r="D1550" s="997"/>
      <c r="E1550" s="1011"/>
      <c r="F1550" s="1012"/>
      <c r="G1550" s="859"/>
      <c r="H1550" s="860"/>
      <c r="I1550" s="861"/>
      <c r="J1550" s="862"/>
      <c r="K1550" s="859"/>
      <c r="L1550" s="863"/>
      <c r="M1550" s="859"/>
      <c r="N1550" s="859"/>
      <c r="O1550" s="752">
        <f t="shared" si="210"/>
        <v>0</v>
      </c>
      <c r="P1550" s="862"/>
      <c r="Q1550" s="860"/>
      <c r="R1550" s="753">
        <f t="shared" si="213"/>
        <v>0</v>
      </c>
      <c r="S1550" s="752">
        <f t="shared" si="214"/>
        <v>0</v>
      </c>
      <c r="T1550" s="754">
        <f t="shared" si="215"/>
        <v>0</v>
      </c>
      <c r="U1550" s="859">
        <v>1500</v>
      </c>
      <c r="V1550" s="1007">
        <v>1000</v>
      </c>
      <c r="W1550" s="859"/>
      <c r="X1550" s="859"/>
      <c r="Y1550" s="755">
        <f t="shared" si="211"/>
        <v>0</v>
      </c>
      <c r="Z1550" s="864"/>
      <c r="AA1550" s="863"/>
      <c r="AB1550" s="756">
        <f t="shared" si="212"/>
        <v>0</v>
      </c>
      <c r="AC1550" s="859"/>
      <c r="AD1550" s="863"/>
      <c r="AE1550" s="859"/>
      <c r="AF1550" s="859"/>
      <c r="AG1550" s="864"/>
      <c r="AH1550" s="865"/>
      <c r="AI1550" s="757">
        <f t="shared" si="216"/>
        <v>1500</v>
      </c>
      <c r="AJ1550" s="758">
        <f t="shared" si="217"/>
        <v>1000</v>
      </c>
    </row>
    <row r="1551" spans="1:36" x14ac:dyDescent="0.2">
      <c r="A1551" s="990" t="s">
        <v>152</v>
      </c>
      <c r="B1551" s="1019" t="s">
        <v>292</v>
      </c>
      <c r="C1551" s="1013" t="s">
        <v>802</v>
      </c>
      <c r="D1551" s="997"/>
      <c r="E1551" s="1011"/>
      <c r="F1551" s="1012"/>
      <c r="G1551" s="859"/>
      <c r="H1551" s="860"/>
      <c r="I1551" s="861"/>
      <c r="J1551" s="862"/>
      <c r="K1551" s="859"/>
      <c r="L1551" s="863"/>
      <c r="M1551" s="859"/>
      <c r="N1551" s="859"/>
      <c r="O1551" s="752">
        <f t="shared" si="210"/>
        <v>0</v>
      </c>
      <c r="P1551" s="862"/>
      <c r="Q1551" s="860"/>
      <c r="R1551" s="753">
        <f t="shared" si="213"/>
        <v>0</v>
      </c>
      <c r="S1551" s="752">
        <f t="shared" si="214"/>
        <v>0</v>
      </c>
      <c r="T1551" s="754">
        <f t="shared" si="215"/>
        <v>0</v>
      </c>
      <c r="U1551" s="859"/>
      <c r="V1551" s="1007"/>
      <c r="W1551" s="859"/>
      <c r="X1551" s="859"/>
      <c r="Y1551" s="755">
        <f t="shared" si="211"/>
        <v>0</v>
      </c>
      <c r="Z1551" s="864"/>
      <c r="AA1551" s="863"/>
      <c r="AB1551" s="756">
        <f t="shared" si="212"/>
        <v>0</v>
      </c>
      <c r="AC1551" s="859"/>
      <c r="AD1551" s="863"/>
      <c r="AE1551" s="859"/>
      <c r="AF1551" s="859"/>
      <c r="AG1551" s="864"/>
      <c r="AH1551" s="865"/>
      <c r="AI1551" s="757">
        <f t="shared" si="216"/>
        <v>0</v>
      </c>
      <c r="AJ1551" s="758">
        <f t="shared" si="217"/>
        <v>0</v>
      </c>
    </row>
    <row r="1552" spans="1:36" x14ac:dyDescent="0.2">
      <c r="A1552" s="990" t="s">
        <v>152</v>
      </c>
      <c r="B1552" s="1014" t="s">
        <v>209</v>
      </c>
      <c r="C1552" s="1015" t="s">
        <v>576</v>
      </c>
      <c r="D1552" s="1016"/>
      <c r="E1552" s="1011"/>
      <c r="F1552" s="1012"/>
      <c r="G1552" s="859"/>
      <c r="H1552" s="860"/>
      <c r="I1552" s="861"/>
      <c r="J1552" s="862"/>
      <c r="K1552" s="859"/>
      <c r="L1552" s="863"/>
      <c r="M1552" s="859"/>
      <c r="N1552" s="859"/>
      <c r="O1552" s="752">
        <f t="shared" si="210"/>
        <v>0</v>
      </c>
      <c r="P1552" s="862"/>
      <c r="Q1552" s="860"/>
      <c r="R1552" s="753">
        <f t="shared" si="213"/>
        <v>0</v>
      </c>
      <c r="S1552" s="752">
        <f t="shared" si="214"/>
        <v>0</v>
      </c>
      <c r="T1552" s="754">
        <f t="shared" si="215"/>
        <v>0</v>
      </c>
      <c r="U1552" s="859"/>
      <c r="V1552" s="1007"/>
      <c r="W1552" s="859"/>
      <c r="X1552" s="859"/>
      <c r="Y1552" s="755">
        <f t="shared" si="211"/>
        <v>0</v>
      </c>
      <c r="Z1552" s="864"/>
      <c r="AA1552" s="863"/>
      <c r="AB1552" s="756">
        <f t="shared" si="212"/>
        <v>0</v>
      </c>
      <c r="AC1552" s="859"/>
      <c r="AD1552" s="863"/>
      <c r="AE1552" s="859"/>
      <c r="AF1552" s="859"/>
      <c r="AG1552" s="864"/>
      <c r="AH1552" s="865"/>
      <c r="AI1552" s="757">
        <f t="shared" si="216"/>
        <v>0</v>
      </c>
      <c r="AJ1552" s="758">
        <f t="shared" si="217"/>
        <v>0</v>
      </c>
    </row>
    <row r="1553" spans="1:36" x14ac:dyDescent="0.2">
      <c r="A1553" s="990" t="s">
        <v>152</v>
      </c>
      <c r="B1553" s="1019" t="s">
        <v>210</v>
      </c>
      <c r="C1553" s="996" t="s">
        <v>249</v>
      </c>
      <c r="D1553" s="997"/>
      <c r="E1553" s="1011"/>
      <c r="F1553" s="1012"/>
      <c r="G1553" s="859"/>
      <c r="H1553" s="860"/>
      <c r="I1553" s="861"/>
      <c r="J1553" s="862"/>
      <c r="K1553" s="859"/>
      <c r="L1553" s="863"/>
      <c r="M1553" s="859"/>
      <c r="N1553" s="859"/>
      <c r="O1553" s="752">
        <f t="shared" si="210"/>
        <v>0</v>
      </c>
      <c r="P1553" s="862"/>
      <c r="Q1553" s="860"/>
      <c r="R1553" s="753">
        <f t="shared" si="213"/>
        <v>0</v>
      </c>
      <c r="S1553" s="752">
        <f t="shared" si="214"/>
        <v>0</v>
      </c>
      <c r="T1553" s="754">
        <f t="shared" si="215"/>
        <v>0</v>
      </c>
      <c r="U1553" s="859">
        <v>2154390</v>
      </c>
      <c r="V1553" s="1007">
        <v>2422756</v>
      </c>
      <c r="W1553" s="859"/>
      <c r="X1553" s="859"/>
      <c r="Y1553" s="755">
        <f t="shared" si="211"/>
        <v>0</v>
      </c>
      <c r="Z1553" s="864"/>
      <c r="AA1553" s="863"/>
      <c r="AB1553" s="756">
        <f t="shared" si="212"/>
        <v>0</v>
      </c>
      <c r="AC1553" s="859"/>
      <c r="AD1553" s="863"/>
      <c r="AE1553" s="859"/>
      <c r="AF1553" s="859"/>
      <c r="AG1553" s="864"/>
      <c r="AH1553" s="865"/>
      <c r="AI1553" s="757">
        <f t="shared" si="216"/>
        <v>2154390</v>
      </c>
      <c r="AJ1553" s="758">
        <f t="shared" si="217"/>
        <v>2422756</v>
      </c>
    </row>
    <row r="1554" spans="1:36" x14ac:dyDescent="0.2">
      <c r="A1554" s="990" t="s">
        <v>152</v>
      </c>
      <c r="B1554" s="1019" t="s">
        <v>251</v>
      </c>
      <c r="C1554" s="996" t="s">
        <v>803</v>
      </c>
      <c r="D1554" s="997"/>
      <c r="E1554" s="1011"/>
      <c r="F1554" s="1012"/>
      <c r="G1554" s="859"/>
      <c r="H1554" s="860"/>
      <c r="I1554" s="861"/>
      <c r="J1554" s="862"/>
      <c r="K1554" s="859"/>
      <c r="L1554" s="863"/>
      <c r="M1554" s="859"/>
      <c r="N1554" s="859"/>
      <c r="O1554" s="752">
        <f t="shared" si="210"/>
        <v>0</v>
      </c>
      <c r="P1554" s="862"/>
      <c r="Q1554" s="860"/>
      <c r="R1554" s="753">
        <f t="shared" si="213"/>
        <v>0</v>
      </c>
      <c r="S1554" s="752">
        <f t="shared" si="214"/>
        <v>0</v>
      </c>
      <c r="T1554" s="754">
        <f t="shared" si="215"/>
        <v>0</v>
      </c>
      <c r="U1554" s="859">
        <v>338126</v>
      </c>
      <c r="V1554" s="1007">
        <v>503030</v>
      </c>
      <c r="W1554" s="859"/>
      <c r="X1554" s="859"/>
      <c r="Y1554" s="755">
        <f t="shared" si="211"/>
        <v>0</v>
      </c>
      <c r="Z1554" s="864"/>
      <c r="AA1554" s="863"/>
      <c r="AB1554" s="756">
        <f t="shared" si="212"/>
        <v>0</v>
      </c>
      <c r="AC1554" s="859"/>
      <c r="AD1554" s="863"/>
      <c r="AE1554" s="859"/>
      <c r="AF1554" s="859"/>
      <c r="AG1554" s="864"/>
      <c r="AH1554" s="865"/>
      <c r="AI1554" s="757">
        <f t="shared" si="216"/>
        <v>338126</v>
      </c>
      <c r="AJ1554" s="758">
        <f t="shared" si="217"/>
        <v>503030</v>
      </c>
    </row>
    <row r="1555" spans="1:36" x14ac:dyDescent="0.2">
      <c r="A1555" s="990" t="s">
        <v>152</v>
      </c>
      <c r="B1555" s="1019" t="s">
        <v>292</v>
      </c>
      <c r="C1555" s="1013" t="s">
        <v>804</v>
      </c>
      <c r="D1555" s="997"/>
      <c r="E1555" s="1011"/>
      <c r="F1555" s="1012"/>
      <c r="G1555" s="859"/>
      <c r="H1555" s="860"/>
      <c r="I1555" s="861"/>
      <c r="J1555" s="862"/>
      <c r="K1555" s="859"/>
      <c r="L1555" s="863"/>
      <c r="M1555" s="859"/>
      <c r="N1555" s="859"/>
      <c r="O1555" s="752">
        <f t="shared" si="210"/>
        <v>0</v>
      </c>
      <c r="P1555" s="862"/>
      <c r="Q1555" s="860"/>
      <c r="R1555" s="753">
        <f t="shared" si="213"/>
        <v>0</v>
      </c>
      <c r="S1555" s="752">
        <f t="shared" si="214"/>
        <v>0</v>
      </c>
      <c r="T1555" s="754">
        <f t="shared" si="215"/>
        <v>0</v>
      </c>
      <c r="U1555" s="859"/>
      <c r="V1555" s="1007"/>
      <c r="W1555" s="859"/>
      <c r="X1555" s="859"/>
      <c r="Y1555" s="755">
        <f t="shared" si="211"/>
        <v>0</v>
      </c>
      <c r="Z1555" s="864"/>
      <c r="AA1555" s="863"/>
      <c r="AB1555" s="756">
        <f t="shared" si="212"/>
        <v>0</v>
      </c>
      <c r="AC1555" s="859"/>
      <c r="AD1555" s="863"/>
      <c r="AE1555" s="859"/>
      <c r="AF1555" s="859"/>
      <c r="AG1555" s="864"/>
      <c r="AH1555" s="865"/>
      <c r="AI1555" s="757">
        <f t="shared" si="216"/>
        <v>0</v>
      </c>
      <c r="AJ1555" s="758">
        <f t="shared" si="217"/>
        <v>0</v>
      </c>
    </row>
    <row r="1556" spans="1:36" x14ac:dyDescent="0.2">
      <c r="A1556" s="990" t="s">
        <v>152</v>
      </c>
      <c r="B1556" s="1014" t="s">
        <v>209</v>
      </c>
      <c r="C1556" s="1015" t="s">
        <v>576</v>
      </c>
      <c r="D1556" s="1016"/>
      <c r="E1556" s="1011"/>
      <c r="F1556" s="1012"/>
      <c r="G1556" s="859"/>
      <c r="H1556" s="860"/>
      <c r="I1556" s="861"/>
      <c r="J1556" s="862"/>
      <c r="K1556" s="859"/>
      <c r="L1556" s="863"/>
      <c r="M1556" s="859"/>
      <c r="N1556" s="859"/>
      <c r="O1556" s="752">
        <f t="shared" si="210"/>
        <v>0</v>
      </c>
      <c r="P1556" s="862"/>
      <c r="Q1556" s="860"/>
      <c r="R1556" s="753">
        <f t="shared" si="213"/>
        <v>0</v>
      </c>
      <c r="S1556" s="752">
        <f t="shared" si="214"/>
        <v>0</v>
      </c>
      <c r="T1556" s="754">
        <f t="shared" si="215"/>
        <v>0</v>
      </c>
      <c r="U1556" s="859"/>
      <c r="V1556" s="1007"/>
      <c r="W1556" s="859"/>
      <c r="X1556" s="859"/>
      <c r="Y1556" s="755">
        <f t="shared" si="211"/>
        <v>0</v>
      </c>
      <c r="Z1556" s="864"/>
      <c r="AA1556" s="863"/>
      <c r="AB1556" s="756">
        <f t="shared" si="212"/>
        <v>0</v>
      </c>
      <c r="AC1556" s="859"/>
      <c r="AD1556" s="863"/>
      <c r="AE1556" s="859"/>
      <c r="AF1556" s="859"/>
      <c r="AG1556" s="864"/>
      <c r="AH1556" s="865"/>
      <c r="AI1556" s="757">
        <f t="shared" si="216"/>
        <v>0</v>
      </c>
      <c r="AJ1556" s="758">
        <f t="shared" si="217"/>
        <v>0</v>
      </c>
    </row>
    <row r="1557" spans="1:36" x14ac:dyDescent="0.2">
      <c r="A1557" s="990" t="s">
        <v>152</v>
      </c>
      <c r="B1557" s="1019" t="s">
        <v>204</v>
      </c>
      <c r="C1557" s="996" t="s">
        <v>249</v>
      </c>
      <c r="D1557" s="997"/>
      <c r="E1557" s="1011"/>
      <c r="F1557" s="1012"/>
      <c r="G1557" s="859"/>
      <c r="H1557" s="860"/>
      <c r="I1557" s="861"/>
      <c r="J1557" s="862"/>
      <c r="K1557" s="859"/>
      <c r="L1557" s="863"/>
      <c r="M1557" s="859"/>
      <c r="N1557" s="859"/>
      <c r="O1557" s="752">
        <f t="shared" si="210"/>
        <v>0</v>
      </c>
      <c r="P1557" s="862"/>
      <c r="Q1557" s="860"/>
      <c r="R1557" s="753">
        <f t="shared" si="213"/>
        <v>0</v>
      </c>
      <c r="S1557" s="752">
        <f t="shared" si="214"/>
        <v>0</v>
      </c>
      <c r="T1557" s="754">
        <f t="shared" si="215"/>
        <v>0</v>
      </c>
      <c r="U1557" s="859"/>
      <c r="V1557" s="1007"/>
      <c r="W1557" s="859"/>
      <c r="X1557" s="859"/>
      <c r="Y1557" s="755">
        <f t="shared" si="211"/>
        <v>0</v>
      </c>
      <c r="Z1557" s="864"/>
      <c r="AA1557" s="863"/>
      <c r="AB1557" s="756">
        <f t="shared" si="212"/>
        <v>0</v>
      </c>
      <c r="AC1557" s="859"/>
      <c r="AD1557" s="863"/>
      <c r="AE1557" s="859"/>
      <c r="AF1557" s="859"/>
      <c r="AG1557" s="864"/>
      <c r="AH1557" s="865"/>
      <c r="AI1557" s="757">
        <f t="shared" si="216"/>
        <v>0</v>
      </c>
      <c r="AJ1557" s="758">
        <f t="shared" si="217"/>
        <v>0</v>
      </c>
    </row>
    <row r="1558" spans="1:36" x14ac:dyDescent="0.2">
      <c r="A1558" s="990" t="s">
        <v>152</v>
      </c>
      <c r="B1558" s="1019" t="s">
        <v>204</v>
      </c>
      <c r="C1558" s="996" t="s">
        <v>249</v>
      </c>
      <c r="D1558" s="997"/>
      <c r="E1558" s="1011"/>
      <c r="F1558" s="1012"/>
      <c r="G1558" s="859"/>
      <c r="H1558" s="860"/>
      <c r="I1558" s="861"/>
      <c r="J1558" s="862"/>
      <c r="K1558" s="859"/>
      <c r="L1558" s="863"/>
      <c r="M1558" s="859"/>
      <c r="N1558" s="859"/>
      <c r="O1558" s="752">
        <f t="shared" si="210"/>
        <v>0</v>
      </c>
      <c r="P1558" s="862"/>
      <c r="Q1558" s="860"/>
      <c r="R1558" s="753">
        <f t="shared" si="213"/>
        <v>0</v>
      </c>
      <c r="S1558" s="752">
        <f t="shared" si="214"/>
        <v>0</v>
      </c>
      <c r="T1558" s="754">
        <f t="shared" si="215"/>
        <v>0</v>
      </c>
      <c r="U1558" s="859">
        <v>12625636</v>
      </c>
      <c r="V1558" s="1007">
        <v>12814638</v>
      </c>
      <c r="W1558" s="859"/>
      <c r="X1558" s="859"/>
      <c r="Y1558" s="755">
        <f t="shared" si="211"/>
        <v>0</v>
      </c>
      <c r="Z1558" s="864"/>
      <c r="AA1558" s="863"/>
      <c r="AB1558" s="756">
        <f t="shared" si="212"/>
        <v>0</v>
      </c>
      <c r="AC1558" s="859"/>
      <c r="AD1558" s="863"/>
      <c r="AE1558" s="859"/>
      <c r="AF1558" s="859"/>
      <c r="AG1558" s="864"/>
      <c r="AH1558" s="865"/>
      <c r="AI1558" s="757">
        <f t="shared" si="216"/>
        <v>12625636</v>
      </c>
      <c r="AJ1558" s="758">
        <f t="shared" si="217"/>
        <v>12814638</v>
      </c>
    </row>
    <row r="1559" spans="1:36" x14ac:dyDescent="0.2">
      <c r="A1559" s="990" t="s">
        <v>152</v>
      </c>
      <c r="B1559" s="1014" t="s">
        <v>205</v>
      </c>
      <c r="C1559" s="1015" t="s">
        <v>577</v>
      </c>
      <c r="D1559" s="1016"/>
      <c r="E1559" s="1011"/>
      <c r="F1559" s="1012"/>
      <c r="G1559" s="859"/>
      <c r="H1559" s="860"/>
      <c r="I1559" s="861"/>
      <c r="J1559" s="862"/>
      <c r="K1559" s="859"/>
      <c r="L1559" s="863"/>
      <c r="M1559" s="859"/>
      <c r="N1559" s="859"/>
      <c r="O1559" s="752">
        <f t="shared" si="210"/>
        <v>0</v>
      </c>
      <c r="P1559" s="862"/>
      <c r="Q1559" s="860"/>
      <c r="R1559" s="753">
        <f t="shared" si="213"/>
        <v>0</v>
      </c>
      <c r="S1559" s="752">
        <f t="shared" si="214"/>
        <v>0</v>
      </c>
      <c r="T1559" s="754">
        <f t="shared" si="215"/>
        <v>0</v>
      </c>
      <c r="U1559" s="859"/>
      <c r="V1559" s="1007"/>
      <c r="W1559" s="859"/>
      <c r="X1559" s="859"/>
      <c r="Y1559" s="755">
        <f t="shared" si="211"/>
        <v>0</v>
      </c>
      <c r="Z1559" s="864"/>
      <c r="AA1559" s="863"/>
      <c r="AB1559" s="756">
        <f t="shared" si="212"/>
        <v>0</v>
      </c>
      <c r="AC1559" s="859"/>
      <c r="AD1559" s="863"/>
      <c r="AE1559" s="859"/>
      <c r="AF1559" s="859"/>
      <c r="AG1559" s="864"/>
      <c r="AH1559" s="865"/>
      <c r="AI1559" s="757">
        <f t="shared" si="216"/>
        <v>0</v>
      </c>
      <c r="AJ1559" s="758">
        <f t="shared" si="217"/>
        <v>0</v>
      </c>
    </row>
    <row r="1560" spans="1:36" x14ac:dyDescent="0.2">
      <c r="A1560" s="990" t="s">
        <v>152</v>
      </c>
      <c r="B1560" s="1019" t="s">
        <v>219</v>
      </c>
      <c r="C1560" s="996" t="s">
        <v>249</v>
      </c>
      <c r="D1560" s="997"/>
      <c r="E1560" s="1011"/>
      <c r="F1560" s="1012"/>
      <c r="G1560" s="859"/>
      <c r="H1560" s="860"/>
      <c r="I1560" s="861"/>
      <c r="J1560" s="862"/>
      <c r="K1560" s="859"/>
      <c r="L1560" s="863"/>
      <c r="M1560" s="859"/>
      <c r="N1560" s="859"/>
      <c r="O1560" s="752">
        <f t="shared" si="210"/>
        <v>0</v>
      </c>
      <c r="P1560" s="862"/>
      <c r="Q1560" s="860"/>
      <c r="R1560" s="753">
        <f t="shared" si="213"/>
        <v>0</v>
      </c>
      <c r="S1560" s="752">
        <f t="shared" si="214"/>
        <v>0</v>
      </c>
      <c r="T1560" s="754">
        <f t="shared" si="215"/>
        <v>0</v>
      </c>
      <c r="U1560" s="859">
        <v>1348923</v>
      </c>
      <c r="V1560" s="1007">
        <v>1324350</v>
      </c>
      <c r="W1560" s="859"/>
      <c r="X1560" s="859"/>
      <c r="Y1560" s="755">
        <f t="shared" si="211"/>
        <v>0</v>
      </c>
      <c r="Z1560" s="864"/>
      <c r="AA1560" s="863"/>
      <c r="AB1560" s="756">
        <f t="shared" si="212"/>
        <v>0</v>
      </c>
      <c r="AC1560" s="859"/>
      <c r="AD1560" s="863"/>
      <c r="AE1560" s="859"/>
      <c r="AF1560" s="859"/>
      <c r="AG1560" s="864"/>
      <c r="AH1560" s="865"/>
      <c r="AI1560" s="757">
        <f t="shared" si="216"/>
        <v>1348923</v>
      </c>
      <c r="AJ1560" s="758">
        <f t="shared" si="217"/>
        <v>1324350</v>
      </c>
    </row>
    <row r="1561" spans="1:36" x14ac:dyDescent="0.2">
      <c r="A1561" s="990" t="s">
        <v>152</v>
      </c>
      <c r="B1561" s="1019" t="s">
        <v>204</v>
      </c>
      <c r="C1561" s="1013" t="s">
        <v>805</v>
      </c>
      <c r="D1561" s="997"/>
      <c r="E1561" s="1011"/>
      <c r="F1561" s="1012"/>
      <c r="G1561" s="859"/>
      <c r="H1561" s="860"/>
      <c r="I1561" s="861"/>
      <c r="J1561" s="862"/>
      <c r="K1561" s="859"/>
      <c r="L1561" s="863"/>
      <c r="M1561" s="859"/>
      <c r="N1561" s="859"/>
      <c r="O1561" s="752">
        <f t="shared" si="210"/>
        <v>0</v>
      </c>
      <c r="P1561" s="862"/>
      <c r="Q1561" s="860"/>
      <c r="R1561" s="753">
        <f t="shared" si="213"/>
        <v>0</v>
      </c>
      <c r="S1561" s="752">
        <f t="shared" si="214"/>
        <v>0</v>
      </c>
      <c r="T1561" s="754">
        <f t="shared" si="215"/>
        <v>0</v>
      </c>
      <c r="U1561" s="859"/>
      <c r="V1561" s="1007"/>
      <c r="W1561" s="859"/>
      <c r="X1561" s="859"/>
      <c r="Y1561" s="755">
        <f t="shared" si="211"/>
        <v>0</v>
      </c>
      <c r="Z1561" s="864"/>
      <c r="AA1561" s="863"/>
      <c r="AB1561" s="756">
        <f t="shared" si="212"/>
        <v>0</v>
      </c>
      <c r="AC1561" s="859"/>
      <c r="AD1561" s="863"/>
      <c r="AE1561" s="859"/>
      <c r="AF1561" s="859"/>
      <c r="AG1561" s="864"/>
      <c r="AH1561" s="865"/>
      <c r="AI1561" s="757">
        <f t="shared" si="216"/>
        <v>0</v>
      </c>
      <c r="AJ1561" s="758">
        <f t="shared" si="217"/>
        <v>0</v>
      </c>
    </row>
    <row r="1562" spans="1:36" x14ac:dyDescent="0.2">
      <c r="A1562" s="990" t="s">
        <v>152</v>
      </c>
      <c r="B1562" s="1014" t="s">
        <v>209</v>
      </c>
      <c r="C1562" s="1015" t="s">
        <v>576</v>
      </c>
      <c r="D1562" s="1016"/>
      <c r="E1562" s="1017"/>
      <c r="F1562" s="1018"/>
      <c r="G1562" s="859"/>
      <c r="H1562" s="860"/>
      <c r="I1562" s="861"/>
      <c r="J1562" s="862"/>
      <c r="K1562" s="859"/>
      <c r="L1562" s="863"/>
      <c r="M1562" s="859"/>
      <c r="N1562" s="859"/>
      <c r="O1562" s="752">
        <f t="shared" si="210"/>
        <v>0</v>
      </c>
      <c r="P1562" s="862"/>
      <c r="Q1562" s="860"/>
      <c r="R1562" s="753">
        <f t="shared" si="213"/>
        <v>0</v>
      </c>
      <c r="S1562" s="752">
        <f t="shared" si="214"/>
        <v>0</v>
      </c>
      <c r="T1562" s="754">
        <f t="shared" si="215"/>
        <v>0</v>
      </c>
      <c r="U1562" s="859"/>
      <c r="V1562" s="1007"/>
      <c r="W1562" s="859"/>
      <c r="X1562" s="859"/>
      <c r="Y1562" s="755">
        <f t="shared" si="211"/>
        <v>0</v>
      </c>
      <c r="Z1562" s="864"/>
      <c r="AA1562" s="863"/>
      <c r="AB1562" s="756">
        <f t="shared" si="212"/>
        <v>0</v>
      </c>
      <c r="AC1562" s="859"/>
      <c r="AD1562" s="863"/>
      <c r="AE1562" s="859"/>
      <c r="AF1562" s="859"/>
      <c r="AG1562" s="864"/>
      <c r="AH1562" s="865"/>
      <c r="AI1562" s="757">
        <f t="shared" si="216"/>
        <v>0</v>
      </c>
      <c r="AJ1562" s="758">
        <f t="shared" si="217"/>
        <v>0</v>
      </c>
    </row>
    <row r="1563" spans="1:36" x14ac:dyDescent="0.2">
      <c r="A1563" s="990" t="s">
        <v>152</v>
      </c>
      <c r="B1563" s="1019" t="s">
        <v>252</v>
      </c>
      <c r="C1563" s="996" t="s">
        <v>311</v>
      </c>
      <c r="D1563" s="997"/>
      <c r="E1563" s="1011"/>
      <c r="F1563" s="1012"/>
      <c r="G1563" s="859"/>
      <c r="H1563" s="860"/>
      <c r="I1563" s="861"/>
      <c r="J1563" s="862"/>
      <c r="K1563" s="859"/>
      <c r="L1563" s="863"/>
      <c r="M1563" s="859"/>
      <c r="N1563" s="859"/>
      <c r="O1563" s="752">
        <f t="shared" si="210"/>
        <v>0</v>
      </c>
      <c r="P1563" s="862"/>
      <c r="Q1563" s="860"/>
      <c r="R1563" s="753">
        <f t="shared" si="213"/>
        <v>0</v>
      </c>
      <c r="S1563" s="752">
        <f t="shared" si="214"/>
        <v>0</v>
      </c>
      <c r="T1563" s="754">
        <f t="shared" si="215"/>
        <v>0</v>
      </c>
      <c r="U1563" s="859"/>
      <c r="V1563" s="1007"/>
      <c r="W1563" s="859"/>
      <c r="X1563" s="859"/>
      <c r="Y1563" s="755">
        <f t="shared" si="211"/>
        <v>0</v>
      </c>
      <c r="Z1563" s="864"/>
      <c r="AA1563" s="863"/>
      <c r="AB1563" s="756">
        <f t="shared" si="212"/>
        <v>0</v>
      </c>
      <c r="AC1563" s="859"/>
      <c r="AD1563" s="863"/>
      <c r="AE1563" s="859"/>
      <c r="AF1563" s="859"/>
      <c r="AG1563" s="864"/>
      <c r="AH1563" s="865"/>
      <c r="AI1563" s="757">
        <f t="shared" si="216"/>
        <v>0</v>
      </c>
      <c r="AJ1563" s="758">
        <f t="shared" si="217"/>
        <v>0</v>
      </c>
    </row>
    <row r="1564" spans="1:36" x14ac:dyDescent="0.2">
      <c r="A1564" s="990" t="s">
        <v>152</v>
      </c>
      <c r="B1564" s="1019" t="s">
        <v>253</v>
      </c>
      <c r="C1564" s="996" t="s">
        <v>249</v>
      </c>
      <c r="D1564" s="997"/>
      <c r="E1564" s="1011"/>
      <c r="F1564" s="1012"/>
      <c r="G1564" s="859"/>
      <c r="H1564" s="860"/>
      <c r="I1564" s="861"/>
      <c r="J1564" s="862"/>
      <c r="K1564" s="859"/>
      <c r="L1564" s="863"/>
      <c r="M1564" s="859"/>
      <c r="N1564" s="859"/>
      <c r="O1564" s="752">
        <f t="shared" si="210"/>
        <v>0</v>
      </c>
      <c r="P1564" s="862"/>
      <c r="Q1564" s="860"/>
      <c r="R1564" s="753">
        <f t="shared" si="213"/>
        <v>0</v>
      </c>
      <c r="S1564" s="752">
        <f t="shared" si="214"/>
        <v>0</v>
      </c>
      <c r="T1564" s="754">
        <f t="shared" si="215"/>
        <v>0</v>
      </c>
      <c r="U1564" s="859">
        <v>4479155</v>
      </c>
      <c r="V1564" s="1007">
        <v>4698143</v>
      </c>
      <c r="W1564" s="859"/>
      <c r="X1564" s="859"/>
      <c r="Y1564" s="755">
        <f t="shared" si="211"/>
        <v>0</v>
      </c>
      <c r="Z1564" s="864"/>
      <c r="AA1564" s="863"/>
      <c r="AB1564" s="756">
        <f t="shared" si="212"/>
        <v>0</v>
      </c>
      <c r="AC1564" s="859"/>
      <c r="AD1564" s="863"/>
      <c r="AE1564" s="859"/>
      <c r="AF1564" s="859"/>
      <c r="AG1564" s="864"/>
      <c r="AH1564" s="865"/>
      <c r="AI1564" s="757">
        <f t="shared" si="216"/>
        <v>4479155</v>
      </c>
      <c r="AJ1564" s="758">
        <f t="shared" si="217"/>
        <v>4698143</v>
      </c>
    </row>
    <row r="1565" spans="1:36" x14ac:dyDescent="0.2">
      <c r="A1565" s="990" t="s">
        <v>152</v>
      </c>
      <c r="B1565" s="1014" t="s">
        <v>205</v>
      </c>
      <c r="C1565" s="1015" t="s">
        <v>577</v>
      </c>
      <c r="D1565" s="1016"/>
      <c r="E1565" s="1011"/>
      <c r="F1565" s="1012"/>
      <c r="G1565" s="859"/>
      <c r="H1565" s="860"/>
      <c r="I1565" s="861"/>
      <c r="J1565" s="862"/>
      <c r="K1565" s="859"/>
      <c r="L1565" s="863"/>
      <c r="M1565" s="859"/>
      <c r="N1565" s="859"/>
      <c r="O1565" s="752">
        <f t="shared" si="210"/>
        <v>0</v>
      </c>
      <c r="P1565" s="862"/>
      <c r="Q1565" s="860"/>
      <c r="R1565" s="753">
        <f t="shared" si="213"/>
        <v>0</v>
      </c>
      <c r="S1565" s="752">
        <f t="shared" si="214"/>
        <v>0</v>
      </c>
      <c r="T1565" s="754">
        <f t="shared" si="215"/>
        <v>0</v>
      </c>
      <c r="U1565" s="859"/>
      <c r="V1565" s="1007"/>
      <c r="W1565" s="859"/>
      <c r="X1565" s="859"/>
      <c r="Y1565" s="755">
        <f t="shared" si="211"/>
        <v>0</v>
      </c>
      <c r="Z1565" s="864"/>
      <c r="AA1565" s="863"/>
      <c r="AB1565" s="756">
        <f t="shared" si="212"/>
        <v>0</v>
      </c>
      <c r="AC1565" s="859"/>
      <c r="AD1565" s="863"/>
      <c r="AE1565" s="859"/>
      <c r="AF1565" s="859"/>
      <c r="AG1565" s="864"/>
      <c r="AH1565" s="865"/>
      <c r="AI1565" s="757">
        <f t="shared" si="216"/>
        <v>0</v>
      </c>
      <c r="AJ1565" s="758">
        <f t="shared" si="217"/>
        <v>0</v>
      </c>
    </row>
    <row r="1566" spans="1:36" x14ac:dyDescent="0.2">
      <c r="A1566" s="990" t="s">
        <v>152</v>
      </c>
      <c r="B1566" s="1019" t="s">
        <v>219</v>
      </c>
      <c r="C1566" s="996" t="s">
        <v>249</v>
      </c>
      <c r="D1566" s="997"/>
      <c r="E1566" s="1011"/>
      <c r="F1566" s="1012"/>
      <c r="G1566" s="859"/>
      <c r="H1566" s="860"/>
      <c r="I1566" s="861"/>
      <c r="J1566" s="862"/>
      <c r="K1566" s="859"/>
      <c r="L1566" s="863"/>
      <c r="M1566" s="859"/>
      <c r="N1566" s="859"/>
      <c r="O1566" s="752">
        <f t="shared" si="210"/>
        <v>0</v>
      </c>
      <c r="P1566" s="862"/>
      <c r="Q1566" s="860"/>
      <c r="R1566" s="753">
        <f t="shared" si="213"/>
        <v>0</v>
      </c>
      <c r="S1566" s="752">
        <f t="shared" si="214"/>
        <v>0</v>
      </c>
      <c r="T1566" s="754">
        <f t="shared" si="215"/>
        <v>0</v>
      </c>
      <c r="U1566" s="859">
        <v>733750</v>
      </c>
      <c r="V1566" s="1007">
        <v>699999</v>
      </c>
      <c r="W1566" s="859"/>
      <c r="X1566" s="859"/>
      <c r="Y1566" s="755">
        <f t="shared" si="211"/>
        <v>0</v>
      </c>
      <c r="Z1566" s="864"/>
      <c r="AA1566" s="863"/>
      <c r="AB1566" s="756">
        <f t="shared" si="212"/>
        <v>0</v>
      </c>
      <c r="AC1566" s="859"/>
      <c r="AD1566" s="863"/>
      <c r="AE1566" s="859"/>
      <c r="AF1566" s="859"/>
      <c r="AG1566" s="864"/>
      <c r="AH1566" s="865"/>
      <c r="AI1566" s="757">
        <f t="shared" si="216"/>
        <v>733750</v>
      </c>
      <c r="AJ1566" s="758">
        <f t="shared" si="217"/>
        <v>699999</v>
      </c>
    </row>
    <row r="1567" spans="1:36" x14ac:dyDescent="0.2">
      <c r="A1567" s="990" t="s">
        <v>152</v>
      </c>
      <c r="B1567" s="1014" t="s">
        <v>209</v>
      </c>
      <c r="C1567" s="1013" t="s">
        <v>806</v>
      </c>
      <c r="D1567" s="997"/>
      <c r="E1567" s="1011"/>
      <c r="F1567" s="1012"/>
      <c r="G1567" s="859"/>
      <c r="H1567" s="860"/>
      <c r="I1567" s="861"/>
      <c r="J1567" s="862"/>
      <c r="K1567" s="859"/>
      <c r="L1567" s="863"/>
      <c r="M1567" s="859"/>
      <c r="N1567" s="859"/>
      <c r="O1567" s="752">
        <f t="shared" si="210"/>
        <v>0</v>
      </c>
      <c r="P1567" s="862"/>
      <c r="Q1567" s="860"/>
      <c r="R1567" s="753">
        <f t="shared" si="213"/>
        <v>0</v>
      </c>
      <c r="S1567" s="752">
        <f t="shared" si="214"/>
        <v>0</v>
      </c>
      <c r="T1567" s="754">
        <f t="shared" si="215"/>
        <v>0</v>
      </c>
      <c r="U1567" s="859"/>
      <c r="V1567" s="1007"/>
      <c r="W1567" s="859"/>
      <c r="X1567" s="859"/>
      <c r="Y1567" s="755">
        <f t="shared" si="211"/>
        <v>0</v>
      </c>
      <c r="Z1567" s="864"/>
      <c r="AA1567" s="863"/>
      <c r="AB1567" s="756">
        <f t="shared" si="212"/>
        <v>0</v>
      </c>
      <c r="AC1567" s="859"/>
      <c r="AD1567" s="863"/>
      <c r="AE1567" s="859"/>
      <c r="AF1567" s="859"/>
      <c r="AG1567" s="864"/>
      <c r="AH1567" s="865"/>
      <c r="AI1567" s="757">
        <f t="shared" si="216"/>
        <v>0</v>
      </c>
      <c r="AJ1567" s="758">
        <f t="shared" si="217"/>
        <v>0</v>
      </c>
    </row>
    <row r="1568" spans="1:36" x14ac:dyDescent="0.2">
      <c r="A1568" s="990" t="s">
        <v>152</v>
      </c>
      <c r="B1568" s="1014" t="s">
        <v>209</v>
      </c>
      <c r="C1568" s="1013" t="s">
        <v>807</v>
      </c>
      <c r="D1568" s="997"/>
      <c r="E1568" s="1011"/>
      <c r="F1568" s="1012"/>
      <c r="G1568" s="859"/>
      <c r="H1568" s="860"/>
      <c r="I1568" s="861"/>
      <c r="J1568" s="862"/>
      <c r="K1568" s="859"/>
      <c r="L1568" s="863"/>
      <c r="M1568" s="859"/>
      <c r="N1568" s="859"/>
      <c r="O1568" s="752">
        <f t="shared" si="210"/>
        <v>0</v>
      </c>
      <c r="P1568" s="862"/>
      <c r="Q1568" s="860"/>
      <c r="R1568" s="753">
        <f t="shared" si="213"/>
        <v>0</v>
      </c>
      <c r="S1568" s="752">
        <f t="shared" si="214"/>
        <v>0</v>
      </c>
      <c r="T1568" s="754">
        <f t="shared" si="215"/>
        <v>0</v>
      </c>
      <c r="U1568" s="859">
        <v>572679</v>
      </c>
      <c r="V1568" s="1007">
        <v>590749</v>
      </c>
      <c r="W1568" s="859"/>
      <c r="X1568" s="859"/>
      <c r="Y1568" s="755">
        <f t="shared" si="211"/>
        <v>0</v>
      </c>
      <c r="Z1568" s="864"/>
      <c r="AA1568" s="863"/>
      <c r="AB1568" s="756">
        <f t="shared" si="212"/>
        <v>0</v>
      </c>
      <c r="AC1568" s="859"/>
      <c r="AD1568" s="863"/>
      <c r="AE1568" s="859"/>
      <c r="AF1568" s="859"/>
      <c r="AG1568" s="864"/>
      <c r="AH1568" s="865"/>
      <c r="AI1568" s="757">
        <f t="shared" si="216"/>
        <v>572679</v>
      </c>
      <c r="AJ1568" s="758">
        <f t="shared" si="217"/>
        <v>590749</v>
      </c>
    </row>
    <row r="1569" spans="1:36" x14ac:dyDescent="0.2">
      <c r="A1569" s="990" t="s">
        <v>152</v>
      </c>
      <c r="B1569" s="1014" t="s">
        <v>209</v>
      </c>
      <c r="C1569" s="1015" t="s">
        <v>576</v>
      </c>
      <c r="D1569" s="1016"/>
      <c r="E1569" s="1017"/>
      <c r="F1569" s="1018"/>
      <c r="G1569" s="859"/>
      <c r="H1569" s="860"/>
      <c r="I1569" s="861"/>
      <c r="J1569" s="862"/>
      <c r="K1569" s="859"/>
      <c r="L1569" s="863"/>
      <c r="M1569" s="859"/>
      <c r="N1569" s="859"/>
      <c r="O1569" s="752">
        <f t="shared" si="210"/>
        <v>0</v>
      </c>
      <c r="P1569" s="862"/>
      <c r="Q1569" s="860"/>
      <c r="R1569" s="753">
        <f t="shared" si="213"/>
        <v>0</v>
      </c>
      <c r="S1569" s="752">
        <f t="shared" si="214"/>
        <v>0</v>
      </c>
      <c r="T1569" s="754">
        <f t="shared" si="215"/>
        <v>0</v>
      </c>
      <c r="U1569" s="859"/>
      <c r="V1569" s="1007"/>
      <c r="W1569" s="859"/>
      <c r="X1569" s="859"/>
      <c r="Y1569" s="755">
        <f t="shared" si="211"/>
        <v>0</v>
      </c>
      <c r="Z1569" s="864"/>
      <c r="AA1569" s="863"/>
      <c r="AB1569" s="756">
        <f t="shared" si="212"/>
        <v>0</v>
      </c>
      <c r="AC1569" s="859"/>
      <c r="AD1569" s="863"/>
      <c r="AE1569" s="859"/>
      <c r="AF1569" s="859"/>
      <c r="AG1569" s="864"/>
      <c r="AH1569" s="865"/>
      <c r="AI1569" s="757">
        <f t="shared" si="216"/>
        <v>0</v>
      </c>
      <c r="AJ1569" s="758">
        <f t="shared" si="217"/>
        <v>0</v>
      </c>
    </row>
    <row r="1570" spans="1:36" x14ac:dyDescent="0.2">
      <c r="A1570" s="990" t="s">
        <v>152</v>
      </c>
      <c r="B1570" s="1019" t="s">
        <v>253</v>
      </c>
      <c r="C1570" s="996" t="s">
        <v>249</v>
      </c>
      <c r="D1570" s="997"/>
      <c r="E1570" s="1011"/>
      <c r="F1570" s="1012"/>
      <c r="G1570" s="859"/>
      <c r="H1570" s="860"/>
      <c r="I1570" s="861"/>
      <c r="J1570" s="862"/>
      <c r="K1570" s="859"/>
      <c r="L1570" s="863"/>
      <c r="M1570" s="859"/>
      <c r="N1570" s="859"/>
      <c r="O1570" s="752">
        <f t="shared" si="210"/>
        <v>0</v>
      </c>
      <c r="P1570" s="862"/>
      <c r="Q1570" s="860"/>
      <c r="R1570" s="753">
        <f t="shared" si="213"/>
        <v>0</v>
      </c>
      <c r="S1570" s="752">
        <f t="shared" si="214"/>
        <v>0</v>
      </c>
      <c r="T1570" s="754">
        <f t="shared" si="215"/>
        <v>0</v>
      </c>
      <c r="U1570" s="859">
        <v>2956710</v>
      </c>
      <c r="V1570" s="1007">
        <v>3120586</v>
      </c>
      <c r="W1570" s="859"/>
      <c r="X1570" s="859"/>
      <c r="Y1570" s="755">
        <f t="shared" si="211"/>
        <v>0</v>
      </c>
      <c r="Z1570" s="864"/>
      <c r="AA1570" s="863"/>
      <c r="AB1570" s="756">
        <f t="shared" si="212"/>
        <v>0</v>
      </c>
      <c r="AC1570" s="859"/>
      <c r="AD1570" s="863"/>
      <c r="AE1570" s="859"/>
      <c r="AF1570" s="859"/>
      <c r="AG1570" s="864"/>
      <c r="AH1570" s="865"/>
      <c r="AI1570" s="757">
        <f t="shared" si="216"/>
        <v>2956710</v>
      </c>
      <c r="AJ1570" s="758">
        <f t="shared" si="217"/>
        <v>3120586</v>
      </c>
    </row>
    <row r="1571" spans="1:36" x14ac:dyDescent="0.2">
      <c r="A1571" s="990" t="s">
        <v>152</v>
      </c>
      <c r="B1571" s="1014" t="s">
        <v>205</v>
      </c>
      <c r="C1571" s="996" t="s">
        <v>577</v>
      </c>
      <c r="D1571" s="997"/>
      <c r="E1571" s="1011"/>
      <c r="F1571" s="1012"/>
      <c r="G1571" s="859"/>
      <c r="H1571" s="860"/>
      <c r="I1571" s="861"/>
      <c r="J1571" s="862"/>
      <c r="K1571" s="859"/>
      <c r="L1571" s="863"/>
      <c r="M1571" s="859"/>
      <c r="N1571" s="859"/>
      <c r="O1571" s="752">
        <f t="shared" si="210"/>
        <v>0</v>
      </c>
      <c r="P1571" s="862"/>
      <c r="Q1571" s="860"/>
      <c r="R1571" s="753">
        <f t="shared" si="213"/>
        <v>0</v>
      </c>
      <c r="S1571" s="752">
        <f t="shared" si="214"/>
        <v>0</v>
      </c>
      <c r="T1571" s="754">
        <f t="shared" si="215"/>
        <v>0</v>
      </c>
      <c r="U1571" s="859"/>
      <c r="V1571" s="1007"/>
      <c r="W1571" s="859"/>
      <c r="X1571" s="859"/>
      <c r="Y1571" s="755">
        <f t="shared" si="211"/>
        <v>0</v>
      </c>
      <c r="Z1571" s="864"/>
      <c r="AA1571" s="863"/>
      <c r="AB1571" s="756">
        <f t="shared" si="212"/>
        <v>0</v>
      </c>
      <c r="AC1571" s="859"/>
      <c r="AD1571" s="863"/>
      <c r="AE1571" s="859"/>
      <c r="AF1571" s="859"/>
      <c r="AG1571" s="864"/>
      <c r="AH1571" s="865"/>
      <c r="AI1571" s="757">
        <f t="shared" si="216"/>
        <v>0</v>
      </c>
      <c r="AJ1571" s="758">
        <f t="shared" si="217"/>
        <v>0</v>
      </c>
    </row>
    <row r="1572" spans="1:36" x14ac:dyDescent="0.2">
      <c r="A1572" s="990" t="s">
        <v>152</v>
      </c>
      <c r="B1572" s="1019" t="s">
        <v>219</v>
      </c>
      <c r="C1572" s="996" t="s">
        <v>249</v>
      </c>
      <c r="D1572" s="997"/>
      <c r="E1572" s="1011"/>
      <c r="F1572" s="1012"/>
      <c r="G1572" s="859"/>
      <c r="H1572" s="860"/>
      <c r="I1572" s="861"/>
      <c r="J1572" s="862"/>
      <c r="K1572" s="859"/>
      <c r="L1572" s="863"/>
      <c r="M1572" s="859"/>
      <c r="N1572" s="859"/>
      <c r="O1572" s="752">
        <f t="shared" si="210"/>
        <v>0</v>
      </c>
      <c r="P1572" s="862"/>
      <c r="Q1572" s="860"/>
      <c r="R1572" s="753">
        <f t="shared" si="213"/>
        <v>0</v>
      </c>
      <c r="S1572" s="752">
        <f t="shared" si="214"/>
        <v>0</v>
      </c>
      <c r="T1572" s="754">
        <f t="shared" si="215"/>
        <v>0</v>
      </c>
      <c r="U1572" s="859">
        <v>837362</v>
      </c>
      <c r="V1572" s="1007">
        <v>1162996</v>
      </c>
      <c r="W1572" s="859"/>
      <c r="X1572" s="859"/>
      <c r="Y1572" s="755">
        <f t="shared" si="211"/>
        <v>0</v>
      </c>
      <c r="Z1572" s="864"/>
      <c r="AA1572" s="863"/>
      <c r="AB1572" s="756">
        <f t="shared" si="212"/>
        <v>0</v>
      </c>
      <c r="AC1572" s="859"/>
      <c r="AD1572" s="863"/>
      <c r="AE1572" s="859"/>
      <c r="AF1572" s="859"/>
      <c r="AG1572" s="864"/>
      <c r="AH1572" s="865"/>
      <c r="AI1572" s="757">
        <f t="shared" si="216"/>
        <v>837362</v>
      </c>
      <c r="AJ1572" s="758">
        <f t="shared" si="217"/>
        <v>1162996</v>
      </c>
    </row>
    <row r="1573" spans="1:36" x14ac:dyDescent="0.2">
      <c r="A1573" s="990" t="s">
        <v>152</v>
      </c>
      <c r="B1573" s="1019" t="s">
        <v>293</v>
      </c>
      <c r="C1573" s="1020" t="s">
        <v>588</v>
      </c>
      <c r="D1573" s="1021"/>
      <c r="E1573" s="1011"/>
      <c r="F1573" s="1012"/>
      <c r="G1573" s="859"/>
      <c r="H1573" s="860"/>
      <c r="I1573" s="861"/>
      <c r="J1573" s="862"/>
      <c r="K1573" s="859"/>
      <c r="L1573" s="863"/>
      <c r="M1573" s="859"/>
      <c r="N1573" s="859"/>
      <c r="O1573" s="752">
        <f t="shared" si="210"/>
        <v>0</v>
      </c>
      <c r="P1573" s="862"/>
      <c r="Q1573" s="860"/>
      <c r="R1573" s="753">
        <f t="shared" si="213"/>
        <v>0</v>
      </c>
      <c r="S1573" s="752">
        <f t="shared" si="214"/>
        <v>0</v>
      </c>
      <c r="T1573" s="754">
        <f t="shared" si="215"/>
        <v>0</v>
      </c>
      <c r="U1573" s="859"/>
      <c r="V1573" s="1007"/>
      <c r="W1573" s="859"/>
      <c r="X1573" s="859"/>
      <c r="Y1573" s="755">
        <f t="shared" si="211"/>
        <v>0</v>
      </c>
      <c r="Z1573" s="864"/>
      <c r="AA1573" s="863"/>
      <c r="AB1573" s="756">
        <f t="shared" si="212"/>
        <v>0</v>
      </c>
      <c r="AC1573" s="859"/>
      <c r="AD1573" s="863"/>
      <c r="AE1573" s="859"/>
      <c r="AF1573" s="859"/>
      <c r="AG1573" s="864"/>
      <c r="AH1573" s="865"/>
      <c r="AI1573" s="757">
        <f t="shared" si="216"/>
        <v>0</v>
      </c>
      <c r="AJ1573" s="758">
        <f t="shared" si="217"/>
        <v>0</v>
      </c>
    </row>
    <row r="1574" spans="1:36" x14ac:dyDescent="0.2">
      <c r="A1574" s="990" t="s">
        <v>152</v>
      </c>
      <c r="B1574" s="1019" t="s">
        <v>252</v>
      </c>
      <c r="C1574" s="996" t="s">
        <v>808</v>
      </c>
      <c r="D1574" s="997"/>
      <c r="E1574" s="1011"/>
      <c r="F1574" s="1012"/>
      <c r="G1574" s="859"/>
      <c r="H1574" s="860"/>
      <c r="I1574" s="861"/>
      <c r="J1574" s="862"/>
      <c r="K1574" s="859"/>
      <c r="L1574" s="863"/>
      <c r="M1574" s="859"/>
      <c r="N1574" s="859"/>
      <c r="O1574" s="752">
        <f t="shared" si="210"/>
        <v>0</v>
      </c>
      <c r="P1574" s="862"/>
      <c r="Q1574" s="860"/>
      <c r="R1574" s="753">
        <f t="shared" si="213"/>
        <v>0</v>
      </c>
      <c r="S1574" s="752">
        <f t="shared" si="214"/>
        <v>0</v>
      </c>
      <c r="T1574" s="754">
        <f t="shared" si="215"/>
        <v>0</v>
      </c>
      <c r="U1574" s="859">
        <v>750000</v>
      </c>
      <c r="V1574" s="1007">
        <v>888536</v>
      </c>
      <c r="W1574" s="859"/>
      <c r="X1574" s="859"/>
      <c r="Y1574" s="755">
        <f t="shared" si="211"/>
        <v>0</v>
      </c>
      <c r="Z1574" s="864"/>
      <c r="AA1574" s="863"/>
      <c r="AB1574" s="756">
        <f t="shared" si="212"/>
        <v>0</v>
      </c>
      <c r="AC1574" s="859"/>
      <c r="AD1574" s="863"/>
      <c r="AE1574" s="859"/>
      <c r="AF1574" s="859"/>
      <c r="AG1574" s="864"/>
      <c r="AH1574" s="865"/>
      <c r="AI1574" s="757">
        <f t="shared" si="216"/>
        <v>750000</v>
      </c>
      <c r="AJ1574" s="758">
        <f t="shared" si="217"/>
        <v>888536</v>
      </c>
    </row>
    <row r="1575" spans="1:36" x14ac:dyDescent="0.2">
      <c r="A1575" s="990" t="s">
        <v>152</v>
      </c>
      <c r="B1575" s="1019" t="s">
        <v>253</v>
      </c>
      <c r="C1575" s="996" t="s">
        <v>809</v>
      </c>
      <c r="D1575" s="997"/>
      <c r="E1575" s="1011"/>
      <c r="F1575" s="1012"/>
      <c r="G1575" s="859"/>
      <c r="H1575" s="860"/>
      <c r="I1575" s="861"/>
      <c r="J1575" s="862"/>
      <c r="K1575" s="859"/>
      <c r="L1575" s="863"/>
      <c r="M1575" s="859"/>
      <c r="N1575" s="859"/>
      <c r="O1575" s="752">
        <f t="shared" si="210"/>
        <v>0</v>
      </c>
      <c r="P1575" s="862"/>
      <c r="Q1575" s="860"/>
      <c r="R1575" s="753">
        <f t="shared" si="213"/>
        <v>0</v>
      </c>
      <c r="S1575" s="752">
        <f t="shared" si="214"/>
        <v>0</v>
      </c>
      <c r="T1575" s="754">
        <f t="shared" si="215"/>
        <v>0</v>
      </c>
      <c r="U1575" s="859">
        <v>736874</v>
      </c>
      <c r="V1575" s="1007">
        <v>1268902</v>
      </c>
      <c r="W1575" s="859"/>
      <c r="X1575" s="859"/>
      <c r="Y1575" s="755">
        <f t="shared" si="211"/>
        <v>0</v>
      </c>
      <c r="Z1575" s="864"/>
      <c r="AA1575" s="863"/>
      <c r="AB1575" s="756">
        <f t="shared" si="212"/>
        <v>0</v>
      </c>
      <c r="AC1575" s="859"/>
      <c r="AD1575" s="863"/>
      <c r="AE1575" s="859"/>
      <c r="AF1575" s="859"/>
      <c r="AG1575" s="864"/>
      <c r="AH1575" s="865"/>
      <c r="AI1575" s="757">
        <f t="shared" si="216"/>
        <v>736874</v>
      </c>
      <c r="AJ1575" s="758">
        <f t="shared" si="217"/>
        <v>1268902</v>
      </c>
    </row>
    <row r="1576" spans="1:36" x14ac:dyDescent="0.2">
      <c r="A1576" s="990" t="s">
        <v>152</v>
      </c>
      <c r="B1576" s="1019" t="s">
        <v>293</v>
      </c>
      <c r="C1576" s="1020" t="s">
        <v>591</v>
      </c>
      <c r="D1576" s="1021"/>
      <c r="E1576" s="1011"/>
      <c r="F1576" s="1012"/>
      <c r="G1576" s="859"/>
      <c r="H1576" s="860"/>
      <c r="I1576" s="861"/>
      <c r="J1576" s="862"/>
      <c r="K1576" s="859"/>
      <c r="L1576" s="863"/>
      <c r="M1576" s="859"/>
      <c r="N1576" s="859"/>
      <c r="O1576" s="752">
        <f t="shared" si="210"/>
        <v>0</v>
      </c>
      <c r="P1576" s="862"/>
      <c r="Q1576" s="860"/>
      <c r="R1576" s="753">
        <f t="shared" si="213"/>
        <v>0</v>
      </c>
      <c r="S1576" s="752">
        <f t="shared" si="214"/>
        <v>0</v>
      </c>
      <c r="T1576" s="754">
        <f t="shared" si="215"/>
        <v>0</v>
      </c>
      <c r="U1576" s="859"/>
      <c r="V1576" s="1007"/>
      <c r="W1576" s="859"/>
      <c r="X1576" s="859"/>
      <c r="Y1576" s="755">
        <f t="shared" si="211"/>
        <v>0</v>
      </c>
      <c r="Z1576" s="864"/>
      <c r="AA1576" s="863"/>
      <c r="AB1576" s="756">
        <f t="shared" si="212"/>
        <v>0</v>
      </c>
      <c r="AC1576" s="859"/>
      <c r="AD1576" s="863"/>
      <c r="AE1576" s="859"/>
      <c r="AF1576" s="859"/>
      <c r="AG1576" s="864"/>
      <c r="AH1576" s="865"/>
      <c r="AI1576" s="757">
        <f t="shared" si="216"/>
        <v>0</v>
      </c>
      <c r="AJ1576" s="758">
        <f t="shared" si="217"/>
        <v>0</v>
      </c>
    </row>
    <row r="1577" spans="1:36" x14ac:dyDescent="0.2">
      <c r="A1577" s="990" t="s">
        <v>152</v>
      </c>
      <c r="B1577" s="1019" t="s">
        <v>252</v>
      </c>
      <c r="C1577" s="996" t="s">
        <v>311</v>
      </c>
      <c r="D1577" s="997"/>
      <c r="E1577" s="1011"/>
      <c r="F1577" s="1012"/>
      <c r="G1577" s="859"/>
      <c r="H1577" s="860"/>
      <c r="I1577" s="861"/>
      <c r="J1577" s="862"/>
      <c r="K1577" s="859"/>
      <c r="L1577" s="863"/>
      <c r="M1577" s="859"/>
      <c r="N1577" s="859"/>
      <c r="O1577" s="752">
        <f t="shared" si="210"/>
        <v>0</v>
      </c>
      <c r="P1577" s="862"/>
      <c r="Q1577" s="860"/>
      <c r="R1577" s="753">
        <f t="shared" si="213"/>
        <v>0</v>
      </c>
      <c r="S1577" s="752">
        <f t="shared" si="214"/>
        <v>0</v>
      </c>
      <c r="T1577" s="754">
        <f t="shared" si="215"/>
        <v>0</v>
      </c>
      <c r="U1577" s="859"/>
      <c r="V1577" s="1007"/>
      <c r="W1577" s="859"/>
      <c r="X1577" s="859"/>
      <c r="Y1577" s="755">
        <f t="shared" si="211"/>
        <v>0</v>
      </c>
      <c r="Z1577" s="864"/>
      <c r="AA1577" s="863"/>
      <c r="AB1577" s="756">
        <f t="shared" si="212"/>
        <v>0</v>
      </c>
      <c r="AC1577" s="859"/>
      <c r="AD1577" s="863"/>
      <c r="AE1577" s="859"/>
      <c r="AF1577" s="859"/>
      <c r="AG1577" s="864"/>
      <c r="AH1577" s="865"/>
      <c r="AI1577" s="757">
        <f t="shared" si="216"/>
        <v>0</v>
      </c>
      <c r="AJ1577" s="758">
        <f t="shared" si="217"/>
        <v>0</v>
      </c>
    </row>
    <row r="1578" spans="1:36" x14ac:dyDescent="0.2">
      <c r="A1578" s="990" t="s">
        <v>152</v>
      </c>
      <c r="B1578" s="1019" t="s">
        <v>253</v>
      </c>
      <c r="C1578" s="996" t="s">
        <v>810</v>
      </c>
      <c r="D1578" s="997"/>
      <c r="E1578" s="1011"/>
      <c r="F1578" s="1012"/>
      <c r="G1578" s="859"/>
      <c r="H1578" s="860"/>
      <c r="I1578" s="861"/>
      <c r="J1578" s="862"/>
      <c r="K1578" s="859"/>
      <c r="L1578" s="863"/>
      <c r="M1578" s="859"/>
      <c r="N1578" s="859"/>
      <c r="O1578" s="752">
        <f t="shared" si="210"/>
        <v>0</v>
      </c>
      <c r="P1578" s="862"/>
      <c r="Q1578" s="860"/>
      <c r="R1578" s="753">
        <f t="shared" si="213"/>
        <v>0</v>
      </c>
      <c r="S1578" s="752">
        <f t="shared" si="214"/>
        <v>0</v>
      </c>
      <c r="T1578" s="754">
        <f t="shared" si="215"/>
        <v>0</v>
      </c>
      <c r="U1578" s="859">
        <v>34103</v>
      </c>
      <c r="V1578" s="1007">
        <v>65469</v>
      </c>
      <c r="W1578" s="859"/>
      <c r="X1578" s="859"/>
      <c r="Y1578" s="755">
        <f t="shared" si="211"/>
        <v>0</v>
      </c>
      <c r="Z1578" s="864"/>
      <c r="AA1578" s="863"/>
      <c r="AB1578" s="756">
        <f t="shared" si="212"/>
        <v>0</v>
      </c>
      <c r="AC1578" s="859"/>
      <c r="AD1578" s="863"/>
      <c r="AE1578" s="859"/>
      <c r="AF1578" s="859"/>
      <c r="AG1578" s="864"/>
      <c r="AH1578" s="865"/>
      <c r="AI1578" s="757">
        <f t="shared" si="216"/>
        <v>34103</v>
      </c>
      <c r="AJ1578" s="758">
        <f t="shared" si="217"/>
        <v>65469</v>
      </c>
    </row>
    <row r="1579" spans="1:36" x14ac:dyDescent="0.2">
      <c r="A1579" s="1360" t="s">
        <v>152</v>
      </c>
      <c r="B1579" s="1361" t="s">
        <v>264</v>
      </c>
      <c r="C1579" s="1110" t="s">
        <v>1498</v>
      </c>
      <c r="D1579" s="1111"/>
      <c r="E1579" s="1108">
        <v>175786</v>
      </c>
      <c r="F1579" s="1109">
        <v>8</v>
      </c>
      <c r="G1579" s="859">
        <v>31962657</v>
      </c>
      <c r="H1579" s="860">
        <v>32427323</v>
      </c>
      <c r="I1579" s="861"/>
      <c r="J1579" s="862"/>
      <c r="K1579" s="859">
        <v>10913365</v>
      </c>
      <c r="L1579" s="863">
        <v>10891615</v>
      </c>
      <c r="M1579" s="859">
        <v>26856327</v>
      </c>
      <c r="N1579" s="859"/>
      <c r="O1579" s="752">
        <f t="shared" si="210"/>
        <v>26856327</v>
      </c>
      <c r="P1579" s="862">
        <v>28283932</v>
      </c>
      <c r="Q1579" s="860"/>
      <c r="R1579" s="753">
        <f t="shared" si="213"/>
        <v>28283932</v>
      </c>
      <c r="S1579" s="752">
        <f t="shared" si="214"/>
        <v>69732349</v>
      </c>
      <c r="T1579" s="754">
        <f t="shared" si="215"/>
        <v>71602870</v>
      </c>
      <c r="U1579" s="859"/>
      <c r="V1579" s="863"/>
      <c r="W1579" s="859"/>
      <c r="X1579" s="859"/>
      <c r="Y1579" s="755">
        <f t="shared" si="211"/>
        <v>0</v>
      </c>
      <c r="Z1579" s="864"/>
      <c r="AA1579" s="863"/>
      <c r="AB1579" s="756">
        <f t="shared" si="212"/>
        <v>0</v>
      </c>
      <c r="AC1579" s="859"/>
      <c r="AD1579" s="863"/>
      <c r="AE1579" s="859"/>
      <c r="AF1579" s="859"/>
      <c r="AG1579" s="864"/>
      <c r="AH1579" s="865"/>
      <c r="AI1579" s="757">
        <f t="shared" si="216"/>
        <v>69732349</v>
      </c>
      <c r="AJ1579" s="758">
        <f t="shared" si="217"/>
        <v>71602870</v>
      </c>
    </row>
    <row r="1580" spans="1:36" x14ac:dyDescent="0.2">
      <c r="A1580" s="1360" t="s">
        <v>152</v>
      </c>
      <c r="B1580" s="1361" t="s">
        <v>272</v>
      </c>
      <c r="C1580" s="1362" t="s">
        <v>509</v>
      </c>
      <c r="D1580" s="1363"/>
      <c r="E1580" s="1108">
        <v>175786</v>
      </c>
      <c r="F1580" s="1109">
        <v>8</v>
      </c>
      <c r="G1580" s="859"/>
      <c r="H1580" s="860"/>
      <c r="I1580" s="861"/>
      <c r="J1580" s="862"/>
      <c r="K1580" s="859"/>
      <c r="L1580" s="863"/>
      <c r="M1580" s="859"/>
      <c r="N1580" s="859"/>
      <c r="O1580" s="752">
        <f t="shared" si="210"/>
        <v>0</v>
      </c>
      <c r="P1580" s="862"/>
      <c r="Q1580" s="860"/>
      <c r="R1580" s="753">
        <f t="shared" si="213"/>
        <v>0</v>
      </c>
      <c r="S1580" s="752">
        <f t="shared" si="214"/>
        <v>0</v>
      </c>
      <c r="T1580" s="754">
        <f t="shared" si="215"/>
        <v>0</v>
      </c>
      <c r="U1580" s="859"/>
      <c r="V1580" s="863"/>
      <c r="W1580" s="859"/>
      <c r="X1580" s="859"/>
      <c r="Y1580" s="755">
        <f t="shared" si="211"/>
        <v>0</v>
      </c>
      <c r="Z1580" s="864"/>
      <c r="AA1580" s="863"/>
      <c r="AB1580" s="756">
        <f t="shared" si="212"/>
        <v>0</v>
      </c>
      <c r="AC1580" s="859"/>
      <c r="AD1580" s="863"/>
      <c r="AE1580" s="859"/>
      <c r="AF1580" s="859"/>
      <c r="AG1580" s="864"/>
      <c r="AH1580" s="865"/>
      <c r="AI1580" s="757">
        <f t="shared" si="216"/>
        <v>0</v>
      </c>
      <c r="AJ1580" s="758">
        <f t="shared" si="217"/>
        <v>0</v>
      </c>
    </row>
    <row r="1581" spans="1:36" x14ac:dyDescent="0.2">
      <c r="A1581" s="1360" t="s">
        <v>152</v>
      </c>
      <c r="B1581" s="1361" t="s">
        <v>272</v>
      </c>
      <c r="C1581" s="1364" t="s">
        <v>1499</v>
      </c>
      <c r="D1581" s="1363"/>
      <c r="E1581" s="1108">
        <v>175786</v>
      </c>
      <c r="F1581" s="1109">
        <v>8</v>
      </c>
      <c r="G1581" s="859"/>
      <c r="H1581" s="860"/>
      <c r="I1581" s="861">
        <v>4823579.1100000003</v>
      </c>
      <c r="J1581" s="862">
        <v>4370880</v>
      </c>
      <c r="K1581" s="859"/>
      <c r="L1581" s="863"/>
      <c r="M1581" s="859"/>
      <c r="N1581" s="859"/>
      <c r="O1581" s="752">
        <f t="shared" si="210"/>
        <v>0</v>
      </c>
      <c r="P1581" s="862"/>
      <c r="Q1581" s="860"/>
      <c r="R1581" s="753">
        <f t="shared" si="213"/>
        <v>0</v>
      </c>
      <c r="S1581" s="752">
        <f t="shared" si="214"/>
        <v>4823579.1100000003</v>
      </c>
      <c r="T1581" s="754">
        <f t="shared" si="215"/>
        <v>4370880</v>
      </c>
      <c r="U1581" s="859"/>
      <c r="V1581" s="863"/>
      <c r="W1581" s="859"/>
      <c r="X1581" s="859"/>
      <c r="Y1581" s="755">
        <f t="shared" si="211"/>
        <v>0</v>
      </c>
      <c r="Z1581" s="864"/>
      <c r="AA1581" s="863"/>
      <c r="AB1581" s="756">
        <f t="shared" si="212"/>
        <v>0</v>
      </c>
      <c r="AC1581" s="859"/>
      <c r="AD1581" s="863"/>
      <c r="AE1581" s="859"/>
      <c r="AF1581" s="859"/>
      <c r="AG1581" s="864"/>
      <c r="AH1581" s="865"/>
      <c r="AI1581" s="757">
        <f t="shared" si="216"/>
        <v>4823579.1100000003</v>
      </c>
      <c r="AJ1581" s="758">
        <f t="shared" si="217"/>
        <v>4370880</v>
      </c>
    </row>
    <row r="1582" spans="1:36" x14ac:dyDescent="0.2">
      <c r="A1582" s="1360" t="s">
        <v>152</v>
      </c>
      <c r="B1582" s="1361" t="s">
        <v>264</v>
      </c>
      <c r="C1582" s="1110" t="s">
        <v>1500</v>
      </c>
      <c r="D1582" s="1111"/>
      <c r="E1582" s="1108">
        <v>175829</v>
      </c>
      <c r="F1582" s="1365">
        <v>8</v>
      </c>
      <c r="G1582" s="859">
        <v>19980530</v>
      </c>
      <c r="H1582" s="860">
        <v>19020898</v>
      </c>
      <c r="I1582" s="861"/>
      <c r="J1582" s="862"/>
      <c r="K1582" s="859">
        <v>5403450</v>
      </c>
      <c r="L1582" s="863">
        <v>5393259</v>
      </c>
      <c r="M1582" s="859">
        <v>12886497</v>
      </c>
      <c r="N1582" s="859"/>
      <c r="O1582" s="752">
        <f t="shared" si="210"/>
        <v>12886497</v>
      </c>
      <c r="P1582" s="862">
        <v>13648575</v>
      </c>
      <c r="Q1582" s="860"/>
      <c r="R1582" s="753">
        <f t="shared" si="213"/>
        <v>13648575</v>
      </c>
      <c r="S1582" s="752">
        <f t="shared" si="214"/>
        <v>38270477</v>
      </c>
      <c r="T1582" s="754">
        <f t="shared" si="215"/>
        <v>38062732</v>
      </c>
      <c r="U1582" s="859"/>
      <c r="V1582" s="863"/>
      <c r="W1582" s="859"/>
      <c r="X1582" s="859"/>
      <c r="Y1582" s="755">
        <f t="shared" si="211"/>
        <v>0</v>
      </c>
      <c r="Z1582" s="864"/>
      <c r="AA1582" s="863"/>
      <c r="AB1582" s="756">
        <f t="shared" si="212"/>
        <v>0</v>
      </c>
      <c r="AC1582" s="859"/>
      <c r="AD1582" s="863"/>
      <c r="AE1582" s="859"/>
      <c r="AF1582" s="859"/>
      <c r="AG1582" s="864"/>
      <c r="AH1582" s="865"/>
      <c r="AI1582" s="757">
        <f t="shared" si="216"/>
        <v>38270477</v>
      </c>
      <c r="AJ1582" s="758">
        <f t="shared" si="217"/>
        <v>38062732</v>
      </c>
    </row>
    <row r="1583" spans="1:36" x14ac:dyDescent="0.2">
      <c r="A1583" s="1360" t="s">
        <v>152</v>
      </c>
      <c r="B1583" s="1361" t="s">
        <v>272</v>
      </c>
      <c r="C1583" s="1362" t="s">
        <v>509</v>
      </c>
      <c r="D1583" s="1363"/>
      <c r="E1583" s="1108">
        <v>175829</v>
      </c>
      <c r="F1583" s="1365">
        <v>8</v>
      </c>
      <c r="G1583" s="859"/>
      <c r="H1583" s="860"/>
      <c r="I1583" s="861"/>
      <c r="J1583" s="862"/>
      <c r="K1583" s="859"/>
      <c r="L1583" s="863"/>
      <c r="M1583" s="859"/>
      <c r="N1583" s="859"/>
      <c r="O1583" s="752">
        <f t="shared" si="210"/>
        <v>0</v>
      </c>
      <c r="P1583" s="862"/>
      <c r="Q1583" s="860"/>
      <c r="R1583" s="753">
        <f t="shared" si="213"/>
        <v>0</v>
      </c>
      <c r="S1583" s="752">
        <f t="shared" si="214"/>
        <v>0</v>
      </c>
      <c r="T1583" s="754">
        <f t="shared" si="215"/>
        <v>0</v>
      </c>
      <c r="U1583" s="859"/>
      <c r="V1583" s="863"/>
      <c r="W1583" s="859"/>
      <c r="X1583" s="859"/>
      <c r="Y1583" s="755">
        <f t="shared" si="211"/>
        <v>0</v>
      </c>
      <c r="Z1583" s="864"/>
      <c r="AA1583" s="863"/>
      <c r="AB1583" s="756">
        <f t="shared" si="212"/>
        <v>0</v>
      </c>
      <c r="AC1583" s="859"/>
      <c r="AD1583" s="863"/>
      <c r="AE1583" s="859"/>
      <c r="AF1583" s="859"/>
      <c r="AG1583" s="864"/>
      <c r="AH1583" s="865"/>
      <c r="AI1583" s="757">
        <f t="shared" si="216"/>
        <v>0</v>
      </c>
      <c r="AJ1583" s="758">
        <f t="shared" si="217"/>
        <v>0</v>
      </c>
    </row>
    <row r="1584" spans="1:36" x14ac:dyDescent="0.2">
      <c r="A1584" s="1360" t="s">
        <v>152</v>
      </c>
      <c r="B1584" s="1361" t="s">
        <v>272</v>
      </c>
      <c r="C1584" s="1364" t="s">
        <v>1499</v>
      </c>
      <c r="D1584" s="1363"/>
      <c r="E1584" s="1108">
        <v>175830</v>
      </c>
      <c r="F1584" s="1109">
        <v>8</v>
      </c>
      <c r="G1584" s="859"/>
      <c r="H1584" s="860"/>
      <c r="I1584" s="861">
        <v>1737998</v>
      </c>
      <c r="J1584" s="862">
        <v>1698245</v>
      </c>
      <c r="K1584" s="859"/>
      <c r="L1584" s="863"/>
      <c r="M1584" s="859"/>
      <c r="N1584" s="859"/>
      <c r="O1584" s="752">
        <f t="shared" si="210"/>
        <v>0</v>
      </c>
      <c r="P1584" s="862"/>
      <c r="Q1584" s="860"/>
      <c r="R1584" s="753">
        <f t="shared" si="213"/>
        <v>0</v>
      </c>
      <c r="S1584" s="752">
        <f t="shared" si="214"/>
        <v>1737998</v>
      </c>
      <c r="T1584" s="754">
        <f t="shared" si="215"/>
        <v>1698245</v>
      </c>
      <c r="U1584" s="859"/>
      <c r="V1584" s="863"/>
      <c r="W1584" s="859"/>
      <c r="X1584" s="859"/>
      <c r="Y1584" s="755">
        <f t="shared" si="211"/>
        <v>0</v>
      </c>
      <c r="Z1584" s="864"/>
      <c r="AA1584" s="863"/>
      <c r="AB1584" s="756">
        <f t="shared" si="212"/>
        <v>0</v>
      </c>
      <c r="AC1584" s="859"/>
      <c r="AD1584" s="863"/>
      <c r="AE1584" s="859"/>
      <c r="AF1584" s="859"/>
      <c r="AG1584" s="864"/>
      <c r="AH1584" s="865"/>
      <c r="AI1584" s="757">
        <f t="shared" si="216"/>
        <v>1737998</v>
      </c>
      <c r="AJ1584" s="758">
        <f t="shared" si="217"/>
        <v>1698245</v>
      </c>
    </row>
    <row r="1585" spans="1:36" x14ac:dyDescent="0.2">
      <c r="A1585" s="1360" t="s">
        <v>152</v>
      </c>
      <c r="B1585" s="1361" t="s">
        <v>264</v>
      </c>
      <c r="C1585" s="1366" t="s">
        <v>1501</v>
      </c>
      <c r="D1585" s="1111"/>
      <c r="E1585" s="1108">
        <v>176071</v>
      </c>
      <c r="F1585" s="1109">
        <v>8</v>
      </c>
      <c r="G1585" s="859">
        <v>24832784</v>
      </c>
      <c r="H1585" s="860">
        <v>27185469</v>
      </c>
      <c r="I1585" s="861"/>
      <c r="J1585" s="862"/>
      <c r="K1585" s="859">
        <v>8869426</v>
      </c>
      <c r="L1585" s="863">
        <v>8886531</v>
      </c>
      <c r="M1585" s="859">
        <v>27426798</v>
      </c>
      <c r="N1585" s="859"/>
      <c r="O1585" s="752">
        <f t="shared" si="210"/>
        <v>27426798</v>
      </c>
      <c r="P1585" s="862">
        <v>26833526</v>
      </c>
      <c r="Q1585" s="860"/>
      <c r="R1585" s="753">
        <f t="shared" si="213"/>
        <v>26833526</v>
      </c>
      <c r="S1585" s="752">
        <f t="shared" si="214"/>
        <v>61129008</v>
      </c>
      <c r="T1585" s="754">
        <f t="shared" si="215"/>
        <v>62905526</v>
      </c>
      <c r="U1585" s="859"/>
      <c r="V1585" s="863"/>
      <c r="W1585" s="859"/>
      <c r="X1585" s="859"/>
      <c r="Y1585" s="755">
        <f t="shared" si="211"/>
        <v>0</v>
      </c>
      <c r="Z1585" s="864"/>
      <c r="AA1585" s="863"/>
      <c r="AB1585" s="756">
        <f t="shared" si="212"/>
        <v>0</v>
      </c>
      <c r="AC1585" s="859"/>
      <c r="AD1585" s="863"/>
      <c r="AE1585" s="859"/>
      <c r="AF1585" s="859"/>
      <c r="AG1585" s="864"/>
      <c r="AH1585" s="865"/>
      <c r="AI1585" s="757">
        <f t="shared" si="216"/>
        <v>61129008</v>
      </c>
      <c r="AJ1585" s="758">
        <f t="shared" si="217"/>
        <v>62905526</v>
      </c>
    </row>
    <row r="1586" spans="1:36" x14ac:dyDescent="0.2">
      <c r="A1586" s="1360" t="s">
        <v>152</v>
      </c>
      <c r="B1586" s="1361" t="s">
        <v>272</v>
      </c>
      <c r="C1586" s="1362" t="s">
        <v>509</v>
      </c>
      <c r="D1586" s="1363"/>
      <c r="E1586" s="1108">
        <v>176071</v>
      </c>
      <c r="F1586" s="1109">
        <v>8</v>
      </c>
      <c r="G1586" s="859"/>
      <c r="H1586" s="860"/>
      <c r="I1586" s="861"/>
      <c r="J1586" s="862"/>
      <c r="K1586" s="859"/>
      <c r="L1586" s="863"/>
      <c r="M1586" s="859"/>
      <c r="N1586" s="859"/>
      <c r="O1586" s="752">
        <f t="shared" si="210"/>
        <v>0</v>
      </c>
      <c r="P1586" s="862"/>
      <c r="Q1586" s="860"/>
      <c r="R1586" s="753">
        <f t="shared" si="213"/>
        <v>0</v>
      </c>
      <c r="S1586" s="752">
        <f t="shared" si="214"/>
        <v>0</v>
      </c>
      <c r="T1586" s="754">
        <f t="shared" si="215"/>
        <v>0</v>
      </c>
      <c r="U1586" s="859"/>
      <c r="V1586" s="863"/>
      <c r="W1586" s="859"/>
      <c r="X1586" s="859"/>
      <c r="Y1586" s="755">
        <f t="shared" si="211"/>
        <v>0</v>
      </c>
      <c r="Z1586" s="864"/>
      <c r="AA1586" s="863"/>
      <c r="AB1586" s="756">
        <f t="shared" si="212"/>
        <v>0</v>
      </c>
      <c r="AC1586" s="859"/>
      <c r="AD1586" s="863"/>
      <c r="AE1586" s="859"/>
      <c r="AF1586" s="859"/>
      <c r="AG1586" s="864"/>
      <c r="AH1586" s="865"/>
      <c r="AI1586" s="757">
        <f t="shared" si="216"/>
        <v>0</v>
      </c>
      <c r="AJ1586" s="758">
        <f t="shared" si="217"/>
        <v>0</v>
      </c>
    </row>
    <row r="1587" spans="1:36" x14ac:dyDescent="0.2">
      <c r="A1587" s="1360" t="s">
        <v>152</v>
      </c>
      <c r="B1587" s="1361" t="s">
        <v>272</v>
      </c>
      <c r="C1587" s="1364" t="s">
        <v>1499</v>
      </c>
      <c r="D1587" s="1363"/>
      <c r="E1587" s="1108">
        <v>176071</v>
      </c>
      <c r="F1587" s="1109">
        <v>8</v>
      </c>
      <c r="G1587" s="859"/>
      <c r="H1587" s="860"/>
      <c r="I1587" s="861">
        <v>2837671</v>
      </c>
      <c r="J1587" s="862">
        <v>3241548.46</v>
      </c>
      <c r="K1587" s="859"/>
      <c r="L1587" s="863"/>
      <c r="M1587" s="859"/>
      <c r="N1587" s="859"/>
      <c r="O1587" s="752">
        <f t="shared" si="210"/>
        <v>0</v>
      </c>
      <c r="P1587" s="862"/>
      <c r="Q1587" s="860"/>
      <c r="R1587" s="753">
        <f t="shared" si="213"/>
        <v>0</v>
      </c>
      <c r="S1587" s="752">
        <f t="shared" si="214"/>
        <v>2837671</v>
      </c>
      <c r="T1587" s="754">
        <f t="shared" si="215"/>
        <v>3241548.46</v>
      </c>
      <c r="U1587" s="859"/>
      <c r="V1587" s="863"/>
      <c r="W1587" s="859"/>
      <c r="X1587" s="859"/>
      <c r="Y1587" s="755">
        <f t="shared" si="211"/>
        <v>0</v>
      </c>
      <c r="Z1587" s="864"/>
      <c r="AA1587" s="863"/>
      <c r="AB1587" s="756">
        <f t="shared" si="212"/>
        <v>0</v>
      </c>
      <c r="AC1587" s="859"/>
      <c r="AD1587" s="863"/>
      <c r="AE1587" s="859"/>
      <c r="AF1587" s="859"/>
      <c r="AG1587" s="864"/>
      <c r="AH1587" s="865"/>
      <c r="AI1587" s="757">
        <f t="shared" si="216"/>
        <v>2837671</v>
      </c>
      <c r="AJ1587" s="758">
        <f t="shared" si="217"/>
        <v>3241548.46</v>
      </c>
    </row>
    <row r="1588" spans="1:36" x14ac:dyDescent="0.2">
      <c r="A1588" s="1360" t="s">
        <v>152</v>
      </c>
      <c r="B1588" s="1361" t="s">
        <v>264</v>
      </c>
      <c r="C1588" s="1366" t="s">
        <v>1502</v>
      </c>
      <c r="D1588" s="1111"/>
      <c r="E1588" s="1108">
        <v>176178</v>
      </c>
      <c r="F1588" s="1109">
        <v>8</v>
      </c>
      <c r="G1588" s="859">
        <v>20834919</v>
      </c>
      <c r="H1588" s="860">
        <v>21976052</v>
      </c>
      <c r="I1588" s="861"/>
      <c r="J1588" s="862"/>
      <c r="K1588" s="859">
        <v>5011974</v>
      </c>
      <c r="L1588" s="863">
        <v>5138490</v>
      </c>
      <c r="M1588" s="859">
        <v>15054783</v>
      </c>
      <c r="N1588" s="859"/>
      <c r="O1588" s="752">
        <f t="shared" si="210"/>
        <v>15054783</v>
      </c>
      <c r="P1588" s="862">
        <v>17567374</v>
      </c>
      <c r="Q1588" s="860"/>
      <c r="R1588" s="753">
        <f t="shared" si="213"/>
        <v>17567374</v>
      </c>
      <c r="S1588" s="752">
        <f t="shared" si="214"/>
        <v>40901676</v>
      </c>
      <c r="T1588" s="754">
        <f t="shared" si="215"/>
        <v>44681916</v>
      </c>
      <c r="U1588" s="859"/>
      <c r="V1588" s="863"/>
      <c r="W1588" s="859"/>
      <c r="X1588" s="859"/>
      <c r="Y1588" s="755">
        <f t="shared" si="211"/>
        <v>0</v>
      </c>
      <c r="Z1588" s="864"/>
      <c r="AA1588" s="863"/>
      <c r="AB1588" s="756">
        <f t="shared" si="212"/>
        <v>0</v>
      </c>
      <c r="AC1588" s="859"/>
      <c r="AD1588" s="863"/>
      <c r="AE1588" s="859"/>
      <c r="AF1588" s="859"/>
      <c r="AG1588" s="864"/>
      <c r="AH1588" s="865"/>
      <c r="AI1588" s="757">
        <f t="shared" si="216"/>
        <v>40901676</v>
      </c>
      <c r="AJ1588" s="758">
        <f t="shared" si="217"/>
        <v>44681916</v>
      </c>
    </row>
    <row r="1589" spans="1:36" x14ac:dyDescent="0.2">
      <c r="A1589" s="1360" t="s">
        <v>152</v>
      </c>
      <c r="B1589" s="1361" t="s">
        <v>272</v>
      </c>
      <c r="C1589" s="1362" t="s">
        <v>509</v>
      </c>
      <c r="D1589" s="1363"/>
      <c r="E1589" s="1108">
        <v>176178</v>
      </c>
      <c r="F1589" s="1109">
        <v>8</v>
      </c>
      <c r="G1589" s="859"/>
      <c r="H1589" s="860"/>
      <c r="I1589" s="861"/>
      <c r="J1589" s="862"/>
      <c r="K1589" s="859"/>
      <c r="L1589" s="863"/>
      <c r="M1589" s="859"/>
      <c r="N1589" s="859"/>
      <c r="O1589" s="752">
        <f t="shared" si="210"/>
        <v>0</v>
      </c>
      <c r="P1589" s="862"/>
      <c r="Q1589" s="860"/>
      <c r="R1589" s="753">
        <f t="shared" si="213"/>
        <v>0</v>
      </c>
      <c r="S1589" s="752">
        <f t="shared" si="214"/>
        <v>0</v>
      </c>
      <c r="T1589" s="754">
        <f t="shared" si="215"/>
        <v>0</v>
      </c>
      <c r="U1589" s="859"/>
      <c r="V1589" s="863"/>
      <c r="W1589" s="859"/>
      <c r="X1589" s="859"/>
      <c r="Y1589" s="755">
        <f t="shared" si="211"/>
        <v>0</v>
      </c>
      <c r="Z1589" s="864"/>
      <c r="AA1589" s="863"/>
      <c r="AB1589" s="756">
        <f t="shared" si="212"/>
        <v>0</v>
      </c>
      <c r="AC1589" s="859"/>
      <c r="AD1589" s="863"/>
      <c r="AE1589" s="859"/>
      <c r="AF1589" s="859"/>
      <c r="AG1589" s="864"/>
      <c r="AH1589" s="865"/>
      <c r="AI1589" s="757">
        <f t="shared" si="216"/>
        <v>0</v>
      </c>
      <c r="AJ1589" s="758">
        <f t="shared" si="217"/>
        <v>0</v>
      </c>
    </row>
    <row r="1590" spans="1:36" x14ac:dyDescent="0.2">
      <c r="A1590" s="1360" t="s">
        <v>152</v>
      </c>
      <c r="B1590" s="1361" t="s">
        <v>272</v>
      </c>
      <c r="C1590" s="1364" t="s">
        <v>1499</v>
      </c>
      <c r="D1590" s="1363"/>
      <c r="E1590" s="1108">
        <v>176178</v>
      </c>
      <c r="F1590" s="1109">
        <v>8</v>
      </c>
      <c r="G1590" s="859"/>
      <c r="H1590" s="860"/>
      <c r="I1590" s="861">
        <v>2053554</v>
      </c>
      <c r="J1590" s="862">
        <v>2068295</v>
      </c>
      <c r="K1590" s="859"/>
      <c r="L1590" s="863"/>
      <c r="M1590" s="859"/>
      <c r="N1590" s="859"/>
      <c r="O1590" s="752">
        <f t="shared" si="210"/>
        <v>0</v>
      </c>
      <c r="P1590" s="862"/>
      <c r="Q1590" s="860"/>
      <c r="R1590" s="753">
        <f t="shared" si="213"/>
        <v>0</v>
      </c>
      <c r="S1590" s="752">
        <f t="shared" si="214"/>
        <v>2053554</v>
      </c>
      <c r="T1590" s="754">
        <f t="shared" si="215"/>
        <v>2068295</v>
      </c>
      <c r="U1590" s="859"/>
      <c r="V1590" s="863"/>
      <c r="W1590" s="859"/>
      <c r="X1590" s="859"/>
      <c r="Y1590" s="755">
        <f t="shared" si="211"/>
        <v>0</v>
      </c>
      <c r="Z1590" s="864"/>
      <c r="AA1590" s="863"/>
      <c r="AB1590" s="756">
        <f t="shared" si="212"/>
        <v>0</v>
      </c>
      <c r="AC1590" s="859"/>
      <c r="AD1590" s="863"/>
      <c r="AE1590" s="859"/>
      <c r="AF1590" s="859"/>
      <c r="AG1590" s="864"/>
      <c r="AH1590" s="865"/>
      <c r="AI1590" s="757">
        <f t="shared" si="216"/>
        <v>2053554</v>
      </c>
      <c r="AJ1590" s="758">
        <f t="shared" si="217"/>
        <v>2068295</v>
      </c>
    </row>
    <row r="1591" spans="1:36" x14ac:dyDescent="0.2">
      <c r="A1591" s="1360" t="s">
        <v>152</v>
      </c>
      <c r="B1591" s="1361" t="s">
        <v>264</v>
      </c>
      <c r="C1591" s="1110" t="s">
        <v>1503</v>
      </c>
      <c r="D1591" s="1111"/>
      <c r="E1591" s="1108">
        <v>175573</v>
      </c>
      <c r="F1591" s="1109">
        <v>9</v>
      </c>
      <c r="G1591" s="859">
        <v>10966425</v>
      </c>
      <c r="H1591" s="860">
        <v>11202177</v>
      </c>
      <c r="I1591" s="861"/>
      <c r="J1591" s="862"/>
      <c r="K1591" s="859">
        <v>2337749</v>
      </c>
      <c r="L1591" s="863">
        <v>2332531</v>
      </c>
      <c r="M1591" s="859">
        <v>7436279</v>
      </c>
      <c r="N1591" s="859"/>
      <c r="O1591" s="752">
        <f t="shared" si="210"/>
        <v>7436279</v>
      </c>
      <c r="P1591" s="862">
        <v>7764888</v>
      </c>
      <c r="Q1591" s="860"/>
      <c r="R1591" s="753">
        <f t="shared" si="213"/>
        <v>7764888</v>
      </c>
      <c r="S1591" s="752">
        <f t="shared" si="214"/>
        <v>20740453</v>
      </c>
      <c r="T1591" s="754">
        <f t="shared" si="215"/>
        <v>21299596</v>
      </c>
      <c r="U1591" s="859"/>
      <c r="V1591" s="863"/>
      <c r="W1591" s="859"/>
      <c r="X1591" s="859"/>
      <c r="Y1591" s="755">
        <f t="shared" si="211"/>
        <v>0</v>
      </c>
      <c r="Z1591" s="864"/>
      <c r="AA1591" s="863"/>
      <c r="AB1591" s="756">
        <f t="shared" si="212"/>
        <v>0</v>
      </c>
      <c r="AC1591" s="859"/>
      <c r="AD1591" s="863"/>
      <c r="AE1591" s="859"/>
      <c r="AF1591" s="859"/>
      <c r="AG1591" s="864"/>
      <c r="AH1591" s="865"/>
      <c r="AI1591" s="757">
        <f t="shared" si="216"/>
        <v>20740453</v>
      </c>
      <c r="AJ1591" s="758">
        <f t="shared" si="217"/>
        <v>21299596</v>
      </c>
    </row>
    <row r="1592" spans="1:36" x14ac:dyDescent="0.2">
      <c r="A1592" s="1360" t="s">
        <v>152</v>
      </c>
      <c r="B1592" s="1361" t="s">
        <v>272</v>
      </c>
      <c r="C1592" s="1362" t="s">
        <v>509</v>
      </c>
      <c r="D1592" s="1363"/>
      <c r="E1592" s="1108">
        <v>175573</v>
      </c>
      <c r="F1592" s="1109">
        <v>9</v>
      </c>
      <c r="G1592" s="859"/>
      <c r="H1592" s="860"/>
      <c r="I1592" s="861"/>
      <c r="J1592" s="862"/>
      <c r="K1592" s="859"/>
      <c r="L1592" s="863"/>
      <c r="M1592" s="859"/>
      <c r="N1592" s="859"/>
      <c r="O1592" s="752">
        <f t="shared" si="210"/>
        <v>0</v>
      </c>
      <c r="P1592" s="862"/>
      <c r="Q1592" s="860"/>
      <c r="R1592" s="753">
        <f t="shared" si="213"/>
        <v>0</v>
      </c>
      <c r="S1592" s="752">
        <f t="shared" si="214"/>
        <v>0</v>
      </c>
      <c r="T1592" s="754">
        <f t="shared" si="215"/>
        <v>0</v>
      </c>
      <c r="U1592" s="859"/>
      <c r="V1592" s="863"/>
      <c r="W1592" s="859"/>
      <c r="X1592" s="859"/>
      <c r="Y1592" s="755">
        <f t="shared" si="211"/>
        <v>0</v>
      </c>
      <c r="Z1592" s="864"/>
      <c r="AA1592" s="863"/>
      <c r="AB1592" s="756">
        <f t="shared" si="212"/>
        <v>0</v>
      </c>
      <c r="AC1592" s="859"/>
      <c r="AD1592" s="863"/>
      <c r="AE1592" s="859"/>
      <c r="AF1592" s="859"/>
      <c r="AG1592" s="864"/>
      <c r="AH1592" s="865"/>
      <c r="AI1592" s="757">
        <f t="shared" si="216"/>
        <v>0</v>
      </c>
      <c r="AJ1592" s="758">
        <f t="shared" si="217"/>
        <v>0</v>
      </c>
    </row>
    <row r="1593" spans="1:36" x14ac:dyDescent="0.2">
      <c r="A1593" s="1360" t="s">
        <v>152</v>
      </c>
      <c r="B1593" s="1361" t="s">
        <v>272</v>
      </c>
      <c r="C1593" s="1364" t="s">
        <v>1499</v>
      </c>
      <c r="D1593" s="1363"/>
      <c r="E1593" s="1108">
        <v>175573</v>
      </c>
      <c r="F1593" s="1109">
        <v>9</v>
      </c>
      <c r="G1593" s="859"/>
      <c r="H1593" s="860"/>
      <c r="I1593" s="861">
        <v>1399332.6</v>
      </c>
      <c r="J1593" s="862">
        <v>1263240.75</v>
      </c>
      <c r="K1593" s="859"/>
      <c r="L1593" s="863"/>
      <c r="M1593" s="859"/>
      <c r="N1593" s="859"/>
      <c r="O1593" s="752">
        <f t="shared" si="210"/>
        <v>0</v>
      </c>
      <c r="P1593" s="862"/>
      <c r="Q1593" s="860"/>
      <c r="R1593" s="753">
        <f t="shared" si="213"/>
        <v>0</v>
      </c>
      <c r="S1593" s="752">
        <f t="shared" si="214"/>
        <v>1399332.6</v>
      </c>
      <c r="T1593" s="754">
        <f t="shared" si="215"/>
        <v>1263240.75</v>
      </c>
      <c r="U1593" s="859"/>
      <c r="V1593" s="863"/>
      <c r="W1593" s="859"/>
      <c r="X1593" s="859"/>
      <c r="Y1593" s="755">
        <f t="shared" si="211"/>
        <v>0</v>
      </c>
      <c r="Z1593" s="864"/>
      <c r="AA1593" s="863"/>
      <c r="AB1593" s="756">
        <f t="shared" si="212"/>
        <v>0</v>
      </c>
      <c r="AC1593" s="859"/>
      <c r="AD1593" s="863"/>
      <c r="AE1593" s="859"/>
      <c r="AF1593" s="859"/>
      <c r="AG1593" s="864"/>
      <c r="AH1593" s="865"/>
      <c r="AI1593" s="757">
        <f t="shared" si="216"/>
        <v>1399332.6</v>
      </c>
      <c r="AJ1593" s="758">
        <f t="shared" si="217"/>
        <v>1263240.75</v>
      </c>
    </row>
    <row r="1594" spans="1:36" x14ac:dyDescent="0.2">
      <c r="A1594" s="1360" t="s">
        <v>152</v>
      </c>
      <c r="B1594" s="1361" t="s">
        <v>264</v>
      </c>
      <c r="C1594" s="1366" t="s">
        <v>1504</v>
      </c>
      <c r="D1594" s="1111"/>
      <c r="E1594" s="1108">
        <v>175643</v>
      </c>
      <c r="F1594" s="1109">
        <v>9</v>
      </c>
      <c r="G1594" s="859">
        <v>8912404</v>
      </c>
      <c r="H1594" s="860">
        <v>9454214</v>
      </c>
      <c r="I1594" s="861"/>
      <c r="J1594" s="862"/>
      <c r="K1594" s="859">
        <v>1314122</v>
      </c>
      <c r="L1594" s="863">
        <v>1283765</v>
      </c>
      <c r="M1594" s="859">
        <v>5547235</v>
      </c>
      <c r="N1594" s="859"/>
      <c r="O1594" s="752">
        <f t="shared" si="210"/>
        <v>5547235</v>
      </c>
      <c r="P1594" s="862">
        <v>5608148</v>
      </c>
      <c r="Q1594" s="860"/>
      <c r="R1594" s="753">
        <f t="shared" si="213"/>
        <v>5608148</v>
      </c>
      <c r="S1594" s="752">
        <f t="shared" si="214"/>
        <v>15773761</v>
      </c>
      <c r="T1594" s="754">
        <f t="shared" si="215"/>
        <v>16346127</v>
      </c>
      <c r="U1594" s="859"/>
      <c r="V1594" s="863"/>
      <c r="W1594" s="859"/>
      <c r="X1594" s="859"/>
      <c r="Y1594" s="755">
        <f t="shared" si="211"/>
        <v>0</v>
      </c>
      <c r="Z1594" s="864"/>
      <c r="AA1594" s="863"/>
      <c r="AB1594" s="756">
        <f t="shared" si="212"/>
        <v>0</v>
      </c>
      <c r="AC1594" s="859"/>
      <c r="AD1594" s="863"/>
      <c r="AE1594" s="859"/>
      <c r="AF1594" s="859"/>
      <c r="AG1594" s="864"/>
      <c r="AH1594" s="865"/>
      <c r="AI1594" s="757">
        <f t="shared" si="216"/>
        <v>15773761</v>
      </c>
      <c r="AJ1594" s="758">
        <f t="shared" si="217"/>
        <v>16346127</v>
      </c>
    </row>
    <row r="1595" spans="1:36" x14ac:dyDescent="0.2">
      <c r="A1595" s="1360" t="s">
        <v>152</v>
      </c>
      <c r="B1595" s="1361" t="s">
        <v>272</v>
      </c>
      <c r="C1595" s="1362" t="s">
        <v>509</v>
      </c>
      <c r="D1595" s="1363"/>
      <c r="E1595" s="1108">
        <v>175643</v>
      </c>
      <c r="F1595" s="1109">
        <v>9</v>
      </c>
      <c r="G1595" s="859"/>
      <c r="H1595" s="860"/>
      <c r="I1595" s="861"/>
      <c r="J1595" s="862"/>
      <c r="K1595" s="859"/>
      <c r="L1595" s="863"/>
      <c r="M1595" s="859"/>
      <c r="N1595" s="859"/>
      <c r="O1595" s="752">
        <f t="shared" si="210"/>
        <v>0</v>
      </c>
      <c r="P1595" s="862"/>
      <c r="Q1595" s="860"/>
      <c r="R1595" s="753">
        <f t="shared" si="213"/>
        <v>0</v>
      </c>
      <c r="S1595" s="752">
        <f t="shared" si="214"/>
        <v>0</v>
      </c>
      <c r="T1595" s="754">
        <f t="shared" si="215"/>
        <v>0</v>
      </c>
      <c r="U1595" s="859"/>
      <c r="V1595" s="863"/>
      <c r="W1595" s="859"/>
      <c r="X1595" s="859"/>
      <c r="Y1595" s="755">
        <f t="shared" si="211"/>
        <v>0</v>
      </c>
      <c r="Z1595" s="864"/>
      <c r="AA1595" s="863"/>
      <c r="AB1595" s="756">
        <f t="shared" si="212"/>
        <v>0</v>
      </c>
      <c r="AC1595" s="859"/>
      <c r="AD1595" s="863"/>
      <c r="AE1595" s="859"/>
      <c r="AF1595" s="859"/>
      <c r="AG1595" s="864"/>
      <c r="AH1595" s="865"/>
      <c r="AI1595" s="757">
        <f t="shared" si="216"/>
        <v>0</v>
      </c>
      <c r="AJ1595" s="758">
        <f t="shared" si="217"/>
        <v>0</v>
      </c>
    </row>
    <row r="1596" spans="1:36" x14ac:dyDescent="0.2">
      <c r="A1596" s="1360" t="s">
        <v>152</v>
      </c>
      <c r="B1596" s="1361" t="s">
        <v>272</v>
      </c>
      <c r="C1596" s="1364" t="s">
        <v>1499</v>
      </c>
      <c r="D1596" s="1363"/>
      <c r="E1596" s="1108">
        <v>175643</v>
      </c>
      <c r="F1596" s="1109">
        <v>9</v>
      </c>
      <c r="G1596" s="859"/>
      <c r="H1596" s="860"/>
      <c r="I1596" s="861">
        <v>1054647</v>
      </c>
      <c r="J1596" s="862">
        <v>1087765</v>
      </c>
      <c r="K1596" s="859"/>
      <c r="L1596" s="863"/>
      <c r="M1596" s="859"/>
      <c r="N1596" s="859"/>
      <c r="O1596" s="752">
        <f t="shared" si="210"/>
        <v>0</v>
      </c>
      <c r="P1596" s="862"/>
      <c r="Q1596" s="860"/>
      <c r="R1596" s="753">
        <f t="shared" si="213"/>
        <v>0</v>
      </c>
      <c r="S1596" s="752">
        <f t="shared" si="214"/>
        <v>1054647</v>
      </c>
      <c r="T1596" s="754">
        <f t="shared" si="215"/>
        <v>1087765</v>
      </c>
      <c r="U1596" s="859"/>
      <c r="V1596" s="863"/>
      <c r="W1596" s="859"/>
      <c r="X1596" s="859"/>
      <c r="Y1596" s="755">
        <f t="shared" si="211"/>
        <v>0</v>
      </c>
      <c r="Z1596" s="864"/>
      <c r="AA1596" s="863"/>
      <c r="AB1596" s="756">
        <f t="shared" si="212"/>
        <v>0</v>
      </c>
      <c r="AC1596" s="859"/>
      <c r="AD1596" s="863"/>
      <c r="AE1596" s="859"/>
      <c r="AF1596" s="859"/>
      <c r="AG1596" s="864"/>
      <c r="AH1596" s="865"/>
      <c r="AI1596" s="757">
        <f t="shared" si="216"/>
        <v>1054647</v>
      </c>
      <c r="AJ1596" s="758">
        <f t="shared" si="217"/>
        <v>1087765</v>
      </c>
    </row>
    <row r="1597" spans="1:36" x14ac:dyDescent="0.2">
      <c r="A1597" s="1360" t="s">
        <v>152</v>
      </c>
      <c r="B1597" s="1361" t="s">
        <v>264</v>
      </c>
      <c r="C1597" s="1366" t="s">
        <v>1505</v>
      </c>
      <c r="D1597" s="1367"/>
      <c r="E1597" s="1108">
        <v>175652</v>
      </c>
      <c r="F1597" s="1109">
        <v>9</v>
      </c>
      <c r="G1597" s="859">
        <v>13349241</v>
      </c>
      <c r="H1597" s="860">
        <v>14216616</v>
      </c>
      <c r="I1597" s="861"/>
      <c r="J1597" s="862"/>
      <c r="K1597" s="859">
        <v>1705200</v>
      </c>
      <c r="L1597" s="863">
        <v>1705200</v>
      </c>
      <c r="M1597" s="859">
        <v>15035262</v>
      </c>
      <c r="N1597" s="859"/>
      <c r="O1597" s="752">
        <f t="shared" si="210"/>
        <v>15035262</v>
      </c>
      <c r="P1597" s="862">
        <v>13932026</v>
      </c>
      <c r="Q1597" s="860"/>
      <c r="R1597" s="753">
        <f t="shared" si="213"/>
        <v>13932026</v>
      </c>
      <c r="S1597" s="752">
        <f t="shared" si="214"/>
        <v>30089703</v>
      </c>
      <c r="T1597" s="754">
        <f t="shared" si="215"/>
        <v>29853842</v>
      </c>
      <c r="U1597" s="859"/>
      <c r="V1597" s="863"/>
      <c r="W1597" s="859"/>
      <c r="X1597" s="859"/>
      <c r="Y1597" s="755">
        <f t="shared" si="211"/>
        <v>0</v>
      </c>
      <c r="Z1597" s="864"/>
      <c r="AA1597" s="863"/>
      <c r="AB1597" s="756">
        <f t="shared" si="212"/>
        <v>0</v>
      </c>
      <c r="AC1597" s="859"/>
      <c r="AD1597" s="863"/>
      <c r="AE1597" s="859"/>
      <c r="AF1597" s="859"/>
      <c r="AG1597" s="864"/>
      <c r="AH1597" s="865"/>
      <c r="AI1597" s="757">
        <f t="shared" si="216"/>
        <v>30089703</v>
      </c>
      <c r="AJ1597" s="758">
        <f t="shared" si="217"/>
        <v>29853842</v>
      </c>
    </row>
    <row r="1598" spans="1:36" x14ac:dyDescent="0.2">
      <c r="A1598" s="1360" t="s">
        <v>152</v>
      </c>
      <c r="B1598" s="1361" t="s">
        <v>272</v>
      </c>
      <c r="C1598" s="1362" t="s">
        <v>509</v>
      </c>
      <c r="D1598" s="1363"/>
      <c r="E1598" s="1108">
        <v>175652</v>
      </c>
      <c r="F1598" s="1109">
        <v>9</v>
      </c>
      <c r="G1598" s="859"/>
      <c r="H1598" s="860"/>
      <c r="I1598" s="861"/>
      <c r="J1598" s="862"/>
      <c r="K1598" s="859"/>
      <c r="L1598" s="863"/>
      <c r="M1598" s="859"/>
      <c r="N1598" s="859"/>
      <c r="O1598" s="752">
        <f t="shared" si="210"/>
        <v>0</v>
      </c>
      <c r="P1598" s="862"/>
      <c r="Q1598" s="860"/>
      <c r="R1598" s="753">
        <f t="shared" si="213"/>
        <v>0</v>
      </c>
      <c r="S1598" s="752">
        <f t="shared" si="214"/>
        <v>0</v>
      </c>
      <c r="T1598" s="754">
        <f t="shared" si="215"/>
        <v>0</v>
      </c>
      <c r="U1598" s="859"/>
      <c r="V1598" s="863"/>
      <c r="W1598" s="859"/>
      <c r="X1598" s="859"/>
      <c r="Y1598" s="755">
        <f t="shared" si="211"/>
        <v>0</v>
      </c>
      <c r="Z1598" s="864"/>
      <c r="AA1598" s="863"/>
      <c r="AB1598" s="756">
        <f t="shared" si="212"/>
        <v>0</v>
      </c>
      <c r="AC1598" s="859"/>
      <c r="AD1598" s="863"/>
      <c r="AE1598" s="859"/>
      <c r="AF1598" s="859"/>
      <c r="AG1598" s="864"/>
      <c r="AH1598" s="865"/>
      <c r="AI1598" s="757">
        <f t="shared" si="216"/>
        <v>0</v>
      </c>
      <c r="AJ1598" s="758">
        <f t="shared" si="217"/>
        <v>0</v>
      </c>
    </row>
    <row r="1599" spans="1:36" x14ac:dyDescent="0.2">
      <c r="A1599" s="1360" t="s">
        <v>152</v>
      </c>
      <c r="B1599" s="1361" t="s">
        <v>272</v>
      </c>
      <c r="C1599" s="1364" t="s">
        <v>1499</v>
      </c>
      <c r="D1599" s="1363"/>
      <c r="E1599" s="1108">
        <v>175652</v>
      </c>
      <c r="F1599" s="1109">
        <v>9</v>
      </c>
      <c r="G1599" s="859"/>
      <c r="H1599" s="860"/>
      <c r="I1599" s="861">
        <v>1063798.06</v>
      </c>
      <c r="J1599" s="862">
        <v>1138549.03</v>
      </c>
      <c r="K1599" s="859"/>
      <c r="L1599" s="863"/>
      <c r="M1599" s="859"/>
      <c r="N1599" s="859"/>
      <c r="O1599" s="752">
        <f t="shared" si="210"/>
        <v>0</v>
      </c>
      <c r="P1599" s="862"/>
      <c r="Q1599" s="860"/>
      <c r="R1599" s="753">
        <f t="shared" si="213"/>
        <v>0</v>
      </c>
      <c r="S1599" s="752">
        <f t="shared" si="214"/>
        <v>1063798.06</v>
      </c>
      <c r="T1599" s="754">
        <f t="shared" si="215"/>
        <v>1138549.03</v>
      </c>
      <c r="U1599" s="859"/>
      <c r="V1599" s="863"/>
      <c r="W1599" s="859"/>
      <c r="X1599" s="859"/>
      <c r="Y1599" s="755">
        <f t="shared" si="211"/>
        <v>0</v>
      </c>
      <c r="Z1599" s="864"/>
      <c r="AA1599" s="863"/>
      <c r="AB1599" s="756">
        <f t="shared" si="212"/>
        <v>0</v>
      </c>
      <c r="AC1599" s="859"/>
      <c r="AD1599" s="863"/>
      <c r="AE1599" s="859"/>
      <c r="AF1599" s="859"/>
      <c r="AG1599" s="864"/>
      <c r="AH1599" s="865"/>
      <c r="AI1599" s="757">
        <f t="shared" si="216"/>
        <v>1063798.06</v>
      </c>
      <c r="AJ1599" s="758">
        <f t="shared" si="217"/>
        <v>1138549.03</v>
      </c>
    </row>
    <row r="1600" spans="1:36" x14ac:dyDescent="0.2">
      <c r="A1600" s="1360" t="s">
        <v>152</v>
      </c>
      <c r="B1600" s="1361" t="s">
        <v>264</v>
      </c>
      <c r="C1600" s="1110" t="s">
        <v>1506</v>
      </c>
      <c r="D1600" s="1111" t="s">
        <v>1518</v>
      </c>
      <c r="E1600" s="1108">
        <v>175810</v>
      </c>
      <c r="F1600" s="1109">
        <v>9</v>
      </c>
      <c r="G1600" s="859">
        <v>16891483</v>
      </c>
      <c r="H1600" s="860">
        <v>18516368</v>
      </c>
      <c r="I1600" s="861"/>
      <c r="J1600" s="862"/>
      <c r="K1600" s="859">
        <v>2626323</v>
      </c>
      <c r="L1600" s="863">
        <v>2740008</v>
      </c>
      <c r="M1600" s="859">
        <v>15334415</v>
      </c>
      <c r="N1600" s="859"/>
      <c r="O1600" s="752">
        <f t="shared" si="210"/>
        <v>15334415</v>
      </c>
      <c r="P1600" s="862">
        <v>15041109</v>
      </c>
      <c r="Q1600" s="860"/>
      <c r="R1600" s="753">
        <f t="shared" si="213"/>
        <v>15041109</v>
      </c>
      <c r="S1600" s="752">
        <f t="shared" si="214"/>
        <v>34852221</v>
      </c>
      <c r="T1600" s="754">
        <f t="shared" si="215"/>
        <v>36297485</v>
      </c>
      <c r="U1600" s="859"/>
      <c r="V1600" s="863"/>
      <c r="W1600" s="859"/>
      <c r="X1600" s="859"/>
      <c r="Y1600" s="755">
        <f t="shared" si="211"/>
        <v>0</v>
      </c>
      <c r="Z1600" s="864"/>
      <c r="AA1600" s="863"/>
      <c r="AB1600" s="756">
        <f t="shared" si="212"/>
        <v>0</v>
      </c>
      <c r="AC1600" s="859"/>
      <c r="AD1600" s="863"/>
      <c r="AE1600" s="859"/>
      <c r="AF1600" s="859"/>
      <c r="AG1600" s="864"/>
      <c r="AH1600" s="865"/>
      <c r="AI1600" s="757">
        <f t="shared" si="216"/>
        <v>34852221</v>
      </c>
      <c r="AJ1600" s="758">
        <f t="shared" si="217"/>
        <v>36297485</v>
      </c>
    </row>
    <row r="1601" spans="1:36" x14ac:dyDescent="0.2">
      <c r="A1601" s="1360" t="s">
        <v>152</v>
      </c>
      <c r="B1601" s="1361" t="s">
        <v>272</v>
      </c>
      <c r="C1601" s="1362" t="s">
        <v>509</v>
      </c>
      <c r="D1601" s="1363"/>
      <c r="E1601" s="1108">
        <v>175810</v>
      </c>
      <c r="F1601" s="1109">
        <v>9</v>
      </c>
      <c r="G1601" s="859"/>
      <c r="H1601" s="860"/>
      <c r="I1601" s="861"/>
      <c r="J1601" s="862"/>
      <c r="K1601" s="859"/>
      <c r="L1601" s="863"/>
      <c r="M1601" s="859"/>
      <c r="N1601" s="859"/>
      <c r="O1601" s="752">
        <f t="shared" si="210"/>
        <v>0</v>
      </c>
      <c r="P1601" s="862"/>
      <c r="Q1601" s="860"/>
      <c r="R1601" s="753">
        <f t="shared" si="213"/>
        <v>0</v>
      </c>
      <c r="S1601" s="752">
        <f t="shared" si="214"/>
        <v>0</v>
      </c>
      <c r="T1601" s="754">
        <f t="shared" si="215"/>
        <v>0</v>
      </c>
      <c r="U1601" s="859"/>
      <c r="V1601" s="863"/>
      <c r="W1601" s="859"/>
      <c r="X1601" s="859"/>
      <c r="Y1601" s="755">
        <f t="shared" si="211"/>
        <v>0</v>
      </c>
      <c r="Z1601" s="864"/>
      <c r="AA1601" s="863"/>
      <c r="AB1601" s="756">
        <f t="shared" si="212"/>
        <v>0</v>
      </c>
      <c r="AC1601" s="859"/>
      <c r="AD1601" s="863"/>
      <c r="AE1601" s="859"/>
      <c r="AF1601" s="859"/>
      <c r="AG1601" s="863"/>
      <c r="AH1601" s="865"/>
      <c r="AI1601" s="757">
        <f t="shared" si="216"/>
        <v>0</v>
      </c>
      <c r="AJ1601" s="758">
        <f t="shared" si="217"/>
        <v>0</v>
      </c>
    </row>
    <row r="1602" spans="1:36" x14ac:dyDescent="0.2">
      <c r="A1602" s="1360" t="s">
        <v>152</v>
      </c>
      <c r="B1602" s="1361" t="s">
        <v>272</v>
      </c>
      <c r="C1602" s="1364" t="s">
        <v>1499</v>
      </c>
      <c r="D1602" s="1363"/>
      <c r="E1602" s="1108">
        <v>175810</v>
      </c>
      <c r="F1602" s="1109">
        <v>9</v>
      </c>
      <c r="G1602" s="859"/>
      <c r="H1602" s="860"/>
      <c r="I1602" s="861">
        <v>1680006</v>
      </c>
      <c r="J1602" s="862">
        <v>1841654.85</v>
      </c>
      <c r="K1602" s="859"/>
      <c r="L1602" s="863"/>
      <c r="M1602" s="859"/>
      <c r="N1602" s="859"/>
      <c r="O1602" s="752">
        <f t="shared" si="210"/>
        <v>0</v>
      </c>
      <c r="P1602" s="862"/>
      <c r="Q1602" s="860"/>
      <c r="R1602" s="753">
        <f t="shared" si="213"/>
        <v>0</v>
      </c>
      <c r="S1602" s="752">
        <f t="shared" si="214"/>
        <v>1680006</v>
      </c>
      <c r="T1602" s="754">
        <f t="shared" si="215"/>
        <v>1841654.85</v>
      </c>
      <c r="U1602" s="859"/>
      <c r="V1602" s="863"/>
      <c r="W1602" s="859"/>
      <c r="X1602" s="859"/>
      <c r="Y1602" s="755">
        <f t="shared" si="211"/>
        <v>0</v>
      </c>
      <c r="Z1602" s="864"/>
      <c r="AA1602" s="863"/>
      <c r="AB1602" s="756">
        <f t="shared" si="212"/>
        <v>0</v>
      </c>
      <c r="AC1602" s="859"/>
      <c r="AD1602" s="863"/>
      <c r="AE1602" s="859"/>
      <c r="AF1602" s="859"/>
      <c r="AG1602" s="864"/>
      <c r="AH1602" s="865"/>
      <c r="AI1602" s="757">
        <f t="shared" si="216"/>
        <v>1680006</v>
      </c>
      <c r="AJ1602" s="758">
        <f t="shared" si="217"/>
        <v>1841654.85</v>
      </c>
    </row>
    <row r="1603" spans="1:36" x14ac:dyDescent="0.2">
      <c r="A1603" s="1360" t="s">
        <v>152</v>
      </c>
      <c r="B1603" s="1361" t="s">
        <v>264</v>
      </c>
      <c r="C1603" s="1110" t="s">
        <v>1507</v>
      </c>
      <c r="D1603" s="1111"/>
      <c r="E1603" s="1108">
        <v>175883</v>
      </c>
      <c r="F1603" s="1109">
        <v>9</v>
      </c>
      <c r="G1603" s="859">
        <v>13963867</v>
      </c>
      <c r="H1603" s="860">
        <v>14315536</v>
      </c>
      <c r="I1603" s="861"/>
      <c r="J1603" s="862"/>
      <c r="K1603" s="859">
        <v>3072308</v>
      </c>
      <c r="L1603" s="863">
        <v>2653289</v>
      </c>
      <c r="M1603" s="859">
        <v>11279073</v>
      </c>
      <c r="N1603" s="859"/>
      <c r="O1603" s="752">
        <f t="shared" si="210"/>
        <v>11279073</v>
      </c>
      <c r="P1603" s="862">
        <v>12146654</v>
      </c>
      <c r="Q1603" s="860"/>
      <c r="R1603" s="753">
        <f t="shared" si="213"/>
        <v>12146654</v>
      </c>
      <c r="S1603" s="752">
        <f t="shared" si="214"/>
        <v>28315248</v>
      </c>
      <c r="T1603" s="754">
        <f t="shared" si="215"/>
        <v>29115479</v>
      </c>
      <c r="U1603" s="859"/>
      <c r="V1603" s="863"/>
      <c r="W1603" s="859"/>
      <c r="X1603" s="859"/>
      <c r="Y1603" s="755">
        <f t="shared" si="211"/>
        <v>0</v>
      </c>
      <c r="Z1603" s="864"/>
      <c r="AA1603" s="863"/>
      <c r="AB1603" s="756">
        <f t="shared" si="212"/>
        <v>0</v>
      </c>
      <c r="AC1603" s="859"/>
      <c r="AD1603" s="863"/>
      <c r="AE1603" s="859"/>
      <c r="AF1603" s="859"/>
      <c r="AG1603" s="864"/>
      <c r="AH1603" s="865"/>
      <c r="AI1603" s="757">
        <f t="shared" si="216"/>
        <v>28315248</v>
      </c>
      <c r="AJ1603" s="758">
        <f t="shared" si="217"/>
        <v>29115479</v>
      </c>
    </row>
    <row r="1604" spans="1:36" x14ac:dyDescent="0.2">
      <c r="A1604" s="1360" t="s">
        <v>152</v>
      </c>
      <c r="B1604" s="1361" t="s">
        <v>272</v>
      </c>
      <c r="C1604" s="1362" t="s">
        <v>509</v>
      </c>
      <c r="D1604" s="1363"/>
      <c r="E1604" s="1108">
        <v>175883</v>
      </c>
      <c r="F1604" s="1109">
        <v>9</v>
      </c>
      <c r="G1604" s="859"/>
      <c r="H1604" s="860"/>
      <c r="I1604" s="861"/>
      <c r="J1604" s="862"/>
      <c r="K1604" s="859"/>
      <c r="L1604" s="863"/>
      <c r="M1604" s="859"/>
      <c r="N1604" s="859"/>
      <c r="O1604" s="752">
        <f t="shared" si="210"/>
        <v>0</v>
      </c>
      <c r="P1604" s="862"/>
      <c r="Q1604" s="860"/>
      <c r="R1604" s="753">
        <f t="shared" si="213"/>
        <v>0</v>
      </c>
      <c r="S1604" s="752">
        <f t="shared" si="214"/>
        <v>0</v>
      </c>
      <c r="T1604" s="754">
        <f t="shared" si="215"/>
        <v>0</v>
      </c>
      <c r="U1604" s="859"/>
      <c r="V1604" s="863"/>
      <c r="W1604" s="859"/>
      <c r="X1604" s="859"/>
      <c r="Y1604" s="755">
        <f t="shared" si="211"/>
        <v>0</v>
      </c>
      <c r="Z1604" s="864"/>
      <c r="AA1604" s="863"/>
      <c r="AB1604" s="756">
        <f t="shared" si="212"/>
        <v>0</v>
      </c>
      <c r="AC1604" s="859"/>
      <c r="AD1604" s="863"/>
      <c r="AE1604" s="859"/>
      <c r="AF1604" s="859"/>
      <c r="AG1604" s="864"/>
      <c r="AH1604" s="865"/>
      <c r="AI1604" s="757">
        <f t="shared" si="216"/>
        <v>0</v>
      </c>
      <c r="AJ1604" s="758">
        <f t="shared" si="217"/>
        <v>0</v>
      </c>
    </row>
    <row r="1605" spans="1:36" x14ac:dyDescent="0.2">
      <c r="A1605" s="1360" t="s">
        <v>152</v>
      </c>
      <c r="B1605" s="1361" t="s">
        <v>272</v>
      </c>
      <c r="C1605" s="1364" t="s">
        <v>1499</v>
      </c>
      <c r="D1605" s="1363"/>
      <c r="E1605" s="1108">
        <v>175884</v>
      </c>
      <c r="F1605" s="1109">
        <v>9</v>
      </c>
      <c r="G1605" s="859"/>
      <c r="H1605" s="860"/>
      <c r="I1605" s="861">
        <v>1645640.65</v>
      </c>
      <c r="J1605" s="862">
        <v>1547217</v>
      </c>
      <c r="K1605" s="859"/>
      <c r="L1605" s="863"/>
      <c r="M1605" s="859"/>
      <c r="N1605" s="859"/>
      <c r="O1605" s="752">
        <f t="shared" si="210"/>
        <v>0</v>
      </c>
      <c r="P1605" s="862"/>
      <c r="Q1605" s="860"/>
      <c r="R1605" s="753">
        <f t="shared" si="213"/>
        <v>0</v>
      </c>
      <c r="S1605" s="752">
        <f t="shared" si="214"/>
        <v>1645640.65</v>
      </c>
      <c r="T1605" s="754">
        <f t="shared" si="215"/>
        <v>1547217</v>
      </c>
      <c r="U1605" s="859"/>
      <c r="V1605" s="863"/>
      <c r="W1605" s="859"/>
      <c r="X1605" s="859"/>
      <c r="Y1605" s="755">
        <f t="shared" si="211"/>
        <v>0</v>
      </c>
      <c r="Z1605" s="864"/>
      <c r="AA1605" s="863"/>
      <c r="AB1605" s="756">
        <f t="shared" si="212"/>
        <v>0</v>
      </c>
      <c r="AC1605" s="859"/>
      <c r="AD1605" s="863"/>
      <c r="AE1605" s="859"/>
      <c r="AF1605" s="859"/>
      <c r="AG1605" s="864"/>
      <c r="AH1605" s="865"/>
      <c r="AI1605" s="757">
        <f t="shared" si="216"/>
        <v>1645640.65</v>
      </c>
      <c r="AJ1605" s="758">
        <f t="shared" si="217"/>
        <v>1547217</v>
      </c>
    </row>
    <row r="1606" spans="1:36" x14ac:dyDescent="0.2">
      <c r="A1606" s="1360" t="s">
        <v>152</v>
      </c>
      <c r="B1606" s="1361" t="s">
        <v>264</v>
      </c>
      <c r="C1606" s="1366" t="s">
        <v>1508</v>
      </c>
      <c r="D1606" s="1111"/>
      <c r="E1606" s="1108">
        <v>175935</v>
      </c>
      <c r="F1606" s="1109">
        <v>9</v>
      </c>
      <c r="G1606" s="859">
        <v>12055140</v>
      </c>
      <c r="H1606" s="860">
        <v>12772340</v>
      </c>
      <c r="I1606" s="861"/>
      <c r="J1606" s="862"/>
      <c r="K1606" s="859">
        <v>2197459</v>
      </c>
      <c r="L1606" s="863">
        <v>2241350</v>
      </c>
      <c r="M1606" s="859">
        <v>9272341</v>
      </c>
      <c r="N1606" s="859"/>
      <c r="O1606" s="752">
        <f t="shared" si="210"/>
        <v>9272341</v>
      </c>
      <c r="P1606" s="862">
        <v>8757295</v>
      </c>
      <c r="Q1606" s="860"/>
      <c r="R1606" s="753">
        <f t="shared" si="213"/>
        <v>8757295</v>
      </c>
      <c r="S1606" s="752">
        <f t="shared" si="214"/>
        <v>23524940</v>
      </c>
      <c r="T1606" s="754">
        <f t="shared" si="215"/>
        <v>23770985</v>
      </c>
      <c r="U1606" s="859"/>
      <c r="V1606" s="863"/>
      <c r="W1606" s="859"/>
      <c r="X1606" s="859"/>
      <c r="Y1606" s="755">
        <f t="shared" si="211"/>
        <v>0</v>
      </c>
      <c r="Z1606" s="864"/>
      <c r="AA1606" s="863"/>
      <c r="AB1606" s="756">
        <f t="shared" si="212"/>
        <v>0</v>
      </c>
      <c r="AC1606" s="859"/>
      <c r="AD1606" s="863"/>
      <c r="AE1606" s="859"/>
      <c r="AF1606" s="859"/>
      <c r="AG1606" s="863"/>
      <c r="AH1606" s="865"/>
      <c r="AI1606" s="757">
        <f t="shared" si="216"/>
        <v>23524940</v>
      </c>
      <c r="AJ1606" s="758">
        <f t="shared" si="217"/>
        <v>23770985</v>
      </c>
    </row>
    <row r="1607" spans="1:36" x14ac:dyDescent="0.2">
      <c r="A1607" s="1360" t="s">
        <v>152</v>
      </c>
      <c r="B1607" s="1361" t="s">
        <v>272</v>
      </c>
      <c r="C1607" s="1362" t="s">
        <v>509</v>
      </c>
      <c r="D1607" s="1363"/>
      <c r="E1607" s="1108">
        <v>175935</v>
      </c>
      <c r="F1607" s="1109">
        <v>9</v>
      </c>
      <c r="G1607" s="859"/>
      <c r="H1607" s="860"/>
      <c r="I1607" s="861"/>
      <c r="J1607" s="862"/>
      <c r="K1607" s="859"/>
      <c r="L1607" s="863"/>
      <c r="M1607" s="859"/>
      <c r="N1607" s="859"/>
      <c r="O1607" s="752">
        <f t="shared" si="210"/>
        <v>0</v>
      </c>
      <c r="P1607" s="862"/>
      <c r="Q1607" s="860"/>
      <c r="R1607" s="753">
        <f t="shared" si="213"/>
        <v>0</v>
      </c>
      <c r="S1607" s="752">
        <f t="shared" si="214"/>
        <v>0</v>
      </c>
      <c r="T1607" s="754">
        <f t="shared" si="215"/>
        <v>0</v>
      </c>
      <c r="U1607" s="859"/>
      <c r="V1607" s="863"/>
      <c r="W1607" s="859"/>
      <c r="X1607" s="859"/>
      <c r="Y1607" s="755">
        <f t="shared" si="211"/>
        <v>0</v>
      </c>
      <c r="Z1607" s="864"/>
      <c r="AA1607" s="863"/>
      <c r="AB1607" s="756">
        <f t="shared" si="212"/>
        <v>0</v>
      </c>
      <c r="AC1607" s="859"/>
      <c r="AD1607" s="863"/>
      <c r="AE1607" s="859"/>
      <c r="AF1607" s="859"/>
      <c r="AG1607" s="864"/>
      <c r="AH1607" s="865"/>
      <c r="AI1607" s="757">
        <f t="shared" si="216"/>
        <v>0</v>
      </c>
      <c r="AJ1607" s="758">
        <f t="shared" si="217"/>
        <v>0</v>
      </c>
    </row>
    <row r="1608" spans="1:36" x14ac:dyDescent="0.2">
      <c r="A1608" s="1360" t="s">
        <v>152</v>
      </c>
      <c r="B1608" s="1361" t="s">
        <v>272</v>
      </c>
      <c r="C1608" s="1364" t="s">
        <v>1499</v>
      </c>
      <c r="D1608" s="1363"/>
      <c r="E1608" s="1108">
        <v>175935</v>
      </c>
      <c r="F1608" s="1109">
        <v>9</v>
      </c>
      <c r="G1608" s="859"/>
      <c r="H1608" s="860"/>
      <c r="I1608" s="861">
        <v>1573512.86</v>
      </c>
      <c r="J1608" s="862">
        <v>1626031.41</v>
      </c>
      <c r="K1608" s="859"/>
      <c r="L1608" s="863"/>
      <c r="M1608" s="859"/>
      <c r="N1608" s="859"/>
      <c r="O1608" s="752">
        <f t="shared" si="210"/>
        <v>0</v>
      </c>
      <c r="P1608" s="862"/>
      <c r="Q1608" s="860"/>
      <c r="R1608" s="753">
        <f t="shared" si="213"/>
        <v>0</v>
      </c>
      <c r="S1608" s="752">
        <f t="shared" si="214"/>
        <v>1573512.86</v>
      </c>
      <c r="T1608" s="754">
        <f t="shared" si="215"/>
        <v>1626031.41</v>
      </c>
      <c r="U1608" s="859"/>
      <c r="V1608" s="863"/>
      <c r="W1608" s="859"/>
      <c r="X1608" s="859"/>
      <c r="Y1608" s="755">
        <f t="shared" si="211"/>
        <v>0</v>
      </c>
      <c r="Z1608" s="864"/>
      <c r="AA1608" s="863"/>
      <c r="AB1608" s="756">
        <f t="shared" si="212"/>
        <v>0</v>
      </c>
      <c r="AC1608" s="859"/>
      <c r="AD1608" s="863"/>
      <c r="AE1608" s="859"/>
      <c r="AF1608" s="859"/>
      <c r="AG1608" s="864"/>
      <c r="AH1608" s="865"/>
      <c r="AI1608" s="757">
        <f t="shared" si="216"/>
        <v>1573512.86</v>
      </c>
      <c r="AJ1608" s="758">
        <f t="shared" si="217"/>
        <v>1626031.41</v>
      </c>
    </row>
    <row r="1609" spans="1:36" x14ac:dyDescent="0.2">
      <c r="A1609" s="1360" t="s">
        <v>152</v>
      </c>
      <c r="B1609" s="1361" t="s">
        <v>264</v>
      </c>
      <c r="C1609" s="1366" t="s">
        <v>1509</v>
      </c>
      <c r="D1609" s="1111"/>
      <c r="E1609" s="1108">
        <v>176008</v>
      </c>
      <c r="F1609" s="1109">
        <v>9</v>
      </c>
      <c r="G1609" s="859">
        <v>10443742</v>
      </c>
      <c r="H1609" s="860">
        <v>10774309</v>
      </c>
      <c r="I1609" s="861"/>
      <c r="J1609" s="862"/>
      <c r="K1609" s="859">
        <v>2026043</v>
      </c>
      <c r="L1609" s="863">
        <v>2128266</v>
      </c>
      <c r="M1609" s="859">
        <v>8504974</v>
      </c>
      <c r="N1609" s="859"/>
      <c r="O1609" s="752">
        <f t="shared" si="210"/>
        <v>8504974</v>
      </c>
      <c r="P1609" s="862">
        <v>7875874</v>
      </c>
      <c r="Q1609" s="860"/>
      <c r="R1609" s="753">
        <f t="shared" si="213"/>
        <v>7875874</v>
      </c>
      <c r="S1609" s="752">
        <f t="shared" si="214"/>
        <v>20974759</v>
      </c>
      <c r="T1609" s="754">
        <f t="shared" si="215"/>
        <v>20778449</v>
      </c>
      <c r="U1609" s="859"/>
      <c r="V1609" s="863"/>
      <c r="W1609" s="859"/>
      <c r="X1609" s="859"/>
      <c r="Y1609" s="755">
        <f t="shared" si="211"/>
        <v>0</v>
      </c>
      <c r="Z1609" s="864"/>
      <c r="AA1609" s="863"/>
      <c r="AB1609" s="756">
        <f t="shared" si="212"/>
        <v>0</v>
      </c>
      <c r="AC1609" s="859"/>
      <c r="AD1609" s="863"/>
      <c r="AE1609" s="859"/>
      <c r="AF1609" s="859"/>
      <c r="AG1609" s="864"/>
      <c r="AH1609" s="865"/>
      <c r="AI1609" s="757">
        <f t="shared" si="216"/>
        <v>20974759</v>
      </c>
      <c r="AJ1609" s="758">
        <f t="shared" si="217"/>
        <v>20778449</v>
      </c>
    </row>
    <row r="1610" spans="1:36" x14ac:dyDescent="0.2">
      <c r="A1610" s="1360" t="s">
        <v>152</v>
      </c>
      <c r="B1610" s="1361" t="s">
        <v>272</v>
      </c>
      <c r="C1610" s="1362" t="s">
        <v>509</v>
      </c>
      <c r="D1610" s="1363"/>
      <c r="E1610" s="1108">
        <v>176008</v>
      </c>
      <c r="F1610" s="1109">
        <v>9</v>
      </c>
      <c r="G1610" s="859"/>
      <c r="H1610" s="860"/>
      <c r="I1610" s="861"/>
      <c r="J1610" s="862"/>
      <c r="K1610" s="859"/>
      <c r="L1610" s="863"/>
      <c r="M1610" s="859"/>
      <c r="N1610" s="859"/>
      <c r="O1610" s="752">
        <f t="shared" si="210"/>
        <v>0</v>
      </c>
      <c r="P1610" s="862"/>
      <c r="Q1610" s="860"/>
      <c r="R1610" s="753">
        <f t="shared" si="213"/>
        <v>0</v>
      </c>
      <c r="S1610" s="752">
        <f t="shared" si="214"/>
        <v>0</v>
      </c>
      <c r="T1610" s="754">
        <f t="shared" si="215"/>
        <v>0</v>
      </c>
      <c r="U1610" s="859"/>
      <c r="V1610" s="863"/>
      <c r="W1610" s="859"/>
      <c r="X1610" s="859"/>
      <c r="Y1610" s="755">
        <f t="shared" si="211"/>
        <v>0</v>
      </c>
      <c r="Z1610" s="864"/>
      <c r="AA1610" s="863"/>
      <c r="AB1610" s="756">
        <f t="shared" si="212"/>
        <v>0</v>
      </c>
      <c r="AC1610" s="859"/>
      <c r="AD1610" s="863"/>
      <c r="AE1610" s="859"/>
      <c r="AF1610" s="859"/>
      <c r="AG1610" s="864"/>
      <c r="AH1610" s="865"/>
      <c r="AI1610" s="757">
        <f t="shared" si="216"/>
        <v>0</v>
      </c>
      <c r="AJ1610" s="758">
        <f t="shared" si="217"/>
        <v>0</v>
      </c>
    </row>
    <row r="1611" spans="1:36" x14ac:dyDescent="0.2">
      <c r="A1611" s="1360" t="s">
        <v>152</v>
      </c>
      <c r="B1611" s="1361" t="s">
        <v>272</v>
      </c>
      <c r="C1611" s="1364" t="s">
        <v>1499</v>
      </c>
      <c r="D1611" s="1363"/>
      <c r="E1611" s="1108">
        <v>176008</v>
      </c>
      <c r="F1611" s="1109">
        <v>9</v>
      </c>
      <c r="G1611" s="859"/>
      <c r="H1611" s="860"/>
      <c r="I1611" s="861">
        <v>1000323.8</v>
      </c>
      <c r="J1611" s="862">
        <v>1013734</v>
      </c>
      <c r="K1611" s="859"/>
      <c r="L1611" s="863"/>
      <c r="M1611" s="859"/>
      <c r="N1611" s="859"/>
      <c r="O1611" s="752">
        <f t="shared" ref="O1611:O1674" si="218">SUM(M1611:N1611)</f>
        <v>0</v>
      </c>
      <c r="P1611" s="862"/>
      <c r="Q1611" s="860"/>
      <c r="R1611" s="753">
        <f t="shared" si="213"/>
        <v>0</v>
      </c>
      <c r="S1611" s="752">
        <f t="shared" si="214"/>
        <v>1000323.8</v>
      </c>
      <c r="T1611" s="754">
        <f t="shared" si="215"/>
        <v>1013734</v>
      </c>
      <c r="U1611" s="859"/>
      <c r="V1611" s="863"/>
      <c r="W1611" s="859"/>
      <c r="X1611" s="859"/>
      <c r="Y1611" s="755">
        <f t="shared" ref="Y1611:Y1674" si="219">SUM(W1611:X1611)</f>
        <v>0</v>
      </c>
      <c r="Z1611" s="864"/>
      <c r="AA1611" s="863"/>
      <c r="AB1611" s="756">
        <f t="shared" ref="AB1611:AB1674" si="220">SUM(Z1611:AA1611)</f>
        <v>0</v>
      </c>
      <c r="AC1611" s="859"/>
      <c r="AD1611" s="863"/>
      <c r="AE1611" s="859"/>
      <c r="AF1611" s="859"/>
      <c r="AG1611" s="864"/>
      <c r="AH1611" s="865"/>
      <c r="AI1611" s="757">
        <f t="shared" si="216"/>
        <v>1000323.8</v>
      </c>
      <c r="AJ1611" s="758">
        <f t="shared" si="217"/>
        <v>1013734</v>
      </c>
    </row>
    <row r="1612" spans="1:36" x14ac:dyDescent="0.2">
      <c r="A1612" s="1360" t="s">
        <v>152</v>
      </c>
      <c r="B1612" s="1361" t="s">
        <v>264</v>
      </c>
      <c r="C1612" s="1366" t="s">
        <v>1510</v>
      </c>
      <c r="D1612" s="1111"/>
      <c r="E1612" s="1108">
        <v>176169</v>
      </c>
      <c r="F1612" s="1109">
        <v>9</v>
      </c>
      <c r="G1612" s="859">
        <v>11324671</v>
      </c>
      <c r="H1612" s="860">
        <v>11977987</v>
      </c>
      <c r="I1612" s="861"/>
      <c r="J1612" s="862"/>
      <c r="K1612" s="859">
        <v>1463562</v>
      </c>
      <c r="L1612" s="863">
        <v>1460840</v>
      </c>
      <c r="M1612" s="859">
        <v>7929723</v>
      </c>
      <c r="N1612" s="859"/>
      <c r="O1612" s="752">
        <f t="shared" si="218"/>
        <v>7929723</v>
      </c>
      <c r="P1612" s="862">
        <v>7901313</v>
      </c>
      <c r="Q1612" s="860"/>
      <c r="R1612" s="753">
        <f t="shared" ref="R1612:R1675" si="221">SUM(P1612:Q1612)</f>
        <v>7901313</v>
      </c>
      <c r="S1612" s="752">
        <f t="shared" ref="S1612:S1675" si="222">SUM(G1612,I1612,K1612,M1612)</f>
        <v>20717956</v>
      </c>
      <c r="T1612" s="754">
        <f t="shared" ref="T1612:T1675" si="223">SUM(H1612,J1612,L1612,P1612)</f>
        <v>21340140</v>
      </c>
      <c r="U1612" s="859"/>
      <c r="V1612" s="863"/>
      <c r="W1612" s="859"/>
      <c r="X1612" s="859"/>
      <c r="Y1612" s="755">
        <f t="shared" si="219"/>
        <v>0</v>
      </c>
      <c r="Z1612" s="864"/>
      <c r="AA1612" s="863"/>
      <c r="AB1612" s="756">
        <f t="shared" si="220"/>
        <v>0</v>
      </c>
      <c r="AC1612" s="859"/>
      <c r="AD1612" s="863"/>
      <c r="AE1612" s="859"/>
      <c r="AF1612" s="859"/>
      <c r="AG1612" s="864"/>
      <c r="AH1612" s="865"/>
      <c r="AI1612" s="757">
        <f t="shared" ref="AI1612:AI1675" si="224">SUM(S1612,U1612,W1612,AC1612,AE1612)</f>
        <v>20717956</v>
      </c>
      <c r="AJ1612" s="758">
        <f t="shared" ref="AJ1612:AJ1675" si="225">SUM(T1612,V1612,Z1612,AD1612,AG1612)</f>
        <v>21340140</v>
      </c>
    </row>
    <row r="1613" spans="1:36" x14ac:dyDescent="0.2">
      <c r="A1613" s="1360" t="s">
        <v>152</v>
      </c>
      <c r="B1613" s="1361" t="s">
        <v>272</v>
      </c>
      <c r="C1613" s="1362" t="s">
        <v>509</v>
      </c>
      <c r="D1613" s="1363"/>
      <c r="E1613" s="1108">
        <v>176169</v>
      </c>
      <c r="F1613" s="1109">
        <v>9</v>
      </c>
      <c r="G1613" s="859"/>
      <c r="H1613" s="860"/>
      <c r="I1613" s="861"/>
      <c r="J1613" s="862"/>
      <c r="K1613" s="859"/>
      <c r="L1613" s="863"/>
      <c r="M1613" s="859"/>
      <c r="N1613" s="859"/>
      <c r="O1613" s="752">
        <f t="shared" si="218"/>
        <v>0</v>
      </c>
      <c r="P1613" s="862"/>
      <c r="Q1613" s="860"/>
      <c r="R1613" s="753">
        <f t="shared" si="221"/>
        <v>0</v>
      </c>
      <c r="S1613" s="752">
        <f t="shared" si="222"/>
        <v>0</v>
      </c>
      <c r="T1613" s="754">
        <f t="shared" si="223"/>
        <v>0</v>
      </c>
      <c r="U1613" s="859"/>
      <c r="V1613" s="863"/>
      <c r="W1613" s="859"/>
      <c r="X1613" s="859"/>
      <c r="Y1613" s="755">
        <f t="shared" si="219"/>
        <v>0</v>
      </c>
      <c r="Z1613" s="864"/>
      <c r="AA1613" s="863"/>
      <c r="AB1613" s="756">
        <f t="shared" si="220"/>
        <v>0</v>
      </c>
      <c r="AC1613" s="859"/>
      <c r="AD1613" s="863"/>
      <c r="AE1613" s="859"/>
      <c r="AF1613" s="859"/>
      <c r="AG1613" s="864"/>
      <c r="AH1613" s="865"/>
      <c r="AI1613" s="757">
        <f t="shared" si="224"/>
        <v>0</v>
      </c>
      <c r="AJ1613" s="758">
        <f t="shared" si="225"/>
        <v>0</v>
      </c>
    </row>
    <row r="1614" spans="1:36" x14ac:dyDescent="0.2">
      <c r="A1614" s="1360" t="s">
        <v>152</v>
      </c>
      <c r="B1614" s="1361" t="s">
        <v>272</v>
      </c>
      <c r="C1614" s="1364" t="s">
        <v>1499</v>
      </c>
      <c r="D1614" s="1363"/>
      <c r="E1614" s="1108">
        <v>176169</v>
      </c>
      <c r="F1614" s="1109">
        <v>9</v>
      </c>
      <c r="G1614" s="859"/>
      <c r="H1614" s="860"/>
      <c r="I1614" s="861">
        <v>1286768</v>
      </c>
      <c r="J1614" s="862">
        <v>1245413</v>
      </c>
      <c r="K1614" s="859"/>
      <c r="L1614" s="863"/>
      <c r="M1614" s="859"/>
      <c r="N1614" s="859"/>
      <c r="O1614" s="752">
        <f t="shared" si="218"/>
        <v>0</v>
      </c>
      <c r="P1614" s="862"/>
      <c r="Q1614" s="860"/>
      <c r="R1614" s="753">
        <f t="shared" si="221"/>
        <v>0</v>
      </c>
      <c r="S1614" s="752">
        <f t="shared" si="222"/>
        <v>1286768</v>
      </c>
      <c r="T1614" s="754">
        <f t="shared" si="223"/>
        <v>1245413</v>
      </c>
      <c r="U1614" s="859"/>
      <c r="V1614" s="863"/>
      <c r="W1614" s="859"/>
      <c r="X1614" s="859"/>
      <c r="Y1614" s="755">
        <f t="shared" si="219"/>
        <v>0</v>
      </c>
      <c r="Z1614" s="864"/>
      <c r="AA1614" s="863"/>
      <c r="AB1614" s="756">
        <f t="shared" si="220"/>
        <v>0</v>
      </c>
      <c r="AC1614" s="859"/>
      <c r="AD1614" s="863"/>
      <c r="AE1614" s="859"/>
      <c r="AF1614" s="859"/>
      <c r="AG1614" s="864"/>
      <c r="AH1614" s="865"/>
      <c r="AI1614" s="757">
        <f t="shared" si="224"/>
        <v>1286768</v>
      </c>
      <c r="AJ1614" s="758">
        <f t="shared" si="225"/>
        <v>1245413</v>
      </c>
    </row>
    <row r="1615" spans="1:36" x14ac:dyDescent="0.2">
      <c r="A1615" s="1360" t="s">
        <v>152</v>
      </c>
      <c r="B1615" s="1361" t="s">
        <v>264</v>
      </c>
      <c r="C1615" s="1110" t="s">
        <v>1511</v>
      </c>
      <c r="D1615" s="1111"/>
      <c r="E1615" s="1108">
        <v>176239</v>
      </c>
      <c r="F1615" s="1109">
        <v>9</v>
      </c>
      <c r="G1615" s="859">
        <v>14417385</v>
      </c>
      <c r="H1615" s="860">
        <v>15033468</v>
      </c>
      <c r="I1615" s="861"/>
      <c r="J1615" s="862"/>
      <c r="K1615" s="859">
        <v>3156587</v>
      </c>
      <c r="L1615" s="863">
        <v>3104587</v>
      </c>
      <c r="M1615" s="859">
        <v>13584101</v>
      </c>
      <c r="N1615" s="859"/>
      <c r="O1615" s="752">
        <f t="shared" si="218"/>
        <v>13584101</v>
      </c>
      <c r="P1615" s="862">
        <v>13028088</v>
      </c>
      <c r="Q1615" s="860"/>
      <c r="R1615" s="753">
        <f t="shared" si="221"/>
        <v>13028088</v>
      </c>
      <c r="S1615" s="752">
        <f t="shared" si="222"/>
        <v>31158073</v>
      </c>
      <c r="T1615" s="754">
        <f t="shared" si="223"/>
        <v>31166143</v>
      </c>
      <c r="U1615" s="859"/>
      <c r="V1615" s="863"/>
      <c r="W1615" s="859"/>
      <c r="X1615" s="859"/>
      <c r="Y1615" s="755">
        <f t="shared" si="219"/>
        <v>0</v>
      </c>
      <c r="Z1615" s="864"/>
      <c r="AA1615" s="863"/>
      <c r="AB1615" s="756">
        <f t="shared" si="220"/>
        <v>0</v>
      </c>
      <c r="AC1615" s="859"/>
      <c r="AD1615" s="863"/>
      <c r="AE1615" s="859"/>
      <c r="AF1615" s="859"/>
      <c r="AG1615" s="863"/>
      <c r="AH1615" s="865"/>
      <c r="AI1615" s="757">
        <f t="shared" si="224"/>
        <v>31158073</v>
      </c>
      <c r="AJ1615" s="758">
        <f t="shared" si="225"/>
        <v>31166143</v>
      </c>
    </row>
    <row r="1616" spans="1:36" x14ac:dyDescent="0.2">
      <c r="A1616" s="1360" t="s">
        <v>152</v>
      </c>
      <c r="B1616" s="1361" t="s">
        <v>272</v>
      </c>
      <c r="C1616" s="1362" t="s">
        <v>509</v>
      </c>
      <c r="D1616" s="1363"/>
      <c r="E1616" s="1108">
        <v>176239</v>
      </c>
      <c r="F1616" s="1109">
        <v>9</v>
      </c>
      <c r="G1616" s="859"/>
      <c r="H1616" s="860"/>
      <c r="I1616" s="861"/>
      <c r="J1616" s="862"/>
      <c r="K1616" s="859"/>
      <c r="L1616" s="863"/>
      <c r="M1616" s="859"/>
      <c r="N1616" s="859"/>
      <c r="O1616" s="752">
        <f t="shared" si="218"/>
        <v>0</v>
      </c>
      <c r="P1616" s="862"/>
      <c r="Q1616" s="860"/>
      <c r="R1616" s="753">
        <f t="shared" si="221"/>
        <v>0</v>
      </c>
      <c r="S1616" s="752">
        <f t="shared" si="222"/>
        <v>0</v>
      </c>
      <c r="T1616" s="754">
        <f t="shared" si="223"/>
        <v>0</v>
      </c>
      <c r="U1616" s="859"/>
      <c r="V1616" s="863"/>
      <c r="W1616" s="859"/>
      <c r="X1616" s="859"/>
      <c r="Y1616" s="755">
        <f t="shared" si="219"/>
        <v>0</v>
      </c>
      <c r="Z1616" s="864"/>
      <c r="AA1616" s="863"/>
      <c r="AB1616" s="756">
        <f t="shared" si="220"/>
        <v>0</v>
      </c>
      <c r="AC1616" s="859"/>
      <c r="AD1616" s="863"/>
      <c r="AE1616" s="859"/>
      <c r="AF1616" s="859"/>
      <c r="AG1616" s="864"/>
      <c r="AH1616" s="865"/>
      <c r="AI1616" s="757">
        <f t="shared" si="224"/>
        <v>0</v>
      </c>
      <c r="AJ1616" s="758">
        <f t="shared" si="225"/>
        <v>0</v>
      </c>
    </row>
    <row r="1617" spans="1:36" x14ac:dyDescent="0.2">
      <c r="A1617" s="1360" t="s">
        <v>152</v>
      </c>
      <c r="B1617" s="1361" t="s">
        <v>272</v>
      </c>
      <c r="C1617" s="1364" t="s">
        <v>1499</v>
      </c>
      <c r="D1617" s="1363"/>
      <c r="E1617" s="1108">
        <v>176239</v>
      </c>
      <c r="F1617" s="1109">
        <v>9</v>
      </c>
      <c r="G1617" s="859"/>
      <c r="H1617" s="860"/>
      <c r="I1617" s="861">
        <v>2090189.4</v>
      </c>
      <c r="J1617" s="862">
        <v>2207984.4</v>
      </c>
      <c r="K1617" s="859"/>
      <c r="L1617" s="863"/>
      <c r="M1617" s="859"/>
      <c r="N1617" s="859"/>
      <c r="O1617" s="752">
        <f t="shared" si="218"/>
        <v>0</v>
      </c>
      <c r="P1617" s="862"/>
      <c r="Q1617" s="860"/>
      <c r="R1617" s="753">
        <f t="shared" si="221"/>
        <v>0</v>
      </c>
      <c r="S1617" s="752">
        <f t="shared" si="222"/>
        <v>2090189.4</v>
      </c>
      <c r="T1617" s="754">
        <f t="shared" si="223"/>
        <v>2207984.4</v>
      </c>
      <c r="U1617" s="859"/>
      <c r="V1617" s="863"/>
      <c r="W1617" s="859"/>
      <c r="X1617" s="859"/>
      <c r="Y1617" s="755">
        <f t="shared" si="219"/>
        <v>0</v>
      </c>
      <c r="Z1617" s="864"/>
      <c r="AA1617" s="863"/>
      <c r="AB1617" s="756">
        <f t="shared" si="220"/>
        <v>0</v>
      </c>
      <c r="AC1617" s="859"/>
      <c r="AD1617" s="863"/>
      <c r="AE1617" s="859"/>
      <c r="AF1617" s="859"/>
      <c r="AG1617" s="864"/>
      <c r="AH1617" s="865"/>
      <c r="AI1617" s="757">
        <f t="shared" si="224"/>
        <v>2090189.4</v>
      </c>
      <c r="AJ1617" s="758">
        <f t="shared" si="225"/>
        <v>2207984.4</v>
      </c>
    </row>
    <row r="1618" spans="1:36" x14ac:dyDescent="0.2">
      <c r="A1618" s="1360" t="s">
        <v>152</v>
      </c>
      <c r="B1618" s="1361" t="s">
        <v>264</v>
      </c>
      <c r="C1618" s="1110" t="s">
        <v>1512</v>
      </c>
      <c r="D1618" s="1111"/>
      <c r="E1618" s="1108">
        <v>175519</v>
      </c>
      <c r="F1618" s="1109">
        <v>10</v>
      </c>
      <c r="G1618" s="859">
        <v>8271194</v>
      </c>
      <c r="H1618" s="860">
        <v>8019955</v>
      </c>
      <c r="I1618" s="861"/>
      <c r="J1618" s="862"/>
      <c r="K1618" s="859">
        <v>1911927</v>
      </c>
      <c r="L1618" s="863">
        <v>2049303</v>
      </c>
      <c r="M1618" s="859">
        <v>5349623</v>
      </c>
      <c r="N1618" s="859"/>
      <c r="O1618" s="752">
        <f t="shared" si="218"/>
        <v>5349623</v>
      </c>
      <c r="P1618" s="862">
        <v>5013791</v>
      </c>
      <c r="Q1618" s="860"/>
      <c r="R1618" s="753">
        <f t="shared" si="221"/>
        <v>5013791</v>
      </c>
      <c r="S1618" s="752">
        <f t="shared" si="222"/>
        <v>15532744</v>
      </c>
      <c r="T1618" s="754">
        <f t="shared" si="223"/>
        <v>15083049</v>
      </c>
      <c r="U1618" s="859"/>
      <c r="V1618" s="863"/>
      <c r="W1618" s="859"/>
      <c r="X1618" s="859"/>
      <c r="Y1618" s="755">
        <f t="shared" si="219"/>
        <v>0</v>
      </c>
      <c r="Z1618" s="864"/>
      <c r="AA1618" s="863"/>
      <c r="AB1618" s="756">
        <f t="shared" si="220"/>
        <v>0</v>
      </c>
      <c r="AC1618" s="859"/>
      <c r="AD1618" s="863"/>
      <c r="AE1618" s="859"/>
      <c r="AF1618" s="859"/>
      <c r="AG1618" s="864"/>
      <c r="AH1618" s="865"/>
      <c r="AI1618" s="757">
        <f t="shared" si="224"/>
        <v>15532744</v>
      </c>
      <c r="AJ1618" s="758">
        <f t="shared" si="225"/>
        <v>15083049</v>
      </c>
    </row>
    <row r="1619" spans="1:36" x14ac:dyDescent="0.2">
      <c r="A1619" s="1360" t="s">
        <v>152</v>
      </c>
      <c r="B1619" s="1361" t="s">
        <v>272</v>
      </c>
      <c r="C1619" s="1362" t="s">
        <v>509</v>
      </c>
      <c r="D1619" s="1363"/>
      <c r="E1619" s="1108">
        <v>175519</v>
      </c>
      <c r="F1619" s="1109">
        <v>10</v>
      </c>
      <c r="G1619" s="859"/>
      <c r="H1619" s="860"/>
      <c r="I1619" s="861"/>
      <c r="J1619" s="862"/>
      <c r="K1619" s="859"/>
      <c r="L1619" s="863"/>
      <c r="M1619" s="859"/>
      <c r="N1619" s="859"/>
      <c r="O1619" s="752">
        <f t="shared" si="218"/>
        <v>0</v>
      </c>
      <c r="P1619" s="862"/>
      <c r="Q1619" s="860"/>
      <c r="R1619" s="753">
        <f t="shared" si="221"/>
        <v>0</v>
      </c>
      <c r="S1619" s="752">
        <f t="shared" si="222"/>
        <v>0</v>
      </c>
      <c r="T1619" s="754">
        <f t="shared" si="223"/>
        <v>0</v>
      </c>
      <c r="U1619" s="859"/>
      <c r="V1619" s="863"/>
      <c r="W1619" s="859"/>
      <c r="X1619" s="859"/>
      <c r="Y1619" s="755">
        <f t="shared" si="219"/>
        <v>0</v>
      </c>
      <c r="Z1619" s="864"/>
      <c r="AA1619" s="863"/>
      <c r="AB1619" s="756">
        <f t="shared" si="220"/>
        <v>0</v>
      </c>
      <c r="AC1619" s="859"/>
      <c r="AD1619" s="863"/>
      <c r="AE1619" s="859"/>
      <c r="AF1619" s="859"/>
      <c r="AG1619" s="864"/>
      <c r="AH1619" s="865"/>
      <c r="AI1619" s="757">
        <f t="shared" si="224"/>
        <v>0</v>
      </c>
      <c r="AJ1619" s="758">
        <f t="shared" si="225"/>
        <v>0</v>
      </c>
    </row>
    <row r="1620" spans="1:36" x14ac:dyDescent="0.2">
      <c r="A1620" s="1360" t="s">
        <v>152</v>
      </c>
      <c r="B1620" s="1361" t="s">
        <v>272</v>
      </c>
      <c r="C1620" s="1364" t="s">
        <v>1499</v>
      </c>
      <c r="D1620" s="1363"/>
      <c r="E1620" s="1108">
        <v>175519</v>
      </c>
      <c r="F1620" s="1109">
        <v>10</v>
      </c>
      <c r="G1620" s="859"/>
      <c r="H1620" s="860"/>
      <c r="I1620" s="861">
        <v>1467402</v>
      </c>
      <c r="J1620" s="862">
        <v>1397411</v>
      </c>
      <c r="K1620" s="859"/>
      <c r="L1620" s="863"/>
      <c r="M1620" s="859"/>
      <c r="N1620" s="859"/>
      <c r="O1620" s="752">
        <f t="shared" si="218"/>
        <v>0</v>
      </c>
      <c r="P1620" s="862"/>
      <c r="Q1620" s="860"/>
      <c r="R1620" s="753">
        <f t="shared" si="221"/>
        <v>0</v>
      </c>
      <c r="S1620" s="752">
        <f t="shared" si="222"/>
        <v>1467402</v>
      </c>
      <c r="T1620" s="754">
        <f t="shared" si="223"/>
        <v>1397411</v>
      </c>
      <c r="U1620" s="859"/>
      <c r="V1620" s="863"/>
      <c r="W1620" s="859"/>
      <c r="X1620" s="859"/>
      <c r="Y1620" s="755">
        <f t="shared" si="219"/>
        <v>0</v>
      </c>
      <c r="Z1620" s="864"/>
      <c r="AA1620" s="863"/>
      <c r="AB1620" s="756">
        <f t="shared" si="220"/>
        <v>0</v>
      </c>
      <c r="AC1620" s="859"/>
      <c r="AD1620" s="863"/>
      <c r="AE1620" s="859"/>
      <c r="AF1620" s="859"/>
      <c r="AG1620" s="864"/>
      <c r="AH1620" s="865"/>
      <c r="AI1620" s="757">
        <f t="shared" si="224"/>
        <v>1467402</v>
      </c>
      <c r="AJ1620" s="758">
        <f t="shared" si="225"/>
        <v>1397411</v>
      </c>
    </row>
    <row r="1621" spans="1:36" x14ac:dyDescent="0.2">
      <c r="A1621" s="1360" t="s">
        <v>152</v>
      </c>
      <c r="B1621" s="1361" t="s">
        <v>264</v>
      </c>
      <c r="C1621" s="1366" t="s">
        <v>1513</v>
      </c>
      <c r="D1621" s="1367"/>
      <c r="E1621" s="1108">
        <v>176354</v>
      </c>
      <c r="F1621" s="1109">
        <v>10</v>
      </c>
      <c r="G1621" s="859">
        <v>7779171</v>
      </c>
      <c r="H1621" s="860">
        <v>8154654</v>
      </c>
      <c r="I1621" s="861"/>
      <c r="J1621" s="862"/>
      <c r="K1621" s="859">
        <v>1169991</v>
      </c>
      <c r="L1621" s="863">
        <v>1191300</v>
      </c>
      <c r="M1621" s="859">
        <v>5276500</v>
      </c>
      <c r="N1621" s="859"/>
      <c r="O1621" s="752">
        <f t="shared" si="218"/>
        <v>5276500</v>
      </c>
      <c r="P1621" s="862">
        <v>5831817</v>
      </c>
      <c r="Q1621" s="860"/>
      <c r="R1621" s="753">
        <f t="shared" si="221"/>
        <v>5831817</v>
      </c>
      <c r="S1621" s="752">
        <f t="shared" si="222"/>
        <v>14225662</v>
      </c>
      <c r="T1621" s="754">
        <f t="shared" si="223"/>
        <v>15177771</v>
      </c>
      <c r="U1621" s="859"/>
      <c r="V1621" s="863"/>
      <c r="W1621" s="859"/>
      <c r="X1621" s="859"/>
      <c r="Y1621" s="755">
        <f t="shared" si="219"/>
        <v>0</v>
      </c>
      <c r="Z1621" s="864"/>
      <c r="AA1621" s="863"/>
      <c r="AB1621" s="756">
        <f t="shared" si="220"/>
        <v>0</v>
      </c>
      <c r="AC1621" s="859"/>
      <c r="AD1621" s="863"/>
      <c r="AE1621" s="859"/>
      <c r="AF1621" s="859"/>
      <c r="AG1621" s="864"/>
      <c r="AH1621" s="865"/>
      <c r="AI1621" s="757">
        <f t="shared" si="224"/>
        <v>14225662</v>
      </c>
      <c r="AJ1621" s="758">
        <f t="shared" si="225"/>
        <v>15177771</v>
      </c>
    </row>
    <row r="1622" spans="1:36" x14ac:dyDescent="0.2">
      <c r="A1622" s="1360" t="s">
        <v>152</v>
      </c>
      <c r="B1622" s="1361" t="s">
        <v>272</v>
      </c>
      <c r="C1622" s="1362" t="s">
        <v>509</v>
      </c>
      <c r="D1622" s="1363"/>
      <c r="E1622" s="1108">
        <v>176354</v>
      </c>
      <c r="F1622" s="1109">
        <v>10</v>
      </c>
      <c r="G1622" s="859"/>
      <c r="H1622" s="860"/>
      <c r="I1622" s="861"/>
      <c r="J1622" s="862"/>
      <c r="K1622" s="859"/>
      <c r="L1622" s="863"/>
      <c r="M1622" s="859"/>
      <c r="N1622" s="859"/>
      <c r="O1622" s="752">
        <f t="shared" si="218"/>
        <v>0</v>
      </c>
      <c r="P1622" s="862"/>
      <c r="Q1622" s="860"/>
      <c r="R1622" s="753">
        <f t="shared" si="221"/>
        <v>0</v>
      </c>
      <c r="S1622" s="752">
        <f t="shared" si="222"/>
        <v>0</v>
      </c>
      <c r="T1622" s="754">
        <f t="shared" si="223"/>
        <v>0</v>
      </c>
      <c r="U1622" s="859"/>
      <c r="V1622" s="863"/>
      <c r="W1622" s="859"/>
      <c r="X1622" s="859"/>
      <c r="Y1622" s="755">
        <f t="shared" si="219"/>
        <v>0</v>
      </c>
      <c r="Z1622" s="864"/>
      <c r="AA1622" s="863"/>
      <c r="AB1622" s="756">
        <f t="shared" si="220"/>
        <v>0</v>
      </c>
      <c r="AC1622" s="859"/>
      <c r="AD1622" s="863"/>
      <c r="AE1622" s="859"/>
      <c r="AF1622" s="859"/>
      <c r="AG1622" s="863"/>
      <c r="AH1622" s="865"/>
      <c r="AI1622" s="757">
        <f t="shared" si="224"/>
        <v>0</v>
      </c>
      <c r="AJ1622" s="758">
        <f t="shared" si="225"/>
        <v>0</v>
      </c>
    </row>
    <row r="1623" spans="1:36" x14ac:dyDescent="0.2">
      <c r="A1623" s="1360" t="s">
        <v>152</v>
      </c>
      <c r="B1623" s="1361" t="s">
        <v>272</v>
      </c>
      <c r="C1623" s="1364" t="s">
        <v>1499</v>
      </c>
      <c r="D1623" s="1363"/>
      <c r="E1623" s="1108">
        <v>176354</v>
      </c>
      <c r="F1623" s="1109">
        <v>10</v>
      </c>
      <c r="G1623" s="859"/>
      <c r="H1623" s="860"/>
      <c r="I1623" s="861">
        <v>1048395</v>
      </c>
      <c r="J1623" s="862">
        <v>1013945.66</v>
      </c>
      <c r="K1623" s="859"/>
      <c r="L1623" s="863"/>
      <c r="M1623" s="859"/>
      <c r="N1623" s="859"/>
      <c r="O1623" s="752">
        <f t="shared" si="218"/>
        <v>0</v>
      </c>
      <c r="P1623" s="862"/>
      <c r="Q1623" s="860"/>
      <c r="R1623" s="753">
        <f t="shared" si="221"/>
        <v>0</v>
      </c>
      <c r="S1623" s="752">
        <f t="shared" si="222"/>
        <v>1048395</v>
      </c>
      <c r="T1623" s="754">
        <f t="shared" si="223"/>
        <v>1013945.66</v>
      </c>
      <c r="U1623" s="859"/>
      <c r="V1623" s="863"/>
      <c r="W1623" s="859"/>
      <c r="X1623" s="859"/>
      <c r="Y1623" s="755">
        <f t="shared" si="219"/>
        <v>0</v>
      </c>
      <c r="Z1623" s="864"/>
      <c r="AA1623" s="863"/>
      <c r="AB1623" s="756">
        <f t="shared" si="220"/>
        <v>0</v>
      </c>
      <c r="AC1623" s="859"/>
      <c r="AD1623" s="863"/>
      <c r="AE1623" s="859"/>
      <c r="AF1623" s="859"/>
      <c r="AG1623" s="864"/>
      <c r="AH1623" s="865"/>
      <c r="AI1623" s="757">
        <f t="shared" si="224"/>
        <v>1048395</v>
      </c>
      <c r="AJ1623" s="758">
        <f t="shared" si="225"/>
        <v>1013945.66</v>
      </c>
    </row>
    <row r="1624" spans="1:36" x14ac:dyDescent="0.2">
      <c r="A1624" s="1360" t="s">
        <v>152</v>
      </c>
      <c r="B1624" s="1361" t="s">
        <v>273</v>
      </c>
      <c r="C1624" s="1368" t="s">
        <v>1514</v>
      </c>
      <c r="D1624" s="1367"/>
      <c r="E1624" s="1108"/>
      <c r="F1624" s="1109"/>
      <c r="G1624" s="859"/>
      <c r="H1624" s="860"/>
      <c r="I1624" s="861"/>
      <c r="J1624" s="862"/>
      <c r="K1624" s="859"/>
      <c r="L1624" s="863"/>
      <c r="M1624" s="859"/>
      <c r="N1624" s="859"/>
      <c r="O1624" s="752">
        <f t="shared" si="218"/>
        <v>0</v>
      </c>
      <c r="P1624" s="862"/>
      <c r="Q1624" s="860"/>
      <c r="R1624" s="753">
        <f t="shared" si="221"/>
        <v>0</v>
      </c>
      <c r="S1624" s="752">
        <f t="shared" si="222"/>
        <v>0</v>
      </c>
      <c r="T1624" s="754">
        <f t="shared" si="223"/>
        <v>0</v>
      </c>
      <c r="U1624" s="859"/>
      <c r="V1624" s="863"/>
      <c r="W1624" s="859"/>
      <c r="X1624" s="859"/>
      <c r="Y1624" s="755">
        <f t="shared" si="219"/>
        <v>0</v>
      </c>
      <c r="Z1624" s="864"/>
      <c r="AA1624" s="863"/>
      <c r="AB1624" s="756">
        <f t="shared" si="220"/>
        <v>0</v>
      </c>
      <c r="AC1624" s="859"/>
      <c r="AD1624" s="863"/>
      <c r="AE1624" s="859"/>
      <c r="AF1624" s="859"/>
      <c r="AG1624" s="864"/>
      <c r="AH1624" s="865"/>
      <c r="AI1624" s="757">
        <f t="shared" si="224"/>
        <v>0</v>
      </c>
      <c r="AJ1624" s="758">
        <f t="shared" si="225"/>
        <v>0</v>
      </c>
    </row>
    <row r="1625" spans="1:36" x14ac:dyDescent="0.2">
      <c r="A1625" s="1360" t="s">
        <v>152</v>
      </c>
      <c r="B1625" s="1361" t="s">
        <v>303</v>
      </c>
      <c r="C1625" s="1368" t="s">
        <v>789</v>
      </c>
      <c r="D1625" s="1367"/>
      <c r="E1625" s="1108"/>
      <c r="F1625" s="1109"/>
      <c r="G1625" s="859"/>
      <c r="H1625" s="860"/>
      <c r="I1625" s="861"/>
      <c r="J1625" s="862"/>
      <c r="K1625" s="859"/>
      <c r="L1625" s="863"/>
      <c r="M1625" s="859"/>
      <c r="N1625" s="859"/>
      <c r="O1625" s="752">
        <f t="shared" si="218"/>
        <v>0</v>
      </c>
      <c r="P1625" s="862"/>
      <c r="Q1625" s="860"/>
      <c r="R1625" s="753">
        <f t="shared" si="221"/>
        <v>0</v>
      </c>
      <c r="S1625" s="752">
        <f t="shared" si="222"/>
        <v>0</v>
      </c>
      <c r="T1625" s="754">
        <f t="shared" si="223"/>
        <v>0</v>
      </c>
      <c r="U1625" s="859"/>
      <c r="V1625" s="863"/>
      <c r="W1625" s="859"/>
      <c r="X1625" s="859"/>
      <c r="Y1625" s="755">
        <f t="shared" si="219"/>
        <v>0</v>
      </c>
      <c r="Z1625" s="864"/>
      <c r="AA1625" s="863"/>
      <c r="AB1625" s="756">
        <f t="shared" si="220"/>
        <v>0</v>
      </c>
      <c r="AC1625" s="859"/>
      <c r="AD1625" s="863"/>
      <c r="AE1625" s="859"/>
      <c r="AF1625" s="859"/>
      <c r="AG1625" s="864"/>
      <c r="AH1625" s="865"/>
      <c r="AI1625" s="757">
        <f t="shared" si="224"/>
        <v>0</v>
      </c>
      <c r="AJ1625" s="758">
        <f t="shared" si="225"/>
        <v>0</v>
      </c>
    </row>
    <row r="1626" spans="1:36" x14ac:dyDescent="0.2">
      <c r="A1626" s="1360" t="s">
        <v>152</v>
      </c>
      <c r="B1626" s="1361" t="s">
        <v>303</v>
      </c>
      <c r="C1626" s="1364" t="s">
        <v>1515</v>
      </c>
      <c r="D1626" s="1363"/>
      <c r="E1626" s="1108"/>
      <c r="F1626" s="1109"/>
      <c r="G1626" s="859"/>
      <c r="H1626" s="860"/>
      <c r="I1626" s="861">
        <v>595938.78</v>
      </c>
      <c r="J1626" s="862">
        <v>649432.16</v>
      </c>
      <c r="K1626" s="859"/>
      <c r="L1626" s="863"/>
      <c r="M1626" s="859"/>
      <c r="N1626" s="859"/>
      <c r="O1626" s="752">
        <f t="shared" si="218"/>
        <v>0</v>
      </c>
      <c r="P1626" s="862"/>
      <c r="Q1626" s="860"/>
      <c r="R1626" s="753">
        <f t="shared" si="221"/>
        <v>0</v>
      </c>
      <c r="S1626" s="752">
        <f t="shared" si="222"/>
        <v>595938.78</v>
      </c>
      <c r="T1626" s="754">
        <f t="shared" si="223"/>
        <v>649432.16</v>
      </c>
      <c r="U1626" s="859"/>
      <c r="V1626" s="863"/>
      <c r="W1626" s="859"/>
      <c r="X1626" s="859"/>
      <c r="Y1626" s="755">
        <f t="shared" si="219"/>
        <v>0</v>
      </c>
      <c r="Z1626" s="864"/>
      <c r="AA1626" s="863"/>
      <c r="AB1626" s="756">
        <f t="shared" si="220"/>
        <v>0</v>
      </c>
      <c r="AC1626" s="859"/>
      <c r="AD1626" s="863"/>
      <c r="AE1626" s="859"/>
      <c r="AF1626" s="859"/>
      <c r="AG1626" s="864"/>
      <c r="AH1626" s="865"/>
      <c r="AI1626" s="757">
        <f t="shared" si="224"/>
        <v>595938.78</v>
      </c>
      <c r="AJ1626" s="758">
        <f t="shared" si="225"/>
        <v>649432.16</v>
      </c>
    </row>
    <row r="1627" spans="1:36" x14ac:dyDescent="0.2">
      <c r="A1627" s="1360" t="s">
        <v>152</v>
      </c>
      <c r="B1627" s="1361" t="s">
        <v>303</v>
      </c>
      <c r="C1627" s="1364" t="s">
        <v>91</v>
      </c>
      <c r="D1627" s="1363"/>
      <c r="E1627" s="1108"/>
      <c r="F1627" s="1109"/>
      <c r="G1627" s="859"/>
      <c r="H1627" s="860"/>
      <c r="I1627" s="861"/>
      <c r="J1627" s="862"/>
      <c r="K1627" s="859"/>
      <c r="L1627" s="863"/>
      <c r="M1627" s="859"/>
      <c r="N1627" s="859"/>
      <c r="O1627" s="752">
        <f t="shared" si="218"/>
        <v>0</v>
      </c>
      <c r="P1627" s="862"/>
      <c r="Q1627" s="860"/>
      <c r="R1627" s="753">
        <f t="shared" si="221"/>
        <v>0</v>
      </c>
      <c r="S1627" s="752">
        <f t="shared" si="222"/>
        <v>0</v>
      </c>
      <c r="T1627" s="754">
        <f t="shared" si="223"/>
        <v>0</v>
      </c>
      <c r="U1627" s="859"/>
      <c r="V1627" s="863"/>
      <c r="W1627" s="859"/>
      <c r="X1627" s="859"/>
      <c r="Y1627" s="755">
        <f t="shared" si="219"/>
        <v>0</v>
      </c>
      <c r="Z1627" s="864"/>
      <c r="AA1627" s="863"/>
      <c r="AB1627" s="756">
        <f t="shared" si="220"/>
        <v>0</v>
      </c>
      <c r="AC1627" s="859"/>
      <c r="AD1627" s="863"/>
      <c r="AE1627" s="859"/>
      <c r="AF1627" s="859"/>
      <c r="AG1627" s="864"/>
      <c r="AH1627" s="865"/>
      <c r="AI1627" s="757">
        <f t="shared" si="224"/>
        <v>0</v>
      </c>
      <c r="AJ1627" s="758">
        <f t="shared" si="225"/>
        <v>0</v>
      </c>
    </row>
    <row r="1628" spans="1:36" x14ac:dyDescent="0.2">
      <c r="A1628" s="1360" t="s">
        <v>152</v>
      </c>
      <c r="B1628" s="1361" t="s">
        <v>303</v>
      </c>
      <c r="C1628" s="1364" t="s">
        <v>1516</v>
      </c>
      <c r="D1628" s="1363"/>
      <c r="E1628" s="1108"/>
      <c r="F1628" s="1109"/>
      <c r="G1628" s="859"/>
      <c r="H1628" s="860"/>
      <c r="I1628" s="861">
        <v>542459</v>
      </c>
      <c r="J1628" s="862">
        <v>542459</v>
      </c>
      <c r="K1628" s="859"/>
      <c r="L1628" s="863"/>
      <c r="M1628" s="859"/>
      <c r="N1628" s="859"/>
      <c r="O1628" s="752">
        <f t="shared" si="218"/>
        <v>0</v>
      </c>
      <c r="P1628" s="862"/>
      <c r="Q1628" s="860"/>
      <c r="R1628" s="753">
        <f t="shared" si="221"/>
        <v>0</v>
      </c>
      <c r="S1628" s="752">
        <f t="shared" si="222"/>
        <v>542459</v>
      </c>
      <c r="T1628" s="754">
        <f t="shared" si="223"/>
        <v>542459</v>
      </c>
      <c r="U1628" s="859"/>
      <c r="V1628" s="863"/>
      <c r="W1628" s="859"/>
      <c r="X1628" s="859"/>
      <c r="Y1628" s="755">
        <f t="shared" si="219"/>
        <v>0</v>
      </c>
      <c r="Z1628" s="864"/>
      <c r="AA1628" s="863"/>
      <c r="AB1628" s="756">
        <f t="shared" si="220"/>
        <v>0</v>
      </c>
      <c r="AC1628" s="859"/>
      <c r="AD1628" s="863"/>
      <c r="AE1628" s="859"/>
      <c r="AF1628" s="859"/>
      <c r="AG1628" s="864"/>
      <c r="AH1628" s="865"/>
      <c r="AI1628" s="757">
        <f t="shared" si="224"/>
        <v>542459</v>
      </c>
      <c r="AJ1628" s="758">
        <f t="shared" si="225"/>
        <v>542459</v>
      </c>
    </row>
    <row r="1629" spans="1:36" x14ac:dyDescent="0.2">
      <c r="A1629" s="1360" t="s">
        <v>152</v>
      </c>
      <c r="B1629" s="1361" t="s">
        <v>281</v>
      </c>
      <c r="C1629" s="1368" t="s">
        <v>109</v>
      </c>
      <c r="D1629" s="1367"/>
      <c r="E1629" s="1108"/>
      <c r="F1629" s="1109"/>
      <c r="G1629" s="859"/>
      <c r="H1629" s="860"/>
      <c r="I1629" s="861"/>
      <c r="J1629" s="862"/>
      <c r="K1629" s="859"/>
      <c r="L1629" s="863"/>
      <c r="M1629" s="859"/>
      <c r="N1629" s="859"/>
      <c r="O1629" s="752">
        <f t="shared" si="218"/>
        <v>0</v>
      </c>
      <c r="P1629" s="862"/>
      <c r="Q1629" s="860"/>
      <c r="R1629" s="753">
        <f t="shared" si="221"/>
        <v>0</v>
      </c>
      <c r="S1629" s="752">
        <f t="shared" si="222"/>
        <v>0</v>
      </c>
      <c r="T1629" s="754">
        <f t="shared" si="223"/>
        <v>0</v>
      </c>
      <c r="U1629" s="859"/>
      <c r="V1629" s="863"/>
      <c r="W1629" s="859"/>
      <c r="X1629" s="859"/>
      <c r="Y1629" s="755">
        <f t="shared" si="219"/>
        <v>0</v>
      </c>
      <c r="Z1629" s="864"/>
      <c r="AA1629" s="863"/>
      <c r="AB1629" s="756">
        <f t="shared" si="220"/>
        <v>0</v>
      </c>
      <c r="AC1629" s="859"/>
      <c r="AD1629" s="863"/>
      <c r="AE1629" s="859"/>
      <c r="AF1629" s="859"/>
      <c r="AG1629" s="864"/>
      <c r="AH1629" s="865"/>
      <c r="AI1629" s="757">
        <f t="shared" si="224"/>
        <v>0</v>
      </c>
      <c r="AJ1629" s="758">
        <f t="shared" si="225"/>
        <v>0</v>
      </c>
    </row>
    <row r="1630" spans="1:36" x14ac:dyDescent="0.2">
      <c r="A1630" s="1360" t="s">
        <v>152</v>
      </c>
      <c r="B1630" s="1361" t="s">
        <v>283</v>
      </c>
      <c r="C1630" s="1362" t="s">
        <v>139</v>
      </c>
      <c r="D1630" s="1363"/>
      <c r="E1630" s="1108"/>
      <c r="F1630" s="1109"/>
      <c r="G1630" s="859"/>
      <c r="H1630" s="860"/>
      <c r="I1630" s="861"/>
      <c r="J1630" s="862"/>
      <c r="K1630" s="859"/>
      <c r="L1630" s="863"/>
      <c r="M1630" s="859"/>
      <c r="N1630" s="859"/>
      <c r="O1630" s="752">
        <f t="shared" si="218"/>
        <v>0</v>
      </c>
      <c r="P1630" s="862"/>
      <c r="Q1630" s="860"/>
      <c r="R1630" s="753">
        <f t="shared" si="221"/>
        <v>0</v>
      </c>
      <c r="S1630" s="752">
        <f t="shared" si="222"/>
        <v>0</v>
      </c>
      <c r="T1630" s="754">
        <f t="shared" si="223"/>
        <v>0</v>
      </c>
      <c r="U1630" s="859"/>
      <c r="V1630" s="863"/>
      <c r="W1630" s="859"/>
      <c r="X1630" s="859"/>
      <c r="Y1630" s="755">
        <f t="shared" si="219"/>
        <v>0</v>
      </c>
      <c r="Z1630" s="864"/>
      <c r="AA1630" s="863"/>
      <c r="AB1630" s="756">
        <f t="shared" si="220"/>
        <v>0</v>
      </c>
      <c r="AC1630" s="859"/>
      <c r="AD1630" s="863"/>
      <c r="AE1630" s="859"/>
      <c r="AF1630" s="859"/>
      <c r="AG1630" s="864"/>
      <c r="AH1630" s="865"/>
      <c r="AI1630" s="757">
        <f t="shared" si="224"/>
        <v>0</v>
      </c>
      <c r="AJ1630" s="758">
        <f t="shared" si="225"/>
        <v>0</v>
      </c>
    </row>
    <row r="1631" spans="1:36" x14ac:dyDescent="0.2">
      <c r="A1631" s="1360" t="s">
        <v>152</v>
      </c>
      <c r="B1631" s="1361" t="s">
        <v>283</v>
      </c>
      <c r="C1631" s="1364" t="s">
        <v>1517</v>
      </c>
      <c r="D1631" s="1363"/>
      <c r="E1631" s="1108"/>
      <c r="F1631" s="1109"/>
      <c r="G1631" s="859"/>
      <c r="H1631" s="860"/>
      <c r="I1631" s="861"/>
      <c r="J1631" s="862"/>
      <c r="K1631" s="859"/>
      <c r="L1631" s="863"/>
      <c r="M1631" s="859"/>
      <c r="N1631" s="859"/>
      <c r="O1631" s="752">
        <f t="shared" si="218"/>
        <v>0</v>
      </c>
      <c r="P1631" s="862"/>
      <c r="Q1631" s="860"/>
      <c r="R1631" s="753">
        <f t="shared" si="221"/>
        <v>0</v>
      </c>
      <c r="S1631" s="752">
        <f t="shared" si="222"/>
        <v>0</v>
      </c>
      <c r="T1631" s="754">
        <f t="shared" si="223"/>
        <v>0</v>
      </c>
      <c r="U1631" s="859">
        <v>2445396</v>
      </c>
      <c r="V1631" s="863"/>
      <c r="W1631" s="859"/>
      <c r="X1631" s="859"/>
      <c r="Y1631" s="755">
        <f t="shared" si="219"/>
        <v>0</v>
      </c>
      <c r="Z1631" s="864"/>
      <c r="AA1631" s="863"/>
      <c r="AB1631" s="756">
        <f t="shared" si="220"/>
        <v>0</v>
      </c>
      <c r="AC1631" s="859"/>
      <c r="AD1631" s="863"/>
      <c r="AE1631" s="859"/>
      <c r="AF1631" s="859"/>
      <c r="AG1631" s="864"/>
      <c r="AH1631" s="865"/>
      <c r="AI1631" s="757">
        <f t="shared" si="224"/>
        <v>2445396</v>
      </c>
      <c r="AJ1631" s="758">
        <f t="shared" si="225"/>
        <v>0</v>
      </c>
    </row>
    <row r="1632" spans="1:36" x14ac:dyDescent="0.2">
      <c r="A1632" s="1022" t="s">
        <v>153</v>
      </c>
      <c r="B1632" s="1023" t="s">
        <v>264</v>
      </c>
      <c r="C1632" s="1024" t="s">
        <v>811</v>
      </c>
      <c r="D1632" s="1025"/>
      <c r="E1632" s="1026">
        <v>199193</v>
      </c>
      <c r="F1632" s="1027">
        <v>1</v>
      </c>
      <c r="G1632" s="859">
        <v>350081386</v>
      </c>
      <c r="H1632" s="860">
        <v>348292433</v>
      </c>
      <c r="I1632" s="861"/>
      <c r="J1632" s="862"/>
      <c r="K1632" s="859"/>
      <c r="L1632" s="863"/>
      <c r="M1632" s="859">
        <v>264635966</v>
      </c>
      <c r="N1632" s="859"/>
      <c r="O1632" s="752">
        <f t="shared" si="218"/>
        <v>264635966</v>
      </c>
      <c r="P1632" s="862">
        <v>275065202</v>
      </c>
      <c r="Q1632" s="860"/>
      <c r="R1632" s="753">
        <f t="shared" si="221"/>
        <v>275065202</v>
      </c>
      <c r="S1632" s="752">
        <f t="shared" si="222"/>
        <v>614717352</v>
      </c>
      <c r="T1632" s="754">
        <f t="shared" si="223"/>
        <v>623357635</v>
      </c>
      <c r="U1632" s="859"/>
      <c r="V1632" s="863"/>
      <c r="W1632" s="859"/>
      <c r="X1632" s="859"/>
      <c r="Y1632" s="755">
        <f t="shared" si="219"/>
        <v>0</v>
      </c>
      <c r="Z1632" s="864"/>
      <c r="AA1632" s="863"/>
      <c r="AB1632" s="756">
        <f t="shared" si="220"/>
        <v>0</v>
      </c>
      <c r="AC1632" s="859"/>
      <c r="AD1632" s="863"/>
      <c r="AE1632" s="859"/>
      <c r="AF1632" s="859"/>
      <c r="AG1632" s="863"/>
      <c r="AH1632" s="865"/>
      <c r="AI1632" s="757">
        <f t="shared" si="224"/>
        <v>614717352</v>
      </c>
      <c r="AJ1632" s="758">
        <f t="shared" si="225"/>
        <v>623357635</v>
      </c>
    </row>
    <row r="1633" spans="1:36" x14ac:dyDescent="0.2">
      <c r="A1633" s="1022" t="s">
        <v>153</v>
      </c>
      <c r="B1633" s="1023" t="s">
        <v>280</v>
      </c>
      <c r="C1633" s="1028" t="s">
        <v>758</v>
      </c>
      <c r="D1633" s="1029"/>
      <c r="E1633" s="1026">
        <v>199193</v>
      </c>
      <c r="F1633" s="1027">
        <v>1</v>
      </c>
      <c r="G1633" s="859"/>
      <c r="H1633" s="860"/>
      <c r="I1633" s="861"/>
      <c r="J1633" s="862"/>
      <c r="K1633" s="859"/>
      <c r="L1633" s="863"/>
      <c r="M1633" s="859">
        <v>0</v>
      </c>
      <c r="N1633" s="859"/>
      <c r="O1633" s="752">
        <f t="shared" si="218"/>
        <v>0</v>
      </c>
      <c r="P1633" s="862"/>
      <c r="Q1633" s="860"/>
      <c r="R1633" s="753">
        <f t="shared" si="221"/>
        <v>0</v>
      </c>
      <c r="S1633" s="752">
        <f t="shared" si="222"/>
        <v>0</v>
      </c>
      <c r="T1633" s="754">
        <f t="shared" si="223"/>
        <v>0</v>
      </c>
      <c r="U1633" s="859"/>
      <c r="V1633" s="863"/>
      <c r="W1633" s="859"/>
      <c r="X1633" s="859"/>
      <c r="Y1633" s="755">
        <f t="shared" si="219"/>
        <v>0</v>
      </c>
      <c r="Z1633" s="864"/>
      <c r="AA1633" s="863"/>
      <c r="AB1633" s="756">
        <f t="shared" si="220"/>
        <v>0</v>
      </c>
      <c r="AC1633" s="859">
        <v>33024370</v>
      </c>
      <c r="AD1633" s="863">
        <v>33229380</v>
      </c>
      <c r="AE1633" s="859">
        <v>5061928</v>
      </c>
      <c r="AF1633" s="859"/>
      <c r="AG1633" s="864">
        <v>5820609</v>
      </c>
      <c r="AH1633" s="865"/>
      <c r="AI1633" s="757">
        <f t="shared" si="224"/>
        <v>38086298</v>
      </c>
      <c r="AJ1633" s="758">
        <f t="shared" si="225"/>
        <v>39049989</v>
      </c>
    </row>
    <row r="1634" spans="1:36" x14ac:dyDescent="0.2">
      <c r="A1634" s="1022" t="s">
        <v>153</v>
      </c>
      <c r="B1634" s="1023" t="s">
        <v>268</v>
      </c>
      <c r="C1634" s="1030" t="s">
        <v>257</v>
      </c>
      <c r="D1634" s="1029"/>
      <c r="E1634" s="1026">
        <v>199193</v>
      </c>
      <c r="F1634" s="1027">
        <v>1</v>
      </c>
      <c r="G1634" s="859"/>
      <c r="H1634" s="860"/>
      <c r="I1634" s="861">
        <v>39859680</v>
      </c>
      <c r="J1634" s="862">
        <v>38552799</v>
      </c>
      <c r="K1634" s="859"/>
      <c r="L1634" s="863"/>
      <c r="M1634" s="859"/>
      <c r="N1634" s="859"/>
      <c r="O1634" s="752">
        <f t="shared" si="218"/>
        <v>0</v>
      </c>
      <c r="P1634" s="862"/>
      <c r="Q1634" s="860"/>
      <c r="R1634" s="753">
        <f t="shared" si="221"/>
        <v>0</v>
      </c>
      <c r="S1634" s="752">
        <f t="shared" si="222"/>
        <v>39859680</v>
      </c>
      <c r="T1634" s="754">
        <f t="shared" si="223"/>
        <v>38552799</v>
      </c>
      <c r="U1634" s="859"/>
      <c r="V1634" s="863"/>
      <c r="W1634" s="859"/>
      <c r="X1634" s="859"/>
      <c r="Y1634" s="755">
        <f t="shared" si="219"/>
        <v>0</v>
      </c>
      <c r="Z1634" s="864"/>
      <c r="AA1634" s="863"/>
      <c r="AB1634" s="756">
        <f t="shared" si="220"/>
        <v>0</v>
      </c>
      <c r="AC1634" s="859"/>
      <c r="AD1634" s="863"/>
      <c r="AE1634" s="859"/>
      <c r="AF1634" s="859"/>
      <c r="AG1634" s="864"/>
      <c r="AH1634" s="865"/>
      <c r="AI1634" s="757">
        <f t="shared" si="224"/>
        <v>39859680</v>
      </c>
      <c r="AJ1634" s="758">
        <f t="shared" si="225"/>
        <v>38552799</v>
      </c>
    </row>
    <row r="1635" spans="1:36" x14ac:dyDescent="0.2">
      <c r="A1635" s="1022" t="s">
        <v>153</v>
      </c>
      <c r="B1635" s="1023" t="s">
        <v>269</v>
      </c>
      <c r="C1635" s="1030" t="s">
        <v>256</v>
      </c>
      <c r="D1635" s="1029"/>
      <c r="E1635" s="1026">
        <v>199193</v>
      </c>
      <c r="F1635" s="1027">
        <v>1</v>
      </c>
      <c r="G1635" s="859"/>
      <c r="H1635" s="860"/>
      <c r="I1635" s="861"/>
      <c r="J1635" s="862"/>
      <c r="K1635" s="859"/>
      <c r="L1635" s="863"/>
      <c r="M1635" s="859">
        <v>0</v>
      </c>
      <c r="N1635" s="859"/>
      <c r="O1635" s="752">
        <f t="shared" si="218"/>
        <v>0</v>
      </c>
      <c r="P1635" s="862"/>
      <c r="Q1635" s="860"/>
      <c r="R1635" s="753">
        <f t="shared" si="221"/>
        <v>0</v>
      </c>
      <c r="S1635" s="752">
        <f t="shared" si="222"/>
        <v>0</v>
      </c>
      <c r="T1635" s="754">
        <f t="shared" si="223"/>
        <v>0</v>
      </c>
      <c r="U1635" s="859"/>
      <c r="V1635" s="863"/>
      <c r="W1635" s="859"/>
      <c r="X1635" s="859"/>
      <c r="Y1635" s="755">
        <f t="shared" si="219"/>
        <v>0</v>
      </c>
      <c r="Z1635" s="864"/>
      <c r="AA1635" s="863"/>
      <c r="AB1635" s="756">
        <f t="shared" si="220"/>
        <v>0</v>
      </c>
      <c r="AC1635" s="859"/>
      <c r="AD1635" s="863"/>
      <c r="AE1635" s="859"/>
      <c r="AF1635" s="859"/>
      <c r="AG1635" s="864"/>
      <c r="AH1635" s="865"/>
      <c r="AI1635" s="757">
        <f t="shared" si="224"/>
        <v>0</v>
      </c>
      <c r="AJ1635" s="758">
        <f t="shared" si="225"/>
        <v>0</v>
      </c>
    </row>
    <row r="1636" spans="1:36" x14ac:dyDescent="0.2">
      <c r="A1636" s="1022" t="s">
        <v>153</v>
      </c>
      <c r="B1636" s="1023" t="s">
        <v>269</v>
      </c>
      <c r="C1636" s="1028" t="s">
        <v>812</v>
      </c>
      <c r="D1636" s="1029"/>
      <c r="E1636" s="1026">
        <v>199193</v>
      </c>
      <c r="F1636" s="1027">
        <v>1</v>
      </c>
      <c r="G1636" s="859"/>
      <c r="H1636" s="860"/>
      <c r="I1636" s="861">
        <v>54926026</v>
      </c>
      <c r="J1636" s="862">
        <v>53238851</v>
      </c>
      <c r="K1636" s="859"/>
      <c r="L1636" s="863"/>
      <c r="M1636" s="859"/>
      <c r="N1636" s="859"/>
      <c r="O1636" s="752">
        <f t="shared" si="218"/>
        <v>0</v>
      </c>
      <c r="P1636" s="862"/>
      <c r="Q1636" s="860"/>
      <c r="R1636" s="753">
        <f t="shared" si="221"/>
        <v>0</v>
      </c>
      <c r="S1636" s="752">
        <f t="shared" si="222"/>
        <v>54926026</v>
      </c>
      <c r="T1636" s="754">
        <f t="shared" si="223"/>
        <v>53238851</v>
      </c>
      <c r="U1636" s="859"/>
      <c r="V1636" s="863"/>
      <c r="W1636" s="859"/>
      <c r="X1636" s="859"/>
      <c r="Y1636" s="755">
        <f t="shared" si="219"/>
        <v>0</v>
      </c>
      <c r="Z1636" s="864"/>
      <c r="AA1636" s="863"/>
      <c r="AB1636" s="756">
        <f t="shared" si="220"/>
        <v>0</v>
      </c>
      <c r="AC1636" s="859"/>
      <c r="AD1636" s="863"/>
      <c r="AE1636" s="859"/>
      <c r="AF1636" s="859"/>
      <c r="AG1636" s="864"/>
      <c r="AH1636" s="865"/>
      <c r="AI1636" s="757">
        <f t="shared" si="224"/>
        <v>54926026</v>
      </c>
      <c r="AJ1636" s="758">
        <f t="shared" si="225"/>
        <v>53238851</v>
      </c>
    </row>
    <row r="1637" spans="1:36" x14ac:dyDescent="0.2">
      <c r="A1637" s="1022" t="s">
        <v>153</v>
      </c>
      <c r="B1637" s="1023" t="s">
        <v>264</v>
      </c>
      <c r="C1637" s="1024" t="s">
        <v>813</v>
      </c>
      <c r="D1637" s="1025"/>
      <c r="E1637" s="1026">
        <v>199120</v>
      </c>
      <c r="F1637" s="1027">
        <v>1</v>
      </c>
      <c r="G1637" s="859">
        <v>274884226</v>
      </c>
      <c r="H1637" s="860">
        <v>263674548</v>
      </c>
      <c r="I1637" s="861"/>
      <c r="J1637" s="862"/>
      <c r="K1637" s="859"/>
      <c r="L1637" s="863"/>
      <c r="M1637" s="859">
        <v>243895327</v>
      </c>
      <c r="N1637" s="859"/>
      <c r="O1637" s="752">
        <f t="shared" si="218"/>
        <v>243895327</v>
      </c>
      <c r="P1637" s="862">
        <v>267312623</v>
      </c>
      <c r="Q1637" s="860"/>
      <c r="R1637" s="753">
        <f t="shared" si="221"/>
        <v>267312623</v>
      </c>
      <c r="S1637" s="752">
        <f t="shared" si="222"/>
        <v>518779553</v>
      </c>
      <c r="T1637" s="754">
        <f t="shared" si="223"/>
        <v>530987171</v>
      </c>
      <c r="U1637" s="859"/>
      <c r="V1637" s="863"/>
      <c r="W1637" s="859"/>
      <c r="X1637" s="859"/>
      <c r="Y1637" s="755">
        <f t="shared" si="219"/>
        <v>0</v>
      </c>
      <c r="Z1637" s="864"/>
      <c r="AA1637" s="863"/>
      <c r="AB1637" s="756">
        <f t="shared" si="220"/>
        <v>0</v>
      </c>
      <c r="AC1637" s="859"/>
      <c r="AD1637" s="863"/>
      <c r="AE1637" s="859"/>
      <c r="AF1637" s="859"/>
      <c r="AG1637" s="864"/>
      <c r="AH1637" s="865"/>
      <c r="AI1637" s="757">
        <f t="shared" si="224"/>
        <v>518779553</v>
      </c>
      <c r="AJ1637" s="758">
        <f t="shared" si="225"/>
        <v>530987171</v>
      </c>
    </row>
    <row r="1638" spans="1:36" x14ac:dyDescent="0.2">
      <c r="A1638" s="1022" t="s">
        <v>153</v>
      </c>
      <c r="B1638" s="1023" t="s">
        <v>280</v>
      </c>
      <c r="C1638" s="1030" t="s">
        <v>814</v>
      </c>
      <c r="D1638" s="1029"/>
      <c r="E1638" s="1026">
        <v>199120</v>
      </c>
      <c r="F1638" s="1027">
        <v>1</v>
      </c>
      <c r="G1638" s="859"/>
      <c r="H1638" s="860"/>
      <c r="I1638" s="861"/>
      <c r="J1638" s="862"/>
      <c r="K1638" s="859"/>
      <c r="L1638" s="863"/>
      <c r="M1638" s="859">
        <v>0</v>
      </c>
      <c r="N1638" s="859"/>
      <c r="O1638" s="752">
        <f t="shared" si="218"/>
        <v>0</v>
      </c>
      <c r="P1638" s="862"/>
      <c r="Q1638" s="860"/>
      <c r="R1638" s="753">
        <f t="shared" si="221"/>
        <v>0</v>
      </c>
      <c r="S1638" s="752">
        <f t="shared" si="222"/>
        <v>0</v>
      </c>
      <c r="T1638" s="754">
        <f t="shared" si="223"/>
        <v>0</v>
      </c>
      <c r="U1638" s="859"/>
      <c r="V1638" s="863"/>
      <c r="W1638" s="859"/>
      <c r="X1638" s="859"/>
      <c r="Y1638" s="755">
        <f t="shared" si="219"/>
        <v>0</v>
      </c>
      <c r="Z1638" s="864"/>
      <c r="AA1638" s="863"/>
      <c r="AB1638" s="756">
        <f t="shared" si="220"/>
        <v>0</v>
      </c>
      <c r="AC1638" s="859"/>
      <c r="AD1638" s="863"/>
      <c r="AE1638" s="859"/>
      <c r="AF1638" s="859"/>
      <c r="AG1638" s="864"/>
      <c r="AH1638" s="865"/>
      <c r="AI1638" s="757">
        <f t="shared" si="224"/>
        <v>0</v>
      </c>
      <c r="AJ1638" s="758">
        <f t="shared" si="225"/>
        <v>0</v>
      </c>
    </row>
    <row r="1639" spans="1:36" x14ac:dyDescent="0.2">
      <c r="A1639" s="1022" t="s">
        <v>153</v>
      </c>
      <c r="B1639" s="1023" t="s">
        <v>280</v>
      </c>
      <c r="C1639" s="1028" t="s">
        <v>678</v>
      </c>
      <c r="D1639" s="1029"/>
      <c r="E1639" s="1026">
        <v>199120</v>
      </c>
      <c r="F1639" s="1027">
        <v>1</v>
      </c>
      <c r="G1639" s="859"/>
      <c r="H1639" s="860"/>
      <c r="I1639" s="861"/>
      <c r="J1639" s="862"/>
      <c r="K1639" s="859"/>
      <c r="L1639" s="863"/>
      <c r="M1639" s="859">
        <v>0</v>
      </c>
      <c r="N1639" s="859"/>
      <c r="O1639" s="752">
        <f t="shared" si="218"/>
        <v>0</v>
      </c>
      <c r="P1639" s="862"/>
      <c r="Q1639" s="860"/>
      <c r="R1639" s="753">
        <f t="shared" si="221"/>
        <v>0</v>
      </c>
      <c r="S1639" s="752">
        <f t="shared" si="222"/>
        <v>0</v>
      </c>
      <c r="T1639" s="754">
        <f t="shared" si="223"/>
        <v>0</v>
      </c>
      <c r="U1639" s="859"/>
      <c r="V1639" s="863"/>
      <c r="W1639" s="859"/>
      <c r="X1639" s="859"/>
      <c r="Y1639" s="755">
        <f t="shared" si="219"/>
        <v>0</v>
      </c>
      <c r="Z1639" s="864"/>
      <c r="AA1639" s="863"/>
      <c r="AB1639" s="756">
        <f t="shared" si="220"/>
        <v>0</v>
      </c>
      <c r="AC1639" s="859">
        <v>197324223</v>
      </c>
      <c r="AD1639" s="863">
        <v>181460003</v>
      </c>
      <c r="AE1639" s="859">
        <v>84937798</v>
      </c>
      <c r="AF1639" s="859"/>
      <c r="AG1639" s="998">
        <v>100692517</v>
      </c>
      <c r="AH1639" s="865"/>
      <c r="AI1639" s="757">
        <f t="shared" si="224"/>
        <v>282262021</v>
      </c>
      <c r="AJ1639" s="758">
        <f t="shared" si="225"/>
        <v>282152520</v>
      </c>
    </row>
    <row r="1640" spans="1:36" x14ac:dyDescent="0.2">
      <c r="A1640" s="1022" t="s">
        <v>153</v>
      </c>
      <c r="B1640" s="1023" t="s">
        <v>264</v>
      </c>
      <c r="C1640" s="1031" t="s">
        <v>815</v>
      </c>
      <c r="D1640" s="1032"/>
      <c r="E1640" s="1026">
        <v>199148</v>
      </c>
      <c r="F1640" s="1141">
        <v>1</v>
      </c>
      <c r="G1640" s="859">
        <v>154250591</v>
      </c>
      <c r="H1640" s="860">
        <v>148882530</v>
      </c>
      <c r="I1640" s="861"/>
      <c r="J1640" s="862"/>
      <c r="K1640" s="859"/>
      <c r="L1640" s="863"/>
      <c r="M1640" s="859">
        <v>83061190</v>
      </c>
      <c r="N1640" s="859"/>
      <c r="O1640" s="752">
        <f t="shared" si="218"/>
        <v>83061190</v>
      </c>
      <c r="P1640" s="862">
        <v>85067369</v>
      </c>
      <c r="Q1640" s="860"/>
      <c r="R1640" s="753">
        <f t="shared" si="221"/>
        <v>85067369</v>
      </c>
      <c r="S1640" s="752">
        <f t="shared" si="222"/>
        <v>237311781</v>
      </c>
      <c r="T1640" s="754">
        <f t="shared" si="223"/>
        <v>233949899</v>
      </c>
      <c r="U1640" s="859"/>
      <c r="V1640" s="863"/>
      <c r="W1640" s="859"/>
      <c r="X1640" s="859"/>
      <c r="Y1640" s="755">
        <f t="shared" si="219"/>
        <v>0</v>
      </c>
      <c r="Z1640" s="864"/>
      <c r="AA1640" s="863"/>
      <c r="AB1640" s="756">
        <f t="shared" si="220"/>
        <v>0</v>
      </c>
      <c r="AC1640" s="859"/>
      <c r="AD1640" s="863"/>
      <c r="AE1640" s="859"/>
      <c r="AF1640" s="859"/>
      <c r="AG1640" s="863"/>
      <c r="AH1640" s="865"/>
      <c r="AI1640" s="757">
        <f t="shared" si="224"/>
        <v>237311781</v>
      </c>
      <c r="AJ1640" s="758">
        <f t="shared" si="225"/>
        <v>233949899</v>
      </c>
    </row>
    <row r="1641" spans="1:36" x14ac:dyDescent="0.2">
      <c r="A1641" s="1022" t="s">
        <v>153</v>
      </c>
      <c r="B1641" s="1023" t="s">
        <v>264</v>
      </c>
      <c r="C1641" s="1031" t="s">
        <v>816</v>
      </c>
      <c r="D1641" s="1032"/>
      <c r="E1641" s="1026">
        <v>198464</v>
      </c>
      <c r="F1641" s="1039">
        <v>2</v>
      </c>
      <c r="G1641" s="859">
        <v>219041117</v>
      </c>
      <c r="H1641" s="860">
        <v>212466345</v>
      </c>
      <c r="I1641" s="861"/>
      <c r="J1641" s="862"/>
      <c r="K1641" s="859"/>
      <c r="L1641" s="863"/>
      <c r="M1641" s="859">
        <v>139423646.83000001</v>
      </c>
      <c r="N1641" s="859"/>
      <c r="O1641" s="752">
        <f t="shared" si="218"/>
        <v>139423646.83000001</v>
      </c>
      <c r="P1641" s="862">
        <v>155263099</v>
      </c>
      <c r="Q1641" s="860"/>
      <c r="R1641" s="753">
        <f t="shared" si="221"/>
        <v>155263099</v>
      </c>
      <c r="S1641" s="752">
        <f t="shared" si="222"/>
        <v>358464763.83000004</v>
      </c>
      <c r="T1641" s="754">
        <f t="shared" si="223"/>
        <v>367729444</v>
      </c>
      <c r="U1641" s="859"/>
      <c r="V1641" s="863"/>
      <c r="W1641" s="859"/>
      <c r="X1641" s="859"/>
      <c r="Y1641" s="755">
        <f t="shared" si="219"/>
        <v>0</v>
      </c>
      <c r="Z1641" s="864"/>
      <c r="AA1641" s="863"/>
      <c r="AB1641" s="756">
        <f t="shared" si="220"/>
        <v>0</v>
      </c>
      <c r="AC1641" s="859"/>
      <c r="AD1641" s="863"/>
      <c r="AE1641" s="859"/>
      <c r="AF1641" s="859"/>
      <c r="AG1641" s="864"/>
      <c r="AH1641" s="865"/>
      <c r="AI1641" s="757">
        <f t="shared" si="224"/>
        <v>358464763.83000004</v>
      </c>
      <c r="AJ1641" s="758">
        <f t="shared" si="225"/>
        <v>367729444</v>
      </c>
    </row>
    <row r="1642" spans="1:36" x14ac:dyDescent="0.2">
      <c r="A1642" s="1022" t="s">
        <v>153</v>
      </c>
      <c r="B1642" s="1023" t="s">
        <v>280</v>
      </c>
      <c r="C1642" s="1028" t="s">
        <v>678</v>
      </c>
      <c r="D1642" s="1029"/>
      <c r="E1642" s="1026">
        <v>198464</v>
      </c>
      <c r="F1642" s="1039">
        <v>2</v>
      </c>
      <c r="G1642" s="859"/>
      <c r="H1642" s="860"/>
      <c r="I1642" s="861"/>
      <c r="J1642" s="862"/>
      <c r="K1642" s="859"/>
      <c r="L1642" s="863"/>
      <c r="M1642" s="859">
        <v>0</v>
      </c>
      <c r="N1642" s="859"/>
      <c r="O1642" s="752">
        <f t="shared" si="218"/>
        <v>0</v>
      </c>
      <c r="P1642" s="862"/>
      <c r="Q1642" s="860"/>
      <c r="R1642" s="753">
        <f t="shared" si="221"/>
        <v>0</v>
      </c>
      <c r="S1642" s="752">
        <f t="shared" si="222"/>
        <v>0</v>
      </c>
      <c r="T1642" s="754">
        <f t="shared" si="223"/>
        <v>0</v>
      </c>
      <c r="U1642" s="859"/>
      <c r="V1642" s="863"/>
      <c r="W1642" s="859"/>
      <c r="X1642" s="859"/>
      <c r="Y1642" s="755">
        <f t="shared" si="219"/>
        <v>0</v>
      </c>
      <c r="Z1642" s="864"/>
      <c r="AA1642" s="863"/>
      <c r="AB1642" s="756">
        <f t="shared" si="220"/>
        <v>0</v>
      </c>
      <c r="AC1642" s="859">
        <v>64792309</v>
      </c>
      <c r="AD1642" s="863">
        <v>65209669</v>
      </c>
      <c r="AE1642" s="859">
        <v>6309963</v>
      </c>
      <c r="AF1642" s="859"/>
      <c r="AG1642" s="998">
        <v>8364718</v>
      </c>
      <c r="AH1642" s="865"/>
      <c r="AI1642" s="757">
        <f t="shared" si="224"/>
        <v>71102272</v>
      </c>
      <c r="AJ1642" s="758">
        <f t="shared" si="225"/>
        <v>73574387</v>
      </c>
    </row>
    <row r="1643" spans="1:36" x14ac:dyDescent="0.2">
      <c r="A1643" s="1022" t="s">
        <v>153</v>
      </c>
      <c r="B1643" s="1023" t="s">
        <v>264</v>
      </c>
      <c r="C1643" s="1024" t="s">
        <v>817</v>
      </c>
      <c r="D1643" s="1034" t="s">
        <v>1130</v>
      </c>
      <c r="E1643" s="1026">
        <v>199139</v>
      </c>
      <c r="F1643" s="1027">
        <v>2</v>
      </c>
      <c r="G1643" s="859">
        <v>191397836</v>
      </c>
      <c r="H1643" s="860">
        <v>193649824</v>
      </c>
      <c r="I1643" s="861"/>
      <c r="J1643" s="862"/>
      <c r="K1643" s="859"/>
      <c r="L1643" s="863"/>
      <c r="M1643" s="859">
        <v>116128651</v>
      </c>
      <c r="N1643" s="859"/>
      <c r="O1643" s="752">
        <f t="shared" si="218"/>
        <v>116128651</v>
      </c>
      <c r="P1643" s="862">
        <v>120457064</v>
      </c>
      <c r="Q1643" s="860"/>
      <c r="R1643" s="753">
        <f t="shared" si="221"/>
        <v>120457064</v>
      </c>
      <c r="S1643" s="752">
        <f t="shared" si="222"/>
        <v>307526487</v>
      </c>
      <c r="T1643" s="754">
        <f t="shared" si="223"/>
        <v>314106888</v>
      </c>
      <c r="U1643" s="859"/>
      <c r="V1643" s="863"/>
      <c r="W1643" s="859"/>
      <c r="X1643" s="859"/>
      <c r="Y1643" s="755">
        <f t="shared" si="219"/>
        <v>0</v>
      </c>
      <c r="Z1643" s="864"/>
      <c r="AA1643" s="863"/>
      <c r="AB1643" s="756">
        <f t="shared" si="220"/>
        <v>0</v>
      </c>
      <c r="AC1643" s="859"/>
      <c r="AD1643" s="863"/>
      <c r="AE1643" s="859"/>
      <c r="AF1643" s="859"/>
      <c r="AG1643" s="864"/>
      <c r="AH1643" s="865"/>
      <c r="AI1643" s="757">
        <f t="shared" si="224"/>
        <v>307526487</v>
      </c>
      <c r="AJ1643" s="758">
        <f t="shared" si="225"/>
        <v>314106888</v>
      </c>
    </row>
    <row r="1644" spans="1:36" x14ac:dyDescent="0.2">
      <c r="A1644" s="1022" t="s">
        <v>153</v>
      </c>
      <c r="B1644" s="1023" t="s">
        <v>264</v>
      </c>
      <c r="C1644" s="1024" t="s">
        <v>818</v>
      </c>
      <c r="D1644" s="1025"/>
      <c r="E1644" s="1026">
        <v>197869</v>
      </c>
      <c r="F1644" s="1027">
        <v>3</v>
      </c>
      <c r="G1644" s="859">
        <v>127853035</v>
      </c>
      <c r="H1644" s="860">
        <v>128414259</v>
      </c>
      <c r="I1644" s="861"/>
      <c r="J1644" s="862"/>
      <c r="K1644" s="859"/>
      <c r="L1644" s="863"/>
      <c r="M1644" s="859">
        <v>78199334</v>
      </c>
      <c r="N1644" s="859"/>
      <c r="O1644" s="752">
        <f t="shared" si="218"/>
        <v>78199334</v>
      </c>
      <c r="P1644" s="862">
        <v>83543651</v>
      </c>
      <c r="Q1644" s="860"/>
      <c r="R1644" s="753">
        <f t="shared" si="221"/>
        <v>83543651</v>
      </c>
      <c r="S1644" s="752">
        <f t="shared" si="222"/>
        <v>206052369</v>
      </c>
      <c r="T1644" s="754">
        <f t="shared" si="223"/>
        <v>211957910</v>
      </c>
      <c r="U1644" s="859"/>
      <c r="V1644" s="863"/>
      <c r="W1644" s="859"/>
      <c r="X1644" s="859"/>
      <c r="Y1644" s="755">
        <f t="shared" si="219"/>
        <v>0</v>
      </c>
      <c r="Z1644" s="864"/>
      <c r="AA1644" s="863"/>
      <c r="AB1644" s="756">
        <f t="shared" si="220"/>
        <v>0</v>
      </c>
      <c r="AC1644" s="859"/>
      <c r="AD1644" s="863"/>
      <c r="AE1644" s="859"/>
      <c r="AF1644" s="859"/>
      <c r="AG1644" s="864"/>
      <c r="AH1644" s="865"/>
      <c r="AI1644" s="757">
        <f t="shared" si="224"/>
        <v>206052369</v>
      </c>
      <c r="AJ1644" s="758">
        <f t="shared" si="225"/>
        <v>211957910</v>
      </c>
    </row>
    <row r="1645" spans="1:36" x14ac:dyDescent="0.2">
      <c r="A1645" s="1022" t="s">
        <v>153</v>
      </c>
      <c r="B1645" s="1023" t="s">
        <v>264</v>
      </c>
      <c r="C1645" s="1024" t="s">
        <v>819</v>
      </c>
      <c r="D1645" s="1025"/>
      <c r="E1645" s="1026">
        <v>199102</v>
      </c>
      <c r="F1645" s="1027">
        <v>3</v>
      </c>
      <c r="G1645" s="859">
        <v>97475794</v>
      </c>
      <c r="H1645" s="860">
        <v>93547596</v>
      </c>
      <c r="I1645" s="861"/>
      <c r="J1645" s="862"/>
      <c r="K1645" s="859"/>
      <c r="L1645" s="863"/>
      <c r="M1645" s="859">
        <v>52499277</v>
      </c>
      <c r="N1645" s="859"/>
      <c r="O1645" s="752">
        <f t="shared" si="218"/>
        <v>52499277</v>
      </c>
      <c r="P1645" s="862">
        <v>54507295</v>
      </c>
      <c r="Q1645" s="860"/>
      <c r="R1645" s="753">
        <f t="shared" si="221"/>
        <v>54507295</v>
      </c>
      <c r="S1645" s="752">
        <f t="shared" si="222"/>
        <v>149975071</v>
      </c>
      <c r="T1645" s="754">
        <f t="shared" si="223"/>
        <v>148054891</v>
      </c>
      <c r="U1645" s="859"/>
      <c r="V1645" s="863"/>
      <c r="W1645" s="859"/>
      <c r="X1645" s="859"/>
      <c r="Y1645" s="755">
        <f t="shared" si="219"/>
        <v>0</v>
      </c>
      <c r="Z1645" s="864"/>
      <c r="AA1645" s="863"/>
      <c r="AB1645" s="756">
        <f t="shared" si="220"/>
        <v>0</v>
      </c>
      <c r="AC1645" s="859"/>
      <c r="AD1645" s="863"/>
      <c r="AE1645" s="859"/>
      <c r="AF1645" s="859"/>
      <c r="AG1645" s="864"/>
      <c r="AH1645" s="865"/>
      <c r="AI1645" s="757">
        <f t="shared" si="224"/>
        <v>149975071</v>
      </c>
      <c r="AJ1645" s="758">
        <f t="shared" si="225"/>
        <v>148054891</v>
      </c>
    </row>
    <row r="1646" spans="1:36" x14ac:dyDescent="0.2">
      <c r="A1646" s="1022" t="s">
        <v>153</v>
      </c>
      <c r="B1646" s="1023" t="s">
        <v>264</v>
      </c>
      <c r="C1646" s="1024" t="s">
        <v>820</v>
      </c>
      <c r="D1646" s="1025"/>
      <c r="E1646" s="1026">
        <v>199157</v>
      </c>
      <c r="F1646" s="1027">
        <v>3</v>
      </c>
      <c r="G1646" s="859">
        <v>84124964</v>
      </c>
      <c r="H1646" s="860">
        <v>79743755</v>
      </c>
      <c r="I1646" s="861"/>
      <c r="J1646" s="862"/>
      <c r="K1646" s="859"/>
      <c r="L1646" s="863"/>
      <c r="M1646" s="859">
        <v>39234563</v>
      </c>
      <c r="N1646" s="859"/>
      <c r="O1646" s="752">
        <f t="shared" si="218"/>
        <v>39234563</v>
      </c>
      <c r="P1646" s="862">
        <v>43604160</v>
      </c>
      <c r="Q1646" s="860"/>
      <c r="R1646" s="753">
        <f t="shared" si="221"/>
        <v>43604160</v>
      </c>
      <c r="S1646" s="752">
        <f t="shared" si="222"/>
        <v>123359527</v>
      </c>
      <c r="T1646" s="754">
        <f t="shared" si="223"/>
        <v>123347915</v>
      </c>
      <c r="U1646" s="859"/>
      <c r="V1646" s="863"/>
      <c r="W1646" s="859"/>
      <c r="X1646" s="859"/>
      <c r="Y1646" s="755">
        <f t="shared" si="219"/>
        <v>0</v>
      </c>
      <c r="Z1646" s="864"/>
      <c r="AA1646" s="863"/>
      <c r="AB1646" s="756">
        <f t="shared" si="220"/>
        <v>0</v>
      </c>
      <c r="AC1646" s="859"/>
      <c r="AD1646" s="863"/>
      <c r="AE1646" s="859"/>
      <c r="AF1646" s="859"/>
      <c r="AG1646" s="864"/>
      <c r="AH1646" s="865"/>
      <c r="AI1646" s="757">
        <f t="shared" si="224"/>
        <v>123359527</v>
      </c>
      <c r="AJ1646" s="758">
        <f t="shared" si="225"/>
        <v>123347915</v>
      </c>
    </row>
    <row r="1647" spans="1:36" x14ac:dyDescent="0.2">
      <c r="A1647" s="1022" t="s">
        <v>153</v>
      </c>
      <c r="B1647" s="1023" t="s">
        <v>264</v>
      </c>
      <c r="C1647" s="1024" t="s">
        <v>821</v>
      </c>
      <c r="D1647" s="1025"/>
      <c r="E1647" s="1026">
        <v>199218</v>
      </c>
      <c r="F1647" s="1027">
        <v>3</v>
      </c>
      <c r="G1647" s="859">
        <v>96161391</v>
      </c>
      <c r="H1647" s="860">
        <v>98184642</v>
      </c>
      <c r="I1647" s="861"/>
      <c r="J1647" s="862"/>
      <c r="K1647" s="859"/>
      <c r="L1647" s="863"/>
      <c r="M1647" s="859">
        <v>71846023</v>
      </c>
      <c r="N1647" s="859"/>
      <c r="O1647" s="752">
        <f t="shared" si="218"/>
        <v>71846023</v>
      </c>
      <c r="P1647" s="862">
        <v>73089020</v>
      </c>
      <c r="Q1647" s="860"/>
      <c r="R1647" s="753">
        <f t="shared" si="221"/>
        <v>73089020</v>
      </c>
      <c r="S1647" s="752">
        <f t="shared" si="222"/>
        <v>168007414</v>
      </c>
      <c r="T1647" s="754">
        <f t="shared" si="223"/>
        <v>171273662</v>
      </c>
      <c r="U1647" s="859"/>
      <c r="V1647" s="863"/>
      <c r="W1647" s="859"/>
      <c r="X1647" s="859"/>
      <c r="Y1647" s="755">
        <f t="shared" si="219"/>
        <v>0</v>
      </c>
      <c r="Z1647" s="864"/>
      <c r="AA1647" s="863"/>
      <c r="AB1647" s="756">
        <f t="shared" si="220"/>
        <v>0</v>
      </c>
      <c r="AC1647" s="859"/>
      <c r="AD1647" s="863"/>
      <c r="AE1647" s="859"/>
      <c r="AF1647" s="859"/>
      <c r="AG1647" s="864"/>
      <c r="AH1647" s="865"/>
      <c r="AI1647" s="757">
        <f t="shared" si="224"/>
        <v>168007414</v>
      </c>
      <c r="AJ1647" s="758">
        <f t="shared" si="225"/>
        <v>171273662</v>
      </c>
    </row>
    <row r="1648" spans="1:36" x14ac:dyDescent="0.2">
      <c r="A1648" s="1022" t="s">
        <v>153</v>
      </c>
      <c r="B1648" s="1023" t="s">
        <v>264</v>
      </c>
      <c r="C1648" s="1024" t="s">
        <v>822</v>
      </c>
      <c r="D1648" s="1025"/>
      <c r="E1648" s="1026">
        <v>200004</v>
      </c>
      <c r="F1648" s="1027">
        <v>3</v>
      </c>
      <c r="G1648" s="859">
        <v>82755540</v>
      </c>
      <c r="H1648" s="860">
        <v>83322818</v>
      </c>
      <c r="I1648" s="861"/>
      <c r="J1648" s="862"/>
      <c r="K1648" s="859"/>
      <c r="L1648" s="863"/>
      <c r="M1648" s="859">
        <v>34846835</v>
      </c>
      <c r="N1648" s="859"/>
      <c r="O1648" s="752">
        <f t="shared" si="218"/>
        <v>34846835</v>
      </c>
      <c r="P1648" s="862">
        <v>39510007</v>
      </c>
      <c r="Q1648" s="860"/>
      <c r="R1648" s="753">
        <f t="shared" si="221"/>
        <v>39510007</v>
      </c>
      <c r="S1648" s="752">
        <f t="shared" si="222"/>
        <v>117602375</v>
      </c>
      <c r="T1648" s="754">
        <f t="shared" si="223"/>
        <v>122832825</v>
      </c>
      <c r="U1648" s="859"/>
      <c r="V1648" s="863"/>
      <c r="W1648" s="859"/>
      <c r="X1648" s="859"/>
      <c r="Y1648" s="755">
        <f t="shared" si="219"/>
        <v>0</v>
      </c>
      <c r="Z1648" s="864"/>
      <c r="AA1648" s="863"/>
      <c r="AB1648" s="756">
        <f t="shared" si="220"/>
        <v>0</v>
      </c>
      <c r="AC1648" s="859"/>
      <c r="AD1648" s="863"/>
      <c r="AE1648" s="859"/>
      <c r="AF1648" s="859"/>
      <c r="AG1648" s="864"/>
      <c r="AH1648" s="865"/>
      <c r="AI1648" s="757">
        <f t="shared" si="224"/>
        <v>117602375</v>
      </c>
      <c r="AJ1648" s="758">
        <f t="shared" si="225"/>
        <v>122832825</v>
      </c>
    </row>
    <row r="1649" spans="1:36" x14ac:dyDescent="0.2">
      <c r="A1649" s="1022" t="s">
        <v>153</v>
      </c>
      <c r="B1649" s="1023" t="s">
        <v>264</v>
      </c>
      <c r="C1649" s="1031" t="s">
        <v>823</v>
      </c>
      <c r="D1649" s="1034"/>
      <c r="E1649" s="1026">
        <v>198543</v>
      </c>
      <c r="F1649" s="1027">
        <v>4</v>
      </c>
      <c r="G1649" s="859">
        <v>49347987</v>
      </c>
      <c r="H1649" s="860">
        <v>48005712</v>
      </c>
      <c r="I1649" s="861"/>
      <c r="J1649" s="862"/>
      <c r="K1649" s="859"/>
      <c r="L1649" s="863"/>
      <c r="M1649" s="859">
        <v>15591839</v>
      </c>
      <c r="N1649" s="859"/>
      <c r="O1649" s="752">
        <f t="shared" si="218"/>
        <v>15591839</v>
      </c>
      <c r="P1649" s="862">
        <v>18720576</v>
      </c>
      <c r="Q1649" s="860"/>
      <c r="R1649" s="753">
        <f t="shared" si="221"/>
        <v>18720576</v>
      </c>
      <c r="S1649" s="752">
        <f t="shared" si="222"/>
        <v>64939826</v>
      </c>
      <c r="T1649" s="754">
        <f t="shared" si="223"/>
        <v>66726288</v>
      </c>
      <c r="U1649" s="859"/>
      <c r="V1649" s="863"/>
      <c r="W1649" s="859"/>
      <c r="X1649" s="859"/>
      <c r="Y1649" s="755">
        <f t="shared" si="219"/>
        <v>0</v>
      </c>
      <c r="Z1649" s="864"/>
      <c r="AA1649" s="863"/>
      <c r="AB1649" s="756">
        <f t="shared" si="220"/>
        <v>0</v>
      </c>
      <c r="AC1649" s="859"/>
      <c r="AD1649" s="863"/>
      <c r="AE1649" s="859"/>
      <c r="AF1649" s="859"/>
      <c r="AG1649" s="864"/>
      <c r="AH1649" s="865"/>
      <c r="AI1649" s="757">
        <f t="shared" si="224"/>
        <v>64939826</v>
      </c>
      <c r="AJ1649" s="758">
        <f t="shared" si="225"/>
        <v>66726288</v>
      </c>
    </row>
    <row r="1650" spans="1:36" x14ac:dyDescent="0.2">
      <c r="A1650" s="1022" t="s">
        <v>153</v>
      </c>
      <c r="B1650" s="1023" t="s">
        <v>264</v>
      </c>
      <c r="C1650" s="1024" t="s">
        <v>824</v>
      </c>
      <c r="D1650" s="1025"/>
      <c r="E1650" s="1026">
        <v>199281</v>
      </c>
      <c r="F1650" s="1027">
        <v>5</v>
      </c>
      <c r="G1650" s="859">
        <v>54398160</v>
      </c>
      <c r="H1650" s="860">
        <v>52205252</v>
      </c>
      <c r="I1650" s="861"/>
      <c r="J1650" s="862"/>
      <c r="K1650" s="859"/>
      <c r="L1650" s="863"/>
      <c r="M1650" s="859">
        <v>17759849</v>
      </c>
      <c r="N1650" s="859"/>
      <c r="O1650" s="752">
        <f t="shared" si="218"/>
        <v>17759849</v>
      </c>
      <c r="P1650" s="862">
        <v>23046121</v>
      </c>
      <c r="Q1650" s="860"/>
      <c r="R1650" s="753">
        <f t="shared" si="221"/>
        <v>23046121</v>
      </c>
      <c r="S1650" s="752">
        <f t="shared" si="222"/>
        <v>72158009</v>
      </c>
      <c r="T1650" s="754">
        <f t="shared" si="223"/>
        <v>75251373</v>
      </c>
      <c r="U1650" s="859"/>
      <c r="V1650" s="863"/>
      <c r="W1650" s="859"/>
      <c r="X1650" s="859"/>
      <c r="Y1650" s="755">
        <f t="shared" si="219"/>
        <v>0</v>
      </c>
      <c r="Z1650" s="864"/>
      <c r="AA1650" s="863"/>
      <c r="AB1650" s="756">
        <f t="shared" si="220"/>
        <v>0</v>
      </c>
      <c r="AC1650" s="859"/>
      <c r="AD1650" s="863"/>
      <c r="AE1650" s="859"/>
      <c r="AF1650" s="859"/>
      <c r="AG1650" s="864"/>
      <c r="AH1650" s="865"/>
      <c r="AI1650" s="757">
        <f t="shared" si="224"/>
        <v>72158009</v>
      </c>
      <c r="AJ1650" s="758">
        <f t="shared" si="225"/>
        <v>75251373</v>
      </c>
    </row>
    <row r="1651" spans="1:36" x14ac:dyDescent="0.2">
      <c r="A1651" s="1022" t="s">
        <v>153</v>
      </c>
      <c r="B1651" s="1023" t="s">
        <v>264</v>
      </c>
      <c r="C1651" s="1024" t="s">
        <v>825</v>
      </c>
      <c r="D1651" s="1025"/>
      <c r="E1651" s="1026">
        <v>199999</v>
      </c>
      <c r="F1651" s="1027">
        <v>5</v>
      </c>
      <c r="G1651" s="859">
        <v>68860547</v>
      </c>
      <c r="H1651" s="860">
        <v>65360852</v>
      </c>
      <c r="I1651" s="861"/>
      <c r="J1651" s="862"/>
      <c r="K1651" s="859"/>
      <c r="L1651" s="863"/>
      <c r="M1651" s="859">
        <v>19698007</v>
      </c>
      <c r="N1651" s="859"/>
      <c r="O1651" s="752">
        <f t="shared" si="218"/>
        <v>19698007</v>
      </c>
      <c r="P1651" s="862">
        <v>22699096</v>
      </c>
      <c r="Q1651" s="860"/>
      <c r="R1651" s="753">
        <f t="shared" si="221"/>
        <v>22699096</v>
      </c>
      <c r="S1651" s="752">
        <f t="shared" si="222"/>
        <v>88558554</v>
      </c>
      <c r="T1651" s="754">
        <f t="shared" si="223"/>
        <v>88059948</v>
      </c>
      <c r="U1651" s="859"/>
      <c r="V1651" s="863"/>
      <c r="W1651" s="859"/>
      <c r="X1651" s="859"/>
      <c r="Y1651" s="755">
        <f t="shared" si="219"/>
        <v>0</v>
      </c>
      <c r="Z1651" s="864"/>
      <c r="AA1651" s="863"/>
      <c r="AB1651" s="756">
        <f t="shared" si="220"/>
        <v>0</v>
      </c>
      <c r="AC1651" s="859"/>
      <c r="AD1651" s="863"/>
      <c r="AE1651" s="859"/>
      <c r="AF1651" s="859"/>
      <c r="AG1651" s="864"/>
      <c r="AH1651" s="865"/>
      <c r="AI1651" s="757">
        <f t="shared" si="224"/>
        <v>88558554</v>
      </c>
      <c r="AJ1651" s="758">
        <f t="shared" si="225"/>
        <v>88059948</v>
      </c>
    </row>
    <row r="1652" spans="1:36" x14ac:dyDescent="0.2">
      <c r="A1652" s="1022" t="s">
        <v>153</v>
      </c>
      <c r="B1652" s="1023" t="s">
        <v>264</v>
      </c>
      <c r="C1652" s="1024" t="s">
        <v>826</v>
      </c>
      <c r="D1652" s="1186" t="s">
        <v>1132</v>
      </c>
      <c r="E1652" s="1026">
        <v>198507</v>
      </c>
      <c r="F1652" s="1027">
        <v>6</v>
      </c>
      <c r="G1652" s="859">
        <v>35580077</v>
      </c>
      <c r="H1652" s="860">
        <v>32889636</v>
      </c>
      <c r="I1652" s="861"/>
      <c r="J1652" s="862"/>
      <c r="K1652" s="859"/>
      <c r="L1652" s="863"/>
      <c r="M1652" s="859">
        <v>10387154</v>
      </c>
      <c r="N1652" s="859"/>
      <c r="O1652" s="752">
        <f t="shared" si="218"/>
        <v>10387154</v>
      </c>
      <c r="P1652" s="862">
        <v>9291108</v>
      </c>
      <c r="Q1652" s="860"/>
      <c r="R1652" s="753">
        <f t="shared" si="221"/>
        <v>9291108</v>
      </c>
      <c r="S1652" s="752">
        <f t="shared" si="222"/>
        <v>45967231</v>
      </c>
      <c r="T1652" s="754">
        <f t="shared" si="223"/>
        <v>42180744</v>
      </c>
      <c r="U1652" s="859"/>
      <c r="V1652" s="863"/>
      <c r="W1652" s="859"/>
      <c r="X1652" s="859"/>
      <c r="Y1652" s="755">
        <f t="shared" si="219"/>
        <v>0</v>
      </c>
      <c r="Z1652" s="864"/>
      <c r="AA1652" s="863"/>
      <c r="AB1652" s="756">
        <f t="shared" si="220"/>
        <v>0</v>
      </c>
      <c r="AC1652" s="859"/>
      <c r="AD1652" s="863"/>
      <c r="AE1652" s="859"/>
      <c r="AF1652" s="859"/>
      <c r="AG1652" s="864"/>
      <c r="AH1652" s="865"/>
      <c r="AI1652" s="757">
        <f t="shared" si="224"/>
        <v>45967231</v>
      </c>
      <c r="AJ1652" s="758">
        <f t="shared" si="225"/>
        <v>42180744</v>
      </c>
    </row>
    <row r="1653" spans="1:36" x14ac:dyDescent="0.2">
      <c r="A1653" s="1022" t="s">
        <v>153</v>
      </c>
      <c r="B1653" s="1023" t="s">
        <v>264</v>
      </c>
      <c r="C1653" s="1024" t="s">
        <v>827</v>
      </c>
      <c r="D1653" s="1025"/>
      <c r="E1653" s="1026">
        <v>199111</v>
      </c>
      <c r="F1653" s="1027">
        <v>6</v>
      </c>
      <c r="G1653" s="859">
        <v>36991363</v>
      </c>
      <c r="H1653" s="860">
        <v>36974372</v>
      </c>
      <c r="I1653" s="861"/>
      <c r="J1653" s="862"/>
      <c r="K1653" s="859"/>
      <c r="L1653" s="863"/>
      <c r="M1653" s="859">
        <v>16588779</v>
      </c>
      <c r="N1653" s="859"/>
      <c r="O1653" s="752">
        <f t="shared" si="218"/>
        <v>16588779</v>
      </c>
      <c r="P1653" s="862">
        <v>17969804</v>
      </c>
      <c r="Q1653" s="860"/>
      <c r="R1653" s="753">
        <f t="shared" si="221"/>
        <v>17969804</v>
      </c>
      <c r="S1653" s="752">
        <f t="shared" si="222"/>
        <v>53580142</v>
      </c>
      <c r="T1653" s="754">
        <f t="shared" si="223"/>
        <v>54944176</v>
      </c>
      <c r="U1653" s="859"/>
      <c r="V1653" s="863"/>
      <c r="W1653" s="859"/>
      <c r="X1653" s="859"/>
      <c r="Y1653" s="755">
        <f t="shared" si="219"/>
        <v>0</v>
      </c>
      <c r="Z1653" s="864"/>
      <c r="AA1653" s="863"/>
      <c r="AB1653" s="756">
        <f t="shared" si="220"/>
        <v>0</v>
      </c>
      <c r="AC1653" s="859"/>
      <c r="AD1653" s="863"/>
      <c r="AE1653" s="859"/>
      <c r="AF1653" s="859"/>
      <c r="AG1653" s="864"/>
      <c r="AH1653" s="865"/>
      <c r="AI1653" s="757">
        <f t="shared" si="224"/>
        <v>53580142</v>
      </c>
      <c r="AJ1653" s="758">
        <f t="shared" si="225"/>
        <v>54944176</v>
      </c>
    </row>
    <row r="1654" spans="1:36" x14ac:dyDescent="0.2">
      <c r="A1654" s="1022" t="s">
        <v>153</v>
      </c>
      <c r="B1654" s="1023" t="s">
        <v>302</v>
      </c>
      <c r="C1654" s="1024" t="s">
        <v>828</v>
      </c>
      <c r="D1654" s="1025"/>
      <c r="E1654" s="1026">
        <v>199184</v>
      </c>
      <c r="F1654" s="1027">
        <v>15</v>
      </c>
      <c r="G1654" s="859">
        <v>27154238</v>
      </c>
      <c r="H1654" s="860">
        <v>31919104</v>
      </c>
      <c r="I1654" s="861"/>
      <c r="J1654" s="862"/>
      <c r="K1654" s="859"/>
      <c r="L1654" s="863"/>
      <c r="M1654" s="859"/>
      <c r="N1654" s="859"/>
      <c r="O1654" s="752">
        <f t="shared" si="218"/>
        <v>0</v>
      </c>
      <c r="P1654" s="862"/>
      <c r="Q1654" s="860"/>
      <c r="R1654" s="753">
        <f t="shared" si="221"/>
        <v>0</v>
      </c>
      <c r="S1654" s="752">
        <f t="shared" si="222"/>
        <v>27154238</v>
      </c>
      <c r="T1654" s="754">
        <f t="shared" si="223"/>
        <v>31919104</v>
      </c>
      <c r="U1654" s="859">
        <v>27154238</v>
      </c>
      <c r="V1654" s="863">
        <v>31919104</v>
      </c>
      <c r="W1654" s="859">
        <v>11027908</v>
      </c>
      <c r="X1654" s="859"/>
      <c r="Y1654" s="755">
        <f t="shared" si="219"/>
        <v>11027908</v>
      </c>
      <c r="Z1654" s="864">
        <v>12263571</v>
      </c>
      <c r="AA1654" s="863"/>
      <c r="AB1654" s="756">
        <f t="shared" si="220"/>
        <v>12263571</v>
      </c>
      <c r="AC1654" s="859"/>
      <c r="AD1654" s="863"/>
      <c r="AE1654" s="859"/>
      <c r="AF1654" s="859"/>
      <c r="AG1654" s="864"/>
      <c r="AH1654" s="865"/>
      <c r="AI1654" s="757">
        <f t="shared" si="224"/>
        <v>65336384</v>
      </c>
      <c r="AJ1654" s="758">
        <f t="shared" si="225"/>
        <v>76101779</v>
      </c>
    </row>
    <row r="1655" spans="1:36" x14ac:dyDescent="0.2">
      <c r="A1655" s="1035" t="s">
        <v>153</v>
      </c>
      <c r="B1655" s="1036" t="s">
        <v>273</v>
      </c>
      <c r="C1655" s="1037" t="s">
        <v>829</v>
      </c>
      <c r="D1655" s="1025"/>
      <c r="E1655" s="1038"/>
      <c r="F1655" s="1039"/>
      <c r="G1655" s="859"/>
      <c r="H1655" s="860"/>
      <c r="I1655" s="861"/>
      <c r="J1655" s="862"/>
      <c r="K1655" s="859"/>
      <c r="L1655" s="863"/>
      <c r="M1655" s="859"/>
      <c r="N1655" s="859"/>
      <c r="O1655" s="752">
        <f t="shared" si="218"/>
        <v>0</v>
      </c>
      <c r="P1655" s="862"/>
      <c r="Q1655" s="860"/>
      <c r="R1655" s="753">
        <f t="shared" si="221"/>
        <v>0</v>
      </c>
      <c r="S1655" s="752">
        <f t="shared" si="222"/>
        <v>0</v>
      </c>
      <c r="T1655" s="754">
        <f t="shared" si="223"/>
        <v>0</v>
      </c>
      <c r="U1655" s="859"/>
      <c r="V1655" s="863"/>
      <c r="W1655" s="859"/>
      <c r="X1655" s="859"/>
      <c r="Y1655" s="755">
        <f t="shared" si="219"/>
        <v>0</v>
      </c>
      <c r="Z1655" s="864"/>
      <c r="AA1655" s="863"/>
      <c r="AB1655" s="756">
        <f t="shared" si="220"/>
        <v>0</v>
      </c>
      <c r="AC1655" s="859"/>
      <c r="AD1655" s="863"/>
      <c r="AE1655" s="917"/>
      <c r="AF1655" s="917"/>
      <c r="AG1655" s="864"/>
      <c r="AH1655" s="865"/>
      <c r="AI1655" s="757">
        <f t="shared" si="224"/>
        <v>0</v>
      </c>
      <c r="AJ1655" s="758">
        <f t="shared" si="225"/>
        <v>0</v>
      </c>
    </row>
    <row r="1656" spans="1:36" x14ac:dyDescent="0.2">
      <c r="A1656" s="1022" t="s">
        <v>153</v>
      </c>
      <c r="B1656" s="1023" t="s">
        <v>274</v>
      </c>
      <c r="C1656" s="1030" t="s">
        <v>319</v>
      </c>
      <c r="D1656" s="1029"/>
      <c r="E1656" s="1026"/>
      <c r="F1656" s="1027"/>
      <c r="G1656" s="859"/>
      <c r="H1656" s="860"/>
      <c r="I1656" s="861"/>
      <c r="J1656" s="862"/>
      <c r="K1656" s="859"/>
      <c r="L1656" s="863"/>
      <c r="M1656" s="859"/>
      <c r="N1656" s="859"/>
      <c r="O1656" s="752">
        <f t="shared" si="218"/>
        <v>0</v>
      </c>
      <c r="P1656" s="862"/>
      <c r="Q1656" s="860"/>
      <c r="R1656" s="753">
        <f t="shared" si="221"/>
        <v>0</v>
      </c>
      <c r="S1656" s="752">
        <f t="shared" si="222"/>
        <v>0</v>
      </c>
      <c r="T1656" s="754">
        <f t="shared" si="223"/>
        <v>0</v>
      </c>
      <c r="U1656" s="859"/>
      <c r="V1656" s="863"/>
      <c r="W1656" s="859"/>
      <c r="X1656" s="859"/>
      <c r="Y1656" s="755">
        <f t="shared" si="219"/>
        <v>0</v>
      </c>
      <c r="Z1656" s="864"/>
      <c r="AA1656" s="863"/>
      <c r="AB1656" s="756">
        <f t="shared" si="220"/>
        <v>0</v>
      </c>
      <c r="AC1656" s="859"/>
      <c r="AD1656" s="863"/>
      <c r="AE1656" s="859"/>
      <c r="AF1656" s="859"/>
      <c r="AG1656" s="864"/>
      <c r="AH1656" s="865"/>
      <c r="AI1656" s="757">
        <f t="shared" si="224"/>
        <v>0</v>
      </c>
      <c r="AJ1656" s="758">
        <f t="shared" si="225"/>
        <v>0</v>
      </c>
    </row>
    <row r="1657" spans="1:36" x14ac:dyDescent="0.2">
      <c r="A1657" s="1022" t="s">
        <v>153</v>
      </c>
      <c r="B1657" s="1023" t="s">
        <v>274</v>
      </c>
      <c r="C1657" s="1028" t="s">
        <v>830</v>
      </c>
      <c r="D1657" s="1029"/>
      <c r="E1657" s="1026"/>
      <c r="F1657" s="1027"/>
      <c r="G1657" s="859"/>
      <c r="H1657" s="860"/>
      <c r="I1657" s="861">
        <v>10713214</v>
      </c>
      <c r="J1657" s="862">
        <v>9018264</v>
      </c>
      <c r="K1657" s="859"/>
      <c r="L1657" s="863"/>
      <c r="M1657" s="859"/>
      <c r="N1657" s="859"/>
      <c r="O1657" s="752">
        <f t="shared" si="218"/>
        <v>0</v>
      </c>
      <c r="P1657" s="862"/>
      <c r="Q1657" s="860"/>
      <c r="R1657" s="753">
        <f t="shared" si="221"/>
        <v>0</v>
      </c>
      <c r="S1657" s="752">
        <f t="shared" si="222"/>
        <v>10713214</v>
      </c>
      <c r="T1657" s="754">
        <f t="shared" si="223"/>
        <v>9018264</v>
      </c>
      <c r="U1657" s="859"/>
      <c r="V1657" s="863"/>
      <c r="W1657" s="859"/>
      <c r="X1657" s="859"/>
      <c r="Y1657" s="755">
        <f t="shared" si="219"/>
        <v>0</v>
      </c>
      <c r="Z1657" s="864"/>
      <c r="AA1657" s="863"/>
      <c r="AB1657" s="756">
        <f t="shared" si="220"/>
        <v>0</v>
      </c>
      <c r="AC1657" s="859"/>
      <c r="AD1657" s="863"/>
      <c r="AE1657" s="859"/>
      <c r="AF1657" s="859"/>
      <c r="AG1657" s="864"/>
      <c r="AH1657" s="865"/>
      <c r="AI1657" s="757">
        <f t="shared" si="224"/>
        <v>10713214</v>
      </c>
      <c r="AJ1657" s="758">
        <f t="shared" si="225"/>
        <v>9018264</v>
      </c>
    </row>
    <row r="1658" spans="1:36" x14ac:dyDescent="0.2">
      <c r="A1658" s="1022" t="s">
        <v>153</v>
      </c>
      <c r="B1658" s="1023" t="s">
        <v>274</v>
      </c>
      <c r="C1658" s="1028" t="s">
        <v>831</v>
      </c>
      <c r="D1658" s="1029"/>
      <c r="E1658" s="1026"/>
      <c r="F1658" s="1027"/>
      <c r="G1658" s="859"/>
      <c r="H1658" s="860"/>
      <c r="I1658" s="861">
        <v>1157862</v>
      </c>
      <c r="J1658" s="862">
        <v>1522346</v>
      </c>
      <c r="K1658" s="859"/>
      <c r="L1658" s="863"/>
      <c r="M1658" s="859"/>
      <c r="N1658" s="859"/>
      <c r="O1658" s="752">
        <f t="shared" si="218"/>
        <v>0</v>
      </c>
      <c r="P1658" s="862"/>
      <c r="Q1658" s="860"/>
      <c r="R1658" s="753">
        <f t="shared" si="221"/>
        <v>0</v>
      </c>
      <c r="S1658" s="752">
        <f t="shared" si="222"/>
        <v>1157862</v>
      </c>
      <c r="T1658" s="754">
        <f t="shared" si="223"/>
        <v>1522346</v>
      </c>
      <c r="U1658" s="859"/>
      <c r="V1658" s="863"/>
      <c r="W1658" s="859"/>
      <c r="X1658" s="859"/>
      <c r="Y1658" s="755">
        <f t="shared" si="219"/>
        <v>0</v>
      </c>
      <c r="Z1658" s="864"/>
      <c r="AA1658" s="863"/>
      <c r="AB1658" s="756">
        <f t="shared" si="220"/>
        <v>0</v>
      </c>
      <c r="AC1658" s="859"/>
      <c r="AD1658" s="863"/>
      <c r="AE1658" s="859"/>
      <c r="AF1658" s="859"/>
      <c r="AG1658" s="864"/>
      <c r="AH1658" s="865"/>
      <c r="AI1658" s="757">
        <f t="shared" si="224"/>
        <v>1157862</v>
      </c>
      <c r="AJ1658" s="758">
        <f t="shared" si="225"/>
        <v>1522346</v>
      </c>
    </row>
    <row r="1659" spans="1:36" x14ac:dyDescent="0.2">
      <c r="A1659" s="1022" t="s">
        <v>153</v>
      </c>
      <c r="B1659" s="1023" t="s">
        <v>274</v>
      </c>
      <c r="C1659" s="1028" t="s">
        <v>832</v>
      </c>
      <c r="D1659" s="1029"/>
      <c r="E1659" s="1026"/>
      <c r="F1659" s="1027"/>
      <c r="G1659" s="859"/>
      <c r="H1659" s="860"/>
      <c r="I1659" s="861">
        <v>0</v>
      </c>
      <c r="J1659" s="862"/>
      <c r="K1659" s="859"/>
      <c r="L1659" s="863"/>
      <c r="M1659" s="859"/>
      <c r="N1659" s="859"/>
      <c r="O1659" s="752">
        <f t="shared" si="218"/>
        <v>0</v>
      </c>
      <c r="P1659" s="862"/>
      <c r="Q1659" s="860"/>
      <c r="R1659" s="753">
        <f t="shared" si="221"/>
        <v>0</v>
      </c>
      <c r="S1659" s="752">
        <f t="shared" si="222"/>
        <v>0</v>
      </c>
      <c r="T1659" s="754">
        <f t="shared" si="223"/>
        <v>0</v>
      </c>
      <c r="U1659" s="859"/>
      <c r="V1659" s="863"/>
      <c r="W1659" s="859"/>
      <c r="X1659" s="859"/>
      <c r="Y1659" s="755">
        <f t="shared" si="219"/>
        <v>0</v>
      </c>
      <c r="Z1659" s="864"/>
      <c r="AA1659" s="863"/>
      <c r="AB1659" s="756">
        <f t="shared" si="220"/>
        <v>0</v>
      </c>
      <c r="AC1659" s="859"/>
      <c r="AD1659" s="863"/>
      <c r="AE1659" s="859"/>
      <c r="AF1659" s="859"/>
      <c r="AG1659" s="864"/>
      <c r="AH1659" s="865"/>
      <c r="AI1659" s="757">
        <f t="shared" si="224"/>
        <v>0</v>
      </c>
      <c r="AJ1659" s="758">
        <f t="shared" si="225"/>
        <v>0</v>
      </c>
    </row>
    <row r="1660" spans="1:36" x14ac:dyDescent="0.2">
      <c r="A1660" s="1022" t="s">
        <v>153</v>
      </c>
      <c r="B1660" s="1023" t="s">
        <v>274</v>
      </c>
      <c r="C1660" s="1028" t="s">
        <v>833</v>
      </c>
      <c r="D1660" s="1029"/>
      <c r="E1660" s="1040"/>
      <c r="F1660" s="1041"/>
      <c r="G1660" s="859"/>
      <c r="H1660" s="860"/>
      <c r="I1660" s="861"/>
      <c r="J1660" s="862"/>
      <c r="K1660" s="859"/>
      <c r="L1660" s="863"/>
      <c r="M1660" s="859"/>
      <c r="N1660" s="859"/>
      <c r="O1660" s="752">
        <f t="shared" si="218"/>
        <v>0</v>
      </c>
      <c r="P1660" s="862"/>
      <c r="Q1660" s="860"/>
      <c r="R1660" s="753">
        <f t="shared" si="221"/>
        <v>0</v>
      </c>
      <c r="S1660" s="752">
        <f t="shared" si="222"/>
        <v>0</v>
      </c>
      <c r="T1660" s="754">
        <f t="shared" si="223"/>
        <v>0</v>
      </c>
      <c r="U1660" s="859">
        <v>0</v>
      </c>
      <c r="V1660" s="863"/>
      <c r="W1660" s="859"/>
      <c r="X1660" s="859"/>
      <c r="Y1660" s="755">
        <f t="shared" si="219"/>
        <v>0</v>
      </c>
      <c r="Z1660" s="864"/>
      <c r="AA1660" s="863"/>
      <c r="AB1660" s="756">
        <f t="shared" si="220"/>
        <v>0</v>
      </c>
      <c r="AC1660" s="859"/>
      <c r="AD1660" s="863"/>
      <c r="AE1660" s="859"/>
      <c r="AF1660" s="859"/>
      <c r="AG1660" s="864"/>
      <c r="AH1660" s="865"/>
      <c r="AI1660" s="757">
        <f t="shared" si="224"/>
        <v>0</v>
      </c>
      <c r="AJ1660" s="758">
        <f t="shared" si="225"/>
        <v>0</v>
      </c>
    </row>
    <row r="1661" spans="1:36" x14ac:dyDescent="0.2">
      <c r="A1661" s="1022" t="s">
        <v>153</v>
      </c>
      <c r="B1661" s="1023" t="s">
        <v>274</v>
      </c>
      <c r="C1661" s="1028" t="s">
        <v>834</v>
      </c>
      <c r="D1661" s="1029"/>
      <c r="E1661" s="1040"/>
      <c r="F1661" s="1041"/>
      <c r="G1661" s="859"/>
      <c r="H1661" s="860"/>
      <c r="I1661" s="861"/>
      <c r="J1661" s="862"/>
      <c r="K1661" s="859"/>
      <c r="L1661" s="863"/>
      <c r="M1661" s="859"/>
      <c r="N1661" s="859"/>
      <c r="O1661" s="752">
        <f t="shared" si="218"/>
        <v>0</v>
      </c>
      <c r="P1661" s="862"/>
      <c r="Q1661" s="860"/>
      <c r="R1661" s="753">
        <f t="shared" si="221"/>
        <v>0</v>
      </c>
      <c r="S1661" s="752">
        <f t="shared" si="222"/>
        <v>0</v>
      </c>
      <c r="T1661" s="754">
        <f t="shared" si="223"/>
        <v>0</v>
      </c>
      <c r="U1661" s="859">
        <v>42418346</v>
      </c>
      <c r="V1661" s="863">
        <v>41580395</v>
      </c>
      <c r="W1661" s="859"/>
      <c r="X1661" s="859"/>
      <c r="Y1661" s="755">
        <f t="shared" si="219"/>
        <v>0</v>
      </c>
      <c r="Z1661" s="864"/>
      <c r="AA1661" s="863"/>
      <c r="AB1661" s="756">
        <f t="shared" si="220"/>
        <v>0</v>
      </c>
      <c r="AC1661" s="859"/>
      <c r="AD1661" s="863"/>
      <c r="AE1661" s="859"/>
      <c r="AF1661" s="859"/>
      <c r="AG1661" s="864"/>
      <c r="AH1661" s="865"/>
      <c r="AI1661" s="757">
        <f t="shared" si="224"/>
        <v>42418346</v>
      </c>
      <c r="AJ1661" s="758">
        <f t="shared" si="225"/>
        <v>41580395</v>
      </c>
    </row>
    <row r="1662" spans="1:36" x14ac:dyDescent="0.2">
      <c r="A1662" s="1022" t="s">
        <v>153</v>
      </c>
      <c r="B1662" s="1023" t="s">
        <v>278</v>
      </c>
      <c r="C1662" s="1030" t="s">
        <v>309</v>
      </c>
      <c r="D1662" s="1029"/>
      <c r="E1662" s="1026"/>
      <c r="F1662" s="1027"/>
      <c r="G1662" s="859"/>
      <c r="H1662" s="860"/>
      <c r="I1662" s="861"/>
      <c r="J1662" s="862"/>
      <c r="K1662" s="859"/>
      <c r="L1662" s="863"/>
      <c r="M1662" s="859"/>
      <c r="N1662" s="859"/>
      <c r="O1662" s="752">
        <f t="shared" si="218"/>
        <v>0</v>
      </c>
      <c r="P1662" s="862"/>
      <c r="Q1662" s="860"/>
      <c r="R1662" s="753">
        <f t="shared" si="221"/>
        <v>0</v>
      </c>
      <c r="S1662" s="752">
        <f t="shared" si="222"/>
        <v>0</v>
      </c>
      <c r="T1662" s="754">
        <f t="shared" si="223"/>
        <v>0</v>
      </c>
      <c r="U1662" s="859"/>
      <c r="V1662" s="863"/>
      <c r="W1662" s="859"/>
      <c r="X1662" s="859"/>
      <c r="Y1662" s="755">
        <f t="shared" si="219"/>
        <v>0</v>
      </c>
      <c r="Z1662" s="864"/>
      <c r="AA1662" s="863"/>
      <c r="AB1662" s="756">
        <f t="shared" si="220"/>
        <v>0</v>
      </c>
      <c r="AC1662" s="859"/>
      <c r="AD1662" s="863"/>
      <c r="AE1662" s="859"/>
      <c r="AF1662" s="859"/>
      <c r="AG1662" s="864"/>
      <c r="AH1662" s="865"/>
      <c r="AI1662" s="757">
        <f t="shared" si="224"/>
        <v>0</v>
      </c>
      <c r="AJ1662" s="758">
        <f t="shared" si="225"/>
        <v>0</v>
      </c>
    </row>
    <row r="1663" spans="1:36" x14ac:dyDescent="0.2">
      <c r="A1663" s="1022" t="s">
        <v>153</v>
      </c>
      <c r="B1663" s="1023" t="s">
        <v>278</v>
      </c>
      <c r="C1663" s="1028" t="s">
        <v>835</v>
      </c>
      <c r="D1663" s="1029"/>
      <c r="E1663" s="1026"/>
      <c r="F1663" s="1027"/>
      <c r="G1663" s="859"/>
      <c r="H1663" s="860"/>
      <c r="I1663" s="861">
        <v>5000000</v>
      </c>
      <c r="J1663" s="862">
        <v>4900000</v>
      </c>
      <c r="K1663" s="859"/>
      <c r="L1663" s="863"/>
      <c r="M1663" s="859"/>
      <c r="N1663" s="859"/>
      <c r="O1663" s="752">
        <f t="shared" si="218"/>
        <v>0</v>
      </c>
      <c r="P1663" s="862"/>
      <c r="Q1663" s="860"/>
      <c r="R1663" s="753">
        <f t="shared" si="221"/>
        <v>0</v>
      </c>
      <c r="S1663" s="752">
        <f t="shared" si="222"/>
        <v>5000000</v>
      </c>
      <c r="T1663" s="754">
        <f t="shared" si="223"/>
        <v>4900000</v>
      </c>
      <c r="U1663" s="859"/>
      <c r="V1663" s="863"/>
      <c r="W1663" s="859"/>
      <c r="X1663" s="859"/>
      <c r="Y1663" s="755">
        <f t="shared" si="219"/>
        <v>0</v>
      </c>
      <c r="Z1663" s="864"/>
      <c r="AA1663" s="863"/>
      <c r="AB1663" s="756">
        <f t="shared" si="220"/>
        <v>0</v>
      </c>
      <c r="AC1663" s="859"/>
      <c r="AD1663" s="863"/>
      <c r="AE1663" s="859"/>
      <c r="AF1663" s="859"/>
      <c r="AG1663" s="864"/>
      <c r="AH1663" s="865"/>
      <c r="AI1663" s="757">
        <f t="shared" si="224"/>
        <v>5000000</v>
      </c>
      <c r="AJ1663" s="758">
        <f t="shared" si="225"/>
        <v>4900000</v>
      </c>
    </row>
    <row r="1664" spans="1:36" x14ac:dyDescent="0.2">
      <c r="A1664" s="1022" t="s">
        <v>153</v>
      </c>
      <c r="B1664" s="1023" t="s">
        <v>303</v>
      </c>
      <c r="C1664" s="1037" t="s">
        <v>836</v>
      </c>
      <c r="D1664" s="1025"/>
      <c r="E1664" s="1040"/>
      <c r="F1664" s="1041"/>
      <c r="G1664" s="859"/>
      <c r="H1664" s="860"/>
      <c r="I1664" s="861"/>
      <c r="J1664" s="862"/>
      <c r="K1664" s="859"/>
      <c r="L1664" s="863"/>
      <c r="M1664" s="859"/>
      <c r="N1664" s="859"/>
      <c r="O1664" s="752">
        <f t="shared" si="218"/>
        <v>0</v>
      </c>
      <c r="P1664" s="862"/>
      <c r="Q1664" s="860"/>
      <c r="R1664" s="753">
        <f t="shared" si="221"/>
        <v>0</v>
      </c>
      <c r="S1664" s="752">
        <f t="shared" si="222"/>
        <v>0</v>
      </c>
      <c r="T1664" s="754">
        <f t="shared" si="223"/>
        <v>0</v>
      </c>
      <c r="U1664" s="859"/>
      <c r="V1664" s="863"/>
      <c r="W1664" s="859"/>
      <c r="X1664" s="859"/>
      <c r="Y1664" s="755">
        <f t="shared" si="219"/>
        <v>0</v>
      </c>
      <c r="Z1664" s="864"/>
      <c r="AA1664" s="863"/>
      <c r="AB1664" s="756">
        <f t="shared" si="220"/>
        <v>0</v>
      </c>
      <c r="AC1664" s="859"/>
      <c r="AD1664" s="863"/>
      <c r="AE1664" s="859"/>
      <c r="AF1664" s="859"/>
      <c r="AG1664" s="864"/>
      <c r="AH1664" s="865"/>
      <c r="AI1664" s="757">
        <f t="shared" si="224"/>
        <v>0</v>
      </c>
      <c r="AJ1664" s="758">
        <f t="shared" si="225"/>
        <v>0</v>
      </c>
    </row>
    <row r="1665" spans="1:36" x14ac:dyDescent="0.2">
      <c r="A1665" s="1022" t="s">
        <v>153</v>
      </c>
      <c r="B1665" s="1023" t="s">
        <v>303</v>
      </c>
      <c r="C1665" s="1028" t="s">
        <v>837</v>
      </c>
      <c r="D1665" s="1029"/>
      <c r="E1665" s="1040"/>
      <c r="F1665" s="1041"/>
      <c r="G1665" s="859"/>
      <c r="H1665" s="860"/>
      <c r="I1665" s="861">
        <v>0</v>
      </c>
      <c r="J1665" s="862">
        <v>19219504</v>
      </c>
      <c r="K1665" s="859"/>
      <c r="L1665" s="863"/>
      <c r="M1665" s="859"/>
      <c r="N1665" s="859"/>
      <c r="O1665" s="752">
        <f t="shared" si="218"/>
        <v>0</v>
      </c>
      <c r="P1665" s="862"/>
      <c r="Q1665" s="860"/>
      <c r="R1665" s="753">
        <f t="shared" si="221"/>
        <v>0</v>
      </c>
      <c r="S1665" s="752">
        <f t="shared" si="222"/>
        <v>0</v>
      </c>
      <c r="T1665" s="754">
        <f t="shared" si="223"/>
        <v>19219504</v>
      </c>
      <c r="U1665" s="859"/>
      <c r="V1665" s="863"/>
      <c r="W1665" s="859"/>
      <c r="X1665" s="859"/>
      <c r="Y1665" s="755">
        <f t="shared" si="219"/>
        <v>0</v>
      </c>
      <c r="Z1665" s="864"/>
      <c r="AA1665" s="863"/>
      <c r="AB1665" s="756">
        <f t="shared" si="220"/>
        <v>0</v>
      </c>
      <c r="AC1665" s="859"/>
      <c r="AD1665" s="863"/>
      <c r="AE1665" s="859"/>
      <c r="AF1665" s="859"/>
      <c r="AG1665" s="864"/>
      <c r="AH1665" s="865"/>
      <c r="AI1665" s="757">
        <f t="shared" si="224"/>
        <v>0</v>
      </c>
      <c r="AJ1665" s="758">
        <f t="shared" si="225"/>
        <v>19219504</v>
      </c>
    </row>
    <row r="1666" spans="1:36" x14ac:dyDescent="0.2">
      <c r="A1666" s="1022" t="s">
        <v>153</v>
      </c>
      <c r="B1666" s="1023" t="s">
        <v>281</v>
      </c>
      <c r="C1666" s="1037" t="s">
        <v>109</v>
      </c>
      <c r="D1666" s="1025"/>
      <c r="E1666" s="1026"/>
      <c r="F1666" s="1027"/>
      <c r="G1666" s="859"/>
      <c r="H1666" s="860"/>
      <c r="I1666" s="861"/>
      <c r="J1666" s="862"/>
      <c r="K1666" s="859"/>
      <c r="L1666" s="863"/>
      <c r="M1666" s="859"/>
      <c r="N1666" s="859"/>
      <c r="O1666" s="752">
        <f t="shared" si="218"/>
        <v>0</v>
      </c>
      <c r="P1666" s="862"/>
      <c r="Q1666" s="860"/>
      <c r="R1666" s="753">
        <f t="shared" si="221"/>
        <v>0</v>
      </c>
      <c r="S1666" s="752">
        <f t="shared" si="222"/>
        <v>0</v>
      </c>
      <c r="T1666" s="754">
        <f t="shared" si="223"/>
        <v>0</v>
      </c>
      <c r="U1666" s="859"/>
      <c r="V1666" s="863"/>
      <c r="W1666" s="859"/>
      <c r="X1666" s="859"/>
      <c r="Y1666" s="755">
        <f t="shared" si="219"/>
        <v>0</v>
      </c>
      <c r="Z1666" s="864"/>
      <c r="AA1666" s="863"/>
      <c r="AB1666" s="756">
        <f t="shared" si="220"/>
        <v>0</v>
      </c>
      <c r="AC1666" s="859"/>
      <c r="AD1666" s="863"/>
      <c r="AE1666" s="859"/>
      <c r="AF1666" s="859"/>
      <c r="AG1666" s="864"/>
      <c r="AH1666" s="865"/>
      <c r="AI1666" s="757">
        <f t="shared" si="224"/>
        <v>0</v>
      </c>
      <c r="AJ1666" s="758">
        <f t="shared" si="225"/>
        <v>0</v>
      </c>
    </row>
    <row r="1667" spans="1:36" x14ac:dyDescent="0.2">
      <c r="A1667" s="1022" t="s">
        <v>153</v>
      </c>
      <c r="B1667" s="1023" t="s">
        <v>282</v>
      </c>
      <c r="C1667" s="1030" t="s">
        <v>140</v>
      </c>
      <c r="D1667" s="1029"/>
      <c r="E1667" s="1026"/>
      <c r="F1667" s="1027"/>
      <c r="G1667" s="859"/>
      <c r="H1667" s="860"/>
      <c r="I1667" s="861"/>
      <c r="J1667" s="862"/>
      <c r="K1667" s="859"/>
      <c r="L1667" s="863"/>
      <c r="M1667" s="859"/>
      <c r="N1667" s="859"/>
      <c r="O1667" s="752">
        <f t="shared" si="218"/>
        <v>0</v>
      </c>
      <c r="P1667" s="862"/>
      <c r="Q1667" s="860"/>
      <c r="R1667" s="753">
        <f t="shared" si="221"/>
        <v>0</v>
      </c>
      <c r="S1667" s="752">
        <f t="shared" si="222"/>
        <v>0</v>
      </c>
      <c r="T1667" s="754">
        <f t="shared" si="223"/>
        <v>0</v>
      </c>
      <c r="U1667" s="859"/>
      <c r="V1667" s="863"/>
      <c r="W1667" s="859"/>
      <c r="X1667" s="859"/>
      <c r="Y1667" s="755">
        <f t="shared" si="219"/>
        <v>0</v>
      </c>
      <c r="Z1667" s="864"/>
      <c r="AA1667" s="863"/>
      <c r="AB1667" s="756">
        <f t="shared" si="220"/>
        <v>0</v>
      </c>
      <c r="AC1667" s="859"/>
      <c r="AD1667" s="863"/>
      <c r="AE1667" s="859"/>
      <c r="AF1667" s="859"/>
      <c r="AG1667" s="864"/>
      <c r="AH1667" s="865"/>
      <c r="AI1667" s="757">
        <f t="shared" si="224"/>
        <v>0</v>
      </c>
      <c r="AJ1667" s="758">
        <f t="shared" si="225"/>
        <v>0</v>
      </c>
    </row>
    <row r="1668" spans="1:36" x14ac:dyDescent="0.2">
      <c r="A1668" s="1022" t="s">
        <v>153</v>
      </c>
      <c r="B1668" s="1023" t="s">
        <v>282</v>
      </c>
      <c r="C1668" s="1028" t="s">
        <v>838</v>
      </c>
      <c r="D1668" s="1029"/>
      <c r="E1668" s="1026"/>
      <c r="F1668" s="1027"/>
      <c r="G1668" s="859"/>
      <c r="H1668" s="860"/>
      <c r="I1668" s="861"/>
      <c r="J1668" s="862"/>
      <c r="K1668" s="859"/>
      <c r="L1668" s="863"/>
      <c r="M1668" s="859"/>
      <c r="N1668" s="859"/>
      <c r="O1668" s="752">
        <f t="shared" si="218"/>
        <v>0</v>
      </c>
      <c r="P1668" s="862"/>
      <c r="Q1668" s="860"/>
      <c r="R1668" s="753">
        <f t="shared" si="221"/>
        <v>0</v>
      </c>
      <c r="S1668" s="752">
        <f t="shared" si="222"/>
        <v>0</v>
      </c>
      <c r="T1668" s="754">
        <f t="shared" si="223"/>
        <v>0</v>
      </c>
      <c r="U1668" s="859">
        <v>18166571</v>
      </c>
      <c r="V1668" s="863">
        <v>21949576</v>
      </c>
      <c r="W1668" s="859"/>
      <c r="X1668" s="859"/>
      <c r="Y1668" s="755">
        <f t="shared" si="219"/>
        <v>0</v>
      </c>
      <c r="Z1668" s="864"/>
      <c r="AA1668" s="863"/>
      <c r="AB1668" s="756">
        <f t="shared" si="220"/>
        <v>0</v>
      </c>
      <c r="AC1668" s="859"/>
      <c r="AD1668" s="863"/>
      <c r="AE1668" s="859"/>
      <c r="AF1668" s="859"/>
      <c r="AG1668" s="864"/>
      <c r="AH1668" s="865"/>
      <c r="AI1668" s="757">
        <f t="shared" si="224"/>
        <v>18166571</v>
      </c>
      <c r="AJ1668" s="758">
        <f t="shared" si="225"/>
        <v>21949576</v>
      </c>
    </row>
    <row r="1669" spans="1:36" x14ac:dyDescent="0.2">
      <c r="A1669" s="1022" t="s">
        <v>153</v>
      </c>
      <c r="B1669" s="1023" t="s">
        <v>284</v>
      </c>
      <c r="C1669" s="1030" t="s">
        <v>138</v>
      </c>
      <c r="D1669" s="1029"/>
      <c r="E1669" s="1026"/>
      <c r="F1669" s="1027"/>
      <c r="G1669" s="859"/>
      <c r="H1669" s="860"/>
      <c r="I1669" s="861"/>
      <c r="J1669" s="862"/>
      <c r="K1669" s="859"/>
      <c r="L1669" s="863"/>
      <c r="M1669" s="859"/>
      <c r="N1669" s="859"/>
      <c r="O1669" s="752">
        <f t="shared" si="218"/>
        <v>0</v>
      </c>
      <c r="P1669" s="862"/>
      <c r="Q1669" s="860"/>
      <c r="R1669" s="753">
        <f t="shared" si="221"/>
        <v>0</v>
      </c>
      <c r="S1669" s="752">
        <f t="shared" si="222"/>
        <v>0</v>
      </c>
      <c r="T1669" s="754">
        <f t="shared" si="223"/>
        <v>0</v>
      </c>
      <c r="U1669" s="859"/>
      <c r="V1669" s="863"/>
      <c r="W1669" s="859"/>
      <c r="X1669" s="859"/>
      <c r="Y1669" s="755">
        <f t="shared" si="219"/>
        <v>0</v>
      </c>
      <c r="Z1669" s="864"/>
      <c r="AA1669" s="863"/>
      <c r="AB1669" s="756">
        <f t="shared" si="220"/>
        <v>0</v>
      </c>
      <c r="AC1669" s="859"/>
      <c r="AD1669" s="863"/>
      <c r="AE1669" s="859"/>
      <c r="AF1669" s="859"/>
      <c r="AG1669" s="864"/>
      <c r="AH1669" s="865"/>
      <c r="AI1669" s="757">
        <f t="shared" si="224"/>
        <v>0</v>
      </c>
      <c r="AJ1669" s="758">
        <f t="shared" si="225"/>
        <v>0</v>
      </c>
    </row>
    <row r="1670" spans="1:36" x14ac:dyDescent="0.2">
      <c r="A1670" s="1022" t="s">
        <v>153</v>
      </c>
      <c r="B1670" s="1023" t="s">
        <v>284</v>
      </c>
      <c r="C1670" s="1028" t="s">
        <v>645</v>
      </c>
      <c r="D1670" s="1029"/>
      <c r="E1670" s="1040"/>
      <c r="F1670" s="1041"/>
      <c r="G1670" s="859"/>
      <c r="H1670" s="860"/>
      <c r="I1670" s="861"/>
      <c r="J1670" s="862"/>
      <c r="K1670" s="859"/>
      <c r="L1670" s="863"/>
      <c r="M1670" s="859"/>
      <c r="N1670" s="859"/>
      <c r="O1670" s="752">
        <f t="shared" si="218"/>
        <v>0</v>
      </c>
      <c r="P1670" s="862"/>
      <c r="Q1670" s="860"/>
      <c r="R1670" s="753">
        <f t="shared" si="221"/>
        <v>0</v>
      </c>
      <c r="S1670" s="752">
        <f t="shared" si="222"/>
        <v>0</v>
      </c>
      <c r="T1670" s="754">
        <f t="shared" si="223"/>
        <v>0</v>
      </c>
      <c r="U1670" s="859">
        <v>193550</v>
      </c>
      <c r="V1670" s="863">
        <v>204997</v>
      </c>
      <c r="W1670" s="859"/>
      <c r="X1670" s="859"/>
      <c r="Y1670" s="755">
        <f t="shared" si="219"/>
        <v>0</v>
      </c>
      <c r="Z1670" s="864"/>
      <c r="AA1670" s="863"/>
      <c r="AB1670" s="756">
        <f t="shared" si="220"/>
        <v>0</v>
      </c>
      <c r="AC1670" s="859"/>
      <c r="AD1670" s="863"/>
      <c r="AE1670" s="859"/>
      <c r="AF1670" s="859"/>
      <c r="AG1670" s="864"/>
      <c r="AH1670" s="865"/>
      <c r="AI1670" s="757">
        <f t="shared" si="224"/>
        <v>193550</v>
      </c>
      <c r="AJ1670" s="758">
        <f t="shared" si="225"/>
        <v>204997</v>
      </c>
    </row>
    <row r="1671" spans="1:36" x14ac:dyDescent="0.2">
      <c r="A1671" s="1022" t="s">
        <v>153</v>
      </c>
      <c r="B1671" s="1023" t="s">
        <v>285</v>
      </c>
      <c r="C1671" s="1030" t="s">
        <v>646</v>
      </c>
      <c r="D1671" s="1029"/>
      <c r="E1671" s="1026"/>
      <c r="F1671" s="1027"/>
      <c r="G1671" s="859"/>
      <c r="H1671" s="860"/>
      <c r="I1671" s="861"/>
      <c r="J1671" s="862"/>
      <c r="K1671" s="859"/>
      <c r="L1671" s="863"/>
      <c r="M1671" s="859"/>
      <c r="N1671" s="859"/>
      <c r="O1671" s="752">
        <f t="shared" si="218"/>
        <v>0</v>
      </c>
      <c r="P1671" s="862"/>
      <c r="Q1671" s="860"/>
      <c r="R1671" s="753">
        <f t="shared" si="221"/>
        <v>0</v>
      </c>
      <c r="S1671" s="752">
        <f t="shared" si="222"/>
        <v>0</v>
      </c>
      <c r="T1671" s="754">
        <f t="shared" si="223"/>
        <v>0</v>
      </c>
      <c r="U1671" s="859"/>
      <c r="V1671" s="863"/>
      <c r="W1671" s="859"/>
      <c r="X1671" s="859"/>
      <c r="Y1671" s="755">
        <f t="shared" si="219"/>
        <v>0</v>
      </c>
      <c r="Z1671" s="864"/>
      <c r="AA1671" s="863"/>
      <c r="AB1671" s="756">
        <f t="shared" si="220"/>
        <v>0</v>
      </c>
      <c r="AC1671" s="859"/>
      <c r="AD1671" s="863"/>
      <c r="AE1671" s="859"/>
      <c r="AF1671" s="859"/>
      <c r="AG1671" s="864"/>
      <c r="AH1671" s="865"/>
      <c r="AI1671" s="757">
        <f t="shared" si="224"/>
        <v>0</v>
      </c>
      <c r="AJ1671" s="758">
        <f t="shared" si="225"/>
        <v>0</v>
      </c>
    </row>
    <row r="1672" spans="1:36" x14ac:dyDescent="0.2">
      <c r="A1672" s="1022" t="s">
        <v>153</v>
      </c>
      <c r="B1672" s="1023" t="s">
        <v>286</v>
      </c>
      <c r="C1672" s="1037" t="s">
        <v>565</v>
      </c>
      <c r="D1672" s="1025"/>
      <c r="E1672" s="1026"/>
      <c r="F1672" s="1027"/>
      <c r="G1672" s="859"/>
      <c r="H1672" s="860"/>
      <c r="I1672" s="861"/>
      <c r="J1672" s="862"/>
      <c r="K1672" s="859"/>
      <c r="L1672" s="863"/>
      <c r="M1672" s="859"/>
      <c r="N1672" s="859"/>
      <c r="O1672" s="752">
        <f t="shared" si="218"/>
        <v>0</v>
      </c>
      <c r="P1672" s="862"/>
      <c r="Q1672" s="860"/>
      <c r="R1672" s="753">
        <f t="shared" si="221"/>
        <v>0</v>
      </c>
      <c r="S1672" s="752">
        <f t="shared" si="222"/>
        <v>0</v>
      </c>
      <c r="T1672" s="754">
        <f t="shared" si="223"/>
        <v>0</v>
      </c>
      <c r="U1672" s="859"/>
      <c r="V1672" s="863"/>
      <c r="W1672" s="859"/>
      <c r="X1672" s="859"/>
      <c r="Y1672" s="755">
        <f t="shared" si="219"/>
        <v>0</v>
      </c>
      <c r="Z1672" s="864"/>
      <c r="AA1672" s="863"/>
      <c r="AB1672" s="756">
        <f t="shared" si="220"/>
        <v>0</v>
      </c>
      <c r="AC1672" s="859"/>
      <c r="AD1672" s="863"/>
      <c r="AE1672" s="859"/>
      <c r="AF1672" s="859"/>
      <c r="AG1672" s="864"/>
      <c r="AH1672" s="865"/>
      <c r="AI1672" s="757">
        <f t="shared" si="224"/>
        <v>0</v>
      </c>
      <c r="AJ1672" s="758">
        <f t="shared" si="225"/>
        <v>0</v>
      </c>
    </row>
    <row r="1673" spans="1:36" x14ac:dyDescent="0.2">
      <c r="A1673" s="1022" t="s">
        <v>153</v>
      </c>
      <c r="B1673" s="1023" t="s">
        <v>286</v>
      </c>
      <c r="C1673" s="1028" t="s">
        <v>839</v>
      </c>
      <c r="D1673" s="1029"/>
      <c r="E1673" s="1026"/>
      <c r="F1673" s="1027"/>
      <c r="G1673" s="859"/>
      <c r="H1673" s="860"/>
      <c r="I1673" s="861"/>
      <c r="J1673" s="862"/>
      <c r="K1673" s="859"/>
      <c r="L1673" s="863"/>
      <c r="M1673" s="859"/>
      <c r="N1673" s="859"/>
      <c r="O1673" s="752">
        <f t="shared" si="218"/>
        <v>0</v>
      </c>
      <c r="P1673" s="862"/>
      <c r="Q1673" s="860"/>
      <c r="R1673" s="753">
        <f t="shared" si="221"/>
        <v>0</v>
      </c>
      <c r="S1673" s="752">
        <f t="shared" si="222"/>
        <v>0</v>
      </c>
      <c r="T1673" s="754">
        <f t="shared" si="223"/>
        <v>0</v>
      </c>
      <c r="U1673" s="859"/>
      <c r="V1673" s="863"/>
      <c r="W1673" s="859"/>
      <c r="X1673" s="859"/>
      <c r="Y1673" s="755">
        <f t="shared" si="219"/>
        <v>0</v>
      </c>
      <c r="Z1673" s="864"/>
      <c r="AA1673" s="863"/>
      <c r="AB1673" s="756">
        <f t="shared" si="220"/>
        <v>0</v>
      </c>
      <c r="AC1673" s="859"/>
      <c r="AD1673" s="863"/>
      <c r="AE1673" s="859"/>
      <c r="AF1673" s="859"/>
      <c r="AG1673" s="864"/>
      <c r="AH1673" s="865"/>
      <c r="AI1673" s="757">
        <f t="shared" si="224"/>
        <v>0</v>
      </c>
      <c r="AJ1673" s="758">
        <f t="shared" si="225"/>
        <v>0</v>
      </c>
    </row>
    <row r="1674" spans="1:36" x14ac:dyDescent="0.2">
      <c r="A1674" s="1022" t="s">
        <v>153</v>
      </c>
      <c r="B1674" s="1023" t="s">
        <v>287</v>
      </c>
      <c r="C1674" s="1037" t="s">
        <v>570</v>
      </c>
      <c r="D1674" s="1025"/>
      <c r="E1674" s="1026"/>
      <c r="F1674" s="1027"/>
      <c r="G1674" s="859"/>
      <c r="H1674" s="860"/>
      <c r="I1674" s="861"/>
      <c r="J1674" s="862"/>
      <c r="K1674" s="859"/>
      <c r="L1674" s="863"/>
      <c r="M1674" s="859"/>
      <c r="N1674" s="859"/>
      <c r="O1674" s="752">
        <f t="shared" si="218"/>
        <v>0</v>
      </c>
      <c r="P1674" s="862"/>
      <c r="Q1674" s="860"/>
      <c r="R1674" s="753">
        <f t="shared" si="221"/>
        <v>0</v>
      </c>
      <c r="S1674" s="752">
        <f t="shared" si="222"/>
        <v>0</v>
      </c>
      <c r="T1674" s="754">
        <f t="shared" si="223"/>
        <v>0</v>
      </c>
      <c r="U1674" s="859"/>
      <c r="V1674" s="863"/>
      <c r="W1674" s="859"/>
      <c r="X1674" s="859"/>
      <c r="Y1674" s="755">
        <f t="shared" si="219"/>
        <v>0</v>
      </c>
      <c r="Z1674" s="864"/>
      <c r="AA1674" s="863"/>
      <c r="AB1674" s="756">
        <f t="shared" si="220"/>
        <v>0</v>
      </c>
      <c r="AC1674" s="859"/>
      <c r="AD1674" s="863"/>
      <c r="AE1674" s="859"/>
      <c r="AF1674" s="859"/>
      <c r="AG1674" s="864"/>
      <c r="AH1674" s="865"/>
      <c r="AI1674" s="757">
        <f t="shared" si="224"/>
        <v>0</v>
      </c>
      <c r="AJ1674" s="758">
        <f t="shared" si="225"/>
        <v>0</v>
      </c>
    </row>
    <row r="1675" spans="1:36" x14ac:dyDescent="0.2">
      <c r="A1675" s="1022" t="s">
        <v>153</v>
      </c>
      <c r="B1675" s="1023" t="s">
        <v>288</v>
      </c>
      <c r="C1675" s="1030" t="s">
        <v>571</v>
      </c>
      <c r="D1675" s="1029"/>
      <c r="E1675" s="1040"/>
      <c r="F1675" s="1027"/>
      <c r="G1675" s="859"/>
      <c r="H1675" s="860"/>
      <c r="I1675" s="861"/>
      <c r="J1675" s="862"/>
      <c r="K1675" s="859"/>
      <c r="L1675" s="863"/>
      <c r="M1675" s="859"/>
      <c r="N1675" s="859"/>
      <c r="O1675" s="752">
        <f t="shared" ref="O1675:O1738" si="226">SUM(M1675:N1675)</f>
        <v>0</v>
      </c>
      <c r="P1675" s="862"/>
      <c r="Q1675" s="860"/>
      <c r="R1675" s="753">
        <f t="shared" si="221"/>
        <v>0</v>
      </c>
      <c r="S1675" s="752">
        <f t="shared" si="222"/>
        <v>0</v>
      </c>
      <c r="T1675" s="754">
        <f t="shared" si="223"/>
        <v>0</v>
      </c>
      <c r="U1675" s="859"/>
      <c r="V1675" s="863"/>
      <c r="W1675" s="859"/>
      <c r="X1675" s="859"/>
      <c r="Y1675" s="755">
        <f t="shared" ref="Y1675:Y1738" si="227">SUM(W1675:X1675)</f>
        <v>0</v>
      </c>
      <c r="Z1675" s="864"/>
      <c r="AA1675" s="863"/>
      <c r="AB1675" s="756">
        <f t="shared" ref="AB1675:AB1738" si="228">SUM(Z1675:AA1675)</f>
        <v>0</v>
      </c>
      <c r="AC1675" s="859"/>
      <c r="AD1675" s="863"/>
      <c r="AE1675" s="859"/>
      <c r="AF1675" s="859"/>
      <c r="AG1675" s="864"/>
      <c r="AH1675" s="865"/>
      <c r="AI1675" s="757">
        <f t="shared" si="224"/>
        <v>0</v>
      </c>
      <c r="AJ1675" s="758">
        <f t="shared" si="225"/>
        <v>0</v>
      </c>
    </row>
    <row r="1676" spans="1:36" x14ac:dyDescent="0.2">
      <c r="A1676" s="1022" t="s">
        <v>153</v>
      </c>
      <c r="B1676" s="1023" t="s">
        <v>288</v>
      </c>
      <c r="C1676" s="1028" t="s">
        <v>840</v>
      </c>
      <c r="D1676" s="1029"/>
      <c r="E1676" s="1040"/>
      <c r="F1676" s="1027"/>
      <c r="G1676" s="859"/>
      <c r="H1676" s="860"/>
      <c r="I1676" s="861"/>
      <c r="J1676" s="862"/>
      <c r="K1676" s="859"/>
      <c r="L1676" s="863"/>
      <c r="M1676" s="859"/>
      <c r="N1676" s="859"/>
      <c r="O1676" s="752">
        <f t="shared" si="226"/>
        <v>0</v>
      </c>
      <c r="P1676" s="862"/>
      <c r="Q1676" s="860"/>
      <c r="R1676" s="753">
        <f t="shared" ref="R1676:R1739" si="229">SUM(P1676:Q1676)</f>
        <v>0</v>
      </c>
      <c r="S1676" s="752">
        <f t="shared" ref="S1676:S1739" si="230">SUM(G1676,I1676,K1676,M1676)</f>
        <v>0</v>
      </c>
      <c r="T1676" s="754">
        <f t="shared" ref="T1676:T1739" si="231">SUM(H1676,J1676,L1676,P1676)</f>
        <v>0</v>
      </c>
      <c r="U1676" s="859"/>
      <c r="V1676" s="863"/>
      <c r="W1676" s="859"/>
      <c r="X1676" s="859"/>
      <c r="Y1676" s="755">
        <f t="shared" si="227"/>
        <v>0</v>
      </c>
      <c r="Z1676" s="864"/>
      <c r="AA1676" s="863"/>
      <c r="AB1676" s="756">
        <f t="shared" si="228"/>
        <v>0</v>
      </c>
      <c r="AC1676" s="859"/>
      <c r="AD1676" s="863"/>
      <c r="AE1676" s="859"/>
      <c r="AF1676" s="859"/>
      <c r="AG1676" s="864"/>
      <c r="AH1676" s="865"/>
      <c r="AI1676" s="757">
        <f t="shared" ref="AI1676:AI1739" si="232">SUM(S1676,U1676,W1676,AC1676,AE1676)</f>
        <v>0</v>
      </c>
      <c r="AJ1676" s="758">
        <f t="shared" ref="AJ1676:AJ1739" si="233">SUM(T1676,V1676,Z1676,AD1676,AG1676)</f>
        <v>0</v>
      </c>
    </row>
    <row r="1677" spans="1:36" x14ac:dyDescent="0.2">
      <c r="A1677" s="1022" t="s">
        <v>153</v>
      </c>
      <c r="B1677" s="1023" t="s">
        <v>288</v>
      </c>
      <c r="C1677" s="1028" t="s">
        <v>650</v>
      </c>
      <c r="D1677" s="1029"/>
      <c r="E1677" s="1040"/>
      <c r="F1677" s="1027"/>
      <c r="G1677" s="859"/>
      <c r="H1677" s="860"/>
      <c r="I1677" s="861"/>
      <c r="J1677" s="862"/>
      <c r="K1677" s="859"/>
      <c r="L1677" s="863"/>
      <c r="M1677" s="859"/>
      <c r="N1677" s="859"/>
      <c r="O1677" s="752">
        <f t="shared" si="226"/>
        <v>0</v>
      </c>
      <c r="P1677" s="862"/>
      <c r="Q1677" s="860"/>
      <c r="R1677" s="753">
        <f t="shared" si="229"/>
        <v>0</v>
      </c>
      <c r="S1677" s="752">
        <f t="shared" si="230"/>
        <v>0</v>
      </c>
      <c r="T1677" s="754">
        <f t="shared" si="231"/>
        <v>0</v>
      </c>
      <c r="U1677" s="859">
        <v>0</v>
      </c>
      <c r="V1677" s="863"/>
      <c r="W1677" s="859"/>
      <c r="X1677" s="859"/>
      <c r="Y1677" s="755">
        <f t="shared" si="227"/>
        <v>0</v>
      </c>
      <c r="Z1677" s="864"/>
      <c r="AA1677" s="863"/>
      <c r="AB1677" s="756">
        <f t="shared" si="228"/>
        <v>0</v>
      </c>
      <c r="AC1677" s="859"/>
      <c r="AD1677" s="863"/>
      <c r="AE1677" s="859"/>
      <c r="AF1677" s="859"/>
      <c r="AG1677" s="864"/>
      <c r="AH1677" s="865"/>
      <c r="AI1677" s="757">
        <f t="shared" si="232"/>
        <v>0</v>
      </c>
      <c r="AJ1677" s="758">
        <f t="shared" si="233"/>
        <v>0</v>
      </c>
    </row>
    <row r="1678" spans="1:36" x14ac:dyDescent="0.2">
      <c r="A1678" s="1022" t="s">
        <v>153</v>
      </c>
      <c r="B1678" s="1023" t="s">
        <v>289</v>
      </c>
      <c r="C1678" s="1030" t="s">
        <v>573</v>
      </c>
      <c r="D1678" s="1029"/>
      <c r="E1678" s="1040"/>
      <c r="F1678" s="1027"/>
      <c r="G1678" s="859"/>
      <c r="H1678" s="860"/>
      <c r="I1678" s="861"/>
      <c r="J1678" s="862"/>
      <c r="K1678" s="859"/>
      <c r="L1678" s="863"/>
      <c r="M1678" s="859"/>
      <c r="N1678" s="859"/>
      <c r="O1678" s="752">
        <f t="shared" si="226"/>
        <v>0</v>
      </c>
      <c r="P1678" s="862"/>
      <c r="Q1678" s="860"/>
      <c r="R1678" s="753">
        <f t="shared" si="229"/>
        <v>0</v>
      </c>
      <c r="S1678" s="752">
        <f t="shared" si="230"/>
        <v>0</v>
      </c>
      <c r="T1678" s="754">
        <f t="shared" si="231"/>
        <v>0</v>
      </c>
      <c r="U1678" s="859">
        <v>0</v>
      </c>
      <c r="V1678" s="863"/>
      <c r="W1678" s="859"/>
      <c r="X1678" s="859"/>
      <c r="Y1678" s="755">
        <f t="shared" si="227"/>
        <v>0</v>
      </c>
      <c r="Z1678" s="864"/>
      <c r="AA1678" s="863"/>
      <c r="AB1678" s="756">
        <f t="shared" si="228"/>
        <v>0</v>
      </c>
      <c r="AC1678" s="859"/>
      <c r="AD1678" s="863"/>
      <c r="AE1678" s="859"/>
      <c r="AF1678" s="859"/>
      <c r="AG1678" s="864"/>
      <c r="AH1678" s="865"/>
      <c r="AI1678" s="757">
        <f t="shared" si="232"/>
        <v>0</v>
      </c>
      <c r="AJ1678" s="758">
        <f t="shared" si="233"/>
        <v>0</v>
      </c>
    </row>
    <row r="1679" spans="1:36" x14ac:dyDescent="0.2">
      <c r="A1679" s="1022" t="s">
        <v>153</v>
      </c>
      <c r="B1679" s="1023" t="s">
        <v>289</v>
      </c>
      <c r="C1679" s="1028" t="s">
        <v>796</v>
      </c>
      <c r="D1679" s="1029"/>
      <c r="E1679" s="1040"/>
      <c r="F1679" s="1027"/>
      <c r="G1679" s="859"/>
      <c r="H1679" s="860"/>
      <c r="I1679" s="861"/>
      <c r="J1679" s="862"/>
      <c r="K1679" s="859"/>
      <c r="L1679" s="863"/>
      <c r="M1679" s="859"/>
      <c r="N1679" s="859"/>
      <c r="O1679" s="752">
        <f t="shared" si="226"/>
        <v>0</v>
      </c>
      <c r="P1679" s="862"/>
      <c r="Q1679" s="860"/>
      <c r="R1679" s="753">
        <f t="shared" si="229"/>
        <v>0</v>
      </c>
      <c r="S1679" s="752">
        <f t="shared" si="230"/>
        <v>0</v>
      </c>
      <c r="T1679" s="754">
        <f t="shared" si="231"/>
        <v>0</v>
      </c>
      <c r="U1679" s="859"/>
      <c r="V1679" s="863"/>
      <c r="W1679" s="859"/>
      <c r="X1679" s="859"/>
      <c r="Y1679" s="755">
        <f t="shared" si="227"/>
        <v>0</v>
      </c>
      <c r="Z1679" s="864"/>
      <c r="AA1679" s="863"/>
      <c r="AB1679" s="756">
        <f t="shared" si="228"/>
        <v>0</v>
      </c>
      <c r="AC1679" s="859"/>
      <c r="AD1679" s="863"/>
      <c r="AE1679" s="859"/>
      <c r="AF1679" s="859"/>
      <c r="AG1679" s="864"/>
      <c r="AH1679" s="865"/>
      <c r="AI1679" s="757">
        <f t="shared" si="232"/>
        <v>0</v>
      </c>
      <c r="AJ1679" s="758">
        <f t="shared" si="233"/>
        <v>0</v>
      </c>
    </row>
    <row r="1680" spans="1:36" x14ac:dyDescent="0.2">
      <c r="A1680" s="1022" t="s">
        <v>153</v>
      </c>
      <c r="B1680" s="1023" t="s">
        <v>289</v>
      </c>
      <c r="C1680" s="1028" t="s">
        <v>797</v>
      </c>
      <c r="D1680" s="1029"/>
      <c r="E1680" s="1040"/>
      <c r="F1680" s="1027"/>
      <c r="G1680" s="859"/>
      <c r="H1680" s="860"/>
      <c r="I1680" s="861"/>
      <c r="J1680" s="862"/>
      <c r="K1680" s="859"/>
      <c r="L1680" s="863"/>
      <c r="M1680" s="859"/>
      <c r="N1680" s="859"/>
      <c r="O1680" s="752">
        <f t="shared" si="226"/>
        <v>0</v>
      </c>
      <c r="P1680" s="862"/>
      <c r="Q1680" s="860"/>
      <c r="R1680" s="753">
        <f t="shared" si="229"/>
        <v>0</v>
      </c>
      <c r="S1680" s="752">
        <f t="shared" si="230"/>
        <v>0</v>
      </c>
      <c r="T1680" s="754">
        <f t="shared" si="231"/>
        <v>0</v>
      </c>
      <c r="U1680" s="859">
        <v>0</v>
      </c>
      <c r="V1680" s="863"/>
      <c r="W1680" s="859"/>
      <c r="X1680" s="859"/>
      <c r="Y1680" s="755">
        <f t="shared" si="227"/>
        <v>0</v>
      </c>
      <c r="Z1680" s="864"/>
      <c r="AA1680" s="863"/>
      <c r="AB1680" s="756">
        <f t="shared" si="228"/>
        <v>0</v>
      </c>
      <c r="AC1680" s="859"/>
      <c r="AD1680" s="863"/>
      <c r="AE1680" s="859"/>
      <c r="AF1680" s="859"/>
      <c r="AG1680" s="864"/>
      <c r="AH1680" s="865"/>
      <c r="AI1680" s="757">
        <f t="shared" si="232"/>
        <v>0</v>
      </c>
      <c r="AJ1680" s="758">
        <f t="shared" si="233"/>
        <v>0</v>
      </c>
    </row>
    <row r="1681" spans="1:36" x14ac:dyDescent="0.2">
      <c r="A1681" s="1022" t="s">
        <v>153</v>
      </c>
      <c r="B1681" s="1023" t="s">
        <v>290</v>
      </c>
      <c r="C1681" s="1030" t="s">
        <v>137</v>
      </c>
      <c r="D1681" s="1029"/>
      <c r="E1681" s="1040"/>
      <c r="F1681" s="1027"/>
      <c r="G1681" s="859"/>
      <c r="H1681" s="860"/>
      <c r="I1681" s="861"/>
      <c r="J1681" s="862"/>
      <c r="K1681" s="859"/>
      <c r="L1681" s="863"/>
      <c r="M1681" s="859"/>
      <c r="N1681" s="859"/>
      <c r="O1681" s="752">
        <f t="shared" si="226"/>
        <v>0</v>
      </c>
      <c r="P1681" s="862"/>
      <c r="Q1681" s="860"/>
      <c r="R1681" s="753">
        <f t="shared" si="229"/>
        <v>0</v>
      </c>
      <c r="S1681" s="752">
        <f t="shared" si="230"/>
        <v>0</v>
      </c>
      <c r="T1681" s="754">
        <f t="shared" si="231"/>
        <v>0</v>
      </c>
      <c r="U1681" s="859">
        <v>0</v>
      </c>
      <c r="V1681" s="863"/>
      <c r="W1681" s="859"/>
      <c r="X1681" s="859"/>
      <c r="Y1681" s="755">
        <f t="shared" si="227"/>
        <v>0</v>
      </c>
      <c r="Z1681" s="864"/>
      <c r="AA1681" s="863"/>
      <c r="AB1681" s="756">
        <f t="shared" si="228"/>
        <v>0</v>
      </c>
      <c r="AC1681" s="859"/>
      <c r="AD1681" s="863"/>
      <c r="AE1681" s="859"/>
      <c r="AF1681" s="859"/>
      <c r="AG1681" s="864"/>
      <c r="AH1681" s="865"/>
      <c r="AI1681" s="757">
        <f t="shared" si="232"/>
        <v>0</v>
      </c>
      <c r="AJ1681" s="758">
        <f t="shared" si="233"/>
        <v>0</v>
      </c>
    </row>
    <row r="1682" spans="1:36" x14ac:dyDescent="0.2">
      <c r="A1682" s="1022" t="s">
        <v>153</v>
      </c>
      <c r="B1682" s="1023" t="s">
        <v>291</v>
      </c>
      <c r="C1682" s="1037" t="s">
        <v>574</v>
      </c>
      <c r="D1682" s="1025"/>
      <c r="E1682" s="1040"/>
      <c r="F1682" s="1041"/>
      <c r="G1682" s="859"/>
      <c r="H1682" s="860"/>
      <c r="I1682" s="861"/>
      <c r="J1682" s="862"/>
      <c r="K1682" s="859"/>
      <c r="L1682" s="863"/>
      <c r="M1682" s="859"/>
      <c r="N1682" s="859"/>
      <c r="O1682" s="752">
        <f t="shared" si="226"/>
        <v>0</v>
      </c>
      <c r="P1682" s="862"/>
      <c r="Q1682" s="860"/>
      <c r="R1682" s="753">
        <f t="shared" si="229"/>
        <v>0</v>
      </c>
      <c r="S1682" s="752">
        <f t="shared" si="230"/>
        <v>0</v>
      </c>
      <c r="T1682" s="754">
        <f t="shared" si="231"/>
        <v>0</v>
      </c>
      <c r="U1682" s="859">
        <v>0</v>
      </c>
      <c r="V1682" s="863"/>
      <c r="W1682" s="859"/>
      <c r="X1682" s="859"/>
      <c r="Y1682" s="755">
        <f t="shared" si="227"/>
        <v>0</v>
      </c>
      <c r="Z1682" s="864"/>
      <c r="AA1682" s="863"/>
      <c r="AB1682" s="756">
        <f t="shared" si="228"/>
        <v>0</v>
      </c>
      <c r="AC1682" s="859"/>
      <c r="AD1682" s="863"/>
      <c r="AE1682" s="859"/>
      <c r="AF1682" s="859"/>
      <c r="AG1682" s="864"/>
      <c r="AH1682" s="865"/>
      <c r="AI1682" s="757">
        <f t="shared" si="232"/>
        <v>0</v>
      </c>
      <c r="AJ1682" s="758">
        <f t="shared" si="233"/>
        <v>0</v>
      </c>
    </row>
    <row r="1683" spans="1:36" x14ac:dyDescent="0.2">
      <c r="A1683" s="1022" t="s">
        <v>153</v>
      </c>
      <c r="B1683" s="1023" t="s">
        <v>292</v>
      </c>
      <c r="C1683" s="1042" t="s">
        <v>34</v>
      </c>
      <c r="D1683" s="1043"/>
      <c r="E1683" s="1040"/>
      <c r="F1683" s="1041"/>
      <c r="G1683" s="859"/>
      <c r="H1683" s="860"/>
      <c r="I1683" s="861"/>
      <c r="J1683" s="862"/>
      <c r="K1683" s="859"/>
      <c r="L1683" s="863"/>
      <c r="M1683" s="859"/>
      <c r="N1683" s="859"/>
      <c r="O1683" s="752">
        <f t="shared" si="226"/>
        <v>0</v>
      </c>
      <c r="P1683" s="862"/>
      <c r="Q1683" s="860"/>
      <c r="R1683" s="753">
        <f t="shared" si="229"/>
        <v>0</v>
      </c>
      <c r="S1683" s="752">
        <f t="shared" si="230"/>
        <v>0</v>
      </c>
      <c r="T1683" s="754">
        <f t="shared" si="231"/>
        <v>0</v>
      </c>
      <c r="U1683" s="859"/>
      <c r="V1683" s="863"/>
      <c r="W1683" s="859"/>
      <c r="X1683" s="859"/>
      <c r="Y1683" s="755">
        <f t="shared" si="227"/>
        <v>0</v>
      </c>
      <c r="Z1683" s="864"/>
      <c r="AA1683" s="863"/>
      <c r="AB1683" s="756">
        <f t="shared" si="228"/>
        <v>0</v>
      </c>
      <c r="AC1683" s="859"/>
      <c r="AD1683" s="863"/>
      <c r="AE1683" s="859"/>
      <c r="AF1683" s="859"/>
      <c r="AG1683" s="864"/>
      <c r="AH1683" s="865"/>
      <c r="AI1683" s="757">
        <f t="shared" si="232"/>
        <v>0</v>
      </c>
      <c r="AJ1683" s="758">
        <f t="shared" si="233"/>
        <v>0</v>
      </c>
    </row>
    <row r="1684" spans="1:36" x14ac:dyDescent="0.2">
      <c r="A1684" s="1022" t="s">
        <v>153</v>
      </c>
      <c r="B1684" s="1023" t="s">
        <v>292</v>
      </c>
      <c r="C1684" s="1044" t="s">
        <v>841</v>
      </c>
      <c r="D1684" s="1029"/>
      <c r="E1684" s="1040"/>
      <c r="F1684" s="1041"/>
      <c r="G1684" s="859"/>
      <c r="H1684" s="860"/>
      <c r="I1684" s="861"/>
      <c r="J1684" s="862"/>
      <c r="K1684" s="859"/>
      <c r="L1684" s="863"/>
      <c r="M1684" s="859"/>
      <c r="N1684" s="859"/>
      <c r="O1684" s="752">
        <f t="shared" si="226"/>
        <v>0</v>
      </c>
      <c r="P1684" s="862"/>
      <c r="Q1684" s="860"/>
      <c r="R1684" s="753">
        <f t="shared" si="229"/>
        <v>0</v>
      </c>
      <c r="S1684" s="752">
        <f t="shared" si="230"/>
        <v>0</v>
      </c>
      <c r="T1684" s="754">
        <f t="shared" si="231"/>
        <v>0</v>
      </c>
      <c r="U1684" s="859"/>
      <c r="V1684" s="863"/>
      <c r="W1684" s="859"/>
      <c r="X1684" s="859"/>
      <c r="Y1684" s="755">
        <f t="shared" si="227"/>
        <v>0</v>
      </c>
      <c r="Z1684" s="864"/>
      <c r="AA1684" s="863"/>
      <c r="AB1684" s="756">
        <f t="shared" si="228"/>
        <v>0</v>
      </c>
      <c r="AC1684" s="859"/>
      <c r="AD1684" s="863"/>
      <c r="AE1684" s="859"/>
      <c r="AF1684" s="859"/>
      <c r="AG1684" s="864"/>
      <c r="AH1684" s="865"/>
      <c r="AI1684" s="757">
        <f t="shared" si="232"/>
        <v>0</v>
      </c>
      <c r="AJ1684" s="758">
        <f t="shared" si="233"/>
        <v>0</v>
      </c>
    </row>
    <row r="1685" spans="1:36" x14ac:dyDescent="0.2">
      <c r="A1685" s="1022" t="s">
        <v>153</v>
      </c>
      <c r="B1685" s="1023" t="s">
        <v>310</v>
      </c>
      <c r="C1685" s="1045" t="s">
        <v>311</v>
      </c>
      <c r="D1685" s="1046"/>
      <c r="E1685" s="1040"/>
      <c r="F1685" s="1041"/>
      <c r="G1685" s="859"/>
      <c r="H1685" s="860"/>
      <c r="I1685" s="861"/>
      <c r="J1685" s="862"/>
      <c r="K1685" s="859"/>
      <c r="L1685" s="863"/>
      <c r="M1685" s="859"/>
      <c r="N1685" s="859"/>
      <c r="O1685" s="752">
        <f t="shared" si="226"/>
        <v>0</v>
      </c>
      <c r="P1685" s="862"/>
      <c r="Q1685" s="860"/>
      <c r="R1685" s="753">
        <f t="shared" si="229"/>
        <v>0</v>
      </c>
      <c r="S1685" s="752">
        <f t="shared" si="230"/>
        <v>0</v>
      </c>
      <c r="T1685" s="754">
        <f t="shared" si="231"/>
        <v>0</v>
      </c>
      <c r="U1685" s="859">
        <v>0</v>
      </c>
      <c r="V1685" s="863"/>
      <c r="W1685" s="859"/>
      <c r="X1685" s="859"/>
      <c r="Y1685" s="755">
        <f t="shared" si="227"/>
        <v>0</v>
      </c>
      <c r="Z1685" s="864"/>
      <c r="AA1685" s="863"/>
      <c r="AB1685" s="756">
        <f t="shared" si="228"/>
        <v>0</v>
      </c>
      <c r="AC1685" s="859"/>
      <c r="AD1685" s="863"/>
      <c r="AE1685" s="859"/>
      <c r="AF1685" s="859"/>
      <c r="AG1685" s="864"/>
      <c r="AH1685" s="865"/>
      <c r="AI1685" s="757">
        <f t="shared" si="232"/>
        <v>0</v>
      </c>
      <c r="AJ1685" s="758">
        <f t="shared" si="233"/>
        <v>0</v>
      </c>
    </row>
    <row r="1686" spans="1:36" x14ac:dyDescent="0.2">
      <c r="A1686" s="1022" t="s">
        <v>153</v>
      </c>
      <c r="B1686" s="1023" t="s">
        <v>251</v>
      </c>
      <c r="C1686" s="1045" t="s">
        <v>249</v>
      </c>
      <c r="D1686" s="1046"/>
      <c r="E1686" s="1040"/>
      <c r="F1686" s="1041"/>
      <c r="G1686" s="859"/>
      <c r="H1686" s="860"/>
      <c r="I1686" s="861"/>
      <c r="J1686" s="862"/>
      <c r="K1686" s="859"/>
      <c r="L1686" s="863"/>
      <c r="M1686" s="859"/>
      <c r="N1686" s="859"/>
      <c r="O1686" s="752">
        <f t="shared" si="226"/>
        <v>0</v>
      </c>
      <c r="P1686" s="862"/>
      <c r="Q1686" s="860"/>
      <c r="R1686" s="753">
        <f t="shared" si="229"/>
        <v>0</v>
      </c>
      <c r="S1686" s="752">
        <f t="shared" si="230"/>
        <v>0</v>
      </c>
      <c r="T1686" s="754">
        <f t="shared" si="231"/>
        <v>0</v>
      </c>
      <c r="U1686" s="859"/>
      <c r="V1686" s="863"/>
      <c r="W1686" s="859"/>
      <c r="X1686" s="859"/>
      <c r="Y1686" s="755">
        <f t="shared" si="227"/>
        <v>0</v>
      </c>
      <c r="Z1686" s="864"/>
      <c r="AA1686" s="863"/>
      <c r="AB1686" s="756">
        <f t="shared" si="228"/>
        <v>0</v>
      </c>
      <c r="AC1686" s="859"/>
      <c r="AD1686" s="863"/>
      <c r="AE1686" s="859"/>
      <c r="AF1686" s="859"/>
      <c r="AG1686" s="864"/>
      <c r="AH1686" s="865"/>
      <c r="AI1686" s="757">
        <f t="shared" si="232"/>
        <v>0</v>
      </c>
      <c r="AJ1686" s="758">
        <f t="shared" si="233"/>
        <v>0</v>
      </c>
    </row>
    <row r="1687" spans="1:36" x14ac:dyDescent="0.2">
      <c r="A1687" s="1022" t="s">
        <v>153</v>
      </c>
      <c r="B1687" s="1023" t="s">
        <v>209</v>
      </c>
      <c r="C1687" s="1045" t="s">
        <v>576</v>
      </c>
      <c r="D1687" s="1046"/>
      <c r="E1687" s="1040"/>
      <c r="F1687" s="1041"/>
      <c r="G1687" s="859"/>
      <c r="H1687" s="860"/>
      <c r="I1687" s="861"/>
      <c r="J1687" s="862"/>
      <c r="K1687" s="859"/>
      <c r="L1687" s="863"/>
      <c r="M1687" s="859"/>
      <c r="N1687" s="859"/>
      <c r="O1687" s="752">
        <f t="shared" si="226"/>
        <v>0</v>
      </c>
      <c r="P1687" s="862"/>
      <c r="Q1687" s="860"/>
      <c r="R1687" s="753">
        <f t="shared" si="229"/>
        <v>0</v>
      </c>
      <c r="S1687" s="752">
        <f t="shared" si="230"/>
        <v>0</v>
      </c>
      <c r="T1687" s="754">
        <f t="shared" si="231"/>
        <v>0</v>
      </c>
      <c r="U1687" s="859"/>
      <c r="V1687" s="863"/>
      <c r="W1687" s="859"/>
      <c r="X1687" s="859"/>
      <c r="Y1687" s="755">
        <f t="shared" si="227"/>
        <v>0</v>
      </c>
      <c r="Z1687" s="864"/>
      <c r="AA1687" s="863"/>
      <c r="AB1687" s="756">
        <f t="shared" si="228"/>
        <v>0</v>
      </c>
      <c r="AC1687" s="859"/>
      <c r="AD1687" s="863"/>
      <c r="AE1687" s="859"/>
      <c r="AF1687" s="859"/>
      <c r="AG1687" s="864"/>
      <c r="AH1687" s="865"/>
      <c r="AI1687" s="757">
        <f t="shared" si="232"/>
        <v>0</v>
      </c>
      <c r="AJ1687" s="758">
        <f t="shared" si="233"/>
        <v>0</v>
      </c>
    </row>
    <row r="1688" spans="1:36" x14ac:dyDescent="0.2">
      <c r="A1688" s="1022" t="s">
        <v>153</v>
      </c>
      <c r="B1688" s="1023" t="s">
        <v>210</v>
      </c>
      <c r="C1688" s="1045" t="s">
        <v>311</v>
      </c>
      <c r="D1688" s="1046"/>
      <c r="E1688" s="1040"/>
      <c r="F1688" s="1041"/>
      <c r="G1688" s="859"/>
      <c r="H1688" s="860"/>
      <c r="I1688" s="861"/>
      <c r="J1688" s="862"/>
      <c r="K1688" s="859"/>
      <c r="L1688" s="863"/>
      <c r="M1688" s="859"/>
      <c r="N1688" s="859"/>
      <c r="O1688" s="752">
        <f t="shared" si="226"/>
        <v>0</v>
      </c>
      <c r="P1688" s="862"/>
      <c r="Q1688" s="860"/>
      <c r="R1688" s="753">
        <f t="shared" si="229"/>
        <v>0</v>
      </c>
      <c r="S1688" s="752">
        <f t="shared" si="230"/>
        <v>0</v>
      </c>
      <c r="T1688" s="754">
        <f t="shared" si="231"/>
        <v>0</v>
      </c>
      <c r="U1688" s="859"/>
      <c r="V1688" s="863"/>
      <c r="W1688" s="859"/>
      <c r="X1688" s="859"/>
      <c r="Y1688" s="755">
        <f t="shared" si="227"/>
        <v>0</v>
      </c>
      <c r="Z1688" s="864"/>
      <c r="AA1688" s="863"/>
      <c r="AB1688" s="756">
        <f t="shared" si="228"/>
        <v>0</v>
      </c>
      <c r="AC1688" s="859"/>
      <c r="AD1688" s="863"/>
      <c r="AE1688" s="859"/>
      <c r="AF1688" s="859"/>
      <c r="AG1688" s="864"/>
      <c r="AH1688" s="865"/>
      <c r="AI1688" s="757">
        <f t="shared" si="232"/>
        <v>0</v>
      </c>
      <c r="AJ1688" s="758">
        <f t="shared" si="233"/>
        <v>0</v>
      </c>
    </row>
    <row r="1689" spans="1:36" x14ac:dyDescent="0.2">
      <c r="A1689" s="1022" t="s">
        <v>153</v>
      </c>
      <c r="B1689" s="1023" t="s">
        <v>251</v>
      </c>
      <c r="C1689" s="1045" t="s">
        <v>249</v>
      </c>
      <c r="D1689" s="1046"/>
      <c r="E1689" s="1040"/>
      <c r="F1689" s="1041"/>
      <c r="G1689" s="859"/>
      <c r="H1689" s="860"/>
      <c r="I1689" s="861"/>
      <c r="J1689" s="862"/>
      <c r="K1689" s="859"/>
      <c r="L1689" s="863"/>
      <c r="M1689" s="859"/>
      <c r="N1689" s="859"/>
      <c r="O1689" s="752">
        <f t="shared" si="226"/>
        <v>0</v>
      </c>
      <c r="P1689" s="862"/>
      <c r="Q1689" s="860"/>
      <c r="R1689" s="753">
        <f t="shared" si="229"/>
        <v>0</v>
      </c>
      <c r="S1689" s="752">
        <f t="shared" si="230"/>
        <v>0</v>
      </c>
      <c r="T1689" s="754">
        <f t="shared" si="231"/>
        <v>0</v>
      </c>
      <c r="U1689" s="859"/>
      <c r="V1689" s="863"/>
      <c r="W1689" s="859"/>
      <c r="X1689" s="859"/>
      <c r="Y1689" s="755">
        <f t="shared" si="227"/>
        <v>0</v>
      </c>
      <c r="Z1689" s="864"/>
      <c r="AA1689" s="863"/>
      <c r="AB1689" s="756">
        <f t="shared" si="228"/>
        <v>0</v>
      </c>
      <c r="AC1689" s="859"/>
      <c r="AD1689" s="863"/>
      <c r="AE1689" s="859"/>
      <c r="AF1689" s="859"/>
      <c r="AG1689" s="864"/>
      <c r="AH1689" s="865"/>
      <c r="AI1689" s="757">
        <f t="shared" si="232"/>
        <v>0</v>
      </c>
      <c r="AJ1689" s="758">
        <f t="shared" si="233"/>
        <v>0</v>
      </c>
    </row>
    <row r="1690" spans="1:36" x14ac:dyDescent="0.2">
      <c r="A1690" s="1022" t="s">
        <v>153</v>
      </c>
      <c r="B1690" s="1023" t="s">
        <v>205</v>
      </c>
      <c r="C1690" s="1045" t="s">
        <v>577</v>
      </c>
      <c r="D1690" s="1046"/>
      <c r="E1690" s="1040"/>
      <c r="F1690" s="1041"/>
      <c r="G1690" s="859"/>
      <c r="H1690" s="860"/>
      <c r="I1690" s="861"/>
      <c r="J1690" s="862"/>
      <c r="K1690" s="859"/>
      <c r="L1690" s="863"/>
      <c r="M1690" s="859"/>
      <c r="N1690" s="859"/>
      <c r="O1690" s="752">
        <f t="shared" si="226"/>
        <v>0</v>
      </c>
      <c r="P1690" s="862"/>
      <c r="Q1690" s="860"/>
      <c r="R1690" s="753">
        <f t="shared" si="229"/>
        <v>0</v>
      </c>
      <c r="S1690" s="752">
        <f t="shared" si="230"/>
        <v>0</v>
      </c>
      <c r="T1690" s="754">
        <f t="shared" si="231"/>
        <v>0</v>
      </c>
      <c r="U1690" s="859"/>
      <c r="V1690" s="863"/>
      <c r="W1690" s="859"/>
      <c r="X1690" s="859"/>
      <c r="Y1690" s="755">
        <f t="shared" si="227"/>
        <v>0</v>
      </c>
      <c r="Z1690" s="864"/>
      <c r="AA1690" s="863"/>
      <c r="AB1690" s="756">
        <f t="shared" si="228"/>
        <v>0</v>
      </c>
      <c r="AC1690" s="859"/>
      <c r="AD1690" s="863"/>
      <c r="AE1690" s="859"/>
      <c r="AF1690" s="859"/>
      <c r="AG1690" s="864"/>
      <c r="AH1690" s="865"/>
      <c r="AI1690" s="757">
        <f t="shared" si="232"/>
        <v>0</v>
      </c>
      <c r="AJ1690" s="758">
        <f t="shared" si="233"/>
        <v>0</v>
      </c>
    </row>
    <row r="1691" spans="1:36" x14ac:dyDescent="0.2">
      <c r="A1691" s="1022" t="s">
        <v>153</v>
      </c>
      <c r="B1691" s="1023" t="s">
        <v>218</v>
      </c>
      <c r="C1691" s="1045" t="s">
        <v>311</v>
      </c>
      <c r="D1691" s="1046"/>
      <c r="E1691" s="1040"/>
      <c r="F1691" s="1041"/>
      <c r="G1691" s="859"/>
      <c r="H1691" s="860"/>
      <c r="I1691" s="861"/>
      <c r="J1691" s="862"/>
      <c r="K1691" s="859"/>
      <c r="L1691" s="863"/>
      <c r="M1691" s="859"/>
      <c r="N1691" s="859"/>
      <c r="O1691" s="752">
        <f t="shared" si="226"/>
        <v>0</v>
      </c>
      <c r="P1691" s="862"/>
      <c r="Q1691" s="860"/>
      <c r="R1691" s="753">
        <f t="shared" si="229"/>
        <v>0</v>
      </c>
      <c r="S1691" s="752">
        <f t="shared" si="230"/>
        <v>0</v>
      </c>
      <c r="T1691" s="754">
        <f t="shared" si="231"/>
        <v>0</v>
      </c>
      <c r="U1691" s="859"/>
      <c r="V1691" s="863"/>
      <c r="W1691" s="859"/>
      <c r="X1691" s="859"/>
      <c r="Y1691" s="755">
        <f t="shared" si="227"/>
        <v>0</v>
      </c>
      <c r="Z1691" s="864"/>
      <c r="AA1691" s="863"/>
      <c r="AB1691" s="756">
        <f t="shared" si="228"/>
        <v>0</v>
      </c>
      <c r="AC1691" s="859"/>
      <c r="AD1691" s="863"/>
      <c r="AE1691" s="859"/>
      <c r="AF1691" s="859"/>
      <c r="AG1691" s="864"/>
      <c r="AH1691" s="865"/>
      <c r="AI1691" s="757">
        <f t="shared" si="232"/>
        <v>0</v>
      </c>
      <c r="AJ1691" s="758">
        <f t="shared" si="233"/>
        <v>0</v>
      </c>
    </row>
    <row r="1692" spans="1:36" x14ac:dyDescent="0.2">
      <c r="A1692" s="1022" t="s">
        <v>153</v>
      </c>
      <c r="B1692" s="1023" t="s">
        <v>251</v>
      </c>
      <c r="C1692" s="1045" t="s">
        <v>249</v>
      </c>
      <c r="D1692" s="1046"/>
      <c r="E1692" s="1040"/>
      <c r="F1692" s="1041"/>
      <c r="G1692" s="859"/>
      <c r="H1692" s="860"/>
      <c r="I1692" s="861"/>
      <c r="J1692" s="862"/>
      <c r="K1692" s="859"/>
      <c r="L1692" s="863"/>
      <c r="M1692" s="859"/>
      <c r="N1692" s="859"/>
      <c r="O1692" s="752">
        <f t="shared" si="226"/>
        <v>0</v>
      </c>
      <c r="P1692" s="862"/>
      <c r="Q1692" s="860"/>
      <c r="R1692" s="753">
        <f t="shared" si="229"/>
        <v>0</v>
      </c>
      <c r="S1692" s="752">
        <f t="shared" si="230"/>
        <v>0</v>
      </c>
      <c r="T1692" s="754">
        <f t="shared" si="231"/>
        <v>0</v>
      </c>
      <c r="U1692" s="859"/>
      <c r="V1692" s="863"/>
      <c r="W1692" s="859"/>
      <c r="X1692" s="859"/>
      <c r="Y1692" s="755">
        <f t="shared" si="227"/>
        <v>0</v>
      </c>
      <c r="Z1692" s="864"/>
      <c r="AA1692" s="863"/>
      <c r="AB1692" s="756">
        <f t="shared" si="228"/>
        <v>0</v>
      </c>
      <c r="AC1692" s="859"/>
      <c r="AD1692" s="863"/>
      <c r="AE1692" s="859"/>
      <c r="AF1692" s="859"/>
      <c r="AG1692" s="864"/>
      <c r="AH1692" s="865"/>
      <c r="AI1692" s="757">
        <f t="shared" si="232"/>
        <v>0</v>
      </c>
      <c r="AJ1692" s="758">
        <f t="shared" si="233"/>
        <v>0</v>
      </c>
    </row>
    <row r="1693" spans="1:36" x14ac:dyDescent="0.2">
      <c r="A1693" s="1022" t="s">
        <v>153</v>
      </c>
      <c r="B1693" s="1023" t="s">
        <v>292</v>
      </c>
      <c r="C1693" s="1047" t="s">
        <v>842</v>
      </c>
      <c r="D1693" s="1046"/>
      <c r="E1693" s="1040"/>
      <c r="F1693" s="1041"/>
      <c r="G1693" s="859"/>
      <c r="H1693" s="860"/>
      <c r="I1693" s="861"/>
      <c r="J1693" s="862"/>
      <c r="K1693" s="859"/>
      <c r="L1693" s="863"/>
      <c r="M1693" s="859"/>
      <c r="N1693" s="859"/>
      <c r="O1693" s="752">
        <f t="shared" si="226"/>
        <v>0</v>
      </c>
      <c r="P1693" s="862"/>
      <c r="Q1693" s="860"/>
      <c r="R1693" s="753">
        <f t="shared" si="229"/>
        <v>0</v>
      </c>
      <c r="S1693" s="752">
        <f t="shared" si="230"/>
        <v>0</v>
      </c>
      <c r="T1693" s="754">
        <f t="shared" si="231"/>
        <v>0</v>
      </c>
      <c r="U1693" s="859"/>
      <c r="V1693" s="863"/>
      <c r="W1693" s="859"/>
      <c r="X1693" s="859"/>
      <c r="Y1693" s="755">
        <f t="shared" si="227"/>
        <v>0</v>
      </c>
      <c r="Z1693" s="864"/>
      <c r="AA1693" s="863"/>
      <c r="AB1693" s="756">
        <f t="shared" si="228"/>
        <v>0</v>
      </c>
      <c r="AC1693" s="859"/>
      <c r="AD1693" s="863"/>
      <c r="AE1693" s="859"/>
      <c r="AF1693" s="859"/>
      <c r="AG1693" s="864"/>
      <c r="AH1693" s="865"/>
      <c r="AI1693" s="757">
        <f t="shared" si="232"/>
        <v>0</v>
      </c>
      <c r="AJ1693" s="758">
        <f t="shared" si="233"/>
        <v>0</v>
      </c>
    </row>
    <row r="1694" spans="1:36" x14ac:dyDescent="0.2">
      <c r="A1694" s="1022" t="s">
        <v>153</v>
      </c>
      <c r="B1694" s="1023" t="s">
        <v>310</v>
      </c>
      <c r="C1694" s="1045" t="s">
        <v>311</v>
      </c>
      <c r="D1694" s="1046"/>
      <c r="E1694" s="1040"/>
      <c r="F1694" s="1041"/>
      <c r="G1694" s="859"/>
      <c r="H1694" s="860"/>
      <c r="I1694" s="861"/>
      <c r="J1694" s="862"/>
      <c r="K1694" s="859"/>
      <c r="L1694" s="863"/>
      <c r="M1694" s="859"/>
      <c r="N1694" s="859"/>
      <c r="O1694" s="752">
        <f t="shared" si="226"/>
        <v>0</v>
      </c>
      <c r="P1694" s="862"/>
      <c r="Q1694" s="860"/>
      <c r="R1694" s="753">
        <f t="shared" si="229"/>
        <v>0</v>
      </c>
      <c r="S1694" s="752">
        <f t="shared" si="230"/>
        <v>0</v>
      </c>
      <c r="T1694" s="754">
        <f t="shared" si="231"/>
        <v>0</v>
      </c>
      <c r="U1694" s="859"/>
      <c r="V1694" s="863"/>
      <c r="W1694" s="859"/>
      <c r="X1694" s="859"/>
      <c r="Y1694" s="755">
        <f t="shared" si="227"/>
        <v>0</v>
      </c>
      <c r="Z1694" s="864"/>
      <c r="AA1694" s="863"/>
      <c r="AB1694" s="756">
        <f t="shared" si="228"/>
        <v>0</v>
      </c>
      <c r="AC1694" s="859"/>
      <c r="AD1694" s="863"/>
      <c r="AE1694" s="859"/>
      <c r="AF1694" s="859"/>
      <c r="AG1694" s="864"/>
      <c r="AH1694" s="865"/>
      <c r="AI1694" s="757">
        <f t="shared" si="232"/>
        <v>0</v>
      </c>
      <c r="AJ1694" s="758">
        <f t="shared" si="233"/>
        <v>0</v>
      </c>
    </row>
    <row r="1695" spans="1:36" x14ac:dyDescent="0.2">
      <c r="A1695" s="1022" t="s">
        <v>153</v>
      </c>
      <c r="B1695" s="1023" t="s">
        <v>251</v>
      </c>
      <c r="C1695" s="1045" t="s">
        <v>249</v>
      </c>
      <c r="D1695" s="1046"/>
      <c r="E1695" s="1040"/>
      <c r="F1695" s="1041"/>
      <c r="G1695" s="859"/>
      <c r="H1695" s="860"/>
      <c r="I1695" s="861"/>
      <c r="J1695" s="862"/>
      <c r="K1695" s="859"/>
      <c r="L1695" s="863"/>
      <c r="M1695" s="859"/>
      <c r="N1695" s="859"/>
      <c r="O1695" s="752">
        <f t="shared" si="226"/>
        <v>0</v>
      </c>
      <c r="P1695" s="862"/>
      <c r="Q1695" s="860"/>
      <c r="R1695" s="753">
        <f t="shared" si="229"/>
        <v>0</v>
      </c>
      <c r="S1695" s="752">
        <f t="shared" si="230"/>
        <v>0</v>
      </c>
      <c r="T1695" s="754">
        <f t="shared" si="231"/>
        <v>0</v>
      </c>
      <c r="U1695" s="859"/>
      <c r="V1695" s="863"/>
      <c r="W1695" s="859"/>
      <c r="X1695" s="859"/>
      <c r="Y1695" s="755">
        <f t="shared" si="227"/>
        <v>0</v>
      </c>
      <c r="Z1695" s="864"/>
      <c r="AA1695" s="863"/>
      <c r="AB1695" s="756">
        <f t="shared" si="228"/>
        <v>0</v>
      </c>
      <c r="AC1695" s="859"/>
      <c r="AD1695" s="863"/>
      <c r="AE1695" s="859"/>
      <c r="AF1695" s="859"/>
      <c r="AG1695" s="864"/>
      <c r="AH1695" s="865"/>
      <c r="AI1695" s="757">
        <f t="shared" si="232"/>
        <v>0</v>
      </c>
      <c r="AJ1695" s="758">
        <f t="shared" si="233"/>
        <v>0</v>
      </c>
    </row>
    <row r="1696" spans="1:36" x14ac:dyDescent="0.2">
      <c r="A1696" s="1022" t="s">
        <v>153</v>
      </c>
      <c r="B1696" s="1023" t="s">
        <v>209</v>
      </c>
      <c r="C1696" s="1045" t="s">
        <v>576</v>
      </c>
      <c r="D1696" s="1046"/>
      <c r="E1696" s="1040"/>
      <c r="F1696" s="1041"/>
      <c r="G1696" s="859"/>
      <c r="H1696" s="860"/>
      <c r="I1696" s="861"/>
      <c r="J1696" s="862"/>
      <c r="K1696" s="859"/>
      <c r="L1696" s="863"/>
      <c r="M1696" s="859"/>
      <c r="N1696" s="859"/>
      <c r="O1696" s="752">
        <f t="shared" si="226"/>
        <v>0</v>
      </c>
      <c r="P1696" s="862"/>
      <c r="Q1696" s="860"/>
      <c r="R1696" s="753">
        <f t="shared" si="229"/>
        <v>0</v>
      </c>
      <c r="S1696" s="752">
        <f t="shared" si="230"/>
        <v>0</v>
      </c>
      <c r="T1696" s="754">
        <f t="shared" si="231"/>
        <v>0</v>
      </c>
      <c r="U1696" s="859"/>
      <c r="V1696" s="863"/>
      <c r="W1696" s="859"/>
      <c r="X1696" s="859"/>
      <c r="Y1696" s="755">
        <f t="shared" si="227"/>
        <v>0</v>
      </c>
      <c r="Z1696" s="864"/>
      <c r="AA1696" s="863"/>
      <c r="AB1696" s="756">
        <f t="shared" si="228"/>
        <v>0</v>
      </c>
      <c r="AC1696" s="859"/>
      <c r="AD1696" s="863"/>
      <c r="AE1696" s="859"/>
      <c r="AF1696" s="859"/>
      <c r="AG1696" s="864"/>
      <c r="AH1696" s="865"/>
      <c r="AI1696" s="757">
        <f t="shared" si="232"/>
        <v>0</v>
      </c>
      <c r="AJ1696" s="758">
        <f t="shared" si="233"/>
        <v>0</v>
      </c>
    </row>
    <row r="1697" spans="1:36" x14ac:dyDescent="0.2">
      <c r="A1697" s="1022" t="s">
        <v>153</v>
      </c>
      <c r="B1697" s="1023" t="s">
        <v>210</v>
      </c>
      <c r="C1697" s="1045" t="s">
        <v>311</v>
      </c>
      <c r="D1697" s="1046"/>
      <c r="E1697" s="1040"/>
      <c r="F1697" s="1041"/>
      <c r="G1697" s="859"/>
      <c r="H1697" s="860"/>
      <c r="I1697" s="861"/>
      <c r="J1697" s="862"/>
      <c r="K1697" s="859"/>
      <c r="L1697" s="863"/>
      <c r="M1697" s="859"/>
      <c r="N1697" s="859"/>
      <c r="O1697" s="752">
        <f t="shared" si="226"/>
        <v>0</v>
      </c>
      <c r="P1697" s="862"/>
      <c r="Q1697" s="860"/>
      <c r="R1697" s="753">
        <f t="shared" si="229"/>
        <v>0</v>
      </c>
      <c r="S1697" s="752">
        <f t="shared" si="230"/>
        <v>0</v>
      </c>
      <c r="T1697" s="754">
        <f t="shared" si="231"/>
        <v>0</v>
      </c>
      <c r="U1697" s="859"/>
      <c r="V1697" s="863"/>
      <c r="W1697" s="859"/>
      <c r="X1697" s="859"/>
      <c r="Y1697" s="755">
        <f t="shared" si="227"/>
        <v>0</v>
      </c>
      <c r="Z1697" s="864"/>
      <c r="AA1697" s="863"/>
      <c r="AB1697" s="756">
        <f t="shared" si="228"/>
        <v>0</v>
      </c>
      <c r="AC1697" s="859"/>
      <c r="AD1697" s="863"/>
      <c r="AE1697" s="859"/>
      <c r="AF1697" s="859"/>
      <c r="AG1697" s="864"/>
      <c r="AH1697" s="865"/>
      <c r="AI1697" s="757">
        <f t="shared" si="232"/>
        <v>0</v>
      </c>
      <c r="AJ1697" s="758">
        <f t="shared" si="233"/>
        <v>0</v>
      </c>
    </row>
    <row r="1698" spans="1:36" x14ac:dyDescent="0.2">
      <c r="A1698" s="1022" t="s">
        <v>153</v>
      </c>
      <c r="B1698" s="1023" t="s">
        <v>251</v>
      </c>
      <c r="C1698" s="1045" t="s">
        <v>249</v>
      </c>
      <c r="D1698" s="1046"/>
      <c r="E1698" s="1040"/>
      <c r="F1698" s="1041"/>
      <c r="G1698" s="859"/>
      <c r="H1698" s="860"/>
      <c r="I1698" s="861"/>
      <c r="J1698" s="862"/>
      <c r="K1698" s="859"/>
      <c r="L1698" s="863"/>
      <c r="M1698" s="859"/>
      <c r="N1698" s="859"/>
      <c r="O1698" s="752">
        <f t="shared" si="226"/>
        <v>0</v>
      </c>
      <c r="P1698" s="862"/>
      <c r="Q1698" s="860"/>
      <c r="R1698" s="753">
        <f t="shared" si="229"/>
        <v>0</v>
      </c>
      <c r="S1698" s="752">
        <f t="shared" si="230"/>
        <v>0</v>
      </c>
      <c r="T1698" s="754">
        <f t="shared" si="231"/>
        <v>0</v>
      </c>
      <c r="U1698" s="859"/>
      <c r="V1698" s="863"/>
      <c r="W1698" s="859"/>
      <c r="X1698" s="859"/>
      <c r="Y1698" s="755">
        <f t="shared" si="227"/>
        <v>0</v>
      </c>
      <c r="Z1698" s="864"/>
      <c r="AA1698" s="863"/>
      <c r="AB1698" s="756">
        <f t="shared" si="228"/>
        <v>0</v>
      </c>
      <c r="AC1698" s="859"/>
      <c r="AD1698" s="863"/>
      <c r="AE1698" s="859"/>
      <c r="AF1698" s="859"/>
      <c r="AG1698" s="864"/>
      <c r="AH1698" s="865"/>
      <c r="AI1698" s="757">
        <f t="shared" si="232"/>
        <v>0</v>
      </c>
      <c r="AJ1698" s="758">
        <f t="shared" si="233"/>
        <v>0</v>
      </c>
    </row>
    <row r="1699" spans="1:36" x14ac:dyDescent="0.2">
      <c r="A1699" s="1022" t="s">
        <v>153</v>
      </c>
      <c r="B1699" s="1023" t="s">
        <v>205</v>
      </c>
      <c r="C1699" s="1045" t="s">
        <v>577</v>
      </c>
      <c r="D1699" s="1046"/>
      <c r="E1699" s="1040"/>
      <c r="F1699" s="1041"/>
      <c r="G1699" s="859"/>
      <c r="H1699" s="860"/>
      <c r="I1699" s="861"/>
      <c r="J1699" s="862"/>
      <c r="K1699" s="859"/>
      <c r="L1699" s="863"/>
      <c r="M1699" s="859"/>
      <c r="N1699" s="859"/>
      <c r="O1699" s="752">
        <f t="shared" si="226"/>
        <v>0</v>
      </c>
      <c r="P1699" s="862"/>
      <c r="Q1699" s="860"/>
      <c r="R1699" s="753">
        <f t="shared" si="229"/>
        <v>0</v>
      </c>
      <c r="S1699" s="752">
        <f t="shared" si="230"/>
        <v>0</v>
      </c>
      <c r="T1699" s="754">
        <f t="shared" si="231"/>
        <v>0</v>
      </c>
      <c r="U1699" s="859"/>
      <c r="V1699" s="863"/>
      <c r="W1699" s="859"/>
      <c r="X1699" s="859"/>
      <c r="Y1699" s="755">
        <f t="shared" si="227"/>
        <v>0</v>
      </c>
      <c r="Z1699" s="864"/>
      <c r="AA1699" s="863"/>
      <c r="AB1699" s="756">
        <f t="shared" si="228"/>
        <v>0</v>
      </c>
      <c r="AC1699" s="859"/>
      <c r="AD1699" s="863"/>
      <c r="AE1699" s="859"/>
      <c r="AF1699" s="859"/>
      <c r="AG1699" s="864"/>
      <c r="AH1699" s="865"/>
      <c r="AI1699" s="757">
        <f t="shared" si="232"/>
        <v>0</v>
      </c>
      <c r="AJ1699" s="758">
        <f t="shared" si="233"/>
        <v>0</v>
      </c>
    </row>
    <row r="1700" spans="1:36" x14ac:dyDescent="0.2">
      <c r="A1700" s="1022" t="s">
        <v>153</v>
      </c>
      <c r="B1700" s="1023" t="s">
        <v>218</v>
      </c>
      <c r="C1700" s="1045" t="s">
        <v>311</v>
      </c>
      <c r="D1700" s="1046"/>
      <c r="E1700" s="1040"/>
      <c r="F1700" s="1041"/>
      <c r="G1700" s="859"/>
      <c r="H1700" s="860"/>
      <c r="I1700" s="861"/>
      <c r="J1700" s="862"/>
      <c r="K1700" s="859"/>
      <c r="L1700" s="863"/>
      <c r="M1700" s="859"/>
      <c r="N1700" s="859"/>
      <c r="O1700" s="752">
        <f t="shared" si="226"/>
        <v>0</v>
      </c>
      <c r="P1700" s="862"/>
      <c r="Q1700" s="860"/>
      <c r="R1700" s="753">
        <f t="shared" si="229"/>
        <v>0</v>
      </c>
      <c r="S1700" s="752">
        <f t="shared" si="230"/>
        <v>0</v>
      </c>
      <c r="T1700" s="754">
        <f t="shared" si="231"/>
        <v>0</v>
      </c>
      <c r="U1700" s="859"/>
      <c r="V1700" s="863"/>
      <c r="W1700" s="859"/>
      <c r="X1700" s="859"/>
      <c r="Y1700" s="755">
        <f t="shared" si="227"/>
        <v>0</v>
      </c>
      <c r="Z1700" s="864"/>
      <c r="AA1700" s="863"/>
      <c r="AB1700" s="756">
        <f t="shared" si="228"/>
        <v>0</v>
      </c>
      <c r="AC1700" s="859"/>
      <c r="AD1700" s="863"/>
      <c r="AE1700" s="859"/>
      <c r="AF1700" s="859"/>
      <c r="AG1700" s="864"/>
      <c r="AH1700" s="865"/>
      <c r="AI1700" s="757">
        <f t="shared" si="232"/>
        <v>0</v>
      </c>
      <c r="AJ1700" s="758">
        <f t="shared" si="233"/>
        <v>0</v>
      </c>
    </row>
    <row r="1701" spans="1:36" x14ac:dyDescent="0.2">
      <c r="A1701" s="1022" t="s">
        <v>153</v>
      </c>
      <c r="B1701" s="1023" t="s">
        <v>251</v>
      </c>
      <c r="C1701" s="1045" t="s">
        <v>249</v>
      </c>
      <c r="D1701" s="1046"/>
      <c r="E1701" s="1040"/>
      <c r="F1701" s="1041"/>
      <c r="G1701" s="859"/>
      <c r="H1701" s="860"/>
      <c r="I1701" s="861"/>
      <c r="J1701" s="862"/>
      <c r="K1701" s="859"/>
      <c r="L1701" s="863"/>
      <c r="M1701" s="859"/>
      <c r="N1701" s="859"/>
      <c r="O1701" s="752">
        <f t="shared" si="226"/>
        <v>0</v>
      </c>
      <c r="P1701" s="862"/>
      <c r="Q1701" s="860"/>
      <c r="R1701" s="753">
        <f t="shared" si="229"/>
        <v>0</v>
      </c>
      <c r="S1701" s="752">
        <f t="shared" si="230"/>
        <v>0</v>
      </c>
      <c r="T1701" s="754">
        <f t="shared" si="231"/>
        <v>0</v>
      </c>
      <c r="U1701" s="859"/>
      <c r="V1701" s="863"/>
      <c r="W1701" s="859"/>
      <c r="X1701" s="859"/>
      <c r="Y1701" s="755">
        <f t="shared" si="227"/>
        <v>0</v>
      </c>
      <c r="Z1701" s="864"/>
      <c r="AA1701" s="863"/>
      <c r="AB1701" s="756">
        <f t="shared" si="228"/>
        <v>0</v>
      </c>
      <c r="AC1701" s="859"/>
      <c r="AD1701" s="863"/>
      <c r="AE1701" s="859"/>
      <c r="AF1701" s="859"/>
      <c r="AG1701" s="864"/>
      <c r="AH1701" s="865"/>
      <c r="AI1701" s="757">
        <f t="shared" si="232"/>
        <v>0</v>
      </c>
      <c r="AJ1701" s="758">
        <f t="shared" si="233"/>
        <v>0</v>
      </c>
    </row>
    <row r="1702" spans="1:36" x14ac:dyDescent="0.2">
      <c r="A1702" s="1022" t="s">
        <v>153</v>
      </c>
      <c r="B1702" s="1023" t="s">
        <v>292</v>
      </c>
      <c r="C1702" s="1044" t="s">
        <v>843</v>
      </c>
      <c r="D1702" s="1029"/>
      <c r="E1702" s="1040"/>
      <c r="F1702" s="1041"/>
      <c r="G1702" s="859"/>
      <c r="H1702" s="860"/>
      <c r="I1702" s="861"/>
      <c r="J1702" s="862"/>
      <c r="K1702" s="859"/>
      <c r="L1702" s="863"/>
      <c r="M1702" s="859"/>
      <c r="N1702" s="859"/>
      <c r="O1702" s="752">
        <f t="shared" si="226"/>
        <v>0</v>
      </c>
      <c r="P1702" s="862"/>
      <c r="Q1702" s="860"/>
      <c r="R1702" s="753">
        <f t="shared" si="229"/>
        <v>0</v>
      </c>
      <c r="S1702" s="752">
        <f t="shared" si="230"/>
        <v>0</v>
      </c>
      <c r="T1702" s="754">
        <f t="shared" si="231"/>
        <v>0</v>
      </c>
      <c r="U1702" s="859"/>
      <c r="V1702" s="863"/>
      <c r="W1702" s="859"/>
      <c r="X1702" s="859"/>
      <c r="Y1702" s="755">
        <f t="shared" si="227"/>
        <v>0</v>
      </c>
      <c r="Z1702" s="864"/>
      <c r="AA1702" s="863"/>
      <c r="AB1702" s="756">
        <f t="shared" si="228"/>
        <v>0</v>
      </c>
      <c r="AC1702" s="859"/>
      <c r="AD1702" s="863"/>
      <c r="AE1702" s="859"/>
      <c r="AF1702" s="859"/>
      <c r="AG1702" s="864"/>
      <c r="AH1702" s="865"/>
      <c r="AI1702" s="757">
        <f t="shared" si="232"/>
        <v>0</v>
      </c>
      <c r="AJ1702" s="758">
        <f t="shared" si="233"/>
        <v>0</v>
      </c>
    </row>
    <row r="1703" spans="1:36" x14ac:dyDescent="0.2">
      <c r="A1703" s="1022" t="s">
        <v>153</v>
      </c>
      <c r="B1703" s="1023" t="s">
        <v>310</v>
      </c>
      <c r="C1703" s="1045" t="s">
        <v>311</v>
      </c>
      <c r="D1703" s="1046"/>
      <c r="E1703" s="1040"/>
      <c r="F1703" s="1041"/>
      <c r="G1703" s="859"/>
      <c r="H1703" s="860"/>
      <c r="I1703" s="861"/>
      <c r="J1703" s="862"/>
      <c r="K1703" s="859"/>
      <c r="L1703" s="863"/>
      <c r="M1703" s="859"/>
      <c r="N1703" s="859"/>
      <c r="O1703" s="752">
        <f t="shared" si="226"/>
        <v>0</v>
      </c>
      <c r="P1703" s="862"/>
      <c r="Q1703" s="860"/>
      <c r="R1703" s="753">
        <f t="shared" si="229"/>
        <v>0</v>
      </c>
      <c r="S1703" s="752">
        <f t="shared" si="230"/>
        <v>0</v>
      </c>
      <c r="T1703" s="754">
        <f t="shared" si="231"/>
        <v>0</v>
      </c>
      <c r="U1703" s="859">
        <v>0</v>
      </c>
      <c r="V1703" s="863"/>
      <c r="W1703" s="859"/>
      <c r="X1703" s="859"/>
      <c r="Y1703" s="755">
        <f t="shared" si="227"/>
        <v>0</v>
      </c>
      <c r="Z1703" s="864"/>
      <c r="AA1703" s="863"/>
      <c r="AB1703" s="756">
        <f t="shared" si="228"/>
        <v>0</v>
      </c>
      <c r="AC1703" s="859"/>
      <c r="AD1703" s="863"/>
      <c r="AE1703" s="859"/>
      <c r="AF1703" s="859"/>
      <c r="AG1703" s="864"/>
      <c r="AH1703" s="865"/>
      <c r="AI1703" s="757">
        <f t="shared" si="232"/>
        <v>0</v>
      </c>
      <c r="AJ1703" s="758">
        <f t="shared" si="233"/>
        <v>0</v>
      </c>
    </row>
    <row r="1704" spans="1:36" x14ac:dyDescent="0.2">
      <c r="A1704" s="1022" t="s">
        <v>153</v>
      </c>
      <c r="B1704" s="1023" t="s">
        <v>251</v>
      </c>
      <c r="C1704" s="1045" t="s">
        <v>249</v>
      </c>
      <c r="D1704" s="1046"/>
      <c r="E1704" s="1040"/>
      <c r="F1704" s="1041"/>
      <c r="G1704" s="859"/>
      <c r="H1704" s="860"/>
      <c r="I1704" s="861"/>
      <c r="J1704" s="862"/>
      <c r="K1704" s="859"/>
      <c r="L1704" s="863"/>
      <c r="M1704" s="859"/>
      <c r="N1704" s="859"/>
      <c r="O1704" s="752">
        <f t="shared" si="226"/>
        <v>0</v>
      </c>
      <c r="P1704" s="862"/>
      <c r="Q1704" s="860"/>
      <c r="R1704" s="753">
        <f t="shared" si="229"/>
        <v>0</v>
      </c>
      <c r="S1704" s="752">
        <f t="shared" si="230"/>
        <v>0</v>
      </c>
      <c r="T1704" s="754">
        <f t="shared" si="231"/>
        <v>0</v>
      </c>
      <c r="U1704" s="859"/>
      <c r="V1704" s="863"/>
      <c r="W1704" s="859"/>
      <c r="X1704" s="859"/>
      <c r="Y1704" s="755">
        <f t="shared" si="227"/>
        <v>0</v>
      </c>
      <c r="Z1704" s="864"/>
      <c r="AA1704" s="863"/>
      <c r="AB1704" s="756">
        <f t="shared" si="228"/>
        <v>0</v>
      </c>
      <c r="AC1704" s="859"/>
      <c r="AD1704" s="863"/>
      <c r="AE1704" s="859"/>
      <c r="AF1704" s="859"/>
      <c r="AG1704" s="864"/>
      <c r="AH1704" s="865"/>
      <c r="AI1704" s="757">
        <f t="shared" si="232"/>
        <v>0</v>
      </c>
      <c r="AJ1704" s="758">
        <f t="shared" si="233"/>
        <v>0</v>
      </c>
    </row>
    <row r="1705" spans="1:36" x14ac:dyDescent="0.2">
      <c r="A1705" s="1022" t="s">
        <v>153</v>
      </c>
      <c r="B1705" s="1023" t="s">
        <v>209</v>
      </c>
      <c r="C1705" s="1045" t="s">
        <v>576</v>
      </c>
      <c r="D1705" s="1046"/>
      <c r="E1705" s="1040"/>
      <c r="F1705" s="1041"/>
      <c r="G1705" s="859"/>
      <c r="H1705" s="860"/>
      <c r="I1705" s="861"/>
      <c r="J1705" s="862"/>
      <c r="K1705" s="859"/>
      <c r="L1705" s="863"/>
      <c r="M1705" s="859"/>
      <c r="N1705" s="859"/>
      <c r="O1705" s="752">
        <f t="shared" si="226"/>
        <v>0</v>
      </c>
      <c r="P1705" s="862"/>
      <c r="Q1705" s="860"/>
      <c r="R1705" s="753">
        <f t="shared" si="229"/>
        <v>0</v>
      </c>
      <c r="S1705" s="752">
        <f t="shared" si="230"/>
        <v>0</v>
      </c>
      <c r="T1705" s="754">
        <f t="shared" si="231"/>
        <v>0</v>
      </c>
      <c r="U1705" s="859"/>
      <c r="V1705" s="863"/>
      <c r="W1705" s="859"/>
      <c r="X1705" s="859"/>
      <c r="Y1705" s="755">
        <f t="shared" si="227"/>
        <v>0</v>
      </c>
      <c r="Z1705" s="864"/>
      <c r="AA1705" s="863"/>
      <c r="AB1705" s="756">
        <f t="shared" si="228"/>
        <v>0</v>
      </c>
      <c r="AC1705" s="859"/>
      <c r="AD1705" s="863"/>
      <c r="AE1705" s="859"/>
      <c r="AF1705" s="859"/>
      <c r="AG1705" s="864"/>
      <c r="AH1705" s="865"/>
      <c r="AI1705" s="757">
        <f t="shared" si="232"/>
        <v>0</v>
      </c>
      <c r="AJ1705" s="758">
        <f t="shared" si="233"/>
        <v>0</v>
      </c>
    </row>
    <row r="1706" spans="1:36" x14ac:dyDescent="0.2">
      <c r="A1706" s="1022" t="s">
        <v>153</v>
      </c>
      <c r="B1706" s="1023" t="s">
        <v>210</v>
      </c>
      <c r="C1706" s="1045" t="s">
        <v>311</v>
      </c>
      <c r="D1706" s="1046"/>
      <c r="E1706" s="1040"/>
      <c r="F1706" s="1041"/>
      <c r="G1706" s="859"/>
      <c r="H1706" s="860"/>
      <c r="I1706" s="861"/>
      <c r="J1706" s="862"/>
      <c r="K1706" s="859"/>
      <c r="L1706" s="863"/>
      <c r="M1706" s="859"/>
      <c r="N1706" s="859"/>
      <c r="O1706" s="752">
        <f t="shared" si="226"/>
        <v>0</v>
      </c>
      <c r="P1706" s="862"/>
      <c r="Q1706" s="860"/>
      <c r="R1706" s="753">
        <f t="shared" si="229"/>
        <v>0</v>
      </c>
      <c r="S1706" s="752">
        <f t="shared" si="230"/>
        <v>0</v>
      </c>
      <c r="T1706" s="754">
        <f t="shared" si="231"/>
        <v>0</v>
      </c>
      <c r="U1706" s="859"/>
      <c r="V1706" s="863"/>
      <c r="W1706" s="859"/>
      <c r="X1706" s="859"/>
      <c r="Y1706" s="755">
        <f t="shared" si="227"/>
        <v>0</v>
      </c>
      <c r="Z1706" s="864"/>
      <c r="AA1706" s="863"/>
      <c r="AB1706" s="756">
        <f t="shared" si="228"/>
        <v>0</v>
      </c>
      <c r="AC1706" s="859"/>
      <c r="AD1706" s="863"/>
      <c r="AE1706" s="859"/>
      <c r="AF1706" s="859"/>
      <c r="AG1706" s="864"/>
      <c r="AH1706" s="865"/>
      <c r="AI1706" s="757">
        <f t="shared" si="232"/>
        <v>0</v>
      </c>
      <c r="AJ1706" s="758">
        <f t="shared" si="233"/>
        <v>0</v>
      </c>
    </row>
    <row r="1707" spans="1:36" x14ac:dyDescent="0.2">
      <c r="A1707" s="1022" t="s">
        <v>153</v>
      </c>
      <c r="B1707" s="1023" t="s">
        <v>251</v>
      </c>
      <c r="C1707" s="1045" t="s">
        <v>249</v>
      </c>
      <c r="D1707" s="1046"/>
      <c r="E1707" s="1040"/>
      <c r="F1707" s="1041"/>
      <c r="G1707" s="859"/>
      <c r="H1707" s="860"/>
      <c r="I1707" s="861"/>
      <c r="J1707" s="862"/>
      <c r="K1707" s="859"/>
      <c r="L1707" s="863"/>
      <c r="M1707" s="859"/>
      <c r="N1707" s="859"/>
      <c r="O1707" s="752">
        <f t="shared" si="226"/>
        <v>0</v>
      </c>
      <c r="P1707" s="862"/>
      <c r="Q1707" s="860"/>
      <c r="R1707" s="753">
        <f t="shared" si="229"/>
        <v>0</v>
      </c>
      <c r="S1707" s="752">
        <f t="shared" si="230"/>
        <v>0</v>
      </c>
      <c r="T1707" s="754">
        <f t="shared" si="231"/>
        <v>0</v>
      </c>
      <c r="U1707" s="859"/>
      <c r="V1707" s="863"/>
      <c r="W1707" s="859"/>
      <c r="X1707" s="859"/>
      <c r="Y1707" s="755">
        <f t="shared" si="227"/>
        <v>0</v>
      </c>
      <c r="Z1707" s="864"/>
      <c r="AA1707" s="863"/>
      <c r="AB1707" s="756">
        <f t="shared" si="228"/>
        <v>0</v>
      </c>
      <c r="AC1707" s="859"/>
      <c r="AD1707" s="863"/>
      <c r="AE1707" s="859"/>
      <c r="AF1707" s="859"/>
      <c r="AG1707" s="864"/>
      <c r="AH1707" s="865"/>
      <c r="AI1707" s="757">
        <f t="shared" si="232"/>
        <v>0</v>
      </c>
      <c r="AJ1707" s="758">
        <f t="shared" si="233"/>
        <v>0</v>
      </c>
    </row>
    <row r="1708" spans="1:36" x14ac:dyDescent="0.2">
      <c r="A1708" s="1022" t="s">
        <v>153</v>
      </c>
      <c r="B1708" s="1023" t="s">
        <v>205</v>
      </c>
      <c r="C1708" s="1045" t="s">
        <v>577</v>
      </c>
      <c r="D1708" s="1046"/>
      <c r="E1708" s="1040"/>
      <c r="F1708" s="1041"/>
      <c r="G1708" s="859"/>
      <c r="H1708" s="860"/>
      <c r="I1708" s="861"/>
      <c r="J1708" s="862"/>
      <c r="K1708" s="859"/>
      <c r="L1708" s="863"/>
      <c r="M1708" s="859"/>
      <c r="N1708" s="859"/>
      <c r="O1708" s="752">
        <f t="shared" si="226"/>
        <v>0</v>
      </c>
      <c r="P1708" s="862"/>
      <c r="Q1708" s="860"/>
      <c r="R1708" s="753">
        <f t="shared" si="229"/>
        <v>0</v>
      </c>
      <c r="S1708" s="752">
        <f t="shared" si="230"/>
        <v>0</v>
      </c>
      <c r="T1708" s="754">
        <f t="shared" si="231"/>
        <v>0</v>
      </c>
      <c r="U1708" s="859"/>
      <c r="V1708" s="863"/>
      <c r="W1708" s="859"/>
      <c r="X1708" s="859"/>
      <c r="Y1708" s="755">
        <f t="shared" si="227"/>
        <v>0</v>
      </c>
      <c r="Z1708" s="864"/>
      <c r="AA1708" s="863"/>
      <c r="AB1708" s="756">
        <f t="shared" si="228"/>
        <v>0</v>
      </c>
      <c r="AC1708" s="859"/>
      <c r="AD1708" s="863"/>
      <c r="AE1708" s="859"/>
      <c r="AF1708" s="859"/>
      <c r="AG1708" s="864"/>
      <c r="AH1708" s="865"/>
      <c r="AI1708" s="757">
        <f t="shared" si="232"/>
        <v>0</v>
      </c>
      <c r="AJ1708" s="758">
        <f t="shared" si="233"/>
        <v>0</v>
      </c>
    </row>
    <row r="1709" spans="1:36" x14ac:dyDescent="0.2">
      <c r="A1709" s="1022" t="s">
        <v>153</v>
      </c>
      <c r="B1709" s="1023" t="s">
        <v>218</v>
      </c>
      <c r="C1709" s="1045" t="s">
        <v>311</v>
      </c>
      <c r="D1709" s="1046"/>
      <c r="E1709" s="1040"/>
      <c r="F1709" s="1041"/>
      <c r="G1709" s="859"/>
      <c r="H1709" s="860"/>
      <c r="I1709" s="861"/>
      <c r="J1709" s="862"/>
      <c r="K1709" s="859"/>
      <c r="L1709" s="863"/>
      <c r="M1709" s="859"/>
      <c r="N1709" s="859"/>
      <c r="O1709" s="752">
        <f t="shared" si="226"/>
        <v>0</v>
      </c>
      <c r="P1709" s="862"/>
      <c r="Q1709" s="860"/>
      <c r="R1709" s="753">
        <f t="shared" si="229"/>
        <v>0</v>
      </c>
      <c r="S1709" s="752">
        <f t="shared" si="230"/>
        <v>0</v>
      </c>
      <c r="T1709" s="754">
        <f t="shared" si="231"/>
        <v>0</v>
      </c>
      <c r="U1709" s="859"/>
      <c r="V1709" s="863"/>
      <c r="W1709" s="859"/>
      <c r="X1709" s="859"/>
      <c r="Y1709" s="755">
        <f t="shared" si="227"/>
        <v>0</v>
      </c>
      <c r="Z1709" s="864"/>
      <c r="AA1709" s="863"/>
      <c r="AB1709" s="756">
        <f t="shared" si="228"/>
        <v>0</v>
      </c>
      <c r="AC1709" s="859"/>
      <c r="AD1709" s="863"/>
      <c r="AE1709" s="859"/>
      <c r="AF1709" s="859"/>
      <c r="AG1709" s="864"/>
      <c r="AH1709" s="865"/>
      <c r="AI1709" s="757">
        <f t="shared" si="232"/>
        <v>0</v>
      </c>
      <c r="AJ1709" s="758">
        <f t="shared" si="233"/>
        <v>0</v>
      </c>
    </row>
    <row r="1710" spans="1:36" x14ac:dyDescent="0.2">
      <c r="A1710" s="1022" t="s">
        <v>153</v>
      </c>
      <c r="B1710" s="1023" t="s">
        <v>251</v>
      </c>
      <c r="C1710" s="1045" t="s">
        <v>249</v>
      </c>
      <c r="D1710" s="1046"/>
      <c r="E1710" s="1040"/>
      <c r="F1710" s="1041"/>
      <c r="G1710" s="859"/>
      <c r="H1710" s="860"/>
      <c r="I1710" s="861"/>
      <c r="J1710" s="862"/>
      <c r="K1710" s="859"/>
      <c r="L1710" s="863"/>
      <c r="M1710" s="859"/>
      <c r="N1710" s="859"/>
      <c r="O1710" s="752">
        <f t="shared" si="226"/>
        <v>0</v>
      </c>
      <c r="P1710" s="862"/>
      <c r="Q1710" s="860"/>
      <c r="R1710" s="753">
        <f t="shared" si="229"/>
        <v>0</v>
      </c>
      <c r="S1710" s="752">
        <f t="shared" si="230"/>
        <v>0</v>
      </c>
      <c r="T1710" s="754">
        <f t="shared" si="231"/>
        <v>0</v>
      </c>
      <c r="U1710" s="859"/>
      <c r="V1710" s="863"/>
      <c r="W1710" s="859"/>
      <c r="X1710" s="859"/>
      <c r="Y1710" s="755">
        <f t="shared" si="227"/>
        <v>0</v>
      </c>
      <c r="Z1710" s="864"/>
      <c r="AA1710" s="863"/>
      <c r="AB1710" s="756">
        <f t="shared" si="228"/>
        <v>0</v>
      </c>
      <c r="AC1710" s="859"/>
      <c r="AD1710" s="863"/>
      <c r="AE1710" s="859"/>
      <c r="AF1710" s="859"/>
      <c r="AG1710" s="864"/>
      <c r="AH1710" s="865"/>
      <c r="AI1710" s="757">
        <f t="shared" si="232"/>
        <v>0</v>
      </c>
      <c r="AJ1710" s="758">
        <f t="shared" si="233"/>
        <v>0</v>
      </c>
    </row>
    <row r="1711" spans="1:36" x14ac:dyDescent="0.2">
      <c r="A1711" s="1022" t="s">
        <v>153</v>
      </c>
      <c r="B1711" s="1023" t="s">
        <v>292</v>
      </c>
      <c r="C1711" s="1044" t="s">
        <v>844</v>
      </c>
      <c r="D1711" s="1029"/>
      <c r="E1711" s="1040"/>
      <c r="F1711" s="1041"/>
      <c r="G1711" s="859"/>
      <c r="H1711" s="860"/>
      <c r="I1711" s="861"/>
      <c r="J1711" s="862"/>
      <c r="K1711" s="859"/>
      <c r="L1711" s="863"/>
      <c r="M1711" s="859"/>
      <c r="N1711" s="859"/>
      <c r="O1711" s="752">
        <f t="shared" si="226"/>
        <v>0</v>
      </c>
      <c r="P1711" s="862"/>
      <c r="Q1711" s="860"/>
      <c r="R1711" s="753">
        <f t="shared" si="229"/>
        <v>0</v>
      </c>
      <c r="S1711" s="752">
        <f t="shared" si="230"/>
        <v>0</v>
      </c>
      <c r="T1711" s="754">
        <f t="shared" si="231"/>
        <v>0</v>
      </c>
      <c r="U1711" s="859"/>
      <c r="V1711" s="863"/>
      <c r="W1711" s="859"/>
      <c r="X1711" s="859"/>
      <c r="Y1711" s="755">
        <f t="shared" si="227"/>
        <v>0</v>
      </c>
      <c r="Z1711" s="864"/>
      <c r="AA1711" s="863"/>
      <c r="AB1711" s="756">
        <f t="shared" si="228"/>
        <v>0</v>
      </c>
      <c r="AC1711" s="859"/>
      <c r="AD1711" s="863"/>
      <c r="AE1711" s="859"/>
      <c r="AF1711" s="859"/>
      <c r="AG1711" s="864"/>
      <c r="AH1711" s="865"/>
      <c r="AI1711" s="757">
        <f t="shared" si="232"/>
        <v>0</v>
      </c>
      <c r="AJ1711" s="758">
        <f t="shared" si="233"/>
        <v>0</v>
      </c>
    </row>
    <row r="1712" spans="1:36" x14ac:dyDescent="0.2">
      <c r="A1712" s="1022" t="s">
        <v>153</v>
      </c>
      <c r="B1712" s="1023" t="s">
        <v>310</v>
      </c>
      <c r="C1712" s="1045" t="s">
        <v>311</v>
      </c>
      <c r="D1712" s="1046"/>
      <c r="E1712" s="1040"/>
      <c r="F1712" s="1041"/>
      <c r="G1712" s="859"/>
      <c r="H1712" s="860"/>
      <c r="I1712" s="861"/>
      <c r="J1712" s="862"/>
      <c r="K1712" s="859"/>
      <c r="L1712" s="863"/>
      <c r="M1712" s="859"/>
      <c r="N1712" s="859"/>
      <c r="O1712" s="752">
        <f t="shared" si="226"/>
        <v>0</v>
      </c>
      <c r="P1712" s="862"/>
      <c r="Q1712" s="860"/>
      <c r="R1712" s="753">
        <f t="shared" si="229"/>
        <v>0</v>
      </c>
      <c r="S1712" s="752">
        <f t="shared" si="230"/>
        <v>0</v>
      </c>
      <c r="T1712" s="754">
        <f t="shared" si="231"/>
        <v>0</v>
      </c>
      <c r="U1712" s="859">
        <v>0</v>
      </c>
      <c r="V1712" s="863"/>
      <c r="W1712" s="859"/>
      <c r="X1712" s="859"/>
      <c r="Y1712" s="755">
        <f t="shared" si="227"/>
        <v>0</v>
      </c>
      <c r="Z1712" s="864"/>
      <c r="AA1712" s="863"/>
      <c r="AB1712" s="756">
        <f t="shared" si="228"/>
        <v>0</v>
      </c>
      <c r="AC1712" s="859"/>
      <c r="AD1712" s="863"/>
      <c r="AE1712" s="859"/>
      <c r="AF1712" s="859"/>
      <c r="AG1712" s="864"/>
      <c r="AH1712" s="865"/>
      <c r="AI1712" s="757">
        <f t="shared" si="232"/>
        <v>0</v>
      </c>
      <c r="AJ1712" s="758">
        <f t="shared" si="233"/>
        <v>0</v>
      </c>
    </row>
    <row r="1713" spans="1:36" x14ac:dyDescent="0.2">
      <c r="A1713" s="1022" t="s">
        <v>153</v>
      </c>
      <c r="B1713" s="1023" t="s">
        <v>251</v>
      </c>
      <c r="C1713" s="1045" t="s">
        <v>249</v>
      </c>
      <c r="D1713" s="1046"/>
      <c r="E1713" s="1040"/>
      <c r="F1713" s="1041"/>
      <c r="G1713" s="859"/>
      <c r="H1713" s="860"/>
      <c r="I1713" s="861"/>
      <c r="J1713" s="862"/>
      <c r="K1713" s="859"/>
      <c r="L1713" s="863"/>
      <c r="M1713" s="859"/>
      <c r="N1713" s="859"/>
      <c r="O1713" s="752">
        <f t="shared" si="226"/>
        <v>0</v>
      </c>
      <c r="P1713" s="862"/>
      <c r="Q1713" s="860"/>
      <c r="R1713" s="753">
        <f t="shared" si="229"/>
        <v>0</v>
      </c>
      <c r="S1713" s="752">
        <f t="shared" si="230"/>
        <v>0</v>
      </c>
      <c r="T1713" s="754">
        <f t="shared" si="231"/>
        <v>0</v>
      </c>
      <c r="U1713" s="859"/>
      <c r="V1713" s="863"/>
      <c r="W1713" s="859"/>
      <c r="X1713" s="859"/>
      <c r="Y1713" s="755">
        <f t="shared" si="227"/>
        <v>0</v>
      </c>
      <c r="Z1713" s="864"/>
      <c r="AA1713" s="863"/>
      <c r="AB1713" s="756">
        <f t="shared" si="228"/>
        <v>0</v>
      </c>
      <c r="AC1713" s="859"/>
      <c r="AD1713" s="863"/>
      <c r="AE1713" s="859"/>
      <c r="AF1713" s="859"/>
      <c r="AG1713" s="864"/>
      <c r="AH1713" s="865"/>
      <c r="AI1713" s="757">
        <f t="shared" si="232"/>
        <v>0</v>
      </c>
      <c r="AJ1713" s="758">
        <f t="shared" si="233"/>
        <v>0</v>
      </c>
    </row>
    <row r="1714" spans="1:36" x14ac:dyDescent="0.2">
      <c r="A1714" s="1022" t="s">
        <v>153</v>
      </c>
      <c r="B1714" s="1023" t="s">
        <v>209</v>
      </c>
      <c r="C1714" s="1045" t="s">
        <v>576</v>
      </c>
      <c r="D1714" s="1046"/>
      <c r="E1714" s="1040"/>
      <c r="F1714" s="1041"/>
      <c r="G1714" s="859"/>
      <c r="H1714" s="860"/>
      <c r="I1714" s="861"/>
      <c r="J1714" s="862"/>
      <c r="K1714" s="859"/>
      <c r="L1714" s="863"/>
      <c r="M1714" s="859"/>
      <c r="N1714" s="859"/>
      <c r="O1714" s="752">
        <f t="shared" si="226"/>
        <v>0</v>
      </c>
      <c r="P1714" s="862"/>
      <c r="Q1714" s="860"/>
      <c r="R1714" s="753">
        <f t="shared" si="229"/>
        <v>0</v>
      </c>
      <c r="S1714" s="752">
        <f t="shared" si="230"/>
        <v>0</v>
      </c>
      <c r="T1714" s="754">
        <f t="shared" si="231"/>
        <v>0</v>
      </c>
      <c r="U1714" s="859"/>
      <c r="V1714" s="863"/>
      <c r="W1714" s="859"/>
      <c r="X1714" s="859"/>
      <c r="Y1714" s="755">
        <f t="shared" si="227"/>
        <v>0</v>
      </c>
      <c r="Z1714" s="864"/>
      <c r="AA1714" s="863"/>
      <c r="AB1714" s="756">
        <f t="shared" si="228"/>
        <v>0</v>
      </c>
      <c r="AC1714" s="859"/>
      <c r="AD1714" s="863"/>
      <c r="AE1714" s="859"/>
      <c r="AF1714" s="859"/>
      <c r="AG1714" s="864"/>
      <c r="AH1714" s="865"/>
      <c r="AI1714" s="757">
        <f t="shared" si="232"/>
        <v>0</v>
      </c>
      <c r="AJ1714" s="758">
        <f t="shared" si="233"/>
        <v>0</v>
      </c>
    </row>
    <row r="1715" spans="1:36" x14ac:dyDescent="0.2">
      <c r="A1715" s="1022" t="s">
        <v>153</v>
      </c>
      <c r="B1715" s="1023" t="s">
        <v>210</v>
      </c>
      <c r="C1715" s="1045" t="s">
        <v>311</v>
      </c>
      <c r="D1715" s="1046"/>
      <c r="E1715" s="1040"/>
      <c r="F1715" s="1041"/>
      <c r="G1715" s="859"/>
      <c r="H1715" s="860"/>
      <c r="I1715" s="861"/>
      <c r="J1715" s="862"/>
      <c r="K1715" s="859"/>
      <c r="L1715" s="863"/>
      <c r="M1715" s="859"/>
      <c r="N1715" s="859"/>
      <c r="O1715" s="752">
        <f t="shared" si="226"/>
        <v>0</v>
      </c>
      <c r="P1715" s="862"/>
      <c r="Q1715" s="860"/>
      <c r="R1715" s="753">
        <f t="shared" si="229"/>
        <v>0</v>
      </c>
      <c r="S1715" s="752">
        <f t="shared" si="230"/>
        <v>0</v>
      </c>
      <c r="T1715" s="754">
        <f t="shared" si="231"/>
        <v>0</v>
      </c>
      <c r="U1715" s="859"/>
      <c r="V1715" s="863"/>
      <c r="W1715" s="859"/>
      <c r="X1715" s="859"/>
      <c r="Y1715" s="755">
        <f t="shared" si="227"/>
        <v>0</v>
      </c>
      <c r="Z1715" s="864"/>
      <c r="AA1715" s="863"/>
      <c r="AB1715" s="756">
        <f t="shared" si="228"/>
        <v>0</v>
      </c>
      <c r="AC1715" s="859"/>
      <c r="AD1715" s="863"/>
      <c r="AE1715" s="859"/>
      <c r="AF1715" s="859"/>
      <c r="AG1715" s="864"/>
      <c r="AH1715" s="865"/>
      <c r="AI1715" s="757">
        <f t="shared" si="232"/>
        <v>0</v>
      </c>
      <c r="AJ1715" s="758">
        <f t="shared" si="233"/>
        <v>0</v>
      </c>
    </row>
    <row r="1716" spans="1:36" x14ac:dyDescent="0.2">
      <c r="A1716" s="1022" t="s">
        <v>153</v>
      </c>
      <c r="B1716" s="1023" t="s">
        <v>251</v>
      </c>
      <c r="C1716" s="1045" t="s">
        <v>249</v>
      </c>
      <c r="D1716" s="1046"/>
      <c r="E1716" s="1040"/>
      <c r="F1716" s="1041"/>
      <c r="G1716" s="859"/>
      <c r="H1716" s="860"/>
      <c r="I1716" s="861"/>
      <c r="J1716" s="862"/>
      <c r="K1716" s="859"/>
      <c r="L1716" s="863"/>
      <c r="M1716" s="859"/>
      <c r="N1716" s="859"/>
      <c r="O1716" s="752">
        <f t="shared" si="226"/>
        <v>0</v>
      </c>
      <c r="P1716" s="862"/>
      <c r="Q1716" s="860"/>
      <c r="R1716" s="753">
        <f t="shared" si="229"/>
        <v>0</v>
      </c>
      <c r="S1716" s="752">
        <f t="shared" si="230"/>
        <v>0</v>
      </c>
      <c r="T1716" s="754">
        <f t="shared" si="231"/>
        <v>0</v>
      </c>
      <c r="U1716" s="859"/>
      <c r="V1716" s="863"/>
      <c r="W1716" s="859"/>
      <c r="X1716" s="859"/>
      <c r="Y1716" s="755">
        <f t="shared" si="227"/>
        <v>0</v>
      </c>
      <c r="Z1716" s="864"/>
      <c r="AA1716" s="863"/>
      <c r="AB1716" s="756">
        <f t="shared" si="228"/>
        <v>0</v>
      </c>
      <c r="AC1716" s="859"/>
      <c r="AD1716" s="863"/>
      <c r="AE1716" s="859"/>
      <c r="AF1716" s="859"/>
      <c r="AG1716" s="864"/>
      <c r="AH1716" s="865"/>
      <c r="AI1716" s="757">
        <f t="shared" si="232"/>
        <v>0</v>
      </c>
      <c r="AJ1716" s="758">
        <f t="shared" si="233"/>
        <v>0</v>
      </c>
    </row>
    <row r="1717" spans="1:36" x14ac:dyDescent="0.2">
      <c r="A1717" s="1022" t="s">
        <v>153</v>
      </c>
      <c r="B1717" s="1023" t="s">
        <v>205</v>
      </c>
      <c r="C1717" s="1045" t="s">
        <v>577</v>
      </c>
      <c r="D1717" s="1046"/>
      <c r="E1717" s="1040"/>
      <c r="F1717" s="1041"/>
      <c r="G1717" s="859"/>
      <c r="H1717" s="860"/>
      <c r="I1717" s="861"/>
      <c r="J1717" s="862"/>
      <c r="K1717" s="859"/>
      <c r="L1717" s="863"/>
      <c r="M1717" s="859"/>
      <c r="N1717" s="859"/>
      <c r="O1717" s="752">
        <f t="shared" si="226"/>
        <v>0</v>
      </c>
      <c r="P1717" s="862"/>
      <c r="Q1717" s="860"/>
      <c r="R1717" s="753">
        <f t="shared" si="229"/>
        <v>0</v>
      </c>
      <c r="S1717" s="752">
        <f t="shared" si="230"/>
        <v>0</v>
      </c>
      <c r="T1717" s="754">
        <f t="shared" si="231"/>
        <v>0</v>
      </c>
      <c r="U1717" s="859"/>
      <c r="V1717" s="863"/>
      <c r="W1717" s="859"/>
      <c r="X1717" s="859"/>
      <c r="Y1717" s="755">
        <f t="shared" si="227"/>
        <v>0</v>
      </c>
      <c r="Z1717" s="864"/>
      <c r="AA1717" s="863"/>
      <c r="AB1717" s="756">
        <f t="shared" si="228"/>
        <v>0</v>
      </c>
      <c r="AC1717" s="859"/>
      <c r="AD1717" s="863"/>
      <c r="AE1717" s="859"/>
      <c r="AF1717" s="859"/>
      <c r="AG1717" s="864"/>
      <c r="AH1717" s="865"/>
      <c r="AI1717" s="757">
        <f t="shared" si="232"/>
        <v>0</v>
      </c>
      <c r="AJ1717" s="758">
        <f t="shared" si="233"/>
        <v>0</v>
      </c>
    </row>
    <row r="1718" spans="1:36" x14ac:dyDescent="0.2">
      <c r="A1718" s="1022" t="s">
        <v>153</v>
      </c>
      <c r="B1718" s="1023" t="s">
        <v>218</v>
      </c>
      <c r="C1718" s="1045" t="s">
        <v>311</v>
      </c>
      <c r="D1718" s="1046"/>
      <c r="E1718" s="1040"/>
      <c r="F1718" s="1041"/>
      <c r="G1718" s="859"/>
      <c r="H1718" s="860"/>
      <c r="I1718" s="861"/>
      <c r="J1718" s="862"/>
      <c r="K1718" s="859"/>
      <c r="L1718" s="863"/>
      <c r="M1718" s="859"/>
      <c r="N1718" s="859"/>
      <c r="O1718" s="752">
        <f t="shared" si="226"/>
        <v>0</v>
      </c>
      <c r="P1718" s="862"/>
      <c r="Q1718" s="860"/>
      <c r="R1718" s="753">
        <f t="shared" si="229"/>
        <v>0</v>
      </c>
      <c r="S1718" s="752">
        <f t="shared" si="230"/>
        <v>0</v>
      </c>
      <c r="T1718" s="754">
        <f t="shared" si="231"/>
        <v>0</v>
      </c>
      <c r="U1718" s="859"/>
      <c r="V1718" s="863"/>
      <c r="W1718" s="859"/>
      <c r="X1718" s="859"/>
      <c r="Y1718" s="755">
        <f t="shared" si="227"/>
        <v>0</v>
      </c>
      <c r="Z1718" s="864"/>
      <c r="AA1718" s="863"/>
      <c r="AB1718" s="756">
        <f t="shared" si="228"/>
        <v>0</v>
      </c>
      <c r="AC1718" s="859"/>
      <c r="AD1718" s="863"/>
      <c r="AE1718" s="859"/>
      <c r="AF1718" s="859"/>
      <c r="AG1718" s="864"/>
      <c r="AH1718" s="865"/>
      <c r="AI1718" s="757">
        <f t="shared" si="232"/>
        <v>0</v>
      </c>
      <c r="AJ1718" s="758">
        <f t="shared" si="233"/>
        <v>0</v>
      </c>
    </row>
    <row r="1719" spans="1:36" x14ac:dyDescent="0.2">
      <c r="A1719" s="1048" t="s">
        <v>153</v>
      </c>
      <c r="B1719" s="1049" t="s">
        <v>251</v>
      </c>
      <c r="C1719" s="1050" t="s">
        <v>249</v>
      </c>
      <c r="D1719" s="1046"/>
      <c r="E1719" s="1040"/>
      <c r="F1719" s="1041"/>
      <c r="G1719" s="859"/>
      <c r="H1719" s="860"/>
      <c r="I1719" s="861"/>
      <c r="J1719" s="862"/>
      <c r="K1719" s="859"/>
      <c r="L1719" s="863"/>
      <c r="M1719" s="859"/>
      <c r="N1719" s="859"/>
      <c r="O1719" s="752">
        <f t="shared" si="226"/>
        <v>0</v>
      </c>
      <c r="P1719" s="862"/>
      <c r="Q1719" s="860"/>
      <c r="R1719" s="753">
        <f t="shared" si="229"/>
        <v>0</v>
      </c>
      <c r="S1719" s="752">
        <f t="shared" si="230"/>
        <v>0</v>
      </c>
      <c r="T1719" s="754">
        <f t="shared" si="231"/>
        <v>0</v>
      </c>
      <c r="U1719" s="859"/>
      <c r="V1719" s="863"/>
      <c r="W1719" s="859"/>
      <c r="X1719" s="859"/>
      <c r="Y1719" s="755">
        <f t="shared" si="227"/>
        <v>0</v>
      </c>
      <c r="Z1719" s="864"/>
      <c r="AA1719" s="863"/>
      <c r="AB1719" s="756">
        <f t="shared" si="228"/>
        <v>0</v>
      </c>
      <c r="AC1719" s="859"/>
      <c r="AD1719" s="863"/>
      <c r="AE1719" s="859"/>
      <c r="AF1719" s="859"/>
      <c r="AG1719" s="864"/>
      <c r="AH1719" s="865"/>
      <c r="AI1719" s="757">
        <f t="shared" si="232"/>
        <v>0</v>
      </c>
      <c r="AJ1719" s="758">
        <f t="shared" si="233"/>
        <v>0</v>
      </c>
    </row>
    <row r="1720" spans="1:36" x14ac:dyDescent="0.2">
      <c r="A1720" s="1048" t="s">
        <v>153</v>
      </c>
      <c r="B1720" s="1049" t="s">
        <v>292</v>
      </c>
      <c r="C1720" s="1051" t="s">
        <v>845</v>
      </c>
      <c r="D1720" s="1052"/>
      <c r="E1720" s="1053"/>
      <c r="F1720" s="1054"/>
      <c r="G1720" s="859"/>
      <c r="H1720" s="860"/>
      <c r="I1720" s="861"/>
      <c r="J1720" s="862"/>
      <c r="K1720" s="859"/>
      <c r="L1720" s="863"/>
      <c r="M1720" s="859"/>
      <c r="N1720" s="859"/>
      <c r="O1720" s="752">
        <f t="shared" si="226"/>
        <v>0</v>
      </c>
      <c r="P1720" s="862"/>
      <c r="Q1720" s="860"/>
      <c r="R1720" s="753">
        <f t="shared" si="229"/>
        <v>0</v>
      </c>
      <c r="S1720" s="752">
        <f t="shared" si="230"/>
        <v>0</v>
      </c>
      <c r="T1720" s="754">
        <f t="shared" si="231"/>
        <v>0</v>
      </c>
      <c r="U1720" s="859"/>
      <c r="V1720" s="863"/>
      <c r="W1720" s="859"/>
      <c r="X1720" s="859"/>
      <c r="Y1720" s="755">
        <f t="shared" si="227"/>
        <v>0</v>
      </c>
      <c r="Z1720" s="864"/>
      <c r="AA1720" s="863"/>
      <c r="AB1720" s="756">
        <f t="shared" si="228"/>
        <v>0</v>
      </c>
      <c r="AC1720" s="859"/>
      <c r="AD1720" s="863"/>
      <c r="AE1720" s="859"/>
      <c r="AF1720" s="859"/>
      <c r="AG1720" s="864"/>
      <c r="AH1720" s="865"/>
      <c r="AI1720" s="757">
        <f t="shared" si="232"/>
        <v>0</v>
      </c>
      <c r="AJ1720" s="758">
        <f t="shared" si="233"/>
        <v>0</v>
      </c>
    </row>
    <row r="1721" spans="1:36" x14ac:dyDescent="0.2">
      <c r="A1721" s="1048" t="s">
        <v>153</v>
      </c>
      <c r="B1721" s="1049" t="s">
        <v>310</v>
      </c>
      <c r="C1721" s="1050" t="s">
        <v>311</v>
      </c>
      <c r="D1721" s="1055"/>
      <c r="E1721" s="1053"/>
      <c r="F1721" s="1054"/>
      <c r="G1721" s="859"/>
      <c r="H1721" s="860"/>
      <c r="I1721" s="861"/>
      <c r="J1721" s="862"/>
      <c r="K1721" s="859"/>
      <c r="L1721" s="863"/>
      <c r="M1721" s="859"/>
      <c r="N1721" s="859"/>
      <c r="O1721" s="752">
        <f t="shared" si="226"/>
        <v>0</v>
      </c>
      <c r="P1721" s="862"/>
      <c r="Q1721" s="860"/>
      <c r="R1721" s="753">
        <f t="shared" si="229"/>
        <v>0</v>
      </c>
      <c r="S1721" s="752">
        <f t="shared" si="230"/>
        <v>0</v>
      </c>
      <c r="T1721" s="754">
        <f t="shared" si="231"/>
        <v>0</v>
      </c>
      <c r="U1721" s="859"/>
      <c r="V1721" s="863"/>
      <c r="W1721" s="859"/>
      <c r="X1721" s="859"/>
      <c r="Y1721" s="755">
        <f t="shared" si="227"/>
        <v>0</v>
      </c>
      <c r="Z1721" s="864"/>
      <c r="AA1721" s="863"/>
      <c r="AB1721" s="756">
        <f t="shared" si="228"/>
        <v>0</v>
      </c>
      <c r="AC1721" s="859"/>
      <c r="AD1721" s="863"/>
      <c r="AE1721" s="859"/>
      <c r="AF1721" s="859"/>
      <c r="AG1721" s="864"/>
      <c r="AH1721" s="865"/>
      <c r="AI1721" s="757">
        <f t="shared" si="232"/>
        <v>0</v>
      </c>
      <c r="AJ1721" s="758">
        <f t="shared" si="233"/>
        <v>0</v>
      </c>
    </row>
    <row r="1722" spans="1:36" x14ac:dyDescent="0.2">
      <c r="A1722" s="1048" t="s">
        <v>153</v>
      </c>
      <c r="B1722" s="1049" t="s">
        <v>251</v>
      </c>
      <c r="C1722" s="1050" t="s">
        <v>249</v>
      </c>
      <c r="D1722" s="1055"/>
      <c r="E1722" s="1053"/>
      <c r="F1722" s="1054"/>
      <c r="G1722" s="859"/>
      <c r="H1722" s="860"/>
      <c r="I1722" s="861"/>
      <c r="J1722" s="862"/>
      <c r="K1722" s="859"/>
      <c r="L1722" s="863"/>
      <c r="M1722" s="859"/>
      <c r="N1722" s="859"/>
      <c r="O1722" s="752">
        <f t="shared" si="226"/>
        <v>0</v>
      </c>
      <c r="P1722" s="862"/>
      <c r="Q1722" s="860"/>
      <c r="R1722" s="753">
        <f t="shared" si="229"/>
        <v>0</v>
      </c>
      <c r="S1722" s="752">
        <f t="shared" si="230"/>
        <v>0</v>
      </c>
      <c r="T1722" s="754">
        <f t="shared" si="231"/>
        <v>0</v>
      </c>
      <c r="U1722" s="859">
        <v>0</v>
      </c>
      <c r="V1722" s="863"/>
      <c r="W1722" s="859"/>
      <c r="X1722" s="859"/>
      <c r="Y1722" s="755">
        <f t="shared" si="227"/>
        <v>0</v>
      </c>
      <c r="Z1722" s="864"/>
      <c r="AA1722" s="863"/>
      <c r="AB1722" s="756">
        <f t="shared" si="228"/>
        <v>0</v>
      </c>
      <c r="AC1722" s="859"/>
      <c r="AD1722" s="863"/>
      <c r="AE1722" s="859"/>
      <c r="AF1722" s="859"/>
      <c r="AG1722" s="864"/>
      <c r="AH1722" s="865"/>
      <c r="AI1722" s="757">
        <f t="shared" si="232"/>
        <v>0</v>
      </c>
      <c r="AJ1722" s="758">
        <f t="shared" si="233"/>
        <v>0</v>
      </c>
    </row>
    <row r="1723" spans="1:36" x14ac:dyDescent="0.2">
      <c r="A1723" s="1048" t="s">
        <v>153</v>
      </c>
      <c r="B1723" s="1049" t="s">
        <v>209</v>
      </c>
      <c r="C1723" s="1050" t="s">
        <v>576</v>
      </c>
      <c r="D1723" s="1055"/>
      <c r="E1723" s="1053"/>
      <c r="F1723" s="1054"/>
      <c r="G1723" s="859"/>
      <c r="H1723" s="860"/>
      <c r="I1723" s="861"/>
      <c r="J1723" s="862"/>
      <c r="K1723" s="859"/>
      <c r="L1723" s="863"/>
      <c r="M1723" s="859"/>
      <c r="N1723" s="859"/>
      <c r="O1723" s="752">
        <f t="shared" si="226"/>
        <v>0</v>
      </c>
      <c r="P1723" s="862"/>
      <c r="Q1723" s="860"/>
      <c r="R1723" s="753">
        <f t="shared" si="229"/>
        <v>0</v>
      </c>
      <c r="S1723" s="752">
        <f t="shared" si="230"/>
        <v>0</v>
      </c>
      <c r="T1723" s="754">
        <f t="shared" si="231"/>
        <v>0</v>
      </c>
      <c r="U1723" s="859"/>
      <c r="V1723" s="863"/>
      <c r="W1723" s="859"/>
      <c r="X1723" s="859"/>
      <c r="Y1723" s="755">
        <f t="shared" si="227"/>
        <v>0</v>
      </c>
      <c r="Z1723" s="864"/>
      <c r="AA1723" s="863"/>
      <c r="AB1723" s="756">
        <f t="shared" si="228"/>
        <v>0</v>
      </c>
      <c r="AC1723" s="859"/>
      <c r="AD1723" s="863"/>
      <c r="AE1723" s="859"/>
      <c r="AF1723" s="859"/>
      <c r="AG1723" s="864"/>
      <c r="AH1723" s="865"/>
      <c r="AI1723" s="757">
        <f t="shared" si="232"/>
        <v>0</v>
      </c>
      <c r="AJ1723" s="758">
        <f t="shared" si="233"/>
        <v>0</v>
      </c>
    </row>
    <row r="1724" spans="1:36" x14ac:dyDescent="0.2">
      <c r="A1724" s="1048" t="s">
        <v>153</v>
      </c>
      <c r="B1724" s="1049" t="s">
        <v>210</v>
      </c>
      <c r="C1724" s="1050" t="s">
        <v>311</v>
      </c>
      <c r="D1724" s="1055"/>
      <c r="E1724" s="1053"/>
      <c r="F1724" s="1054"/>
      <c r="G1724" s="859"/>
      <c r="H1724" s="860"/>
      <c r="I1724" s="861"/>
      <c r="J1724" s="862"/>
      <c r="K1724" s="859"/>
      <c r="L1724" s="863"/>
      <c r="M1724" s="859"/>
      <c r="N1724" s="859"/>
      <c r="O1724" s="752">
        <f t="shared" si="226"/>
        <v>0</v>
      </c>
      <c r="P1724" s="862"/>
      <c r="Q1724" s="860"/>
      <c r="R1724" s="753">
        <f t="shared" si="229"/>
        <v>0</v>
      </c>
      <c r="S1724" s="752">
        <f t="shared" si="230"/>
        <v>0</v>
      </c>
      <c r="T1724" s="754">
        <f t="shared" si="231"/>
        <v>0</v>
      </c>
      <c r="U1724" s="859"/>
      <c r="V1724" s="863"/>
      <c r="W1724" s="859"/>
      <c r="X1724" s="859"/>
      <c r="Y1724" s="755">
        <f t="shared" si="227"/>
        <v>0</v>
      </c>
      <c r="Z1724" s="864"/>
      <c r="AA1724" s="863"/>
      <c r="AB1724" s="756">
        <f t="shared" si="228"/>
        <v>0</v>
      </c>
      <c r="AC1724" s="859"/>
      <c r="AD1724" s="863"/>
      <c r="AE1724" s="859"/>
      <c r="AF1724" s="859"/>
      <c r="AG1724" s="864"/>
      <c r="AH1724" s="865"/>
      <c r="AI1724" s="757">
        <f t="shared" si="232"/>
        <v>0</v>
      </c>
      <c r="AJ1724" s="758">
        <f t="shared" si="233"/>
        <v>0</v>
      </c>
    </row>
    <row r="1725" spans="1:36" x14ac:dyDescent="0.2">
      <c r="A1725" s="1048" t="s">
        <v>153</v>
      </c>
      <c r="B1725" s="1049" t="s">
        <v>251</v>
      </c>
      <c r="C1725" s="1050" t="s">
        <v>249</v>
      </c>
      <c r="D1725" s="1055"/>
      <c r="E1725" s="1053"/>
      <c r="F1725" s="1054"/>
      <c r="G1725" s="859"/>
      <c r="H1725" s="860"/>
      <c r="I1725" s="861"/>
      <c r="J1725" s="862"/>
      <c r="K1725" s="859"/>
      <c r="L1725" s="863"/>
      <c r="M1725" s="859"/>
      <c r="N1725" s="859"/>
      <c r="O1725" s="752">
        <f t="shared" si="226"/>
        <v>0</v>
      </c>
      <c r="P1725" s="862"/>
      <c r="Q1725" s="860"/>
      <c r="R1725" s="753">
        <f t="shared" si="229"/>
        <v>0</v>
      </c>
      <c r="S1725" s="752">
        <f t="shared" si="230"/>
        <v>0</v>
      </c>
      <c r="T1725" s="754">
        <f t="shared" si="231"/>
        <v>0</v>
      </c>
      <c r="U1725" s="859"/>
      <c r="V1725" s="863"/>
      <c r="W1725" s="859"/>
      <c r="X1725" s="859"/>
      <c r="Y1725" s="755">
        <f t="shared" si="227"/>
        <v>0</v>
      </c>
      <c r="Z1725" s="864"/>
      <c r="AA1725" s="863"/>
      <c r="AB1725" s="756">
        <f t="shared" si="228"/>
        <v>0</v>
      </c>
      <c r="AC1725" s="859"/>
      <c r="AD1725" s="863"/>
      <c r="AE1725" s="859"/>
      <c r="AF1725" s="859"/>
      <c r="AG1725" s="864"/>
      <c r="AH1725" s="865"/>
      <c r="AI1725" s="757">
        <f t="shared" si="232"/>
        <v>0</v>
      </c>
      <c r="AJ1725" s="758">
        <f t="shared" si="233"/>
        <v>0</v>
      </c>
    </row>
    <row r="1726" spans="1:36" x14ac:dyDescent="0.2">
      <c r="A1726" s="1048" t="s">
        <v>153</v>
      </c>
      <c r="B1726" s="1049" t="s">
        <v>205</v>
      </c>
      <c r="C1726" s="1050" t="s">
        <v>577</v>
      </c>
      <c r="D1726" s="1055"/>
      <c r="E1726" s="1053"/>
      <c r="F1726" s="1054"/>
      <c r="G1726" s="859"/>
      <c r="H1726" s="860"/>
      <c r="I1726" s="861"/>
      <c r="J1726" s="862"/>
      <c r="K1726" s="859"/>
      <c r="L1726" s="863"/>
      <c r="M1726" s="859"/>
      <c r="N1726" s="859"/>
      <c r="O1726" s="752">
        <f t="shared" si="226"/>
        <v>0</v>
      </c>
      <c r="P1726" s="862"/>
      <c r="Q1726" s="860"/>
      <c r="R1726" s="753">
        <f t="shared" si="229"/>
        <v>0</v>
      </c>
      <c r="S1726" s="752">
        <f t="shared" si="230"/>
        <v>0</v>
      </c>
      <c r="T1726" s="754">
        <f t="shared" si="231"/>
        <v>0</v>
      </c>
      <c r="U1726" s="859"/>
      <c r="V1726" s="863"/>
      <c r="W1726" s="859"/>
      <c r="X1726" s="859"/>
      <c r="Y1726" s="755">
        <f t="shared" si="227"/>
        <v>0</v>
      </c>
      <c r="Z1726" s="864"/>
      <c r="AA1726" s="863"/>
      <c r="AB1726" s="756">
        <f t="shared" si="228"/>
        <v>0</v>
      </c>
      <c r="AC1726" s="859"/>
      <c r="AD1726" s="863"/>
      <c r="AE1726" s="859"/>
      <c r="AF1726" s="859"/>
      <c r="AG1726" s="864"/>
      <c r="AH1726" s="865"/>
      <c r="AI1726" s="757">
        <f t="shared" si="232"/>
        <v>0</v>
      </c>
      <c r="AJ1726" s="758">
        <f t="shared" si="233"/>
        <v>0</v>
      </c>
    </row>
    <row r="1727" spans="1:36" x14ac:dyDescent="0.2">
      <c r="A1727" s="1048" t="s">
        <v>153</v>
      </c>
      <c r="B1727" s="1049" t="s">
        <v>218</v>
      </c>
      <c r="C1727" s="1050" t="s">
        <v>311</v>
      </c>
      <c r="D1727" s="1055"/>
      <c r="E1727" s="1053"/>
      <c r="F1727" s="1054"/>
      <c r="G1727" s="859"/>
      <c r="H1727" s="860"/>
      <c r="I1727" s="861"/>
      <c r="J1727" s="862"/>
      <c r="K1727" s="859"/>
      <c r="L1727" s="863"/>
      <c r="M1727" s="859"/>
      <c r="N1727" s="859"/>
      <c r="O1727" s="752">
        <f t="shared" si="226"/>
        <v>0</v>
      </c>
      <c r="P1727" s="862"/>
      <c r="Q1727" s="860"/>
      <c r="R1727" s="753">
        <f t="shared" si="229"/>
        <v>0</v>
      </c>
      <c r="S1727" s="752">
        <f t="shared" si="230"/>
        <v>0</v>
      </c>
      <c r="T1727" s="754">
        <f t="shared" si="231"/>
        <v>0</v>
      </c>
      <c r="U1727" s="859"/>
      <c r="V1727" s="863"/>
      <c r="W1727" s="859"/>
      <c r="X1727" s="859"/>
      <c r="Y1727" s="755">
        <f t="shared" si="227"/>
        <v>0</v>
      </c>
      <c r="Z1727" s="864"/>
      <c r="AA1727" s="863"/>
      <c r="AB1727" s="756">
        <f t="shared" si="228"/>
        <v>0</v>
      </c>
      <c r="AC1727" s="859"/>
      <c r="AD1727" s="863"/>
      <c r="AE1727" s="859"/>
      <c r="AF1727" s="859"/>
      <c r="AG1727" s="864"/>
      <c r="AH1727" s="865"/>
      <c r="AI1727" s="757">
        <f t="shared" si="232"/>
        <v>0</v>
      </c>
      <c r="AJ1727" s="758">
        <f t="shared" si="233"/>
        <v>0</v>
      </c>
    </row>
    <row r="1728" spans="1:36" x14ac:dyDescent="0.2">
      <c r="A1728" s="1048" t="s">
        <v>153</v>
      </c>
      <c r="B1728" s="1049" t="s">
        <v>251</v>
      </c>
      <c r="C1728" s="1050" t="s">
        <v>249</v>
      </c>
      <c r="D1728" s="1055"/>
      <c r="E1728" s="1053"/>
      <c r="F1728" s="1054"/>
      <c r="G1728" s="859"/>
      <c r="H1728" s="860"/>
      <c r="I1728" s="861"/>
      <c r="J1728" s="862"/>
      <c r="K1728" s="859"/>
      <c r="L1728" s="863"/>
      <c r="M1728" s="859"/>
      <c r="N1728" s="859"/>
      <c r="O1728" s="752">
        <f t="shared" si="226"/>
        <v>0</v>
      </c>
      <c r="P1728" s="862"/>
      <c r="Q1728" s="860"/>
      <c r="R1728" s="753">
        <f t="shared" si="229"/>
        <v>0</v>
      </c>
      <c r="S1728" s="752">
        <f t="shared" si="230"/>
        <v>0</v>
      </c>
      <c r="T1728" s="754">
        <f t="shared" si="231"/>
        <v>0</v>
      </c>
      <c r="U1728" s="859"/>
      <c r="V1728" s="863"/>
      <c r="W1728" s="859"/>
      <c r="X1728" s="859"/>
      <c r="Y1728" s="755">
        <f t="shared" si="227"/>
        <v>0</v>
      </c>
      <c r="Z1728" s="864"/>
      <c r="AA1728" s="863"/>
      <c r="AB1728" s="756">
        <f t="shared" si="228"/>
        <v>0</v>
      </c>
      <c r="AC1728" s="859"/>
      <c r="AD1728" s="863"/>
      <c r="AE1728" s="859"/>
      <c r="AF1728" s="859"/>
      <c r="AG1728" s="864"/>
      <c r="AH1728" s="865"/>
      <c r="AI1728" s="757">
        <f t="shared" si="232"/>
        <v>0</v>
      </c>
      <c r="AJ1728" s="758">
        <f t="shared" si="233"/>
        <v>0</v>
      </c>
    </row>
    <row r="1729" spans="1:36" x14ac:dyDescent="0.2">
      <c r="A1729" s="1048" t="s">
        <v>153</v>
      </c>
      <c r="B1729" s="1049" t="s">
        <v>292</v>
      </c>
      <c r="C1729" s="1051" t="s">
        <v>846</v>
      </c>
      <c r="D1729" s="1052"/>
      <c r="E1729" s="1053"/>
      <c r="F1729" s="1054"/>
      <c r="G1729" s="859"/>
      <c r="H1729" s="860"/>
      <c r="I1729" s="861"/>
      <c r="J1729" s="862"/>
      <c r="K1729" s="859"/>
      <c r="L1729" s="863"/>
      <c r="M1729" s="859"/>
      <c r="N1729" s="859"/>
      <c r="O1729" s="752">
        <f t="shared" si="226"/>
        <v>0</v>
      </c>
      <c r="P1729" s="862"/>
      <c r="Q1729" s="860"/>
      <c r="R1729" s="753">
        <f t="shared" si="229"/>
        <v>0</v>
      </c>
      <c r="S1729" s="752">
        <f t="shared" si="230"/>
        <v>0</v>
      </c>
      <c r="T1729" s="754">
        <f t="shared" si="231"/>
        <v>0</v>
      </c>
      <c r="U1729" s="859"/>
      <c r="V1729" s="863"/>
      <c r="W1729" s="859"/>
      <c r="X1729" s="859"/>
      <c r="Y1729" s="755">
        <f t="shared" si="227"/>
        <v>0</v>
      </c>
      <c r="Z1729" s="864"/>
      <c r="AA1729" s="863"/>
      <c r="AB1729" s="756">
        <f t="shared" si="228"/>
        <v>0</v>
      </c>
      <c r="AC1729" s="859"/>
      <c r="AD1729" s="863"/>
      <c r="AE1729" s="859"/>
      <c r="AF1729" s="859"/>
      <c r="AG1729" s="864"/>
      <c r="AH1729" s="865"/>
      <c r="AI1729" s="757">
        <f t="shared" si="232"/>
        <v>0</v>
      </c>
      <c r="AJ1729" s="758">
        <f t="shared" si="233"/>
        <v>0</v>
      </c>
    </row>
    <row r="1730" spans="1:36" x14ac:dyDescent="0.2">
      <c r="A1730" s="1048" t="s">
        <v>153</v>
      </c>
      <c r="B1730" s="1049" t="s">
        <v>310</v>
      </c>
      <c r="C1730" s="1050" t="s">
        <v>311</v>
      </c>
      <c r="D1730" s="1055"/>
      <c r="E1730" s="1053"/>
      <c r="F1730" s="1054"/>
      <c r="G1730" s="859"/>
      <c r="H1730" s="860"/>
      <c r="I1730" s="861"/>
      <c r="J1730" s="862"/>
      <c r="K1730" s="859"/>
      <c r="L1730" s="863"/>
      <c r="M1730" s="859"/>
      <c r="N1730" s="859"/>
      <c r="O1730" s="752">
        <f t="shared" si="226"/>
        <v>0</v>
      </c>
      <c r="P1730" s="862"/>
      <c r="Q1730" s="860"/>
      <c r="R1730" s="753">
        <f t="shared" si="229"/>
        <v>0</v>
      </c>
      <c r="S1730" s="752">
        <f t="shared" si="230"/>
        <v>0</v>
      </c>
      <c r="T1730" s="754">
        <f t="shared" si="231"/>
        <v>0</v>
      </c>
      <c r="U1730" s="859"/>
      <c r="V1730" s="863"/>
      <c r="W1730" s="859"/>
      <c r="X1730" s="859"/>
      <c r="Y1730" s="755">
        <f t="shared" si="227"/>
        <v>0</v>
      </c>
      <c r="Z1730" s="864"/>
      <c r="AA1730" s="863"/>
      <c r="AB1730" s="756">
        <f t="shared" si="228"/>
        <v>0</v>
      </c>
      <c r="AC1730" s="859"/>
      <c r="AD1730" s="863"/>
      <c r="AE1730" s="859"/>
      <c r="AF1730" s="859"/>
      <c r="AG1730" s="864"/>
      <c r="AH1730" s="865"/>
      <c r="AI1730" s="757">
        <f t="shared" si="232"/>
        <v>0</v>
      </c>
      <c r="AJ1730" s="758">
        <f t="shared" si="233"/>
        <v>0</v>
      </c>
    </row>
    <row r="1731" spans="1:36" x14ac:dyDescent="0.2">
      <c r="A1731" s="1048" t="s">
        <v>153</v>
      </c>
      <c r="B1731" s="1049" t="s">
        <v>251</v>
      </c>
      <c r="C1731" s="1050" t="s">
        <v>249</v>
      </c>
      <c r="D1731" s="1055"/>
      <c r="E1731" s="1053"/>
      <c r="F1731" s="1054"/>
      <c r="G1731" s="859"/>
      <c r="H1731" s="860"/>
      <c r="I1731" s="861"/>
      <c r="J1731" s="862"/>
      <c r="K1731" s="859"/>
      <c r="L1731" s="863"/>
      <c r="M1731" s="859"/>
      <c r="N1731" s="859"/>
      <c r="O1731" s="752">
        <f t="shared" si="226"/>
        <v>0</v>
      </c>
      <c r="P1731" s="862"/>
      <c r="Q1731" s="860"/>
      <c r="R1731" s="753">
        <f t="shared" si="229"/>
        <v>0</v>
      </c>
      <c r="S1731" s="752">
        <f t="shared" si="230"/>
        <v>0</v>
      </c>
      <c r="T1731" s="754">
        <f t="shared" si="231"/>
        <v>0</v>
      </c>
      <c r="U1731" s="859">
        <v>0</v>
      </c>
      <c r="V1731" s="863"/>
      <c r="W1731" s="859"/>
      <c r="X1731" s="859"/>
      <c r="Y1731" s="755">
        <f t="shared" si="227"/>
        <v>0</v>
      </c>
      <c r="Z1731" s="864"/>
      <c r="AA1731" s="863"/>
      <c r="AB1731" s="756">
        <f t="shared" si="228"/>
        <v>0</v>
      </c>
      <c r="AC1731" s="859"/>
      <c r="AD1731" s="863"/>
      <c r="AE1731" s="859"/>
      <c r="AF1731" s="859"/>
      <c r="AG1731" s="864"/>
      <c r="AH1731" s="865"/>
      <c r="AI1731" s="757">
        <f t="shared" si="232"/>
        <v>0</v>
      </c>
      <c r="AJ1731" s="758">
        <f t="shared" si="233"/>
        <v>0</v>
      </c>
    </row>
    <row r="1732" spans="1:36" x14ac:dyDescent="0.2">
      <c r="A1732" s="1048" t="s">
        <v>153</v>
      </c>
      <c r="B1732" s="1049" t="s">
        <v>209</v>
      </c>
      <c r="C1732" s="1050" t="s">
        <v>576</v>
      </c>
      <c r="D1732" s="1055"/>
      <c r="E1732" s="1053"/>
      <c r="F1732" s="1054"/>
      <c r="G1732" s="859"/>
      <c r="H1732" s="860"/>
      <c r="I1732" s="861"/>
      <c r="J1732" s="862"/>
      <c r="K1732" s="859"/>
      <c r="L1732" s="863"/>
      <c r="M1732" s="859"/>
      <c r="N1732" s="859"/>
      <c r="O1732" s="752">
        <f t="shared" si="226"/>
        <v>0</v>
      </c>
      <c r="P1732" s="862"/>
      <c r="Q1732" s="860"/>
      <c r="R1732" s="753">
        <f t="shared" si="229"/>
        <v>0</v>
      </c>
      <c r="S1732" s="752">
        <f t="shared" si="230"/>
        <v>0</v>
      </c>
      <c r="T1732" s="754">
        <f t="shared" si="231"/>
        <v>0</v>
      </c>
      <c r="U1732" s="859"/>
      <c r="V1732" s="863"/>
      <c r="W1732" s="859"/>
      <c r="X1732" s="859"/>
      <c r="Y1732" s="755">
        <f t="shared" si="227"/>
        <v>0</v>
      </c>
      <c r="Z1732" s="864"/>
      <c r="AA1732" s="863"/>
      <c r="AB1732" s="756">
        <f t="shared" si="228"/>
        <v>0</v>
      </c>
      <c r="AC1732" s="859"/>
      <c r="AD1732" s="863"/>
      <c r="AE1732" s="859"/>
      <c r="AF1732" s="859"/>
      <c r="AG1732" s="864"/>
      <c r="AH1732" s="865"/>
      <c r="AI1732" s="757">
        <f t="shared" si="232"/>
        <v>0</v>
      </c>
      <c r="AJ1732" s="758">
        <f t="shared" si="233"/>
        <v>0</v>
      </c>
    </row>
    <row r="1733" spans="1:36" x14ac:dyDescent="0.2">
      <c r="A1733" s="1048" t="s">
        <v>153</v>
      </c>
      <c r="B1733" s="1049" t="s">
        <v>210</v>
      </c>
      <c r="C1733" s="1050" t="s">
        <v>311</v>
      </c>
      <c r="D1733" s="1055"/>
      <c r="E1733" s="1053"/>
      <c r="F1733" s="1054"/>
      <c r="G1733" s="859"/>
      <c r="H1733" s="860"/>
      <c r="I1733" s="861"/>
      <c r="J1733" s="862"/>
      <c r="K1733" s="859"/>
      <c r="L1733" s="863"/>
      <c r="M1733" s="859"/>
      <c r="N1733" s="859"/>
      <c r="O1733" s="752">
        <f t="shared" si="226"/>
        <v>0</v>
      </c>
      <c r="P1733" s="862"/>
      <c r="Q1733" s="860"/>
      <c r="R1733" s="753">
        <f t="shared" si="229"/>
        <v>0</v>
      </c>
      <c r="S1733" s="752">
        <f t="shared" si="230"/>
        <v>0</v>
      </c>
      <c r="T1733" s="754">
        <f t="shared" si="231"/>
        <v>0</v>
      </c>
      <c r="U1733" s="859"/>
      <c r="V1733" s="863"/>
      <c r="W1733" s="859"/>
      <c r="X1733" s="859"/>
      <c r="Y1733" s="755">
        <f t="shared" si="227"/>
        <v>0</v>
      </c>
      <c r="Z1733" s="864"/>
      <c r="AA1733" s="863"/>
      <c r="AB1733" s="756">
        <f t="shared" si="228"/>
        <v>0</v>
      </c>
      <c r="AC1733" s="859"/>
      <c r="AD1733" s="863"/>
      <c r="AE1733" s="859"/>
      <c r="AF1733" s="859"/>
      <c r="AG1733" s="864"/>
      <c r="AH1733" s="865"/>
      <c r="AI1733" s="757">
        <f t="shared" si="232"/>
        <v>0</v>
      </c>
      <c r="AJ1733" s="758">
        <f t="shared" si="233"/>
        <v>0</v>
      </c>
    </row>
    <row r="1734" spans="1:36" x14ac:dyDescent="0.2">
      <c r="A1734" s="1048" t="s">
        <v>153</v>
      </c>
      <c r="B1734" s="1049" t="s">
        <v>251</v>
      </c>
      <c r="C1734" s="1050" t="s">
        <v>249</v>
      </c>
      <c r="D1734" s="1055"/>
      <c r="E1734" s="1053"/>
      <c r="F1734" s="1054"/>
      <c r="G1734" s="859"/>
      <c r="H1734" s="860"/>
      <c r="I1734" s="861"/>
      <c r="J1734" s="862"/>
      <c r="K1734" s="859"/>
      <c r="L1734" s="863"/>
      <c r="M1734" s="859"/>
      <c r="N1734" s="859"/>
      <c r="O1734" s="752">
        <f t="shared" si="226"/>
        <v>0</v>
      </c>
      <c r="P1734" s="862"/>
      <c r="Q1734" s="860"/>
      <c r="R1734" s="753">
        <f t="shared" si="229"/>
        <v>0</v>
      </c>
      <c r="S1734" s="752">
        <f t="shared" si="230"/>
        <v>0</v>
      </c>
      <c r="T1734" s="754">
        <f t="shared" si="231"/>
        <v>0</v>
      </c>
      <c r="U1734" s="859"/>
      <c r="V1734" s="863"/>
      <c r="W1734" s="859"/>
      <c r="X1734" s="859"/>
      <c r="Y1734" s="755">
        <f t="shared" si="227"/>
        <v>0</v>
      </c>
      <c r="Z1734" s="864"/>
      <c r="AA1734" s="863"/>
      <c r="AB1734" s="756">
        <f t="shared" si="228"/>
        <v>0</v>
      </c>
      <c r="AC1734" s="859"/>
      <c r="AD1734" s="863"/>
      <c r="AE1734" s="859"/>
      <c r="AF1734" s="859"/>
      <c r="AG1734" s="864"/>
      <c r="AH1734" s="865"/>
      <c r="AI1734" s="757">
        <f t="shared" si="232"/>
        <v>0</v>
      </c>
      <c r="AJ1734" s="758">
        <f t="shared" si="233"/>
        <v>0</v>
      </c>
    </row>
    <row r="1735" spans="1:36" x14ac:dyDescent="0.2">
      <c r="A1735" s="1048" t="s">
        <v>153</v>
      </c>
      <c r="B1735" s="1049" t="s">
        <v>205</v>
      </c>
      <c r="C1735" s="1050" t="s">
        <v>577</v>
      </c>
      <c r="D1735" s="1055"/>
      <c r="E1735" s="1053"/>
      <c r="F1735" s="1054"/>
      <c r="G1735" s="859"/>
      <c r="H1735" s="860"/>
      <c r="I1735" s="861"/>
      <c r="J1735" s="862"/>
      <c r="K1735" s="859"/>
      <c r="L1735" s="863"/>
      <c r="M1735" s="859"/>
      <c r="N1735" s="859"/>
      <c r="O1735" s="752">
        <f t="shared" si="226"/>
        <v>0</v>
      </c>
      <c r="P1735" s="862"/>
      <c r="Q1735" s="860"/>
      <c r="R1735" s="753">
        <f t="shared" si="229"/>
        <v>0</v>
      </c>
      <c r="S1735" s="752">
        <f t="shared" si="230"/>
        <v>0</v>
      </c>
      <c r="T1735" s="754">
        <f t="shared" si="231"/>
        <v>0</v>
      </c>
      <c r="U1735" s="859"/>
      <c r="V1735" s="863"/>
      <c r="W1735" s="859"/>
      <c r="X1735" s="859"/>
      <c r="Y1735" s="755">
        <f t="shared" si="227"/>
        <v>0</v>
      </c>
      <c r="Z1735" s="864"/>
      <c r="AA1735" s="863"/>
      <c r="AB1735" s="756">
        <f t="shared" si="228"/>
        <v>0</v>
      </c>
      <c r="AC1735" s="859"/>
      <c r="AD1735" s="863"/>
      <c r="AE1735" s="859"/>
      <c r="AF1735" s="859"/>
      <c r="AG1735" s="864"/>
      <c r="AH1735" s="865"/>
      <c r="AI1735" s="757">
        <f t="shared" si="232"/>
        <v>0</v>
      </c>
      <c r="AJ1735" s="758">
        <f t="shared" si="233"/>
        <v>0</v>
      </c>
    </row>
    <row r="1736" spans="1:36" x14ac:dyDescent="0.2">
      <c r="A1736" s="1048" t="s">
        <v>153</v>
      </c>
      <c r="B1736" s="1049" t="s">
        <v>218</v>
      </c>
      <c r="C1736" s="1050" t="s">
        <v>311</v>
      </c>
      <c r="D1736" s="1055"/>
      <c r="E1736" s="1053"/>
      <c r="F1736" s="1054"/>
      <c r="G1736" s="859"/>
      <c r="H1736" s="860"/>
      <c r="I1736" s="861"/>
      <c r="J1736" s="862"/>
      <c r="K1736" s="859"/>
      <c r="L1736" s="863"/>
      <c r="M1736" s="859"/>
      <c r="N1736" s="859"/>
      <c r="O1736" s="752">
        <f t="shared" si="226"/>
        <v>0</v>
      </c>
      <c r="P1736" s="862"/>
      <c r="Q1736" s="860"/>
      <c r="R1736" s="753">
        <f t="shared" si="229"/>
        <v>0</v>
      </c>
      <c r="S1736" s="752">
        <f t="shared" si="230"/>
        <v>0</v>
      </c>
      <c r="T1736" s="754">
        <f t="shared" si="231"/>
        <v>0</v>
      </c>
      <c r="U1736" s="859"/>
      <c r="V1736" s="863"/>
      <c r="W1736" s="859"/>
      <c r="X1736" s="859"/>
      <c r="Y1736" s="755">
        <f t="shared" si="227"/>
        <v>0</v>
      </c>
      <c r="Z1736" s="864"/>
      <c r="AA1736" s="863"/>
      <c r="AB1736" s="756">
        <f t="shared" si="228"/>
        <v>0</v>
      </c>
      <c r="AC1736" s="859"/>
      <c r="AD1736" s="863"/>
      <c r="AE1736" s="859"/>
      <c r="AF1736" s="859"/>
      <c r="AG1736" s="864"/>
      <c r="AH1736" s="865"/>
      <c r="AI1736" s="757">
        <f t="shared" si="232"/>
        <v>0</v>
      </c>
      <c r="AJ1736" s="758">
        <f t="shared" si="233"/>
        <v>0</v>
      </c>
    </row>
    <row r="1737" spans="1:36" x14ac:dyDescent="0.2">
      <c r="A1737" s="1048" t="s">
        <v>153</v>
      </c>
      <c r="B1737" s="1049" t="s">
        <v>251</v>
      </c>
      <c r="C1737" s="1050" t="s">
        <v>249</v>
      </c>
      <c r="D1737" s="1055"/>
      <c r="E1737" s="1053"/>
      <c r="F1737" s="1054"/>
      <c r="G1737" s="859"/>
      <c r="H1737" s="860"/>
      <c r="I1737" s="861"/>
      <c r="J1737" s="862"/>
      <c r="K1737" s="859"/>
      <c r="L1737" s="863"/>
      <c r="M1737" s="859"/>
      <c r="N1737" s="859"/>
      <c r="O1737" s="752">
        <f t="shared" si="226"/>
        <v>0</v>
      </c>
      <c r="P1737" s="862"/>
      <c r="Q1737" s="860"/>
      <c r="R1737" s="753">
        <f t="shared" si="229"/>
        <v>0</v>
      </c>
      <c r="S1737" s="752">
        <f t="shared" si="230"/>
        <v>0</v>
      </c>
      <c r="T1737" s="754">
        <f t="shared" si="231"/>
        <v>0</v>
      </c>
      <c r="U1737" s="859"/>
      <c r="V1737" s="863"/>
      <c r="W1737" s="859"/>
      <c r="X1737" s="859"/>
      <c r="Y1737" s="755">
        <f t="shared" si="227"/>
        <v>0</v>
      </c>
      <c r="Z1737" s="864"/>
      <c r="AA1737" s="863"/>
      <c r="AB1737" s="756">
        <f t="shared" si="228"/>
        <v>0</v>
      </c>
      <c r="AC1737" s="859"/>
      <c r="AD1737" s="863"/>
      <c r="AE1737" s="859"/>
      <c r="AF1737" s="859"/>
      <c r="AG1737" s="864"/>
      <c r="AH1737" s="865"/>
      <c r="AI1737" s="757">
        <f t="shared" si="232"/>
        <v>0</v>
      </c>
      <c r="AJ1737" s="758">
        <f t="shared" si="233"/>
        <v>0</v>
      </c>
    </row>
    <row r="1738" spans="1:36" x14ac:dyDescent="0.2">
      <c r="A1738" s="1048" t="s">
        <v>153</v>
      </c>
      <c r="B1738" s="1049" t="s">
        <v>292</v>
      </c>
      <c r="C1738" s="1051" t="s">
        <v>847</v>
      </c>
      <c r="D1738" s="1052"/>
      <c r="E1738" s="1053"/>
      <c r="F1738" s="1054"/>
      <c r="G1738" s="859"/>
      <c r="H1738" s="860"/>
      <c r="I1738" s="861"/>
      <c r="J1738" s="862"/>
      <c r="K1738" s="859"/>
      <c r="L1738" s="863"/>
      <c r="M1738" s="859"/>
      <c r="N1738" s="859"/>
      <c r="O1738" s="752">
        <f t="shared" si="226"/>
        <v>0</v>
      </c>
      <c r="P1738" s="862"/>
      <c r="Q1738" s="860"/>
      <c r="R1738" s="753">
        <f t="shared" si="229"/>
        <v>0</v>
      </c>
      <c r="S1738" s="752">
        <f t="shared" si="230"/>
        <v>0</v>
      </c>
      <c r="T1738" s="754">
        <f t="shared" si="231"/>
        <v>0</v>
      </c>
      <c r="U1738" s="859"/>
      <c r="V1738" s="863"/>
      <c r="W1738" s="859"/>
      <c r="X1738" s="859"/>
      <c r="Y1738" s="755">
        <f t="shared" si="227"/>
        <v>0</v>
      </c>
      <c r="Z1738" s="864"/>
      <c r="AA1738" s="863"/>
      <c r="AB1738" s="756">
        <f t="shared" si="228"/>
        <v>0</v>
      </c>
      <c r="AC1738" s="859"/>
      <c r="AD1738" s="863"/>
      <c r="AE1738" s="859"/>
      <c r="AF1738" s="859"/>
      <c r="AG1738" s="864"/>
      <c r="AH1738" s="865"/>
      <c r="AI1738" s="757">
        <f t="shared" si="232"/>
        <v>0</v>
      </c>
      <c r="AJ1738" s="758">
        <f t="shared" si="233"/>
        <v>0</v>
      </c>
    </row>
    <row r="1739" spans="1:36" x14ac:dyDescent="0.2">
      <c r="A1739" s="1048" t="s">
        <v>153</v>
      </c>
      <c r="B1739" s="1049" t="s">
        <v>310</v>
      </c>
      <c r="C1739" s="1050" t="s">
        <v>311</v>
      </c>
      <c r="D1739" s="1055"/>
      <c r="E1739" s="1053"/>
      <c r="F1739" s="1054"/>
      <c r="G1739" s="859"/>
      <c r="H1739" s="860"/>
      <c r="I1739" s="861"/>
      <c r="J1739" s="862"/>
      <c r="K1739" s="859"/>
      <c r="L1739" s="863"/>
      <c r="M1739" s="859"/>
      <c r="N1739" s="859"/>
      <c r="O1739" s="752">
        <f t="shared" ref="O1739:O1802" si="234">SUM(M1739:N1739)</f>
        <v>0</v>
      </c>
      <c r="P1739" s="862"/>
      <c r="Q1739" s="860"/>
      <c r="R1739" s="753">
        <f t="shared" si="229"/>
        <v>0</v>
      </c>
      <c r="S1739" s="752">
        <f t="shared" si="230"/>
        <v>0</v>
      </c>
      <c r="T1739" s="754">
        <f t="shared" si="231"/>
        <v>0</v>
      </c>
      <c r="U1739" s="859"/>
      <c r="V1739" s="863"/>
      <c r="W1739" s="859"/>
      <c r="X1739" s="859"/>
      <c r="Y1739" s="755">
        <f t="shared" ref="Y1739:Y1802" si="235">SUM(W1739:X1739)</f>
        <v>0</v>
      </c>
      <c r="Z1739" s="864"/>
      <c r="AA1739" s="863"/>
      <c r="AB1739" s="756">
        <f t="shared" ref="AB1739:AB1802" si="236">SUM(Z1739:AA1739)</f>
        <v>0</v>
      </c>
      <c r="AC1739" s="859"/>
      <c r="AD1739" s="863"/>
      <c r="AE1739" s="859"/>
      <c r="AF1739" s="859"/>
      <c r="AG1739" s="864"/>
      <c r="AH1739" s="865"/>
      <c r="AI1739" s="757">
        <f t="shared" si="232"/>
        <v>0</v>
      </c>
      <c r="AJ1739" s="758">
        <f t="shared" si="233"/>
        <v>0</v>
      </c>
    </row>
    <row r="1740" spans="1:36" x14ac:dyDescent="0.2">
      <c r="A1740" s="1048" t="s">
        <v>153</v>
      </c>
      <c r="B1740" s="1049" t="s">
        <v>251</v>
      </c>
      <c r="C1740" s="1050" t="s">
        <v>249</v>
      </c>
      <c r="D1740" s="1055"/>
      <c r="E1740" s="1053"/>
      <c r="F1740" s="1054"/>
      <c r="G1740" s="859"/>
      <c r="H1740" s="860"/>
      <c r="I1740" s="861"/>
      <c r="J1740" s="862"/>
      <c r="K1740" s="859"/>
      <c r="L1740" s="863"/>
      <c r="M1740" s="859"/>
      <c r="N1740" s="859"/>
      <c r="O1740" s="752">
        <f t="shared" si="234"/>
        <v>0</v>
      </c>
      <c r="P1740" s="862"/>
      <c r="Q1740" s="860"/>
      <c r="R1740" s="753">
        <f t="shared" ref="R1740:R1803" si="237">SUM(P1740:Q1740)</f>
        <v>0</v>
      </c>
      <c r="S1740" s="752">
        <f t="shared" ref="S1740:S1803" si="238">SUM(G1740,I1740,K1740,M1740)</f>
        <v>0</v>
      </c>
      <c r="T1740" s="754">
        <f t="shared" ref="T1740:T1803" si="239">SUM(H1740,J1740,L1740,P1740)</f>
        <v>0</v>
      </c>
      <c r="U1740" s="859">
        <v>0</v>
      </c>
      <c r="V1740" s="863"/>
      <c r="W1740" s="859"/>
      <c r="X1740" s="859"/>
      <c r="Y1740" s="755">
        <f t="shared" si="235"/>
        <v>0</v>
      </c>
      <c r="Z1740" s="864"/>
      <c r="AA1740" s="863"/>
      <c r="AB1740" s="756">
        <f t="shared" si="236"/>
        <v>0</v>
      </c>
      <c r="AC1740" s="859"/>
      <c r="AD1740" s="863"/>
      <c r="AE1740" s="859"/>
      <c r="AF1740" s="859"/>
      <c r="AG1740" s="864"/>
      <c r="AH1740" s="865"/>
      <c r="AI1740" s="757">
        <f t="shared" ref="AI1740:AI1803" si="240">SUM(S1740,U1740,W1740,AC1740,AE1740)</f>
        <v>0</v>
      </c>
      <c r="AJ1740" s="758">
        <f t="shared" ref="AJ1740:AJ1803" si="241">SUM(T1740,V1740,Z1740,AD1740,AG1740)</f>
        <v>0</v>
      </c>
    </row>
    <row r="1741" spans="1:36" x14ac:dyDescent="0.2">
      <c r="A1741" s="1048" t="s">
        <v>153</v>
      </c>
      <c r="B1741" s="1049" t="s">
        <v>209</v>
      </c>
      <c r="C1741" s="1050" t="s">
        <v>576</v>
      </c>
      <c r="D1741" s="1055"/>
      <c r="E1741" s="1053"/>
      <c r="F1741" s="1054"/>
      <c r="G1741" s="859"/>
      <c r="H1741" s="860"/>
      <c r="I1741" s="861"/>
      <c r="J1741" s="862"/>
      <c r="K1741" s="859"/>
      <c r="L1741" s="863"/>
      <c r="M1741" s="859"/>
      <c r="N1741" s="859"/>
      <c r="O1741" s="752">
        <f t="shared" si="234"/>
        <v>0</v>
      </c>
      <c r="P1741" s="862"/>
      <c r="Q1741" s="860"/>
      <c r="R1741" s="753">
        <f t="shared" si="237"/>
        <v>0</v>
      </c>
      <c r="S1741" s="752">
        <f t="shared" si="238"/>
        <v>0</v>
      </c>
      <c r="T1741" s="754">
        <f t="shared" si="239"/>
        <v>0</v>
      </c>
      <c r="U1741" s="859"/>
      <c r="V1741" s="863"/>
      <c r="W1741" s="859"/>
      <c r="X1741" s="859"/>
      <c r="Y1741" s="755">
        <f t="shared" si="235"/>
        <v>0</v>
      </c>
      <c r="Z1741" s="864"/>
      <c r="AA1741" s="863"/>
      <c r="AB1741" s="756">
        <f t="shared" si="236"/>
        <v>0</v>
      </c>
      <c r="AC1741" s="859"/>
      <c r="AD1741" s="863"/>
      <c r="AE1741" s="859"/>
      <c r="AF1741" s="859"/>
      <c r="AG1741" s="864"/>
      <c r="AH1741" s="865"/>
      <c r="AI1741" s="757">
        <f t="shared" si="240"/>
        <v>0</v>
      </c>
      <c r="AJ1741" s="758">
        <f t="shared" si="241"/>
        <v>0</v>
      </c>
    </row>
    <row r="1742" spans="1:36" x14ac:dyDescent="0.2">
      <c r="A1742" s="1048" t="s">
        <v>153</v>
      </c>
      <c r="B1742" s="1049" t="s">
        <v>210</v>
      </c>
      <c r="C1742" s="1050" t="s">
        <v>311</v>
      </c>
      <c r="D1742" s="1055"/>
      <c r="E1742" s="1053"/>
      <c r="F1742" s="1054"/>
      <c r="G1742" s="859"/>
      <c r="H1742" s="860"/>
      <c r="I1742" s="861"/>
      <c r="J1742" s="862"/>
      <c r="K1742" s="859"/>
      <c r="L1742" s="863"/>
      <c r="M1742" s="859"/>
      <c r="N1742" s="859"/>
      <c r="O1742" s="752">
        <f t="shared" si="234"/>
        <v>0</v>
      </c>
      <c r="P1742" s="862"/>
      <c r="Q1742" s="860"/>
      <c r="R1742" s="753">
        <f t="shared" si="237"/>
        <v>0</v>
      </c>
      <c r="S1742" s="752">
        <f t="shared" si="238"/>
        <v>0</v>
      </c>
      <c r="T1742" s="754">
        <f t="shared" si="239"/>
        <v>0</v>
      </c>
      <c r="U1742" s="859"/>
      <c r="V1742" s="863"/>
      <c r="W1742" s="859"/>
      <c r="X1742" s="859"/>
      <c r="Y1742" s="755">
        <f t="shared" si="235"/>
        <v>0</v>
      </c>
      <c r="Z1742" s="864"/>
      <c r="AA1742" s="863"/>
      <c r="AB1742" s="756">
        <f t="shared" si="236"/>
        <v>0</v>
      </c>
      <c r="AC1742" s="859"/>
      <c r="AD1742" s="863"/>
      <c r="AE1742" s="859"/>
      <c r="AF1742" s="859"/>
      <c r="AG1742" s="864"/>
      <c r="AH1742" s="865"/>
      <c r="AI1742" s="757">
        <f t="shared" si="240"/>
        <v>0</v>
      </c>
      <c r="AJ1742" s="758">
        <f t="shared" si="241"/>
        <v>0</v>
      </c>
    </row>
    <row r="1743" spans="1:36" x14ac:dyDescent="0.2">
      <c r="A1743" s="1048" t="s">
        <v>153</v>
      </c>
      <c r="B1743" s="1049" t="s">
        <v>251</v>
      </c>
      <c r="C1743" s="1050" t="s">
        <v>249</v>
      </c>
      <c r="D1743" s="1055"/>
      <c r="E1743" s="1053"/>
      <c r="F1743" s="1054"/>
      <c r="G1743" s="859"/>
      <c r="H1743" s="860"/>
      <c r="I1743" s="861"/>
      <c r="J1743" s="862"/>
      <c r="K1743" s="859"/>
      <c r="L1743" s="863"/>
      <c r="M1743" s="859"/>
      <c r="N1743" s="859"/>
      <c r="O1743" s="752">
        <f t="shared" si="234"/>
        <v>0</v>
      </c>
      <c r="P1743" s="862"/>
      <c r="Q1743" s="860"/>
      <c r="R1743" s="753">
        <f t="shared" si="237"/>
        <v>0</v>
      </c>
      <c r="S1743" s="752">
        <f t="shared" si="238"/>
        <v>0</v>
      </c>
      <c r="T1743" s="754">
        <f t="shared" si="239"/>
        <v>0</v>
      </c>
      <c r="U1743" s="859"/>
      <c r="V1743" s="863"/>
      <c r="W1743" s="859"/>
      <c r="X1743" s="859"/>
      <c r="Y1743" s="755">
        <f t="shared" si="235"/>
        <v>0</v>
      </c>
      <c r="Z1743" s="864"/>
      <c r="AA1743" s="863"/>
      <c r="AB1743" s="756">
        <f t="shared" si="236"/>
        <v>0</v>
      </c>
      <c r="AC1743" s="859"/>
      <c r="AD1743" s="863"/>
      <c r="AE1743" s="859"/>
      <c r="AF1743" s="859"/>
      <c r="AG1743" s="864"/>
      <c r="AH1743" s="865"/>
      <c r="AI1743" s="757">
        <f t="shared" si="240"/>
        <v>0</v>
      </c>
      <c r="AJ1743" s="758">
        <f t="shared" si="241"/>
        <v>0</v>
      </c>
    </row>
    <row r="1744" spans="1:36" x14ac:dyDescent="0.2">
      <c r="A1744" s="1048" t="s">
        <v>153</v>
      </c>
      <c r="B1744" s="1049" t="s">
        <v>205</v>
      </c>
      <c r="C1744" s="1050" t="s">
        <v>577</v>
      </c>
      <c r="D1744" s="1055"/>
      <c r="E1744" s="1053"/>
      <c r="F1744" s="1054"/>
      <c r="G1744" s="859"/>
      <c r="H1744" s="860"/>
      <c r="I1744" s="861"/>
      <c r="J1744" s="862"/>
      <c r="K1744" s="859"/>
      <c r="L1744" s="863"/>
      <c r="M1744" s="859"/>
      <c r="N1744" s="859"/>
      <c r="O1744" s="752">
        <f t="shared" si="234"/>
        <v>0</v>
      </c>
      <c r="P1744" s="862"/>
      <c r="Q1744" s="860"/>
      <c r="R1744" s="753">
        <f t="shared" si="237"/>
        <v>0</v>
      </c>
      <c r="S1744" s="752">
        <f t="shared" si="238"/>
        <v>0</v>
      </c>
      <c r="T1744" s="754">
        <f t="shared" si="239"/>
        <v>0</v>
      </c>
      <c r="U1744" s="859"/>
      <c r="V1744" s="863"/>
      <c r="W1744" s="859"/>
      <c r="X1744" s="859"/>
      <c r="Y1744" s="755">
        <f t="shared" si="235"/>
        <v>0</v>
      </c>
      <c r="Z1744" s="864"/>
      <c r="AA1744" s="863"/>
      <c r="AB1744" s="756">
        <f t="shared" si="236"/>
        <v>0</v>
      </c>
      <c r="AC1744" s="859"/>
      <c r="AD1744" s="863"/>
      <c r="AE1744" s="859"/>
      <c r="AF1744" s="859"/>
      <c r="AG1744" s="864"/>
      <c r="AH1744" s="865"/>
      <c r="AI1744" s="757">
        <f t="shared" si="240"/>
        <v>0</v>
      </c>
      <c r="AJ1744" s="758">
        <f t="shared" si="241"/>
        <v>0</v>
      </c>
    </row>
    <row r="1745" spans="1:36" x14ac:dyDescent="0.2">
      <c r="A1745" s="1048" t="s">
        <v>153</v>
      </c>
      <c r="B1745" s="1049" t="s">
        <v>218</v>
      </c>
      <c r="C1745" s="1050" t="s">
        <v>311</v>
      </c>
      <c r="D1745" s="1055"/>
      <c r="E1745" s="1053"/>
      <c r="F1745" s="1054"/>
      <c r="G1745" s="859"/>
      <c r="H1745" s="860"/>
      <c r="I1745" s="861"/>
      <c r="J1745" s="862"/>
      <c r="K1745" s="859"/>
      <c r="L1745" s="863"/>
      <c r="M1745" s="859"/>
      <c r="N1745" s="859"/>
      <c r="O1745" s="752">
        <f t="shared" si="234"/>
        <v>0</v>
      </c>
      <c r="P1745" s="862"/>
      <c r="Q1745" s="860"/>
      <c r="R1745" s="753">
        <f t="shared" si="237"/>
        <v>0</v>
      </c>
      <c r="S1745" s="752">
        <f t="shared" si="238"/>
        <v>0</v>
      </c>
      <c r="T1745" s="754">
        <f t="shared" si="239"/>
        <v>0</v>
      </c>
      <c r="U1745" s="859"/>
      <c r="V1745" s="863"/>
      <c r="W1745" s="859"/>
      <c r="X1745" s="859"/>
      <c r="Y1745" s="755">
        <f t="shared" si="235"/>
        <v>0</v>
      </c>
      <c r="Z1745" s="864"/>
      <c r="AA1745" s="863"/>
      <c r="AB1745" s="756">
        <f t="shared" si="236"/>
        <v>0</v>
      </c>
      <c r="AC1745" s="859"/>
      <c r="AD1745" s="863"/>
      <c r="AE1745" s="859"/>
      <c r="AF1745" s="859"/>
      <c r="AG1745" s="864"/>
      <c r="AH1745" s="865"/>
      <c r="AI1745" s="757">
        <f t="shared" si="240"/>
        <v>0</v>
      </c>
      <c r="AJ1745" s="758">
        <f t="shared" si="241"/>
        <v>0</v>
      </c>
    </row>
    <row r="1746" spans="1:36" x14ac:dyDescent="0.2">
      <c r="A1746" s="1048" t="s">
        <v>153</v>
      </c>
      <c r="B1746" s="1049" t="s">
        <v>251</v>
      </c>
      <c r="C1746" s="1050" t="s">
        <v>249</v>
      </c>
      <c r="D1746" s="1055"/>
      <c r="E1746" s="1053"/>
      <c r="F1746" s="1054"/>
      <c r="G1746" s="859"/>
      <c r="H1746" s="860"/>
      <c r="I1746" s="861"/>
      <c r="J1746" s="862"/>
      <c r="K1746" s="859"/>
      <c r="L1746" s="863"/>
      <c r="M1746" s="859"/>
      <c r="N1746" s="859"/>
      <c r="O1746" s="752">
        <f t="shared" si="234"/>
        <v>0</v>
      </c>
      <c r="P1746" s="862"/>
      <c r="Q1746" s="860"/>
      <c r="R1746" s="753">
        <f t="shared" si="237"/>
        <v>0</v>
      </c>
      <c r="S1746" s="752">
        <f t="shared" si="238"/>
        <v>0</v>
      </c>
      <c r="T1746" s="754">
        <f t="shared" si="239"/>
        <v>0</v>
      </c>
      <c r="U1746" s="859"/>
      <c r="V1746" s="863"/>
      <c r="W1746" s="859"/>
      <c r="X1746" s="859"/>
      <c r="Y1746" s="755">
        <f t="shared" si="235"/>
        <v>0</v>
      </c>
      <c r="Z1746" s="864"/>
      <c r="AA1746" s="863"/>
      <c r="AB1746" s="756">
        <f t="shared" si="236"/>
        <v>0</v>
      </c>
      <c r="AC1746" s="859"/>
      <c r="AD1746" s="863"/>
      <c r="AE1746" s="859"/>
      <c r="AF1746" s="859"/>
      <c r="AG1746" s="864"/>
      <c r="AH1746" s="865"/>
      <c r="AI1746" s="757">
        <f t="shared" si="240"/>
        <v>0</v>
      </c>
      <c r="AJ1746" s="758">
        <f t="shared" si="241"/>
        <v>0</v>
      </c>
    </row>
    <row r="1747" spans="1:36" x14ac:dyDescent="0.2">
      <c r="A1747" s="1022" t="s">
        <v>153</v>
      </c>
      <c r="B1747" s="1023" t="s">
        <v>292</v>
      </c>
      <c r="C1747" s="1044" t="s">
        <v>848</v>
      </c>
      <c r="D1747" s="1029"/>
      <c r="E1747" s="1040"/>
      <c r="F1747" s="1041"/>
      <c r="G1747" s="859"/>
      <c r="H1747" s="860"/>
      <c r="I1747" s="861"/>
      <c r="J1747" s="862"/>
      <c r="K1747" s="859"/>
      <c r="L1747" s="863"/>
      <c r="M1747" s="859"/>
      <c r="N1747" s="859"/>
      <c r="O1747" s="752">
        <f t="shared" si="234"/>
        <v>0</v>
      </c>
      <c r="P1747" s="862"/>
      <c r="Q1747" s="860"/>
      <c r="R1747" s="753">
        <f t="shared" si="237"/>
        <v>0</v>
      </c>
      <c r="S1747" s="752">
        <f t="shared" si="238"/>
        <v>0</v>
      </c>
      <c r="T1747" s="754">
        <f t="shared" si="239"/>
        <v>0</v>
      </c>
      <c r="U1747" s="859"/>
      <c r="V1747" s="863"/>
      <c r="W1747" s="859"/>
      <c r="X1747" s="859"/>
      <c r="Y1747" s="755">
        <f t="shared" si="235"/>
        <v>0</v>
      </c>
      <c r="Z1747" s="864"/>
      <c r="AA1747" s="863"/>
      <c r="AB1747" s="756">
        <f t="shared" si="236"/>
        <v>0</v>
      </c>
      <c r="AC1747" s="859"/>
      <c r="AD1747" s="863"/>
      <c r="AE1747" s="859"/>
      <c r="AF1747" s="859"/>
      <c r="AG1747" s="864"/>
      <c r="AH1747" s="865"/>
      <c r="AI1747" s="757">
        <f t="shared" si="240"/>
        <v>0</v>
      </c>
      <c r="AJ1747" s="758">
        <f t="shared" si="241"/>
        <v>0</v>
      </c>
    </row>
    <row r="1748" spans="1:36" x14ac:dyDescent="0.2">
      <c r="A1748" s="1022" t="s">
        <v>153</v>
      </c>
      <c r="B1748" s="1023" t="s">
        <v>310</v>
      </c>
      <c r="C1748" s="1045" t="s">
        <v>311</v>
      </c>
      <c r="D1748" s="1046"/>
      <c r="E1748" s="1040"/>
      <c r="F1748" s="1041"/>
      <c r="G1748" s="859"/>
      <c r="H1748" s="860"/>
      <c r="I1748" s="861"/>
      <c r="J1748" s="862"/>
      <c r="K1748" s="859"/>
      <c r="L1748" s="863"/>
      <c r="M1748" s="859"/>
      <c r="N1748" s="859"/>
      <c r="O1748" s="752">
        <f t="shared" si="234"/>
        <v>0</v>
      </c>
      <c r="P1748" s="862"/>
      <c r="Q1748" s="860"/>
      <c r="R1748" s="753">
        <f t="shared" si="237"/>
        <v>0</v>
      </c>
      <c r="S1748" s="752">
        <f t="shared" si="238"/>
        <v>0</v>
      </c>
      <c r="T1748" s="754">
        <f t="shared" si="239"/>
        <v>0</v>
      </c>
      <c r="U1748" s="859"/>
      <c r="V1748" s="863"/>
      <c r="W1748" s="859"/>
      <c r="X1748" s="859"/>
      <c r="Y1748" s="755">
        <f t="shared" si="235"/>
        <v>0</v>
      </c>
      <c r="Z1748" s="864"/>
      <c r="AA1748" s="863"/>
      <c r="AB1748" s="756">
        <f t="shared" si="236"/>
        <v>0</v>
      </c>
      <c r="AC1748" s="859"/>
      <c r="AD1748" s="863"/>
      <c r="AE1748" s="859"/>
      <c r="AF1748" s="859"/>
      <c r="AG1748" s="864"/>
      <c r="AH1748" s="865"/>
      <c r="AI1748" s="757">
        <f t="shared" si="240"/>
        <v>0</v>
      </c>
      <c r="AJ1748" s="758">
        <f t="shared" si="241"/>
        <v>0</v>
      </c>
    </row>
    <row r="1749" spans="1:36" x14ac:dyDescent="0.2">
      <c r="A1749" s="1022" t="s">
        <v>153</v>
      </c>
      <c r="B1749" s="1023" t="s">
        <v>251</v>
      </c>
      <c r="C1749" s="1045" t="s">
        <v>249</v>
      </c>
      <c r="D1749" s="1046"/>
      <c r="E1749" s="1040"/>
      <c r="F1749" s="1041"/>
      <c r="G1749" s="859"/>
      <c r="H1749" s="860"/>
      <c r="I1749" s="861"/>
      <c r="J1749" s="862"/>
      <c r="K1749" s="859"/>
      <c r="L1749" s="863"/>
      <c r="M1749" s="859"/>
      <c r="N1749" s="859"/>
      <c r="O1749" s="752">
        <f t="shared" si="234"/>
        <v>0</v>
      </c>
      <c r="P1749" s="862"/>
      <c r="Q1749" s="860"/>
      <c r="R1749" s="753">
        <f t="shared" si="237"/>
        <v>0</v>
      </c>
      <c r="S1749" s="752">
        <f t="shared" si="238"/>
        <v>0</v>
      </c>
      <c r="T1749" s="754">
        <f t="shared" si="239"/>
        <v>0</v>
      </c>
      <c r="U1749" s="859">
        <v>0</v>
      </c>
      <c r="V1749" s="863"/>
      <c r="W1749" s="859"/>
      <c r="X1749" s="859"/>
      <c r="Y1749" s="755">
        <f t="shared" si="235"/>
        <v>0</v>
      </c>
      <c r="Z1749" s="864"/>
      <c r="AA1749" s="863"/>
      <c r="AB1749" s="756">
        <f t="shared" si="236"/>
        <v>0</v>
      </c>
      <c r="AC1749" s="859"/>
      <c r="AD1749" s="863"/>
      <c r="AE1749" s="859"/>
      <c r="AF1749" s="859"/>
      <c r="AG1749" s="864"/>
      <c r="AH1749" s="865"/>
      <c r="AI1749" s="757">
        <f t="shared" si="240"/>
        <v>0</v>
      </c>
      <c r="AJ1749" s="758">
        <f t="shared" si="241"/>
        <v>0</v>
      </c>
    </row>
    <row r="1750" spans="1:36" x14ac:dyDescent="0.2">
      <c r="A1750" s="1022" t="s">
        <v>153</v>
      </c>
      <c r="B1750" s="1023" t="s">
        <v>209</v>
      </c>
      <c r="C1750" s="1045" t="s">
        <v>576</v>
      </c>
      <c r="D1750" s="1046"/>
      <c r="E1750" s="1040"/>
      <c r="F1750" s="1041"/>
      <c r="G1750" s="859"/>
      <c r="H1750" s="860"/>
      <c r="I1750" s="861"/>
      <c r="J1750" s="862"/>
      <c r="K1750" s="859"/>
      <c r="L1750" s="863"/>
      <c r="M1750" s="859"/>
      <c r="N1750" s="859"/>
      <c r="O1750" s="752">
        <f t="shared" si="234"/>
        <v>0</v>
      </c>
      <c r="P1750" s="862"/>
      <c r="Q1750" s="860"/>
      <c r="R1750" s="753">
        <f t="shared" si="237"/>
        <v>0</v>
      </c>
      <c r="S1750" s="752">
        <f t="shared" si="238"/>
        <v>0</v>
      </c>
      <c r="T1750" s="754">
        <f t="shared" si="239"/>
        <v>0</v>
      </c>
      <c r="U1750" s="859"/>
      <c r="V1750" s="863"/>
      <c r="W1750" s="859"/>
      <c r="X1750" s="859"/>
      <c r="Y1750" s="755">
        <f t="shared" si="235"/>
        <v>0</v>
      </c>
      <c r="Z1750" s="864"/>
      <c r="AA1750" s="863"/>
      <c r="AB1750" s="756">
        <f t="shared" si="236"/>
        <v>0</v>
      </c>
      <c r="AC1750" s="859"/>
      <c r="AD1750" s="863"/>
      <c r="AE1750" s="859"/>
      <c r="AF1750" s="859"/>
      <c r="AG1750" s="864"/>
      <c r="AH1750" s="865"/>
      <c r="AI1750" s="757">
        <f t="shared" si="240"/>
        <v>0</v>
      </c>
      <c r="AJ1750" s="758">
        <f t="shared" si="241"/>
        <v>0</v>
      </c>
    </row>
    <row r="1751" spans="1:36" x14ac:dyDescent="0.2">
      <c r="A1751" s="1022" t="s">
        <v>153</v>
      </c>
      <c r="B1751" s="1023" t="s">
        <v>210</v>
      </c>
      <c r="C1751" s="1045" t="s">
        <v>311</v>
      </c>
      <c r="D1751" s="1046"/>
      <c r="E1751" s="1040"/>
      <c r="F1751" s="1041"/>
      <c r="G1751" s="859"/>
      <c r="H1751" s="860"/>
      <c r="I1751" s="861"/>
      <c r="J1751" s="862"/>
      <c r="K1751" s="859"/>
      <c r="L1751" s="863"/>
      <c r="M1751" s="859"/>
      <c r="N1751" s="859"/>
      <c r="O1751" s="752">
        <f t="shared" si="234"/>
        <v>0</v>
      </c>
      <c r="P1751" s="862"/>
      <c r="Q1751" s="860"/>
      <c r="R1751" s="753">
        <f t="shared" si="237"/>
        <v>0</v>
      </c>
      <c r="S1751" s="752">
        <f t="shared" si="238"/>
        <v>0</v>
      </c>
      <c r="T1751" s="754">
        <f t="shared" si="239"/>
        <v>0</v>
      </c>
      <c r="U1751" s="859"/>
      <c r="V1751" s="863"/>
      <c r="W1751" s="859"/>
      <c r="X1751" s="859"/>
      <c r="Y1751" s="755">
        <f t="shared" si="235"/>
        <v>0</v>
      </c>
      <c r="Z1751" s="864"/>
      <c r="AA1751" s="863"/>
      <c r="AB1751" s="756">
        <f t="shared" si="236"/>
        <v>0</v>
      </c>
      <c r="AC1751" s="859"/>
      <c r="AD1751" s="863"/>
      <c r="AE1751" s="859"/>
      <c r="AF1751" s="859"/>
      <c r="AG1751" s="864"/>
      <c r="AH1751" s="865"/>
      <c r="AI1751" s="757">
        <f t="shared" si="240"/>
        <v>0</v>
      </c>
      <c r="AJ1751" s="758">
        <f t="shared" si="241"/>
        <v>0</v>
      </c>
    </row>
    <row r="1752" spans="1:36" x14ac:dyDescent="0.2">
      <c r="A1752" s="1022" t="s">
        <v>153</v>
      </c>
      <c r="B1752" s="1023" t="s">
        <v>251</v>
      </c>
      <c r="C1752" s="1045" t="s">
        <v>249</v>
      </c>
      <c r="D1752" s="1046"/>
      <c r="E1752" s="1040"/>
      <c r="F1752" s="1041"/>
      <c r="G1752" s="859"/>
      <c r="H1752" s="860"/>
      <c r="I1752" s="861"/>
      <c r="J1752" s="862"/>
      <c r="K1752" s="859"/>
      <c r="L1752" s="863"/>
      <c r="M1752" s="859"/>
      <c r="N1752" s="859"/>
      <c r="O1752" s="752">
        <f t="shared" si="234"/>
        <v>0</v>
      </c>
      <c r="P1752" s="862"/>
      <c r="Q1752" s="860"/>
      <c r="R1752" s="753">
        <f t="shared" si="237"/>
        <v>0</v>
      </c>
      <c r="S1752" s="752">
        <f t="shared" si="238"/>
        <v>0</v>
      </c>
      <c r="T1752" s="754">
        <f t="shared" si="239"/>
        <v>0</v>
      </c>
      <c r="U1752" s="859"/>
      <c r="V1752" s="863"/>
      <c r="W1752" s="859"/>
      <c r="X1752" s="859"/>
      <c r="Y1752" s="755">
        <f t="shared" si="235"/>
        <v>0</v>
      </c>
      <c r="Z1752" s="864"/>
      <c r="AA1752" s="863"/>
      <c r="AB1752" s="756">
        <f t="shared" si="236"/>
        <v>0</v>
      </c>
      <c r="AC1752" s="859"/>
      <c r="AD1752" s="863"/>
      <c r="AE1752" s="859"/>
      <c r="AF1752" s="859"/>
      <c r="AG1752" s="864"/>
      <c r="AH1752" s="865"/>
      <c r="AI1752" s="757">
        <f t="shared" si="240"/>
        <v>0</v>
      </c>
      <c r="AJ1752" s="758">
        <f t="shared" si="241"/>
        <v>0</v>
      </c>
    </row>
    <row r="1753" spans="1:36" x14ac:dyDescent="0.2">
      <c r="A1753" s="1022" t="s">
        <v>153</v>
      </c>
      <c r="B1753" s="1023" t="s">
        <v>205</v>
      </c>
      <c r="C1753" s="1045" t="s">
        <v>577</v>
      </c>
      <c r="D1753" s="1046"/>
      <c r="E1753" s="1040"/>
      <c r="F1753" s="1041"/>
      <c r="G1753" s="859"/>
      <c r="H1753" s="860"/>
      <c r="I1753" s="861"/>
      <c r="J1753" s="862"/>
      <c r="K1753" s="859"/>
      <c r="L1753" s="863"/>
      <c r="M1753" s="859"/>
      <c r="N1753" s="859"/>
      <c r="O1753" s="752">
        <f t="shared" si="234"/>
        <v>0</v>
      </c>
      <c r="P1753" s="862"/>
      <c r="Q1753" s="860"/>
      <c r="R1753" s="753">
        <f t="shared" si="237"/>
        <v>0</v>
      </c>
      <c r="S1753" s="752">
        <f t="shared" si="238"/>
        <v>0</v>
      </c>
      <c r="T1753" s="754">
        <f t="shared" si="239"/>
        <v>0</v>
      </c>
      <c r="U1753" s="859"/>
      <c r="V1753" s="863"/>
      <c r="W1753" s="859"/>
      <c r="X1753" s="859"/>
      <c r="Y1753" s="755">
        <f t="shared" si="235"/>
        <v>0</v>
      </c>
      <c r="Z1753" s="864"/>
      <c r="AA1753" s="863"/>
      <c r="AB1753" s="756">
        <f t="shared" si="236"/>
        <v>0</v>
      </c>
      <c r="AC1753" s="859"/>
      <c r="AD1753" s="863"/>
      <c r="AE1753" s="859"/>
      <c r="AF1753" s="859"/>
      <c r="AG1753" s="864"/>
      <c r="AH1753" s="865"/>
      <c r="AI1753" s="757">
        <f t="shared" si="240"/>
        <v>0</v>
      </c>
      <c r="AJ1753" s="758">
        <f t="shared" si="241"/>
        <v>0</v>
      </c>
    </row>
    <row r="1754" spans="1:36" x14ac:dyDescent="0.2">
      <c r="A1754" s="1022" t="s">
        <v>153</v>
      </c>
      <c r="B1754" s="1023" t="s">
        <v>218</v>
      </c>
      <c r="C1754" s="1045" t="s">
        <v>311</v>
      </c>
      <c r="D1754" s="1046"/>
      <c r="E1754" s="1040"/>
      <c r="F1754" s="1041"/>
      <c r="G1754" s="859"/>
      <c r="H1754" s="860"/>
      <c r="I1754" s="861"/>
      <c r="J1754" s="862"/>
      <c r="K1754" s="859"/>
      <c r="L1754" s="863"/>
      <c r="M1754" s="859"/>
      <c r="N1754" s="859"/>
      <c r="O1754" s="752">
        <f t="shared" si="234"/>
        <v>0</v>
      </c>
      <c r="P1754" s="862"/>
      <c r="Q1754" s="860"/>
      <c r="R1754" s="753">
        <f t="shared" si="237"/>
        <v>0</v>
      </c>
      <c r="S1754" s="752">
        <f t="shared" si="238"/>
        <v>0</v>
      </c>
      <c r="T1754" s="754">
        <f t="shared" si="239"/>
        <v>0</v>
      </c>
      <c r="U1754" s="859"/>
      <c r="V1754" s="863"/>
      <c r="W1754" s="859"/>
      <c r="X1754" s="859"/>
      <c r="Y1754" s="755">
        <f t="shared" si="235"/>
        <v>0</v>
      </c>
      <c r="Z1754" s="864"/>
      <c r="AA1754" s="863"/>
      <c r="AB1754" s="756">
        <f t="shared" si="236"/>
        <v>0</v>
      </c>
      <c r="AC1754" s="859"/>
      <c r="AD1754" s="863"/>
      <c r="AE1754" s="859"/>
      <c r="AF1754" s="859"/>
      <c r="AG1754" s="864"/>
      <c r="AH1754" s="865"/>
      <c r="AI1754" s="757">
        <f t="shared" si="240"/>
        <v>0</v>
      </c>
      <c r="AJ1754" s="758">
        <f t="shared" si="241"/>
        <v>0</v>
      </c>
    </row>
    <row r="1755" spans="1:36" x14ac:dyDescent="0.2">
      <c r="A1755" s="1022" t="s">
        <v>153</v>
      </c>
      <c r="B1755" s="1023" t="s">
        <v>251</v>
      </c>
      <c r="C1755" s="1045" t="s">
        <v>249</v>
      </c>
      <c r="D1755" s="1046"/>
      <c r="E1755" s="1040"/>
      <c r="F1755" s="1041"/>
      <c r="G1755" s="859"/>
      <c r="H1755" s="860"/>
      <c r="I1755" s="861"/>
      <c r="J1755" s="862"/>
      <c r="K1755" s="859"/>
      <c r="L1755" s="863"/>
      <c r="M1755" s="859"/>
      <c r="N1755" s="859"/>
      <c r="O1755" s="752">
        <f t="shared" si="234"/>
        <v>0</v>
      </c>
      <c r="P1755" s="862"/>
      <c r="Q1755" s="860"/>
      <c r="R1755" s="753">
        <f t="shared" si="237"/>
        <v>0</v>
      </c>
      <c r="S1755" s="752">
        <f t="shared" si="238"/>
        <v>0</v>
      </c>
      <c r="T1755" s="754">
        <f t="shared" si="239"/>
        <v>0</v>
      </c>
      <c r="U1755" s="859"/>
      <c r="V1755" s="863"/>
      <c r="W1755" s="859"/>
      <c r="X1755" s="859"/>
      <c r="Y1755" s="755">
        <f t="shared" si="235"/>
        <v>0</v>
      </c>
      <c r="Z1755" s="864"/>
      <c r="AA1755" s="863"/>
      <c r="AB1755" s="756">
        <f t="shared" si="236"/>
        <v>0</v>
      </c>
      <c r="AC1755" s="859"/>
      <c r="AD1755" s="863"/>
      <c r="AE1755" s="859"/>
      <c r="AF1755" s="859"/>
      <c r="AG1755" s="864"/>
      <c r="AH1755" s="865"/>
      <c r="AI1755" s="757">
        <f t="shared" si="240"/>
        <v>0</v>
      </c>
      <c r="AJ1755" s="758">
        <f t="shared" si="241"/>
        <v>0</v>
      </c>
    </row>
    <row r="1756" spans="1:36" x14ac:dyDescent="0.2">
      <c r="A1756" s="1022" t="s">
        <v>153</v>
      </c>
      <c r="B1756" s="1023" t="s">
        <v>292</v>
      </c>
      <c r="C1756" s="1044" t="s">
        <v>849</v>
      </c>
      <c r="D1756" s="1029"/>
      <c r="E1756" s="1040"/>
      <c r="F1756" s="1041"/>
      <c r="G1756" s="859"/>
      <c r="H1756" s="860"/>
      <c r="I1756" s="861"/>
      <c r="J1756" s="862"/>
      <c r="K1756" s="859"/>
      <c r="L1756" s="863"/>
      <c r="M1756" s="859"/>
      <c r="N1756" s="859"/>
      <c r="O1756" s="752">
        <f t="shared" si="234"/>
        <v>0</v>
      </c>
      <c r="P1756" s="862"/>
      <c r="Q1756" s="860"/>
      <c r="R1756" s="753">
        <f t="shared" si="237"/>
        <v>0</v>
      </c>
      <c r="S1756" s="752">
        <f t="shared" si="238"/>
        <v>0</v>
      </c>
      <c r="T1756" s="754">
        <f t="shared" si="239"/>
        <v>0</v>
      </c>
      <c r="U1756" s="859"/>
      <c r="V1756" s="863"/>
      <c r="W1756" s="859"/>
      <c r="X1756" s="859"/>
      <c r="Y1756" s="755">
        <f t="shared" si="235"/>
        <v>0</v>
      </c>
      <c r="Z1756" s="864"/>
      <c r="AA1756" s="863"/>
      <c r="AB1756" s="756">
        <f t="shared" si="236"/>
        <v>0</v>
      </c>
      <c r="AC1756" s="859"/>
      <c r="AD1756" s="863"/>
      <c r="AE1756" s="859"/>
      <c r="AF1756" s="859"/>
      <c r="AG1756" s="864"/>
      <c r="AH1756" s="865"/>
      <c r="AI1756" s="757">
        <f t="shared" si="240"/>
        <v>0</v>
      </c>
      <c r="AJ1756" s="758">
        <f t="shared" si="241"/>
        <v>0</v>
      </c>
    </row>
    <row r="1757" spans="1:36" x14ac:dyDescent="0.2">
      <c r="A1757" s="1022" t="s">
        <v>153</v>
      </c>
      <c r="B1757" s="1023" t="s">
        <v>310</v>
      </c>
      <c r="C1757" s="1045" t="s">
        <v>311</v>
      </c>
      <c r="D1757" s="1046"/>
      <c r="E1757" s="1040"/>
      <c r="F1757" s="1041"/>
      <c r="G1757" s="859"/>
      <c r="H1757" s="860"/>
      <c r="I1757" s="861"/>
      <c r="J1757" s="862"/>
      <c r="K1757" s="859"/>
      <c r="L1757" s="863"/>
      <c r="M1757" s="859"/>
      <c r="N1757" s="859"/>
      <c r="O1757" s="752">
        <f t="shared" si="234"/>
        <v>0</v>
      </c>
      <c r="P1757" s="862"/>
      <c r="Q1757" s="860"/>
      <c r="R1757" s="753">
        <f t="shared" si="237"/>
        <v>0</v>
      </c>
      <c r="S1757" s="752">
        <f t="shared" si="238"/>
        <v>0</v>
      </c>
      <c r="T1757" s="754">
        <f t="shared" si="239"/>
        <v>0</v>
      </c>
      <c r="U1757" s="859"/>
      <c r="V1757" s="863"/>
      <c r="W1757" s="859"/>
      <c r="X1757" s="859"/>
      <c r="Y1757" s="755">
        <f t="shared" si="235"/>
        <v>0</v>
      </c>
      <c r="Z1757" s="864"/>
      <c r="AA1757" s="863"/>
      <c r="AB1757" s="756">
        <f t="shared" si="236"/>
        <v>0</v>
      </c>
      <c r="AC1757" s="859"/>
      <c r="AD1757" s="863"/>
      <c r="AE1757" s="859"/>
      <c r="AF1757" s="859"/>
      <c r="AG1757" s="864"/>
      <c r="AH1757" s="865"/>
      <c r="AI1757" s="757">
        <f t="shared" si="240"/>
        <v>0</v>
      </c>
      <c r="AJ1757" s="758">
        <f t="shared" si="241"/>
        <v>0</v>
      </c>
    </row>
    <row r="1758" spans="1:36" x14ac:dyDescent="0.2">
      <c r="A1758" s="1022" t="s">
        <v>153</v>
      </c>
      <c r="B1758" s="1023" t="s">
        <v>251</v>
      </c>
      <c r="C1758" s="1045" t="s">
        <v>249</v>
      </c>
      <c r="D1758" s="1046"/>
      <c r="E1758" s="1040"/>
      <c r="F1758" s="1041"/>
      <c r="G1758" s="859"/>
      <c r="H1758" s="860"/>
      <c r="I1758" s="861"/>
      <c r="J1758" s="862"/>
      <c r="K1758" s="859"/>
      <c r="L1758" s="863"/>
      <c r="M1758" s="859"/>
      <c r="N1758" s="859"/>
      <c r="O1758" s="752">
        <f t="shared" si="234"/>
        <v>0</v>
      </c>
      <c r="P1758" s="862"/>
      <c r="Q1758" s="860"/>
      <c r="R1758" s="753">
        <f t="shared" si="237"/>
        <v>0</v>
      </c>
      <c r="S1758" s="752">
        <f t="shared" si="238"/>
        <v>0</v>
      </c>
      <c r="T1758" s="754">
        <f t="shared" si="239"/>
        <v>0</v>
      </c>
      <c r="U1758" s="859">
        <v>5568222</v>
      </c>
      <c r="V1758" s="863">
        <v>5568222</v>
      </c>
      <c r="W1758" s="859"/>
      <c r="X1758" s="859"/>
      <c r="Y1758" s="755">
        <f t="shared" si="235"/>
        <v>0</v>
      </c>
      <c r="Z1758" s="864"/>
      <c r="AA1758" s="863"/>
      <c r="AB1758" s="756">
        <f t="shared" si="236"/>
        <v>0</v>
      </c>
      <c r="AC1758" s="859"/>
      <c r="AD1758" s="863"/>
      <c r="AE1758" s="859"/>
      <c r="AF1758" s="859"/>
      <c r="AG1758" s="864"/>
      <c r="AH1758" s="865"/>
      <c r="AI1758" s="757">
        <f t="shared" si="240"/>
        <v>5568222</v>
      </c>
      <c r="AJ1758" s="758">
        <f t="shared" si="241"/>
        <v>5568222</v>
      </c>
    </row>
    <row r="1759" spans="1:36" x14ac:dyDescent="0.2">
      <c r="A1759" s="1022" t="s">
        <v>153</v>
      </c>
      <c r="B1759" s="1023" t="s">
        <v>209</v>
      </c>
      <c r="C1759" s="1045" t="s">
        <v>576</v>
      </c>
      <c r="D1759" s="1046"/>
      <c r="E1759" s="1040"/>
      <c r="F1759" s="1041"/>
      <c r="G1759" s="859"/>
      <c r="H1759" s="860"/>
      <c r="I1759" s="861"/>
      <c r="J1759" s="862"/>
      <c r="K1759" s="859"/>
      <c r="L1759" s="863"/>
      <c r="M1759" s="859"/>
      <c r="N1759" s="859"/>
      <c r="O1759" s="752">
        <f t="shared" si="234"/>
        <v>0</v>
      </c>
      <c r="P1759" s="862"/>
      <c r="Q1759" s="860"/>
      <c r="R1759" s="753">
        <f t="shared" si="237"/>
        <v>0</v>
      </c>
      <c r="S1759" s="752">
        <f t="shared" si="238"/>
        <v>0</v>
      </c>
      <c r="T1759" s="754">
        <f t="shared" si="239"/>
        <v>0</v>
      </c>
      <c r="U1759" s="859"/>
      <c r="V1759" s="863"/>
      <c r="W1759" s="859"/>
      <c r="X1759" s="859"/>
      <c r="Y1759" s="755">
        <f t="shared" si="235"/>
        <v>0</v>
      </c>
      <c r="Z1759" s="864"/>
      <c r="AA1759" s="863"/>
      <c r="AB1759" s="756">
        <f t="shared" si="236"/>
        <v>0</v>
      </c>
      <c r="AC1759" s="859"/>
      <c r="AD1759" s="863"/>
      <c r="AE1759" s="859"/>
      <c r="AF1759" s="859"/>
      <c r="AG1759" s="864"/>
      <c r="AH1759" s="865"/>
      <c r="AI1759" s="757">
        <f t="shared" si="240"/>
        <v>0</v>
      </c>
      <c r="AJ1759" s="758">
        <f t="shared" si="241"/>
        <v>0</v>
      </c>
    </row>
    <row r="1760" spans="1:36" x14ac:dyDescent="0.2">
      <c r="A1760" s="1022" t="s">
        <v>153</v>
      </c>
      <c r="B1760" s="1023" t="s">
        <v>210</v>
      </c>
      <c r="C1760" s="1045" t="s">
        <v>311</v>
      </c>
      <c r="D1760" s="1046"/>
      <c r="E1760" s="1040"/>
      <c r="F1760" s="1041"/>
      <c r="G1760" s="859"/>
      <c r="H1760" s="860"/>
      <c r="I1760" s="861"/>
      <c r="J1760" s="862"/>
      <c r="K1760" s="859"/>
      <c r="L1760" s="863"/>
      <c r="M1760" s="859"/>
      <c r="N1760" s="859"/>
      <c r="O1760" s="752">
        <f t="shared" si="234"/>
        <v>0</v>
      </c>
      <c r="P1760" s="862"/>
      <c r="Q1760" s="860"/>
      <c r="R1760" s="753">
        <f t="shared" si="237"/>
        <v>0</v>
      </c>
      <c r="S1760" s="752">
        <f t="shared" si="238"/>
        <v>0</v>
      </c>
      <c r="T1760" s="754">
        <f t="shared" si="239"/>
        <v>0</v>
      </c>
      <c r="U1760" s="859"/>
      <c r="V1760" s="863"/>
      <c r="W1760" s="859"/>
      <c r="X1760" s="859"/>
      <c r="Y1760" s="755">
        <f t="shared" si="235"/>
        <v>0</v>
      </c>
      <c r="Z1760" s="864"/>
      <c r="AA1760" s="863"/>
      <c r="AB1760" s="756">
        <f t="shared" si="236"/>
        <v>0</v>
      </c>
      <c r="AC1760" s="859"/>
      <c r="AD1760" s="863"/>
      <c r="AE1760" s="859"/>
      <c r="AF1760" s="859"/>
      <c r="AG1760" s="864"/>
      <c r="AH1760" s="865"/>
      <c r="AI1760" s="757">
        <f t="shared" si="240"/>
        <v>0</v>
      </c>
      <c r="AJ1760" s="758">
        <f t="shared" si="241"/>
        <v>0</v>
      </c>
    </row>
    <row r="1761" spans="1:36" x14ac:dyDescent="0.2">
      <c r="A1761" s="1022" t="s">
        <v>153</v>
      </c>
      <c r="B1761" s="1023" t="s">
        <v>251</v>
      </c>
      <c r="C1761" s="1045" t="s">
        <v>249</v>
      </c>
      <c r="D1761" s="1046"/>
      <c r="E1761" s="1040"/>
      <c r="F1761" s="1041"/>
      <c r="G1761" s="859"/>
      <c r="H1761" s="860"/>
      <c r="I1761" s="861"/>
      <c r="J1761" s="862"/>
      <c r="K1761" s="859"/>
      <c r="L1761" s="863"/>
      <c r="M1761" s="859"/>
      <c r="N1761" s="859"/>
      <c r="O1761" s="752">
        <f t="shared" si="234"/>
        <v>0</v>
      </c>
      <c r="P1761" s="862"/>
      <c r="Q1761" s="860"/>
      <c r="R1761" s="753">
        <f t="shared" si="237"/>
        <v>0</v>
      </c>
      <c r="S1761" s="752">
        <f t="shared" si="238"/>
        <v>0</v>
      </c>
      <c r="T1761" s="754">
        <f t="shared" si="239"/>
        <v>0</v>
      </c>
      <c r="U1761" s="859"/>
      <c r="V1761" s="863"/>
      <c r="W1761" s="859"/>
      <c r="X1761" s="859"/>
      <c r="Y1761" s="755">
        <f t="shared" si="235"/>
        <v>0</v>
      </c>
      <c r="Z1761" s="864"/>
      <c r="AA1761" s="863"/>
      <c r="AB1761" s="756">
        <f t="shared" si="236"/>
        <v>0</v>
      </c>
      <c r="AC1761" s="859"/>
      <c r="AD1761" s="863"/>
      <c r="AE1761" s="859"/>
      <c r="AF1761" s="859"/>
      <c r="AG1761" s="864"/>
      <c r="AH1761" s="865"/>
      <c r="AI1761" s="757">
        <f t="shared" si="240"/>
        <v>0</v>
      </c>
      <c r="AJ1761" s="758">
        <f t="shared" si="241"/>
        <v>0</v>
      </c>
    </row>
    <row r="1762" spans="1:36" x14ac:dyDescent="0.2">
      <c r="A1762" s="1022" t="s">
        <v>153</v>
      </c>
      <c r="B1762" s="1023" t="s">
        <v>205</v>
      </c>
      <c r="C1762" s="1045" t="s">
        <v>577</v>
      </c>
      <c r="D1762" s="1046"/>
      <c r="E1762" s="1040"/>
      <c r="F1762" s="1041"/>
      <c r="G1762" s="859"/>
      <c r="H1762" s="860"/>
      <c r="I1762" s="861"/>
      <c r="J1762" s="862"/>
      <c r="K1762" s="859"/>
      <c r="L1762" s="863"/>
      <c r="M1762" s="859"/>
      <c r="N1762" s="859"/>
      <c r="O1762" s="752">
        <f t="shared" si="234"/>
        <v>0</v>
      </c>
      <c r="P1762" s="862"/>
      <c r="Q1762" s="860"/>
      <c r="R1762" s="753">
        <f t="shared" si="237"/>
        <v>0</v>
      </c>
      <c r="S1762" s="752">
        <f t="shared" si="238"/>
        <v>0</v>
      </c>
      <c r="T1762" s="754">
        <f t="shared" si="239"/>
        <v>0</v>
      </c>
      <c r="U1762" s="859"/>
      <c r="V1762" s="863"/>
      <c r="W1762" s="859"/>
      <c r="X1762" s="859"/>
      <c r="Y1762" s="755">
        <f t="shared" si="235"/>
        <v>0</v>
      </c>
      <c r="Z1762" s="864"/>
      <c r="AA1762" s="863"/>
      <c r="AB1762" s="756">
        <f t="shared" si="236"/>
        <v>0</v>
      </c>
      <c r="AC1762" s="859"/>
      <c r="AD1762" s="863"/>
      <c r="AE1762" s="859"/>
      <c r="AF1762" s="859"/>
      <c r="AG1762" s="864"/>
      <c r="AH1762" s="865"/>
      <c r="AI1762" s="757">
        <f t="shared" si="240"/>
        <v>0</v>
      </c>
      <c r="AJ1762" s="758">
        <f t="shared" si="241"/>
        <v>0</v>
      </c>
    </row>
    <row r="1763" spans="1:36" x14ac:dyDescent="0.2">
      <c r="A1763" s="1022" t="s">
        <v>153</v>
      </c>
      <c r="B1763" s="1023" t="s">
        <v>218</v>
      </c>
      <c r="C1763" s="1045" t="s">
        <v>311</v>
      </c>
      <c r="D1763" s="1046"/>
      <c r="E1763" s="1040"/>
      <c r="F1763" s="1041"/>
      <c r="G1763" s="859"/>
      <c r="H1763" s="860"/>
      <c r="I1763" s="861"/>
      <c r="J1763" s="862"/>
      <c r="K1763" s="859"/>
      <c r="L1763" s="863"/>
      <c r="M1763" s="859"/>
      <c r="N1763" s="859"/>
      <c r="O1763" s="752">
        <f t="shared" si="234"/>
        <v>0</v>
      </c>
      <c r="P1763" s="862"/>
      <c r="Q1763" s="860"/>
      <c r="R1763" s="753">
        <f t="shared" si="237"/>
        <v>0</v>
      </c>
      <c r="S1763" s="752">
        <f t="shared" si="238"/>
        <v>0</v>
      </c>
      <c r="T1763" s="754">
        <f t="shared" si="239"/>
        <v>0</v>
      </c>
      <c r="U1763" s="859"/>
      <c r="V1763" s="863"/>
      <c r="W1763" s="859"/>
      <c r="X1763" s="859"/>
      <c r="Y1763" s="755">
        <f t="shared" si="235"/>
        <v>0</v>
      </c>
      <c r="Z1763" s="864"/>
      <c r="AA1763" s="863"/>
      <c r="AB1763" s="756">
        <f t="shared" si="236"/>
        <v>0</v>
      </c>
      <c r="AC1763" s="859"/>
      <c r="AD1763" s="863"/>
      <c r="AE1763" s="859"/>
      <c r="AF1763" s="859"/>
      <c r="AG1763" s="864"/>
      <c r="AH1763" s="865"/>
      <c r="AI1763" s="757">
        <f t="shared" si="240"/>
        <v>0</v>
      </c>
      <c r="AJ1763" s="758">
        <f t="shared" si="241"/>
        <v>0</v>
      </c>
    </row>
    <row r="1764" spans="1:36" x14ac:dyDescent="0.2">
      <c r="A1764" s="1022" t="s">
        <v>153</v>
      </c>
      <c r="B1764" s="1023" t="s">
        <v>251</v>
      </c>
      <c r="C1764" s="1045" t="s">
        <v>249</v>
      </c>
      <c r="D1764" s="1046"/>
      <c r="E1764" s="1040"/>
      <c r="F1764" s="1041"/>
      <c r="G1764" s="859"/>
      <c r="H1764" s="860"/>
      <c r="I1764" s="861"/>
      <c r="J1764" s="862"/>
      <c r="K1764" s="859"/>
      <c r="L1764" s="863"/>
      <c r="M1764" s="859"/>
      <c r="N1764" s="859"/>
      <c r="O1764" s="752">
        <f t="shared" si="234"/>
        <v>0</v>
      </c>
      <c r="P1764" s="862"/>
      <c r="Q1764" s="860"/>
      <c r="R1764" s="753">
        <f t="shared" si="237"/>
        <v>0</v>
      </c>
      <c r="S1764" s="752">
        <f t="shared" si="238"/>
        <v>0</v>
      </c>
      <c r="T1764" s="754">
        <f t="shared" si="239"/>
        <v>0</v>
      </c>
      <c r="U1764" s="859"/>
      <c r="V1764" s="863"/>
      <c r="W1764" s="859"/>
      <c r="X1764" s="859"/>
      <c r="Y1764" s="755">
        <f t="shared" si="235"/>
        <v>0</v>
      </c>
      <c r="Z1764" s="864"/>
      <c r="AA1764" s="863"/>
      <c r="AB1764" s="756">
        <f t="shared" si="236"/>
        <v>0</v>
      </c>
      <c r="AC1764" s="859"/>
      <c r="AD1764" s="863"/>
      <c r="AE1764" s="859"/>
      <c r="AF1764" s="859"/>
      <c r="AG1764" s="864"/>
      <c r="AH1764" s="865"/>
      <c r="AI1764" s="757">
        <f t="shared" si="240"/>
        <v>0</v>
      </c>
      <c r="AJ1764" s="758">
        <f t="shared" si="241"/>
        <v>0</v>
      </c>
    </row>
    <row r="1765" spans="1:36" x14ac:dyDescent="0.2">
      <c r="A1765" s="1056" t="s">
        <v>153</v>
      </c>
      <c r="B1765" s="1057" t="s">
        <v>292</v>
      </c>
      <c r="C1765" s="1058" t="s">
        <v>850</v>
      </c>
      <c r="D1765" s="1059"/>
      <c r="E1765" s="1060"/>
      <c r="F1765" s="1061"/>
      <c r="G1765" s="859"/>
      <c r="H1765" s="860"/>
      <c r="I1765" s="861"/>
      <c r="J1765" s="862"/>
      <c r="K1765" s="859"/>
      <c r="L1765" s="863"/>
      <c r="M1765" s="859"/>
      <c r="N1765" s="859"/>
      <c r="O1765" s="752">
        <f t="shared" si="234"/>
        <v>0</v>
      </c>
      <c r="P1765" s="862"/>
      <c r="Q1765" s="860"/>
      <c r="R1765" s="753">
        <f t="shared" si="237"/>
        <v>0</v>
      </c>
      <c r="S1765" s="752">
        <f t="shared" si="238"/>
        <v>0</v>
      </c>
      <c r="T1765" s="754">
        <f t="shared" si="239"/>
        <v>0</v>
      </c>
      <c r="U1765" s="859"/>
      <c r="V1765" s="863"/>
      <c r="W1765" s="859"/>
      <c r="X1765" s="859"/>
      <c r="Y1765" s="755">
        <f t="shared" si="235"/>
        <v>0</v>
      </c>
      <c r="Z1765" s="864"/>
      <c r="AA1765" s="863"/>
      <c r="AB1765" s="756">
        <f t="shared" si="236"/>
        <v>0</v>
      </c>
      <c r="AC1765" s="859"/>
      <c r="AD1765" s="863"/>
      <c r="AE1765" s="859"/>
      <c r="AF1765" s="859"/>
      <c r="AG1765" s="864"/>
      <c r="AH1765" s="865"/>
      <c r="AI1765" s="757">
        <f t="shared" si="240"/>
        <v>0</v>
      </c>
      <c r="AJ1765" s="758">
        <f t="shared" si="241"/>
        <v>0</v>
      </c>
    </row>
    <row r="1766" spans="1:36" x14ac:dyDescent="0.2">
      <c r="A1766" s="1056" t="s">
        <v>153</v>
      </c>
      <c r="B1766" s="1057" t="s">
        <v>310</v>
      </c>
      <c r="C1766" s="1062" t="s">
        <v>311</v>
      </c>
      <c r="D1766" s="1063"/>
      <c r="E1766" s="1060"/>
      <c r="F1766" s="1061"/>
      <c r="G1766" s="859"/>
      <c r="H1766" s="860"/>
      <c r="I1766" s="861"/>
      <c r="J1766" s="862"/>
      <c r="K1766" s="859"/>
      <c r="L1766" s="863"/>
      <c r="M1766" s="859"/>
      <c r="N1766" s="859"/>
      <c r="O1766" s="752">
        <f t="shared" si="234"/>
        <v>0</v>
      </c>
      <c r="P1766" s="862"/>
      <c r="Q1766" s="860"/>
      <c r="R1766" s="753">
        <f t="shared" si="237"/>
        <v>0</v>
      </c>
      <c r="S1766" s="752">
        <f t="shared" si="238"/>
        <v>0</v>
      </c>
      <c r="T1766" s="754">
        <f t="shared" si="239"/>
        <v>0</v>
      </c>
      <c r="U1766" s="859"/>
      <c r="V1766" s="863"/>
      <c r="W1766" s="859"/>
      <c r="X1766" s="859"/>
      <c r="Y1766" s="755">
        <f t="shared" si="235"/>
        <v>0</v>
      </c>
      <c r="Z1766" s="864"/>
      <c r="AA1766" s="863"/>
      <c r="AB1766" s="756">
        <f t="shared" si="236"/>
        <v>0</v>
      </c>
      <c r="AC1766" s="859"/>
      <c r="AD1766" s="863"/>
      <c r="AE1766" s="859"/>
      <c r="AF1766" s="859"/>
      <c r="AG1766" s="864"/>
      <c r="AH1766" s="865"/>
      <c r="AI1766" s="757">
        <f t="shared" si="240"/>
        <v>0</v>
      </c>
      <c r="AJ1766" s="758">
        <f t="shared" si="241"/>
        <v>0</v>
      </c>
    </row>
    <row r="1767" spans="1:36" x14ac:dyDescent="0.2">
      <c r="A1767" s="1056" t="s">
        <v>153</v>
      </c>
      <c r="B1767" s="1057" t="s">
        <v>251</v>
      </c>
      <c r="C1767" s="1062" t="s">
        <v>249</v>
      </c>
      <c r="D1767" s="1063"/>
      <c r="E1767" s="1060"/>
      <c r="F1767" s="1061"/>
      <c r="G1767" s="859"/>
      <c r="H1767" s="860"/>
      <c r="I1767" s="861"/>
      <c r="J1767" s="862"/>
      <c r="K1767" s="859"/>
      <c r="L1767" s="863"/>
      <c r="M1767" s="859"/>
      <c r="N1767" s="859"/>
      <c r="O1767" s="752">
        <f t="shared" si="234"/>
        <v>0</v>
      </c>
      <c r="P1767" s="862"/>
      <c r="Q1767" s="860"/>
      <c r="R1767" s="753">
        <f t="shared" si="237"/>
        <v>0</v>
      </c>
      <c r="S1767" s="752">
        <f t="shared" si="238"/>
        <v>0</v>
      </c>
      <c r="T1767" s="754">
        <f t="shared" si="239"/>
        <v>0</v>
      </c>
      <c r="U1767" s="859">
        <v>16857166</v>
      </c>
      <c r="V1767" s="863">
        <v>16594166</v>
      </c>
      <c r="W1767" s="859"/>
      <c r="X1767" s="859"/>
      <c r="Y1767" s="755">
        <f t="shared" si="235"/>
        <v>0</v>
      </c>
      <c r="Z1767" s="864"/>
      <c r="AA1767" s="863"/>
      <c r="AB1767" s="756">
        <f t="shared" si="236"/>
        <v>0</v>
      </c>
      <c r="AC1767" s="859"/>
      <c r="AD1767" s="863"/>
      <c r="AE1767" s="859"/>
      <c r="AF1767" s="859"/>
      <c r="AG1767" s="864"/>
      <c r="AH1767" s="865"/>
      <c r="AI1767" s="757">
        <f t="shared" si="240"/>
        <v>16857166</v>
      </c>
      <c r="AJ1767" s="758">
        <f t="shared" si="241"/>
        <v>16594166</v>
      </c>
    </row>
    <row r="1768" spans="1:36" x14ac:dyDescent="0.2">
      <c r="A1768" s="1056" t="s">
        <v>153</v>
      </c>
      <c r="B1768" s="1057" t="s">
        <v>209</v>
      </c>
      <c r="C1768" s="1062" t="s">
        <v>576</v>
      </c>
      <c r="D1768" s="1063"/>
      <c r="E1768" s="1060"/>
      <c r="F1768" s="1061"/>
      <c r="G1768" s="859"/>
      <c r="H1768" s="860"/>
      <c r="I1768" s="861"/>
      <c r="J1768" s="862"/>
      <c r="K1768" s="859"/>
      <c r="L1768" s="863"/>
      <c r="M1768" s="859"/>
      <c r="N1768" s="859"/>
      <c r="O1768" s="752">
        <f t="shared" si="234"/>
        <v>0</v>
      </c>
      <c r="P1768" s="862"/>
      <c r="Q1768" s="860"/>
      <c r="R1768" s="753">
        <f t="shared" si="237"/>
        <v>0</v>
      </c>
      <c r="S1768" s="752">
        <f t="shared" si="238"/>
        <v>0</v>
      </c>
      <c r="T1768" s="754">
        <f t="shared" si="239"/>
        <v>0</v>
      </c>
      <c r="U1768" s="859"/>
      <c r="V1768" s="863"/>
      <c r="W1768" s="859"/>
      <c r="X1768" s="859"/>
      <c r="Y1768" s="755">
        <f t="shared" si="235"/>
        <v>0</v>
      </c>
      <c r="Z1768" s="864"/>
      <c r="AA1768" s="863"/>
      <c r="AB1768" s="756">
        <f t="shared" si="236"/>
        <v>0</v>
      </c>
      <c r="AC1768" s="859"/>
      <c r="AD1768" s="863"/>
      <c r="AE1768" s="859"/>
      <c r="AF1768" s="859"/>
      <c r="AG1768" s="864"/>
      <c r="AH1768" s="865"/>
      <c r="AI1768" s="757">
        <f t="shared" si="240"/>
        <v>0</v>
      </c>
      <c r="AJ1768" s="758">
        <f t="shared" si="241"/>
        <v>0</v>
      </c>
    </row>
    <row r="1769" spans="1:36" x14ac:dyDescent="0.2">
      <c r="A1769" s="1056" t="s">
        <v>153</v>
      </c>
      <c r="B1769" s="1057" t="s">
        <v>210</v>
      </c>
      <c r="C1769" s="1062" t="s">
        <v>311</v>
      </c>
      <c r="D1769" s="1063"/>
      <c r="E1769" s="1060"/>
      <c r="F1769" s="1061"/>
      <c r="G1769" s="859"/>
      <c r="H1769" s="860"/>
      <c r="I1769" s="861"/>
      <c r="J1769" s="862"/>
      <c r="K1769" s="859"/>
      <c r="L1769" s="863"/>
      <c r="M1769" s="859"/>
      <c r="N1769" s="859"/>
      <c r="O1769" s="752">
        <f t="shared" si="234"/>
        <v>0</v>
      </c>
      <c r="P1769" s="862"/>
      <c r="Q1769" s="860"/>
      <c r="R1769" s="753">
        <f t="shared" si="237"/>
        <v>0</v>
      </c>
      <c r="S1769" s="752">
        <f t="shared" si="238"/>
        <v>0</v>
      </c>
      <c r="T1769" s="754">
        <f t="shared" si="239"/>
        <v>0</v>
      </c>
      <c r="U1769" s="859"/>
      <c r="V1769" s="863"/>
      <c r="W1769" s="859"/>
      <c r="X1769" s="859"/>
      <c r="Y1769" s="755">
        <f t="shared" si="235"/>
        <v>0</v>
      </c>
      <c r="Z1769" s="864"/>
      <c r="AA1769" s="863"/>
      <c r="AB1769" s="756">
        <f t="shared" si="236"/>
        <v>0</v>
      </c>
      <c r="AC1769" s="859"/>
      <c r="AD1769" s="863"/>
      <c r="AE1769" s="859"/>
      <c r="AF1769" s="859"/>
      <c r="AG1769" s="864"/>
      <c r="AH1769" s="865"/>
      <c r="AI1769" s="757">
        <f t="shared" si="240"/>
        <v>0</v>
      </c>
      <c r="AJ1769" s="758">
        <f t="shared" si="241"/>
        <v>0</v>
      </c>
    </row>
    <row r="1770" spans="1:36" x14ac:dyDescent="0.2">
      <c r="A1770" s="1056" t="s">
        <v>153</v>
      </c>
      <c r="B1770" s="1057" t="s">
        <v>251</v>
      </c>
      <c r="C1770" s="1062" t="s">
        <v>249</v>
      </c>
      <c r="D1770" s="1063"/>
      <c r="E1770" s="1060"/>
      <c r="F1770" s="1061"/>
      <c r="G1770" s="859"/>
      <c r="H1770" s="860"/>
      <c r="I1770" s="861"/>
      <c r="J1770" s="862"/>
      <c r="K1770" s="859"/>
      <c r="L1770" s="863"/>
      <c r="M1770" s="859"/>
      <c r="N1770" s="859"/>
      <c r="O1770" s="752">
        <f t="shared" si="234"/>
        <v>0</v>
      </c>
      <c r="P1770" s="862"/>
      <c r="Q1770" s="860"/>
      <c r="R1770" s="753">
        <f t="shared" si="237"/>
        <v>0</v>
      </c>
      <c r="S1770" s="752">
        <f t="shared" si="238"/>
        <v>0</v>
      </c>
      <c r="T1770" s="754">
        <f t="shared" si="239"/>
        <v>0</v>
      </c>
      <c r="U1770" s="859"/>
      <c r="V1770" s="863"/>
      <c r="W1770" s="859"/>
      <c r="X1770" s="859"/>
      <c r="Y1770" s="755">
        <f t="shared" si="235"/>
        <v>0</v>
      </c>
      <c r="Z1770" s="864"/>
      <c r="AA1770" s="863"/>
      <c r="AB1770" s="756">
        <f t="shared" si="236"/>
        <v>0</v>
      </c>
      <c r="AC1770" s="859"/>
      <c r="AD1770" s="863"/>
      <c r="AE1770" s="859"/>
      <c r="AF1770" s="859"/>
      <c r="AG1770" s="864"/>
      <c r="AH1770" s="865"/>
      <c r="AI1770" s="757">
        <f t="shared" si="240"/>
        <v>0</v>
      </c>
      <c r="AJ1770" s="758">
        <f t="shared" si="241"/>
        <v>0</v>
      </c>
    </row>
    <row r="1771" spans="1:36" x14ac:dyDescent="0.2">
      <c r="A1771" s="1056" t="s">
        <v>153</v>
      </c>
      <c r="B1771" s="1057" t="s">
        <v>205</v>
      </c>
      <c r="C1771" s="1062" t="s">
        <v>577</v>
      </c>
      <c r="D1771" s="1063"/>
      <c r="E1771" s="1060"/>
      <c r="F1771" s="1061"/>
      <c r="G1771" s="859"/>
      <c r="H1771" s="860"/>
      <c r="I1771" s="861"/>
      <c r="J1771" s="862"/>
      <c r="K1771" s="859"/>
      <c r="L1771" s="863"/>
      <c r="M1771" s="859"/>
      <c r="N1771" s="859"/>
      <c r="O1771" s="752">
        <f t="shared" si="234"/>
        <v>0</v>
      </c>
      <c r="P1771" s="862"/>
      <c r="Q1771" s="860"/>
      <c r="R1771" s="753">
        <f t="shared" si="237"/>
        <v>0</v>
      </c>
      <c r="S1771" s="752">
        <f t="shared" si="238"/>
        <v>0</v>
      </c>
      <c r="T1771" s="754">
        <f t="shared" si="239"/>
        <v>0</v>
      </c>
      <c r="U1771" s="859"/>
      <c r="V1771" s="863"/>
      <c r="W1771" s="859"/>
      <c r="X1771" s="859"/>
      <c r="Y1771" s="755">
        <f t="shared" si="235"/>
        <v>0</v>
      </c>
      <c r="Z1771" s="864"/>
      <c r="AA1771" s="863"/>
      <c r="AB1771" s="756">
        <f t="shared" si="236"/>
        <v>0</v>
      </c>
      <c r="AC1771" s="859"/>
      <c r="AD1771" s="863"/>
      <c r="AE1771" s="859"/>
      <c r="AF1771" s="859"/>
      <c r="AG1771" s="864"/>
      <c r="AH1771" s="865"/>
      <c r="AI1771" s="757">
        <f t="shared" si="240"/>
        <v>0</v>
      </c>
      <c r="AJ1771" s="758">
        <f t="shared" si="241"/>
        <v>0</v>
      </c>
    </row>
    <row r="1772" spans="1:36" x14ac:dyDescent="0.2">
      <c r="A1772" s="1056" t="s">
        <v>153</v>
      </c>
      <c r="B1772" s="1057" t="s">
        <v>218</v>
      </c>
      <c r="C1772" s="1062" t="s">
        <v>311</v>
      </c>
      <c r="D1772" s="1063"/>
      <c r="E1772" s="1060"/>
      <c r="F1772" s="1061"/>
      <c r="G1772" s="859"/>
      <c r="H1772" s="860"/>
      <c r="I1772" s="861"/>
      <c r="J1772" s="862"/>
      <c r="K1772" s="859"/>
      <c r="L1772" s="863"/>
      <c r="M1772" s="859"/>
      <c r="N1772" s="859"/>
      <c r="O1772" s="752">
        <f t="shared" si="234"/>
        <v>0</v>
      </c>
      <c r="P1772" s="862"/>
      <c r="Q1772" s="860"/>
      <c r="R1772" s="753">
        <f t="shared" si="237"/>
        <v>0</v>
      </c>
      <c r="S1772" s="752">
        <f t="shared" si="238"/>
        <v>0</v>
      </c>
      <c r="T1772" s="754">
        <f t="shared" si="239"/>
        <v>0</v>
      </c>
      <c r="U1772" s="859"/>
      <c r="V1772" s="863"/>
      <c r="W1772" s="859"/>
      <c r="X1772" s="859"/>
      <c r="Y1772" s="755">
        <f t="shared" si="235"/>
        <v>0</v>
      </c>
      <c r="Z1772" s="864"/>
      <c r="AA1772" s="863"/>
      <c r="AB1772" s="756">
        <f t="shared" si="236"/>
        <v>0</v>
      </c>
      <c r="AC1772" s="859"/>
      <c r="AD1772" s="863"/>
      <c r="AE1772" s="859"/>
      <c r="AF1772" s="859"/>
      <c r="AG1772" s="864"/>
      <c r="AH1772" s="865"/>
      <c r="AI1772" s="757">
        <f t="shared" si="240"/>
        <v>0</v>
      </c>
      <c r="AJ1772" s="758">
        <f t="shared" si="241"/>
        <v>0</v>
      </c>
    </row>
    <row r="1773" spans="1:36" x14ac:dyDescent="0.2">
      <c r="A1773" s="1056" t="s">
        <v>153</v>
      </c>
      <c r="B1773" s="1057" t="s">
        <v>251</v>
      </c>
      <c r="C1773" s="1062" t="s">
        <v>249</v>
      </c>
      <c r="D1773" s="1063"/>
      <c r="E1773" s="1060"/>
      <c r="F1773" s="1061"/>
      <c r="G1773" s="859"/>
      <c r="H1773" s="860"/>
      <c r="I1773" s="861"/>
      <c r="J1773" s="862"/>
      <c r="K1773" s="859"/>
      <c r="L1773" s="863"/>
      <c r="M1773" s="859"/>
      <c r="N1773" s="859"/>
      <c r="O1773" s="752">
        <f t="shared" si="234"/>
        <v>0</v>
      </c>
      <c r="P1773" s="862"/>
      <c r="Q1773" s="860"/>
      <c r="R1773" s="753">
        <f t="shared" si="237"/>
        <v>0</v>
      </c>
      <c r="S1773" s="752">
        <f t="shared" si="238"/>
        <v>0</v>
      </c>
      <c r="T1773" s="754">
        <f t="shared" si="239"/>
        <v>0</v>
      </c>
      <c r="U1773" s="859"/>
      <c r="V1773" s="863"/>
      <c r="W1773" s="859"/>
      <c r="X1773" s="859"/>
      <c r="Y1773" s="755">
        <f t="shared" si="235"/>
        <v>0</v>
      </c>
      <c r="Z1773" s="864"/>
      <c r="AA1773" s="863"/>
      <c r="AB1773" s="756">
        <f t="shared" si="236"/>
        <v>0</v>
      </c>
      <c r="AC1773" s="859"/>
      <c r="AD1773" s="863"/>
      <c r="AE1773" s="859"/>
      <c r="AF1773" s="859"/>
      <c r="AG1773" s="864"/>
      <c r="AH1773" s="865"/>
      <c r="AI1773" s="757">
        <f t="shared" si="240"/>
        <v>0</v>
      </c>
      <c r="AJ1773" s="758">
        <f t="shared" si="241"/>
        <v>0</v>
      </c>
    </row>
    <row r="1774" spans="1:36" x14ac:dyDescent="0.2">
      <c r="A1774" s="1022" t="s">
        <v>153</v>
      </c>
      <c r="B1774" s="1064" t="s">
        <v>293</v>
      </c>
      <c r="C1774" s="1065" t="s">
        <v>588</v>
      </c>
      <c r="D1774" s="1066"/>
      <c r="E1774" s="1040"/>
      <c r="F1774" s="1041"/>
      <c r="G1774" s="859"/>
      <c r="H1774" s="860"/>
      <c r="I1774" s="861"/>
      <c r="J1774" s="862"/>
      <c r="K1774" s="859"/>
      <c r="L1774" s="863"/>
      <c r="M1774" s="859"/>
      <c r="N1774" s="859"/>
      <c r="O1774" s="752">
        <f t="shared" si="234"/>
        <v>0</v>
      </c>
      <c r="P1774" s="862"/>
      <c r="Q1774" s="860"/>
      <c r="R1774" s="753">
        <f t="shared" si="237"/>
        <v>0</v>
      </c>
      <c r="S1774" s="752">
        <f t="shared" si="238"/>
        <v>0</v>
      </c>
      <c r="T1774" s="754">
        <f t="shared" si="239"/>
        <v>0</v>
      </c>
      <c r="U1774" s="859"/>
      <c r="V1774" s="863"/>
      <c r="W1774" s="859"/>
      <c r="X1774" s="859"/>
      <c r="Y1774" s="755">
        <f t="shared" si="235"/>
        <v>0</v>
      </c>
      <c r="Z1774" s="864"/>
      <c r="AA1774" s="863"/>
      <c r="AB1774" s="756">
        <f t="shared" si="236"/>
        <v>0</v>
      </c>
      <c r="AC1774" s="859"/>
      <c r="AD1774" s="863"/>
      <c r="AE1774" s="859"/>
      <c r="AF1774" s="859"/>
      <c r="AG1774" s="864"/>
      <c r="AH1774" s="865"/>
      <c r="AI1774" s="757">
        <f t="shared" si="240"/>
        <v>0</v>
      </c>
      <c r="AJ1774" s="758">
        <f t="shared" si="241"/>
        <v>0</v>
      </c>
    </row>
    <row r="1775" spans="1:36" x14ac:dyDescent="0.2">
      <c r="A1775" s="1022" t="s">
        <v>153</v>
      </c>
      <c r="B1775" s="1023" t="s">
        <v>293</v>
      </c>
      <c r="C1775" s="1044" t="s">
        <v>851</v>
      </c>
      <c r="D1775" s="1029"/>
      <c r="E1775" s="1040"/>
      <c r="F1775" s="1041"/>
      <c r="G1775" s="859"/>
      <c r="H1775" s="860"/>
      <c r="I1775" s="861"/>
      <c r="J1775" s="862"/>
      <c r="K1775" s="859"/>
      <c r="L1775" s="863"/>
      <c r="M1775" s="859"/>
      <c r="N1775" s="859"/>
      <c r="O1775" s="752">
        <f t="shared" si="234"/>
        <v>0</v>
      </c>
      <c r="P1775" s="862"/>
      <c r="Q1775" s="860"/>
      <c r="R1775" s="753">
        <f t="shared" si="237"/>
        <v>0</v>
      </c>
      <c r="S1775" s="752">
        <f t="shared" si="238"/>
        <v>0</v>
      </c>
      <c r="T1775" s="754">
        <f t="shared" si="239"/>
        <v>0</v>
      </c>
      <c r="U1775" s="859"/>
      <c r="V1775" s="863"/>
      <c r="W1775" s="859"/>
      <c r="X1775" s="859"/>
      <c r="Y1775" s="755">
        <f t="shared" si="235"/>
        <v>0</v>
      </c>
      <c r="Z1775" s="864"/>
      <c r="AA1775" s="863"/>
      <c r="AB1775" s="756">
        <f t="shared" si="236"/>
        <v>0</v>
      </c>
      <c r="AC1775" s="859"/>
      <c r="AD1775" s="863"/>
      <c r="AE1775" s="859"/>
      <c r="AF1775" s="859"/>
      <c r="AG1775" s="864"/>
      <c r="AH1775" s="865"/>
      <c r="AI1775" s="757">
        <f t="shared" si="240"/>
        <v>0</v>
      </c>
      <c r="AJ1775" s="758">
        <f t="shared" si="241"/>
        <v>0</v>
      </c>
    </row>
    <row r="1776" spans="1:36" x14ac:dyDescent="0.2">
      <c r="A1776" s="1022" t="s">
        <v>153</v>
      </c>
      <c r="B1776" s="1064" t="s">
        <v>252</v>
      </c>
      <c r="C1776" s="1045" t="s">
        <v>311</v>
      </c>
      <c r="D1776" s="1046"/>
      <c r="E1776" s="1040"/>
      <c r="F1776" s="1041"/>
      <c r="G1776" s="859"/>
      <c r="H1776" s="860"/>
      <c r="I1776" s="861"/>
      <c r="J1776" s="862"/>
      <c r="K1776" s="859"/>
      <c r="L1776" s="863"/>
      <c r="M1776" s="859"/>
      <c r="N1776" s="859"/>
      <c r="O1776" s="752">
        <f t="shared" si="234"/>
        <v>0</v>
      </c>
      <c r="P1776" s="862"/>
      <c r="Q1776" s="860"/>
      <c r="R1776" s="753">
        <f t="shared" si="237"/>
        <v>0</v>
      </c>
      <c r="S1776" s="752">
        <f t="shared" si="238"/>
        <v>0</v>
      </c>
      <c r="T1776" s="754">
        <f t="shared" si="239"/>
        <v>0</v>
      </c>
      <c r="U1776" s="859">
        <v>144455208</v>
      </c>
      <c r="V1776" s="863">
        <v>122372842</v>
      </c>
      <c r="W1776" s="859"/>
      <c r="X1776" s="859"/>
      <c r="Y1776" s="755">
        <f t="shared" si="235"/>
        <v>0</v>
      </c>
      <c r="Z1776" s="864"/>
      <c r="AA1776" s="863"/>
      <c r="AB1776" s="756">
        <f t="shared" si="236"/>
        <v>0</v>
      </c>
      <c r="AC1776" s="859"/>
      <c r="AD1776" s="863"/>
      <c r="AE1776" s="859"/>
      <c r="AF1776" s="859"/>
      <c r="AG1776" s="864"/>
      <c r="AH1776" s="865"/>
      <c r="AI1776" s="757">
        <f t="shared" si="240"/>
        <v>144455208</v>
      </c>
      <c r="AJ1776" s="758">
        <f t="shared" si="241"/>
        <v>122372842</v>
      </c>
    </row>
    <row r="1777" spans="1:36" x14ac:dyDescent="0.2">
      <c r="A1777" s="1022" t="s">
        <v>153</v>
      </c>
      <c r="B1777" s="1064" t="s">
        <v>253</v>
      </c>
      <c r="C1777" s="1045" t="s">
        <v>249</v>
      </c>
      <c r="D1777" s="1046"/>
      <c r="E1777" s="1040"/>
      <c r="F1777" s="1041"/>
      <c r="G1777" s="859"/>
      <c r="H1777" s="860"/>
      <c r="I1777" s="861"/>
      <c r="J1777" s="862"/>
      <c r="K1777" s="859"/>
      <c r="L1777" s="863"/>
      <c r="M1777" s="859"/>
      <c r="N1777" s="859"/>
      <c r="O1777" s="752">
        <f t="shared" si="234"/>
        <v>0</v>
      </c>
      <c r="P1777" s="862"/>
      <c r="Q1777" s="860"/>
      <c r="R1777" s="753">
        <f t="shared" si="237"/>
        <v>0</v>
      </c>
      <c r="S1777" s="752">
        <f t="shared" si="238"/>
        <v>0</v>
      </c>
      <c r="T1777" s="754">
        <f t="shared" si="239"/>
        <v>0</v>
      </c>
      <c r="U1777" s="859"/>
      <c r="V1777" s="863"/>
      <c r="W1777" s="859"/>
      <c r="X1777" s="859"/>
      <c r="Y1777" s="755">
        <f t="shared" si="235"/>
        <v>0</v>
      </c>
      <c r="Z1777" s="864"/>
      <c r="AA1777" s="863"/>
      <c r="AB1777" s="756">
        <f t="shared" si="236"/>
        <v>0</v>
      </c>
      <c r="AC1777" s="859"/>
      <c r="AD1777" s="863"/>
      <c r="AE1777" s="859"/>
      <c r="AF1777" s="859"/>
      <c r="AG1777" s="864"/>
      <c r="AH1777" s="865"/>
      <c r="AI1777" s="757">
        <f t="shared" si="240"/>
        <v>0</v>
      </c>
      <c r="AJ1777" s="758">
        <f t="shared" si="241"/>
        <v>0</v>
      </c>
    </row>
    <row r="1778" spans="1:36" x14ac:dyDescent="0.2">
      <c r="A1778" s="1022" t="s">
        <v>153</v>
      </c>
      <c r="B1778" s="1023" t="s">
        <v>293</v>
      </c>
      <c r="C1778" s="1044" t="s">
        <v>852</v>
      </c>
      <c r="D1778" s="1029"/>
      <c r="E1778" s="1040"/>
      <c r="F1778" s="1041"/>
      <c r="G1778" s="859"/>
      <c r="H1778" s="860"/>
      <c r="I1778" s="861"/>
      <c r="J1778" s="862"/>
      <c r="K1778" s="859"/>
      <c r="L1778" s="863"/>
      <c r="M1778" s="859"/>
      <c r="N1778" s="859"/>
      <c r="O1778" s="752">
        <f t="shared" si="234"/>
        <v>0</v>
      </c>
      <c r="P1778" s="862"/>
      <c r="Q1778" s="860"/>
      <c r="R1778" s="753">
        <f t="shared" si="237"/>
        <v>0</v>
      </c>
      <c r="S1778" s="752">
        <f t="shared" si="238"/>
        <v>0</v>
      </c>
      <c r="T1778" s="754">
        <f t="shared" si="239"/>
        <v>0</v>
      </c>
      <c r="U1778" s="859"/>
      <c r="V1778" s="863"/>
      <c r="W1778" s="859"/>
      <c r="X1778" s="859"/>
      <c r="Y1778" s="755">
        <f t="shared" si="235"/>
        <v>0</v>
      </c>
      <c r="Z1778" s="864"/>
      <c r="AA1778" s="863"/>
      <c r="AB1778" s="756">
        <f t="shared" si="236"/>
        <v>0</v>
      </c>
      <c r="AC1778" s="859"/>
      <c r="AD1778" s="863"/>
      <c r="AE1778" s="859"/>
      <c r="AF1778" s="859"/>
      <c r="AG1778" s="864"/>
      <c r="AH1778" s="865"/>
      <c r="AI1778" s="757">
        <f t="shared" si="240"/>
        <v>0</v>
      </c>
      <c r="AJ1778" s="758">
        <f t="shared" si="241"/>
        <v>0</v>
      </c>
    </row>
    <row r="1779" spans="1:36" x14ac:dyDescent="0.2">
      <c r="A1779" s="1022" t="s">
        <v>153</v>
      </c>
      <c r="B1779" s="1064" t="s">
        <v>252</v>
      </c>
      <c r="C1779" s="1045" t="s">
        <v>311</v>
      </c>
      <c r="D1779" s="1046"/>
      <c r="E1779" s="1040"/>
      <c r="F1779" s="1041"/>
      <c r="G1779" s="859"/>
      <c r="H1779" s="860"/>
      <c r="I1779" s="861"/>
      <c r="J1779" s="862"/>
      <c r="K1779" s="859"/>
      <c r="L1779" s="863"/>
      <c r="M1779" s="859"/>
      <c r="N1779" s="859"/>
      <c r="O1779" s="752">
        <f t="shared" si="234"/>
        <v>0</v>
      </c>
      <c r="P1779" s="862"/>
      <c r="Q1779" s="860"/>
      <c r="R1779" s="753">
        <f t="shared" si="237"/>
        <v>0</v>
      </c>
      <c r="S1779" s="752">
        <f t="shared" si="238"/>
        <v>0</v>
      </c>
      <c r="T1779" s="754">
        <f t="shared" si="239"/>
        <v>0</v>
      </c>
      <c r="U1779" s="859"/>
      <c r="V1779" s="863"/>
      <c r="W1779" s="859"/>
      <c r="X1779" s="859"/>
      <c r="Y1779" s="755">
        <f t="shared" si="235"/>
        <v>0</v>
      </c>
      <c r="Z1779" s="864"/>
      <c r="AA1779" s="863"/>
      <c r="AB1779" s="756">
        <f t="shared" si="236"/>
        <v>0</v>
      </c>
      <c r="AC1779" s="859"/>
      <c r="AD1779" s="863"/>
      <c r="AE1779" s="859"/>
      <c r="AF1779" s="859"/>
      <c r="AG1779" s="864"/>
      <c r="AH1779" s="865"/>
      <c r="AI1779" s="757">
        <f t="shared" si="240"/>
        <v>0</v>
      </c>
      <c r="AJ1779" s="758">
        <f t="shared" si="241"/>
        <v>0</v>
      </c>
    </row>
    <row r="1780" spans="1:36" x14ac:dyDescent="0.2">
      <c r="A1780" s="1022" t="s">
        <v>153</v>
      </c>
      <c r="B1780" s="1064" t="s">
        <v>253</v>
      </c>
      <c r="C1780" s="1045" t="s">
        <v>249</v>
      </c>
      <c r="D1780" s="1046"/>
      <c r="E1780" s="1040"/>
      <c r="F1780" s="1041"/>
      <c r="G1780" s="859"/>
      <c r="H1780" s="860"/>
      <c r="I1780" s="861"/>
      <c r="J1780" s="862"/>
      <c r="K1780" s="859"/>
      <c r="L1780" s="863"/>
      <c r="M1780" s="859"/>
      <c r="N1780" s="859"/>
      <c r="O1780" s="752">
        <f t="shared" si="234"/>
        <v>0</v>
      </c>
      <c r="P1780" s="862"/>
      <c r="Q1780" s="860"/>
      <c r="R1780" s="753">
        <f t="shared" si="237"/>
        <v>0</v>
      </c>
      <c r="S1780" s="752">
        <f t="shared" si="238"/>
        <v>0</v>
      </c>
      <c r="T1780" s="754">
        <f t="shared" si="239"/>
        <v>0</v>
      </c>
      <c r="U1780" s="859">
        <v>2193121</v>
      </c>
      <c r="V1780" s="863">
        <v>1220765</v>
      </c>
      <c r="W1780" s="859"/>
      <c r="X1780" s="859"/>
      <c r="Y1780" s="755">
        <f t="shared" si="235"/>
        <v>0</v>
      </c>
      <c r="Z1780" s="864"/>
      <c r="AA1780" s="863"/>
      <c r="AB1780" s="756">
        <f t="shared" si="236"/>
        <v>0</v>
      </c>
      <c r="AC1780" s="859"/>
      <c r="AD1780" s="863"/>
      <c r="AE1780" s="859"/>
      <c r="AF1780" s="859"/>
      <c r="AG1780" s="864"/>
      <c r="AH1780" s="865"/>
      <c r="AI1780" s="757">
        <f t="shared" si="240"/>
        <v>2193121</v>
      </c>
      <c r="AJ1780" s="758">
        <f t="shared" si="241"/>
        <v>1220765</v>
      </c>
    </row>
    <row r="1781" spans="1:36" x14ac:dyDescent="0.2">
      <c r="A1781" s="1022" t="s">
        <v>153</v>
      </c>
      <c r="B1781" s="1023" t="s">
        <v>293</v>
      </c>
      <c r="C1781" s="1044" t="s">
        <v>853</v>
      </c>
      <c r="D1781" s="1029"/>
      <c r="E1781" s="1040"/>
      <c r="F1781" s="1041"/>
      <c r="G1781" s="859"/>
      <c r="H1781" s="860"/>
      <c r="I1781" s="861"/>
      <c r="J1781" s="862"/>
      <c r="K1781" s="859"/>
      <c r="L1781" s="863"/>
      <c r="M1781" s="859"/>
      <c r="N1781" s="859"/>
      <c r="O1781" s="752">
        <f t="shared" si="234"/>
        <v>0</v>
      </c>
      <c r="P1781" s="862"/>
      <c r="Q1781" s="860"/>
      <c r="R1781" s="753">
        <f t="shared" si="237"/>
        <v>0</v>
      </c>
      <c r="S1781" s="752">
        <f t="shared" si="238"/>
        <v>0</v>
      </c>
      <c r="T1781" s="754">
        <f t="shared" si="239"/>
        <v>0</v>
      </c>
      <c r="U1781" s="859"/>
      <c r="V1781" s="863"/>
      <c r="W1781" s="859"/>
      <c r="X1781" s="859"/>
      <c r="Y1781" s="755">
        <f t="shared" si="235"/>
        <v>0</v>
      </c>
      <c r="Z1781" s="864"/>
      <c r="AA1781" s="863"/>
      <c r="AB1781" s="756">
        <f t="shared" si="236"/>
        <v>0</v>
      </c>
      <c r="AC1781" s="859"/>
      <c r="AD1781" s="863"/>
      <c r="AE1781" s="859"/>
      <c r="AF1781" s="859"/>
      <c r="AG1781" s="864"/>
      <c r="AH1781" s="865"/>
      <c r="AI1781" s="757">
        <f t="shared" si="240"/>
        <v>0</v>
      </c>
      <c r="AJ1781" s="758">
        <f t="shared" si="241"/>
        <v>0</v>
      </c>
    </row>
    <row r="1782" spans="1:36" x14ac:dyDescent="0.2">
      <c r="A1782" s="1067" t="s">
        <v>153</v>
      </c>
      <c r="B1782" s="1064" t="s">
        <v>252</v>
      </c>
      <c r="C1782" s="1045" t="s">
        <v>311</v>
      </c>
      <c r="D1782" s="1046"/>
      <c r="E1782" s="1040"/>
      <c r="F1782" s="1041"/>
      <c r="G1782" s="859"/>
      <c r="H1782" s="860"/>
      <c r="I1782" s="861"/>
      <c r="J1782" s="862"/>
      <c r="K1782" s="859"/>
      <c r="L1782" s="863"/>
      <c r="M1782" s="859"/>
      <c r="N1782" s="859"/>
      <c r="O1782" s="752">
        <f t="shared" si="234"/>
        <v>0</v>
      </c>
      <c r="P1782" s="862"/>
      <c r="Q1782" s="860"/>
      <c r="R1782" s="753">
        <f t="shared" si="237"/>
        <v>0</v>
      </c>
      <c r="S1782" s="752">
        <f t="shared" si="238"/>
        <v>0</v>
      </c>
      <c r="T1782" s="754">
        <f t="shared" si="239"/>
        <v>0</v>
      </c>
      <c r="U1782" s="859">
        <v>0</v>
      </c>
      <c r="V1782" s="863"/>
      <c r="W1782" s="859"/>
      <c r="X1782" s="859"/>
      <c r="Y1782" s="755">
        <f t="shared" si="235"/>
        <v>0</v>
      </c>
      <c r="Z1782" s="864"/>
      <c r="AA1782" s="863"/>
      <c r="AB1782" s="756">
        <f t="shared" si="236"/>
        <v>0</v>
      </c>
      <c r="AC1782" s="859"/>
      <c r="AD1782" s="863"/>
      <c r="AE1782" s="859"/>
      <c r="AF1782" s="859"/>
      <c r="AG1782" s="864"/>
      <c r="AH1782" s="865"/>
      <c r="AI1782" s="757">
        <f t="shared" si="240"/>
        <v>0</v>
      </c>
      <c r="AJ1782" s="758">
        <f t="shared" si="241"/>
        <v>0</v>
      </c>
    </row>
    <row r="1783" spans="1:36" x14ac:dyDescent="0.2">
      <c r="A1783" s="1067" t="s">
        <v>153</v>
      </c>
      <c r="B1783" s="1064" t="s">
        <v>253</v>
      </c>
      <c r="C1783" s="1045" t="s">
        <v>249</v>
      </c>
      <c r="D1783" s="1046"/>
      <c r="E1783" s="1040"/>
      <c r="F1783" s="1041"/>
      <c r="G1783" s="859"/>
      <c r="H1783" s="860"/>
      <c r="I1783" s="861"/>
      <c r="J1783" s="862"/>
      <c r="K1783" s="859"/>
      <c r="L1783" s="863"/>
      <c r="M1783" s="859"/>
      <c r="N1783" s="859"/>
      <c r="O1783" s="752">
        <f t="shared" si="234"/>
        <v>0</v>
      </c>
      <c r="P1783" s="862"/>
      <c r="Q1783" s="860"/>
      <c r="R1783" s="753">
        <f t="shared" si="237"/>
        <v>0</v>
      </c>
      <c r="S1783" s="752">
        <f t="shared" si="238"/>
        <v>0</v>
      </c>
      <c r="T1783" s="754">
        <f t="shared" si="239"/>
        <v>0</v>
      </c>
      <c r="U1783" s="859"/>
      <c r="V1783" s="863"/>
      <c r="W1783" s="859"/>
      <c r="X1783" s="859"/>
      <c r="Y1783" s="755">
        <f t="shared" si="235"/>
        <v>0</v>
      </c>
      <c r="Z1783" s="864"/>
      <c r="AA1783" s="863"/>
      <c r="AB1783" s="756">
        <f t="shared" si="236"/>
        <v>0</v>
      </c>
      <c r="AC1783" s="859"/>
      <c r="AD1783" s="863"/>
      <c r="AE1783" s="859"/>
      <c r="AF1783" s="859"/>
      <c r="AG1783" s="864"/>
      <c r="AH1783" s="865"/>
      <c r="AI1783" s="757">
        <f t="shared" si="240"/>
        <v>0</v>
      </c>
      <c r="AJ1783" s="758">
        <f t="shared" si="241"/>
        <v>0</v>
      </c>
    </row>
    <row r="1784" spans="1:36" x14ac:dyDescent="0.2">
      <c r="A1784" s="1022" t="s">
        <v>153</v>
      </c>
      <c r="B1784" s="1023" t="s">
        <v>293</v>
      </c>
      <c r="C1784" s="1044" t="s">
        <v>854</v>
      </c>
      <c r="D1784" s="1029"/>
      <c r="E1784" s="1040"/>
      <c r="F1784" s="1041"/>
      <c r="G1784" s="859"/>
      <c r="H1784" s="860"/>
      <c r="I1784" s="861"/>
      <c r="J1784" s="862"/>
      <c r="K1784" s="859"/>
      <c r="L1784" s="863"/>
      <c r="M1784" s="859"/>
      <c r="N1784" s="859"/>
      <c r="O1784" s="752">
        <f t="shared" si="234"/>
        <v>0</v>
      </c>
      <c r="P1784" s="862"/>
      <c r="Q1784" s="860"/>
      <c r="R1784" s="753">
        <f t="shared" si="237"/>
        <v>0</v>
      </c>
      <c r="S1784" s="752">
        <f t="shared" si="238"/>
        <v>0</v>
      </c>
      <c r="T1784" s="754">
        <f t="shared" si="239"/>
        <v>0</v>
      </c>
      <c r="U1784" s="859"/>
      <c r="V1784" s="863"/>
      <c r="W1784" s="859"/>
      <c r="X1784" s="859"/>
      <c r="Y1784" s="755">
        <f t="shared" si="235"/>
        <v>0</v>
      </c>
      <c r="Z1784" s="864"/>
      <c r="AA1784" s="863"/>
      <c r="AB1784" s="756">
        <f t="shared" si="236"/>
        <v>0</v>
      </c>
      <c r="AC1784" s="859"/>
      <c r="AD1784" s="863"/>
      <c r="AE1784" s="859"/>
      <c r="AF1784" s="859"/>
      <c r="AG1784" s="864"/>
      <c r="AH1784" s="865"/>
      <c r="AI1784" s="757">
        <f t="shared" si="240"/>
        <v>0</v>
      </c>
      <c r="AJ1784" s="758">
        <f t="shared" si="241"/>
        <v>0</v>
      </c>
    </row>
    <row r="1785" spans="1:36" x14ac:dyDescent="0.2">
      <c r="A1785" s="1022" t="s">
        <v>153</v>
      </c>
      <c r="B1785" s="1064" t="s">
        <v>252</v>
      </c>
      <c r="C1785" s="1045" t="s">
        <v>311</v>
      </c>
      <c r="D1785" s="1046"/>
      <c r="E1785" s="1040"/>
      <c r="F1785" s="1041"/>
      <c r="G1785" s="859"/>
      <c r="H1785" s="860"/>
      <c r="I1785" s="861"/>
      <c r="J1785" s="862"/>
      <c r="K1785" s="859"/>
      <c r="L1785" s="863"/>
      <c r="M1785" s="859"/>
      <c r="N1785" s="859"/>
      <c r="O1785" s="752">
        <f t="shared" si="234"/>
        <v>0</v>
      </c>
      <c r="P1785" s="862"/>
      <c r="Q1785" s="860"/>
      <c r="R1785" s="753">
        <f t="shared" si="237"/>
        <v>0</v>
      </c>
      <c r="S1785" s="752">
        <f t="shared" si="238"/>
        <v>0</v>
      </c>
      <c r="T1785" s="754">
        <f t="shared" si="239"/>
        <v>0</v>
      </c>
      <c r="U1785" s="859">
        <v>0</v>
      </c>
      <c r="V1785" s="863"/>
      <c r="W1785" s="859"/>
      <c r="X1785" s="859"/>
      <c r="Y1785" s="755">
        <f t="shared" si="235"/>
        <v>0</v>
      </c>
      <c r="Z1785" s="864"/>
      <c r="AA1785" s="863"/>
      <c r="AB1785" s="756">
        <f t="shared" si="236"/>
        <v>0</v>
      </c>
      <c r="AC1785" s="859"/>
      <c r="AD1785" s="863"/>
      <c r="AE1785" s="859"/>
      <c r="AF1785" s="859"/>
      <c r="AG1785" s="864"/>
      <c r="AH1785" s="865"/>
      <c r="AI1785" s="757">
        <f t="shared" si="240"/>
        <v>0</v>
      </c>
      <c r="AJ1785" s="758">
        <f t="shared" si="241"/>
        <v>0</v>
      </c>
    </row>
    <row r="1786" spans="1:36" x14ac:dyDescent="0.2">
      <c r="A1786" s="1022" t="s">
        <v>153</v>
      </c>
      <c r="B1786" s="1064" t="s">
        <v>253</v>
      </c>
      <c r="C1786" s="1045" t="s">
        <v>249</v>
      </c>
      <c r="D1786" s="1046"/>
      <c r="E1786" s="1040"/>
      <c r="F1786" s="1041"/>
      <c r="G1786" s="859"/>
      <c r="H1786" s="860"/>
      <c r="I1786" s="861"/>
      <c r="J1786" s="862"/>
      <c r="K1786" s="859"/>
      <c r="L1786" s="863"/>
      <c r="M1786" s="859"/>
      <c r="N1786" s="859"/>
      <c r="O1786" s="752">
        <f t="shared" si="234"/>
        <v>0</v>
      </c>
      <c r="P1786" s="862"/>
      <c r="Q1786" s="860"/>
      <c r="R1786" s="753">
        <f t="shared" si="237"/>
        <v>0</v>
      </c>
      <c r="S1786" s="752">
        <f t="shared" si="238"/>
        <v>0</v>
      </c>
      <c r="T1786" s="754">
        <f t="shared" si="239"/>
        <v>0</v>
      </c>
      <c r="U1786" s="859"/>
      <c r="V1786" s="863"/>
      <c r="W1786" s="859"/>
      <c r="X1786" s="859"/>
      <c r="Y1786" s="755">
        <f t="shared" si="235"/>
        <v>0</v>
      </c>
      <c r="Z1786" s="864"/>
      <c r="AA1786" s="863"/>
      <c r="AB1786" s="756">
        <f t="shared" si="236"/>
        <v>0</v>
      </c>
      <c r="AC1786" s="859"/>
      <c r="AD1786" s="863"/>
      <c r="AE1786" s="859"/>
      <c r="AF1786" s="859"/>
      <c r="AG1786" s="864"/>
      <c r="AH1786" s="865"/>
      <c r="AI1786" s="757">
        <f t="shared" si="240"/>
        <v>0</v>
      </c>
      <c r="AJ1786" s="758">
        <f t="shared" si="241"/>
        <v>0</v>
      </c>
    </row>
    <row r="1787" spans="1:36" x14ac:dyDescent="0.2">
      <c r="A1787" s="1022" t="s">
        <v>153</v>
      </c>
      <c r="B1787" s="1023" t="s">
        <v>293</v>
      </c>
      <c r="C1787" s="1044" t="s">
        <v>855</v>
      </c>
      <c r="D1787" s="1029"/>
      <c r="E1787" s="1040"/>
      <c r="F1787" s="1041"/>
      <c r="G1787" s="859"/>
      <c r="H1787" s="860"/>
      <c r="I1787" s="861"/>
      <c r="J1787" s="862"/>
      <c r="K1787" s="859"/>
      <c r="L1787" s="863"/>
      <c r="M1787" s="859"/>
      <c r="N1787" s="859"/>
      <c r="O1787" s="752">
        <f t="shared" si="234"/>
        <v>0</v>
      </c>
      <c r="P1787" s="862"/>
      <c r="Q1787" s="860"/>
      <c r="R1787" s="753">
        <f t="shared" si="237"/>
        <v>0</v>
      </c>
      <c r="S1787" s="752">
        <f t="shared" si="238"/>
        <v>0</v>
      </c>
      <c r="T1787" s="754">
        <f t="shared" si="239"/>
        <v>0</v>
      </c>
      <c r="U1787" s="859"/>
      <c r="V1787" s="863"/>
      <c r="W1787" s="859"/>
      <c r="X1787" s="859"/>
      <c r="Y1787" s="755">
        <f t="shared" si="235"/>
        <v>0</v>
      </c>
      <c r="Z1787" s="864"/>
      <c r="AA1787" s="863"/>
      <c r="AB1787" s="756">
        <f t="shared" si="236"/>
        <v>0</v>
      </c>
      <c r="AC1787" s="859"/>
      <c r="AD1787" s="863"/>
      <c r="AE1787" s="859"/>
      <c r="AF1787" s="859"/>
      <c r="AG1787" s="864"/>
      <c r="AH1787" s="865"/>
      <c r="AI1787" s="757">
        <f t="shared" si="240"/>
        <v>0</v>
      </c>
      <c r="AJ1787" s="758">
        <f t="shared" si="241"/>
        <v>0</v>
      </c>
    </row>
    <row r="1788" spans="1:36" x14ac:dyDescent="0.2">
      <c r="A1788" s="1022" t="s">
        <v>153</v>
      </c>
      <c r="B1788" s="1023" t="s">
        <v>252</v>
      </c>
      <c r="C1788" s="1028" t="s">
        <v>311</v>
      </c>
      <c r="D1788" s="1029"/>
      <c r="E1788" s="1040"/>
      <c r="F1788" s="1041"/>
      <c r="G1788" s="859"/>
      <c r="H1788" s="860"/>
      <c r="I1788" s="861"/>
      <c r="J1788" s="862"/>
      <c r="K1788" s="859"/>
      <c r="L1788" s="863"/>
      <c r="M1788" s="859"/>
      <c r="N1788" s="859"/>
      <c r="O1788" s="752">
        <f t="shared" si="234"/>
        <v>0</v>
      </c>
      <c r="P1788" s="862"/>
      <c r="Q1788" s="860"/>
      <c r="R1788" s="753">
        <f t="shared" si="237"/>
        <v>0</v>
      </c>
      <c r="S1788" s="752">
        <f t="shared" si="238"/>
        <v>0</v>
      </c>
      <c r="T1788" s="754">
        <f t="shared" si="239"/>
        <v>0</v>
      </c>
      <c r="U1788" s="859"/>
      <c r="V1788" s="863"/>
      <c r="W1788" s="859"/>
      <c r="X1788" s="859"/>
      <c r="Y1788" s="755">
        <f t="shared" si="235"/>
        <v>0</v>
      </c>
      <c r="Z1788" s="864"/>
      <c r="AA1788" s="863"/>
      <c r="AB1788" s="756">
        <f t="shared" si="236"/>
        <v>0</v>
      </c>
      <c r="AC1788" s="859"/>
      <c r="AD1788" s="863"/>
      <c r="AE1788" s="859"/>
      <c r="AF1788" s="859"/>
      <c r="AG1788" s="864"/>
      <c r="AH1788" s="865"/>
      <c r="AI1788" s="757">
        <f t="shared" si="240"/>
        <v>0</v>
      </c>
      <c r="AJ1788" s="758">
        <f t="shared" si="241"/>
        <v>0</v>
      </c>
    </row>
    <row r="1789" spans="1:36" x14ac:dyDescent="0.2">
      <c r="A1789" s="1022" t="s">
        <v>153</v>
      </c>
      <c r="B1789" s="1023" t="s">
        <v>253</v>
      </c>
      <c r="C1789" s="1028" t="s">
        <v>249</v>
      </c>
      <c r="D1789" s="1029"/>
      <c r="E1789" s="1040"/>
      <c r="F1789" s="1041"/>
      <c r="G1789" s="859"/>
      <c r="H1789" s="860"/>
      <c r="I1789" s="861"/>
      <c r="J1789" s="862"/>
      <c r="K1789" s="859"/>
      <c r="L1789" s="863"/>
      <c r="M1789" s="859"/>
      <c r="N1789" s="859"/>
      <c r="O1789" s="752">
        <f t="shared" si="234"/>
        <v>0</v>
      </c>
      <c r="P1789" s="862"/>
      <c r="Q1789" s="860"/>
      <c r="R1789" s="753">
        <f t="shared" si="237"/>
        <v>0</v>
      </c>
      <c r="S1789" s="752">
        <f t="shared" si="238"/>
        <v>0</v>
      </c>
      <c r="T1789" s="754">
        <f t="shared" si="239"/>
        <v>0</v>
      </c>
      <c r="U1789" s="859">
        <v>3258000</v>
      </c>
      <c r="V1789" s="863">
        <v>3258000</v>
      </c>
      <c r="W1789" s="859"/>
      <c r="X1789" s="859"/>
      <c r="Y1789" s="755">
        <f t="shared" si="235"/>
        <v>0</v>
      </c>
      <c r="Z1789" s="864"/>
      <c r="AA1789" s="863"/>
      <c r="AB1789" s="756">
        <f t="shared" si="236"/>
        <v>0</v>
      </c>
      <c r="AC1789" s="859"/>
      <c r="AD1789" s="863"/>
      <c r="AE1789" s="859"/>
      <c r="AF1789" s="859"/>
      <c r="AG1789" s="864"/>
      <c r="AH1789" s="865"/>
      <c r="AI1789" s="757">
        <f t="shared" si="240"/>
        <v>3258000</v>
      </c>
      <c r="AJ1789" s="758">
        <f t="shared" si="241"/>
        <v>3258000</v>
      </c>
    </row>
    <row r="1790" spans="1:36" x14ac:dyDescent="0.2">
      <c r="A1790" s="1022" t="s">
        <v>153</v>
      </c>
      <c r="B1790" s="1023" t="s">
        <v>294</v>
      </c>
      <c r="C1790" s="1042" t="s">
        <v>307</v>
      </c>
      <c r="D1790" s="1043"/>
      <c r="E1790" s="1040"/>
      <c r="F1790" s="1041"/>
      <c r="G1790" s="859"/>
      <c r="H1790" s="860"/>
      <c r="I1790" s="861"/>
      <c r="J1790" s="862"/>
      <c r="K1790" s="859"/>
      <c r="L1790" s="863"/>
      <c r="M1790" s="859"/>
      <c r="N1790" s="859"/>
      <c r="O1790" s="752">
        <f t="shared" si="234"/>
        <v>0</v>
      </c>
      <c r="P1790" s="862"/>
      <c r="Q1790" s="860"/>
      <c r="R1790" s="753">
        <f t="shared" si="237"/>
        <v>0</v>
      </c>
      <c r="S1790" s="752">
        <f t="shared" si="238"/>
        <v>0</v>
      </c>
      <c r="T1790" s="754">
        <f t="shared" si="239"/>
        <v>0</v>
      </c>
      <c r="U1790" s="859"/>
      <c r="V1790" s="863"/>
      <c r="W1790" s="859"/>
      <c r="X1790" s="859"/>
      <c r="Y1790" s="755">
        <f t="shared" si="235"/>
        <v>0</v>
      </c>
      <c r="Z1790" s="864"/>
      <c r="AA1790" s="863"/>
      <c r="AB1790" s="756">
        <f t="shared" si="236"/>
        <v>0</v>
      </c>
      <c r="AC1790" s="859"/>
      <c r="AD1790" s="863"/>
      <c r="AE1790" s="859"/>
      <c r="AF1790" s="859"/>
      <c r="AG1790" s="864"/>
      <c r="AH1790" s="865"/>
      <c r="AI1790" s="757">
        <f t="shared" si="240"/>
        <v>0</v>
      </c>
      <c r="AJ1790" s="758">
        <f t="shared" si="241"/>
        <v>0</v>
      </c>
    </row>
    <row r="1791" spans="1:36" x14ac:dyDescent="0.2">
      <c r="A1791" s="1022" t="s">
        <v>153</v>
      </c>
      <c r="B1791" s="1023" t="s">
        <v>294</v>
      </c>
      <c r="C1791" s="1044" t="s">
        <v>856</v>
      </c>
      <c r="D1791" s="1029"/>
      <c r="E1791" s="1040"/>
      <c r="F1791" s="1041"/>
      <c r="G1791" s="859"/>
      <c r="H1791" s="860"/>
      <c r="I1791" s="861"/>
      <c r="J1791" s="862"/>
      <c r="K1791" s="859"/>
      <c r="L1791" s="863"/>
      <c r="M1791" s="859"/>
      <c r="N1791" s="859"/>
      <c r="O1791" s="752">
        <f t="shared" si="234"/>
        <v>0</v>
      </c>
      <c r="P1791" s="862"/>
      <c r="Q1791" s="860"/>
      <c r="R1791" s="753">
        <f t="shared" si="237"/>
        <v>0</v>
      </c>
      <c r="S1791" s="752">
        <f t="shared" si="238"/>
        <v>0</v>
      </c>
      <c r="T1791" s="754">
        <f t="shared" si="239"/>
        <v>0</v>
      </c>
      <c r="U1791" s="859"/>
      <c r="V1791" s="863"/>
      <c r="W1791" s="859"/>
      <c r="X1791" s="859"/>
      <c r="Y1791" s="755">
        <f t="shared" si="235"/>
        <v>0</v>
      </c>
      <c r="Z1791" s="864"/>
      <c r="AA1791" s="863"/>
      <c r="AB1791" s="756">
        <f t="shared" si="236"/>
        <v>0</v>
      </c>
      <c r="AC1791" s="859"/>
      <c r="AD1791" s="863"/>
      <c r="AE1791" s="859"/>
      <c r="AF1791" s="859"/>
      <c r="AG1791" s="864"/>
      <c r="AH1791" s="865"/>
      <c r="AI1791" s="757">
        <f t="shared" si="240"/>
        <v>0</v>
      </c>
      <c r="AJ1791" s="758">
        <f t="shared" si="241"/>
        <v>0</v>
      </c>
    </row>
    <row r="1792" spans="1:36" x14ac:dyDescent="0.2">
      <c r="A1792" s="1022" t="s">
        <v>153</v>
      </c>
      <c r="B1792" s="1064" t="s">
        <v>254</v>
      </c>
      <c r="C1792" s="1045" t="s">
        <v>311</v>
      </c>
      <c r="D1792" s="1046"/>
      <c r="E1792" s="1040"/>
      <c r="F1792" s="1041"/>
      <c r="G1792" s="859"/>
      <c r="H1792" s="860"/>
      <c r="I1792" s="861"/>
      <c r="J1792" s="862"/>
      <c r="K1792" s="859"/>
      <c r="L1792" s="863"/>
      <c r="M1792" s="859"/>
      <c r="N1792" s="859"/>
      <c r="O1792" s="752">
        <f t="shared" si="234"/>
        <v>0</v>
      </c>
      <c r="P1792" s="862"/>
      <c r="Q1792" s="860"/>
      <c r="R1792" s="753">
        <f t="shared" si="237"/>
        <v>0</v>
      </c>
      <c r="S1792" s="752">
        <f t="shared" si="238"/>
        <v>0</v>
      </c>
      <c r="T1792" s="754">
        <f t="shared" si="239"/>
        <v>0</v>
      </c>
      <c r="U1792" s="859"/>
      <c r="V1792" s="863"/>
      <c r="W1792" s="859"/>
      <c r="X1792" s="859"/>
      <c r="Y1792" s="755">
        <f t="shared" si="235"/>
        <v>0</v>
      </c>
      <c r="Z1792" s="864"/>
      <c r="AA1792" s="863"/>
      <c r="AB1792" s="756">
        <f t="shared" si="236"/>
        <v>0</v>
      </c>
      <c r="AC1792" s="859"/>
      <c r="AD1792" s="863"/>
      <c r="AE1792" s="859"/>
      <c r="AF1792" s="859"/>
      <c r="AG1792" s="864"/>
      <c r="AH1792" s="865"/>
      <c r="AI1792" s="757">
        <f t="shared" si="240"/>
        <v>0</v>
      </c>
      <c r="AJ1792" s="758">
        <f t="shared" si="241"/>
        <v>0</v>
      </c>
    </row>
    <row r="1793" spans="1:36" x14ac:dyDescent="0.2">
      <c r="A1793" s="1022" t="s">
        <v>153</v>
      </c>
      <c r="B1793" s="1064" t="s">
        <v>255</v>
      </c>
      <c r="C1793" s="1045" t="s">
        <v>249</v>
      </c>
      <c r="D1793" s="1046"/>
      <c r="E1793" s="1040"/>
      <c r="F1793" s="1041"/>
      <c r="G1793" s="859"/>
      <c r="H1793" s="860"/>
      <c r="I1793" s="861"/>
      <c r="J1793" s="862"/>
      <c r="K1793" s="859"/>
      <c r="L1793" s="863"/>
      <c r="M1793" s="859"/>
      <c r="N1793" s="859"/>
      <c r="O1793" s="752">
        <f t="shared" si="234"/>
        <v>0</v>
      </c>
      <c r="P1793" s="862"/>
      <c r="Q1793" s="860"/>
      <c r="R1793" s="753">
        <f t="shared" si="237"/>
        <v>0</v>
      </c>
      <c r="S1793" s="752">
        <f t="shared" si="238"/>
        <v>0</v>
      </c>
      <c r="T1793" s="754">
        <f t="shared" si="239"/>
        <v>0</v>
      </c>
      <c r="U1793" s="859"/>
      <c r="V1793" s="863"/>
      <c r="W1793" s="859"/>
      <c r="X1793" s="859"/>
      <c r="Y1793" s="755">
        <f t="shared" si="235"/>
        <v>0</v>
      </c>
      <c r="Z1793" s="864"/>
      <c r="AA1793" s="863"/>
      <c r="AB1793" s="756">
        <f t="shared" si="236"/>
        <v>0</v>
      </c>
      <c r="AC1793" s="859"/>
      <c r="AD1793" s="863"/>
      <c r="AE1793" s="859"/>
      <c r="AF1793" s="859"/>
      <c r="AG1793" s="864"/>
      <c r="AH1793" s="865"/>
      <c r="AI1793" s="757">
        <f t="shared" si="240"/>
        <v>0</v>
      </c>
      <c r="AJ1793" s="758">
        <f t="shared" si="241"/>
        <v>0</v>
      </c>
    </row>
    <row r="1794" spans="1:36" x14ac:dyDescent="0.2">
      <c r="A1794" s="1056" t="s">
        <v>153</v>
      </c>
      <c r="B1794" s="1057" t="s">
        <v>294</v>
      </c>
      <c r="C1794" s="1058" t="s">
        <v>857</v>
      </c>
      <c r="D1794" s="1059"/>
      <c r="E1794" s="1060"/>
      <c r="F1794" s="1061"/>
      <c r="G1794" s="859"/>
      <c r="H1794" s="860"/>
      <c r="I1794" s="861"/>
      <c r="J1794" s="862"/>
      <c r="K1794" s="859"/>
      <c r="L1794" s="863"/>
      <c r="M1794" s="859"/>
      <c r="N1794" s="859"/>
      <c r="O1794" s="752">
        <f t="shared" si="234"/>
        <v>0</v>
      </c>
      <c r="P1794" s="862"/>
      <c r="Q1794" s="860"/>
      <c r="R1794" s="753">
        <f t="shared" si="237"/>
        <v>0</v>
      </c>
      <c r="S1794" s="752">
        <f t="shared" si="238"/>
        <v>0</v>
      </c>
      <c r="T1794" s="754">
        <f t="shared" si="239"/>
        <v>0</v>
      </c>
      <c r="U1794" s="859"/>
      <c r="V1794" s="863"/>
      <c r="W1794" s="859"/>
      <c r="X1794" s="859"/>
      <c r="Y1794" s="755">
        <f t="shared" si="235"/>
        <v>0</v>
      </c>
      <c r="Z1794" s="864"/>
      <c r="AA1794" s="863"/>
      <c r="AB1794" s="756">
        <f t="shared" si="236"/>
        <v>0</v>
      </c>
      <c r="AC1794" s="859"/>
      <c r="AD1794" s="863"/>
      <c r="AE1794" s="859"/>
      <c r="AF1794" s="859"/>
      <c r="AG1794" s="864"/>
      <c r="AH1794" s="865"/>
      <c r="AI1794" s="757">
        <f t="shared" si="240"/>
        <v>0</v>
      </c>
      <c r="AJ1794" s="758">
        <f t="shared" si="241"/>
        <v>0</v>
      </c>
    </row>
    <row r="1795" spans="1:36" x14ac:dyDescent="0.2">
      <c r="A1795" s="1056" t="s">
        <v>153</v>
      </c>
      <c r="B1795" s="1068" t="s">
        <v>254</v>
      </c>
      <c r="C1795" s="1062" t="s">
        <v>311</v>
      </c>
      <c r="D1795" s="1063"/>
      <c r="E1795" s="1060"/>
      <c r="F1795" s="1061"/>
      <c r="G1795" s="859"/>
      <c r="H1795" s="860"/>
      <c r="I1795" s="861"/>
      <c r="J1795" s="862"/>
      <c r="K1795" s="859"/>
      <c r="L1795" s="863"/>
      <c r="M1795" s="859"/>
      <c r="N1795" s="859"/>
      <c r="O1795" s="752">
        <f t="shared" si="234"/>
        <v>0</v>
      </c>
      <c r="P1795" s="862"/>
      <c r="Q1795" s="860"/>
      <c r="R1795" s="753">
        <f t="shared" si="237"/>
        <v>0</v>
      </c>
      <c r="S1795" s="752">
        <f t="shared" si="238"/>
        <v>0</v>
      </c>
      <c r="T1795" s="754">
        <f t="shared" si="239"/>
        <v>0</v>
      </c>
      <c r="U1795" s="859">
        <v>86351547</v>
      </c>
      <c r="V1795" s="863">
        <v>86351588</v>
      </c>
      <c r="W1795" s="859"/>
      <c r="X1795" s="859"/>
      <c r="Y1795" s="755">
        <f t="shared" si="235"/>
        <v>0</v>
      </c>
      <c r="Z1795" s="864"/>
      <c r="AA1795" s="863"/>
      <c r="AB1795" s="756">
        <f t="shared" si="236"/>
        <v>0</v>
      </c>
      <c r="AC1795" s="859"/>
      <c r="AD1795" s="863"/>
      <c r="AE1795" s="859"/>
      <c r="AF1795" s="859"/>
      <c r="AG1795" s="864"/>
      <c r="AH1795" s="865"/>
      <c r="AI1795" s="757">
        <f t="shared" si="240"/>
        <v>86351547</v>
      </c>
      <c r="AJ1795" s="758">
        <f t="shared" si="241"/>
        <v>86351588</v>
      </c>
    </row>
    <row r="1796" spans="1:36" x14ac:dyDescent="0.2">
      <c r="A1796" s="1056" t="s">
        <v>153</v>
      </c>
      <c r="B1796" s="1068" t="s">
        <v>255</v>
      </c>
      <c r="C1796" s="1062" t="s">
        <v>249</v>
      </c>
      <c r="D1796" s="1063"/>
      <c r="E1796" s="1060"/>
      <c r="F1796" s="1061"/>
      <c r="G1796" s="859"/>
      <c r="H1796" s="860"/>
      <c r="I1796" s="861"/>
      <c r="J1796" s="862"/>
      <c r="K1796" s="859"/>
      <c r="L1796" s="863"/>
      <c r="M1796" s="859"/>
      <c r="N1796" s="859"/>
      <c r="O1796" s="752">
        <f t="shared" si="234"/>
        <v>0</v>
      </c>
      <c r="P1796" s="862"/>
      <c r="Q1796" s="860"/>
      <c r="R1796" s="753">
        <f t="shared" si="237"/>
        <v>0</v>
      </c>
      <c r="S1796" s="752">
        <f t="shared" si="238"/>
        <v>0</v>
      </c>
      <c r="T1796" s="754">
        <f t="shared" si="239"/>
        <v>0</v>
      </c>
      <c r="U1796" s="859"/>
      <c r="V1796" s="863"/>
      <c r="W1796" s="859"/>
      <c r="X1796" s="859"/>
      <c r="Y1796" s="755">
        <f t="shared" si="235"/>
        <v>0</v>
      </c>
      <c r="Z1796" s="864"/>
      <c r="AA1796" s="863"/>
      <c r="AB1796" s="756">
        <f t="shared" si="236"/>
        <v>0</v>
      </c>
      <c r="AC1796" s="859"/>
      <c r="AD1796" s="863"/>
      <c r="AE1796" s="859"/>
      <c r="AF1796" s="859"/>
      <c r="AG1796" s="864"/>
      <c r="AH1796" s="865"/>
      <c r="AI1796" s="757">
        <f t="shared" si="240"/>
        <v>0</v>
      </c>
      <c r="AJ1796" s="758">
        <f t="shared" si="241"/>
        <v>0</v>
      </c>
    </row>
    <row r="1797" spans="1:36" x14ac:dyDescent="0.2">
      <c r="A1797" s="1022" t="s">
        <v>153</v>
      </c>
      <c r="B1797" s="1023" t="s">
        <v>294</v>
      </c>
      <c r="C1797" s="1044" t="s">
        <v>858</v>
      </c>
      <c r="D1797" s="1029"/>
      <c r="E1797" s="1040"/>
      <c r="F1797" s="1041"/>
      <c r="G1797" s="859"/>
      <c r="H1797" s="860"/>
      <c r="I1797" s="861"/>
      <c r="J1797" s="862"/>
      <c r="K1797" s="859"/>
      <c r="L1797" s="863"/>
      <c r="M1797" s="859"/>
      <c r="N1797" s="859"/>
      <c r="O1797" s="752">
        <f t="shared" si="234"/>
        <v>0</v>
      </c>
      <c r="P1797" s="862"/>
      <c r="Q1797" s="860"/>
      <c r="R1797" s="753">
        <f t="shared" si="237"/>
        <v>0</v>
      </c>
      <c r="S1797" s="752">
        <f t="shared" si="238"/>
        <v>0</v>
      </c>
      <c r="T1797" s="754">
        <f t="shared" si="239"/>
        <v>0</v>
      </c>
      <c r="U1797" s="859"/>
      <c r="V1797" s="863"/>
      <c r="W1797" s="859"/>
      <c r="X1797" s="859"/>
      <c r="Y1797" s="755">
        <f t="shared" si="235"/>
        <v>0</v>
      </c>
      <c r="Z1797" s="864"/>
      <c r="AA1797" s="863"/>
      <c r="AB1797" s="756">
        <f t="shared" si="236"/>
        <v>0</v>
      </c>
      <c r="AC1797" s="859"/>
      <c r="AD1797" s="863"/>
      <c r="AE1797" s="859"/>
      <c r="AF1797" s="859"/>
      <c r="AG1797" s="864"/>
      <c r="AH1797" s="865"/>
      <c r="AI1797" s="757">
        <f t="shared" si="240"/>
        <v>0</v>
      </c>
      <c r="AJ1797" s="758">
        <f t="shared" si="241"/>
        <v>0</v>
      </c>
    </row>
    <row r="1798" spans="1:36" x14ac:dyDescent="0.2">
      <c r="A1798" s="1022" t="s">
        <v>153</v>
      </c>
      <c r="B1798" s="1064" t="s">
        <v>254</v>
      </c>
      <c r="C1798" s="1045" t="s">
        <v>311</v>
      </c>
      <c r="D1798" s="1046"/>
      <c r="E1798" s="1040"/>
      <c r="F1798" s="1041"/>
      <c r="G1798" s="859"/>
      <c r="H1798" s="860"/>
      <c r="I1798" s="861"/>
      <c r="J1798" s="862"/>
      <c r="K1798" s="859"/>
      <c r="L1798" s="863"/>
      <c r="M1798" s="859"/>
      <c r="N1798" s="859"/>
      <c r="O1798" s="752">
        <f t="shared" si="234"/>
        <v>0</v>
      </c>
      <c r="P1798" s="862"/>
      <c r="Q1798" s="860"/>
      <c r="R1798" s="753">
        <f t="shared" si="237"/>
        <v>0</v>
      </c>
      <c r="S1798" s="752">
        <f t="shared" si="238"/>
        <v>0</v>
      </c>
      <c r="T1798" s="754">
        <f t="shared" si="239"/>
        <v>0</v>
      </c>
      <c r="U1798" s="859"/>
      <c r="V1798" s="863"/>
      <c r="W1798" s="859"/>
      <c r="X1798" s="859"/>
      <c r="Y1798" s="755">
        <f t="shared" si="235"/>
        <v>0</v>
      </c>
      <c r="Z1798" s="864"/>
      <c r="AA1798" s="863"/>
      <c r="AB1798" s="756">
        <f t="shared" si="236"/>
        <v>0</v>
      </c>
      <c r="AC1798" s="859"/>
      <c r="AD1798" s="863"/>
      <c r="AE1798" s="859"/>
      <c r="AF1798" s="859"/>
      <c r="AG1798" s="864"/>
      <c r="AH1798" s="865"/>
      <c r="AI1798" s="757">
        <f t="shared" si="240"/>
        <v>0</v>
      </c>
      <c r="AJ1798" s="758">
        <f t="shared" si="241"/>
        <v>0</v>
      </c>
    </row>
    <row r="1799" spans="1:36" x14ac:dyDescent="0.2">
      <c r="A1799" s="1022" t="s">
        <v>153</v>
      </c>
      <c r="B1799" s="1064" t="s">
        <v>255</v>
      </c>
      <c r="C1799" s="1045" t="s">
        <v>249</v>
      </c>
      <c r="D1799" s="1046"/>
      <c r="E1799" s="1040"/>
      <c r="F1799" s="1041"/>
      <c r="G1799" s="859"/>
      <c r="H1799" s="860"/>
      <c r="I1799" s="861"/>
      <c r="J1799" s="862"/>
      <c r="K1799" s="859"/>
      <c r="L1799" s="863"/>
      <c r="M1799" s="859"/>
      <c r="N1799" s="859"/>
      <c r="O1799" s="752">
        <f t="shared" si="234"/>
        <v>0</v>
      </c>
      <c r="P1799" s="862"/>
      <c r="Q1799" s="860"/>
      <c r="R1799" s="753">
        <f t="shared" si="237"/>
        <v>0</v>
      </c>
      <c r="S1799" s="752">
        <f t="shared" si="238"/>
        <v>0</v>
      </c>
      <c r="T1799" s="754">
        <f t="shared" si="239"/>
        <v>0</v>
      </c>
      <c r="U1799" s="859"/>
      <c r="V1799" s="863"/>
      <c r="W1799" s="859"/>
      <c r="X1799" s="859"/>
      <c r="Y1799" s="755">
        <f t="shared" si="235"/>
        <v>0</v>
      </c>
      <c r="Z1799" s="864"/>
      <c r="AA1799" s="863"/>
      <c r="AB1799" s="756">
        <f t="shared" si="236"/>
        <v>0</v>
      </c>
      <c r="AC1799" s="859"/>
      <c r="AD1799" s="863"/>
      <c r="AE1799" s="859"/>
      <c r="AF1799" s="859"/>
      <c r="AG1799" s="864"/>
      <c r="AH1799" s="865"/>
      <c r="AI1799" s="757">
        <f t="shared" si="240"/>
        <v>0</v>
      </c>
      <c r="AJ1799" s="758">
        <f t="shared" si="241"/>
        <v>0</v>
      </c>
    </row>
    <row r="1800" spans="1:36" x14ac:dyDescent="0.2">
      <c r="A1800" s="1300" t="s">
        <v>153</v>
      </c>
      <c r="B1800" s="1218" t="s">
        <v>264</v>
      </c>
      <c r="C1800" s="1218" t="s">
        <v>1299</v>
      </c>
      <c r="D1800" s="1242"/>
      <c r="E1800" s="1221">
        <v>197887</v>
      </c>
      <c r="F1800" s="1222">
        <v>8</v>
      </c>
      <c r="G1800" s="859">
        <v>22260342</v>
      </c>
      <c r="H1800" s="860">
        <v>21678608</v>
      </c>
      <c r="I1800" s="861"/>
      <c r="J1800" s="862"/>
      <c r="K1800" s="859">
        <v>8552201</v>
      </c>
      <c r="L1800" s="1301">
        <v>8377999</v>
      </c>
      <c r="M1800" s="859">
        <v>10145608</v>
      </c>
      <c r="N1800" s="859"/>
      <c r="O1800" s="752">
        <f t="shared" si="234"/>
        <v>10145608</v>
      </c>
      <c r="P1800" s="1302">
        <v>11368277</v>
      </c>
      <c r="Q1800" s="860"/>
      <c r="R1800" s="753">
        <f t="shared" si="237"/>
        <v>11368277</v>
      </c>
      <c r="S1800" s="752">
        <f t="shared" si="238"/>
        <v>40958151</v>
      </c>
      <c r="T1800" s="754">
        <f t="shared" si="239"/>
        <v>41424884</v>
      </c>
      <c r="U1800" s="859"/>
      <c r="V1800" s="863"/>
      <c r="W1800" s="859"/>
      <c r="X1800" s="859"/>
      <c r="Y1800" s="755">
        <f t="shared" si="235"/>
        <v>0</v>
      </c>
      <c r="Z1800" s="864"/>
      <c r="AA1800" s="863"/>
      <c r="AB1800" s="756">
        <f t="shared" si="236"/>
        <v>0</v>
      </c>
      <c r="AC1800" s="859"/>
      <c r="AD1800" s="863"/>
      <c r="AE1800" s="859"/>
      <c r="AF1800" s="859"/>
      <c r="AG1800" s="864"/>
      <c r="AH1800" s="865"/>
      <c r="AI1800" s="757">
        <f t="shared" si="240"/>
        <v>40958151</v>
      </c>
      <c r="AJ1800" s="758">
        <f t="shared" si="241"/>
        <v>41424884</v>
      </c>
    </row>
    <row r="1801" spans="1:36" x14ac:dyDescent="0.2">
      <c r="A1801" s="1217" t="s">
        <v>153</v>
      </c>
      <c r="B1801" s="1218" t="s">
        <v>264</v>
      </c>
      <c r="C1801" s="1223" t="s">
        <v>1300</v>
      </c>
      <c r="D1801" s="1224"/>
      <c r="E1801" s="1221">
        <v>197887</v>
      </c>
      <c r="F1801" s="1222">
        <v>8</v>
      </c>
      <c r="G1801" s="859"/>
      <c r="H1801" s="860"/>
      <c r="I1801" s="861"/>
      <c r="J1801" s="862"/>
      <c r="K1801" s="859"/>
      <c r="L1801" s="863"/>
      <c r="M1801" s="859"/>
      <c r="N1801" s="859"/>
      <c r="O1801" s="752">
        <f t="shared" si="234"/>
        <v>0</v>
      </c>
      <c r="P1801" s="862"/>
      <c r="Q1801" s="860"/>
      <c r="R1801" s="753">
        <f t="shared" si="237"/>
        <v>0</v>
      </c>
      <c r="S1801" s="752">
        <f t="shared" si="238"/>
        <v>0</v>
      </c>
      <c r="T1801" s="754">
        <f t="shared" si="239"/>
        <v>0</v>
      </c>
      <c r="U1801" s="859"/>
      <c r="V1801" s="863"/>
      <c r="W1801" s="859"/>
      <c r="X1801" s="859"/>
      <c r="Y1801" s="755">
        <f t="shared" si="235"/>
        <v>0</v>
      </c>
      <c r="Z1801" s="864"/>
      <c r="AA1801" s="863"/>
      <c r="AB1801" s="756">
        <f t="shared" si="236"/>
        <v>0</v>
      </c>
      <c r="AC1801" s="859"/>
      <c r="AD1801" s="863"/>
      <c r="AE1801" s="859"/>
      <c r="AF1801" s="859"/>
      <c r="AG1801" s="864"/>
      <c r="AH1801" s="865"/>
      <c r="AI1801" s="757">
        <f t="shared" si="240"/>
        <v>0</v>
      </c>
      <c r="AJ1801" s="758">
        <f t="shared" si="241"/>
        <v>0</v>
      </c>
    </row>
    <row r="1802" spans="1:36" x14ac:dyDescent="0.2">
      <c r="A1802" s="1217" t="s">
        <v>153</v>
      </c>
      <c r="B1802" s="1218" t="s">
        <v>266</v>
      </c>
      <c r="C1802" s="1223" t="s">
        <v>319</v>
      </c>
      <c r="D1802" s="1224"/>
      <c r="E1802" s="1221">
        <v>197887</v>
      </c>
      <c r="F1802" s="1222">
        <v>8</v>
      </c>
      <c r="G1802" s="859"/>
      <c r="H1802" s="860"/>
      <c r="I1802" s="861">
        <v>172836</v>
      </c>
      <c r="J1802" s="862">
        <v>171867</v>
      </c>
      <c r="K1802" s="859"/>
      <c r="L1802" s="863"/>
      <c r="M1802" s="859"/>
      <c r="N1802" s="859"/>
      <c r="O1802" s="752">
        <f t="shared" si="234"/>
        <v>0</v>
      </c>
      <c r="P1802" s="862"/>
      <c r="Q1802" s="860"/>
      <c r="R1802" s="753">
        <f t="shared" si="237"/>
        <v>0</v>
      </c>
      <c r="S1802" s="752">
        <f t="shared" si="238"/>
        <v>172836</v>
      </c>
      <c r="T1802" s="754">
        <f t="shared" si="239"/>
        <v>171867</v>
      </c>
      <c r="U1802" s="859"/>
      <c r="V1802" s="863"/>
      <c r="W1802" s="859"/>
      <c r="X1802" s="859"/>
      <c r="Y1802" s="755">
        <f t="shared" si="235"/>
        <v>0</v>
      </c>
      <c r="Z1802" s="864"/>
      <c r="AA1802" s="863"/>
      <c r="AB1802" s="756">
        <f t="shared" si="236"/>
        <v>0</v>
      </c>
      <c r="AC1802" s="859"/>
      <c r="AD1802" s="863"/>
      <c r="AE1802" s="859"/>
      <c r="AF1802" s="859"/>
      <c r="AG1802" s="864"/>
      <c r="AH1802" s="865"/>
      <c r="AI1802" s="757">
        <f t="shared" si="240"/>
        <v>172836</v>
      </c>
      <c r="AJ1802" s="758">
        <f t="shared" si="241"/>
        <v>171867</v>
      </c>
    </row>
    <row r="1803" spans="1:36" x14ac:dyDescent="0.2">
      <c r="A1803" s="1217" t="s">
        <v>153</v>
      </c>
      <c r="B1803" s="1218" t="s">
        <v>275</v>
      </c>
      <c r="C1803" s="1223" t="s">
        <v>258</v>
      </c>
      <c r="D1803" s="1224"/>
      <c r="E1803" s="1221">
        <v>197887</v>
      </c>
      <c r="F1803" s="1222">
        <v>8</v>
      </c>
      <c r="G1803" s="859"/>
      <c r="H1803" s="860"/>
      <c r="I1803" s="861">
        <v>2897307</v>
      </c>
      <c r="J1803" s="862">
        <v>2802021</v>
      </c>
      <c r="K1803" s="859"/>
      <c r="L1803" s="863"/>
      <c r="M1803" s="859">
        <v>574408</v>
      </c>
      <c r="N1803" s="859"/>
      <c r="O1803" s="752">
        <f t="shared" ref="O1803:O1866" si="242">SUM(M1803:N1803)</f>
        <v>574408</v>
      </c>
      <c r="P1803" s="1302">
        <v>400836</v>
      </c>
      <c r="Q1803" s="860"/>
      <c r="R1803" s="753">
        <f t="shared" si="237"/>
        <v>400836</v>
      </c>
      <c r="S1803" s="752">
        <f t="shared" si="238"/>
        <v>3471715</v>
      </c>
      <c r="T1803" s="754">
        <f t="shared" si="239"/>
        <v>3202857</v>
      </c>
      <c r="U1803" s="859"/>
      <c r="V1803" s="863"/>
      <c r="W1803" s="859"/>
      <c r="X1803" s="859"/>
      <c r="Y1803" s="755">
        <f t="shared" ref="Y1803:Y1866" si="243">SUM(W1803:X1803)</f>
        <v>0</v>
      </c>
      <c r="Z1803" s="864"/>
      <c r="AA1803" s="863"/>
      <c r="AB1803" s="756">
        <f t="shared" ref="AB1803:AB1866" si="244">SUM(Z1803:AA1803)</f>
        <v>0</v>
      </c>
      <c r="AC1803" s="859"/>
      <c r="AD1803" s="863"/>
      <c r="AE1803" s="859"/>
      <c r="AF1803" s="859"/>
      <c r="AG1803" s="864"/>
      <c r="AH1803" s="865"/>
      <c r="AI1803" s="757">
        <f t="shared" si="240"/>
        <v>3471715</v>
      </c>
      <c r="AJ1803" s="758">
        <f t="shared" si="241"/>
        <v>3202857</v>
      </c>
    </row>
    <row r="1804" spans="1:36" x14ac:dyDescent="0.2">
      <c r="A1804" s="1217" t="s">
        <v>153</v>
      </c>
      <c r="B1804" s="1218" t="s">
        <v>264</v>
      </c>
      <c r="C1804" s="1218" t="s">
        <v>1301</v>
      </c>
      <c r="D1804" s="1242"/>
      <c r="E1804" s="1221">
        <v>198154</v>
      </c>
      <c r="F1804" s="1222">
        <v>8</v>
      </c>
      <c r="G1804" s="859">
        <v>26491345</v>
      </c>
      <c r="H1804" s="860">
        <v>27519886</v>
      </c>
      <c r="I1804" s="861"/>
      <c r="J1804" s="862"/>
      <c r="K1804" s="859">
        <v>7302917</v>
      </c>
      <c r="L1804" s="863">
        <v>8742644</v>
      </c>
      <c r="M1804" s="859">
        <v>15713317</v>
      </c>
      <c r="N1804" s="859"/>
      <c r="O1804" s="752">
        <f t="shared" si="242"/>
        <v>15713317</v>
      </c>
      <c r="P1804" s="862">
        <v>13886704</v>
      </c>
      <c r="Q1804" s="860"/>
      <c r="R1804" s="753">
        <f t="shared" ref="R1804:R1867" si="245">SUM(P1804:Q1804)</f>
        <v>13886704</v>
      </c>
      <c r="S1804" s="752">
        <f t="shared" ref="S1804:S1867" si="246">SUM(G1804,I1804,K1804,M1804)</f>
        <v>49507579</v>
      </c>
      <c r="T1804" s="754">
        <f t="shared" ref="T1804:T1867" si="247">SUM(H1804,J1804,L1804,P1804)</f>
        <v>50149234</v>
      </c>
      <c r="U1804" s="859"/>
      <c r="V1804" s="863"/>
      <c r="W1804" s="859"/>
      <c r="X1804" s="859"/>
      <c r="Y1804" s="755">
        <f t="shared" si="243"/>
        <v>0</v>
      </c>
      <c r="Z1804" s="864"/>
      <c r="AA1804" s="863"/>
      <c r="AB1804" s="756">
        <f t="shared" si="244"/>
        <v>0</v>
      </c>
      <c r="AC1804" s="859"/>
      <c r="AD1804" s="863"/>
      <c r="AE1804" s="859"/>
      <c r="AF1804" s="859"/>
      <c r="AG1804" s="864"/>
      <c r="AH1804" s="865"/>
      <c r="AI1804" s="757">
        <f t="shared" ref="AI1804:AI1867" si="248">SUM(S1804,U1804,W1804,AC1804,AE1804)</f>
        <v>49507579</v>
      </c>
      <c r="AJ1804" s="758">
        <f t="shared" ref="AJ1804:AJ1867" si="249">SUM(T1804,V1804,Z1804,AD1804,AG1804)</f>
        <v>50149234</v>
      </c>
    </row>
    <row r="1805" spans="1:36" x14ac:dyDescent="0.2">
      <c r="A1805" s="1217" t="s">
        <v>153</v>
      </c>
      <c r="B1805" s="1218" t="s">
        <v>264</v>
      </c>
      <c r="C1805" s="1223" t="s">
        <v>1300</v>
      </c>
      <c r="D1805" s="1224"/>
      <c r="E1805" s="1221">
        <v>198154</v>
      </c>
      <c r="F1805" s="1222">
        <v>8</v>
      </c>
      <c r="G1805" s="859"/>
      <c r="H1805" s="860"/>
      <c r="I1805" s="861"/>
      <c r="J1805" s="862"/>
      <c r="K1805" s="859"/>
      <c r="L1805" s="863"/>
      <c r="M1805" s="859"/>
      <c r="N1805" s="859"/>
      <c r="O1805" s="752">
        <f t="shared" si="242"/>
        <v>0</v>
      </c>
      <c r="P1805" s="862"/>
      <c r="Q1805" s="860"/>
      <c r="R1805" s="753">
        <f t="shared" si="245"/>
        <v>0</v>
      </c>
      <c r="S1805" s="752">
        <f t="shared" si="246"/>
        <v>0</v>
      </c>
      <c r="T1805" s="754">
        <f t="shared" si="247"/>
        <v>0</v>
      </c>
      <c r="U1805" s="859"/>
      <c r="V1805" s="863"/>
      <c r="W1805" s="859"/>
      <c r="X1805" s="859"/>
      <c r="Y1805" s="755">
        <f t="shared" si="243"/>
        <v>0</v>
      </c>
      <c r="Z1805" s="864"/>
      <c r="AA1805" s="863"/>
      <c r="AB1805" s="756">
        <f t="shared" si="244"/>
        <v>0</v>
      </c>
      <c r="AC1805" s="859"/>
      <c r="AD1805" s="863"/>
      <c r="AE1805" s="859"/>
      <c r="AF1805" s="859"/>
      <c r="AG1805" s="864"/>
      <c r="AH1805" s="865"/>
      <c r="AI1805" s="757">
        <f t="shared" si="248"/>
        <v>0</v>
      </c>
      <c r="AJ1805" s="758">
        <f t="shared" si="249"/>
        <v>0</v>
      </c>
    </row>
    <row r="1806" spans="1:36" x14ac:dyDescent="0.2">
      <c r="A1806" s="1217" t="s">
        <v>153</v>
      </c>
      <c r="B1806" s="1218" t="s">
        <v>266</v>
      </c>
      <c r="C1806" s="1223" t="s">
        <v>319</v>
      </c>
      <c r="D1806" s="1224"/>
      <c r="E1806" s="1221">
        <v>198154</v>
      </c>
      <c r="F1806" s="1222">
        <v>8</v>
      </c>
      <c r="G1806" s="859"/>
      <c r="H1806" s="860"/>
      <c r="I1806" s="861">
        <v>170496</v>
      </c>
      <c r="J1806" s="862">
        <v>170138</v>
      </c>
      <c r="K1806" s="859"/>
      <c r="L1806" s="863"/>
      <c r="M1806" s="859"/>
      <c r="N1806" s="859"/>
      <c r="O1806" s="752">
        <f t="shared" si="242"/>
        <v>0</v>
      </c>
      <c r="P1806" s="862"/>
      <c r="Q1806" s="860"/>
      <c r="R1806" s="753">
        <f t="shared" si="245"/>
        <v>0</v>
      </c>
      <c r="S1806" s="752">
        <f t="shared" si="246"/>
        <v>170496</v>
      </c>
      <c r="T1806" s="754">
        <f t="shared" si="247"/>
        <v>170138</v>
      </c>
      <c r="U1806" s="859"/>
      <c r="V1806" s="863"/>
      <c r="W1806" s="859"/>
      <c r="X1806" s="859"/>
      <c r="Y1806" s="755">
        <f t="shared" si="243"/>
        <v>0</v>
      </c>
      <c r="Z1806" s="864"/>
      <c r="AA1806" s="863"/>
      <c r="AB1806" s="756">
        <f t="shared" si="244"/>
        <v>0</v>
      </c>
      <c r="AC1806" s="859"/>
      <c r="AD1806" s="863"/>
      <c r="AE1806" s="859"/>
      <c r="AF1806" s="859"/>
      <c r="AG1806" s="864"/>
      <c r="AH1806" s="865"/>
      <c r="AI1806" s="757">
        <f t="shared" si="248"/>
        <v>170496</v>
      </c>
      <c r="AJ1806" s="758">
        <f t="shared" si="249"/>
        <v>170138</v>
      </c>
    </row>
    <row r="1807" spans="1:36" x14ac:dyDescent="0.2">
      <c r="A1807" s="1217" t="s">
        <v>153</v>
      </c>
      <c r="B1807" s="1218" t="s">
        <v>275</v>
      </c>
      <c r="C1807" s="1223" t="s">
        <v>258</v>
      </c>
      <c r="D1807" s="1224"/>
      <c r="E1807" s="1221">
        <v>198154</v>
      </c>
      <c r="F1807" s="1222">
        <v>8</v>
      </c>
      <c r="G1807" s="859"/>
      <c r="H1807" s="860"/>
      <c r="I1807" s="861">
        <v>3646650</v>
      </c>
      <c r="J1807" s="862">
        <v>3623753</v>
      </c>
      <c r="K1807" s="859"/>
      <c r="L1807" s="863"/>
      <c r="M1807" s="859">
        <v>676478</v>
      </c>
      <c r="N1807" s="859"/>
      <c r="O1807" s="752">
        <f t="shared" si="242"/>
        <v>676478</v>
      </c>
      <c r="P1807" s="862">
        <v>510385</v>
      </c>
      <c r="Q1807" s="860"/>
      <c r="R1807" s="753">
        <f t="shared" si="245"/>
        <v>510385</v>
      </c>
      <c r="S1807" s="752">
        <f t="shared" si="246"/>
        <v>4323128</v>
      </c>
      <c r="T1807" s="754">
        <f t="shared" si="247"/>
        <v>4134138</v>
      </c>
      <c r="U1807" s="859"/>
      <c r="V1807" s="863"/>
      <c r="W1807" s="859"/>
      <c r="X1807" s="859"/>
      <c r="Y1807" s="755">
        <f t="shared" si="243"/>
        <v>0</v>
      </c>
      <c r="Z1807" s="864"/>
      <c r="AA1807" s="863"/>
      <c r="AB1807" s="756">
        <f t="shared" si="244"/>
        <v>0</v>
      </c>
      <c r="AC1807" s="859"/>
      <c r="AD1807" s="863"/>
      <c r="AE1807" s="859"/>
      <c r="AF1807" s="859"/>
      <c r="AG1807" s="864"/>
      <c r="AH1807" s="865"/>
      <c r="AI1807" s="757">
        <f t="shared" si="248"/>
        <v>4323128</v>
      </c>
      <c r="AJ1807" s="758">
        <f t="shared" si="249"/>
        <v>4134138</v>
      </c>
    </row>
    <row r="1808" spans="1:36" x14ac:dyDescent="0.2">
      <c r="A1808" s="1217" t="s">
        <v>153</v>
      </c>
      <c r="B1808" s="1218" t="s">
        <v>264</v>
      </c>
      <c r="C1808" s="1218" t="s">
        <v>1302</v>
      </c>
      <c r="D1808" s="1242"/>
      <c r="E1808" s="1221">
        <v>198260</v>
      </c>
      <c r="F1808" s="1222">
        <v>8</v>
      </c>
      <c r="G1808" s="859">
        <v>47092266</v>
      </c>
      <c r="H1808" s="860">
        <v>48697813</v>
      </c>
      <c r="I1808" s="861"/>
      <c r="J1808" s="862"/>
      <c r="K1808" s="859">
        <v>27099486</v>
      </c>
      <c r="L1808" s="863">
        <v>30883974</v>
      </c>
      <c r="M1808" s="859">
        <v>27547487</v>
      </c>
      <c r="N1808" s="859"/>
      <c r="O1808" s="752">
        <f t="shared" si="242"/>
        <v>27547487</v>
      </c>
      <c r="P1808" s="862">
        <v>25517884</v>
      </c>
      <c r="Q1808" s="860"/>
      <c r="R1808" s="753">
        <f t="shared" si="245"/>
        <v>25517884</v>
      </c>
      <c r="S1808" s="752">
        <f t="shared" si="246"/>
        <v>101739239</v>
      </c>
      <c r="T1808" s="754">
        <f t="shared" si="247"/>
        <v>105099671</v>
      </c>
      <c r="U1808" s="859"/>
      <c r="V1808" s="863"/>
      <c r="W1808" s="859"/>
      <c r="X1808" s="859"/>
      <c r="Y1808" s="755">
        <f t="shared" si="243"/>
        <v>0</v>
      </c>
      <c r="Z1808" s="864"/>
      <c r="AA1808" s="863"/>
      <c r="AB1808" s="756">
        <f t="shared" si="244"/>
        <v>0</v>
      </c>
      <c r="AC1808" s="859"/>
      <c r="AD1808" s="863"/>
      <c r="AE1808" s="859"/>
      <c r="AF1808" s="859"/>
      <c r="AG1808" s="864"/>
      <c r="AH1808" s="865"/>
      <c r="AI1808" s="757">
        <f t="shared" si="248"/>
        <v>101739239</v>
      </c>
      <c r="AJ1808" s="758">
        <f t="shared" si="249"/>
        <v>105099671</v>
      </c>
    </row>
    <row r="1809" spans="1:36" x14ac:dyDescent="0.2">
      <c r="A1809" s="1217" t="s">
        <v>153</v>
      </c>
      <c r="B1809" s="1218" t="s">
        <v>264</v>
      </c>
      <c r="C1809" s="1223" t="s">
        <v>1300</v>
      </c>
      <c r="D1809" s="1224"/>
      <c r="E1809" s="1221">
        <v>198260</v>
      </c>
      <c r="F1809" s="1222">
        <v>8</v>
      </c>
      <c r="G1809" s="859"/>
      <c r="H1809" s="860"/>
      <c r="I1809" s="861"/>
      <c r="J1809" s="862"/>
      <c r="K1809" s="859"/>
      <c r="L1809" s="863"/>
      <c r="M1809" s="859"/>
      <c r="N1809" s="859"/>
      <c r="O1809" s="752">
        <f t="shared" si="242"/>
        <v>0</v>
      </c>
      <c r="P1809" s="862"/>
      <c r="Q1809" s="860"/>
      <c r="R1809" s="753">
        <f t="shared" si="245"/>
        <v>0</v>
      </c>
      <c r="S1809" s="752">
        <f t="shared" si="246"/>
        <v>0</v>
      </c>
      <c r="T1809" s="754">
        <f t="shared" si="247"/>
        <v>0</v>
      </c>
      <c r="U1809" s="859"/>
      <c r="V1809" s="863"/>
      <c r="W1809" s="859"/>
      <c r="X1809" s="859"/>
      <c r="Y1809" s="755">
        <f t="shared" si="243"/>
        <v>0</v>
      </c>
      <c r="Z1809" s="864"/>
      <c r="AA1809" s="863"/>
      <c r="AB1809" s="756">
        <f t="shared" si="244"/>
        <v>0</v>
      </c>
      <c r="AC1809" s="859"/>
      <c r="AD1809" s="863"/>
      <c r="AE1809" s="859"/>
      <c r="AF1809" s="859"/>
      <c r="AG1809" s="864"/>
      <c r="AH1809" s="865"/>
      <c r="AI1809" s="757">
        <f t="shared" si="248"/>
        <v>0</v>
      </c>
      <c r="AJ1809" s="758">
        <f t="shared" si="249"/>
        <v>0</v>
      </c>
    </row>
    <row r="1810" spans="1:36" x14ac:dyDescent="0.2">
      <c r="A1810" s="1217" t="s">
        <v>153</v>
      </c>
      <c r="B1810" s="1218" t="s">
        <v>266</v>
      </c>
      <c r="C1810" s="1223" t="s">
        <v>319</v>
      </c>
      <c r="D1810" s="1224"/>
      <c r="E1810" s="1221">
        <v>198260</v>
      </c>
      <c r="F1810" s="1222">
        <v>8</v>
      </c>
      <c r="G1810" s="859"/>
      <c r="H1810" s="860"/>
      <c r="I1810" s="861">
        <v>172760</v>
      </c>
      <c r="J1810" s="862">
        <v>174083</v>
      </c>
      <c r="K1810" s="859"/>
      <c r="L1810" s="863"/>
      <c r="M1810" s="859"/>
      <c r="N1810" s="859"/>
      <c r="O1810" s="752">
        <f t="shared" si="242"/>
        <v>0</v>
      </c>
      <c r="P1810" s="862"/>
      <c r="Q1810" s="860"/>
      <c r="R1810" s="753">
        <f t="shared" si="245"/>
        <v>0</v>
      </c>
      <c r="S1810" s="752">
        <f t="shared" si="246"/>
        <v>172760</v>
      </c>
      <c r="T1810" s="754">
        <f t="shared" si="247"/>
        <v>174083</v>
      </c>
      <c r="U1810" s="859"/>
      <c r="V1810" s="863"/>
      <c r="W1810" s="859"/>
      <c r="X1810" s="859"/>
      <c r="Y1810" s="755">
        <f t="shared" si="243"/>
        <v>0</v>
      </c>
      <c r="Z1810" s="864"/>
      <c r="AA1810" s="863"/>
      <c r="AB1810" s="756">
        <f t="shared" si="244"/>
        <v>0</v>
      </c>
      <c r="AC1810" s="859"/>
      <c r="AD1810" s="863"/>
      <c r="AE1810" s="859"/>
      <c r="AF1810" s="859"/>
      <c r="AG1810" s="864"/>
      <c r="AH1810" s="865"/>
      <c r="AI1810" s="757">
        <f t="shared" si="248"/>
        <v>172760</v>
      </c>
      <c r="AJ1810" s="758">
        <f t="shared" si="249"/>
        <v>174083</v>
      </c>
    </row>
    <row r="1811" spans="1:36" x14ac:dyDescent="0.2">
      <c r="A1811" s="1217" t="s">
        <v>153</v>
      </c>
      <c r="B1811" s="1218" t="s">
        <v>275</v>
      </c>
      <c r="C1811" s="1223" t="s">
        <v>258</v>
      </c>
      <c r="D1811" s="1224"/>
      <c r="E1811" s="1221">
        <v>198260</v>
      </c>
      <c r="F1811" s="1222">
        <v>8</v>
      </c>
      <c r="G1811" s="859"/>
      <c r="H1811" s="860"/>
      <c r="I1811" s="861">
        <v>5682009</v>
      </c>
      <c r="J1811" s="862">
        <v>5816929</v>
      </c>
      <c r="K1811" s="859"/>
      <c r="L1811" s="863"/>
      <c r="M1811" s="859">
        <v>720829</v>
      </c>
      <c r="N1811" s="859"/>
      <c r="O1811" s="752">
        <f t="shared" si="242"/>
        <v>720829</v>
      </c>
      <c r="P1811" s="862">
        <v>343211</v>
      </c>
      <c r="Q1811" s="860"/>
      <c r="R1811" s="753">
        <f t="shared" si="245"/>
        <v>343211</v>
      </c>
      <c r="S1811" s="752">
        <f t="shared" si="246"/>
        <v>6402838</v>
      </c>
      <c r="T1811" s="754">
        <f t="shared" si="247"/>
        <v>6160140</v>
      </c>
      <c r="U1811" s="859"/>
      <c r="V1811" s="863"/>
      <c r="W1811" s="859"/>
      <c r="X1811" s="859"/>
      <c r="Y1811" s="755">
        <f t="shared" si="243"/>
        <v>0</v>
      </c>
      <c r="Z1811" s="864"/>
      <c r="AA1811" s="863"/>
      <c r="AB1811" s="756">
        <f t="shared" si="244"/>
        <v>0</v>
      </c>
      <c r="AC1811" s="859"/>
      <c r="AD1811" s="863"/>
      <c r="AE1811" s="859"/>
      <c r="AF1811" s="859"/>
      <c r="AG1811" s="864"/>
      <c r="AH1811" s="865"/>
      <c r="AI1811" s="757">
        <f t="shared" si="248"/>
        <v>6402838</v>
      </c>
      <c r="AJ1811" s="758">
        <f t="shared" si="249"/>
        <v>6160140</v>
      </c>
    </row>
    <row r="1812" spans="1:36" x14ac:dyDescent="0.2">
      <c r="A1812" s="1217" t="s">
        <v>153</v>
      </c>
      <c r="B1812" s="1218" t="s">
        <v>264</v>
      </c>
      <c r="C1812" s="1218" t="s">
        <v>1303</v>
      </c>
      <c r="D1812" s="1242"/>
      <c r="E1812" s="1221">
        <v>198534</v>
      </c>
      <c r="F1812" s="1222">
        <v>8</v>
      </c>
      <c r="G1812" s="859">
        <v>33573742</v>
      </c>
      <c r="H1812" s="860">
        <v>34192676</v>
      </c>
      <c r="I1812" s="861"/>
      <c r="J1812" s="862"/>
      <c r="K1812" s="859">
        <v>10350038</v>
      </c>
      <c r="L1812" s="863">
        <v>10662223</v>
      </c>
      <c r="M1812" s="859">
        <v>15900637</v>
      </c>
      <c r="N1812" s="859"/>
      <c r="O1812" s="752">
        <f t="shared" si="242"/>
        <v>15900637</v>
      </c>
      <c r="P1812" s="862">
        <v>16637211</v>
      </c>
      <c r="Q1812" s="860"/>
      <c r="R1812" s="753">
        <f t="shared" si="245"/>
        <v>16637211</v>
      </c>
      <c r="S1812" s="752">
        <f t="shared" si="246"/>
        <v>59824417</v>
      </c>
      <c r="T1812" s="754">
        <f t="shared" si="247"/>
        <v>61492110</v>
      </c>
      <c r="U1812" s="859"/>
      <c r="V1812" s="863"/>
      <c r="W1812" s="859"/>
      <c r="X1812" s="859"/>
      <c r="Y1812" s="755">
        <f t="shared" si="243"/>
        <v>0</v>
      </c>
      <c r="Z1812" s="864"/>
      <c r="AA1812" s="863"/>
      <c r="AB1812" s="756">
        <f t="shared" si="244"/>
        <v>0</v>
      </c>
      <c r="AC1812" s="859"/>
      <c r="AD1812" s="863"/>
      <c r="AE1812" s="859"/>
      <c r="AF1812" s="859"/>
      <c r="AG1812" s="864"/>
      <c r="AH1812" s="865"/>
      <c r="AI1812" s="757">
        <f t="shared" si="248"/>
        <v>59824417</v>
      </c>
      <c r="AJ1812" s="758">
        <f t="shared" si="249"/>
        <v>61492110</v>
      </c>
    </row>
    <row r="1813" spans="1:36" x14ac:dyDescent="0.2">
      <c r="A1813" s="1217" t="s">
        <v>153</v>
      </c>
      <c r="B1813" s="1218" t="s">
        <v>264</v>
      </c>
      <c r="C1813" s="1223" t="s">
        <v>1300</v>
      </c>
      <c r="D1813" s="1224"/>
      <c r="E1813" s="1221">
        <v>198534</v>
      </c>
      <c r="F1813" s="1222">
        <v>8</v>
      </c>
      <c r="G1813" s="859"/>
      <c r="H1813" s="860"/>
      <c r="I1813" s="861"/>
      <c r="J1813" s="862"/>
      <c r="K1813" s="859"/>
      <c r="L1813" s="863"/>
      <c r="M1813" s="859"/>
      <c r="N1813" s="859"/>
      <c r="O1813" s="752">
        <f t="shared" si="242"/>
        <v>0</v>
      </c>
      <c r="P1813" s="862"/>
      <c r="Q1813" s="860"/>
      <c r="R1813" s="753">
        <f t="shared" si="245"/>
        <v>0</v>
      </c>
      <c r="S1813" s="752">
        <f t="shared" si="246"/>
        <v>0</v>
      </c>
      <c r="T1813" s="754">
        <f t="shared" si="247"/>
        <v>0</v>
      </c>
      <c r="U1813" s="859"/>
      <c r="V1813" s="863"/>
      <c r="W1813" s="859"/>
      <c r="X1813" s="859"/>
      <c r="Y1813" s="755">
        <f t="shared" si="243"/>
        <v>0</v>
      </c>
      <c r="Z1813" s="864"/>
      <c r="AA1813" s="863"/>
      <c r="AB1813" s="756">
        <f t="shared" si="244"/>
        <v>0</v>
      </c>
      <c r="AC1813" s="859"/>
      <c r="AD1813" s="863"/>
      <c r="AE1813" s="859"/>
      <c r="AF1813" s="859"/>
      <c r="AG1813" s="864"/>
      <c r="AH1813" s="865"/>
      <c r="AI1813" s="757">
        <f t="shared" si="248"/>
        <v>0</v>
      </c>
      <c r="AJ1813" s="758">
        <f t="shared" si="249"/>
        <v>0</v>
      </c>
    </row>
    <row r="1814" spans="1:36" x14ac:dyDescent="0.2">
      <c r="A1814" s="1217" t="s">
        <v>153</v>
      </c>
      <c r="B1814" s="1218" t="s">
        <v>266</v>
      </c>
      <c r="C1814" s="1223" t="s">
        <v>319</v>
      </c>
      <c r="D1814" s="1224"/>
      <c r="E1814" s="1221">
        <v>198534</v>
      </c>
      <c r="F1814" s="1222">
        <v>8</v>
      </c>
      <c r="G1814" s="859"/>
      <c r="H1814" s="860"/>
      <c r="I1814" s="861">
        <v>168987</v>
      </c>
      <c r="J1814" s="862">
        <v>168895</v>
      </c>
      <c r="K1814" s="859"/>
      <c r="L1814" s="863"/>
      <c r="M1814" s="859"/>
      <c r="N1814" s="859"/>
      <c r="O1814" s="752">
        <f t="shared" si="242"/>
        <v>0</v>
      </c>
      <c r="P1814" s="862"/>
      <c r="Q1814" s="860"/>
      <c r="R1814" s="753">
        <f t="shared" si="245"/>
        <v>0</v>
      </c>
      <c r="S1814" s="752">
        <f t="shared" si="246"/>
        <v>168987</v>
      </c>
      <c r="T1814" s="754">
        <f t="shared" si="247"/>
        <v>168895</v>
      </c>
      <c r="U1814" s="859"/>
      <c r="V1814" s="863"/>
      <c r="W1814" s="859"/>
      <c r="X1814" s="859"/>
      <c r="Y1814" s="755">
        <f t="shared" si="243"/>
        <v>0</v>
      </c>
      <c r="Z1814" s="864"/>
      <c r="AA1814" s="863"/>
      <c r="AB1814" s="756">
        <f t="shared" si="244"/>
        <v>0</v>
      </c>
      <c r="AC1814" s="859"/>
      <c r="AD1814" s="863"/>
      <c r="AE1814" s="859"/>
      <c r="AF1814" s="859"/>
      <c r="AG1814" s="864"/>
      <c r="AH1814" s="865"/>
      <c r="AI1814" s="757">
        <f t="shared" si="248"/>
        <v>168987</v>
      </c>
      <c r="AJ1814" s="758">
        <f t="shared" si="249"/>
        <v>168895</v>
      </c>
    </row>
    <row r="1815" spans="1:36" x14ac:dyDescent="0.2">
      <c r="A1815" s="1217" t="s">
        <v>153</v>
      </c>
      <c r="B1815" s="1218" t="s">
        <v>275</v>
      </c>
      <c r="C1815" s="1223" t="s">
        <v>258</v>
      </c>
      <c r="D1815" s="1224"/>
      <c r="E1815" s="1221">
        <v>198534</v>
      </c>
      <c r="F1815" s="1222">
        <v>8</v>
      </c>
      <c r="G1815" s="859"/>
      <c r="H1815" s="860"/>
      <c r="I1815" s="861">
        <v>8158901</v>
      </c>
      <c r="J1815" s="862">
        <v>7766021</v>
      </c>
      <c r="K1815" s="859"/>
      <c r="L1815" s="863"/>
      <c r="M1815" s="859">
        <v>1451168</v>
      </c>
      <c r="N1815" s="859"/>
      <c r="O1815" s="752">
        <f t="shared" si="242"/>
        <v>1451168</v>
      </c>
      <c r="P1815" s="862">
        <v>1224670</v>
      </c>
      <c r="Q1815" s="860"/>
      <c r="R1815" s="753">
        <f t="shared" si="245"/>
        <v>1224670</v>
      </c>
      <c r="S1815" s="752">
        <f t="shared" si="246"/>
        <v>9610069</v>
      </c>
      <c r="T1815" s="754">
        <f t="shared" si="247"/>
        <v>8990691</v>
      </c>
      <c r="U1815" s="859"/>
      <c r="V1815" s="863"/>
      <c r="W1815" s="859"/>
      <c r="X1815" s="859"/>
      <c r="Y1815" s="755">
        <f t="shared" si="243"/>
        <v>0</v>
      </c>
      <c r="Z1815" s="864"/>
      <c r="AA1815" s="863"/>
      <c r="AB1815" s="756">
        <f t="shared" si="244"/>
        <v>0</v>
      </c>
      <c r="AC1815" s="859"/>
      <c r="AD1815" s="863"/>
      <c r="AE1815" s="859"/>
      <c r="AF1815" s="859"/>
      <c r="AG1815" s="864"/>
      <c r="AH1815" s="865"/>
      <c r="AI1815" s="757">
        <f t="shared" si="248"/>
        <v>9610069</v>
      </c>
      <c r="AJ1815" s="758">
        <f t="shared" si="249"/>
        <v>8990691</v>
      </c>
    </row>
    <row r="1816" spans="1:36" x14ac:dyDescent="0.2">
      <c r="A1816" s="1217" t="s">
        <v>153</v>
      </c>
      <c r="B1816" s="1218" t="s">
        <v>264</v>
      </c>
      <c r="C1816" s="1218" t="s">
        <v>1304</v>
      </c>
      <c r="D1816" s="1242"/>
      <c r="E1816" s="1221">
        <v>198552</v>
      </c>
      <c r="F1816" s="1222">
        <v>8</v>
      </c>
      <c r="G1816" s="859">
        <v>26821671</v>
      </c>
      <c r="H1816" s="860">
        <v>26585395</v>
      </c>
      <c r="I1816" s="861"/>
      <c r="J1816" s="862"/>
      <c r="K1816" s="859">
        <v>8123096</v>
      </c>
      <c r="L1816" s="863">
        <v>8451742</v>
      </c>
      <c r="M1816" s="859">
        <v>14459125</v>
      </c>
      <c r="N1816" s="859"/>
      <c r="O1816" s="752">
        <f t="shared" si="242"/>
        <v>14459125</v>
      </c>
      <c r="P1816" s="862">
        <v>13971921</v>
      </c>
      <c r="Q1816" s="860"/>
      <c r="R1816" s="753">
        <f t="shared" si="245"/>
        <v>13971921</v>
      </c>
      <c r="S1816" s="752">
        <f t="shared" si="246"/>
        <v>49403892</v>
      </c>
      <c r="T1816" s="754">
        <f t="shared" si="247"/>
        <v>49009058</v>
      </c>
      <c r="U1816" s="859"/>
      <c r="V1816" s="863"/>
      <c r="W1816" s="859"/>
      <c r="X1816" s="859"/>
      <c r="Y1816" s="755">
        <f t="shared" si="243"/>
        <v>0</v>
      </c>
      <c r="Z1816" s="864"/>
      <c r="AA1816" s="863"/>
      <c r="AB1816" s="756">
        <f t="shared" si="244"/>
        <v>0</v>
      </c>
      <c r="AC1816" s="859"/>
      <c r="AD1816" s="863"/>
      <c r="AE1816" s="859"/>
      <c r="AF1816" s="859"/>
      <c r="AG1816" s="864"/>
      <c r="AH1816" s="865"/>
      <c r="AI1816" s="757">
        <f t="shared" si="248"/>
        <v>49403892</v>
      </c>
      <c r="AJ1816" s="758">
        <f t="shared" si="249"/>
        <v>49009058</v>
      </c>
    </row>
    <row r="1817" spans="1:36" x14ac:dyDescent="0.2">
      <c r="A1817" s="1217" t="s">
        <v>153</v>
      </c>
      <c r="B1817" s="1218" t="s">
        <v>264</v>
      </c>
      <c r="C1817" s="1223" t="s">
        <v>1300</v>
      </c>
      <c r="D1817" s="1224"/>
      <c r="E1817" s="1221">
        <v>198552</v>
      </c>
      <c r="F1817" s="1222">
        <v>8</v>
      </c>
      <c r="G1817" s="859"/>
      <c r="H1817" s="860"/>
      <c r="I1817" s="861"/>
      <c r="J1817" s="862"/>
      <c r="K1817" s="859"/>
      <c r="L1817" s="863"/>
      <c r="M1817" s="859"/>
      <c r="N1817" s="859"/>
      <c r="O1817" s="752">
        <f t="shared" si="242"/>
        <v>0</v>
      </c>
      <c r="P1817" s="862"/>
      <c r="Q1817" s="860"/>
      <c r="R1817" s="753">
        <f t="shared" si="245"/>
        <v>0</v>
      </c>
      <c r="S1817" s="752">
        <f t="shared" si="246"/>
        <v>0</v>
      </c>
      <c r="T1817" s="754">
        <f t="shared" si="247"/>
        <v>0</v>
      </c>
      <c r="U1817" s="859"/>
      <c r="V1817" s="863"/>
      <c r="W1817" s="859"/>
      <c r="X1817" s="859"/>
      <c r="Y1817" s="755">
        <f t="shared" si="243"/>
        <v>0</v>
      </c>
      <c r="Z1817" s="864"/>
      <c r="AA1817" s="863"/>
      <c r="AB1817" s="756">
        <f t="shared" si="244"/>
        <v>0</v>
      </c>
      <c r="AC1817" s="859"/>
      <c r="AD1817" s="863"/>
      <c r="AE1817" s="859"/>
      <c r="AF1817" s="859"/>
      <c r="AG1817" s="864"/>
      <c r="AH1817" s="865"/>
      <c r="AI1817" s="757">
        <f t="shared" si="248"/>
        <v>0</v>
      </c>
      <c r="AJ1817" s="758">
        <f t="shared" si="249"/>
        <v>0</v>
      </c>
    </row>
    <row r="1818" spans="1:36" x14ac:dyDescent="0.2">
      <c r="A1818" s="1217" t="s">
        <v>153</v>
      </c>
      <c r="B1818" s="1218" t="s">
        <v>266</v>
      </c>
      <c r="C1818" s="1223" t="s">
        <v>319</v>
      </c>
      <c r="D1818" s="1224"/>
      <c r="E1818" s="1221">
        <v>198552</v>
      </c>
      <c r="F1818" s="1222">
        <v>8</v>
      </c>
      <c r="G1818" s="859"/>
      <c r="H1818" s="860"/>
      <c r="I1818" s="861">
        <v>171779</v>
      </c>
      <c r="J1818" s="862">
        <v>171651</v>
      </c>
      <c r="K1818" s="859"/>
      <c r="L1818" s="863"/>
      <c r="M1818" s="859"/>
      <c r="N1818" s="859"/>
      <c r="O1818" s="752">
        <f t="shared" si="242"/>
        <v>0</v>
      </c>
      <c r="P1818" s="862"/>
      <c r="Q1818" s="860"/>
      <c r="R1818" s="753">
        <f t="shared" si="245"/>
        <v>0</v>
      </c>
      <c r="S1818" s="752">
        <f t="shared" si="246"/>
        <v>171779</v>
      </c>
      <c r="T1818" s="754">
        <f t="shared" si="247"/>
        <v>171651</v>
      </c>
      <c r="U1818" s="859"/>
      <c r="V1818" s="863"/>
      <c r="W1818" s="859"/>
      <c r="X1818" s="859"/>
      <c r="Y1818" s="755">
        <f t="shared" si="243"/>
        <v>0</v>
      </c>
      <c r="Z1818" s="864"/>
      <c r="AA1818" s="863"/>
      <c r="AB1818" s="756">
        <f t="shared" si="244"/>
        <v>0</v>
      </c>
      <c r="AC1818" s="859"/>
      <c r="AD1818" s="863"/>
      <c r="AE1818" s="859"/>
      <c r="AF1818" s="859"/>
      <c r="AG1818" s="864"/>
      <c r="AH1818" s="865"/>
      <c r="AI1818" s="757">
        <f t="shared" si="248"/>
        <v>171779</v>
      </c>
      <c r="AJ1818" s="758">
        <f t="shared" si="249"/>
        <v>171651</v>
      </c>
    </row>
    <row r="1819" spans="1:36" x14ac:dyDescent="0.2">
      <c r="A1819" s="1217" t="s">
        <v>153</v>
      </c>
      <c r="B1819" s="1218" t="s">
        <v>275</v>
      </c>
      <c r="C1819" s="1223" t="s">
        <v>258</v>
      </c>
      <c r="D1819" s="1224"/>
      <c r="E1819" s="1221">
        <v>198552</v>
      </c>
      <c r="F1819" s="1222">
        <v>8</v>
      </c>
      <c r="G1819" s="859"/>
      <c r="H1819" s="860"/>
      <c r="I1819" s="861">
        <v>4218171</v>
      </c>
      <c r="J1819" s="862">
        <v>4458082</v>
      </c>
      <c r="K1819" s="859"/>
      <c r="L1819" s="863"/>
      <c r="M1819" s="859">
        <v>1146339</v>
      </c>
      <c r="N1819" s="859"/>
      <c r="O1819" s="752">
        <f t="shared" si="242"/>
        <v>1146339</v>
      </c>
      <c r="P1819" s="862">
        <v>624999</v>
      </c>
      <c r="Q1819" s="860"/>
      <c r="R1819" s="753">
        <f t="shared" si="245"/>
        <v>624999</v>
      </c>
      <c r="S1819" s="752">
        <f t="shared" si="246"/>
        <v>5364510</v>
      </c>
      <c r="T1819" s="754">
        <f t="shared" si="247"/>
        <v>5083081</v>
      </c>
      <c r="U1819" s="859"/>
      <c r="V1819" s="863"/>
      <c r="W1819" s="859"/>
      <c r="X1819" s="859"/>
      <c r="Y1819" s="755">
        <f t="shared" si="243"/>
        <v>0</v>
      </c>
      <c r="Z1819" s="864"/>
      <c r="AA1819" s="863"/>
      <c r="AB1819" s="756">
        <f t="shared" si="244"/>
        <v>0</v>
      </c>
      <c r="AC1819" s="859"/>
      <c r="AD1819" s="863"/>
      <c r="AE1819" s="859"/>
      <c r="AF1819" s="859"/>
      <c r="AG1819" s="864"/>
      <c r="AH1819" s="865"/>
      <c r="AI1819" s="757">
        <f t="shared" si="248"/>
        <v>5364510</v>
      </c>
      <c r="AJ1819" s="758">
        <f t="shared" si="249"/>
        <v>5083081</v>
      </c>
    </row>
    <row r="1820" spans="1:36" x14ac:dyDescent="0.2">
      <c r="A1820" s="1217" t="s">
        <v>153</v>
      </c>
      <c r="B1820" s="1218" t="s">
        <v>264</v>
      </c>
      <c r="C1820" s="1303" t="s">
        <v>1305</v>
      </c>
      <c r="D1820" s="1308" t="s">
        <v>1297</v>
      </c>
      <c r="E1820" s="1309">
        <v>198570</v>
      </c>
      <c r="F1820" s="1229">
        <v>9</v>
      </c>
      <c r="G1820" s="859">
        <v>19363842</v>
      </c>
      <c r="H1820" s="860">
        <v>18482177</v>
      </c>
      <c r="I1820" s="861"/>
      <c r="J1820" s="862"/>
      <c r="K1820" s="859">
        <v>4565723</v>
      </c>
      <c r="L1820" s="863">
        <v>4735723</v>
      </c>
      <c r="M1820" s="859">
        <v>9697920</v>
      </c>
      <c r="N1820" s="859"/>
      <c r="O1820" s="752">
        <f t="shared" si="242"/>
        <v>9697920</v>
      </c>
      <c r="P1820" s="862">
        <v>8791830</v>
      </c>
      <c r="Q1820" s="860"/>
      <c r="R1820" s="753">
        <f t="shared" si="245"/>
        <v>8791830</v>
      </c>
      <c r="S1820" s="752">
        <f t="shared" si="246"/>
        <v>33627485</v>
      </c>
      <c r="T1820" s="754">
        <f t="shared" si="247"/>
        <v>32009730</v>
      </c>
      <c r="U1820" s="859"/>
      <c r="V1820" s="863"/>
      <c r="W1820" s="859"/>
      <c r="X1820" s="859"/>
      <c r="Y1820" s="755">
        <f t="shared" si="243"/>
        <v>0</v>
      </c>
      <c r="Z1820" s="864"/>
      <c r="AA1820" s="863"/>
      <c r="AB1820" s="756">
        <f t="shared" si="244"/>
        <v>0</v>
      </c>
      <c r="AC1820" s="859"/>
      <c r="AD1820" s="863"/>
      <c r="AE1820" s="859"/>
      <c r="AF1820" s="859"/>
      <c r="AG1820" s="864"/>
      <c r="AH1820" s="865"/>
      <c r="AI1820" s="757">
        <f t="shared" si="248"/>
        <v>33627485</v>
      </c>
      <c r="AJ1820" s="758">
        <f t="shared" si="249"/>
        <v>32009730</v>
      </c>
    </row>
    <row r="1821" spans="1:36" x14ac:dyDescent="0.2">
      <c r="A1821" s="1217" t="s">
        <v>153</v>
      </c>
      <c r="B1821" s="1218" t="s">
        <v>264</v>
      </c>
      <c r="C1821" s="1223" t="s">
        <v>1300</v>
      </c>
      <c r="D1821" s="1224"/>
      <c r="E1821" s="1221">
        <v>198570</v>
      </c>
      <c r="F1821" s="1229">
        <v>9</v>
      </c>
      <c r="G1821" s="859"/>
      <c r="H1821" s="860"/>
      <c r="I1821" s="861"/>
      <c r="J1821" s="862"/>
      <c r="K1821" s="859"/>
      <c r="L1821" s="863"/>
      <c r="M1821" s="859"/>
      <c r="N1821" s="859"/>
      <c r="O1821" s="752">
        <f t="shared" si="242"/>
        <v>0</v>
      </c>
      <c r="P1821" s="862"/>
      <c r="Q1821" s="860"/>
      <c r="R1821" s="753">
        <f t="shared" si="245"/>
        <v>0</v>
      </c>
      <c r="S1821" s="752">
        <f t="shared" si="246"/>
        <v>0</v>
      </c>
      <c r="T1821" s="754">
        <f t="shared" si="247"/>
        <v>0</v>
      </c>
      <c r="U1821" s="859"/>
      <c r="V1821" s="863"/>
      <c r="W1821" s="859"/>
      <c r="X1821" s="859"/>
      <c r="Y1821" s="755">
        <f t="shared" si="243"/>
        <v>0</v>
      </c>
      <c r="Z1821" s="864"/>
      <c r="AA1821" s="863"/>
      <c r="AB1821" s="756">
        <f t="shared" si="244"/>
        <v>0</v>
      </c>
      <c r="AC1821" s="859"/>
      <c r="AD1821" s="863"/>
      <c r="AE1821" s="859"/>
      <c r="AF1821" s="859"/>
      <c r="AG1821" s="864"/>
      <c r="AH1821" s="865"/>
      <c r="AI1821" s="757">
        <f t="shared" si="248"/>
        <v>0</v>
      </c>
      <c r="AJ1821" s="758">
        <f t="shared" si="249"/>
        <v>0</v>
      </c>
    </row>
    <row r="1822" spans="1:36" x14ac:dyDescent="0.2">
      <c r="A1822" s="1217" t="s">
        <v>153</v>
      </c>
      <c r="B1822" s="1218" t="s">
        <v>266</v>
      </c>
      <c r="C1822" s="1223" t="s">
        <v>319</v>
      </c>
      <c r="D1822" s="1224"/>
      <c r="E1822" s="1221">
        <v>198570</v>
      </c>
      <c r="F1822" s="1229">
        <v>9</v>
      </c>
      <c r="G1822" s="859"/>
      <c r="H1822" s="860"/>
      <c r="I1822" s="861">
        <v>167477</v>
      </c>
      <c r="J1822" s="862">
        <v>168246</v>
      </c>
      <c r="K1822" s="859"/>
      <c r="L1822" s="863"/>
      <c r="M1822" s="859"/>
      <c r="N1822" s="859"/>
      <c r="O1822" s="752">
        <f t="shared" si="242"/>
        <v>0</v>
      </c>
      <c r="P1822" s="862"/>
      <c r="Q1822" s="860"/>
      <c r="R1822" s="753">
        <f t="shared" si="245"/>
        <v>0</v>
      </c>
      <c r="S1822" s="752">
        <f t="shared" si="246"/>
        <v>167477</v>
      </c>
      <c r="T1822" s="754">
        <f t="shared" si="247"/>
        <v>168246</v>
      </c>
      <c r="U1822" s="859"/>
      <c r="V1822" s="863"/>
      <c r="W1822" s="859"/>
      <c r="X1822" s="859"/>
      <c r="Y1822" s="755">
        <f t="shared" si="243"/>
        <v>0</v>
      </c>
      <c r="Z1822" s="864"/>
      <c r="AA1822" s="863"/>
      <c r="AB1822" s="756">
        <f t="shared" si="244"/>
        <v>0</v>
      </c>
      <c r="AC1822" s="859"/>
      <c r="AD1822" s="863"/>
      <c r="AE1822" s="859"/>
      <c r="AF1822" s="859"/>
      <c r="AG1822" s="864"/>
      <c r="AH1822" s="865"/>
      <c r="AI1822" s="757">
        <f t="shared" si="248"/>
        <v>167477</v>
      </c>
      <c r="AJ1822" s="758">
        <f t="shared" si="249"/>
        <v>168246</v>
      </c>
    </row>
    <row r="1823" spans="1:36" x14ac:dyDescent="0.2">
      <c r="A1823" s="1217" t="s">
        <v>153</v>
      </c>
      <c r="B1823" s="1218" t="s">
        <v>275</v>
      </c>
      <c r="C1823" s="1223" t="s">
        <v>258</v>
      </c>
      <c r="D1823" s="1224"/>
      <c r="E1823" s="1221">
        <v>198570</v>
      </c>
      <c r="F1823" s="1229">
        <v>9</v>
      </c>
      <c r="G1823" s="859"/>
      <c r="H1823" s="860"/>
      <c r="I1823" s="861">
        <v>2229549</v>
      </c>
      <c r="J1823" s="862">
        <v>2047183</v>
      </c>
      <c r="K1823" s="859"/>
      <c r="L1823" s="863"/>
      <c r="M1823" s="859">
        <v>273971</v>
      </c>
      <c r="N1823" s="859"/>
      <c r="O1823" s="752">
        <f t="shared" si="242"/>
        <v>273971</v>
      </c>
      <c r="P1823" s="862">
        <v>233029</v>
      </c>
      <c r="Q1823" s="860"/>
      <c r="R1823" s="753">
        <f t="shared" si="245"/>
        <v>233029</v>
      </c>
      <c r="S1823" s="752">
        <f t="shared" si="246"/>
        <v>2503520</v>
      </c>
      <c r="T1823" s="754">
        <f t="shared" si="247"/>
        <v>2280212</v>
      </c>
      <c r="U1823" s="859"/>
      <c r="V1823" s="863"/>
      <c r="W1823" s="859"/>
      <c r="X1823" s="859"/>
      <c r="Y1823" s="755">
        <f t="shared" si="243"/>
        <v>0</v>
      </c>
      <c r="Z1823" s="864"/>
      <c r="AA1823" s="863"/>
      <c r="AB1823" s="756">
        <f t="shared" si="244"/>
        <v>0</v>
      </c>
      <c r="AC1823" s="859"/>
      <c r="AD1823" s="863"/>
      <c r="AE1823" s="859"/>
      <c r="AF1823" s="859"/>
      <c r="AG1823" s="864"/>
      <c r="AH1823" s="865"/>
      <c r="AI1823" s="757">
        <f t="shared" si="248"/>
        <v>2503520</v>
      </c>
      <c r="AJ1823" s="758">
        <f t="shared" si="249"/>
        <v>2280212</v>
      </c>
    </row>
    <row r="1824" spans="1:36" x14ac:dyDescent="0.2">
      <c r="A1824" s="1217" t="s">
        <v>153</v>
      </c>
      <c r="B1824" s="1218" t="s">
        <v>264</v>
      </c>
      <c r="C1824" s="1218" t="s">
        <v>1306</v>
      </c>
      <c r="D1824" s="1242"/>
      <c r="E1824" s="1221">
        <v>198622</v>
      </c>
      <c r="F1824" s="1222">
        <v>8</v>
      </c>
      <c r="G1824" s="859">
        <v>36490732</v>
      </c>
      <c r="H1824" s="860">
        <v>39614351</v>
      </c>
      <c r="I1824" s="861"/>
      <c r="J1824" s="862"/>
      <c r="K1824" s="859">
        <v>11659390</v>
      </c>
      <c r="L1824" s="863">
        <v>12297690</v>
      </c>
      <c r="M1824" s="859">
        <v>24401434</v>
      </c>
      <c r="N1824" s="859"/>
      <c r="O1824" s="752">
        <f t="shared" si="242"/>
        <v>24401434</v>
      </c>
      <c r="P1824" s="862">
        <v>21093865</v>
      </c>
      <c r="Q1824" s="860"/>
      <c r="R1824" s="753">
        <f t="shared" si="245"/>
        <v>21093865</v>
      </c>
      <c r="S1824" s="752">
        <f t="shared" si="246"/>
        <v>72551556</v>
      </c>
      <c r="T1824" s="754">
        <f t="shared" si="247"/>
        <v>73005906</v>
      </c>
      <c r="U1824" s="859"/>
      <c r="V1824" s="863"/>
      <c r="W1824" s="859"/>
      <c r="X1824" s="859"/>
      <c r="Y1824" s="755">
        <f t="shared" si="243"/>
        <v>0</v>
      </c>
      <c r="Z1824" s="864"/>
      <c r="AA1824" s="863"/>
      <c r="AB1824" s="756">
        <f t="shared" si="244"/>
        <v>0</v>
      </c>
      <c r="AC1824" s="859"/>
      <c r="AD1824" s="863"/>
      <c r="AE1824" s="859"/>
      <c r="AF1824" s="859"/>
      <c r="AG1824" s="864"/>
      <c r="AH1824" s="865"/>
      <c r="AI1824" s="757">
        <f t="shared" si="248"/>
        <v>72551556</v>
      </c>
      <c r="AJ1824" s="758">
        <f t="shared" si="249"/>
        <v>73005906</v>
      </c>
    </row>
    <row r="1825" spans="1:36" x14ac:dyDescent="0.2">
      <c r="A1825" s="1217" t="s">
        <v>153</v>
      </c>
      <c r="B1825" s="1218" t="s">
        <v>264</v>
      </c>
      <c r="C1825" s="1223" t="s">
        <v>1300</v>
      </c>
      <c r="D1825" s="1224"/>
      <c r="E1825" s="1221">
        <v>198622</v>
      </c>
      <c r="F1825" s="1222">
        <v>8</v>
      </c>
      <c r="G1825" s="859"/>
      <c r="H1825" s="860"/>
      <c r="I1825" s="861"/>
      <c r="J1825" s="862"/>
      <c r="K1825" s="859"/>
      <c r="L1825" s="863"/>
      <c r="M1825" s="859"/>
      <c r="N1825" s="859"/>
      <c r="O1825" s="752">
        <f t="shared" si="242"/>
        <v>0</v>
      </c>
      <c r="P1825" s="862"/>
      <c r="Q1825" s="860"/>
      <c r="R1825" s="753">
        <f t="shared" si="245"/>
        <v>0</v>
      </c>
      <c r="S1825" s="752">
        <f t="shared" si="246"/>
        <v>0</v>
      </c>
      <c r="T1825" s="754">
        <f t="shared" si="247"/>
        <v>0</v>
      </c>
      <c r="U1825" s="859"/>
      <c r="V1825" s="863"/>
      <c r="W1825" s="859"/>
      <c r="X1825" s="859"/>
      <c r="Y1825" s="755">
        <f t="shared" si="243"/>
        <v>0</v>
      </c>
      <c r="Z1825" s="864"/>
      <c r="AA1825" s="863"/>
      <c r="AB1825" s="756">
        <f t="shared" si="244"/>
        <v>0</v>
      </c>
      <c r="AC1825" s="859"/>
      <c r="AD1825" s="863"/>
      <c r="AE1825" s="859"/>
      <c r="AF1825" s="859"/>
      <c r="AG1825" s="864"/>
      <c r="AH1825" s="865"/>
      <c r="AI1825" s="757">
        <f t="shared" si="248"/>
        <v>0</v>
      </c>
      <c r="AJ1825" s="758">
        <f t="shared" si="249"/>
        <v>0</v>
      </c>
    </row>
    <row r="1826" spans="1:36" x14ac:dyDescent="0.2">
      <c r="A1826" s="1217" t="s">
        <v>153</v>
      </c>
      <c r="B1826" s="1218" t="s">
        <v>266</v>
      </c>
      <c r="C1826" s="1223" t="s">
        <v>319</v>
      </c>
      <c r="D1826" s="1224"/>
      <c r="E1826" s="1221">
        <v>198622</v>
      </c>
      <c r="F1826" s="1222">
        <v>8</v>
      </c>
      <c r="G1826" s="859"/>
      <c r="H1826" s="860"/>
      <c r="I1826" s="861">
        <v>172458</v>
      </c>
      <c r="J1826" s="862">
        <v>172354</v>
      </c>
      <c r="K1826" s="859"/>
      <c r="L1826" s="863"/>
      <c r="M1826" s="859"/>
      <c r="N1826" s="859"/>
      <c r="O1826" s="752">
        <f t="shared" si="242"/>
        <v>0</v>
      </c>
      <c r="P1826" s="862"/>
      <c r="Q1826" s="860"/>
      <c r="R1826" s="753">
        <f t="shared" si="245"/>
        <v>0</v>
      </c>
      <c r="S1826" s="752">
        <f t="shared" si="246"/>
        <v>172458</v>
      </c>
      <c r="T1826" s="754">
        <f t="shared" si="247"/>
        <v>172354</v>
      </c>
      <c r="U1826" s="859"/>
      <c r="V1826" s="863"/>
      <c r="W1826" s="859"/>
      <c r="X1826" s="859"/>
      <c r="Y1826" s="755">
        <f t="shared" si="243"/>
        <v>0</v>
      </c>
      <c r="Z1826" s="864"/>
      <c r="AA1826" s="863"/>
      <c r="AB1826" s="756">
        <f t="shared" si="244"/>
        <v>0</v>
      </c>
      <c r="AC1826" s="859"/>
      <c r="AD1826" s="863"/>
      <c r="AE1826" s="859"/>
      <c r="AF1826" s="859"/>
      <c r="AG1826" s="864"/>
      <c r="AH1826" s="865"/>
      <c r="AI1826" s="757">
        <f t="shared" si="248"/>
        <v>172458</v>
      </c>
      <c r="AJ1826" s="758">
        <f t="shared" si="249"/>
        <v>172354</v>
      </c>
    </row>
    <row r="1827" spans="1:36" x14ac:dyDescent="0.2">
      <c r="A1827" s="1217" t="s">
        <v>153</v>
      </c>
      <c r="B1827" s="1218" t="s">
        <v>275</v>
      </c>
      <c r="C1827" s="1223" t="s">
        <v>258</v>
      </c>
      <c r="D1827" s="1224"/>
      <c r="E1827" s="1221">
        <v>198622</v>
      </c>
      <c r="F1827" s="1222">
        <v>8</v>
      </c>
      <c r="G1827" s="859"/>
      <c r="H1827" s="860"/>
      <c r="I1827" s="861">
        <v>5070596</v>
      </c>
      <c r="J1827" s="862">
        <v>4879089</v>
      </c>
      <c r="K1827" s="859"/>
      <c r="L1827" s="863"/>
      <c r="M1827" s="859">
        <v>634327</v>
      </c>
      <c r="N1827" s="859"/>
      <c r="O1827" s="752">
        <f t="shared" si="242"/>
        <v>634327</v>
      </c>
      <c r="P1827" s="862">
        <v>498353</v>
      </c>
      <c r="Q1827" s="860"/>
      <c r="R1827" s="753">
        <f t="shared" si="245"/>
        <v>498353</v>
      </c>
      <c r="S1827" s="752">
        <f t="shared" si="246"/>
        <v>5704923</v>
      </c>
      <c r="T1827" s="754">
        <f t="shared" si="247"/>
        <v>5377442</v>
      </c>
      <c r="U1827" s="859"/>
      <c r="V1827" s="863"/>
      <c r="W1827" s="859"/>
      <c r="X1827" s="859"/>
      <c r="Y1827" s="755">
        <f t="shared" si="243"/>
        <v>0</v>
      </c>
      <c r="Z1827" s="864"/>
      <c r="AA1827" s="863"/>
      <c r="AB1827" s="756">
        <f t="shared" si="244"/>
        <v>0</v>
      </c>
      <c r="AC1827" s="859"/>
      <c r="AD1827" s="863"/>
      <c r="AE1827" s="859"/>
      <c r="AF1827" s="859"/>
      <c r="AG1827" s="864"/>
      <c r="AH1827" s="865"/>
      <c r="AI1827" s="757">
        <f t="shared" si="248"/>
        <v>5704923</v>
      </c>
      <c r="AJ1827" s="758">
        <f t="shared" si="249"/>
        <v>5377442</v>
      </c>
    </row>
    <row r="1828" spans="1:36" x14ac:dyDescent="0.2">
      <c r="A1828" s="1217" t="s">
        <v>153</v>
      </c>
      <c r="B1828" s="1218" t="s">
        <v>264</v>
      </c>
      <c r="C1828" s="1218" t="s">
        <v>1307</v>
      </c>
      <c r="D1828" s="1242"/>
      <c r="E1828" s="1221">
        <v>199333</v>
      </c>
      <c r="F1828" s="1222">
        <v>8</v>
      </c>
      <c r="G1828" s="859">
        <v>21661847</v>
      </c>
      <c r="H1828" s="860">
        <v>24220611</v>
      </c>
      <c r="I1828" s="861"/>
      <c r="J1828" s="862"/>
      <c r="K1828" s="859">
        <v>4650872</v>
      </c>
      <c r="L1828" s="863">
        <v>5095326</v>
      </c>
      <c r="M1828" s="859">
        <v>13629991</v>
      </c>
      <c r="N1828" s="859"/>
      <c r="O1828" s="752">
        <f t="shared" si="242"/>
        <v>13629991</v>
      </c>
      <c r="P1828" s="862">
        <v>13099809</v>
      </c>
      <c r="Q1828" s="860"/>
      <c r="R1828" s="753">
        <f t="shared" si="245"/>
        <v>13099809</v>
      </c>
      <c r="S1828" s="752">
        <f t="shared" si="246"/>
        <v>39942710</v>
      </c>
      <c r="T1828" s="754">
        <f t="shared" si="247"/>
        <v>42415746</v>
      </c>
      <c r="U1828" s="859"/>
      <c r="V1828" s="863"/>
      <c r="W1828" s="859"/>
      <c r="X1828" s="859"/>
      <c r="Y1828" s="755">
        <f t="shared" si="243"/>
        <v>0</v>
      </c>
      <c r="Z1828" s="864"/>
      <c r="AA1828" s="863"/>
      <c r="AB1828" s="756">
        <f t="shared" si="244"/>
        <v>0</v>
      </c>
      <c r="AC1828" s="859"/>
      <c r="AD1828" s="863"/>
      <c r="AE1828" s="859"/>
      <c r="AF1828" s="859"/>
      <c r="AG1828" s="864"/>
      <c r="AH1828" s="865"/>
      <c r="AI1828" s="757">
        <f t="shared" si="248"/>
        <v>39942710</v>
      </c>
      <c r="AJ1828" s="758">
        <f t="shared" si="249"/>
        <v>42415746</v>
      </c>
    </row>
    <row r="1829" spans="1:36" x14ac:dyDescent="0.2">
      <c r="A1829" s="1217" t="s">
        <v>153</v>
      </c>
      <c r="B1829" s="1218" t="s">
        <v>264</v>
      </c>
      <c r="C1829" s="1223" t="s">
        <v>1300</v>
      </c>
      <c r="D1829" s="1224"/>
      <c r="E1829" s="1221">
        <v>199333</v>
      </c>
      <c r="F1829" s="1222">
        <v>8</v>
      </c>
      <c r="G1829" s="859"/>
      <c r="H1829" s="860"/>
      <c r="I1829" s="861"/>
      <c r="J1829" s="862"/>
      <c r="K1829" s="859"/>
      <c r="L1829" s="863"/>
      <c r="M1829" s="859"/>
      <c r="N1829" s="859"/>
      <c r="O1829" s="752">
        <f t="shared" si="242"/>
        <v>0</v>
      </c>
      <c r="P1829" s="862"/>
      <c r="Q1829" s="860"/>
      <c r="R1829" s="753">
        <f t="shared" si="245"/>
        <v>0</v>
      </c>
      <c r="S1829" s="752">
        <f t="shared" si="246"/>
        <v>0</v>
      </c>
      <c r="T1829" s="754">
        <f t="shared" si="247"/>
        <v>0</v>
      </c>
      <c r="U1829" s="859"/>
      <c r="V1829" s="863"/>
      <c r="W1829" s="859"/>
      <c r="X1829" s="859"/>
      <c r="Y1829" s="755">
        <f t="shared" si="243"/>
        <v>0</v>
      </c>
      <c r="Z1829" s="864"/>
      <c r="AA1829" s="863"/>
      <c r="AB1829" s="756">
        <f t="shared" si="244"/>
        <v>0</v>
      </c>
      <c r="AC1829" s="859"/>
      <c r="AD1829" s="863"/>
      <c r="AE1829" s="859"/>
      <c r="AF1829" s="859"/>
      <c r="AG1829" s="864"/>
      <c r="AH1829" s="865"/>
      <c r="AI1829" s="757">
        <f t="shared" si="248"/>
        <v>0</v>
      </c>
      <c r="AJ1829" s="758">
        <f t="shared" si="249"/>
        <v>0</v>
      </c>
    </row>
    <row r="1830" spans="1:36" x14ac:dyDescent="0.2">
      <c r="A1830" s="1217" t="s">
        <v>153</v>
      </c>
      <c r="B1830" s="1218" t="s">
        <v>266</v>
      </c>
      <c r="C1830" s="1223" t="s">
        <v>319</v>
      </c>
      <c r="D1830" s="1224"/>
      <c r="E1830" s="1221">
        <v>199333</v>
      </c>
      <c r="F1830" s="1222">
        <v>8</v>
      </c>
      <c r="G1830" s="859"/>
      <c r="H1830" s="860"/>
      <c r="I1830" s="861">
        <v>157553</v>
      </c>
      <c r="J1830" s="862">
        <v>170030</v>
      </c>
      <c r="K1830" s="859"/>
      <c r="L1830" s="863"/>
      <c r="M1830" s="859"/>
      <c r="N1830" s="859"/>
      <c r="O1830" s="752">
        <f t="shared" si="242"/>
        <v>0</v>
      </c>
      <c r="P1830" s="862"/>
      <c r="Q1830" s="860"/>
      <c r="R1830" s="753">
        <f t="shared" si="245"/>
        <v>0</v>
      </c>
      <c r="S1830" s="752">
        <f t="shared" si="246"/>
        <v>157553</v>
      </c>
      <c r="T1830" s="754">
        <f t="shared" si="247"/>
        <v>170030</v>
      </c>
      <c r="U1830" s="859"/>
      <c r="V1830" s="863"/>
      <c r="W1830" s="859"/>
      <c r="X1830" s="859"/>
      <c r="Y1830" s="755">
        <f t="shared" si="243"/>
        <v>0</v>
      </c>
      <c r="Z1830" s="864"/>
      <c r="AA1830" s="863"/>
      <c r="AB1830" s="756">
        <f t="shared" si="244"/>
        <v>0</v>
      </c>
      <c r="AC1830" s="859"/>
      <c r="AD1830" s="863"/>
      <c r="AE1830" s="859"/>
      <c r="AF1830" s="859"/>
      <c r="AG1830" s="864"/>
      <c r="AH1830" s="865"/>
      <c r="AI1830" s="757">
        <f t="shared" si="248"/>
        <v>157553</v>
      </c>
      <c r="AJ1830" s="758">
        <f t="shared" si="249"/>
        <v>170030</v>
      </c>
    </row>
    <row r="1831" spans="1:36" x14ac:dyDescent="0.2">
      <c r="A1831" s="1217" t="s">
        <v>153</v>
      </c>
      <c r="B1831" s="1218" t="s">
        <v>275</v>
      </c>
      <c r="C1831" s="1223" t="s">
        <v>258</v>
      </c>
      <c r="D1831" s="1224"/>
      <c r="E1831" s="1221">
        <v>199333</v>
      </c>
      <c r="F1831" s="1222">
        <v>8</v>
      </c>
      <c r="G1831" s="859"/>
      <c r="H1831" s="860"/>
      <c r="I1831" s="861">
        <v>2696604</v>
      </c>
      <c r="J1831" s="862">
        <v>2709919</v>
      </c>
      <c r="K1831" s="859"/>
      <c r="L1831" s="863"/>
      <c r="M1831" s="859">
        <v>356229</v>
      </c>
      <c r="N1831" s="859"/>
      <c r="O1831" s="752">
        <f t="shared" si="242"/>
        <v>356229</v>
      </c>
      <c r="P1831" s="862">
        <v>360309</v>
      </c>
      <c r="Q1831" s="860"/>
      <c r="R1831" s="753">
        <f t="shared" si="245"/>
        <v>360309</v>
      </c>
      <c r="S1831" s="752">
        <f t="shared" si="246"/>
        <v>3052833</v>
      </c>
      <c r="T1831" s="754">
        <f t="shared" si="247"/>
        <v>3070228</v>
      </c>
      <c r="U1831" s="859"/>
      <c r="V1831" s="863"/>
      <c r="W1831" s="859"/>
      <c r="X1831" s="859"/>
      <c r="Y1831" s="755">
        <f t="shared" si="243"/>
        <v>0</v>
      </c>
      <c r="Z1831" s="864"/>
      <c r="AA1831" s="863"/>
      <c r="AB1831" s="756">
        <f t="shared" si="244"/>
        <v>0</v>
      </c>
      <c r="AC1831" s="859"/>
      <c r="AD1831" s="863"/>
      <c r="AE1831" s="859"/>
      <c r="AF1831" s="859"/>
      <c r="AG1831" s="864"/>
      <c r="AH1831" s="865"/>
      <c r="AI1831" s="757">
        <f t="shared" si="248"/>
        <v>3052833</v>
      </c>
      <c r="AJ1831" s="758">
        <f t="shared" si="249"/>
        <v>3070228</v>
      </c>
    </row>
    <row r="1832" spans="1:36" x14ac:dyDescent="0.2">
      <c r="A1832" s="1217" t="s">
        <v>153</v>
      </c>
      <c r="B1832" s="1218" t="s">
        <v>264</v>
      </c>
      <c r="C1832" s="1218" t="s">
        <v>1308</v>
      </c>
      <c r="D1832" s="1242"/>
      <c r="E1832" s="1221">
        <v>199494</v>
      </c>
      <c r="F1832" s="1222">
        <v>8</v>
      </c>
      <c r="G1832" s="859">
        <v>24495671</v>
      </c>
      <c r="H1832" s="860">
        <v>23556712</v>
      </c>
      <c r="I1832" s="861"/>
      <c r="J1832" s="862"/>
      <c r="K1832" s="859">
        <v>3884344</v>
      </c>
      <c r="L1832" s="863">
        <v>3942925</v>
      </c>
      <c r="M1832" s="859">
        <v>10120263</v>
      </c>
      <c r="N1832" s="859"/>
      <c r="O1832" s="752">
        <f t="shared" si="242"/>
        <v>10120263</v>
      </c>
      <c r="P1832" s="862">
        <v>9562407</v>
      </c>
      <c r="Q1832" s="860"/>
      <c r="R1832" s="753">
        <f t="shared" si="245"/>
        <v>9562407</v>
      </c>
      <c r="S1832" s="752">
        <f t="shared" si="246"/>
        <v>38500278</v>
      </c>
      <c r="T1832" s="754">
        <f t="shared" si="247"/>
        <v>37062044</v>
      </c>
      <c r="U1832" s="859"/>
      <c r="V1832" s="863"/>
      <c r="W1832" s="859"/>
      <c r="X1832" s="859"/>
      <c r="Y1832" s="755">
        <f t="shared" si="243"/>
        <v>0</v>
      </c>
      <c r="Z1832" s="864"/>
      <c r="AA1832" s="863"/>
      <c r="AB1832" s="756">
        <f t="shared" si="244"/>
        <v>0</v>
      </c>
      <c r="AC1832" s="859"/>
      <c r="AD1832" s="863"/>
      <c r="AE1832" s="859"/>
      <c r="AF1832" s="859"/>
      <c r="AG1832" s="864"/>
      <c r="AH1832" s="865"/>
      <c r="AI1832" s="757">
        <f t="shared" si="248"/>
        <v>38500278</v>
      </c>
      <c r="AJ1832" s="758">
        <f t="shared" si="249"/>
        <v>37062044</v>
      </c>
    </row>
    <row r="1833" spans="1:36" x14ac:dyDescent="0.2">
      <c r="A1833" s="1217" t="s">
        <v>153</v>
      </c>
      <c r="B1833" s="1218" t="s">
        <v>264</v>
      </c>
      <c r="C1833" s="1223" t="s">
        <v>1300</v>
      </c>
      <c r="D1833" s="1224"/>
      <c r="E1833" s="1221">
        <v>199494</v>
      </c>
      <c r="F1833" s="1222">
        <v>8</v>
      </c>
      <c r="G1833" s="859"/>
      <c r="H1833" s="860"/>
      <c r="I1833" s="861"/>
      <c r="J1833" s="862"/>
      <c r="K1833" s="859"/>
      <c r="L1833" s="863"/>
      <c r="M1833" s="859"/>
      <c r="N1833" s="859"/>
      <c r="O1833" s="752">
        <f t="shared" si="242"/>
        <v>0</v>
      </c>
      <c r="P1833" s="862"/>
      <c r="Q1833" s="860"/>
      <c r="R1833" s="753">
        <f t="shared" si="245"/>
        <v>0</v>
      </c>
      <c r="S1833" s="752">
        <f t="shared" si="246"/>
        <v>0</v>
      </c>
      <c r="T1833" s="754">
        <f t="shared" si="247"/>
        <v>0</v>
      </c>
      <c r="U1833" s="859"/>
      <c r="V1833" s="863"/>
      <c r="W1833" s="859"/>
      <c r="X1833" s="859"/>
      <c r="Y1833" s="755">
        <f t="shared" si="243"/>
        <v>0</v>
      </c>
      <c r="Z1833" s="864"/>
      <c r="AA1833" s="863"/>
      <c r="AB1833" s="756">
        <f t="shared" si="244"/>
        <v>0</v>
      </c>
      <c r="AC1833" s="859"/>
      <c r="AD1833" s="863"/>
      <c r="AE1833" s="859"/>
      <c r="AF1833" s="859"/>
      <c r="AG1833" s="864"/>
      <c r="AH1833" s="865"/>
      <c r="AI1833" s="757">
        <f t="shared" si="248"/>
        <v>0</v>
      </c>
      <c r="AJ1833" s="758">
        <f t="shared" si="249"/>
        <v>0</v>
      </c>
    </row>
    <row r="1834" spans="1:36" x14ac:dyDescent="0.2">
      <c r="A1834" s="1217" t="s">
        <v>153</v>
      </c>
      <c r="B1834" s="1218" t="s">
        <v>266</v>
      </c>
      <c r="C1834" s="1223" t="s">
        <v>319</v>
      </c>
      <c r="D1834" s="1224"/>
      <c r="E1834" s="1221">
        <v>199494</v>
      </c>
      <c r="F1834" s="1222">
        <v>8</v>
      </c>
      <c r="G1834" s="859"/>
      <c r="H1834" s="860"/>
      <c r="I1834" s="861">
        <v>167326</v>
      </c>
      <c r="J1834" s="862">
        <v>169273</v>
      </c>
      <c r="K1834" s="859"/>
      <c r="L1834" s="863"/>
      <c r="M1834" s="859"/>
      <c r="N1834" s="859"/>
      <c r="O1834" s="752">
        <f t="shared" si="242"/>
        <v>0</v>
      </c>
      <c r="P1834" s="862"/>
      <c r="Q1834" s="860"/>
      <c r="R1834" s="753">
        <f t="shared" si="245"/>
        <v>0</v>
      </c>
      <c r="S1834" s="752">
        <f t="shared" si="246"/>
        <v>167326</v>
      </c>
      <c r="T1834" s="754">
        <f t="shared" si="247"/>
        <v>169273</v>
      </c>
      <c r="U1834" s="859"/>
      <c r="V1834" s="863"/>
      <c r="W1834" s="859"/>
      <c r="X1834" s="859"/>
      <c r="Y1834" s="755">
        <f t="shared" si="243"/>
        <v>0</v>
      </c>
      <c r="Z1834" s="864"/>
      <c r="AA1834" s="863"/>
      <c r="AB1834" s="756">
        <f t="shared" si="244"/>
        <v>0</v>
      </c>
      <c r="AC1834" s="859"/>
      <c r="AD1834" s="863"/>
      <c r="AE1834" s="859"/>
      <c r="AF1834" s="859"/>
      <c r="AG1834" s="864"/>
      <c r="AH1834" s="865"/>
      <c r="AI1834" s="757">
        <f t="shared" si="248"/>
        <v>167326</v>
      </c>
      <c r="AJ1834" s="758">
        <f t="shared" si="249"/>
        <v>169273</v>
      </c>
    </row>
    <row r="1835" spans="1:36" x14ac:dyDescent="0.2">
      <c r="A1835" s="1217" t="s">
        <v>153</v>
      </c>
      <c r="B1835" s="1218" t="s">
        <v>275</v>
      </c>
      <c r="C1835" s="1223" t="s">
        <v>258</v>
      </c>
      <c r="D1835" s="1224"/>
      <c r="E1835" s="1221">
        <v>199494</v>
      </c>
      <c r="F1835" s="1222">
        <v>8</v>
      </c>
      <c r="G1835" s="859"/>
      <c r="H1835" s="860"/>
      <c r="I1835" s="861">
        <v>3501781</v>
      </c>
      <c r="J1835" s="862">
        <v>3158726</v>
      </c>
      <c r="K1835" s="859"/>
      <c r="L1835" s="863"/>
      <c r="M1835" s="859">
        <v>356962</v>
      </c>
      <c r="N1835" s="859"/>
      <c r="O1835" s="752">
        <f t="shared" si="242"/>
        <v>356962</v>
      </c>
      <c r="P1835" s="862">
        <v>448961</v>
      </c>
      <c r="Q1835" s="860"/>
      <c r="R1835" s="753">
        <f t="shared" si="245"/>
        <v>448961</v>
      </c>
      <c r="S1835" s="752">
        <f t="shared" si="246"/>
        <v>3858743</v>
      </c>
      <c r="T1835" s="754">
        <f t="shared" si="247"/>
        <v>3607687</v>
      </c>
      <c r="U1835" s="859"/>
      <c r="V1835" s="863"/>
      <c r="W1835" s="859"/>
      <c r="X1835" s="859"/>
      <c r="Y1835" s="755">
        <f t="shared" si="243"/>
        <v>0</v>
      </c>
      <c r="Z1835" s="864"/>
      <c r="AA1835" s="863"/>
      <c r="AB1835" s="756">
        <f t="shared" si="244"/>
        <v>0</v>
      </c>
      <c r="AC1835" s="859"/>
      <c r="AD1835" s="863"/>
      <c r="AE1835" s="859"/>
      <c r="AF1835" s="859"/>
      <c r="AG1835" s="864"/>
      <c r="AH1835" s="865"/>
      <c r="AI1835" s="757">
        <f t="shared" si="248"/>
        <v>3858743</v>
      </c>
      <c r="AJ1835" s="758">
        <f t="shared" si="249"/>
        <v>3607687</v>
      </c>
    </row>
    <row r="1836" spans="1:36" x14ac:dyDescent="0.2">
      <c r="A1836" s="1217" t="s">
        <v>153</v>
      </c>
      <c r="B1836" s="1218" t="s">
        <v>264</v>
      </c>
      <c r="C1836" s="1218" t="s">
        <v>1309</v>
      </c>
      <c r="D1836" s="1242"/>
      <c r="E1836" s="1221">
        <v>199856</v>
      </c>
      <c r="F1836" s="1222">
        <v>8</v>
      </c>
      <c r="G1836" s="859">
        <v>47844093</v>
      </c>
      <c r="H1836" s="860">
        <v>51306986</v>
      </c>
      <c r="I1836" s="861"/>
      <c r="J1836" s="862"/>
      <c r="K1836" s="859">
        <v>16190938</v>
      </c>
      <c r="L1836" s="863">
        <v>16190938</v>
      </c>
      <c r="M1836" s="859">
        <v>25650000</v>
      </c>
      <c r="N1836" s="859"/>
      <c r="O1836" s="752">
        <f t="shared" si="242"/>
        <v>25650000</v>
      </c>
      <c r="P1836" s="862">
        <v>26645646</v>
      </c>
      <c r="Q1836" s="860"/>
      <c r="R1836" s="753">
        <f t="shared" si="245"/>
        <v>26645646</v>
      </c>
      <c r="S1836" s="752">
        <f t="shared" si="246"/>
        <v>89685031</v>
      </c>
      <c r="T1836" s="754">
        <f t="shared" si="247"/>
        <v>94143570</v>
      </c>
      <c r="U1836" s="859"/>
      <c r="V1836" s="863"/>
      <c r="W1836" s="859"/>
      <c r="X1836" s="859"/>
      <c r="Y1836" s="755">
        <f t="shared" si="243"/>
        <v>0</v>
      </c>
      <c r="Z1836" s="864"/>
      <c r="AA1836" s="863"/>
      <c r="AB1836" s="756">
        <f t="shared" si="244"/>
        <v>0</v>
      </c>
      <c r="AC1836" s="859"/>
      <c r="AD1836" s="863"/>
      <c r="AE1836" s="859"/>
      <c r="AF1836" s="859"/>
      <c r="AG1836" s="864"/>
      <c r="AH1836" s="865"/>
      <c r="AI1836" s="757">
        <f t="shared" si="248"/>
        <v>89685031</v>
      </c>
      <c r="AJ1836" s="758">
        <f t="shared" si="249"/>
        <v>94143570</v>
      </c>
    </row>
    <row r="1837" spans="1:36" x14ac:dyDescent="0.2">
      <c r="A1837" s="1217" t="s">
        <v>153</v>
      </c>
      <c r="B1837" s="1218" t="s">
        <v>264</v>
      </c>
      <c r="C1837" s="1223" t="s">
        <v>1300</v>
      </c>
      <c r="D1837" s="1224"/>
      <c r="E1837" s="1221">
        <v>199856</v>
      </c>
      <c r="F1837" s="1222">
        <v>8</v>
      </c>
      <c r="G1837" s="859"/>
      <c r="H1837" s="860"/>
      <c r="I1837" s="861"/>
      <c r="J1837" s="862"/>
      <c r="K1837" s="859"/>
      <c r="L1837" s="863"/>
      <c r="M1837" s="859"/>
      <c r="N1837" s="859"/>
      <c r="O1837" s="752">
        <f t="shared" si="242"/>
        <v>0</v>
      </c>
      <c r="P1837" s="862"/>
      <c r="Q1837" s="860"/>
      <c r="R1837" s="753">
        <f t="shared" si="245"/>
        <v>0</v>
      </c>
      <c r="S1837" s="752">
        <f t="shared" si="246"/>
        <v>0</v>
      </c>
      <c r="T1837" s="754">
        <f t="shared" si="247"/>
        <v>0</v>
      </c>
      <c r="U1837" s="859"/>
      <c r="V1837" s="863"/>
      <c r="W1837" s="859"/>
      <c r="X1837" s="859"/>
      <c r="Y1837" s="755">
        <f t="shared" si="243"/>
        <v>0</v>
      </c>
      <c r="Z1837" s="864"/>
      <c r="AA1837" s="863"/>
      <c r="AB1837" s="756">
        <f t="shared" si="244"/>
        <v>0</v>
      </c>
      <c r="AC1837" s="859"/>
      <c r="AD1837" s="863"/>
      <c r="AE1837" s="859"/>
      <c r="AF1837" s="859"/>
      <c r="AG1837" s="864"/>
      <c r="AH1837" s="865"/>
      <c r="AI1837" s="757">
        <f t="shared" si="248"/>
        <v>0</v>
      </c>
      <c r="AJ1837" s="758">
        <f t="shared" si="249"/>
        <v>0</v>
      </c>
    </row>
    <row r="1838" spans="1:36" x14ac:dyDescent="0.2">
      <c r="A1838" s="1217" t="s">
        <v>153</v>
      </c>
      <c r="B1838" s="1218" t="s">
        <v>266</v>
      </c>
      <c r="C1838" s="1223" t="s">
        <v>319</v>
      </c>
      <c r="D1838" s="1224"/>
      <c r="E1838" s="1221">
        <v>199856</v>
      </c>
      <c r="F1838" s="1222">
        <v>8</v>
      </c>
      <c r="G1838" s="859"/>
      <c r="H1838" s="860"/>
      <c r="I1838" s="861">
        <v>174723</v>
      </c>
      <c r="J1838" s="862">
        <v>175056</v>
      </c>
      <c r="K1838" s="859"/>
      <c r="L1838" s="863"/>
      <c r="M1838" s="859"/>
      <c r="N1838" s="859"/>
      <c r="O1838" s="752">
        <f t="shared" si="242"/>
        <v>0</v>
      </c>
      <c r="P1838" s="862"/>
      <c r="Q1838" s="860"/>
      <c r="R1838" s="753">
        <f t="shared" si="245"/>
        <v>0</v>
      </c>
      <c r="S1838" s="752">
        <f t="shared" si="246"/>
        <v>174723</v>
      </c>
      <c r="T1838" s="754">
        <f t="shared" si="247"/>
        <v>175056</v>
      </c>
      <c r="U1838" s="859"/>
      <c r="V1838" s="863"/>
      <c r="W1838" s="859"/>
      <c r="X1838" s="859"/>
      <c r="Y1838" s="755">
        <f t="shared" si="243"/>
        <v>0</v>
      </c>
      <c r="Z1838" s="864"/>
      <c r="AA1838" s="863"/>
      <c r="AB1838" s="756">
        <f t="shared" si="244"/>
        <v>0</v>
      </c>
      <c r="AC1838" s="859"/>
      <c r="AD1838" s="863"/>
      <c r="AE1838" s="859"/>
      <c r="AF1838" s="859"/>
      <c r="AG1838" s="864"/>
      <c r="AH1838" s="865"/>
      <c r="AI1838" s="757">
        <f t="shared" si="248"/>
        <v>174723</v>
      </c>
      <c r="AJ1838" s="758">
        <f t="shared" si="249"/>
        <v>175056</v>
      </c>
    </row>
    <row r="1839" spans="1:36" x14ac:dyDescent="0.2">
      <c r="A1839" s="1217" t="s">
        <v>153</v>
      </c>
      <c r="B1839" s="1218" t="s">
        <v>275</v>
      </c>
      <c r="C1839" s="1223" t="s">
        <v>258</v>
      </c>
      <c r="D1839" s="1224"/>
      <c r="E1839" s="1221">
        <v>199856</v>
      </c>
      <c r="F1839" s="1222">
        <v>8</v>
      </c>
      <c r="G1839" s="859"/>
      <c r="H1839" s="860"/>
      <c r="I1839" s="861">
        <v>7694269</v>
      </c>
      <c r="J1839" s="862">
        <v>8263528</v>
      </c>
      <c r="K1839" s="859"/>
      <c r="L1839" s="863"/>
      <c r="M1839" s="859">
        <v>1766644</v>
      </c>
      <c r="N1839" s="859"/>
      <c r="O1839" s="752">
        <f t="shared" si="242"/>
        <v>1766644</v>
      </c>
      <c r="P1839" s="862">
        <v>1036600</v>
      </c>
      <c r="Q1839" s="860"/>
      <c r="R1839" s="753">
        <f t="shared" si="245"/>
        <v>1036600</v>
      </c>
      <c r="S1839" s="752">
        <f t="shared" si="246"/>
        <v>9460913</v>
      </c>
      <c r="T1839" s="754">
        <f t="shared" si="247"/>
        <v>9300128</v>
      </c>
      <c r="U1839" s="859"/>
      <c r="V1839" s="863"/>
      <c r="W1839" s="859"/>
      <c r="X1839" s="859"/>
      <c r="Y1839" s="755">
        <f t="shared" si="243"/>
        <v>0</v>
      </c>
      <c r="Z1839" s="864"/>
      <c r="AA1839" s="863"/>
      <c r="AB1839" s="756">
        <f t="shared" si="244"/>
        <v>0</v>
      </c>
      <c r="AC1839" s="859"/>
      <c r="AD1839" s="863"/>
      <c r="AE1839" s="859"/>
      <c r="AF1839" s="859"/>
      <c r="AG1839" s="864"/>
      <c r="AH1839" s="865"/>
      <c r="AI1839" s="757">
        <f t="shared" si="248"/>
        <v>9460913</v>
      </c>
      <c r="AJ1839" s="758">
        <f t="shared" si="249"/>
        <v>9300128</v>
      </c>
    </row>
    <row r="1840" spans="1:36" x14ac:dyDescent="0.2">
      <c r="A1840" s="1217" t="s">
        <v>153</v>
      </c>
      <c r="B1840" s="1218" t="s">
        <v>264</v>
      </c>
      <c r="C1840" s="1303" t="s">
        <v>1310</v>
      </c>
      <c r="D1840" s="1304"/>
      <c r="E1840" s="1221">
        <v>199786</v>
      </c>
      <c r="F1840" s="1222">
        <v>9</v>
      </c>
      <c r="G1840" s="859">
        <v>14324150</v>
      </c>
      <c r="H1840" s="860">
        <v>13605058</v>
      </c>
      <c r="I1840" s="861"/>
      <c r="J1840" s="862"/>
      <c r="K1840" s="859">
        <v>2623347</v>
      </c>
      <c r="L1840" s="863">
        <v>2754515</v>
      </c>
      <c r="M1840" s="859">
        <v>7577798</v>
      </c>
      <c r="N1840" s="859"/>
      <c r="O1840" s="752">
        <f t="shared" si="242"/>
        <v>7577798</v>
      </c>
      <c r="P1840" s="862">
        <v>6739376</v>
      </c>
      <c r="Q1840" s="860"/>
      <c r="R1840" s="753">
        <f t="shared" si="245"/>
        <v>6739376</v>
      </c>
      <c r="S1840" s="752">
        <f t="shared" si="246"/>
        <v>24525295</v>
      </c>
      <c r="T1840" s="754">
        <f t="shared" si="247"/>
        <v>23098949</v>
      </c>
      <c r="U1840" s="859"/>
      <c r="V1840" s="863"/>
      <c r="W1840" s="859"/>
      <c r="X1840" s="859"/>
      <c r="Y1840" s="755">
        <f t="shared" si="243"/>
        <v>0</v>
      </c>
      <c r="Z1840" s="864"/>
      <c r="AA1840" s="863"/>
      <c r="AB1840" s="756">
        <f t="shared" si="244"/>
        <v>0</v>
      </c>
      <c r="AC1840" s="859"/>
      <c r="AD1840" s="863"/>
      <c r="AE1840" s="859"/>
      <c r="AF1840" s="859"/>
      <c r="AG1840" s="864"/>
      <c r="AH1840" s="865"/>
      <c r="AI1840" s="757">
        <f t="shared" si="248"/>
        <v>24525295</v>
      </c>
      <c r="AJ1840" s="758">
        <f t="shared" si="249"/>
        <v>23098949</v>
      </c>
    </row>
    <row r="1841" spans="1:36" x14ac:dyDescent="0.2">
      <c r="A1841" s="1217" t="s">
        <v>153</v>
      </c>
      <c r="B1841" s="1218" t="s">
        <v>264</v>
      </c>
      <c r="C1841" s="1223" t="s">
        <v>1300</v>
      </c>
      <c r="D1841" s="1224"/>
      <c r="E1841" s="1221">
        <v>199786</v>
      </c>
      <c r="F1841" s="1222">
        <v>9</v>
      </c>
      <c r="G1841" s="859"/>
      <c r="H1841" s="860"/>
      <c r="I1841" s="861"/>
      <c r="J1841" s="862"/>
      <c r="K1841" s="859"/>
      <c r="L1841" s="863"/>
      <c r="M1841" s="859"/>
      <c r="N1841" s="859"/>
      <c r="O1841" s="752">
        <f t="shared" si="242"/>
        <v>0</v>
      </c>
      <c r="P1841" s="862"/>
      <c r="Q1841" s="860"/>
      <c r="R1841" s="753">
        <f t="shared" si="245"/>
        <v>0</v>
      </c>
      <c r="S1841" s="752">
        <f t="shared" si="246"/>
        <v>0</v>
      </c>
      <c r="T1841" s="754">
        <f t="shared" si="247"/>
        <v>0</v>
      </c>
      <c r="U1841" s="859"/>
      <c r="V1841" s="863"/>
      <c r="W1841" s="859"/>
      <c r="X1841" s="859"/>
      <c r="Y1841" s="755">
        <f t="shared" si="243"/>
        <v>0</v>
      </c>
      <c r="Z1841" s="864"/>
      <c r="AA1841" s="863"/>
      <c r="AB1841" s="756">
        <f t="shared" si="244"/>
        <v>0</v>
      </c>
      <c r="AC1841" s="859"/>
      <c r="AD1841" s="863"/>
      <c r="AE1841" s="859"/>
      <c r="AF1841" s="859"/>
      <c r="AG1841" s="864"/>
      <c r="AH1841" s="865"/>
      <c r="AI1841" s="757">
        <f t="shared" si="248"/>
        <v>0</v>
      </c>
      <c r="AJ1841" s="758">
        <f t="shared" si="249"/>
        <v>0</v>
      </c>
    </row>
    <row r="1842" spans="1:36" x14ac:dyDescent="0.2">
      <c r="A1842" s="1217" t="s">
        <v>153</v>
      </c>
      <c r="B1842" s="1218" t="s">
        <v>266</v>
      </c>
      <c r="C1842" s="1223" t="s">
        <v>319</v>
      </c>
      <c r="D1842" s="1224"/>
      <c r="E1842" s="1221">
        <v>199786</v>
      </c>
      <c r="F1842" s="1222">
        <v>9</v>
      </c>
      <c r="G1842" s="859"/>
      <c r="H1842" s="860"/>
      <c r="I1842" s="861">
        <v>163024</v>
      </c>
      <c r="J1842" s="862">
        <v>163976</v>
      </c>
      <c r="K1842" s="859"/>
      <c r="L1842" s="863"/>
      <c r="M1842" s="859"/>
      <c r="N1842" s="859"/>
      <c r="O1842" s="752">
        <f t="shared" si="242"/>
        <v>0</v>
      </c>
      <c r="P1842" s="862"/>
      <c r="Q1842" s="860"/>
      <c r="R1842" s="753">
        <f t="shared" si="245"/>
        <v>0</v>
      </c>
      <c r="S1842" s="752">
        <f t="shared" si="246"/>
        <v>163024</v>
      </c>
      <c r="T1842" s="754">
        <f t="shared" si="247"/>
        <v>163976</v>
      </c>
      <c r="U1842" s="859"/>
      <c r="V1842" s="863"/>
      <c r="W1842" s="859"/>
      <c r="X1842" s="859"/>
      <c r="Y1842" s="755">
        <f t="shared" si="243"/>
        <v>0</v>
      </c>
      <c r="Z1842" s="864"/>
      <c r="AA1842" s="863"/>
      <c r="AB1842" s="756">
        <f t="shared" si="244"/>
        <v>0</v>
      </c>
      <c r="AC1842" s="859"/>
      <c r="AD1842" s="863"/>
      <c r="AE1842" s="859"/>
      <c r="AF1842" s="859"/>
      <c r="AG1842" s="864"/>
      <c r="AH1842" s="865"/>
      <c r="AI1842" s="757">
        <f t="shared" si="248"/>
        <v>163024</v>
      </c>
      <c r="AJ1842" s="758">
        <f t="shared" si="249"/>
        <v>163976</v>
      </c>
    </row>
    <row r="1843" spans="1:36" x14ac:dyDescent="0.2">
      <c r="A1843" s="1217" t="s">
        <v>153</v>
      </c>
      <c r="B1843" s="1218" t="s">
        <v>275</v>
      </c>
      <c r="C1843" s="1223" t="s">
        <v>258</v>
      </c>
      <c r="D1843" s="1224"/>
      <c r="E1843" s="1221">
        <v>199786</v>
      </c>
      <c r="F1843" s="1222">
        <v>9</v>
      </c>
      <c r="G1843" s="859"/>
      <c r="H1843" s="860"/>
      <c r="I1843" s="861">
        <v>2123762</v>
      </c>
      <c r="J1843" s="862">
        <v>2025978</v>
      </c>
      <c r="K1843" s="859"/>
      <c r="L1843" s="863"/>
      <c r="M1843" s="859">
        <v>328233</v>
      </c>
      <c r="N1843" s="859"/>
      <c r="O1843" s="752">
        <f t="shared" si="242"/>
        <v>328233</v>
      </c>
      <c r="P1843" s="862">
        <v>229863</v>
      </c>
      <c r="Q1843" s="860"/>
      <c r="R1843" s="753">
        <f t="shared" si="245"/>
        <v>229863</v>
      </c>
      <c r="S1843" s="752">
        <f t="shared" si="246"/>
        <v>2451995</v>
      </c>
      <c r="T1843" s="754">
        <f t="shared" si="247"/>
        <v>2255841</v>
      </c>
      <c r="U1843" s="859"/>
      <c r="V1843" s="863"/>
      <c r="W1843" s="859"/>
      <c r="X1843" s="859"/>
      <c r="Y1843" s="755">
        <f t="shared" si="243"/>
        <v>0</v>
      </c>
      <c r="Z1843" s="864"/>
      <c r="AA1843" s="863"/>
      <c r="AB1843" s="756">
        <f t="shared" si="244"/>
        <v>0</v>
      </c>
      <c r="AC1843" s="859"/>
      <c r="AD1843" s="863"/>
      <c r="AE1843" s="859"/>
      <c r="AF1843" s="859"/>
      <c r="AG1843" s="864"/>
      <c r="AH1843" s="865"/>
      <c r="AI1843" s="757">
        <f t="shared" si="248"/>
        <v>2451995</v>
      </c>
      <c r="AJ1843" s="758">
        <f t="shared" si="249"/>
        <v>2255841</v>
      </c>
    </row>
    <row r="1844" spans="1:36" x14ac:dyDescent="0.2">
      <c r="A1844" s="1217" t="s">
        <v>153</v>
      </c>
      <c r="B1844" s="1218" t="s">
        <v>264</v>
      </c>
      <c r="C1844" s="1303" t="s">
        <v>1311</v>
      </c>
      <c r="D1844" s="1304"/>
      <c r="E1844" s="1221">
        <v>198118</v>
      </c>
      <c r="F1844" s="1222">
        <v>9</v>
      </c>
      <c r="G1844" s="859">
        <v>14593942</v>
      </c>
      <c r="H1844" s="860">
        <v>13744649</v>
      </c>
      <c r="I1844" s="861"/>
      <c r="J1844" s="862"/>
      <c r="K1844" s="859">
        <v>3988805</v>
      </c>
      <c r="L1844" s="863">
        <v>3986130</v>
      </c>
      <c r="M1844" s="859">
        <v>6644363</v>
      </c>
      <c r="N1844" s="859"/>
      <c r="O1844" s="752">
        <f t="shared" si="242"/>
        <v>6644363</v>
      </c>
      <c r="P1844" s="862">
        <v>6561690</v>
      </c>
      <c r="Q1844" s="860"/>
      <c r="R1844" s="753">
        <f t="shared" si="245"/>
        <v>6561690</v>
      </c>
      <c r="S1844" s="752">
        <f t="shared" si="246"/>
        <v>25227110</v>
      </c>
      <c r="T1844" s="754">
        <f t="shared" si="247"/>
        <v>24292469</v>
      </c>
      <c r="U1844" s="859"/>
      <c r="V1844" s="863"/>
      <c r="W1844" s="859"/>
      <c r="X1844" s="859"/>
      <c r="Y1844" s="755">
        <f t="shared" si="243"/>
        <v>0</v>
      </c>
      <c r="Z1844" s="864"/>
      <c r="AA1844" s="863"/>
      <c r="AB1844" s="756">
        <f t="shared" si="244"/>
        <v>0</v>
      </c>
      <c r="AC1844" s="859"/>
      <c r="AD1844" s="863"/>
      <c r="AE1844" s="859"/>
      <c r="AF1844" s="859"/>
      <c r="AG1844" s="864"/>
      <c r="AH1844" s="865"/>
      <c r="AI1844" s="757">
        <f t="shared" si="248"/>
        <v>25227110</v>
      </c>
      <c r="AJ1844" s="758">
        <f t="shared" si="249"/>
        <v>24292469</v>
      </c>
    </row>
    <row r="1845" spans="1:36" x14ac:dyDescent="0.2">
      <c r="A1845" s="1217" t="s">
        <v>153</v>
      </c>
      <c r="B1845" s="1218" t="s">
        <v>264</v>
      </c>
      <c r="C1845" s="1223" t="s">
        <v>1300</v>
      </c>
      <c r="D1845" s="1224"/>
      <c r="E1845" s="1221">
        <v>198118</v>
      </c>
      <c r="F1845" s="1222">
        <v>9</v>
      </c>
      <c r="G1845" s="859"/>
      <c r="H1845" s="860"/>
      <c r="I1845" s="861"/>
      <c r="J1845" s="862"/>
      <c r="K1845" s="859"/>
      <c r="L1845" s="863"/>
      <c r="M1845" s="859"/>
      <c r="N1845" s="859"/>
      <c r="O1845" s="752">
        <f t="shared" si="242"/>
        <v>0</v>
      </c>
      <c r="P1845" s="862"/>
      <c r="Q1845" s="860"/>
      <c r="R1845" s="753">
        <f t="shared" si="245"/>
        <v>0</v>
      </c>
      <c r="S1845" s="752">
        <f t="shared" si="246"/>
        <v>0</v>
      </c>
      <c r="T1845" s="754">
        <f t="shared" si="247"/>
        <v>0</v>
      </c>
      <c r="U1845" s="859"/>
      <c r="V1845" s="863"/>
      <c r="W1845" s="859"/>
      <c r="X1845" s="859"/>
      <c r="Y1845" s="755">
        <f t="shared" si="243"/>
        <v>0</v>
      </c>
      <c r="Z1845" s="864"/>
      <c r="AA1845" s="863"/>
      <c r="AB1845" s="756">
        <f t="shared" si="244"/>
        <v>0</v>
      </c>
      <c r="AC1845" s="859"/>
      <c r="AD1845" s="863"/>
      <c r="AE1845" s="859"/>
      <c r="AF1845" s="859"/>
      <c r="AG1845" s="864"/>
      <c r="AH1845" s="865"/>
      <c r="AI1845" s="757">
        <f t="shared" si="248"/>
        <v>0</v>
      </c>
      <c r="AJ1845" s="758">
        <f t="shared" si="249"/>
        <v>0</v>
      </c>
    </row>
    <row r="1846" spans="1:36" x14ac:dyDescent="0.2">
      <c r="A1846" s="1217" t="s">
        <v>153</v>
      </c>
      <c r="B1846" s="1218" t="s">
        <v>266</v>
      </c>
      <c r="C1846" s="1223" t="s">
        <v>319</v>
      </c>
      <c r="D1846" s="1224"/>
      <c r="E1846" s="1221">
        <v>198118</v>
      </c>
      <c r="F1846" s="1222">
        <v>9</v>
      </c>
      <c r="G1846" s="859"/>
      <c r="H1846" s="860"/>
      <c r="I1846" s="861">
        <v>151364</v>
      </c>
      <c r="J1846" s="862">
        <v>149814</v>
      </c>
      <c r="K1846" s="859"/>
      <c r="L1846" s="863"/>
      <c r="M1846" s="859"/>
      <c r="N1846" s="859"/>
      <c r="O1846" s="752">
        <f t="shared" si="242"/>
        <v>0</v>
      </c>
      <c r="P1846" s="862"/>
      <c r="Q1846" s="860"/>
      <c r="R1846" s="753">
        <f t="shared" si="245"/>
        <v>0</v>
      </c>
      <c r="S1846" s="752">
        <f t="shared" si="246"/>
        <v>151364</v>
      </c>
      <c r="T1846" s="754">
        <f t="shared" si="247"/>
        <v>149814</v>
      </c>
      <c r="U1846" s="859"/>
      <c r="V1846" s="863"/>
      <c r="W1846" s="859"/>
      <c r="X1846" s="859"/>
      <c r="Y1846" s="755">
        <f t="shared" si="243"/>
        <v>0</v>
      </c>
      <c r="Z1846" s="864"/>
      <c r="AA1846" s="863"/>
      <c r="AB1846" s="756">
        <f t="shared" si="244"/>
        <v>0</v>
      </c>
      <c r="AC1846" s="859"/>
      <c r="AD1846" s="863"/>
      <c r="AE1846" s="859"/>
      <c r="AF1846" s="859"/>
      <c r="AG1846" s="864"/>
      <c r="AH1846" s="865"/>
      <c r="AI1846" s="757">
        <f t="shared" si="248"/>
        <v>151364</v>
      </c>
      <c r="AJ1846" s="758">
        <f t="shared" si="249"/>
        <v>149814</v>
      </c>
    </row>
    <row r="1847" spans="1:36" x14ac:dyDescent="0.2">
      <c r="A1847" s="1217" t="s">
        <v>153</v>
      </c>
      <c r="B1847" s="1218" t="s">
        <v>275</v>
      </c>
      <c r="C1847" s="1223" t="s">
        <v>258</v>
      </c>
      <c r="D1847" s="1224"/>
      <c r="E1847" s="1221">
        <v>198118</v>
      </c>
      <c r="F1847" s="1222">
        <v>9</v>
      </c>
      <c r="G1847" s="859"/>
      <c r="H1847" s="860"/>
      <c r="I1847" s="861">
        <v>2566685</v>
      </c>
      <c r="J1847" s="862">
        <v>2300404</v>
      </c>
      <c r="K1847" s="859"/>
      <c r="L1847" s="863"/>
      <c r="M1847" s="859">
        <v>381863</v>
      </c>
      <c r="N1847" s="859"/>
      <c r="O1847" s="752">
        <f t="shared" si="242"/>
        <v>381863</v>
      </c>
      <c r="P1847" s="862">
        <v>309650</v>
      </c>
      <c r="Q1847" s="860"/>
      <c r="R1847" s="753">
        <f t="shared" si="245"/>
        <v>309650</v>
      </c>
      <c r="S1847" s="752">
        <f t="shared" si="246"/>
        <v>2948548</v>
      </c>
      <c r="T1847" s="754">
        <f t="shared" si="247"/>
        <v>2610054</v>
      </c>
      <c r="U1847" s="859"/>
      <c r="V1847" s="863"/>
      <c r="W1847" s="859"/>
      <c r="X1847" s="859"/>
      <c r="Y1847" s="755">
        <f t="shared" si="243"/>
        <v>0</v>
      </c>
      <c r="Z1847" s="864"/>
      <c r="AA1847" s="863"/>
      <c r="AB1847" s="756">
        <f t="shared" si="244"/>
        <v>0</v>
      </c>
      <c r="AC1847" s="859"/>
      <c r="AD1847" s="863"/>
      <c r="AE1847" s="859"/>
      <c r="AF1847" s="859"/>
      <c r="AG1847" s="864"/>
      <c r="AH1847" s="865"/>
      <c r="AI1847" s="757">
        <f t="shared" si="248"/>
        <v>2948548</v>
      </c>
      <c r="AJ1847" s="758">
        <f t="shared" si="249"/>
        <v>2610054</v>
      </c>
    </row>
    <row r="1848" spans="1:36" x14ac:dyDescent="0.2">
      <c r="A1848" s="1217" t="s">
        <v>153</v>
      </c>
      <c r="B1848" s="1218" t="s">
        <v>264</v>
      </c>
      <c r="C1848" s="1303" t="s">
        <v>1312</v>
      </c>
      <c r="D1848" s="1304"/>
      <c r="E1848" s="1221">
        <v>198233</v>
      </c>
      <c r="F1848" s="1231">
        <v>9</v>
      </c>
      <c r="G1848" s="859">
        <v>16507047</v>
      </c>
      <c r="H1848" s="860">
        <v>15155755</v>
      </c>
      <c r="I1848" s="861"/>
      <c r="J1848" s="862"/>
      <c r="K1848" s="859">
        <v>3762188</v>
      </c>
      <c r="L1848" s="863">
        <v>3850000</v>
      </c>
      <c r="M1848" s="859">
        <v>6898749</v>
      </c>
      <c r="N1848" s="859"/>
      <c r="O1848" s="752">
        <f t="shared" si="242"/>
        <v>6898749</v>
      </c>
      <c r="P1848" s="862">
        <v>7109253</v>
      </c>
      <c r="Q1848" s="860"/>
      <c r="R1848" s="753">
        <f t="shared" si="245"/>
        <v>7109253</v>
      </c>
      <c r="S1848" s="752">
        <f t="shared" si="246"/>
        <v>27167984</v>
      </c>
      <c r="T1848" s="754">
        <f t="shared" si="247"/>
        <v>26115008</v>
      </c>
      <c r="U1848" s="859"/>
      <c r="V1848" s="863"/>
      <c r="W1848" s="859"/>
      <c r="X1848" s="859"/>
      <c r="Y1848" s="755">
        <f t="shared" si="243"/>
        <v>0</v>
      </c>
      <c r="Z1848" s="864"/>
      <c r="AA1848" s="863"/>
      <c r="AB1848" s="756">
        <f t="shared" si="244"/>
        <v>0</v>
      </c>
      <c r="AC1848" s="859"/>
      <c r="AD1848" s="863"/>
      <c r="AE1848" s="859"/>
      <c r="AF1848" s="859"/>
      <c r="AG1848" s="864"/>
      <c r="AH1848" s="865"/>
      <c r="AI1848" s="757">
        <f t="shared" si="248"/>
        <v>27167984</v>
      </c>
      <c r="AJ1848" s="758">
        <f t="shared" si="249"/>
        <v>26115008</v>
      </c>
    </row>
    <row r="1849" spans="1:36" x14ac:dyDescent="0.2">
      <c r="A1849" s="1217" t="s">
        <v>153</v>
      </c>
      <c r="B1849" s="1218" t="s">
        <v>264</v>
      </c>
      <c r="C1849" s="1223" t="s">
        <v>1300</v>
      </c>
      <c r="D1849" s="1224"/>
      <c r="E1849" s="1221">
        <v>198233</v>
      </c>
      <c r="F1849" s="1231">
        <v>9</v>
      </c>
      <c r="G1849" s="859"/>
      <c r="H1849" s="860"/>
      <c r="I1849" s="861"/>
      <c r="J1849" s="862"/>
      <c r="K1849" s="859"/>
      <c r="L1849" s="863"/>
      <c r="M1849" s="859"/>
      <c r="N1849" s="859"/>
      <c r="O1849" s="752">
        <f t="shared" si="242"/>
        <v>0</v>
      </c>
      <c r="P1849" s="862"/>
      <c r="Q1849" s="860"/>
      <c r="R1849" s="753">
        <f t="shared" si="245"/>
        <v>0</v>
      </c>
      <c r="S1849" s="752">
        <f t="shared" si="246"/>
        <v>0</v>
      </c>
      <c r="T1849" s="754">
        <f t="shared" si="247"/>
        <v>0</v>
      </c>
      <c r="U1849" s="859"/>
      <c r="V1849" s="863"/>
      <c r="W1849" s="859"/>
      <c r="X1849" s="859"/>
      <c r="Y1849" s="755">
        <f t="shared" si="243"/>
        <v>0</v>
      </c>
      <c r="Z1849" s="864"/>
      <c r="AA1849" s="863"/>
      <c r="AB1849" s="756">
        <f t="shared" si="244"/>
        <v>0</v>
      </c>
      <c r="AC1849" s="859"/>
      <c r="AD1849" s="863"/>
      <c r="AE1849" s="859"/>
      <c r="AF1849" s="859"/>
      <c r="AG1849" s="864"/>
      <c r="AH1849" s="865"/>
      <c r="AI1849" s="757">
        <f t="shared" si="248"/>
        <v>0</v>
      </c>
      <c r="AJ1849" s="758">
        <f t="shared" si="249"/>
        <v>0</v>
      </c>
    </row>
    <row r="1850" spans="1:36" x14ac:dyDescent="0.2">
      <c r="A1850" s="1217" t="s">
        <v>153</v>
      </c>
      <c r="B1850" s="1218" t="s">
        <v>266</v>
      </c>
      <c r="C1850" s="1223" t="s">
        <v>319</v>
      </c>
      <c r="D1850" s="1224"/>
      <c r="E1850" s="1221">
        <v>198233</v>
      </c>
      <c r="F1850" s="1231">
        <v>9</v>
      </c>
      <c r="G1850" s="859"/>
      <c r="H1850" s="860"/>
      <c r="I1850" s="861">
        <v>165741</v>
      </c>
      <c r="J1850" s="862">
        <v>167327</v>
      </c>
      <c r="K1850" s="859"/>
      <c r="L1850" s="863"/>
      <c r="M1850" s="859"/>
      <c r="N1850" s="859"/>
      <c r="O1850" s="752">
        <f t="shared" si="242"/>
        <v>0</v>
      </c>
      <c r="P1850" s="862"/>
      <c r="Q1850" s="860"/>
      <c r="R1850" s="753">
        <f t="shared" si="245"/>
        <v>0</v>
      </c>
      <c r="S1850" s="752">
        <f t="shared" si="246"/>
        <v>165741</v>
      </c>
      <c r="T1850" s="754">
        <f t="shared" si="247"/>
        <v>167327</v>
      </c>
      <c r="U1850" s="859"/>
      <c r="V1850" s="863"/>
      <c r="W1850" s="859"/>
      <c r="X1850" s="859"/>
      <c r="Y1850" s="755">
        <f t="shared" si="243"/>
        <v>0</v>
      </c>
      <c r="Z1850" s="864"/>
      <c r="AA1850" s="863"/>
      <c r="AB1850" s="756">
        <f t="shared" si="244"/>
        <v>0</v>
      </c>
      <c r="AC1850" s="859"/>
      <c r="AD1850" s="863"/>
      <c r="AE1850" s="859"/>
      <c r="AF1850" s="859"/>
      <c r="AG1850" s="864"/>
      <c r="AH1850" s="865"/>
      <c r="AI1850" s="757">
        <f t="shared" si="248"/>
        <v>165741</v>
      </c>
      <c r="AJ1850" s="758">
        <f t="shared" si="249"/>
        <v>167327</v>
      </c>
    </row>
    <row r="1851" spans="1:36" x14ac:dyDescent="0.2">
      <c r="A1851" s="1217" t="s">
        <v>153</v>
      </c>
      <c r="B1851" s="1218" t="s">
        <v>275</v>
      </c>
      <c r="C1851" s="1223" t="s">
        <v>258</v>
      </c>
      <c r="D1851" s="1224"/>
      <c r="E1851" s="1221">
        <v>198233</v>
      </c>
      <c r="F1851" s="1231">
        <v>9</v>
      </c>
      <c r="G1851" s="859"/>
      <c r="H1851" s="860"/>
      <c r="I1851" s="861">
        <v>2487812</v>
      </c>
      <c r="J1851" s="862">
        <v>2363693</v>
      </c>
      <c r="K1851" s="859"/>
      <c r="L1851" s="863"/>
      <c r="M1851" s="859">
        <v>285808</v>
      </c>
      <c r="N1851" s="859"/>
      <c r="O1851" s="752">
        <f t="shared" si="242"/>
        <v>285808</v>
      </c>
      <c r="P1851" s="862">
        <v>374873</v>
      </c>
      <c r="Q1851" s="860"/>
      <c r="R1851" s="753">
        <f t="shared" si="245"/>
        <v>374873</v>
      </c>
      <c r="S1851" s="752">
        <f t="shared" si="246"/>
        <v>2773620</v>
      </c>
      <c r="T1851" s="754">
        <f t="shared" si="247"/>
        <v>2738566</v>
      </c>
      <c r="U1851" s="859"/>
      <c r="V1851" s="863"/>
      <c r="W1851" s="859"/>
      <c r="X1851" s="859"/>
      <c r="Y1851" s="755">
        <f t="shared" si="243"/>
        <v>0</v>
      </c>
      <c r="Z1851" s="864"/>
      <c r="AA1851" s="863"/>
      <c r="AB1851" s="756">
        <f t="shared" si="244"/>
        <v>0</v>
      </c>
      <c r="AC1851" s="859"/>
      <c r="AD1851" s="863"/>
      <c r="AE1851" s="859"/>
      <c r="AF1851" s="859"/>
      <c r="AG1851" s="864"/>
      <c r="AH1851" s="865"/>
      <c r="AI1851" s="757">
        <f t="shared" si="248"/>
        <v>2773620</v>
      </c>
      <c r="AJ1851" s="758">
        <f t="shared" si="249"/>
        <v>2738566</v>
      </c>
    </row>
    <row r="1852" spans="1:36" x14ac:dyDescent="0.2">
      <c r="A1852" s="1217" t="s">
        <v>153</v>
      </c>
      <c r="B1852" s="1218" t="s">
        <v>264</v>
      </c>
      <c r="C1852" s="1303" t="s">
        <v>1313</v>
      </c>
      <c r="D1852" s="1304"/>
      <c r="E1852" s="1221">
        <v>198251</v>
      </c>
      <c r="F1852" s="1231">
        <v>9</v>
      </c>
      <c r="G1852" s="859">
        <v>17255068</v>
      </c>
      <c r="H1852" s="860">
        <v>15975446</v>
      </c>
      <c r="I1852" s="861"/>
      <c r="J1852" s="862"/>
      <c r="K1852" s="859">
        <v>3785690</v>
      </c>
      <c r="L1852" s="863">
        <v>4103793</v>
      </c>
      <c r="M1852" s="859">
        <v>6515501</v>
      </c>
      <c r="N1852" s="859"/>
      <c r="O1852" s="752">
        <f t="shared" si="242"/>
        <v>6515501</v>
      </c>
      <c r="P1852" s="862">
        <v>6860855</v>
      </c>
      <c r="Q1852" s="860"/>
      <c r="R1852" s="753">
        <f t="shared" si="245"/>
        <v>6860855</v>
      </c>
      <c r="S1852" s="752">
        <f t="shared" si="246"/>
        <v>27556259</v>
      </c>
      <c r="T1852" s="754">
        <f t="shared" si="247"/>
        <v>26940094</v>
      </c>
      <c r="U1852" s="859"/>
      <c r="V1852" s="863"/>
      <c r="W1852" s="859"/>
      <c r="X1852" s="859"/>
      <c r="Y1852" s="755">
        <f t="shared" si="243"/>
        <v>0</v>
      </c>
      <c r="Z1852" s="864"/>
      <c r="AA1852" s="863"/>
      <c r="AB1852" s="756">
        <f t="shared" si="244"/>
        <v>0</v>
      </c>
      <c r="AC1852" s="859"/>
      <c r="AD1852" s="863"/>
      <c r="AE1852" s="859"/>
      <c r="AF1852" s="859"/>
      <c r="AG1852" s="864"/>
      <c r="AH1852" s="865"/>
      <c r="AI1852" s="757">
        <f t="shared" si="248"/>
        <v>27556259</v>
      </c>
      <c r="AJ1852" s="758">
        <f t="shared" si="249"/>
        <v>26940094</v>
      </c>
    </row>
    <row r="1853" spans="1:36" x14ac:dyDescent="0.2">
      <c r="A1853" s="1217" t="s">
        <v>153</v>
      </c>
      <c r="B1853" s="1218" t="s">
        <v>264</v>
      </c>
      <c r="C1853" s="1223" t="s">
        <v>1300</v>
      </c>
      <c r="D1853" s="1224"/>
      <c r="E1853" s="1221">
        <v>198251</v>
      </c>
      <c r="F1853" s="1231">
        <v>9</v>
      </c>
      <c r="G1853" s="859"/>
      <c r="H1853" s="860"/>
      <c r="I1853" s="861"/>
      <c r="J1853" s="862"/>
      <c r="K1853" s="859"/>
      <c r="L1853" s="863"/>
      <c r="M1853" s="859"/>
      <c r="N1853" s="859"/>
      <c r="O1853" s="752">
        <f t="shared" si="242"/>
        <v>0</v>
      </c>
      <c r="P1853" s="862"/>
      <c r="Q1853" s="860"/>
      <c r="R1853" s="753">
        <f t="shared" si="245"/>
        <v>0</v>
      </c>
      <c r="S1853" s="752">
        <f t="shared" si="246"/>
        <v>0</v>
      </c>
      <c r="T1853" s="754">
        <f t="shared" si="247"/>
        <v>0</v>
      </c>
      <c r="U1853" s="859"/>
      <c r="V1853" s="863"/>
      <c r="W1853" s="859"/>
      <c r="X1853" s="859"/>
      <c r="Y1853" s="755">
        <f t="shared" si="243"/>
        <v>0</v>
      </c>
      <c r="Z1853" s="864"/>
      <c r="AA1853" s="863"/>
      <c r="AB1853" s="756">
        <f t="shared" si="244"/>
        <v>0</v>
      </c>
      <c r="AC1853" s="859"/>
      <c r="AD1853" s="863"/>
      <c r="AE1853" s="859"/>
      <c r="AF1853" s="859"/>
      <c r="AG1853" s="864"/>
      <c r="AH1853" s="865"/>
      <c r="AI1853" s="757">
        <f t="shared" si="248"/>
        <v>0</v>
      </c>
      <c r="AJ1853" s="758">
        <f t="shared" si="249"/>
        <v>0</v>
      </c>
    </row>
    <row r="1854" spans="1:36" x14ac:dyDescent="0.2">
      <c r="A1854" s="1217" t="s">
        <v>153</v>
      </c>
      <c r="B1854" s="1218" t="s">
        <v>266</v>
      </c>
      <c r="C1854" s="1223" t="s">
        <v>319</v>
      </c>
      <c r="D1854" s="1224"/>
      <c r="E1854" s="1221">
        <v>198251</v>
      </c>
      <c r="F1854" s="1231">
        <v>9</v>
      </c>
      <c r="G1854" s="859"/>
      <c r="H1854" s="860"/>
      <c r="I1854" s="861">
        <v>172987</v>
      </c>
      <c r="J1854" s="862">
        <v>174029</v>
      </c>
      <c r="K1854" s="859"/>
      <c r="L1854" s="863"/>
      <c r="M1854" s="859"/>
      <c r="N1854" s="859"/>
      <c r="O1854" s="752">
        <f t="shared" si="242"/>
        <v>0</v>
      </c>
      <c r="P1854" s="862"/>
      <c r="Q1854" s="860"/>
      <c r="R1854" s="753">
        <f t="shared" si="245"/>
        <v>0</v>
      </c>
      <c r="S1854" s="752">
        <f t="shared" si="246"/>
        <v>172987</v>
      </c>
      <c r="T1854" s="754">
        <f t="shared" si="247"/>
        <v>174029</v>
      </c>
      <c r="U1854" s="859"/>
      <c r="V1854" s="863"/>
      <c r="W1854" s="859"/>
      <c r="X1854" s="859"/>
      <c r="Y1854" s="755">
        <f t="shared" si="243"/>
        <v>0</v>
      </c>
      <c r="Z1854" s="864"/>
      <c r="AA1854" s="863"/>
      <c r="AB1854" s="756">
        <f t="shared" si="244"/>
        <v>0</v>
      </c>
      <c r="AC1854" s="859"/>
      <c r="AD1854" s="863"/>
      <c r="AE1854" s="859"/>
      <c r="AF1854" s="859"/>
      <c r="AG1854" s="864"/>
      <c r="AH1854" s="865"/>
      <c r="AI1854" s="757">
        <f t="shared" si="248"/>
        <v>172987</v>
      </c>
      <c r="AJ1854" s="758">
        <f t="shared" si="249"/>
        <v>174029</v>
      </c>
    </row>
    <row r="1855" spans="1:36" x14ac:dyDescent="0.2">
      <c r="A1855" s="1217" t="s">
        <v>153</v>
      </c>
      <c r="B1855" s="1218" t="s">
        <v>275</v>
      </c>
      <c r="C1855" s="1223" t="s">
        <v>258</v>
      </c>
      <c r="D1855" s="1224"/>
      <c r="E1855" s="1221">
        <v>198251</v>
      </c>
      <c r="F1855" s="1231">
        <v>9</v>
      </c>
      <c r="G1855" s="859"/>
      <c r="H1855" s="860"/>
      <c r="I1855" s="861">
        <v>4809120</v>
      </c>
      <c r="J1855" s="862">
        <v>4740719</v>
      </c>
      <c r="K1855" s="859"/>
      <c r="L1855" s="863"/>
      <c r="M1855" s="859">
        <v>539999</v>
      </c>
      <c r="N1855" s="859"/>
      <c r="O1855" s="752">
        <f t="shared" si="242"/>
        <v>539999</v>
      </c>
      <c r="P1855" s="862">
        <v>547745</v>
      </c>
      <c r="Q1855" s="860"/>
      <c r="R1855" s="753">
        <f t="shared" si="245"/>
        <v>547745</v>
      </c>
      <c r="S1855" s="752">
        <f t="shared" si="246"/>
        <v>5349119</v>
      </c>
      <c r="T1855" s="754">
        <f t="shared" si="247"/>
        <v>5288464</v>
      </c>
      <c r="U1855" s="859"/>
      <c r="V1855" s="863"/>
      <c r="W1855" s="859"/>
      <c r="X1855" s="859"/>
      <c r="Y1855" s="755">
        <f t="shared" si="243"/>
        <v>0</v>
      </c>
      <c r="Z1855" s="864"/>
      <c r="AA1855" s="863"/>
      <c r="AB1855" s="756">
        <f t="shared" si="244"/>
        <v>0</v>
      </c>
      <c r="AC1855" s="859"/>
      <c r="AD1855" s="863"/>
      <c r="AE1855" s="859"/>
      <c r="AF1855" s="859"/>
      <c r="AG1855" s="864"/>
      <c r="AH1855" s="865"/>
      <c r="AI1855" s="757">
        <f t="shared" si="248"/>
        <v>5349119</v>
      </c>
      <c r="AJ1855" s="758">
        <f t="shared" si="249"/>
        <v>5288464</v>
      </c>
    </row>
    <row r="1856" spans="1:36" x14ac:dyDescent="0.2">
      <c r="A1856" s="1217" t="s">
        <v>153</v>
      </c>
      <c r="B1856" s="1218" t="s">
        <v>264</v>
      </c>
      <c r="C1856" s="1218" t="s">
        <v>1314</v>
      </c>
      <c r="D1856" s="1242"/>
      <c r="E1856" s="1221">
        <v>198321</v>
      </c>
      <c r="F1856" s="1222">
        <v>9</v>
      </c>
      <c r="G1856" s="859">
        <v>12577313</v>
      </c>
      <c r="H1856" s="860">
        <v>10722327</v>
      </c>
      <c r="I1856" s="861"/>
      <c r="J1856" s="862"/>
      <c r="K1856" s="859">
        <v>1415129</v>
      </c>
      <c r="L1856" s="863">
        <v>1509973</v>
      </c>
      <c r="M1856" s="859">
        <v>4297663</v>
      </c>
      <c r="N1856" s="859"/>
      <c r="O1856" s="752">
        <f t="shared" si="242"/>
        <v>4297663</v>
      </c>
      <c r="P1856" s="862">
        <v>5103939</v>
      </c>
      <c r="Q1856" s="860"/>
      <c r="R1856" s="753">
        <f t="shared" si="245"/>
        <v>5103939</v>
      </c>
      <c r="S1856" s="752">
        <f t="shared" si="246"/>
        <v>18290105</v>
      </c>
      <c r="T1856" s="754">
        <f t="shared" si="247"/>
        <v>17336239</v>
      </c>
      <c r="U1856" s="859"/>
      <c r="V1856" s="863"/>
      <c r="W1856" s="859"/>
      <c r="X1856" s="859"/>
      <c r="Y1856" s="755">
        <f t="shared" si="243"/>
        <v>0</v>
      </c>
      <c r="Z1856" s="864"/>
      <c r="AA1856" s="863"/>
      <c r="AB1856" s="756">
        <f t="shared" si="244"/>
        <v>0</v>
      </c>
      <c r="AC1856" s="859"/>
      <c r="AD1856" s="863"/>
      <c r="AE1856" s="859"/>
      <c r="AF1856" s="859"/>
      <c r="AG1856" s="864"/>
      <c r="AH1856" s="865"/>
      <c r="AI1856" s="757">
        <f t="shared" si="248"/>
        <v>18290105</v>
      </c>
      <c r="AJ1856" s="758">
        <f t="shared" si="249"/>
        <v>17336239</v>
      </c>
    </row>
    <row r="1857" spans="1:36" x14ac:dyDescent="0.2">
      <c r="A1857" s="1217" t="s">
        <v>153</v>
      </c>
      <c r="B1857" s="1218" t="s">
        <v>264</v>
      </c>
      <c r="C1857" s="1223" t="s">
        <v>1300</v>
      </c>
      <c r="D1857" s="1224"/>
      <c r="E1857" s="1221">
        <v>198321</v>
      </c>
      <c r="F1857" s="1222">
        <v>9</v>
      </c>
      <c r="G1857" s="859"/>
      <c r="H1857" s="860"/>
      <c r="I1857" s="861"/>
      <c r="J1857" s="862"/>
      <c r="K1857" s="859"/>
      <c r="L1857" s="863"/>
      <c r="M1857" s="859"/>
      <c r="N1857" s="859"/>
      <c r="O1857" s="752">
        <f t="shared" si="242"/>
        <v>0</v>
      </c>
      <c r="P1857" s="862"/>
      <c r="Q1857" s="860"/>
      <c r="R1857" s="753">
        <f t="shared" si="245"/>
        <v>0</v>
      </c>
      <c r="S1857" s="752">
        <f t="shared" si="246"/>
        <v>0</v>
      </c>
      <c r="T1857" s="754">
        <f t="shared" si="247"/>
        <v>0</v>
      </c>
      <c r="U1857" s="859"/>
      <c r="V1857" s="863"/>
      <c r="W1857" s="859"/>
      <c r="X1857" s="859"/>
      <c r="Y1857" s="755">
        <f t="shared" si="243"/>
        <v>0</v>
      </c>
      <c r="Z1857" s="864"/>
      <c r="AA1857" s="863"/>
      <c r="AB1857" s="756">
        <f t="shared" si="244"/>
        <v>0</v>
      </c>
      <c r="AC1857" s="859"/>
      <c r="AD1857" s="863"/>
      <c r="AE1857" s="859"/>
      <c r="AF1857" s="859"/>
      <c r="AG1857" s="864"/>
      <c r="AH1857" s="865"/>
      <c r="AI1857" s="757">
        <f t="shared" si="248"/>
        <v>0</v>
      </c>
      <c r="AJ1857" s="758">
        <f t="shared" si="249"/>
        <v>0</v>
      </c>
    </row>
    <row r="1858" spans="1:36" x14ac:dyDescent="0.2">
      <c r="A1858" s="1217" t="s">
        <v>153</v>
      </c>
      <c r="B1858" s="1218" t="s">
        <v>266</v>
      </c>
      <c r="C1858" s="1223" t="s">
        <v>319</v>
      </c>
      <c r="D1858" s="1224"/>
      <c r="E1858" s="1221">
        <v>198321</v>
      </c>
      <c r="F1858" s="1222">
        <v>9</v>
      </c>
      <c r="G1858" s="859"/>
      <c r="H1858" s="860"/>
      <c r="I1858" s="861">
        <v>146760</v>
      </c>
      <c r="J1858" s="862">
        <v>153274</v>
      </c>
      <c r="K1858" s="859"/>
      <c r="L1858" s="863"/>
      <c r="M1858" s="859"/>
      <c r="N1858" s="859"/>
      <c r="O1858" s="752">
        <f t="shared" si="242"/>
        <v>0</v>
      </c>
      <c r="P1858" s="862"/>
      <c r="Q1858" s="860"/>
      <c r="R1858" s="753">
        <f t="shared" si="245"/>
        <v>0</v>
      </c>
      <c r="S1858" s="752">
        <f t="shared" si="246"/>
        <v>146760</v>
      </c>
      <c r="T1858" s="754">
        <f t="shared" si="247"/>
        <v>153274</v>
      </c>
      <c r="U1858" s="859"/>
      <c r="V1858" s="863"/>
      <c r="W1858" s="859"/>
      <c r="X1858" s="859"/>
      <c r="Y1858" s="755">
        <f t="shared" si="243"/>
        <v>0</v>
      </c>
      <c r="Z1858" s="864"/>
      <c r="AA1858" s="863"/>
      <c r="AB1858" s="756">
        <f t="shared" si="244"/>
        <v>0</v>
      </c>
      <c r="AC1858" s="859"/>
      <c r="AD1858" s="863"/>
      <c r="AE1858" s="859"/>
      <c r="AF1858" s="859"/>
      <c r="AG1858" s="864"/>
      <c r="AH1858" s="865"/>
      <c r="AI1858" s="757">
        <f t="shared" si="248"/>
        <v>146760</v>
      </c>
      <c r="AJ1858" s="758">
        <f t="shared" si="249"/>
        <v>153274</v>
      </c>
    </row>
    <row r="1859" spans="1:36" x14ac:dyDescent="0.2">
      <c r="A1859" s="1217" t="s">
        <v>153</v>
      </c>
      <c r="B1859" s="1218" t="s">
        <v>275</v>
      </c>
      <c r="C1859" s="1223" t="s">
        <v>258</v>
      </c>
      <c r="D1859" s="1224"/>
      <c r="E1859" s="1221">
        <v>198321</v>
      </c>
      <c r="F1859" s="1222">
        <v>9</v>
      </c>
      <c r="G1859" s="859"/>
      <c r="H1859" s="860"/>
      <c r="I1859" s="861">
        <v>1532327</v>
      </c>
      <c r="J1859" s="862">
        <v>1509790</v>
      </c>
      <c r="K1859" s="859"/>
      <c r="L1859" s="863"/>
      <c r="M1859" s="859">
        <v>157799</v>
      </c>
      <c r="N1859" s="859"/>
      <c r="O1859" s="752">
        <f t="shared" si="242"/>
        <v>157799</v>
      </c>
      <c r="P1859" s="862">
        <v>262791</v>
      </c>
      <c r="Q1859" s="860"/>
      <c r="R1859" s="753">
        <f t="shared" si="245"/>
        <v>262791</v>
      </c>
      <c r="S1859" s="752">
        <f t="shared" si="246"/>
        <v>1690126</v>
      </c>
      <c r="T1859" s="754">
        <f t="shared" si="247"/>
        <v>1772581</v>
      </c>
      <c r="U1859" s="859"/>
      <c r="V1859" s="863"/>
      <c r="W1859" s="859"/>
      <c r="X1859" s="859"/>
      <c r="Y1859" s="755">
        <f t="shared" si="243"/>
        <v>0</v>
      </c>
      <c r="Z1859" s="864"/>
      <c r="AA1859" s="863"/>
      <c r="AB1859" s="756">
        <f t="shared" si="244"/>
        <v>0</v>
      </c>
      <c r="AC1859" s="859"/>
      <c r="AD1859" s="863"/>
      <c r="AE1859" s="859"/>
      <c r="AF1859" s="859"/>
      <c r="AG1859" s="864"/>
      <c r="AH1859" s="865"/>
      <c r="AI1859" s="757">
        <f t="shared" si="248"/>
        <v>1690126</v>
      </c>
      <c r="AJ1859" s="758">
        <f t="shared" si="249"/>
        <v>1772581</v>
      </c>
    </row>
    <row r="1860" spans="1:36" x14ac:dyDescent="0.2">
      <c r="A1860" s="1217" t="s">
        <v>153</v>
      </c>
      <c r="B1860" s="1218" t="s">
        <v>264</v>
      </c>
      <c r="C1860" s="1305" t="s">
        <v>1315</v>
      </c>
      <c r="D1860" s="1306"/>
      <c r="E1860" s="1221">
        <v>198330</v>
      </c>
      <c r="F1860" s="1222">
        <v>9</v>
      </c>
      <c r="G1860" s="859">
        <v>12968949</v>
      </c>
      <c r="H1860" s="860">
        <v>14089659</v>
      </c>
      <c r="I1860" s="861"/>
      <c r="J1860" s="862"/>
      <c r="K1860" s="859">
        <v>3617540</v>
      </c>
      <c r="L1860" s="863">
        <v>2266027</v>
      </c>
      <c r="M1860" s="859">
        <v>8595271</v>
      </c>
      <c r="N1860" s="859"/>
      <c r="O1860" s="752">
        <f t="shared" si="242"/>
        <v>8595271</v>
      </c>
      <c r="P1860" s="862">
        <v>6859042</v>
      </c>
      <c r="Q1860" s="860"/>
      <c r="R1860" s="753">
        <f t="shared" si="245"/>
        <v>6859042</v>
      </c>
      <c r="S1860" s="752">
        <f t="shared" si="246"/>
        <v>25181760</v>
      </c>
      <c r="T1860" s="754">
        <f t="shared" si="247"/>
        <v>23214728</v>
      </c>
      <c r="U1860" s="859"/>
      <c r="V1860" s="863"/>
      <c r="W1860" s="859"/>
      <c r="X1860" s="859"/>
      <c r="Y1860" s="755">
        <f t="shared" si="243"/>
        <v>0</v>
      </c>
      <c r="Z1860" s="864"/>
      <c r="AA1860" s="863"/>
      <c r="AB1860" s="756">
        <f t="shared" si="244"/>
        <v>0</v>
      </c>
      <c r="AC1860" s="859"/>
      <c r="AD1860" s="863"/>
      <c r="AE1860" s="859"/>
      <c r="AF1860" s="859"/>
      <c r="AG1860" s="864"/>
      <c r="AH1860" s="865"/>
      <c r="AI1860" s="757">
        <f t="shared" si="248"/>
        <v>25181760</v>
      </c>
      <c r="AJ1860" s="758">
        <f t="shared" si="249"/>
        <v>23214728</v>
      </c>
    </row>
    <row r="1861" spans="1:36" x14ac:dyDescent="0.2">
      <c r="A1861" s="1217" t="s">
        <v>153</v>
      </c>
      <c r="B1861" s="1218" t="s">
        <v>264</v>
      </c>
      <c r="C1861" s="1223" t="s">
        <v>1300</v>
      </c>
      <c r="D1861" s="1224"/>
      <c r="E1861" s="1221">
        <v>198330</v>
      </c>
      <c r="F1861" s="1222">
        <v>9</v>
      </c>
      <c r="G1861" s="859"/>
      <c r="H1861" s="860"/>
      <c r="I1861" s="861"/>
      <c r="J1861" s="862"/>
      <c r="K1861" s="859"/>
      <c r="L1861" s="863"/>
      <c r="M1861" s="859"/>
      <c r="N1861" s="859"/>
      <c r="O1861" s="752">
        <f t="shared" si="242"/>
        <v>0</v>
      </c>
      <c r="P1861" s="862"/>
      <c r="Q1861" s="860"/>
      <c r="R1861" s="753">
        <f t="shared" si="245"/>
        <v>0</v>
      </c>
      <c r="S1861" s="752">
        <f t="shared" si="246"/>
        <v>0</v>
      </c>
      <c r="T1861" s="754">
        <f t="shared" si="247"/>
        <v>0</v>
      </c>
      <c r="U1861" s="859"/>
      <c r="V1861" s="863"/>
      <c r="W1861" s="859"/>
      <c r="X1861" s="859"/>
      <c r="Y1861" s="755">
        <f t="shared" si="243"/>
        <v>0</v>
      </c>
      <c r="Z1861" s="864"/>
      <c r="AA1861" s="863"/>
      <c r="AB1861" s="756">
        <f t="shared" si="244"/>
        <v>0</v>
      </c>
      <c r="AC1861" s="859"/>
      <c r="AD1861" s="863"/>
      <c r="AE1861" s="859"/>
      <c r="AF1861" s="859"/>
      <c r="AG1861" s="864"/>
      <c r="AH1861" s="865"/>
      <c r="AI1861" s="757">
        <f t="shared" si="248"/>
        <v>0</v>
      </c>
      <c r="AJ1861" s="758">
        <f t="shared" si="249"/>
        <v>0</v>
      </c>
    </row>
    <row r="1862" spans="1:36" x14ac:dyDescent="0.2">
      <c r="A1862" s="1217" t="s">
        <v>153</v>
      </c>
      <c r="B1862" s="1218" t="s">
        <v>266</v>
      </c>
      <c r="C1862" s="1223" t="s">
        <v>319</v>
      </c>
      <c r="D1862" s="1224"/>
      <c r="E1862" s="1221">
        <v>198330</v>
      </c>
      <c r="F1862" s="1222">
        <v>9</v>
      </c>
      <c r="G1862" s="859"/>
      <c r="H1862" s="860"/>
      <c r="I1862" s="861">
        <v>158449</v>
      </c>
      <c r="J1862" s="862">
        <v>158773</v>
      </c>
      <c r="K1862" s="859"/>
      <c r="L1862" s="863"/>
      <c r="M1862" s="859"/>
      <c r="N1862" s="859"/>
      <c r="O1862" s="752">
        <f t="shared" si="242"/>
        <v>0</v>
      </c>
      <c r="P1862" s="862"/>
      <c r="Q1862" s="860"/>
      <c r="R1862" s="753">
        <f t="shared" si="245"/>
        <v>0</v>
      </c>
      <c r="S1862" s="752">
        <f t="shared" si="246"/>
        <v>158449</v>
      </c>
      <c r="T1862" s="754">
        <f t="shared" si="247"/>
        <v>158773</v>
      </c>
      <c r="U1862" s="859"/>
      <c r="V1862" s="863"/>
      <c r="W1862" s="859"/>
      <c r="X1862" s="859"/>
      <c r="Y1862" s="755">
        <f t="shared" si="243"/>
        <v>0</v>
      </c>
      <c r="Z1862" s="864"/>
      <c r="AA1862" s="863"/>
      <c r="AB1862" s="756">
        <f t="shared" si="244"/>
        <v>0</v>
      </c>
      <c r="AC1862" s="859"/>
      <c r="AD1862" s="863"/>
      <c r="AE1862" s="859"/>
      <c r="AF1862" s="859"/>
      <c r="AG1862" s="864"/>
      <c r="AH1862" s="865"/>
      <c r="AI1862" s="757">
        <f t="shared" si="248"/>
        <v>158449</v>
      </c>
      <c r="AJ1862" s="758">
        <f t="shared" si="249"/>
        <v>158773</v>
      </c>
    </row>
    <row r="1863" spans="1:36" x14ac:dyDescent="0.2">
      <c r="A1863" s="1217" t="s">
        <v>153</v>
      </c>
      <c r="B1863" s="1218" t="s">
        <v>275</v>
      </c>
      <c r="C1863" s="1223" t="s">
        <v>258</v>
      </c>
      <c r="D1863" s="1224"/>
      <c r="E1863" s="1221">
        <v>198330</v>
      </c>
      <c r="F1863" s="1222">
        <v>9</v>
      </c>
      <c r="G1863" s="859"/>
      <c r="H1863" s="860"/>
      <c r="I1863" s="861">
        <v>2268027</v>
      </c>
      <c r="J1863" s="862">
        <v>2582041</v>
      </c>
      <c r="K1863" s="859"/>
      <c r="L1863" s="863"/>
      <c r="M1863" s="859">
        <v>1070271</v>
      </c>
      <c r="N1863" s="859"/>
      <c r="O1863" s="752">
        <f t="shared" si="242"/>
        <v>1070271</v>
      </c>
      <c r="P1863" s="862">
        <v>502153</v>
      </c>
      <c r="Q1863" s="860"/>
      <c r="R1863" s="753">
        <f t="shared" si="245"/>
        <v>502153</v>
      </c>
      <c r="S1863" s="752">
        <f t="shared" si="246"/>
        <v>3338298</v>
      </c>
      <c r="T1863" s="754">
        <f t="shared" si="247"/>
        <v>3084194</v>
      </c>
      <c r="U1863" s="859"/>
      <c r="V1863" s="863"/>
      <c r="W1863" s="859"/>
      <c r="X1863" s="859"/>
      <c r="Y1863" s="755">
        <f t="shared" si="243"/>
        <v>0</v>
      </c>
      <c r="Z1863" s="864"/>
      <c r="AA1863" s="863"/>
      <c r="AB1863" s="756">
        <f t="shared" si="244"/>
        <v>0</v>
      </c>
      <c r="AC1863" s="859"/>
      <c r="AD1863" s="863"/>
      <c r="AE1863" s="859"/>
      <c r="AF1863" s="859"/>
      <c r="AG1863" s="864"/>
      <c r="AH1863" s="865"/>
      <c r="AI1863" s="757">
        <f t="shared" si="248"/>
        <v>3338298</v>
      </c>
      <c r="AJ1863" s="758">
        <f t="shared" si="249"/>
        <v>3084194</v>
      </c>
    </row>
    <row r="1864" spans="1:36" x14ac:dyDescent="0.2">
      <c r="A1864" s="1217" t="s">
        <v>153</v>
      </c>
      <c r="B1864" s="1218" t="s">
        <v>264</v>
      </c>
      <c r="C1864" s="1218" t="s">
        <v>1316</v>
      </c>
      <c r="D1864" s="1242"/>
      <c r="E1864" s="1221">
        <v>198367</v>
      </c>
      <c r="F1864" s="1222">
        <v>9</v>
      </c>
      <c r="G1864" s="859">
        <v>9880592</v>
      </c>
      <c r="H1864" s="860">
        <v>10197689</v>
      </c>
      <c r="I1864" s="861"/>
      <c r="J1864" s="862"/>
      <c r="K1864" s="859">
        <v>3455130</v>
      </c>
      <c r="L1864" s="863">
        <v>3461090</v>
      </c>
      <c r="M1864" s="859">
        <v>5625699</v>
      </c>
      <c r="N1864" s="859"/>
      <c r="O1864" s="752">
        <f t="shared" si="242"/>
        <v>5625699</v>
      </c>
      <c r="P1864" s="862">
        <v>4616209</v>
      </c>
      <c r="Q1864" s="860"/>
      <c r="R1864" s="753">
        <f t="shared" si="245"/>
        <v>4616209</v>
      </c>
      <c r="S1864" s="752">
        <f t="shared" si="246"/>
        <v>18961421</v>
      </c>
      <c r="T1864" s="754">
        <f t="shared" si="247"/>
        <v>18274988</v>
      </c>
      <c r="U1864" s="859"/>
      <c r="V1864" s="863"/>
      <c r="W1864" s="859"/>
      <c r="X1864" s="859"/>
      <c r="Y1864" s="755">
        <f t="shared" si="243"/>
        <v>0</v>
      </c>
      <c r="Z1864" s="864"/>
      <c r="AA1864" s="863"/>
      <c r="AB1864" s="756">
        <f t="shared" si="244"/>
        <v>0</v>
      </c>
      <c r="AC1864" s="859"/>
      <c r="AD1864" s="863"/>
      <c r="AE1864" s="859"/>
      <c r="AF1864" s="859"/>
      <c r="AG1864" s="864"/>
      <c r="AH1864" s="865"/>
      <c r="AI1864" s="757">
        <f t="shared" si="248"/>
        <v>18961421</v>
      </c>
      <c r="AJ1864" s="758">
        <f t="shared" si="249"/>
        <v>18274988</v>
      </c>
    </row>
    <row r="1865" spans="1:36" x14ac:dyDescent="0.2">
      <c r="A1865" s="1217" t="s">
        <v>153</v>
      </c>
      <c r="B1865" s="1218" t="s">
        <v>264</v>
      </c>
      <c r="C1865" s="1223" t="s">
        <v>1300</v>
      </c>
      <c r="D1865" s="1224"/>
      <c r="E1865" s="1221">
        <v>198367</v>
      </c>
      <c r="F1865" s="1222">
        <v>9</v>
      </c>
      <c r="G1865" s="859"/>
      <c r="H1865" s="860"/>
      <c r="I1865" s="861"/>
      <c r="J1865" s="862"/>
      <c r="K1865" s="859"/>
      <c r="L1865" s="863"/>
      <c r="M1865" s="859"/>
      <c r="N1865" s="859"/>
      <c r="O1865" s="752">
        <f t="shared" si="242"/>
        <v>0</v>
      </c>
      <c r="P1865" s="862"/>
      <c r="Q1865" s="860"/>
      <c r="R1865" s="753">
        <f t="shared" si="245"/>
        <v>0</v>
      </c>
      <c r="S1865" s="752">
        <f t="shared" si="246"/>
        <v>0</v>
      </c>
      <c r="T1865" s="754">
        <f t="shared" si="247"/>
        <v>0</v>
      </c>
      <c r="U1865" s="859"/>
      <c r="V1865" s="863"/>
      <c r="W1865" s="859"/>
      <c r="X1865" s="859"/>
      <c r="Y1865" s="755">
        <f t="shared" si="243"/>
        <v>0</v>
      </c>
      <c r="Z1865" s="864"/>
      <c r="AA1865" s="863"/>
      <c r="AB1865" s="756">
        <f t="shared" si="244"/>
        <v>0</v>
      </c>
      <c r="AC1865" s="859"/>
      <c r="AD1865" s="863"/>
      <c r="AE1865" s="859"/>
      <c r="AF1865" s="859"/>
      <c r="AG1865" s="864"/>
      <c r="AH1865" s="865"/>
      <c r="AI1865" s="757">
        <f t="shared" si="248"/>
        <v>0</v>
      </c>
      <c r="AJ1865" s="758">
        <f t="shared" si="249"/>
        <v>0</v>
      </c>
    </row>
    <row r="1866" spans="1:36" x14ac:dyDescent="0.2">
      <c r="A1866" s="1217" t="s">
        <v>153</v>
      </c>
      <c r="B1866" s="1218" t="s">
        <v>266</v>
      </c>
      <c r="C1866" s="1223" t="s">
        <v>319</v>
      </c>
      <c r="D1866" s="1224"/>
      <c r="E1866" s="1221">
        <v>198367</v>
      </c>
      <c r="F1866" s="1222">
        <v>9</v>
      </c>
      <c r="G1866" s="859"/>
      <c r="H1866" s="860"/>
      <c r="I1866" s="861">
        <v>154307</v>
      </c>
      <c r="J1866" s="862">
        <v>155111</v>
      </c>
      <c r="K1866" s="859"/>
      <c r="L1866" s="863"/>
      <c r="M1866" s="859"/>
      <c r="N1866" s="859"/>
      <c r="O1866" s="752">
        <f t="shared" si="242"/>
        <v>0</v>
      </c>
      <c r="P1866" s="862"/>
      <c r="Q1866" s="860"/>
      <c r="R1866" s="753">
        <f t="shared" si="245"/>
        <v>0</v>
      </c>
      <c r="S1866" s="752">
        <f t="shared" si="246"/>
        <v>154307</v>
      </c>
      <c r="T1866" s="754">
        <f t="shared" si="247"/>
        <v>155111</v>
      </c>
      <c r="U1866" s="859"/>
      <c r="V1866" s="863"/>
      <c r="W1866" s="859"/>
      <c r="X1866" s="859"/>
      <c r="Y1866" s="755">
        <f t="shared" si="243"/>
        <v>0</v>
      </c>
      <c r="Z1866" s="864"/>
      <c r="AA1866" s="863"/>
      <c r="AB1866" s="756">
        <f t="shared" si="244"/>
        <v>0</v>
      </c>
      <c r="AC1866" s="859"/>
      <c r="AD1866" s="863"/>
      <c r="AE1866" s="859"/>
      <c r="AF1866" s="859"/>
      <c r="AG1866" s="864"/>
      <c r="AH1866" s="865"/>
      <c r="AI1866" s="757">
        <f t="shared" si="248"/>
        <v>154307</v>
      </c>
      <c r="AJ1866" s="758">
        <f t="shared" si="249"/>
        <v>155111</v>
      </c>
    </row>
    <row r="1867" spans="1:36" x14ac:dyDescent="0.2">
      <c r="A1867" s="1217" t="s">
        <v>153</v>
      </c>
      <c r="B1867" s="1218" t="s">
        <v>275</v>
      </c>
      <c r="C1867" s="1223" t="s">
        <v>258</v>
      </c>
      <c r="D1867" s="1224"/>
      <c r="E1867" s="1221">
        <v>198367</v>
      </c>
      <c r="F1867" s="1222">
        <v>9</v>
      </c>
      <c r="G1867" s="859"/>
      <c r="H1867" s="860"/>
      <c r="I1867" s="861">
        <v>1386801</v>
      </c>
      <c r="J1867" s="862">
        <v>1295438</v>
      </c>
      <c r="K1867" s="859"/>
      <c r="L1867" s="863"/>
      <c r="M1867" s="859">
        <v>354509</v>
      </c>
      <c r="N1867" s="859"/>
      <c r="O1867" s="752">
        <f t="shared" ref="O1867:O1930" si="250">SUM(M1867:N1867)</f>
        <v>354509</v>
      </c>
      <c r="P1867" s="862">
        <v>210866</v>
      </c>
      <c r="Q1867" s="860"/>
      <c r="R1867" s="753">
        <f t="shared" si="245"/>
        <v>210866</v>
      </c>
      <c r="S1867" s="752">
        <f t="shared" si="246"/>
        <v>1741310</v>
      </c>
      <c r="T1867" s="754">
        <f t="shared" si="247"/>
        <v>1506304</v>
      </c>
      <c r="U1867" s="859"/>
      <c r="V1867" s="863"/>
      <c r="W1867" s="859"/>
      <c r="X1867" s="859"/>
      <c r="Y1867" s="755">
        <f t="shared" ref="Y1867:Y1930" si="251">SUM(W1867:X1867)</f>
        <v>0</v>
      </c>
      <c r="Z1867" s="864"/>
      <c r="AA1867" s="863"/>
      <c r="AB1867" s="756">
        <f t="shared" ref="AB1867:AB1930" si="252">SUM(Z1867:AA1867)</f>
        <v>0</v>
      </c>
      <c r="AC1867" s="859"/>
      <c r="AD1867" s="863"/>
      <c r="AE1867" s="859"/>
      <c r="AF1867" s="859"/>
      <c r="AG1867" s="864"/>
      <c r="AH1867" s="865"/>
      <c r="AI1867" s="757">
        <f t="shared" si="248"/>
        <v>1741310</v>
      </c>
      <c r="AJ1867" s="758">
        <f t="shared" si="249"/>
        <v>1506304</v>
      </c>
    </row>
    <row r="1868" spans="1:36" x14ac:dyDescent="0.2">
      <c r="A1868" s="1217" t="s">
        <v>153</v>
      </c>
      <c r="B1868" s="1218" t="s">
        <v>264</v>
      </c>
      <c r="C1868" s="1218" t="s">
        <v>1317</v>
      </c>
      <c r="D1868" s="1242"/>
      <c r="E1868" s="1221">
        <v>198376</v>
      </c>
      <c r="F1868" s="1222">
        <v>9</v>
      </c>
      <c r="G1868" s="859">
        <v>13771377</v>
      </c>
      <c r="H1868" s="860">
        <v>13061476</v>
      </c>
      <c r="I1868" s="861"/>
      <c r="J1868" s="862"/>
      <c r="K1868" s="859">
        <v>3573362</v>
      </c>
      <c r="L1868" s="863">
        <v>3613577</v>
      </c>
      <c r="M1868" s="859">
        <v>5692701</v>
      </c>
      <c r="N1868" s="859"/>
      <c r="O1868" s="752">
        <f t="shared" si="250"/>
        <v>5692701</v>
      </c>
      <c r="P1868" s="862">
        <v>6010501</v>
      </c>
      <c r="Q1868" s="860"/>
      <c r="R1868" s="753">
        <f t="shared" ref="R1868:R1931" si="253">SUM(P1868:Q1868)</f>
        <v>6010501</v>
      </c>
      <c r="S1868" s="752">
        <f t="shared" ref="S1868:S1931" si="254">SUM(G1868,I1868,K1868,M1868)</f>
        <v>23037440</v>
      </c>
      <c r="T1868" s="754">
        <f t="shared" ref="T1868:T1931" si="255">SUM(H1868,J1868,L1868,P1868)</f>
        <v>22685554</v>
      </c>
      <c r="U1868" s="859"/>
      <c r="V1868" s="863"/>
      <c r="W1868" s="859"/>
      <c r="X1868" s="859"/>
      <c r="Y1868" s="755">
        <f t="shared" si="251"/>
        <v>0</v>
      </c>
      <c r="Z1868" s="864"/>
      <c r="AA1868" s="863"/>
      <c r="AB1868" s="756">
        <f t="shared" si="252"/>
        <v>0</v>
      </c>
      <c r="AC1868" s="859"/>
      <c r="AD1868" s="863"/>
      <c r="AE1868" s="859"/>
      <c r="AF1868" s="859"/>
      <c r="AG1868" s="864"/>
      <c r="AH1868" s="865"/>
      <c r="AI1868" s="757">
        <f t="shared" ref="AI1868:AI1931" si="256">SUM(S1868,U1868,W1868,AC1868,AE1868)</f>
        <v>23037440</v>
      </c>
      <c r="AJ1868" s="758">
        <f t="shared" ref="AJ1868:AJ1931" si="257">SUM(T1868,V1868,Z1868,AD1868,AG1868)</f>
        <v>22685554</v>
      </c>
    </row>
    <row r="1869" spans="1:36" x14ac:dyDescent="0.2">
      <c r="A1869" s="1217" t="s">
        <v>153</v>
      </c>
      <c r="B1869" s="1218" t="s">
        <v>264</v>
      </c>
      <c r="C1869" s="1223" t="s">
        <v>1300</v>
      </c>
      <c r="D1869" s="1224"/>
      <c r="E1869" s="1221">
        <v>198376</v>
      </c>
      <c r="F1869" s="1222">
        <v>9</v>
      </c>
      <c r="G1869" s="859"/>
      <c r="H1869" s="860"/>
      <c r="I1869" s="861"/>
      <c r="J1869" s="862"/>
      <c r="K1869" s="859"/>
      <c r="L1869" s="863"/>
      <c r="M1869" s="859"/>
      <c r="N1869" s="859"/>
      <c r="O1869" s="752">
        <f t="shared" si="250"/>
        <v>0</v>
      </c>
      <c r="P1869" s="862"/>
      <c r="Q1869" s="860"/>
      <c r="R1869" s="753">
        <f t="shared" si="253"/>
        <v>0</v>
      </c>
      <c r="S1869" s="752">
        <f t="shared" si="254"/>
        <v>0</v>
      </c>
      <c r="T1869" s="754">
        <f t="shared" si="255"/>
        <v>0</v>
      </c>
      <c r="U1869" s="859"/>
      <c r="V1869" s="863"/>
      <c r="W1869" s="859"/>
      <c r="X1869" s="859"/>
      <c r="Y1869" s="755">
        <f t="shared" si="251"/>
        <v>0</v>
      </c>
      <c r="Z1869" s="864"/>
      <c r="AA1869" s="863"/>
      <c r="AB1869" s="756">
        <f t="shared" si="252"/>
        <v>0</v>
      </c>
      <c r="AC1869" s="859"/>
      <c r="AD1869" s="863"/>
      <c r="AE1869" s="859"/>
      <c r="AF1869" s="859"/>
      <c r="AG1869" s="864"/>
      <c r="AH1869" s="865"/>
      <c r="AI1869" s="757">
        <f t="shared" si="256"/>
        <v>0</v>
      </c>
      <c r="AJ1869" s="758">
        <f t="shared" si="257"/>
        <v>0</v>
      </c>
    </row>
    <row r="1870" spans="1:36" x14ac:dyDescent="0.2">
      <c r="A1870" s="1217" t="s">
        <v>153</v>
      </c>
      <c r="B1870" s="1218" t="s">
        <v>266</v>
      </c>
      <c r="C1870" s="1223" t="s">
        <v>319</v>
      </c>
      <c r="D1870" s="1224"/>
      <c r="E1870" s="1221">
        <v>198376</v>
      </c>
      <c r="F1870" s="1222">
        <v>9</v>
      </c>
      <c r="G1870" s="859"/>
      <c r="H1870" s="860"/>
      <c r="I1870" s="861">
        <v>158647</v>
      </c>
      <c r="J1870" s="862">
        <v>156518</v>
      </c>
      <c r="K1870" s="859"/>
      <c r="L1870" s="863"/>
      <c r="M1870" s="859"/>
      <c r="N1870" s="859"/>
      <c r="O1870" s="752">
        <f t="shared" si="250"/>
        <v>0</v>
      </c>
      <c r="P1870" s="862"/>
      <c r="Q1870" s="860"/>
      <c r="R1870" s="753">
        <f t="shared" si="253"/>
        <v>0</v>
      </c>
      <c r="S1870" s="752">
        <f t="shared" si="254"/>
        <v>158647</v>
      </c>
      <c r="T1870" s="754">
        <f t="shared" si="255"/>
        <v>156518</v>
      </c>
      <c r="U1870" s="859"/>
      <c r="V1870" s="863"/>
      <c r="W1870" s="859"/>
      <c r="X1870" s="859"/>
      <c r="Y1870" s="755">
        <f t="shared" si="251"/>
        <v>0</v>
      </c>
      <c r="Z1870" s="864"/>
      <c r="AA1870" s="863"/>
      <c r="AB1870" s="756">
        <f t="shared" si="252"/>
        <v>0</v>
      </c>
      <c r="AC1870" s="859"/>
      <c r="AD1870" s="863"/>
      <c r="AE1870" s="859"/>
      <c r="AF1870" s="859"/>
      <c r="AG1870" s="864"/>
      <c r="AH1870" s="865"/>
      <c r="AI1870" s="757">
        <f t="shared" si="256"/>
        <v>158647</v>
      </c>
      <c r="AJ1870" s="758">
        <f t="shared" si="257"/>
        <v>156518</v>
      </c>
    </row>
    <row r="1871" spans="1:36" x14ac:dyDescent="0.2">
      <c r="A1871" s="1217" t="s">
        <v>153</v>
      </c>
      <c r="B1871" s="1218" t="s">
        <v>275</v>
      </c>
      <c r="C1871" s="1223" t="s">
        <v>258</v>
      </c>
      <c r="D1871" s="1224"/>
      <c r="E1871" s="1221">
        <v>198376</v>
      </c>
      <c r="F1871" s="1222">
        <v>9</v>
      </c>
      <c r="G1871" s="859"/>
      <c r="H1871" s="860"/>
      <c r="I1871" s="861">
        <v>3020553</v>
      </c>
      <c r="J1871" s="862">
        <v>2590072</v>
      </c>
      <c r="K1871" s="859"/>
      <c r="L1871" s="863"/>
      <c r="M1871" s="859">
        <v>319528</v>
      </c>
      <c r="N1871" s="859"/>
      <c r="O1871" s="752">
        <f t="shared" si="250"/>
        <v>319528</v>
      </c>
      <c r="P1871" s="862">
        <v>277355</v>
      </c>
      <c r="Q1871" s="860"/>
      <c r="R1871" s="753">
        <f t="shared" si="253"/>
        <v>277355</v>
      </c>
      <c r="S1871" s="752">
        <f t="shared" si="254"/>
        <v>3340081</v>
      </c>
      <c r="T1871" s="754">
        <f t="shared" si="255"/>
        <v>2867427</v>
      </c>
      <c r="U1871" s="859"/>
      <c r="V1871" s="863"/>
      <c r="W1871" s="859"/>
      <c r="X1871" s="859"/>
      <c r="Y1871" s="755">
        <f t="shared" si="251"/>
        <v>0</v>
      </c>
      <c r="Z1871" s="864"/>
      <c r="AA1871" s="863"/>
      <c r="AB1871" s="756">
        <f t="shared" si="252"/>
        <v>0</v>
      </c>
      <c r="AC1871" s="859"/>
      <c r="AD1871" s="863"/>
      <c r="AE1871" s="859"/>
      <c r="AF1871" s="859"/>
      <c r="AG1871" s="864"/>
      <c r="AH1871" s="865"/>
      <c r="AI1871" s="757">
        <f t="shared" si="256"/>
        <v>3340081</v>
      </c>
      <c r="AJ1871" s="758">
        <f t="shared" si="257"/>
        <v>2867427</v>
      </c>
    </row>
    <row r="1872" spans="1:36" x14ac:dyDescent="0.2">
      <c r="A1872" s="1217" t="s">
        <v>153</v>
      </c>
      <c r="B1872" s="1218" t="s">
        <v>264</v>
      </c>
      <c r="C1872" s="1303" t="s">
        <v>1318</v>
      </c>
      <c r="D1872" s="1304"/>
      <c r="E1872" s="1221">
        <v>198455</v>
      </c>
      <c r="F1872" s="1231">
        <v>9</v>
      </c>
      <c r="G1872" s="859">
        <v>13703551</v>
      </c>
      <c r="H1872" s="860">
        <v>14016429</v>
      </c>
      <c r="I1872" s="861"/>
      <c r="J1872" s="862"/>
      <c r="K1872" s="859">
        <v>5855139</v>
      </c>
      <c r="L1872" s="863">
        <v>6265689</v>
      </c>
      <c r="M1872" s="859">
        <v>7303237</v>
      </c>
      <c r="N1872" s="859"/>
      <c r="O1872" s="752">
        <f t="shared" si="250"/>
        <v>7303237</v>
      </c>
      <c r="P1872" s="862">
        <v>6801022</v>
      </c>
      <c r="Q1872" s="860"/>
      <c r="R1872" s="753">
        <f t="shared" si="253"/>
        <v>6801022</v>
      </c>
      <c r="S1872" s="752">
        <f t="shared" si="254"/>
        <v>26861927</v>
      </c>
      <c r="T1872" s="754">
        <f t="shared" si="255"/>
        <v>27083140</v>
      </c>
      <c r="U1872" s="859"/>
      <c r="V1872" s="863"/>
      <c r="W1872" s="859"/>
      <c r="X1872" s="859"/>
      <c r="Y1872" s="755">
        <f t="shared" si="251"/>
        <v>0</v>
      </c>
      <c r="Z1872" s="864"/>
      <c r="AA1872" s="863"/>
      <c r="AB1872" s="756">
        <f t="shared" si="252"/>
        <v>0</v>
      </c>
      <c r="AC1872" s="859"/>
      <c r="AD1872" s="863"/>
      <c r="AE1872" s="859"/>
      <c r="AF1872" s="859"/>
      <c r="AG1872" s="864"/>
      <c r="AH1872" s="865"/>
      <c r="AI1872" s="757">
        <f t="shared" si="256"/>
        <v>26861927</v>
      </c>
      <c r="AJ1872" s="758">
        <f t="shared" si="257"/>
        <v>27083140</v>
      </c>
    </row>
    <row r="1873" spans="1:36" x14ac:dyDescent="0.2">
      <c r="A1873" s="1217" t="s">
        <v>153</v>
      </c>
      <c r="B1873" s="1218" t="s">
        <v>264</v>
      </c>
      <c r="C1873" s="1223" t="s">
        <v>1300</v>
      </c>
      <c r="D1873" s="1224"/>
      <c r="E1873" s="1221">
        <v>198455</v>
      </c>
      <c r="F1873" s="1231">
        <v>9</v>
      </c>
      <c r="G1873" s="859"/>
      <c r="H1873" s="860"/>
      <c r="I1873" s="861"/>
      <c r="J1873" s="862"/>
      <c r="K1873" s="859"/>
      <c r="L1873" s="863"/>
      <c r="M1873" s="859"/>
      <c r="N1873" s="859"/>
      <c r="O1873" s="752">
        <f t="shared" si="250"/>
        <v>0</v>
      </c>
      <c r="P1873" s="862"/>
      <c r="Q1873" s="860"/>
      <c r="R1873" s="753">
        <f t="shared" si="253"/>
        <v>0</v>
      </c>
      <c r="S1873" s="752">
        <f t="shared" si="254"/>
        <v>0</v>
      </c>
      <c r="T1873" s="754">
        <f t="shared" si="255"/>
        <v>0</v>
      </c>
      <c r="U1873" s="859"/>
      <c r="V1873" s="863"/>
      <c r="W1873" s="859"/>
      <c r="X1873" s="859"/>
      <c r="Y1873" s="755">
        <f t="shared" si="251"/>
        <v>0</v>
      </c>
      <c r="Z1873" s="864"/>
      <c r="AA1873" s="863"/>
      <c r="AB1873" s="756">
        <f t="shared" si="252"/>
        <v>0</v>
      </c>
      <c r="AC1873" s="859"/>
      <c r="AD1873" s="863"/>
      <c r="AE1873" s="859"/>
      <c r="AF1873" s="859"/>
      <c r="AG1873" s="864"/>
      <c r="AH1873" s="865"/>
      <c r="AI1873" s="757">
        <f t="shared" si="256"/>
        <v>0</v>
      </c>
      <c r="AJ1873" s="758">
        <f t="shared" si="257"/>
        <v>0</v>
      </c>
    </row>
    <row r="1874" spans="1:36" x14ac:dyDescent="0.2">
      <c r="A1874" s="1217" t="s">
        <v>153</v>
      </c>
      <c r="B1874" s="1218" t="s">
        <v>266</v>
      </c>
      <c r="C1874" s="1223" t="s">
        <v>319</v>
      </c>
      <c r="D1874" s="1224"/>
      <c r="E1874" s="1221">
        <v>198455</v>
      </c>
      <c r="F1874" s="1231">
        <v>9</v>
      </c>
      <c r="G1874" s="859"/>
      <c r="H1874" s="860"/>
      <c r="I1874" s="861">
        <v>166194</v>
      </c>
      <c r="J1874" s="862">
        <v>165760</v>
      </c>
      <c r="K1874" s="859"/>
      <c r="L1874" s="863"/>
      <c r="M1874" s="859"/>
      <c r="N1874" s="859"/>
      <c r="O1874" s="752">
        <f t="shared" si="250"/>
        <v>0</v>
      </c>
      <c r="P1874" s="862"/>
      <c r="Q1874" s="860"/>
      <c r="R1874" s="753">
        <f t="shared" si="253"/>
        <v>0</v>
      </c>
      <c r="S1874" s="752">
        <f t="shared" si="254"/>
        <v>166194</v>
      </c>
      <c r="T1874" s="754">
        <f t="shared" si="255"/>
        <v>165760</v>
      </c>
      <c r="U1874" s="859"/>
      <c r="V1874" s="863"/>
      <c r="W1874" s="859"/>
      <c r="X1874" s="859"/>
      <c r="Y1874" s="755">
        <f t="shared" si="251"/>
        <v>0</v>
      </c>
      <c r="Z1874" s="864"/>
      <c r="AA1874" s="863"/>
      <c r="AB1874" s="756">
        <f t="shared" si="252"/>
        <v>0</v>
      </c>
      <c r="AC1874" s="859"/>
      <c r="AD1874" s="863"/>
      <c r="AE1874" s="859"/>
      <c r="AF1874" s="859"/>
      <c r="AG1874" s="864"/>
      <c r="AH1874" s="865"/>
      <c r="AI1874" s="757">
        <f t="shared" si="256"/>
        <v>166194</v>
      </c>
      <c r="AJ1874" s="758">
        <f t="shared" si="257"/>
        <v>165760</v>
      </c>
    </row>
    <row r="1875" spans="1:36" x14ac:dyDescent="0.2">
      <c r="A1875" s="1217" t="s">
        <v>153</v>
      </c>
      <c r="B1875" s="1218" t="s">
        <v>275</v>
      </c>
      <c r="C1875" s="1223" t="s">
        <v>258</v>
      </c>
      <c r="D1875" s="1224"/>
      <c r="E1875" s="1221">
        <v>198455</v>
      </c>
      <c r="F1875" s="1231">
        <v>9</v>
      </c>
      <c r="G1875" s="859"/>
      <c r="H1875" s="860"/>
      <c r="I1875" s="861">
        <v>2920768</v>
      </c>
      <c r="J1875" s="862">
        <v>2726325</v>
      </c>
      <c r="K1875" s="859"/>
      <c r="L1875" s="863"/>
      <c r="M1875" s="859">
        <v>625433</v>
      </c>
      <c r="N1875" s="859"/>
      <c r="O1875" s="752">
        <f t="shared" si="250"/>
        <v>625433</v>
      </c>
      <c r="P1875" s="862">
        <v>385005</v>
      </c>
      <c r="Q1875" s="860"/>
      <c r="R1875" s="753">
        <f t="shared" si="253"/>
        <v>385005</v>
      </c>
      <c r="S1875" s="752">
        <f t="shared" si="254"/>
        <v>3546201</v>
      </c>
      <c r="T1875" s="754">
        <f t="shared" si="255"/>
        <v>3111330</v>
      </c>
      <c r="U1875" s="859"/>
      <c r="V1875" s="863"/>
      <c r="W1875" s="859"/>
      <c r="X1875" s="859"/>
      <c r="Y1875" s="755">
        <f t="shared" si="251"/>
        <v>0</v>
      </c>
      <c r="Z1875" s="864"/>
      <c r="AA1875" s="863"/>
      <c r="AB1875" s="756">
        <f t="shared" si="252"/>
        <v>0</v>
      </c>
      <c r="AC1875" s="859"/>
      <c r="AD1875" s="863"/>
      <c r="AE1875" s="859"/>
      <c r="AF1875" s="859"/>
      <c r="AG1875" s="864"/>
      <c r="AH1875" s="865"/>
      <c r="AI1875" s="757">
        <f t="shared" si="256"/>
        <v>3546201</v>
      </c>
      <c r="AJ1875" s="758">
        <f t="shared" si="257"/>
        <v>3111330</v>
      </c>
    </row>
    <row r="1876" spans="1:36" x14ac:dyDescent="0.2">
      <c r="A1876" s="1217" t="s">
        <v>153</v>
      </c>
      <c r="B1876" s="1218" t="s">
        <v>264</v>
      </c>
      <c r="C1876" s="1218" t="s">
        <v>1319</v>
      </c>
      <c r="D1876" s="1242"/>
      <c r="E1876" s="1221">
        <v>198491</v>
      </c>
      <c r="F1876" s="1222">
        <v>9</v>
      </c>
      <c r="G1876" s="859">
        <v>10565958</v>
      </c>
      <c r="H1876" s="860">
        <v>9963238</v>
      </c>
      <c r="I1876" s="861"/>
      <c r="J1876" s="862"/>
      <c r="K1876" s="859">
        <v>1406000</v>
      </c>
      <c r="L1876" s="863">
        <v>1406000</v>
      </c>
      <c r="M1876" s="859">
        <v>4568334</v>
      </c>
      <c r="N1876" s="859"/>
      <c r="O1876" s="752">
        <f t="shared" si="250"/>
        <v>4568334</v>
      </c>
      <c r="P1876" s="862">
        <v>4485665</v>
      </c>
      <c r="Q1876" s="860"/>
      <c r="R1876" s="753">
        <f t="shared" si="253"/>
        <v>4485665</v>
      </c>
      <c r="S1876" s="752">
        <f t="shared" si="254"/>
        <v>16540292</v>
      </c>
      <c r="T1876" s="754">
        <f t="shared" si="255"/>
        <v>15854903</v>
      </c>
      <c r="U1876" s="859"/>
      <c r="V1876" s="863"/>
      <c r="W1876" s="859"/>
      <c r="X1876" s="859"/>
      <c r="Y1876" s="755">
        <f t="shared" si="251"/>
        <v>0</v>
      </c>
      <c r="Z1876" s="864"/>
      <c r="AA1876" s="863"/>
      <c r="AB1876" s="756">
        <f t="shared" si="252"/>
        <v>0</v>
      </c>
      <c r="AC1876" s="859"/>
      <c r="AD1876" s="863"/>
      <c r="AE1876" s="859"/>
      <c r="AF1876" s="859"/>
      <c r="AG1876" s="864"/>
      <c r="AH1876" s="865"/>
      <c r="AI1876" s="757">
        <f t="shared" si="256"/>
        <v>16540292</v>
      </c>
      <c r="AJ1876" s="758">
        <f t="shared" si="257"/>
        <v>15854903</v>
      </c>
    </row>
    <row r="1877" spans="1:36" x14ac:dyDescent="0.2">
      <c r="A1877" s="1217" t="s">
        <v>153</v>
      </c>
      <c r="B1877" s="1218" t="s">
        <v>264</v>
      </c>
      <c r="C1877" s="1223" t="s">
        <v>1300</v>
      </c>
      <c r="D1877" s="1224"/>
      <c r="E1877" s="1221">
        <v>198491</v>
      </c>
      <c r="F1877" s="1222">
        <v>9</v>
      </c>
      <c r="G1877" s="859"/>
      <c r="H1877" s="860"/>
      <c r="I1877" s="861"/>
      <c r="J1877" s="862"/>
      <c r="K1877" s="859"/>
      <c r="L1877" s="863"/>
      <c r="M1877" s="859"/>
      <c r="N1877" s="859"/>
      <c r="O1877" s="752">
        <f t="shared" si="250"/>
        <v>0</v>
      </c>
      <c r="P1877" s="862"/>
      <c r="Q1877" s="860"/>
      <c r="R1877" s="753">
        <f t="shared" si="253"/>
        <v>0</v>
      </c>
      <c r="S1877" s="752">
        <f t="shared" si="254"/>
        <v>0</v>
      </c>
      <c r="T1877" s="754">
        <f t="shared" si="255"/>
        <v>0</v>
      </c>
      <c r="U1877" s="859"/>
      <c r="V1877" s="863"/>
      <c r="W1877" s="859"/>
      <c r="X1877" s="859"/>
      <c r="Y1877" s="755">
        <f t="shared" si="251"/>
        <v>0</v>
      </c>
      <c r="Z1877" s="864"/>
      <c r="AA1877" s="863"/>
      <c r="AB1877" s="756">
        <f t="shared" si="252"/>
        <v>0</v>
      </c>
      <c r="AC1877" s="859"/>
      <c r="AD1877" s="863"/>
      <c r="AE1877" s="859"/>
      <c r="AF1877" s="859"/>
      <c r="AG1877" s="864"/>
      <c r="AH1877" s="865"/>
      <c r="AI1877" s="757">
        <f t="shared" si="256"/>
        <v>0</v>
      </c>
      <c r="AJ1877" s="758">
        <f t="shared" si="257"/>
        <v>0</v>
      </c>
    </row>
    <row r="1878" spans="1:36" x14ac:dyDescent="0.2">
      <c r="A1878" s="1217" t="s">
        <v>153</v>
      </c>
      <c r="B1878" s="1218" t="s">
        <v>266</v>
      </c>
      <c r="C1878" s="1223" t="s">
        <v>319</v>
      </c>
      <c r="D1878" s="1224"/>
      <c r="E1878" s="1221">
        <v>198491</v>
      </c>
      <c r="F1878" s="1222">
        <v>9</v>
      </c>
      <c r="G1878" s="859"/>
      <c r="H1878" s="860"/>
      <c r="I1878" s="861">
        <v>150298</v>
      </c>
      <c r="J1878" s="862">
        <v>149476</v>
      </c>
      <c r="K1878" s="859"/>
      <c r="L1878" s="863"/>
      <c r="M1878" s="859"/>
      <c r="N1878" s="859"/>
      <c r="O1878" s="752">
        <f t="shared" si="250"/>
        <v>0</v>
      </c>
      <c r="P1878" s="862"/>
      <c r="Q1878" s="860"/>
      <c r="R1878" s="753">
        <f t="shared" si="253"/>
        <v>0</v>
      </c>
      <c r="S1878" s="752">
        <f t="shared" si="254"/>
        <v>150298</v>
      </c>
      <c r="T1878" s="754">
        <f t="shared" si="255"/>
        <v>149476</v>
      </c>
      <c r="U1878" s="859"/>
      <c r="V1878" s="863"/>
      <c r="W1878" s="859"/>
      <c r="X1878" s="859"/>
      <c r="Y1878" s="755">
        <f t="shared" si="251"/>
        <v>0</v>
      </c>
      <c r="Z1878" s="864"/>
      <c r="AA1878" s="863"/>
      <c r="AB1878" s="756">
        <f t="shared" si="252"/>
        <v>0</v>
      </c>
      <c r="AC1878" s="859"/>
      <c r="AD1878" s="863"/>
      <c r="AE1878" s="859"/>
      <c r="AF1878" s="859"/>
      <c r="AG1878" s="864"/>
      <c r="AH1878" s="865"/>
      <c r="AI1878" s="757">
        <f t="shared" si="256"/>
        <v>150298</v>
      </c>
      <c r="AJ1878" s="758">
        <f t="shared" si="257"/>
        <v>149476</v>
      </c>
    </row>
    <row r="1879" spans="1:36" x14ac:dyDescent="0.2">
      <c r="A1879" s="1217" t="s">
        <v>153</v>
      </c>
      <c r="B1879" s="1218" t="s">
        <v>275</v>
      </c>
      <c r="C1879" s="1223" t="s">
        <v>258</v>
      </c>
      <c r="D1879" s="1224"/>
      <c r="E1879" s="1221">
        <v>198491</v>
      </c>
      <c r="F1879" s="1222">
        <v>9</v>
      </c>
      <c r="G1879" s="859"/>
      <c r="H1879" s="860"/>
      <c r="I1879" s="861">
        <v>1654555</v>
      </c>
      <c r="J1879" s="862">
        <v>1507854</v>
      </c>
      <c r="K1879" s="859"/>
      <c r="L1879" s="863"/>
      <c r="M1879" s="859">
        <v>137377</v>
      </c>
      <c r="N1879" s="859"/>
      <c r="O1879" s="752">
        <f t="shared" si="250"/>
        <v>137377</v>
      </c>
      <c r="P1879" s="862">
        <v>184904</v>
      </c>
      <c r="Q1879" s="860"/>
      <c r="R1879" s="753">
        <f t="shared" si="253"/>
        <v>184904</v>
      </c>
      <c r="S1879" s="752">
        <f t="shared" si="254"/>
        <v>1791932</v>
      </c>
      <c r="T1879" s="754">
        <f t="shared" si="255"/>
        <v>1692758</v>
      </c>
      <c r="U1879" s="859"/>
      <c r="V1879" s="863"/>
      <c r="W1879" s="859"/>
      <c r="X1879" s="859"/>
      <c r="Y1879" s="755">
        <f t="shared" si="251"/>
        <v>0</v>
      </c>
      <c r="Z1879" s="864"/>
      <c r="AA1879" s="863"/>
      <c r="AB1879" s="756">
        <f t="shared" si="252"/>
        <v>0</v>
      </c>
      <c r="AC1879" s="859"/>
      <c r="AD1879" s="863"/>
      <c r="AE1879" s="859"/>
      <c r="AF1879" s="859"/>
      <c r="AG1879" s="864"/>
      <c r="AH1879" s="865"/>
      <c r="AI1879" s="757">
        <f t="shared" si="256"/>
        <v>1791932</v>
      </c>
      <c r="AJ1879" s="758">
        <f t="shared" si="257"/>
        <v>1692758</v>
      </c>
    </row>
    <row r="1880" spans="1:36" x14ac:dyDescent="0.2">
      <c r="A1880" s="1217" t="s">
        <v>153</v>
      </c>
      <c r="B1880" s="1218" t="s">
        <v>264</v>
      </c>
      <c r="C1880" s="1218" t="s">
        <v>1320</v>
      </c>
      <c r="D1880" s="1308" t="s">
        <v>1361</v>
      </c>
      <c r="E1880" s="1310">
        <v>198668</v>
      </c>
      <c r="F1880" s="1252">
        <v>10</v>
      </c>
      <c r="G1880" s="859">
        <v>7907392</v>
      </c>
      <c r="H1880" s="860">
        <v>7243292</v>
      </c>
      <c r="I1880" s="861"/>
      <c r="J1880" s="862"/>
      <c r="K1880" s="859">
        <v>2817613</v>
      </c>
      <c r="L1880" s="863">
        <v>2100456</v>
      </c>
      <c r="M1880" s="859">
        <v>2921790</v>
      </c>
      <c r="N1880" s="859"/>
      <c r="O1880" s="752">
        <f t="shared" si="250"/>
        <v>2921790</v>
      </c>
      <c r="P1880" s="862">
        <v>3341584</v>
      </c>
      <c r="Q1880" s="860"/>
      <c r="R1880" s="753">
        <f t="shared" si="253"/>
        <v>3341584</v>
      </c>
      <c r="S1880" s="752">
        <f t="shared" si="254"/>
        <v>13646795</v>
      </c>
      <c r="T1880" s="754">
        <f t="shared" si="255"/>
        <v>12685332</v>
      </c>
      <c r="U1880" s="859"/>
      <c r="V1880" s="863"/>
      <c r="W1880" s="859"/>
      <c r="X1880" s="859"/>
      <c r="Y1880" s="755">
        <f t="shared" si="251"/>
        <v>0</v>
      </c>
      <c r="Z1880" s="864"/>
      <c r="AA1880" s="863"/>
      <c r="AB1880" s="756">
        <f t="shared" si="252"/>
        <v>0</v>
      </c>
      <c r="AC1880" s="859"/>
      <c r="AD1880" s="863"/>
      <c r="AE1880" s="859"/>
      <c r="AF1880" s="859"/>
      <c r="AG1880" s="864"/>
      <c r="AH1880" s="865"/>
      <c r="AI1880" s="757">
        <f t="shared" si="256"/>
        <v>13646795</v>
      </c>
      <c r="AJ1880" s="758">
        <f t="shared" si="257"/>
        <v>12685332</v>
      </c>
    </row>
    <row r="1881" spans="1:36" x14ac:dyDescent="0.2">
      <c r="A1881" s="1217" t="s">
        <v>153</v>
      </c>
      <c r="B1881" s="1218" t="s">
        <v>264</v>
      </c>
      <c r="C1881" s="1223" t="s">
        <v>1300</v>
      </c>
      <c r="D1881" s="1224"/>
      <c r="E1881" s="1221">
        <v>198668</v>
      </c>
      <c r="F1881" s="1252">
        <v>10</v>
      </c>
      <c r="G1881" s="859"/>
      <c r="H1881" s="860"/>
      <c r="I1881" s="861"/>
      <c r="J1881" s="862"/>
      <c r="K1881" s="859"/>
      <c r="L1881" s="863"/>
      <c r="M1881" s="859"/>
      <c r="N1881" s="859"/>
      <c r="O1881" s="752">
        <f t="shared" si="250"/>
        <v>0</v>
      </c>
      <c r="P1881" s="862"/>
      <c r="Q1881" s="860"/>
      <c r="R1881" s="753">
        <f t="shared" si="253"/>
        <v>0</v>
      </c>
      <c r="S1881" s="752">
        <f t="shared" si="254"/>
        <v>0</v>
      </c>
      <c r="T1881" s="754">
        <f t="shared" si="255"/>
        <v>0</v>
      </c>
      <c r="U1881" s="859"/>
      <c r="V1881" s="863"/>
      <c r="W1881" s="859"/>
      <c r="X1881" s="859"/>
      <c r="Y1881" s="755">
        <f t="shared" si="251"/>
        <v>0</v>
      </c>
      <c r="Z1881" s="864"/>
      <c r="AA1881" s="863"/>
      <c r="AB1881" s="756">
        <f t="shared" si="252"/>
        <v>0</v>
      </c>
      <c r="AC1881" s="859"/>
      <c r="AD1881" s="863"/>
      <c r="AE1881" s="859"/>
      <c r="AF1881" s="859"/>
      <c r="AG1881" s="864"/>
      <c r="AH1881" s="865"/>
      <c r="AI1881" s="757">
        <f t="shared" si="256"/>
        <v>0</v>
      </c>
      <c r="AJ1881" s="758">
        <f t="shared" si="257"/>
        <v>0</v>
      </c>
    </row>
    <row r="1882" spans="1:36" x14ac:dyDescent="0.2">
      <c r="A1882" s="1217" t="s">
        <v>153</v>
      </c>
      <c r="B1882" s="1218" t="s">
        <v>266</v>
      </c>
      <c r="C1882" s="1223" t="s">
        <v>319</v>
      </c>
      <c r="D1882" s="1224"/>
      <c r="E1882" s="1221">
        <v>198668</v>
      </c>
      <c r="F1882" s="1252">
        <v>10</v>
      </c>
      <c r="G1882" s="859"/>
      <c r="H1882" s="860"/>
      <c r="I1882" s="861">
        <v>151581</v>
      </c>
      <c r="J1882" s="862">
        <v>153044</v>
      </c>
      <c r="K1882" s="859"/>
      <c r="L1882" s="863"/>
      <c r="M1882" s="859"/>
      <c r="N1882" s="859"/>
      <c r="O1882" s="752">
        <f t="shared" si="250"/>
        <v>0</v>
      </c>
      <c r="P1882" s="862"/>
      <c r="Q1882" s="860"/>
      <c r="R1882" s="753">
        <f t="shared" si="253"/>
        <v>0</v>
      </c>
      <c r="S1882" s="752">
        <f t="shared" si="254"/>
        <v>151581</v>
      </c>
      <c r="T1882" s="754">
        <f t="shared" si="255"/>
        <v>153044</v>
      </c>
      <c r="U1882" s="859"/>
      <c r="V1882" s="863"/>
      <c r="W1882" s="859"/>
      <c r="X1882" s="859"/>
      <c r="Y1882" s="755">
        <f t="shared" si="251"/>
        <v>0</v>
      </c>
      <c r="Z1882" s="864"/>
      <c r="AA1882" s="863"/>
      <c r="AB1882" s="756">
        <f t="shared" si="252"/>
        <v>0</v>
      </c>
      <c r="AC1882" s="859"/>
      <c r="AD1882" s="863"/>
      <c r="AE1882" s="859"/>
      <c r="AF1882" s="859"/>
      <c r="AG1882" s="864"/>
      <c r="AH1882" s="865"/>
      <c r="AI1882" s="757">
        <f t="shared" si="256"/>
        <v>151581</v>
      </c>
      <c r="AJ1882" s="758">
        <f t="shared" si="257"/>
        <v>153044</v>
      </c>
    </row>
    <row r="1883" spans="1:36" x14ac:dyDescent="0.2">
      <c r="A1883" s="1217" t="s">
        <v>153</v>
      </c>
      <c r="B1883" s="1218" t="s">
        <v>275</v>
      </c>
      <c r="C1883" s="1223" t="s">
        <v>258</v>
      </c>
      <c r="D1883" s="1224"/>
      <c r="E1883" s="1221">
        <v>198668</v>
      </c>
      <c r="F1883" s="1252">
        <v>10</v>
      </c>
      <c r="G1883" s="859"/>
      <c r="H1883" s="860"/>
      <c r="I1883" s="861">
        <v>945750</v>
      </c>
      <c r="J1883" s="862">
        <v>874276</v>
      </c>
      <c r="K1883" s="859"/>
      <c r="L1883" s="863"/>
      <c r="M1883" s="859">
        <v>98721</v>
      </c>
      <c r="N1883" s="859"/>
      <c r="O1883" s="752">
        <f t="shared" si="250"/>
        <v>98721</v>
      </c>
      <c r="P1883" s="862">
        <v>164640</v>
      </c>
      <c r="Q1883" s="860"/>
      <c r="R1883" s="753">
        <f t="shared" si="253"/>
        <v>164640</v>
      </c>
      <c r="S1883" s="752">
        <f t="shared" si="254"/>
        <v>1044471</v>
      </c>
      <c r="T1883" s="754">
        <f t="shared" si="255"/>
        <v>1038916</v>
      </c>
      <c r="U1883" s="859"/>
      <c r="V1883" s="863"/>
      <c r="W1883" s="859"/>
      <c r="X1883" s="859"/>
      <c r="Y1883" s="755">
        <f t="shared" si="251"/>
        <v>0</v>
      </c>
      <c r="Z1883" s="864"/>
      <c r="AA1883" s="863"/>
      <c r="AB1883" s="756">
        <f t="shared" si="252"/>
        <v>0</v>
      </c>
      <c r="AC1883" s="859"/>
      <c r="AD1883" s="863"/>
      <c r="AE1883" s="859"/>
      <c r="AF1883" s="859"/>
      <c r="AG1883" s="864"/>
      <c r="AH1883" s="865"/>
      <c r="AI1883" s="757">
        <f t="shared" si="256"/>
        <v>1044471</v>
      </c>
      <c r="AJ1883" s="758">
        <f t="shared" si="257"/>
        <v>1038916</v>
      </c>
    </row>
    <row r="1884" spans="1:36" x14ac:dyDescent="0.2">
      <c r="A1884" s="1217" t="s">
        <v>153</v>
      </c>
      <c r="B1884" s="1218" t="s">
        <v>264</v>
      </c>
      <c r="C1884" s="1218" t="s">
        <v>1321</v>
      </c>
      <c r="D1884" s="1307" t="s">
        <v>1127</v>
      </c>
      <c r="E1884" s="1221">
        <v>198710</v>
      </c>
      <c r="F1884" s="1222">
        <v>9</v>
      </c>
      <c r="G1884" s="859">
        <v>9077801</v>
      </c>
      <c r="H1884" s="860">
        <v>8067333</v>
      </c>
      <c r="I1884" s="861"/>
      <c r="J1884" s="862"/>
      <c r="K1884" s="859">
        <v>2026370</v>
      </c>
      <c r="L1884" s="863">
        <v>2098872</v>
      </c>
      <c r="M1884" s="859">
        <v>3292347</v>
      </c>
      <c r="N1884" s="859"/>
      <c r="O1884" s="752">
        <f t="shared" si="250"/>
        <v>3292347</v>
      </c>
      <c r="P1884" s="862">
        <v>3715088</v>
      </c>
      <c r="Q1884" s="860"/>
      <c r="R1884" s="753">
        <f t="shared" si="253"/>
        <v>3715088</v>
      </c>
      <c r="S1884" s="752">
        <f t="shared" si="254"/>
        <v>14396518</v>
      </c>
      <c r="T1884" s="754">
        <f t="shared" si="255"/>
        <v>13881293</v>
      </c>
      <c r="U1884" s="859"/>
      <c r="V1884" s="863"/>
      <c r="W1884" s="859"/>
      <c r="X1884" s="859"/>
      <c r="Y1884" s="755">
        <f t="shared" si="251"/>
        <v>0</v>
      </c>
      <c r="Z1884" s="864"/>
      <c r="AA1884" s="863"/>
      <c r="AB1884" s="756">
        <f t="shared" si="252"/>
        <v>0</v>
      </c>
      <c r="AC1884" s="859"/>
      <c r="AD1884" s="863"/>
      <c r="AE1884" s="859"/>
      <c r="AF1884" s="859"/>
      <c r="AG1884" s="864"/>
      <c r="AH1884" s="865"/>
      <c r="AI1884" s="757">
        <f t="shared" si="256"/>
        <v>14396518</v>
      </c>
      <c r="AJ1884" s="758">
        <f t="shared" si="257"/>
        <v>13881293</v>
      </c>
    </row>
    <row r="1885" spans="1:36" x14ac:dyDescent="0.2">
      <c r="A1885" s="1217" t="s">
        <v>153</v>
      </c>
      <c r="B1885" s="1218" t="s">
        <v>264</v>
      </c>
      <c r="C1885" s="1223" t="s">
        <v>1300</v>
      </c>
      <c r="D1885" s="1224"/>
      <c r="E1885" s="1221">
        <v>198710</v>
      </c>
      <c r="F1885" s="1222">
        <v>9</v>
      </c>
      <c r="G1885" s="859"/>
      <c r="H1885" s="860"/>
      <c r="I1885" s="861"/>
      <c r="J1885" s="862"/>
      <c r="K1885" s="859"/>
      <c r="L1885" s="863"/>
      <c r="M1885" s="859"/>
      <c r="N1885" s="859"/>
      <c r="O1885" s="752">
        <f t="shared" si="250"/>
        <v>0</v>
      </c>
      <c r="P1885" s="862"/>
      <c r="Q1885" s="860"/>
      <c r="R1885" s="753">
        <f t="shared" si="253"/>
        <v>0</v>
      </c>
      <c r="S1885" s="752">
        <f t="shared" si="254"/>
        <v>0</v>
      </c>
      <c r="T1885" s="754">
        <f t="shared" si="255"/>
        <v>0</v>
      </c>
      <c r="U1885" s="859"/>
      <c r="V1885" s="863"/>
      <c r="W1885" s="859"/>
      <c r="X1885" s="859"/>
      <c r="Y1885" s="755">
        <f t="shared" si="251"/>
        <v>0</v>
      </c>
      <c r="Z1885" s="864"/>
      <c r="AA1885" s="863"/>
      <c r="AB1885" s="756">
        <f t="shared" si="252"/>
        <v>0</v>
      </c>
      <c r="AC1885" s="859"/>
      <c r="AD1885" s="863"/>
      <c r="AE1885" s="859"/>
      <c r="AF1885" s="859"/>
      <c r="AG1885" s="864"/>
      <c r="AH1885" s="865"/>
      <c r="AI1885" s="757">
        <f t="shared" si="256"/>
        <v>0</v>
      </c>
      <c r="AJ1885" s="758">
        <f t="shared" si="257"/>
        <v>0</v>
      </c>
    </row>
    <row r="1886" spans="1:36" x14ac:dyDescent="0.2">
      <c r="A1886" s="1217" t="s">
        <v>153</v>
      </c>
      <c r="B1886" s="1218" t="s">
        <v>266</v>
      </c>
      <c r="C1886" s="1223" t="s">
        <v>319</v>
      </c>
      <c r="D1886" s="1224"/>
      <c r="E1886" s="1221">
        <v>198710</v>
      </c>
      <c r="F1886" s="1222">
        <v>9</v>
      </c>
      <c r="G1886" s="859"/>
      <c r="H1886" s="860"/>
      <c r="I1886" s="861">
        <v>149166</v>
      </c>
      <c r="J1886" s="862">
        <v>154395</v>
      </c>
      <c r="K1886" s="859"/>
      <c r="L1886" s="863"/>
      <c r="M1886" s="859"/>
      <c r="N1886" s="859"/>
      <c r="O1886" s="752">
        <f t="shared" si="250"/>
        <v>0</v>
      </c>
      <c r="P1886" s="862"/>
      <c r="Q1886" s="860"/>
      <c r="R1886" s="753">
        <f t="shared" si="253"/>
        <v>0</v>
      </c>
      <c r="S1886" s="752">
        <f t="shared" si="254"/>
        <v>149166</v>
      </c>
      <c r="T1886" s="754">
        <f t="shared" si="255"/>
        <v>154395</v>
      </c>
      <c r="U1886" s="859"/>
      <c r="V1886" s="863"/>
      <c r="W1886" s="859"/>
      <c r="X1886" s="859"/>
      <c r="Y1886" s="755">
        <f t="shared" si="251"/>
        <v>0</v>
      </c>
      <c r="Z1886" s="864"/>
      <c r="AA1886" s="863"/>
      <c r="AB1886" s="756">
        <f t="shared" si="252"/>
        <v>0</v>
      </c>
      <c r="AC1886" s="859"/>
      <c r="AD1886" s="863"/>
      <c r="AE1886" s="859"/>
      <c r="AF1886" s="859"/>
      <c r="AG1886" s="864"/>
      <c r="AH1886" s="865"/>
      <c r="AI1886" s="757">
        <f t="shared" si="256"/>
        <v>149166</v>
      </c>
      <c r="AJ1886" s="758">
        <f t="shared" si="257"/>
        <v>154395</v>
      </c>
    </row>
    <row r="1887" spans="1:36" x14ac:dyDescent="0.2">
      <c r="A1887" s="1217" t="s">
        <v>153</v>
      </c>
      <c r="B1887" s="1218" t="s">
        <v>275</v>
      </c>
      <c r="C1887" s="1223" t="s">
        <v>258</v>
      </c>
      <c r="D1887" s="1224"/>
      <c r="E1887" s="1221">
        <v>198710</v>
      </c>
      <c r="F1887" s="1222">
        <v>9</v>
      </c>
      <c r="G1887" s="859"/>
      <c r="H1887" s="860"/>
      <c r="I1887" s="861">
        <v>1267655</v>
      </c>
      <c r="J1887" s="862">
        <v>1236247</v>
      </c>
      <c r="K1887" s="859"/>
      <c r="L1887" s="863"/>
      <c r="M1887" s="859">
        <v>247573</v>
      </c>
      <c r="N1887" s="859"/>
      <c r="O1887" s="752">
        <f t="shared" si="250"/>
        <v>247573</v>
      </c>
      <c r="P1887" s="862">
        <v>169706</v>
      </c>
      <c r="Q1887" s="860"/>
      <c r="R1887" s="753">
        <f t="shared" si="253"/>
        <v>169706</v>
      </c>
      <c r="S1887" s="752">
        <f t="shared" si="254"/>
        <v>1515228</v>
      </c>
      <c r="T1887" s="754">
        <f t="shared" si="255"/>
        <v>1405953</v>
      </c>
      <c r="U1887" s="859"/>
      <c r="V1887" s="863"/>
      <c r="W1887" s="859"/>
      <c r="X1887" s="859"/>
      <c r="Y1887" s="755">
        <f t="shared" si="251"/>
        <v>0</v>
      </c>
      <c r="Z1887" s="864"/>
      <c r="AA1887" s="863"/>
      <c r="AB1887" s="756">
        <f t="shared" si="252"/>
        <v>0</v>
      </c>
      <c r="AC1887" s="859"/>
      <c r="AD1887" s="863"/>
      <c r="AE1887" s="859"/>
      <c r="AF1887" s="859"/>
      <c r="AG1887" s="864"/>
      <c r="AH1887" s="865"/>
      <c r="AI1887" s="757">
        <f t="shared" si="256"/>
        <v>1515228</v>
      </c>
      <c r="AJ1887" s="758">
        <f t="shared" si="257"/>
        <v>1405953</v>
      </c>
    </row>
    <row r="1888" spans="1:36" x14ac:dyDescent="0.2">
      <c r="A1888" s="1217" t="s">
        <v>153</v>
      </c>
      <c r="B1888" s="1218" t="s">
        <v>264</v>
      </c>
      <c r="C1888" s="1218" t="s">
        <v>1322</v>
      </c>
      <c r="D1888" s="1242"/>
      <c r="E1888" s="1221">
        <v>198774</v>
      </c>
      <c r="F1888" s="1222">
        <v>9</v>
      </c>
      <c r="G1888" s="859">
        <v>14566685</v>
      </c>
      <c r="H1888" s="860">
        <v>13303682</v>
      </c>
      <c r="I1888" s="861"/>
      <c r="J1888" s="862"/>
      <c r="K1888" s="859">
        <v>3723631</v>
      </c>
      <c r="L1888" s="863">
        <v>3843000</v>
      </c>
      <c r="M1888" s="859">
        <v>5625263</v>
      </c>
      <c r="N1888" s="859"/>
      <c r="O1888" s="752">
        <f t="shared" si="250"/>
        <v>5625263</v>
      </c>
      <c r="P1888" s="862">
        <v>6621523</v>
      </c>
      <c r="Q1888" s="860"/>
      <c r="R1888" s="753">
        <f t="shared" si="253"/>
        <v>6621523</v>
      </c>
      <c r="S1888" s="752">
        <f t="shared" si="254"/>
        <v>23915579</v>
      </c>
      <c r="T1888" s="754">
        <f t="shared" si="255"/>
        <v>23768205</v>
      </c>
      <c r="U1888" s="859"/>
      <c r="V1888" s="863"/>
      <c r="W1888" s="859"/>
      <c r="X1888" s="859"/>
      <c r="Y1888" s="755">
        <f t="shared" si="251"/>
        <v>0</v>
      </c>
      <c r="Z1888" s="864"/>
      <c r="AA1888" s="863"/>
      <c r="AB1888" s="756">
        <f t="shared" si="252"/>
        <v>0</v>
      </c>
      <c r="AC1888" s="859"/>
      <c r="AD1888" s="863"/>
      <c r="AE1888" s="859"/>
      <c r="AF1888" s="859"/>
      <c r="AG1888" s="864"/>
      <c r="AH1888" s="865"/>
      <c r="AI1888" s="757">
        <f t="shared" si="256"/>
        <v>23915579</v>
      </c>
      <c r="AJ1888" s="758">
        <f t="shared" si="257"/>
        <v>23768205</v>
      </c>
    </row>
    <row r="1889" spans="1:36" x14ac:dyDescent="0.2">
      <c r="A1889" s="1217" t="s">
        <v>153</v>
      </c>
      <c r="B1889" s="1218" t="s">
        <v>264</v>
      </c>
      <c r="C1889" s="1223" t="s">
        <v>1300</v>
      </c>
      <c r="D1889" s="1224"/>
      <c r="E1889" s="1221">
        <v>198774</v>
      </c>
      <c r="F1889" s="1222">
        <v>9</v>
      </c>
      <c r="G1889" s="859"/>
      <c r="H1889" s="860"/>
      <c r="I1889" s="861"/>
      <c r="J1889" s="862"/>
      <c r="K1889" s="859"/>
      <c r="L1889" s="863"/>
      <c r="M1889" s="859"/>
      <c r="N1889" s="859"/>
      <c r="O1889" s="752">
        <f t="shared" si="250"/>
        <v>0</v>
      </c>
      <c r="P1889" s="862"/>
      <c r="Q1889" s="860"/>
      <c r="R1889" s="753">
        <f t="shared" si="253"/>
        <v>0</v>
      </c>
      <c r="S1889" s="752">
        <f t="shared" si="254"/>
        <v>0</v>
      </c>
      <c r="T1889" s="754">
        <f t="shared" si="255"/>
        <v>0</v>
      </c>
      <c r="U1889" s="859"/>
      <c r="V1889" s="863"/>
      <c r="W1889" s="859"/>
      <c r="X1889" s="859"/>
      <c r="Y1889" s="755">
        <f t="shared" si="251"/>
        <v>0</v>
      </c>
      <c r="Z1889" s="864"/>
      <c r="AA1889" s="863"/>
      <c r="AB1889" s="756">
        <f t="shared" si="252"/>
        <v>0</v>
      </c>
      <c r="AC1889" s="859"/>
      <c r="AD1889" s="863"/>
      <c r="AE1889" s="859"/>
      <c r="AF1889" s="859"/>
      <c r="AG1889" s="864"/>
      <c r="AH1889" s="865"/>
      <c r="AI1889" s="757">
        <f t="shared" si="256"/>
        <v>0</v>
      </c>
      <c r="AJ1889" s="758">
        <f t="shared" si="257"/>
        <v>0</v>
      </c>
    </row>
    <row r="1890" spans="1:36" x14ac:dyDescent="0.2">
      <c r="A1890" s="1217" t="s">
        <v>153</v>
      </c>
      <c r="B1890" s="1218" t="s">
        <v>266</v>
      </c>
      <c r="C1890" s="1223" t="s">
        <v>319</v>
      </c>
      <c r="D1890" s="1224"/>
      <c r="E1890" s="1221">
        <v>198774</v>
      </c>
      <c r="F1890" s="1222">
        <v>9</v>
      </c>
      <c r="G1890" s="859"/>
      <c r="H1890" s="860"/>
      <c r="I1890" s="861">
        <v>156572</v>
      </c>
      <c r="J1890" s="862">
        <v>156192</v>
      </c>
      <c r="K1890" s="859"/>
      <c r="L1890" s="863"/>
      <c r="M1890" s="859"/>
      <c r="N1890" s="859"/>
      <c r="O1890" s="752">
        <f t="shared" si="250"/>
        <v>0</v>
      </c>
      <c r="P1890" s="862"/>
      <c r="Q1890" s="860"/>
      <c r="R1890" s="753">
        <f t="shared" si="253"/>
        <v>0</v>
      </c>
      <c r="S1890" s="752">
        <f t="shared" si="254"/>
        <v>156572</v>
      </c>
      <c r="T1890" s="754">
        <f t="shared" si="255"/>
        <v>156192</v>
      </c>
      <c r="U1890" s="859"/>
      <c r="V1890" s="863"/>
      <c r="W1890" s="859"/>
      <c r="X1890" s="859"/>
      <c r="Y1890" s="755">
        <f t="shared" si="251"/>
        <v>0</v>
      </c>
      <c r="Z1890" s="864"/>
      <c r="AA1890" s="863"/>
      <c r="AB1890" s="756">
        <f t="shared" si="252"/>
        <v>0</v>
      </c>
      <c r="AC1890" s="859"/>
      <c r="AD1890" s="863"/>
      <c r="AE1890" s="859"/>
      <c r="AF1890" s="859"/>
      <c r="AG1890" s="864"/>
      <c r="AH1890" s="865"/>
      <c r="AI1890" s="757">
        <f t="shared" si="256"/>
        <v>156572</v>
      </c>
      <c r="AJ1890" s="758">
        <f t="shared" si="257"/>
        <v>156192</v>
      </c>
    </row>
    <row r="1891" spans="1:36" x14ac:dyDescent="0.2">
      <c r="A1891" s="1217" t="s">
        <v>153</v>
      </c>
      <c r="B1891" s="1218" t="s">
        <v>275</v>
      </c>
      <c r="C1891" s="1223" t="s">
        <v>258</v>
      </c>
      <c r="D1891" s="1224"/>
      <c r="E1891" s="1221">
        <v>198774</v>
      </c>
      <c r="F1891" s="1222">
        <v>9</v>
      </c>
      <c r="G1891" s="859"/>
      <c r="H1891" s="860"/>
      <c r="I1891" s="861">
        <v>2222478</v>
      </c>
      <c r="J1891" s="862">
        <v>2241938</v>
      </c>
      <c r="K1891" s="859"/>
      <c r="L1891" s="863"/>
      <c r="M1891" s="859">
        <v>459336</v>
      </c>
      <c r="N1891" s="859"/>
      <c r="O1891" s="752">
        <f t="shared" si="250"/>
        <v>459336</v>
      </c>
      <c r="P1891" s="862">
        <v>339412</v>
      </c>
      <c r="Q1891" s="860"/>
      <c r="R1891" s="753">
        <f t="shared" si="253"/>
        <v>339412</v>
      </c>
      <c r="S1891" s="752">
        <f t="shared" si="254"/>
        <v>2681814</v>
      </c>
      <c r="T1891" s="754">
        <f t="shared" si="255"/>
        <v>2581350</v>
      </c>
      <c r="U1891" s="859"/>
      <c r="V1891" s="863"/>
      <c r="W1891" s="859"/>
      <c r="X1891" s="859"/>
      <c r="Y1891" s="755">
        <f t="shared" si="251"/>
        <v>0</v>
      </c>
      <c r="Z1891" s="864"/>
      <c r="AA1891" s="863"/>
      <c r="AB1891" s="756">
        <f t="shared" si="252"/>
        <v>0</v>
      </c>
      <c r="AC1891" s="859"/>
      <c r="AD1891" s="863"/>
      <c r="AE1891" s="859"/>
      <c r="AF1891" s="859"/>
      <c r="AG1891" s="864"/>
      <c r="AH1891" s="865"/>
      <c r="AI1891" s="757">
        <f t="shared" si="256"/>
        <v>2681814</v>
      </c>
      <c r="AJ1891" s="758">
        <f t="shared" si="257"/>
        <v>2581350</v>
      </c>
    </row>
    <row r="1892" spans="1:36" x14ac:dyDescent="0.2">
      <c r="A1892" s="1217" t="s">
        <v>153</v>
      </c>
      <c r="B1892" s="1218" t="s">
        <v>264</v>
      </c>
      <c r="C1892" s="1218" t="s">
        <v>1323</v>
      </c>
      <c r="D1892" s="1242"/>
      <c r="E1892" s="1221">
        <v>198817</v>
      </c>
      <c r="F1892" s="1222">
        <v>9</v>
      </c>
      <c r="G1892" s="859">
        <v>12587710</v>
      </c>
      <c r="H1892" s="860">
        <v>11440378</v>
      </c>
      <c r="I1892" s="861"/>
      <c r="J1892" s="862"/>
      <c r="K1892" s="859">
        <v>2649782</v>
      </c>
      <c r="L1892" s="863">
        <v>2727264</v>
      </c>
      <c r="M1892" s="859">
        <v>4190643</v>
      </c>
      <c r="N1892" s="859"/>
      <c r="O1892" s="752">
        <f t="shared" si="250"/>
        <v>4190643</v>
      </c>
      <c r="P1892" s="862">
        <v>4404074</v>
      </c>
      <c r="Q1892" s="860"/>
      <c r="R1892" s="753">
        <f t="shared" si="253"/>
        <v>4404074</v>
      </c>
      <c r="S1892" s="752">
        <f t="shared" si="254"/>
        <v>19428135</v>
      </c>
      <c r="T1892" s="754">
        <f t="shared" si="255"/>
        <v>18571716</v>
      </c>
      <c r="U1892" s="859"/>
      <c r="V1892" s="863"/>
      <c r="W1892" s="859"/>
      <c r="X1892" s="859"/>
      <c r="Y1892" s="755">
        <f t="shared" si="251"/>
        <v>0</v>
      </c>
      <c r="Z1892" s="864"/>
      <c r="AA1892" s="863"/>
      <c r="AB1892" s="756">
        <f t="shared" si="252"/>
        <v>0</v>
      </c>
      <c r="AC1892" s="859"/>
      <c r="AD1892" s="863"/>
      <c r="AE1892" s="859"/>
      <c r="AF1892" s="859"/>
      <c r="AG1892" s="864"/>
      <c r="AH1892" s="865"/>
      <c r="AI1892" s="757">
        <f t="shared" si="256"/>
        <v>19428135</v>
      </c>
      <c r="AJ1892" s="758">
        <f t="shared" si="257"/>
        <v>18571716</v>
      </c>
    </row>
    <row r="1893" spans="1:36" x14ac:dyDescent="0.2">
      <c r="A1893" s="1217" t="s">
        <v>153</v>
      </c>
      <c r="B1893" s="1218" t="s">
        <v>264</v>
      </c>
      <c r="C1893" s="1223" t="s">
        <v>1300</v>
      </c>
      <c r="D1893" s="1224"/>
      <c r="E1893" s="1221">
        <v>198817</v>
      </c>
      <c r="F1893" s="1222">
        <v>9</v>
      </c>
      <c r="G1893" s="859"/>
      <c r="H1893" s="860"/>
      <c r="I1893" s="861"/>
      <c r="J1893" s="862"/>
      <c r="K1893" s="859"/>
      <c r="L1893" s="863"/>
      <c r="M1893" s="859"/>
      <c r="N1893" s="859"/>
      <c r="O1893" s="752">
        <f t="shared" si="250"/>
        <v>0</v>
      </c>
      <c r="P1893" s="862"/>
      <c r="Q1893" s="860"/>
      <c r="R1893" s="753">
        <f t="shared" si="253"/>
        <v>0</v>
      </c>
      <c r="S1893" s="752">
        <f t="shared" si="254"/>
        <v>0</v>
      </c>
      <c r="T1893" s="754">
        <f t="shared" si="255"/>
        <v>0</v>
      </c>
      <c r="U1893" s="859"/>
      <c r="V1893" s="863"/>
      <c r="W1893" s="859"/>
      <c r="X1893" s="859"/>
      <c r="Y1893" s="755">
        <f t="shared" si="251"/>
        <v>0</v>
      </c>
      <c r="Z1893" s="864"/>
      <c r="AA1893" s="863"/>
      <c r="AB1893" s="756">
        <f t="shared" si="252"/>
        <v>0</v>
      </c>
      <c r="AC1893" s="859"/>
      <c r="AD1893" s="863"/>
      <c r="AE1893" s="859"/>
      <c r="AF1893" s="859"/>
      <c r="AG1893" s="864"/>
      <c r="AH1893" s="865"/>
      <c r="AI1893" s="757">
        <f t="shared" si="256"/>
        <v>0</v>
      </c>
      <c r="AJ1893" s="758">
        <f t="shared" si="257"/>
        <v>0</v>
      </c>
    </row>
    <row r="1894" spans="1:36" x14ac:dyDescent="0.2">
      <c r="A1894" s="1217" t="s">
        <v>153</v>
      </c>
      <c r="B1894" s="1218" t="s">
        <v>266</v>
      </c>
      <c r="C1894" s="1223" t="s">
        <v>319</v>
      </c>
      <c r="D1894" s="1224"/>
      <c r="E1894" s="1221">
        <v>198817</v>
      </c>
      <c r="F1894" s="1222">
        <v>9</v>
      </c>
      <c r="G1894" s="859"/>
      <c r="H1894" s="860"/>
      <c r="I1894" s="861">
        <v>155817</v>
      </c>
      <c r="J1894" s="862">
        <v>154084</v>
      </c>
      <c r="K1894" s="859"/>
      <c r="L1894" s="863"/>
      <c r="M1894" s="859"/>
      <c r="N1894" s="859"/>
      <c r="O1894" s="752">
        <f t="shared" si="250"/>
        <v>0</v>
      </c>
      <c r="P1894" s="862"/>
      <c r="Q1894" s="860"/>
      <c r="R1894" s="753">
        <f t="shared" si="253"/>
        <v>0</v>
      </c>
      <c r="S1894" s="752">
        <f t="shared" si="254"/>
        <v>155817</v>
      </c>
      <c r="T1894" s="754">
        <f t="shared" si="255"/>
        <v>154084</v>
      </c>
      <c r="U1894" s="859"/>
      <c r="V1894" s="863"/>
      <c r="W1894" s="859"/>
      <c r="X1894" s="859"/>
      <c r="Y1894" s="755">
        <f t="shared" si="251"/>
        <v>0</v>
      </c>
      <c r="Z1894" s="864"/>
      <c r="AA1894" s="863"/>
      <c r="AB1894" s="756">
        <f t="shared" si="252"/>
        <v>0</v>
      </c>
      <c r="AC1894" s="859"/>
      <c r="AD1894" s="863"/>
      <c r="AE1894" s="859"/>
      <c r="AF1894" s="859"/>
      <c r="AG1894" s="864"/>
      <c r="AH1894" s="865"/>
      <c r="AI1894" s="757">
        <f t="shared" si="256"/>
        <v>155817</v>
      </c>
      <c r="AJ1894" s="758">
        <f t="shared" si="257"/>
        <v>154084</v>
      </c>
    </row>
    <row r="1895" spans="1:36" x14ac:dyDescent="0.2">
      <c r="A1895" s="1217" t="s">
        <v>153</v>
      </c>
      <c r="B1895" s="1218" t="s">
        <v>275</v>
      </c>
      <c r="C1895" s="1223" t="s">
        <v>258</v>
      </c>
      <c r="D1895" s="1224"/>
      <c r="E1895" s="1221">
        <v>198817</v>
      </c>
      <c r="F1895" s="1222">
        <v>9</v>
      </c>
      <c r="G1895" s="859"/>
      <c r="H1895" s="860"/>
      <c r="I1895" s="861">
        <v>5244452</v>
      </c>
      <c r="J1895" s="862">
        <v>5115259</v>
      </c>
      <c r="K1895" s="859"/>
      <c r="L1895" s="863"/>
      <c r="M1895" s="859">
        <v>397104</v>
      </c>
      <c r="N1895" s="859"/>
      <c r="O1895" s="752">
        <f t="shared" si="250"/>
        <v>397104</v>
      </c>
      <c r="P1895" s="862">
        <v>1007471</v>
      </c>
      <c r="Q1895" s="860"/>
      <c r="R1895" s="753">
        <f t="shared" si="253"/>
        <v>1007471</v>
      </c>
      <c r="S1895" s="752">
        <f t="shared" si="254"/>
        <v>5641556</v>
      </c>
      <c r="T1895" s="754">
        <f t="shared" si="255"/>
        <v>6122730</v>
      </c>
      <c r="U1895" s="859"/>
      <c r="V1895" s="863"/>
      <c r="W1895" s="859"/>
      <c r="X1895" s="859"/>
      <c r="Y1895" s="755">
        <f t="shared" si="251"/>
        <v>0</v>
      </c>
      <c r="Z1895" s="864"/>
      <c r="AA1895" s="863"/>
      <c r="AB1895" s="756">
        <f t="shared" si="252"/>
        <v>0</v>
      </c>
      <c r="AC1895" s="859"/>
      <c r="AD1895" s="863"/>
      <c r="AE1895" s="859"/>
      <c r="AF1895" s="859"/>
      <c r="AG1895" s="864"/>
      <c r="AH1895" s="865"/>
      <c r="AI1895" s="757">
        <f t="shared" si="256"/>
        <v>5641556</v>
      </c>
      <c r="AJ1895" s="758">
        <f t="shared" si="257"/>
        <v>6122730</v>
      </c>
    </row>
    <row r="1896" spans="1:36" x14ac:dyDescent="0.2">
      <c r="A1896" s="1217" t="s">
        <v>153</v>
      </c>
      <c r="B1896" s="1218" t="s">
        <v>264</v>
      </c>
      <c r="C1896" s="1218" t="s">
        <v>1324</v>
      </c>
      <c r="D1896" s="1242"/>
      <c r="E1896" s="1221">
        <v>198987</v>
      </c>
      <c r="F1896" s="1222">
        <v>9</v>
      </c>
      <c r="G1896" s="859">
        <v>10472223</v>
      </c>
      <c r="H1896" s="860">
        <v>9714569</v>
      </c>
      <c r="I1896" s="861"/>
      <c r="J1896" s="862"/>
      <c r="K1896" s="859">
        <v>2835071</v>
      </c>
      <c r="L1896" s="863">
        <v>2935071</v>
      </c>
      <c r="M1896" s="859">
        <v>4289990</v>
      </c>
      <c r="N1896" s="859"/>
      <c r="O1896" s="752">
        <f t="shared" si="250"/>
        <v>4289990</v>
      </c>
      <c r="P1896" s="862">
        <v>4705052</v>
      </c>
      <c r="Q1896" s="860"/>
      <c r="R1896" s="753">
        <f t="shared" si="253"/>
        <v>4705052</v>
      </c>
      <c r="S1896" s="752">
        <f t="shared" si="254"/>
        <v>17597284</v>
      </c>
      <c r="T1896" s="754">
        <f t="shared" si="255"/>
        <v>17354692</v>
      </c>
      <c r="U1896" s="859"/>
      <c r="V1896" s="863"/>
      <c r="W1896" s="859"/>
      <c r="X1896" s="859"/>
      <c r="Y1896" s="755">
        <f t="shared" si="251"/>
        <v>0</v>
      </c>
      <c r="Z1896" s="864"/>
      <c r="AA1896" s="863"/>
      <c r="AB1896" s="756">
        <f t="shared" si="252"/>
        <v>0</v>
      </c>
      <c r="AC1896" s="859"/>
      <c r="AD1896" s="863"/>
      <c r="AE1896" s="859"/>
      <c r="AF1896" s="859"/>
      <c r="AG1896" s="864"/>
      <c r="AH1896" s="865"/>
      <c r="AI1896" s="757">
        <f t="shared" si="256"/>
        <v>17597284</v>
      </c>
      <c r="AJ1896" s="758">
        <f t="shared" si="257"/>
        <v>17354692</v>
      </c>
    </row>
    <row r="1897" spans="1:36" x14ac:dyDescent="0.2">
      <c r="A1897" s="1217" t="s">
        <v>153</v>
      </c>
      <c r="B1897" s="1218" t="s">
        <v>264</v>
      </c>
      <c r="C1897" s="1223" t="s">
        <v>1300</v>
      </c>
      <c r="D1897" s="1224"/>
      <c r="E1897" s="1221">
        <v>198987</v>
      </c>
      <c r="F1897" s="1222">
        <v>9</v>
      </c>
      <c r="G1897" s="859"/>
      <c r="H1897" s="860"/>
      <c r="I1897" s="861"/>
      <c r="J1897" s="862"/>
      <c r="K1897" s="859"/>
      <c r="L1897" s="863"/>
      <c r="M1897" s="859"/>
      <c r="N1897" s="859"/>
      <c r="O1897" s="752">
        <f t="shared" si="250"/>
        <v>0</v>
      </c>
      <c r="P1897" s="862"/>
      <c r="Q1897" s="860"/>
      <c r="R1897" s="753">
        <f t="shared" si="253"/>
        <v>0</v>
      </c>
      <c r="S1897" s="752">
        <f t="shared" si="254"/>
        <v>0</v>
      </c>
      <c r="T1897" s="754">
        <f t="shared" si="255"/>
        <v>0</v>
      </c>
      <c r="U1897" s="859"/>
      <c r="V1897" s="863"/>
      <c r="W1897" s="859"/>
      <c r="X1897" s="859"/>
      <c r="Y1897" s="755">
        <f t="shared" si="251"/>
        <v>0</v>
      </c>
      <c r="Z1897" s="864"/>
      <c r="AA1897" s="863"/>
      <c r="AB1897" s="756">
        <f t="shared" si="252"/>
        <v>0</v>
      </c>
      <c r="AC1897" s="859"/>
      <c r="AD1897" s="863"/>
      <c r="AE1897" s="859"/>
      <c r="AF1897" s="859"/>
      <c r="AG1897" s="864"/>
      <c r="AH1897" s="865"/>
      <c r="AI1897" s="757">
        <f t="shared" si="256"/>
        <v>0</v>
      </c>
      <c r="AJ1897" s="758">
        <f t="shared" si="257"/>
        <v>0</v>
      </c>
    </row>
    <row r="1898" spans="1:36" x14ac:dyDescent="0.2">
      <c r="A1898" s="1217" t="s">
        <v>153</v>
      </c>
      <c r="B1898" s="1218" t="s">
        <v>266</v>
      </c>
      <c r="C1898" s="1223" t="s">
        <v>319</v>
      </c>
      <c r="D1898" s="1224"/>
      <c r="E1898" s="1221">
        <v>198987</v>
      </c>
      <c r="F1898" s="1222">
        <v>9</v>
      </c>
      <c r="G1898" s="859"/>
      <c r="H1898" s="860"/>
      <c r="I1898" s="861">
        <v>162949</v>
      </c>
      <c r="J1898" s="862">
        <v>166354</v>
      </c>
      <c r="K1898" s="859"/>
      <c r="L1898" s="863"/>
      <c r="M1898" s="859"/>
      <c r="N1898" s="859"/>
      <c r="O1898" s="752">
        <f t="shared" si="250"/>
        <v>0</v>
      </c>
      <c r="P1898" s="862"/>
      <c r="Q1898" s="860"/>
      <c r="R1898" s="753">
        <f t="shared" si="253"/>
        <v>0</v>
      </c>
      <c r="S1898" s="752">
        <f t="shared" si="254"/>
        <v>162949</v>
      </c>
      <c r="T1898" s="754">
        <f t="shared" si="255"/>
        <v>166354</v>
      </c>
      <c r="U1898" s="859"/>
      <c r="V1898" s="863"/>
      <c r="W1898" s="859"/>
      <c r="X1898" s="859"/>
      <c r="Y1898" s="755">
        <f t="shared" si="251"/>
        <v>0</v>
      </c>
      <c r="Z1898" s="864"/>
      <c r="AA1898" s="863"/>
      <c r="AB1898" s="756">
        <f t="shared" si="252"/>
        <v>0</v>
      </c>
      <c r="AC1898" s="859"/>
      <c r="AD1898" s="863"/>
      <c r="AE1898" s="859"/>
      <c r="AF1898" s="859"/>
      <c r="AG1898" s="864"/>
      <c r="AH1898" s="865"/>
      <c r="AI1898" s="757">
        <f t="shared" si="256"/>
        <v>162949</v>
      </c>
      <c r="AJ1898" s="758">
        <f t="shared" si="257"/>
        <v>166354</v>
      </c>
    </row>
    <row r="1899" spans="1:36" x14ac:dyDescent="0.2">
      <c r="A1899" s="1217" t="s">
        <v>153</v>
      </c>
      <c r="B1899" s="1218" t="s">
        <v>275</v>
      </c>
      <c r="C1899" s="1223" t="s">
        <v>258</v>
      </c>
      <c r="D1899" s="1224"/>
      <c r="E1899" s="1221">
        <v>198987</v>
      </c>
      <c r="F1899" s="1222">
        <v>9</v>
      </c>
      <c r="G1899" s="859"/>
      <c r="H1899" s="860"/>
      <c r="I1899" s="861">
        <v>1657290</v>
      </c>
      <c r="J1899" s="862">
        <v>1601450</v>
      </c>
      <c r="K1899" s="859"/>
      <c r="L1899" s="863"/>
      <c r="M1899" s="859">
        <v>209607</v>
      </c>
      <c r="N1899" s="859"/>
      <c r="O1899" s="752">
        <f t="shared" si="250"/>
        <v>209607</v>
      </c>
      <c r="P1899" s="862">
        <v>198201</v>
      </c>
      <c r="Q1899" s="860"/>
      <c r="R1899" s="753">
        <f t="shared" si="253"/>
        <v>198201</v>
      </c>
      <c r="S1899" s="752">
        <f t="shared" si="254"/>
        <v>1866897</v>
      </c>
      <c r="T1899" s="754">
        <f t="shared" si="255"/>
        <v>1799651</v>
      </c>
      <c r="U1899" s="859"/>
      <c r="V1899" s="863"/>
      <c r="W1899" s="859"/>
      <c r="X1899" s="859"/>
      <c r="Y1899" s="755">
        <f t="shared" si="251"/>
        <v>0</v>
      </c>
      <c r="Z1899" s="864"/>
      <c r="AA1899" s="863"/>
      <c r="AB1899" s="756">
        <f t="shared" si="252"/>
        <v>0</v>
      </c>
      <c r="AC1899" s="859"/>
      <c r="AD1899" s="863"/>
      <c r="AE1899" s="859"/>
      <c r="AF1899" s="859"/>
      <c r="AG1899" s="864"/>
      <c r="AH1899" s="865"/>
      <c r="AI1899" s="757">
        <f t="shared" si="256"/>
        <v>1866897</v>
      </c>
      <c r="AJ1899" s="758">
        <f t="shared" si="257"/>
        <v>1799651</v>
      </c>
    </row>
    <row r="1900" spans="1:36" x14ac:dyDescent="0.2">
      <c r="A1900" s="1217" t="s">
        <v>153</v>
      </c>
      <c r="B1900" s="1218" t="s">
        <v>264</v>
      </c>
      <c r="C1900" s="1218" t="s">
        <v>1325</v>
      </c>
      <c r="D1900" s="1242"/>
      <c r="E1900" s="1221">
        <v>199087</v>
      </c>
      <c r="F1900" s="1222">
        <v>9</v>
      </c>
      <c r="G1900" s="859">
        <v>10449366</v>
      </c>
      <c r="H1900" s="860">
        <v>9681560</v>
      </c>
      <c r="I1900" s="861"/>
      <c r="J1900" s="862"/>
      <c r="K1900" s="859">
        <v>1641676</v>
      </c>
      <c r="L1900" s="863">
        <v>1641676</v>
      </c>
      <c r="M1900" s="859">
        <v>3661038</v>
      </c>
      <c r="N1900" s="859"/>
      <c r="O1900" s="752">
        <f t="shared" si="250"/>
        <v>3661038</v>
      </c>
      <c r="P1900" s="862">
        <v>4614396</v>
      </c>
      <c r="Q1900" s="860"/>
      <c r="R1900" s="753">
        <f t="shared" si="253"/>
        <v>4614396</v>
      </c>
      <c r="S1900" s="752">
        <f t="shared" si="254"/>
        <v>15752080</v>
      </c>
      <c r="T1900" s="754">
        <f t="shared" si="255"/>
        <v>15937632</v>
      </c>
      <c r="U1900" s="859"/>
      <c r="V1900" s="863"/>
      <c r="W1900" s="859"/>
      <c r="X1900" s="859"/>
      <c r="Y1900" s="755">
        <f t="shared" si="251"/>
        <v>0</v>
      </c>
      <c r="Z1900" s="864"/>
      <c r="AA1900" s="863"/>
      <c r="AB1900" s="756">
        <f t="shared" si="252"/>
        <v>0</v>
      </c>
      <c r="AC1900" s="859"/>
      <c r="AD1900" s="863"/>
      <c r="AE1900" s="859"/>
      <c r="AF1900" s="859"/>
      <c r="AG1900" s="864"/>
      <c r="AH1900" s="865"/>
      <c r="AI1900" s="757">
        <f t="shared" si="256"/>
        <v>15752080</v>
      </c>
      <c r="AJ1900" s="758">
        <f t="shared" si="257"/>
        <v>15937632</v>
      </c>
    </row>
    <row r="1901" spans="1:36" x14ac:dyDescent="0.2">
      <c r="A1901" s="1217" t="s">
        <v>153</v>
      </c>
      <c r="B1901" s="1218" t="s">
        <v>264</v>
      </c>
      <c r="C1901" s="1223" t="s">
        <v>1300</v>
      </c>
      <c r="D1901" s="1224"/>
      <c r="E1901" s="1221">
        <v>199087</v>
      </c>
      <c r="F1901" s="1222">
        <v>9</v>
      </c>
      <c r="G1901" s="859"/>
      <c r="H1901" s="860"/>
      <c r="I1901" s="861"/>
      <c r="J1901" s="862"/>
      <c r="K1901" s="859"/>
      <c r="L1901" s="863"/>
      <c r="M1901" s="859"/>
      <c r="N1901" s="859"/>
      <c r="O1901" s="752">
        <f t="shared" si="250"/>
        <v>0</v>
      </c>
      <c r="P1901" s="862"/>
      <c r="Q1901" s="860"/>
      <c r="R1901" s="753">
        <f t="shared" si="253"/>
        <v>0</v>
      </c>
      <c r="S1901" s="752">
        <f t="shared" si="254"/>
        <v>0</v>
      </c>
      <c r="T1901" s="754">
        <f t="shared" si="255"/>
        <v>0</v>
      </c>
      <c r="U1901" s="859"/>
      <c r="V1901" s="863"/>
      <c r="W1901" s="859"/>
      <c r="X1901" s="859"/>
      <c r="Y1901" s="755">
        <f t="shared" si="251"/>
        <v>0</v>
      </c>
      <c r="Z1901" s="864"/>
      <c r="AA1901" s="863"/>
      <c r="AB1901" s="756">
        <f t="shared" si="252"/>
        <v>0</v>
      </c>
      <c r="AC1901" s="859"/>
      <c r="AD1901" s="863"/>
      <c r="AE1901" s="859"/>
      <c r="AF1901" s="859"/>
      <c r="AG1901" s="864"/>
      <c r="AH1901" s="865"/>
      <c r="AI1901" s="757">
        <f t="shared" si="256"/>
        <v>0</v>
      </c>
      <c r="AJ1901" s="758">
        <f t="shared" si="257"/>
        <v>0</v>
      </c>
    </row>
    <row r="1902" spans="1:36" x14ac:dyDescent="0.2">
      <c r="A1902" s="1217" t="s">
        <v>153</v>
      </c>
      <c r="B1902" s="1218" t="s">
        <v>266</v>
      </c>
      <c r="C1902" s="1223" t="s">
        <v>319</v>
      </c>
      <c r="D1902" s="1224"/>
      <c r="E1902" s="1221">
        <v>199087</v>
      </c>
      <c r="F1902" s="1222">
        <v>9</v>
      </c>
      <c r="G1902" s="859"/>
      <c r="H1902" s="860"/>
      <c r="I1902" s="861">
        <v>154534</v>
      </c>
      <c r="J1902" s="862">
        <v>161490</v>
      </c>
      <c r="K1902" s="859"/>
      <c r="L1902" s="863"/>
      <c r="M1902" s="859"/>
      <c r="N1902" s="859"/>
      <c r="O1902" s="752">
        <f t="shared" si="250"/>
        <v>0</v>
      </c>
      <c r="P1902" s="862"/>
      <c r="Q1902" s="860"/>
      <c r="R1902" s="753">
        <f t="shared" si="253"/>
        <v>0</v>
      </c>
      <c r="S1902" s="752">
        <f t="shared" si="254"/>
        <v>154534</v>
      </c>
      <c r="T1902" s="754">
        <f t="shared" si="255"/>
        <v>161490</v>
      </c>
      <c r="U1902" s="859"/>
      <c r="V1902" s="863"/>
      <c r="W1902" s="859"/>
      <c r="X1902" s="859"/>
      <c r="Y1902" s="755">
        <f t="shared" si="251"/>
        <v>0</v>
      </c>
      <c r="Z1902" s="864"/>
      <c r="AA1902" s="863"/>
      <c r="AB1902" s="756">
        <f t="shared" si="252"/>
        <v>0</v>
      </c>
      <c r="AC1902" s="859"/>
      <c r="AD1902" s="863"/>
      <c r="AE1902" s="859"/>
      <c r="AF1902" s="859"/>
      <c r="AG1902" s="864"/>
      <c r="AH1902" s="865"/>
      <c r="AI1902" s="757">
        <f t="shared" si="256"/>
        <v>154534</v>
      </c>
      <c r="AJ1902" s="758">
        <f t="shared" si="257"/>
        <v>161490</v>
      </c>
    </row>
    <row r="1903" spans="1:36" x14ac:dyDescent="0.2">
      <c r="A1903" s="1217" t="s">
        <v>153</v>
      </c>
      <c r="B1903" s="1218" t="s">
        <v>275</v>
      </c>
      <c r="C1903" s="1223" t="s">
        <v>258</v>
      </c>
      <c r="D1903" s="1224"/>
      <c r="E1903" s="1221">
        <v>199087</v>
      </c>
      <c r="F1903" s="1222">
        <v>9</v>
      </c>
      <c r="G1903" s="859"/>
      <c r="H1903" s="860"/>
      <c r="I1903" s="861">
        <v>1503740</v>
      </c>
      <c r="J1903" s="862">
        <v>1564714</v>
      </c>
      <c r="K1903" s="859"/>
      <c r="L1903" s="863"/>
      <c r="M1903" s="859">
        <v>239702</v>
      </c>
      <c r="N1903" s="859"/>
      <c r="O1903" s="752">
        <f t="shared" si="250"/>
        <v>239702</v>
      </c>
      <c r="P1903" s="862">
        <v>271023</v>
      </c>
      <c r="Q1903" s="860"/>
      <c r="R1903" s="753">
        <f t="shared" si="253"/>
        <v>271023</v>
      </c>
      <c r="S1903" s="752">
        <f t="shared" si="254"/>
        <v>1743442</v>
      </c>
      <c r="T1903" s="754">
        <f t="shared" si="255"/>
        <v>1835737</v>
      </c>
      <c r="U1903" s="859"/>
      <c r="V1903" s="863"/>
      <c r="W1903" s="859"/>
      <c r="X1903" s="859"/>
      <c r="Y1903" s="755">
        <f t="shared" si="251"/>
        <v>0</v>
      </c>
      <c r="Z1903" s="864"/>
      <c r="AA1903" s="863"/>
      <c r="AB1903" s="756">
        <f t="shared" si="252"/>
        <v>0</v>
      </c>
      <c r="AC1903" s="859"/>
      <c r="AD1903" s="863"/>
      <c r="AE1903" s="859"/>
      <c r="AF1903" s="859"/>
      <c r="AG1903" s="864"/>
      <c r="AH1903" s="865"/>
      <c r="AI1903" s="757">
        <f t="shared" si="256"/>
        <v>1743442</v>
      </c>
      <c r="AJ1903" s="758">
        <f t="shared" si="257"/>
        <v>1835737</v>
      </c>
    </row>
    <row r="1904" spans="1:36" x14ac:dyDescent="0.2">
      <c r="A1904" s="1217" t="s">
        <v>153</v>
      </c>
      <c r="B1904" s="1218" t="s">
        <v>264</v>
      </c>
      <c r="C1904" s="1218" t="s">
        <v>1326</v>
      </c>
      <c r="D1904" s="1242"/>
      <c r="E1904" s="1221">
        <v>199421</v>
      </c>
      <c r="F1904" s="1222">
        <v>9</v>
      </c>
      <c r="G1904" s="859">
        <v>9199360</v>
      </c>
      <c r="H1904" s="860">
        <v>9064461</v>
      </c>
      <c r="I1904" s="861"/>
      <c r="J1904" s="862"/>
      <c r="K1904" s="859">
        <v>2295500</v>
      </c>
      <c r="L1904" s="863">
        <v>2328000</v>
      </c>
      <c r="M1904" s="859">
        <v>4034518</v>
      </c>
      <c r="N1904" s="859"/>
      <c r="O1904" s="752">
        <f t="shared" si="250"/>
        <v>4034518</v>
      </c>
      <c r="P1904" s="862">
        <v>4193752</v>
      </c>
      <c r="Q1904" s="860"/>
      <c r="R1904" s="753">
        <f t="shared" si="253"/>
        <v>4193752</v>
      </c>
      <c r="S1904" s="752">
        <f t="shared" si="254"/>
        <v>15529378</v>
      </c>
      <c r="T1904" s="754">
        <f t="shared" si="255"/>
        <v>15586213</v>
      </c>
      <c r="U1904" s="859"/>
      <c r="V1904" s="863"/>
      <c r="W1904" s="859"/>
      <c r="X1904" s="859"/>
      <c r="Y1904" s="755">
        <f t="shared" si="251"/>
        <v>0</v>
      </c>
      <c r="Z1904" s="864"/>
      <c r="AA1904" s="863"/>
      <c r="AB1904" s="756">
        <f t="shared" si="252"/>
        <v>0</v>
      </c>
      <c r="AC1904" s="859"/>
      <c r="AD1904" s="863"/>
      <c r="AE1904" s="859"/>
      <c r="AF1904" s="859"/>
      <c r="AG1904" s="864"/>
      <c r="AH1904" s="865"/>
      <c r="AI1904" s="757">
        <f t="shared" si="256"/>
        <v>15529378</v>
      </c>
      <c r="AJ1904" s="758">
        <f t="shared" si="257"/>
        <v>15586213</v>
      </c>
    </row>
    <row r="1905" spans="1:36" x14ac:dyDescent="0.2">
      <c r="A1905" s="1217" t="s">
        <v>153</v>
      </c>
      <c r="B1905" s="1218" t="s">
        <v>264</v>
      </c>
      <c r="C1905" s="1223" t="s">
        <v>1300</v>
      </c>
      <c r="D1905" s="1224"/>
      <c r="E1905" s="1221">
        <v>199421</v>
      </c>
      <c r="F1905" s="1222">
        <v>9</v>
      </c>
      <c r="G1905" s="859"/>
      <c r="H1905" s="860"/>
      <c r="I1905" s="861"/>
      <c r="J1905" s="862"/>
      <c r="K1905" s="859"/>
      <c r="L1905" s="863"/>
      <c r="M1905" s="859"/>
      <c r="N1905" s="859"/>
      <c r="O1905" s="752">
        <f t="shared" si="250"/>
        <v>0</v>
      </c>
      <c r="P1905" s="862"/>
      <c r="Q1905" s="860"/>
      <c r="R1905" s="753">
        <f t="shared" si="253"/>
        <v>0</v>
      </c>
      <c r="S1905" s="752">
        <f t="shared" si="254"/>
        <v>0</v>
      </c>
      <c r="T1905" s="754">
        <f t="shared" si="255"/>
        <v>0</v>
      </c>
      <c r="U1905" s="859"/>
      <c r="V1905" s="863"/>
      <c r="W1905" s="859"/>
      <c r="X1905" s="859"/>
      <c r="Y1905" s="755">
        <f t="shared" si="251"/>
        <v>0</v>
      </c>
      <c r="Z1905" s="864"/>
      <c r="AA1905" s="863"/>
      <c r="AB1905" s="756">
        <f t="shared" si="252"/>
        <v>0</v>
      </c>
      <c r="AC1905" s="859"/>
      <c r="AD1905" s="863"/>
      <c r="AE1905" s="859"/>
      <c r="AF1905" s="859"/>
      <c r="AG1905" s="864"/>
      <c r="AH1905" s="865"/>
      <c r="AI1905" s="757">
        <f t="shared" si="256"/>
        <v>0</v>
      </c>
      <c r="AJ1905" s="758">
        <f t="shared" si="257"/>
        <v>0</v>
      </c>
    </row>
    <row r="1906" spans="1:36" x14ac:dyDescent="0.2">
      <c r="A1906" s="1217" t="s">
        <v>153</v>
      </c>
      <c r="B1906" s="1218" t="s">
        <v>266</v>
      </c>
      <c r="C1906" s="1223" t="s">
        <v>319</v>
      </c>
      <c r="D1906" s="1224"/>
      <c r="E1906" s="1221">
        <v>199421</v>
      </c>
      <c r="F1906" s="1222">
        <v>9</v>
      </c>
      <c r="G1906" s="859"/>
      <c r="H1906" s="860"/>
      <c r="I1906" s="861">
        <v>166194</v>
      </c>
      <c r="J1906" s="862">
        <v>162787</v>
      </c>
      <c r="K1906" s="859"/>
      <c r="L1906" s="863"/>
      <c r="M1906" s="859"/>
      <c r="N1906" s="859"/>
      <c r="O1906" s="752">
        <f t="shared" si="250"/>
        <v>0</v>
      </c>
      <c r="P1906" s="862"/>
      <c r="Q1906" s="860"/>
      <c r="R1906" s="753">
        <f t="shared" si="253"/>
        <v>0</v>
      </c>
      <c r="S1906" s="752">
        <f t="shared" si="254"/>
        <v>166194</v>
      </c>
      <c r="T1906" s="754">
        <f t="shared" si="255"/>
        <v>162787</v>
      </c>
      <c r="U1906" s="859"/>
      <c r="V1906" s="863"/>
      <c r="W1906" s="859"/>
      <c r="X1906" s="859"/>
      <c r="Y1906" s="755">
        <f t="shared" si="251"/>
        <v>0</v>
      </c>
      <c r="Z1906" s="864"/>
      <c r="AA1906" s="863"/>
      <c r="AB1906" s="756">
        <f t="shared" si="252"/>
        <v>0</v>
      </c>
      <c r="AC1906" s="859"/>
      <c r="AD1906" s="863"/>
      <c r="AE1906" s="859"/>
      <c r="AF1906" s="859"/>
      <c r="AG1906" s="864"/>
      <c r="AH1906" s="865"/>
      <c r="AI1906" s="757">
        <f t="shared" si="256"/>
        <v>166194</v>
      </c>
      <c r="AJ1906" s="758">
        <f t="shared" si="257"/>
        <v>162787</v>
      </c>
    </row>
    <row r="1907" spans="1:36" x14ac:dyDescent="0.2">
      <c r="A1907" s="1217" t="s">
        <v>153</v>
      </c>
      <c r="B1907" s="1218" t="s">
        <v>275</v>
      </c>
      <c r="C1907" s="1223" t="s">
        <v>258</v>
      </c>
      <c r="D1907" s="1224"/>
      <c r="E1907" s="1221">
        <v>199421</v>
      </c>
      <c r="F1907" s="1222">
        <v>9</v>
      </c>
      <c r="G1907" s="859"/>
      <c r="H1907" s="860"/>
      <c r="I1907" s="861">
        <v>2004223</v>
      </c>
      <c r="J1907" s="862">
        <v>1804875</v>
      </c>
      <c r="K1907" s="859"/>
      <c r="L1907" s="863"/>
      <c r="M1907" s="859">
        <v>260597</v>
      </c>
      <c r="N1907" s="859"/>
      <c r="O1907" s="752">
        <f t="shared" si="250"/>
        <v>260597</v>
      </c>
      <c r="P1907" s="862">
        <v>207700</v>
      </c>
      <c r="Q1907" s="860"/>
      <c r="R1907" s="753">
        <f t="shared" si="253"/>
        <v>207700</v>
      </c>
      <c r="S1907" s="752">
        <f t="shared" si="254"/>
        <v>2264820</v>
      </c>
      <c r="T1907" s="754">
        <f t="shared" si="255"/>
        <v>2012575</v>
      </c>
      <c r="U1907" s="859"/>
      <c r="V1907" s="863"/>
      <c r="W1907" s="859"/>
      <c r="X1907" s="859"/>
      <c r="Y1907" s="755">
        <f t="shared" si="251"/>
        <v>0</v>
      </c>
      <c r="Z1907" s="864"/>
      <c r="AA1907" s="863"/>
      <c r="AB1907" s="756">
        <f t="shared" si="252"/>
        <v>0</v>
      </c>
      <c r="AC1907" s="859"/>
      <c r="AD1907" s="863"/>
      <c r="AE1907" s="859"/>
      <c r="AF1907" s="859"/>
      <c r="AG1907" s="864"/>
      <c r="AH1907" s="865"/>
      <c r="AI1907" s="757">
        <f t="shared" si="256"/>
        <v>2264820</v>
      </c>
      <c r="AJ1907" s="758">
        <f t="shared" si="257"/>
        <v>2012575</v>
      </c>
    </row>
    <row r="1908" spans="1:36" x14ac:dyDescent="0.2">
      <c r="A1908" s="1217" t="s">
        <v>153</v>
      </c>
      <c r="B1908" s="1218" t="s">
        <v>264</v>
      </c>
      <c r="C1908" s="1218" t="s">
        <v>1327</v>
      </c>
      <c r="D1908" s="1242"/>
      <c r="E1908" s="1221">
        <v>199476</v>
      </c>
      <c r="F1908" s="1222">
        <v>9</v>
      </c>
      <c r="G1908" s="859">
        <v>10485877</v>
      </c>
      <c r="H1908" s="860">
        <v>10082993</v>
      </c>
      <c r="I1908" s="861"/>
      <c r="J1908" s="862"/>
      <c r="K1908" s="859">
        <v>2039451</v>
      </c>
      <c r="L1908" s="863">
        <v>2116520</v>
      </c>
      <c r="M1908" s="859">
        <v>3643735</v>
      </c>
      <c r="N1908" s="859"/>
      <c r="O1908" s="752">
        <f t="shared" si="250"/>
        <v>3643735</v>
      </c>
      <c r="P1908" s="862">
        <v>4224575</v>
      </c>
      <c r="Q1908" s="860"/>
      <c r="R1908" s="753">
        <f t="shared" si="253"/>
        <v>4224575</v>
      </c>
      <c r="S1908" s="752">
        <f t="shared" si="254"/>
        <v>16169063</v>
      </c>
      <c r="T1908" s="754">
        <f t="shared" si="255"/>
        <v>16424088</v>
      </c>
      <c r="U1908" s="859"/>
      <c r="V1908" s="863"/>
      <c r="W1908" s="859"/>
      <c r="X1908" s="859"/>
      <c r="Y1908" s="755">
        <f t="shared" si="251"/>
        <v>0</v>
      </c>
      <c r="Z1908" s="864"/>
      <c r="AA1908" s="863"/>
      <c r="AB1908" s="756">
        <f t="shared" si="252"/>
        <v>0</v>
      </c>
      <c r="AC1908" s="859"/>
      <c r="AD1908" s="863"/>
      <c r="AE1908" s="859"/>
      <c r="AF1908" s="859"/>
      <c r="AG1908" s="864"/>
      <c r="AH1908" s="865"/>
      <c r="AI1908" s="757">
        <f t="shared" si="256"/>
        <v>16169063</v>
      </c>
      <c r="AJ1908" s="758">
        <f t="shared" si="257"/>
        <v>16424088</v>
      </c>
    </row>
    <row r="1909" spans="1:36" x14ac:dyDescent="0.2">
      <c r="A1909" s="1217" t="s">
        <v>153</v>
      </c>
      <c r="B1909" s="1218" t="s">
        <v>264</v>
      </c>
      <c r="C1909" s="1223" t="s">
        <v>1300</v>
      </c>
      <c r="D1909" s="1224"/>
      <c r="E1909" s="1221">
        <v>199476</v>
      </c>
      <c r="F1909" s="1222">
        <v>9</v>
      </c>
      <c r="G1909" s="859"/>
      <c r="H1909" s="860"/>
      <c r="I1909" s="861"/>
      <c r="J1909" s="862"/>
      <c r="K1909" s="859"/>
      <c r="L1909" s="863"/>
      <c r="M1909" s="859"/>
      <c r="N1909" s="859"/>
      <c r="O1909" s="752">
        <f t="shared" si="250"/>
        <v>0</v>
      </c>
      <c r="P1909" s="862"/>
      <c r="Q1909" s="860"/>
      <c r="R1909" s="753">
        <f t="shared" si="253"/>
        <v>0</v>
      </c>
      <c r="S1909" s="752">
        <f t="shared" si="254"/>
        <v>0</v>
      </c>
      <c r="T1909" s="754">
        <f t="shared" si="255"/>
        <v>0</v>
      </c>
      <c r="U1909" s="859"/>
      <c r="V1909" s="863"/>
      <c r="W1909" s="859"/>
      <c r="X1909" s="859"/>
      <c r="Y1909" s="755">
        <f t="shared" si="251"/>
        <v>0</v>
      </c>
      <c r="Z1909" s="864"/>
      <c r="AA1909" s="863"/>
      <c r="AB1909" s="756">
        <f t="shared" si="252"/>
        <v>0</v>
      </c>
      <c r="AC1909" s="859"/>
      <c r="AD1909" s="863"/>
      <c r="AE1909" s="859"/>
      <c r="AF1909" s="859"/>
      <c r="AG1909" s="864"/>
      <c r="AH1909" s="865"/>
      <c r="AI1909" s="757">
        <f t="shared" si="256"/>
        <v>0</v>
      </c>
      <c r="AJ1909" s="758">
        <f t="shared" si="257"/>
        <v>0</v>
      </c>
    </row>
    <row r="1910" spans="1:36" x14ac:dyDescent="0.2">
      <c r="A1910" s="1217" t="s">
        <v>153</v>
      </c>
      <c r="B1910" s="1218" t="s">
        <v>266</v>
      </c>
      <c r="C1910" s="1223" t="s">
        <v>319</v>
      </c>
      <c r="D1910" s="1224"/>
      <c r="E1910" s="1221">
        <v>199476</v>
      </c>
      <c r="F1910" s="1222">
        <v>9</v>
      </c>
      <c r="G1910" s="859"/>
      <c r="H1910" s="860"/>
      <c r="I1910" s="861">
        <v>157100</v>
      </c>
      <c r="J1910" s="862">
        <v>160354</v>
      </c>
      <c r="K1910" s="859"/>
      <c r="L1910" s="863"/>
      <c r="M1910" s="859"/>
      <c r="N1910" s="859"/>
      <c r="O1910" s="752">
        <f t="shared" si="250"/>
        <v>0</v>
      </c>
      <c r="P1910" s="862"/>
      <c r="Q1910" s="860"/>
      <c r="R1910" s="753">
        <f t="shared" si="253"/>
        <v>0</v>
      </c>
      <c r="S1910" s="752">
        <f t="shared" si="254"/>
        <v>157100</v>
      </c>
      <c r="T1910" s="754">
        <f t="shared" si="255"/>
        <v>160354</v>
      </c>
      <c r="U1910" s="859"/>
      <c r="V1910" s="863"/>
      <c r="W1910" s="859"/>
      <c r="X1910" s="859"/>
      <c r="Y1910" s="755">
        <f t="shared" si="251"/>
        <v>0</v>
      </c>
      <c r="Z1910" s="864"/>
      <c r="AA1910" s="863"/>
      <c r="AB1910" s="756">
        <f t="shared" si="252"/>
        <v>0</v>
      </c>
      <c r="AC1910" s="859"/>
      <c r="AD1910" s="863"/>
      <c r="AE1910" s="859"/>
      <c r="AF1910" s="859"/>
      <c r="AG1910" s="864"/>
      <c r="AH1910" s="865"/>
      <c r="AI1910" s="757">
        <f t="shared" si="256"/>
        <v>157100</v>
      </c>
      <c r="AJ1910" s="758">
        <f t="shared" si="257"/>
        <v>160354</v>
      </c>
    </row>
    <row r="1911" spans="1:36" x14ac:dyDescent="0.2">
      <c r="A1911" s="1217" t="s">
        <v>153</v>
      </c>
      <c r="B1911" s="1218" t="s">
        <v>275</v>
      </c>
      <c r="C1911" s="1223" t="s">
        <v>258</v>
      </c>
      <c r="D1911" s="1224"/>
      <c r="E1911" s="1221">
        <v>199476</v>
      </c>
      <c r="F1911" s="1222">
        <v>9</v>
      </c>
      <c r="G1911" s="859"/>
      <c r="H1911" s="860"/>
      <c r="I1911" s="861">
        <v>4534338</v>
      </c>
      <c r="J1911" s="862">
        <v>3709409</v>
      </c>
      <c r="K1911" s="859"/>
      <c r="L1911" s="863"/>
      <c r="M1911" s="859">
        <v>194569</v>
      </c>
      <c r="N1911" s="859"/>
      <c r="O1911" s="752">
        <f t="shared" si="250"/>
        <v>194569</v>
      </c>
      <c r="P1911" s="862">
        <v>377406</v>
      </c>
      <c r="Q1911" s="860"/>
      <c r="R1911" s="753">
        <f t="shared" si="253"/>
        <v>377406</v>
      </c>
      <c r="S1911" s="752">
        <f t="shared" si="254"/>
        <v>4728907</v>
      </c>
      <c r="T1911" s="754">
        <f t="shared" si="255"/>
        <v>4086815</v>
      </c>
      <c r="U1911" s="859"/>
      <c r="V1911" s="863"/>
      <c r="W1911" s="859"/>
      <c r="X1911" s="859"/>
      <c r="Y1911" s="755">
        <f t="shared" si="251"/>
        <v>0</v>
      </c>
      <c r="Z1911" s="864"/>
      <c r="AA1911" s="863"/>
      <c r="AB1911" s="756">
        <f t="shared" si="252"/>
        <v>0</v>
      </c>
      <c r="AC1911" s="859"/>
      <c r="AD1911" s="863"/>
      <c r="AE1911" s="859"/>
      <c r="AF1911" s="859"/>
      <c r="AG1911" s="864"/>
      <c r="AH1911" s="865"/>
      <c r="AI1911" s="757">
        <f t="shared" si="256"/>
        <v>4728907</v>
      </c>
      <c r="AJ1911" s="758">
        <f t="shared" si="257"/>
        <v>4086815</v>
      </c>
    </row>
    <row r="1912" spans="1:36" x14ac:dyDescent="0.2">
      <c r="A1912" s="1217" t="s">
        <v>153</v>
      </c>
      <c r="B1912" s="1218" t="s">
        <v>264</v>
      </c>
      <c r="C1912" s="1218" t="s">
        <v>1328</v>
      </c>
      <c r="D1912" s="1242"/>
      <c r="E1912" s="1221">
        <v>199634</v>
      </c>
      <c r="F1912" s="1222">
        <v>9</v>
      </c>
      <c r="G1912" s="859">
        <v>12865444</v>
      </c>
      <c r="H1912" s="860">
        <v>12094243</v>
      </c>
      <c r="I1912" s="861"/>
      <c r="J1912" s="862"/>
      <c r="K1912" s="859">
        <v>4554581</v>
      </c>
      <c r="L1912" s="863">
        <v>4554581</v>
      </c>
      <c r="M1912" s="859">
        <v>5655282</v>
      </c>
      <c r="N1912" s="859"/>
      <c r="O1912" s="752">
        <f t="shared" si="250"/>
        <v>5655282</v>
      </c>
      <c r="P1912" s="862">
        <v>5948854</v>
      </c>
      <c r="Q1912" s="860"/>
      <c r="R1912" s="753">
        <f t="shared" si="253"/>
        <v>5948854</v>
      </c>
      <c r="S1912" s="752">
        <f t="shared" si="254"/>
        <v>23075307</v>
      </c>
      <c r="T1912" s="754">
        <f t="shared" si="255"/>
        <v>22597678</v>
      </c>
      <c r="U1912" s="859"/>
      <c r="V1912" s="863"/>
      <c r="W1912" s="859"/>
      <c r="X1912" s="859"/>
      <c r="Y1912" s="755">
        <f t="shared" si="251"/>
        <v>0</v>
      </c>
      <c r="Z1912" s="864"/>
      <c r="AA1912" s="863"/>
      <c r="AB1912" s="756">
        <f t="shared" si="252"/>
        <v>0</v>
      </c>
      <c r="AC1912" s="859"/>
      <c r="AD1912" s="863"/>
      <c r="AE1912" s="859"/>
      <c r="AF1912" s="859"/>
      <c r="AG1912" s="864"/>
      <c r="AH1912" s="865"/>
      <c r="AI1912" s="757">
        <f t="shared" si="256"/>
        <v>23075307</v>
      </c>
      <c r="AJ1912" s="758">
        <f t="shared" si="257"/>
        <v>22597678</v>
      </c>
    </row>
    <row r="1913" spans="1:36" x14ac:dyDescent="0.2">
      <c r="A1913" s="1217" t="s">
        <v>153</v>
      </c>
      <c r="B1913" s="1218" t="s">
        <v>264</v>
      </c>
      <c r="C1913" s="1223" t="s">
        <v>1300</v>
      </c>
      <c r="D1913" s="1224"/>
      <c r="E1913" s="1221">
        <v>199634</v>
      </c>
      <c r="F1913" s="1222">
        <v>9</v>
      </c>
      <c r="G1913" s="859"/>
      <c r="H1913" s="860"/>
      <c r="I1913" s="861"/>
      <c r="J1913" s="862"/>
      <c r="K1913" s="859"/>
      <c r="L1913" s="863"/>
      <c r="M1913" s="859"/>
      <c r="N1913" s="859"/>
      <c r="O1913" s="752">
        <f t="shared" si="250"/>
        <v>0</v>
      </c>
      <c r="P1913" s="862"/>
      <c r="Q1913" s="860"/>
      <c r="R1913" s="753">
        <f t="shared" si="253"/>
        <v>0</v>
      </c>
      <c r="S1913" s="752">
        <f t="shared" si="254"/>
        <v>0</v>
      </c>
      <c r="T1913" s="754">
        <f t="shared" si="255"/>
        <v>0</v>
      </c>
      <c r="U1913" s="859"/>
      <c r="V1913" s="863"/>
      <c r="W1913" s="859"/>
      <c r="X1913" s="859"/>
      <c r="Y1913" s="755">
        <f t="shared" si="251"/>
        <v>0</v>
      </c>
      <c r="Z1913" s="864"/>
      <c r="AA1913" s="863"/>
      <c r="AB1913" s="756">
        <f t="shared" si="252"/>
        <v>0</v>
      </c>
      <c r="AC1913" s="859"/>
      <c r="AD1913" s="863"/>
      <c r="AE1913" s="859"/>
      <c r="AF1913" s="859"/>
      <c r="AG1913" s="864"/>
      <c r="AH1913" s="865"/>
      <c r="AI1913" s="757">
        <f t="shared" si="256"/>
        <v>0</v>
      </c>
      <c r="AJ1913" s="758">
        <f t="shared" si="257"/>
        <v>0</v>
      </c>
    </row>
    <row r="1914" spans="1:36" x14ac:dyDescent="0.2">
      <c r="A1914" s="1217" t="s">
        <v>153</v>
      </c>
      <c r="B1914" s="1218" t="s">
        <v>266</v>
      </c>
      <c r="C1914" s="1223" t="s">
        <v>319</v>
      </c>
      <c r="D1914" s="1224"/>
      <c r="E1914" s="1221">
        <v>199634</v>
      </c>
      <c r="F1914" s="1222">
        <v>9</v>
      </c>
      <c r="G1914" s="859"/>
      <c r="H1914" s="860"/>
      <c r="I1914" s="861">
        <v>154609</v>
      </c>
      <c r="J1914" s="862">
        <v>153814</v>
      </c>
      <c r="K1914" s="859"/>
      <c r="L1914" s="863"/>
      <c r="M1914" s="859"/>
      <c r="N1914" s="859"/>
      <c r="O1914" s="752">
        <f t="shared" si="250"/>
        <v>0</v>
      </c>
      <c r="P1914" s="862"/>
      <c r="Q1914" s="860"/>
      <c r="R1914" s="753">
        <f t="shared" si="253"/>
        <v>0</v>
      </c>
      <c r="S1914" s="752">
        <f t="shared" si="254"/>
        <v>154609</v>
      </c>
      <c r="T1914" s="754">
        <f t="shared" si="255"/>
        <v>153814</v>
      </c>
      <c r="U1914" s="859"/>
      <c r="V1914" s="863"/>
      <c r="W1914" s="859"/>
      <c r="X1914" s="859"/>
      <c r="Y1914" s="755">
        <f t="shared" si="251"/>
        <v>0</v>
      </c>
      <c r="Z1914" s="864"/>
      <c r="AA1914" s="863"/>
      <c r="AB1914" s="756">
        <f t="shared" si="252"/>
        <v>0</v>
      </c>
      <c r="AC1914" s="859"/>
      <c r="AD1914" s="863"/>
      <c r="AE1914" s="859"/>
      <c r="AF1914" s="859"/>
      <c r="AG1914" s="864"/>
      <c r="AH1914" s="865"/>
      <c r="AI1914" s="757">
        <f t="shared" si="256"/>
        <v>154609</v>
      </c>
      <c r="AJ1914" s="758">
        <f t="shared" si="257"/>
        <v>153814</v>
      </c>
    </row>
    <row r="1915" spans="1:36" x14ac:dyDescent="0.2">
      <c r="A1915" s="1217" t="s">
        <v>153</v>
      </c>
      <c r="B1915" s="1218" t="s">
        <v>275</v>
      </c>
      <c r="C1915" s="1223" t="s">
        <v>258</v>
      </c>
      <c r="D1915" s="1224"/>
      <c r="E1915" s="1221">
        <v>199634</v>
      </c>
      <c r="F1915" s="1222">
        <v>9</v>
      </c>
      <c r="G1915" s="859"/>
      <c r="H1915" s="860"/>
      <c r="I1915" s="861">
        <v>1930978</v>
      </c>
      <c r="J1915" s="862">
        <v>1821652</v>
      </c>
      <c r="K1915" s="859"/>
      <c r="L1915" s="863"/>
      <c r="M1915" s="859">
        <v>160744</v>
      </c>
      <c r="N1915" s="859"/>
      <c r="O1915" s="752">
        <f t="shared" si="250"/>
        <v>160744</v>
      </c>
      <c r="P1915" s="862">
        <v>185537</v>
      </c>
      <c r="Q1915" s="860"/>
      <c r="R1915" s="753">
        <f t="shared" si="253"/>
        <v>185537</v>
      </c>
      <c r="S1915" s="752">
        <f t="shared" si="254"/>
        <v>2091722</v>
      </c>
      <c r="T1915" s="754">
        <f t="shared" si="255"/>
        <v>2007189</v>
      </c>
      <c r="U1915" s="859"/>
      <c r="V1915" s="863"/>
      <c r="W1915" s="859"/>
      <c r="X1915" s="859"/>
      <c r="Y1915" s="755">
        <f t="shared" si="251"/>
        <v>0</v>
      </c>
      <c r="Z1915" s="864"/>
      <c r="AA1915" s="863"/>
      <c r="AB1915" s="756">
        <f t="shared" si="252"/>
        <v>0</v>
      </c>
      <c r="AC1915" s="859"/>
      <c r="AD1915" s="863"/>
      <c r="AE1915" s="859"/>
      <c r="AF1915" s="859"/>
      <c r="AG1915" s="864"/>
      <c r="AH1915" s="865"/>
      <c r="AI1915" s="757">
        <f t="shared" si="256"/>
        <v>2091722</v>
      </c>
      <c r="AJ1915" s="758">
        <f t="shared" si="257"/>
        <v>2007189</v>
      </c>
    </row>
    <row r="1916" spans="1:36" x14ac:dyDescent="0.2">
      <c r="A1916" s="1217" t="s">
        <v>153</v>
      </c>
      <c r="B1916" s="1218" t="s">
        <v>264</v>
      </c>
      <c r="C1916" s="1218" t="s">
        <v>1329</v>
      </c>
      <c r="D1916" s="1242"/>
      <c r="E1916" s="1221">
        <v>199740</v>
      </c>
      <c r="F1916" s="1222">
        <v>9</v>
      </c>
      <c r="G1916" s="859">
        <v>10199641</v>
      </c>
      <c r="H1916" s="860">
        <v>9635241</v>
      </c>
      <c r="I1916" s="861"/>
      <c r="J1916" s="862"/>
      <c r="K1916" s="859">
        <v>1242960</v>
      </c>
      <c r="L1916" s="863">
        <v>1267820</v>
      </c>
      <c r="M1916" s="859">
        <v>4052981</v>
      </c>
      <c r="N1916" s="859"/>
      <c r="O1916" s="752">
        <f t="shared" si="250"/>
        <v>4052981</v>
      </c>
      <c r="P1916" s="862">
        <v>4186499</v>
      </c>
      <c r="Q1916" s="860"/>
      <c r="R1916" s="753">
        <f t="shared" si="253"/>
        <v>4186499</v>
      </c>
      <c r="S1916" s="752">
        <f t="shared" si="254"/>
        <v>15495582</v>
      </c>
      <c r="T1916" s="754">
        <f t="shared" si="255"/>
        <v>15089560</v>
      </c>
      <c r="U1916" s="859"/>
      <c r="V1916" s="863"/>
      <c r="W1916" s="859"/>
      <c r="X1916" s="859"/>
      <c r="Y1916" s="755">
        <f t="shared" si="251"/>
        <v>0</v>
      </c>
      <c r="Z1916" s="864"/>
      <c r="AA1916" s="863"/>
      <c r="AB1916" s="756">
        <f t="shared" si="252"/>
        <v>0</v>
      </c>
      <c r="AC1916" s="859"/>
      <c r="AD1916" s="863"/>
      <c r="AE1916" s="859"/>
      <c r="AF1916" s="859"/>
      <c r="AG1916" s="864"/>
      <c r="AH1916" s="865"/>
      <c r="AI1916" s="757">
        <f t="shared" si="256"/>
        <v>15495582</v>
      </c>
      <c r="AJ1916" s="758">
        <f t="shared" si="257"/>
        <v>15089560</v>
      </c>
    </row>
    <row r="1917" spans="1:36" x14ac:dyDescent="0.2">
      <c r="A1917" s="1217" t="s">
        <v>153</v>
      </c>
      <c r="B1917" s="1218" t="s">
        <v>264</v>
      </c>
      <c r="C1917" s="1223" t="s">
        <v>1300</v>
      </c>
      <c r="D1917" s="1224"/>
      <c r="E1917" s="1221">
        <v>199740</v>
      </c>
      <c r="F1917" s="1222">
        <v>9</v>
      </c>
      <c r="G1917" s="859"/>
      <c r="H1917" s="860"/>
      <c r="I1917" s="861"/>
      <c r="J1917" s="862"/>
      <c r="K1917" s="859"/>
      <c r="L1917" s="863"/>
      <c r="M1917" s="859"/>
      <c r="N1917" s="859"/>
      <c r="O1917" s="752">
        <f t="shared" si="250"/>
        <v>0</v>
      </c>
      <c r="P1917" s="862"/>
      <c r="Q1917" s="860"/>
      <c r="R1917" s="753">
        <f t="shared" si="253"/>
        <v>0</v>
      </c>
      <c r="S1917" s="752">
        <f t="shared" si="254"/>
        <v>0</v>
      </c>
      <c r="T1917" s="754">
        <f t="shared" si="255"/>
        <v>0</v>
      </c>
      <c r="U1917" s="859"/>
      <c r="V1917" s="863"/>
      <c r="W1917" s="859"/>
      <c r="X1917" s="859"/>
      <c r="Y1917" s="755">
        <f t="shared" si="251"/>
        <v>0</v>
      </c>
      <c r="Z1917" s="864"/>
      <c r="AA1917" s="863"/>
      <c r="AB1917" s="756">
        <f t="shared" si="252"/>
        <v>0</v>
      </c>
      <c r="AC1917" s="859"/>
      <c r="AD1917" s="863"/>
      <c r="AE1917" s="859"/>
      <c r="AF1917" s="859"/>
      <c r="AG1917" s="864"/>
      <c r="AH1917" s="865"/>
      <c r="AI1917" s="757">
        <f t="shared" si="256"/>
        <v>0</v>
      </c>
      <c r="AJ1917" s="758">
        <f t="shared" si="257"/>
        <v>0</v>
      </c>
    </row>
    <row r="1918" spans="1:36" x14ac:dyDescent="0.2">
      <c r="A1918" s="1217" t="s">
        <v>153</v>
      </c>
      <c r="B1918" s="1218" t="s">
        <v>266</v>
      </c>
      <c r="C1918" s="1223" t="s">
        <v>319</v>
      </c>
      <c r="D1918" s="1224"/>
      <c r="E1918" s="1221">
        <v>199740</v>
      </c>
      <c r="F1918" s="1222">
        <v>9</v>
      </c>
      <c r="G1918" s="859"/>
      <c r="H1918" s="860"/>
      <c r="I1918" s="861">
        <v>149468</v>
      </c>
      <c r="J1918" s="862">
        <v>149314</v>
      </c>
      <c r="K1918" s="859"/>
      <c r="L1918" s="863"/>
      <c r="M1918" s="859"/>
      <c r="N1918" s="859"/>
      <c r="O1918" s="752">
        <f t="shared" si="250"/>
        <v>0</v>
      </c>
      <c r="P1918" s="862"/>
      <c r="Q1918" s="860"/>
      <c r="R1918" s="753">
        <f t="shared" si="253"/>
        <v>0</v>
      </c>
      <c r="S1918" s="752">
        <f t="shared" si="254"/>
        <v>149468</v>
      </c>
      <c r="T1918" s="754">
        <f t="shared" si="255"/>
        <v>149314</v>
      </c>
      <c r="U1918" s="859"/>
      <c r="V1918" s="863"/>
      <c r="W1918" s="859"/>
      <c r="X1918" s="859"/>
      <c r="Y1918" s="755">
        <f t="shared" si="251"/>
        <v>0</v>
      </c>
      <c r="Z1918" s="864"/>
      <c r="AA1918" s="863"/>
      <c r="AB1918" s="756">
        <f t="shared" si="252"/>
        <v>0</v>
      </c>
      <c r="AC1918" s="859"/>
      <c r="AD1918" s="863"/>
      <c r="AE1918" s="859"/>
      <c r="AF1918" s="859"/>
      <c r="AG1918" s="864"/>
      <c r="AH1918" s="865"/>
      <c r="AI1918" s="757">
        <f t="shared" si="256"/>
        <v>149468</v>
      </c>
      <c r="AJ1918" s="758">
        <f t="shared" si="257"/>
        <v>149314</v>
      </c>
    </row>
    <row r="1919" spans="1:36" x14ac:dyDescent="0.2">
      <c r="A1919" s="1217" t="s">
        <v>153</v>
      </c>
      <c r="B1919" s="1218" t="s">
        <v>275</v>
      </c>
      <c r="C1919" s="1223" t="s">
        <v>258</v>
      </c>
      <c r="D1919" s="1224"/>
      <c r="E1919" s="1221">
        <v>199740</v>
      </c>
      <c r="F1919" s="1222">
        <v>9</v>
      </c>
      <c r="G1919" s="859"/>
      <c r="H1919" s="860"/>
      <c r="I1919" s="861">
        <v>1712641</v>
      </c>
      <c r="J1919" s="862">
        <v>1831012</v>
      </c>
      <c r="K1919" s="859"/>
      <c r="L1919" s="863"/>
      <c r="M1919" s="859">
        <v>499292</v>
      </c>
      <c r="N1919" s="859"/>
      <c r="O1919" s="752">
        <f t="shared" si="250"/>
        <v>499292</v>
      </c>
      <c r="P1919" s="862">
        <v>281155</v>
      </c>
      <c r="Q1919" s="860"/>
      <c r="R1919" s="753">
        <f t="shared" si="253"/>
        <v>281155</v>
      </c>
      <c r="S1919" s="752">
        <f t="shared" si="254"/>
        <v>2211933</v>
      </c>
      <c r="T1919" s="754">
        <f t="shared" si="255"/>
        <v>2112167</v>
      </c>
      <c r="U1919" s="859"/>
      <c r="V1919" s="863"/>
      <c r="W1919" s="859"/>
      <c r="X1919" s="859"/>
      <c r="Y1919" s="755">
        <f t="shared" si="251"/>
        <v>0</v>
      </c>
      <c r="Z1919" s="864"/>
      <c r="AA1919" s="863"/>
      <c r="AB1919" s="756">
        <f t="shared" si="252"/>
        <v>0</v>
      </c>
      <c r="AC1919" s="859"/>
      <c r="AD1919" s="863"/>
      <c r="AE1919" s="859"/>
      <c r="AF1919" s="859"/>
      <c r="AG1919" s="864"/>
      <c r="AH1919" s="865"/>
      <c r="AI1919" s="757">
        <f t="shared" si="256"/>
        <v>2211933</v>
      </c>
      <c r="AJ1919" s="758">
        <f t="shared" si="257"/>
        <v>2112167</v>
      </c>
    </row>
    <row r="1920" spans="1:36" x14ac:dyDescent="0.2">
      <c r="A1920" s="1217" t="s">
        <v>153</v>
      </c>
      <c r="B1920" s="1218" t="s">
        <v>264</v>
      </c>
      <c r="C1920" s="1218" t="s">
        <v>1330</v>
      </c>
      <c r="D1920" s="1242"/>
      <c r="E1920" s="1221">
        <v>199768</v>
      </c>
      <c r="F1920" s="1222">
        <v>9</v>
      </c>
      <c r="G1920" s="859">
        <v>11145868</v>
      </c>
      <c r="H1920" s="860">
        <v>10491372</v>
      </c>
      <c r="I1920" s="861"/>
      <c r="J1920" s="862"/>
      <c r="K1920" s="859">
        <v>2362538</v>
      </c>
      <c r="L1920" s="863">
        <v>2462538</v>
      </c>
      <c r="M1920" s="859">
        <v>4193490</v>
      </c>
      <c r="N1920" s="859"/>
      <c r="O1920" s="752">
        <f t="shared" si="250"/>
        <v>4193490</v>
      </c>
      <c r="P1920" s="862">
        <v>4935319</v>
      </c>
      <c r="Q1920" s="860"/>
      <c r="R1920" s="753">
        <f t="shared" si="253"/>
        <v>4935319</v>
      </c>
      <c r="S1920" s="752">
        <f t="shared" si="254"/>
        <v>17701896</v>
      </c>
      <c r="T1920" s="754">
        <f t="shared" si="255"/>
        <v>17889229</v>
      </c>
      <c r="U1920" s="859"/>
      <c r="V1920" s="863"/>
      <c r="W1920" s="859"/>
      <c r="X1920" s="859"/>
      <c r="Y1920" s="755">
        <f t="shared" si="251"/>
        <v>0</v>
      </c>
      <c r="Z1920" s="864"/>
      <c r="AA1920" s="863"/>
      <c r="AB1920" s="756">
        <f t="shared" si="252"/>
        <v>0</v>
      </c>
      <c r="AC1920" s="859"/>
      <c r="AD1920" s="863"/>
      <c r="AE1920" s="859"/>
      <c r="AF1920" s="859"/>
      <c r="AG1920" s="864"/>
      <c r="AH1920" s="865"/>
      <c r="AI1920" s="757">
        <f t="shared" si="256"/>
        <v>17701896</v>
      </c>
      <c r="AJ1920" s="758">
        <f t="shared" si="257"/>
        <v>17889229</v>
      </c>
    </row>
    <row r="1921" spans="1:36" x14ac:dyDescent="0.2">
      <c r="A1921" s="1217" t="s">
        <v>153</v>
      </c>
      <c r="B1921" s="1218" t="s">
        <v>264</v>
      </c>
      <c r="C1921" s="1223" t="s">
        <v>1300</v>
      </c>
      <c r="D1921" s="1224"/>
      <c r="E1921" s="1221">
        <v>199768</v>
      </c>
      <c r="F1921" s="1222">
        <v>9</v>
      </c>
      <c r="G1921" s="859"/>
      <c r="H1921" s="860"/>
      <c r="I1921" s="861"/>
      <c r="J1921" s="862"/>
      <c r="K1921" s="859"/>
      <c r="L1921" s="863"/>
      <c r="M1921" s="859"/>
      <c r="N1921" s="859"/>
      <c r="O1921" s="752">
        <f t="shared" si="250"/>
        <v>0</v>
      </c>
      <c r="P1921" s="862"/>
      <c r="Q1921" s="860"/>
      <c r="R1921" s="753">
        <f t="shared" si="253"/>
        <v>0</v>
      </c>
      <c r="S1921" s="752">
        <f t="shared" si="254"/>
        <v>0</v>
      </c>
      <c r="T1921" s="754">
        <f t="shared" si="255"/>
        <v>0</v>
      </c>
      <c r="U1921" s="859"/>
      <c r="V1921" s="863"/>
      <c r="W1921" s="859"/>
      <c r="X1921" s="859"/>
      <c r="Y1921" s="755">
        <f t="shared" si="251"/>
        <v>0</v>
      </c>
      <c r="Z1921" s="864"/>
      <c r="AA1921" s="863"/>
      <c r="AB1921" s="756">
        <f t="shared" si="252"/>
        <v>0</v>
      </c>
      <c r="AC1921" s="859"/>
      <c r="AD1921" s="863"/>
      <c r="AE1921" s="859"/>
      <c r="AF1921" s="859"/>
      <c r="AG1921" s="864"/>
      <c r="AH1921" s="865"/>
      <c r="AI1921" s="757">
        <f t="shared" si="256"/>
        <v>0</v>
      </c>
      <c r="AJ1921" s="758">
        <f t="shared" si="257"/>
        <v>0</v>
      </c>
    </row>
    <row r="1922" spans="1:36" x14ac:dyDescent="0.2">
      <c r="A1922" s="1217" t="s">
        <v>153</v>
      </c>
      <c r="B1922" s="1218" t="s">
        <v>266</v>
      </c>
      <c r="C1922" s="1223" t="s">
        <v>319</v>
      </c>
      <c r="D1922" s="1224"/>
      <c r="E1922" s="1221">
        <v>199768</v>
      </c>
      <c r="F1922" s="1222">
        <v>9</v>
      </c>
      <c r="G1922" s="859"/>
      <c r="H1922" s="860"/>
      <c r="I1922" s="861">
        <v>147666</v>
      </c>
      <c r="J1922" s="862">
        <v>149977</v>
      </c>
      <c r="K1922" s="859"/>
      <c r="L1922" s="863"/>
      <c r="M1922" s="859"/>
      <c r="N1922" s="859"/>
      <c r="O1922" s="752">
        <f t="shared" si="250"/>
        <v>0</v>
      </c>
      <c r="P1922" s="862"/>
      <c r="Q1922" s="860"/>
      <c r="R1922" s="753">
        <f t="shared" si="253"/>
        <v>0</v>
      </c>
      <c r="S1922" s="752">
        <f t="shared" si="254"/>
        <v>147666</v>
      </c>
      <c r="T1922" s="754">
        <f t="shared" si="255"/>
        <v>149977</v>
      </c>
      <c r="U1922" s="859"/>
      <c r="V1922" s="863"/>
      <c r="W1922" s="859"/>
      <c r="X1922" s="859"/>
      <c r="Y1922" s="755">
        <f t="shared" si="251"/>
        <v>0</v>
      </c>
      <c r="Z1922" s="864"/>
      <c r="AA1922" s="863"/>
      <c r="AB1922" s="756">
        <f t="shared" si="252"/>
        <v>0</v>
      </c>
      <c r="AC1922" s="859"/>
      <c r="AD1922" s="863"/>
      <c r="AE1922" s="859"/>
      <c r="AF1922" s="859"/>
      <c r="AG1922" s="864"/>
      <c r="AH1922" s="865"/>
      <c r="AI1922" s="757">
        <f t="shared" si="256"/>
        <v>147666</v>
      </c>
      <c r="AJ1922" s="758">
        <f t="shared" si="257"/>
        <v>149977</v>
      </c>
    </row>
    <row r="1923" spans="1:36" x14ac:dyDescent="0.2">
      <c r="A1923" s="1217" t="s">
        <v>153</v>
      </c>
      <c r="B1923" s="1218" t="s">
        <v>275</v>
      </c>
      <c r="C1923" s="1223" t="s">
        <v>258</v>
      </c>
      <c r="D1923" s="1224"/>
      <c r="E1923" s="1221">
        <v>199768</v>
      </c>
      <c r="F1923" s="1222">
        <v>9</v>
      </c>
      <c r="G1923" s="859"/>
      <c r="H1923" s="860"/>
      <c r="I1923" s="861">
        <v>2046989</v>
      </c>
      <c r="J1923" s="862">
        <v>2027519</v>
      </c>
      <c r="K1923" s="859"/>
      <c r="L1923" s="863"/>
      <c r="M1923" s="859">
        <v>273035</v>
      </c>
      <c r="N1923" s="859"/>
      <c r="O1923" s="752">
        <f t="shared" si="250"/>
        <v>273035</v>
      </c>
      <c r="P1923" s="862">
        <v>324214</v>
      </c>
      <c r="Q1923" s="860"/>
      <c r="R1923" s="753">
        <f t="shared" si="253"/>
        <v>324214</v>
      </c>
      <c r="S1923" s="752">
        <f t="shared" si="254"/>
        <v>2320024</v>
      </c>
      <c r="T1923" s="754">
        <f t="shared" si="255"/>
        <v>2351733</v>
      </c>
      <c r="U1923" s="859"/>
      <c r="V1923" s="863"/>
      <c r="W1923" s="859"/>
      <c r="X1923" s="859"/>
      <c r="Y1923" s="755">
        <f t="shared" si="251"/>
        <v>0</v>
      </c>
      <c r="Z1923" s="864"/>
      <c r="AA1923" s="863"/>
      <c r="AB1923" s="756">
        <f t="shared" si="252"/>
        <v>0</v>
      </c>
      <c r="AC1923" s="859"/>
      <c r="AD1923" s="863"/>
      <c r="AE1923" s="859"/>
      <c r="AF1923" s="859"/>
      <c r="AG1923" s="864"/>
      <c r="AH1923" s="865"/>
      <c r="AI1923" s="757">
        <f t="shared" si="256"/>
        <v>2320024</v>
      </c>
      <c r="AJ1923" s="758">
        <f t="shared" si="257"/>
        <v>2351733</v>
      </c>
    </row>
    <row r="1924" spans="1:36" x14ac:dyDescent="0.2">
      <c r="A1924" s="1217" t="s">
        <v>153</v>
      </c>
      <c r="B1924" s="1218" t="s">
        <v>264</v>
      </c>
      <c r="C1924" s="1218" t="s">
        <v>1331</v>
      </c>
      <c r="D1924" s="1242"/>
      <c r="E1924" s="1221">
        <v>199838</v>
      </c>
      <c r="F1924" s="1222">
        <v>9</v>
      </c>
      <c r="G1924" s="859">
        <v>13675538</v>
      </c>
      <c r="H1924" s="860">
        <v>12564212</v>
      </c>
      <c r="I1924" s="861"/>
      <c r="J1924" s="862"/>
      <c r="K1924" s="859">
        <v>2117665</v>
      </c>
      <c r="L1924" s="863">
        <v>2168622</v>
      </c>
      <c r="M1924" s="859">
        <v>4907086</v>
      </c>
      <c r="N1924" s="859"/>
      <c r="O1924" s="752">
        <f t="shared" si="250"/>
        <v>4907086</v>
      </c>
      <c r="P1924" s="862">
        <v>5470190</v>
      </c>
      <c r="Q1924" s="860"/>
      <c r="R1924" s="753">
        <f t="shared" si="253"/>
        <v>5470190</v>
      </c>
      <c r="S1924" s="752">
        <f t="shared" si="254"/>
        <v>20700289</v>
      </c>
      <c r="T1924" s="754">
        <f t="shared" si="255"/>
        <v>20203024</v>
      </c>
      <c r="U1924" s="859"/>
      <c r="V1924" s="863"/>
      <c r="W1924" s="859"/>
      <c r="X1924" s="859"/>
      <c r="Y1924" s="755">
        <f t="shared" si="251"/>
        <v>0</v>
      </c>
      <c r="Z1924" s="864"/>
      <c r="AA1924" s="863"/>
      <c r="AB1924" s="756">
        <f t="shared" si="252"/>
        <v>0</v>
      </c>
      <c r="AC1924" s="859"/>
      <c r="AD1924" s="863"/>
      <c r="AE1924" s="859"/>
      <c r="AF1924" s="859"/>
      <c r="AG1924" s="864"/>
      <c r="AH1924" s="865"/>
      <c r="AI1924" s="757">
        <f t="shared" si="256"/>
        <v>20700289</v>
      </c>
      <c r="AJ1924" s="758">
        <f t="shared" si="257"/>
        <v>20203024</v>
      </c>
    </row>
    <row r="1925" spans="1:36" x14ac:dyDescent="0.2">
      <c r="A1925" s="1217" t="s">
        <v>153</v>
      </c>
      <c r="B1925" s="1218" t="s">
        <v>264</v>
      </c>
      <c r="C1925" s="1223" t="s">
        <v>1300</v>
      </c>
      <c r="D1925" s="1224"/>
      <c r="E1925" s="1221">
        <v>199838</v>
      </c>
      <c r="F1925" s="1222">
        <v>9</v>
      </c>
      <c r="G1925" s="859"/>
      <c r="H1925" s="860"/>
      <c r="I1925" s="861"/>
      <c r="J1925" s="862"/>
      <c r="K1925" s="859"/>
      <c r="L1925" s="863"/>
      <c r="M1925" s="859"/>
      <c r="N1925" s="859"/>
      <c r="O1925" s="752">
        <f t="shared" si="250"/>
        <v>0</v>
      </c>
      <c r="P1925" s="862"/>
      <c r="Q1925" s="860"/>
      <c r="R1925" s="753">
        <f t="shared" si="253"/>
        <v>0</v>
      </c>
      <c r="S1925" s="752">
        <f t="shared" si="254"/>
        <v>0</v>
      </c>
      <c r="T1925" s="754">
        <f t="shared" si="255"/>
        <v>0</v>
      </c>
      <c r="U1925" s="859"/>
      <c r="V1925" s="863"/>
      <c r="W1925" s="859"/>
      <c r="X1925" s="859"/>
      <c r="Y1925" s="755">
        <f t="shared" si="251"/>
        <v>0</v>
      </c>
      <c r="Z1925" s="864"/>
      <c r="AA1925" s="863"/>
      <c r="AB1925" s="756">
        <f t="shared" si="252"/>
        <v>0</v>
      </c>
      <c r="AC1925" s="859"/>
      <c r="AD1925" s="863"/>
      <c r="AE1925" s="859"/>
      <c r="AF1925" s="859"/>
      <c r="AG1925" s="864"/>
      <c r="AH1925" s="865"/>
      <c r="AI1925" s="757">
        <f t="shared" si="256"/>
        <v>0</v>
      </c>
      <c r="AJ1925" s="758">
        <f t="shared" si="257"/>
        <v>0</v>
      </c>
    </row>
    <row r="1926" spans="1:36" x14ac:dyDescent="0.2">
      <c r="A1926" s="1217" t="s">
        <v>153</v>
      </c>
      <c r="B1926" s="1218" t="s">
        <v>266</v>
      </c>
      <c r="C1926" s="1223" t="s">
        <v>319</v>
      </c>
      <c r="D1926" s="1224"/>
      <c r="E1926" s="1221">
        <v>199838</v>
      </c>
      <c r="F1926" s="1222">
        <v>9</v>
      </c>
      <c r="G1926" s="859"/>
      <c r="H1926" s="860"/>
      <c r="I1926" s="861">
        <v>162345</v>
      </c>
      <c r="J1926" s="862">
        <v>161760</v>
      </c>
      <c r="K1926" s="859"/>
      <c r="L1926" s="863"/>
      <c r="M1926" s="859"/>
      <c r="N1926" s="859"/>
      <c r="O1926" s="752">
        <f t="shared" si="250"/>
        <v>0</v>
      </c>
      <c r="P1926" s="862"/>
      <c r="Q1926" s="860"/>
      <c r="R1926" s="753">
        <f t="shared" si="253"/>
        <v>0</v>
      </c>
      <c r="S1926" s="752">
        <f t="shared" si="254"/>
        <v>162345</v>
      </c>
      <c r="T1926" s="754">
        <f t="shared" si="255"/>
        <v>161760</v>
      </c>
      <c r="U1926" s="859"/>
      <c r="V1926" s="863"/>
      <c r="W1926" s="859"/>
      <c r="X1926" s="859"/>
      <c r="Y1926" s="755">
        <f t="shared" si="251"/>
        <v>0</v>
      </c>
      <c r="Z1926" s="864"/>
      <c r="AA1926" s="863"/>
      <c r="AB1926" s="756">
        <f t="shared" si="252"/>
        <v>0</v>
      </c>
      <c r="AC1926" s="859"/>
      <c r="AD1926" s="863"/>
      <c r="AE1926" s="859"/>
      <c r="AF1926" s="859"/>
      <c r="AG1926" s="864"/>
      <c r="AH1926" s="865"/>
      <c r="AI1926" s="757">
        <f t="shared" si="256"/>
        <v>162345</v>
      </c>
      <c r="AJ1926" s="758">
        <f t="shared" si="257"/>
        <v>161760</v>
      </c>
    </row>
    <row r="1927" spans="1:36" x14ac:dyDescent="0.2">
      <c r="A1927" s="1217" t="s">
        <v>153</v>
      </c>
      <c r="B1927" s="1218" t="s">
        <v>275</v>
      </c>
      <c r="C1927" s="1223" t="s">
        <v>258</v>
      </c>
      <c r="D1927" s="1224"/>
      <c r="E1927" s="1221">
        <v>199838</v>
      </c>
      <c r="F1927" s="1222">
        <v>9</v>
      </c>
      <c r="G1927" s="859"/>
      <c r="H1927" s="860"/>
      <c r="I1927" s="861">
        <v>3081203</v>
      </c>
      <c r="J1927" s="862">
        <v>3069389</v>
      </c>
      <c r="K1927" s="859"/>
      <c r="L1927" s="863"/>
      <c r="M1927" s="859">
        <v>363103</v>
      </c>
      <c r="N1927" s="859"/>
      <c r="O1927" s="752">
        <f t="shared" si="250"/>
        <v>363103</v>
      </c>
      <c r="P1927" s="862">
        <v>389437</v>
      </c>
      <c r="Q1927" s="860"/>
      <c r="R1927" s="753">
        <f t="shared" si="253"/>
        <v>389437</v>
      </c>
      <c r="S1927" s="752">
        <f t="shared" si="254"/>
        <v>3444306</v>
      </c>
      <c r="T1927" s="754">
        <f t="shared" si="255"/>
        <v>3458826</v>
      </c>
      <c r="U1927" s="859"/>
      <c r="V1927" s="863"/>
      <c r="W1927" s="859"/>
      <c r="X1927" s="859"/>
      <c r="Y1927" s="755">
        <f t="shared" si="251"/>
        <v>0</v>
      </c>
      <c r="Z1927" s="864"/>
      <c r="AA1927" s="863"/>
      <c r="AB1927" s="756">
        <f t="shared" si="252"/>
        <v>0</v>
      </c>
      <c r="AC1927" s="859"/>
      <c r="AD1927" s="863"/>
      <c r="AE1927" s="859"/>
      <c r="AF1927" s="859"/>
      <c r="AG1927" s="864"/>
      <c r="AH1927" s="865"/>
      <c r="AI1927" s="757">
        <f t="shared" si="256"/>
        <v>3444306</v>
      </c>
      <c r="AJ1927" s="758">
        <f t="shared" si="257"/>
        <v>3458826</v>
      </c>
    </row>
    <row r="1928" spans="1:36" x14ac:dyDescent="0.2">
      <c r="A1928" s="1217" t="s">
        <v>153</v>
      </c>
      <c r="B1928" s="1218" t="s">
        <v>264</v>
      </c>
      <c r="C1928" s="1218" t="s">
        <v>1332</v>
      </c>
      <c r="D1928" s="1242"/>
      <c r="E1928" s="1221">
        <v>199892</v>
      </c>
      <c r="F1928" s="1222">
        <v>9</v>
      </c>
      <c r="G1928" s="859">
        <v>11605363</v>
      </c>
      <c r="H1928" s="860">
        <v>11858514</v>
      </c>
      <c r="I1928" s="861"/>
      <c r="J1928" s="862"/>
      <c r="K1928" s="859">
        <v>3506067</v>
      </c>
      <c r="L1928" s="863">
        <v>3318403</v>
      </c>
      <c r="M1928" s="859">
        <v>5513613</v>
      </c>
      <c r="N1928" s="859"/>
      <c r="O1928" s="752">
        <f t="shared" si="250"/>
        <v>5513613</v>
      </c>
      <c r="P1928" s="862">
        <v>5709522</v>
      </c>
      <c r="Q1928" s="860"/>
      <c r="R1928" s="753">
        <f t="shared" si="253"/>
        <v>5709522</v>
      </c>
      <c r="S1928" s="752">
        <f t="shared" si="254"/>
        <v>20625043</v>
      </c>
      <c r="T1928" s="754">
        <f t="shared" si="255"/>
        <v>20886439</v>
      </c>
      <c r="U1928" s="859"/>
      <c r="V1928" s="863"/>
      <c r="W1928" s="859"/>
      <c r="X1928" s="859"/>
      <c r="Y1928" s="755">
        <f t="shared" si="251"/>
        <v>0</v>
      </c>
      <c r="Z1928" s="864"/>
      <c r="AA1928" s="863"/>
      <c r="AB1928" s="756">
        <f t="shared" si="252"/>
        <v>0</v>
      </c>
      <c r="AC1928" s="859"/>
      <c r="AD1928" s="863"/>
      <c r="AE1928" s="859"/>
      <c r="AF1928" s="859"/>
      <c r="AG1928" s="864"/>
      <c r="AH1928" s="865"/>
      <c r="AI1928" s="757">
        <f t="shared" si="256"/>
        <v>20625043</v>
      </c>
      <c r="AJ1928" s="758">
        <f t="shared" si="257"/>
        <v>20886439</v>
      </c>
    </row>
    <row r="1929" spans="1:36" x14ac:dyDescent="0.2">
      <c r="A1929" s="1217" t="s">
        <v>153</v>
      </c>
      <c r="B1929" s="1218" t="s">
        <v>264</v>
      </c>
      <c r="C1929" s="1223" t="s">
        <v>1300</v>
      </c>
      <c r="D1929" s="1224"/>
      <c r="E1929" s="1221">
        <v>199892</v>
      </c>
      <c r="F1929" s="1222">
        <v>9</v>
      </c>
      <c r="G1929" s="859"/>
      <c r="H1929" s="860"/>
      <c r="I1929" s="861"/>
      <c r="J1929" s="862"/>
      <c r="K1929" s="859"/>
      <c r="L1929" s="863"/>
      <c r="M1929" s="859"/>
      <c r="N1929" s="859"/>
      <c r="O1929" s="752">
        <f t="shared" si="250"/>
        <v>0</v>
      </c>
      <c r="P1929" s="862"/>
      <c r="Q1929" s="860"/>
      <c r="R1929" s="753">
        <f t="shared" si="253"/>
        <v>0</v>
      </c>
      <c r="S1929" s="752">
        <f t="shared" si="254"/>
        <v>0</v>
      </c>
      <c r="T1929" s="754">
        <f t="shared" si="255"/>
        <v>0</v>
      </c>
      <c r="U1929" s="859"/>
      <c r="V1929" s="863"/>
      <c r="W1929" s="859"/>
      <c r="X1929" s="859"/>
      <c r="Y1929" s="755">
        <f t="shared" si="251"/>
        <v>0</v>
      </c>
      <c r="Z1929" s="864"/>
      <c r="AA1929" s="863"/>
      <c r="AB1929" s="756">
        <f t="shared" si="252"/>
        <v>0</v>
      </c>
      <c r="AC1929" s="859"/>
      <c r="AD1929" s="863"/>
      <c r="AE1929" s="859"/>
      <c r="AF1929" s="859"/>
      <c r="AG1929" s="864"/>
      <c r="AH1929" s="865"/>
      <c r="AI1929" s="757">
        <f t="shared" si="256"/>
        <v>0</v>
      </c>
      <c r="AJ1929" s="758">
        <f t="shared" si="257"/>
        <v>0</v>
      </c>
    </row>
    <row r="1930" spans="1:36" x14ac:dyDescent="0.2">
      <c r="A1930" s="1217" t="s">
        <v>153</v>
      </c>
      <c r="B1930" s="1218" t="s">
        <v>266</v>
      </c>
      <c r="C1930" s="1223" t="s">
        <v>319</v>
      </c>
      <c r="D1930" s="1224"/>
      <c r="E1930" s="1221">
        <v>199892</v>
      </c>
      <c r="F1930" s="1222">
        <v>9</v>
      </c>
      <c r="G1930" s="859"/>
      <c r="H1930" s="860"/>
      <c r="I1930" s="861">
        <v>154006</v>
      </c>
      <c r="J1930" s="862">
        <v>152463</v>
      </c>
      <c r="K1930" s="859"/>
      <c r="L1930" s="863"/>
      <c r="M1930" s="859"/>
      <c r="N1930" s="859"/>
      <c r="O1930" s="752">
        <f t="shared" si="250"/>
        <v>0</v>
      </c>
      <c r="P1930" s="862"/>
      <c r="Q1930" s="860"/>
      <c r="R1930" s="753">
        <f t="shared" si="253"/>
        <v>0</v>
      </c>
      <c r="S1930" s="752">
        <f t="shared" si="254"/>
        <v>154006</v>
      </c>
      <c r="T1930" s="754">
        <f t="shared" si="255"/>
        <v>152463</v>
      </c>
      <c r="U1930" s="859"/>
      <c r="V1930" s="863"/>
      <c r="W1930" s="859"/>
      <c r="X1930" s="859"/>
      <c r="Y1930" s="755">
        <f t="shared" si="251"/>
        <v>0</v>
      </c>
      <c r="Z1930" s="864"/>
      <c r="AA1930" s="863"/>
      <c r="AB1930" s="756">
        <f t="shared" si="252"/>
        <v>0</v>
      </c>
      <c r="AC1930" s="859"/>
      <c r="AD1930" s="863"/>
      <c r="AE1930" s="859"/>
      <c r="AF1930" s="859"/>
      <c r="AG1930" s="864"/>
      <c r="AH1930" s="865"/>
      <c r="AI1930" s="757">
        <f t="shared" si="256"/>
        <v>154006</v>
      </c>
      <c r="AJ1930" s="758">
        <f t="shared" si="257"/>
        <v>152463</v>
      </c>
    </row>
    <row r="1931" spans="1:36" x14ac:dyDescent="0.2">
      <c r="A1931" s="1217" t="s">
        <v>153</v>
      </c>
      <c r="B1931" s="1218" t="s">
        <v>275</v>
      </c>
      <c r="C1931" s="1223" t="s">
        <v>258</v>
      </c>
      <c r="D1931" s="1224"/>
      <c r="E1931" s="1221">
        <v>199892</v>
      </c>
      <c r="F1931" s="1222">
        <v>9</v>
      </c>
      <c r="G1931" s="859"/>
      <c r="H1931" s="860"/>
      <c r="I1931" s="861">
        <v>2539406</v>
      </c>
      <c r="J1931" s="862">
        <v>2254643</v>
      </c>
      <c r="K1931" s="859"/>
      <c r="L1931" s="863"/>
      <c r="M1931" s="859">
        <v>280996</v>
      </c>
      <c r="N1931" s="859"/>
      <c r="O1931" s="752">
        <f t="shared" ref="O1931:O1994" si="258">SUM(M1931:N1931)</f>
        <v>280996</v>
      </c>
      <c r="P1931" s="862">
        <v>314716</v>
      </c>
      <c r="Q1931" s="860"/>
      <c r="R1931" s="753">
        <f t="shared" si="253"/>
        <v>314716</v>
      </c>
      <c r="S1931" s="752">
        <f t="shared" si="254"/>
        <v>2820402</v>
      </c>
      <c r="T1931" s="754">
        <f t="shared" si="255"/>
        <v>2569359</v>
      </c>
      <c r="U1931" s="859"/>
      <c r="V1931" s="863"/>
      <c r="W1931" s="859"/>
      <c r="X1931" s="859"/>
      <c r="Y1931" s="755">
        <f t="shared" ref="Y1931:Y1994" si="259">SUM(W1931:X1931)</f>
        <v>0</v>
      </c>
      <c r="Z1931" s="864"/>
      <c r="AA1931" s="863"/>
      <c r="AB1931" s="756">
        <f t="shared" ref="AB1931:AB1994" si="260">SUM(Z1931:AA1931)</f>
        <v>0</v>
      </c>
      <c r="AC1931" s="859"/>
      <c r="AD1931" s="863"/>
      <c r="AE1931" s="859"/>
      <c r="AF1931" s="859"/>
      <c r="AG1931" s="864"/>
      <c r="AH1931" s="865"/>
      <c r="AI1931" s="757">
        <f t="shared" si="256"/>
        <v>2820402</v>
      </c>
      <c r="AJ1931" s="758">
        <f t="shared" si="257"/>
        <v>2569359</v>
      </c>
    </row>
    <row r="1932" spans="1:36" x14ac:dyDescent="0.2">
      <c r="A1932" s="1217" t="s">
        <v>153</v>
      </c>
      <c r="B1932" s="1218" t="s">
        <v>264</v>
      </c>
      <c r="C1932" s="1218" t="s">
        <v>1333</v>
      </c>
      <c r="D1932" s="1242"/>
      <c r="E1932" s="1221">
        <v>199908</v>
      </c>
      <c r="F1932" s="1222">
        <v>9</v>
      </c>
      <c r="G1932" s="859">
        <v>10826462</v>
      </c>
      <c r="H1932" s="860">
        <v>9557563</v>
      </c>
      <c r="I1932" s="861"/>
      <c r="J1932" s="862"/>
      <c r="K1932" s="859">
        <v>2207051</v>
      </c>
      <c r="L1932" s="863">
        <v>2182000</v>
      </c>
      <c r="M1932" s="859">
        <v>4355598</v>
      </c>
      <c r="N1932" s="859"/>
      <c r="O1932" s="752">
        <f t="shared" si="258"/>
        <v>4355598</v>
      </c>
      <c r="P1932" s="862">
        <v>4171994</v>
      </c>
      <c r="Q1932" s="860"/>
      <c r="R1932" s="753">
        <f t="shared" ref="R1932:R1995" si="261">SUM(P1932:Q1932)</f>
        <v>4171994</v>
      </c>
      <c r="S1932" s="752">
        <f t="shared" ref="S1932:S1995" si="262">SUM(G1932,I1932,K1932,M1932)</f>
        <v>17389111</v>
      </c>
      <c r="T1932" s="754">
        <f t="shared" ref="T1932:T1995" si="263">SUM(H1932,J1932,L1932,P1932)</f>
        <v>15911557</v>
      </c>
      <c r="U1932" s="859"/>
      <c r="V1932" s="863"/>
      <c r="W1932" s="859"/>
      <c r="X1932" s="859"/>
      <c r="Y1932" s="755">
        <f t="shared" si="259"/>
        <v>0</v>
      </c>
      <c r="Z1932" s="864"/>
      <c r="AA1932" s="863"/>
      <c r="AB1932" s="756">
        <f t="shared" si="260"/>
        <v>0</v>
      </c>
      <c r="AC1932" s="859"/>
      <c r="AD1932" s="863"/>
      <c r="AE1932" s="859"/>
      <c r="AF1932" s="859"/>
      <c r="AG1932" s="864"/>
      <c r="AH1932" s="865"/>
      <c r="AI1932" s="757">
        <f t="shared" ref="AI1932:AI1995" si="264">SUM(S1932,U1932,W1932,AC1932,AE1932)</f>
        <v>17389111</v>
      </c>
      <c r="AJ1932" s="758">
        <f t="shared" ref="AJ1932:AJ1995" si="265">SUM(T1932,V1932,Z1932,AD1932,AG1932)</f>
        <v>15911557</v>
      </c>
    </row>
    <row r="1933" spans="1:36" x14ac:dyDescent="0.2">
      <c r="A1933" s="1217" t="s">
        <v>153</v>
      </c>
      <c r="B1933" s="1218" t="s">
        <v>264</v>
      </c>
      <c r="C1933" s="1223" t="s">
        <v>1300</v>
      </c>
      <c r="D1933" s="1224"/>
      <c r="E1933" s="1221">
        <v>199908</v>
      </c>
      <c r="F1933" s="1222">
        <v>9</v>
      </c>
      <c r="G1933" s="859"/>
      <c r="H1933" s="860"/>
      <c r="I1933" s="861"/>
      <c r="J1933" s="862"/>
      <c r="K1933" s="859"/>
      <c r="L1933" s="863"/>
      <c r="M1933" s="859"/>
      <c r="N1933" s="859"/>
      <c r="O1933" s="752">
        <f t="shared" si="258"/>
        <v>0</v>
      </c>
      <c r="P1933" s="862"/>
      <c r="Q1933" s="860"/>
      <c r="R1933" s="753">
        <f t="shared" si="261"/>
        <v>0</v>
      </c>
      <c r="S1933" s="752">
        <f t="shared" si="262"/>
        <v>0</v>
      </c>
      <c r="T1933" s="754">
        <f t="shared" si="263"/>
        <v>0</v>
      </c>
      <c r="U1933" s="859"/>
      <c r="V1933" s="863"/>
      <c r="W1933" s="859"/>
      <c r="X1933" s="859"/>
      <c r="Y1933" s="755">
        <f t="shared" si="259"/>
        <v>0</v>
      </c>
      <c r="Z1933" s="864"/>
      <c r="AA1933" s="863"/>
      <c r="AB1933" s="756">
        <f t="shared" si="260"/>
        <v>0</v>
      </c>
      <c r="AC1933" s="859"/>
      <c r="AD1933" s="863"/>
      <c r="AE1933" s="859"/>
      <c r="AF1933" s="859"/>
      <c r="AG1933" s="864"/>
      <c r="AH1933" s="865"/>
      <c r="AI1933" s="757">
        <f t="shared" si="264"/>
        <v>0</v>
      </c>
      <c r="AJ1933" s="758">
        <f t="shared" si="265"/>
        <v>0</v>
      </c>
    </row>
    <row r="1934" spans="1:36" x14ac:dyDescent="0.2">
      <c r="A1934" s="1217" t="s">
        <v>153</v>
      </c>
      <c r="B1934" s="1218" t="s">
        <v>266</v>
      </c>
      <c r="C1934" s="1223" t="s">
        <v>319</v>
      </c>
      <c r="D1934" s="1224"/>
      <c r="E1934" s="1221">
        <v>199908</v>
      </c>
      <c r="F1934" s="1222">
        <v>9</v>
      </c>
      <c r="G1934" s="859"/>
      <c r="H1934" s="860"/>
      <c r="I1934" s="861">
        <v>155590</v>
      </c>
      <c r="J1934" s="862">
        <v>158408</v>
      </c>
      <c r="K1934" s="859"/>
      <c r="L1934" s="863"/>
      <c r="M1934" s="859"/>
      <c r="N1934" s="859"/>
      <c r="O1934" s="752">
        <f t="shared" si="258"/>
        <v>0</v>
      </c>
      <c r="P1934" s="862"/>
      <c r="Q1934" s="860"/>
      <c r="R1934" s="753">
        <f t="shared" si="261"/>
        <v>0</v>
      </c>
      <c r="S1934" s="752">
        <f t="shared" si="262"/>
        <v>155590</v>
      </c>
      <c r="T1934" s="754">
        <f t="shared" si="263"/>
        <v>158408</v>
      </c>
      <c r="U1934" s="859"/>
      <c r="V1934" s="863"/>
      <c r="W1934" s="859"/>
      <c r="X1934" s="859"/>
      <c r="Y1934" s="755">
        <f t="shared" si="259"/>
        <v>0</v>
      </c>
      <c r="Z1934" s="864"/>
      <c r="AA1934" s="863"/>
      <c r="AB1934" s="756">
        <f t="shared" si="260"/>
        <v>0</v>
      </c>
      <c r="AC1934" s="859"/>
      <c r="AD1934" s="863"/>
      <c r="AE1934" s="859"/>
      <c r="AF1934" s="859"/>
      <c r="AG1934" s="864"/>
      <c r="AH1934" s="865"/>
      <c r="AI1934" s="757">
        <f t="shared" si="264"/>
        <v>155590</v>
      </c>
      <c r="AJ1934" s="758">
        <f t="shared" si="265"/>
        <v>158408</v>
      </c>
    </row>
    <row r="1935" spans="1:36" x14ac:dyDescent="0.2">
      <c r="A1935" s="1217" t="s">
        <v>153</v>
      </c>
      <c r="B1935" s="1218" t="s">
        <v>275</v>
      </c>
      <c r="C1935" s="1223" t="s">
        <v>258</v>
      </c>
      <c r="D1935" s="1224"/>
      <c r="E1935" s="1221">
        <v>199908</v>
      </c>
      <c r="F1935" s="1222">
        <v>9</v>
      </c>
      <c r="G1935" s="859"/>
      <c r="H1935" s="860"/>
      <c r="I1935" s="861">
        <v>2588342</v>
      </c>
      <c r="J1935" s="862">
        <v>2323033</v>
      </c>
      <c r="K1935" s="859"/>
      <c r="L1935" s="863"/>
      <c r="M1935" s="859">
        <v>125333</v>
      </c>
      <c r="N1935" s="859"/>
      <c r="O1935" s="752">
        <f t="shared" si="258"/>
        <v>125333</v>
      </c>
      <c r="P1935" s="862">
        <v>233662</v>
      </c>
      <c r="Q1935" s="860"/>
      <c r="R1935" s="753">
        <f t="shared" si="261"/>
        <v>233662</v>
      </c>
      <c r="S1935" s="752">
        <f t="shared" si="262"/>
        <v>2713675</v>
      </c>
      <c r="T1935" s="754">
        <f t="shared" si="263"/>
        <v>2556695</v>
      </c>
      <c r="U1935" s="859"/>
      <c r="V1935" s="863"/>
      <c r="W1935" s="859"/>
      <c r="X1935" s="859"/>
      <c r="Y1935" s="755">
        <f t="shared" si="259"/>
        <v>0</v>
      </c>
      <c r="Z1935" s="864"/>
      <c r="AA1935" s="863"/>
      <c r="AB1935" s="756">
        <f t="shared" si="260"/>
        <v>0</v>
      </c>
      <c r="AC1935" s="859"/>
      <c r="AD1935" s="863"/>
      <c r="AE1935" s="859"/>
      <c r="AF1935" s="859"/>
      <c r="AG1935" s="864"/>
      <c r="AH1935" s="865"/>
      <c r="AI1935" s="757">
        <f t="shared" si="264"/>
        <v>2713675</v>
      </c>
      <c r="AJ1935" s="758">
        <f t="shared" si="265"/>
        <v>2556695</v>
      </c>
    </row>
    <row r="1936" spans="1:36" x14ac:dyDescent="0.2">
      <c r="A1936" s="1217" t="s">
        <v>153</v>
      </c>
      <c r="B1936" s="1218" t="s">
        <v>264</v>
      </c>
      <c r="C1936" s="1218" t="s">
        <v>1334</v>
      </c>
      <c r="D1936" s="1242"/>
      <c r="E1936" s="1221">
        <v>199926</v>
      </c>
      <c r="F1936" s="1222">
        <v>9</v>
      </c>
      <c r="G1936" s="859">
        <v>10241906</v>
      </c>
      <c r="H1936" s="860">
        <v>9880749</v>
      </c>
      <c r="I1936" s="861"/>
      <c r="J1936" s="862"/>
      <c r="K1936" s="859">
        <v>3574435</v>
      </c>
      <c r="L1936" s="863">
        <v>3806179</v>
      </c>
      <c r="M1936" s="859">
        <v>4158769</v>
      </c>
      <c r="N1936" s="859"/>
      <c r="O1936" s="752">
        <f t="shared" si="258"/>
        <v>4158769</v>
      </c>
      <c r="P1936" s="862">
        <v>4242706</v>
      </c>
      <c r="Q1936" s="860"/>
      <c r="R1936" s="753">
        <f t="shared" si="261"/>
        <v>4242706</v>
      </c>
      <c r="S1936" s="752">
        <f t="shared" si="262"/>
        <v>17975110</v>
      </c>
      <c r="T1936" s="754">
        <f t="shared" si="263"/>
        <v>17929634</v>
      </c>
      <c r="U1936" s="859"/>
      <c r="V1936" s="863"/>
      <c r="W1936" s="859"/>
      <c r="X1936" s="859"/>
      <c r="Y1936" s="755">
        <f t="shared" si="259"/>
        <v>0</v>
      </c>
      <c r="Z1936" s="864"/>
      <c r="AA1936" s="863"/>
      <c r="AB1936" s="756">
        <f t="shared" si="260"/>
        <v>0</v>
      </c>
      <c r="AC1936" s="859"/>
      <c r="AD1936" s="863"/>
      <c r="AE1936" s="859"/>
      <c r="AF1936" s="859"/>
      <c r="AG1936" s="864"/>
      <c r="AH1936" s="865"/>
      <c r="AI1936" s="757">
        <f t="shared" si="264"/>
        <v>17975110</v>
      </c>
      <c r="AJ1936" s="758">
        <f t="shared" si="265"/>
        <v>17929634</v>
      </c>
    </row>
    <row r="1937" spans="1:36" x14ac:dyDescent="0.2">
      <c r="A1937" s="1217" t="s">
        <v>153</v>
      </c>
      <c r="B1937" s="1218" t="s">
        <v>264</v>
      </c>
      <c r="C1937" s="1223" t="s">
        <v>1300</v>
      </c>
      <c r="D1937" s="1224"/>
      <c r="E1937" s="1221">
        <v>199926</v>
      </c>
      <c r="F1937" s="1222">
        <v>9</v>
      </c>
      <c r="G1937" s="859"/>
      <c r="H1937" s="860"/>
      <c r="I1937" s="861"/>
      <c r="J1937" s="862"/>
      <c r="K1937" s="859"/>
      <c r="L1937" s="863"/>
      <c r="M1937" s="859"/>
      <c r="N1937" s="859"/>
      <c r="O1937" s="752">
        <f t="shared" si="258"/>
        <v>0</v>
      </c>
      <c r="P1937" s="862"/>
      <c r="Q1937" s="860"/>
      <c r="R1937" s="753">
        <f t="shared" si="261"/>
        <v>0</v>
      </c>
      <c r="S1937" s="752">
        <f t="shared" si="262"/>
        <v>0</v>
      </c>
      <c r="T1937" s="754">
        <f t="shared" si="263"/>
        <v>0</v>
      </c>
      <c r="U1937" s="859"/>
      <c r="V1937" s="863"/>
      <c r="W1937" s="859"/>
      <c r="X1937" s="859"/>
      <c r="Y1937" s="755">
        <f t="shared" si="259"/>
        <v>0</v>
      </c>
      <c r="Z1937" s="864"/>
      <c r="AA1937" s="863"/>
      <c r="AB1937" s="756">
        <f t="shared" si="260"/>
        <v>0</v>
      </c>
      <c r="AC1937" s="859"/>
      <c r="AD1937" s="863"/>
      <c r="AE1937" s="859"/>
      <c r="AF1937" s="859"/>
      <c r="AG1937" s="864"/>
      <c r="AH1937" s="865"/>
      <c r="AI1937" s="757">
        <f t="shared" si="264"/>
        <v>0</v>
      </c>
      <c r="AJ1937" s="758">
        <f t="shared" si="265"/>
        <v>0</v>
      </c>
    </row>
    <row r="1938" spans="1:36" x14ac:dyDescent="0.2">
      <c r="A1938" s="1217" t="s">
        <v>153</v>
      </c>
      <c r="B1938" s="1218" t="s">
        <v>266</v>
      </c>
      <c r="C1938" s="1223" t="s">
        <v>319</v>
      </c>
      <c r="D1938" s="1224"/>
      <c r="E1938" s="1221">
        <v>199926</v>
      </c>
      <c r="F1938" s="1222">
        <v>9</v>
      </c>
      <c r="G1938" s="859"/>
      <c r="H1938" s="860"/>
      <c r="I1938" s="861">
        <v>151364</v>
      </c>
      <c r="J1938" s="862">
        <v>149328</v>
      </c>
      <c r="K1938" s="859"/>
      <c r="L1938" s="863"/>
      <c r="M1938" s="859"/>
      <c r="N1938" s="859"/>
      <c r="O1938" s="752">
        <f t="shared" si="258"/>
        <v>0</v>
      </c>
      <c r="P1938" s="862"/>
      <c r="Q1938" s="860"/>
      <c r="R1938" s="753">
        <f t="shared" si="261"/>
        <v>0</v>
      </c>
      <c r="S1938" s="752">
        <f t="shared" si="262"/>
        <v>151364</v>
      </c>
      <c r="T1938" s="754">
        <f t="shared" si="263"/>
        <v>149328</v>
      </c>
      <c r="U1938" s="859"/>
      <c r="V1938" s="863"/>
      <c r="W1938" s="859"/>
      <c r="X1938" s="859"/>
      <c r="Y1938" s="755">
        <f t="shared" si="259"/>
        <v>0</v>
      </c>
      <c r="Z1938" s="864"/>
      <c r="AA1938" s="863"/>
      <c r="AB1938" s="756">
        <f t="shared" si="260"/>
        <v>0</v>
      </c>
      <c r="AC1938" s="859"/>
      <c r="AD1938" s="863"/>
      <c r="AE1938" s="859"/>
      <c r="AF1938" s="859"/>
      <c r="AG1938" s="864"/>
      <c r="AH1938" s="865"/>
      <c r="AI1938" s="757">
        <f t="shared" si="264"/>
        <v>151364</v>
      </c>
      <c r="AJ1938" s="758">
        <f t="shared" si="265"/>
        <v>149328</v>
      </c>
    </row>
    <row r="1939" spans="1:36" x14ac:dyDescent="0.2">
      <c r="A1939" s="1217" t="s">
        <v>153</v>
      </c>
      <c r="B1939" s="1218" t="s">
        <v>275</v>
      </c>
      <c r="C1939" s="1223" t="s">
        <v>258</v>
      </c>
      <c r="D1939" s="1224"/>
      <c r="E1939" s="1221">
        <v>199926</v>
      </c>
      <c r="F1939" s="1222">
        <v>9</v>
      </c>
      <c r="G1939" s="859"/>
      <c r="H1939" s="860"/>
      <c r="I1939" s="861">
        <v>2094035</v>
      </c>
      <c r="J1939" s="862">
        <v>2116589</v>
      </c>
      <c r="K1939" s="859"/>
      <c r="L1939" s="863"/>
      <c r="M1939" s="859">
        <v>410551</v>
      </c>
      <c r="N1939" s="859"/>
      <c r="O1939" s="752">
        <f t="shared" si="258"/>
        <v>410551</v>
      </c>
      <c r="P1939" s="862">
        <v>324214</v>
      </c>
      <c r="Q1939" s="860"/>
      <c r="R1939" s="753">
        <f t="shared" si="261"/>
        <v>324214</v>
      </c>
      <c r="S1939" s="752">
        <f t="shared" si="262"/>
        <v>2504586</v>
      </c>
      <c r="T1939" s="754">
        <f t="shared" si="263"/>
        <v>2440803</v>
      </c>
      <c r="U1939" s="859"/>
      <c r="V1939" s="863"/>
      <c r="W1939" s="859"/>
      <c r="X1939" s="859"/>
      <c r="Y1939" s="755">
        <f t="shared" si="259"/>
        <v>0</v>
      </c>
      <c r="Z1939" s="864"/>
      <c r="AA1939" s="863"/>
      <c r="AB1939" s="756">
        <f t="shared" si="260"/>
        <v>0</v>
      </c>
      <c r="AC1939" s="859"/>
      <c r="AD1939" s="863"/>
      <c r="AE1939" s="859"/>
      <c r="AF1939" s="859"/>
      <c r="AG1939" s="864"/>
      <c r="AH1939" s="865"/>
      <c r="AI1939" s="757">
        <f t="shared" si="264"/>
        <v>2504586</v>
      </c>
      <c r="AJ1939" s="758">
        <f t="shared" si="265"/>
        <v>2440803</v>
      </c>
    </row>
    <row r="1940" spans="1:36" x14ac:dyDescent="0.2">
      <c r="A1940" s="1217" t="s">
        <v>153</v>
      </c>
      <c r="B1940" s="1218" t="s">
        <v>264</v>
      </c>
      <c r="C1940" s="1303" t="s">
        <v>1335</v>
      </c>
      <c r="D1940" s="1304"/>
      <c r="E1940" s="1221">
        <v>197966</v>
      </c>
      <c r="F1940" s="1222">
        <v>10</v>
      </c>
      <c r="G1940" s="859">
        <v>6955042</v>
      </c>
      <c r="H1940" s="860">
        <v>6551773</v>
      </c>
      <c r="I1940" s="861"/>
      <c r="J1940" s="862"/>
      <c r="K1940" s="859">
        <v>2148745</v>
      </c>
      <c r="L1940" s="863">
        <v>2232403</v>
      </c>
      <c r="M1940" s="859">
        <v>2409738</v>
      </c>
      <c r="N1940" s="859"/>
      <c r="O1940" s="752">
        <f t="shared" si="258"/>
        <v>2409738</v>
      </c>
      <c r="P1940" s="862">
        <v>2868360</v>
      </c>
      <c r="Q1940" s="860"/>
      <c r="R1940" s="753">
        <f t="shared" si="261"/>
        <v>2868360</v>
      </c>
      <c r="S1940" s="752">
        <f t="shared" si="262"/>
        <v>11513525</v>
      </c>
      <c r="T1940" s="754">
        <f t="shared" si="263"/>
        <v>11652536</v>
      </c>
      <c r="U1940" s="859"/>
      <c r="V1940" s="863"/>
      <c r="W1940" s="859"/>
      <c r="X1940" s="859"/>
      <c r="Y1940" s="755">
        <f t="shared" si="259"/>
        <v>0</v>
      </c>
      <c r="Z1940" s="864"/>
      <c r="AA1940" s="863"/>
      <c r="AB1940" s="756">
        <f t="shared" si="260"/>
        <v>0</v>
      </c>
      <c r="AC1940" s="859"/>
      <c r="AD1940" s="863"/>
      <c r="AE1940" s="859"/>
      <c r="AF1940" s="859"/>
      <c r="AG1940" s="864"/>
      <c r="AH1940" s="865"/>
      <c r="AI1940" s="757">
        <f t="shared" si="264"/>
        <v>11513525</v>
      </c>
      <c r="AJ1940" s="758">
        <f t="shared" si="265"/>
        <v>11652536</v>
      </c>
    </row>
    <row r="1941" spans="1:36" x14ac:dyDescent="0.2">
      <c r="A1941" s="1217" t="s">
        <v>153</v>
      </c>
      <c r="B1941" s="1218" t="s">
        <v>264</v>
      </c>
      <c r="C1941" s="1223" t="s">
        <v>1300</v>
      </c>
      <c r="D1941" s="1224"/>
      <c r="E1941" s="1221">
        <v>197966</v>
      </c>
      <c r="F1941" s="1222">
        <v>10</v>
      </c>
      <c r="G1941" s="859"/>
      <c r="H1941" s="860"/>
      <c r="I1941" s="861"/>
      <c r="J1941" s="862"/>
      <c r="K1941" s="859"/>
      <c r="L1941" s="863"/>
      <c r="M1941" s="859"/>
      <c r="N1941" s="859"/>
      <c r="O1941" s="752">
        <f t="shared" si="258"/>
        <v>0</v>
      </c>
      <c r="P1941" s="862"/>
      <c r="Q1941" s="860"/>
      <c r="R1941" s="753">
        <f t="shared" si="261"/>
        <v>0</v>
      </c>
      <c r="S1941" s="752">
        <f t="shared" si="262"/>
        <v>0</v>
      </c>
      <c r="T1941" s="754">
        <f t="shared" si="263"/>
        <v>0</v>
      </c>
      <c r="U1941" s="859"/>
      <c r="V1941" s="863"/>
      <c r="W1941" s="859"/>
      <c r="X1941" s="859"/>
      <c r="Y1941" s="755">
        <f t="shared" si="259"/>
        <v>0</v>
      </c>
      <c r="Z1941" s="864"/>
      <c r="AA1941" s="863"/>
      <c r="AB1941" s="756">
        <f t="shared" si="260"/>
        <v>0</v>
      </c>
      <c r="AC1941" s="859"/>
      <c r="AD1941" s="863"/>
      <c r="AE1941" s="859"/>
      <c r="AF1941" s="859"/>
      <c r="AG1941" s="864"/>
      <c r="AH1941" s="865"/>
      <c r="AI1941" s="757">
        <f t="shared" si="264"/>
        <v>0</v>
      </c>
      <c r="AJ1941" s="758">
        <f t="shared" si="265"/>
        <v>0</v>
      </c>
    </row>
    <row r="1942" spans="1:36" x14ac:dyDescent="0.2">
      <c r="A1942" s="1217" t="s">
        <v>153</v>
      </c>
      <c r="B1942" s="1218" t="s">
        <v>266</v>
      </c>
      <c r="C1942" s="1223" t="s">
        <v>319</v>
      </c>
      <c r="D1942" s="1224"/>
      <c r="E1942" s="1221">
        <v>197966</v>
      </c>
      <c r="F1942" s="1222">
        <v>10</v>
      </c>
      <c r="G1942" s="859"/>
      <c r="H1942" s="860"/>
      <c r="I1942" s="861">
        <v>149845</v>
      </c>
      <c r="J1942" s="862">
        <v>148287</v>
      </c>
      <c r="K1942" s="859"/>
      <c r="L1942" s="863"/>
      <c r="M1942" s="859"/>
      <c r="N1942" s="859"/>
      <c r="O1942" s="752">
        <f t="shared" si="258"/>
        <v>0</v>
      </c>
      <c r="P1942" s="862"/>
      <c r="Q1942" s="860"/>
      <c r="R1942" s="753">
        <f t="shared" si="261"/>
        <v>0</v>
      </c>
      <c r="S1942" s="752">
        <f t="shared" si="262"/>
        <v>149845</v>
      </c>
      <c r="T1942" s="754">
        <f t="shared" si="263"/>
        <v>148287</v>
      </c>
      <c r="U1942" s="859"/>
      <c r="V1942" s="863"/>
      <c r="W1942" s="859"/>
      <c r="X1942" s="859"/>
      <c r="Y1942" s="755">
        <f t="shared" si="259"/>
        <v>0</v>
      </c>
      <c r="Z1942" s="864"/>
      <c r="AA1942" s="863"/>
      <c r="AB1942" s="756">
        <f t="shared" si="260"/>
        <v>0</v>
      </c>
      <c r="AC1942" s="859"/>
      <c r="AD1942" s="863"/>
      <c r="AE1942" s="859"/>
      <c r="AF1942" s="859"/>
      <c r="AG1942" s="864"/>
      <c r="AH1942" s="865"/>
      <c r="AI1942" s="757">
        <f t="shared" si="264"/>
        <v>149845</v>
      </c>
      <c r="AJ1942" s="758">
        <f t="shared" si="265"/>
        <v>148287</v>
      </c>
    </row>
    <row r="1943" spans="1:36" x14ac:dyDescent="0.2">
      <c r="A1943" s="1217" t="s">
        <v>153</v>
      </c>
      <c r="B1943" s="1218" t="s">
        <v>275</v>
      </c>
      <c r="C1943" s="1223" t="s">
        <v>258</v>
      </c>
      <c r="D1943" s="1224"/>
      <c r="E1943" s="1221">
        <v>197966</v>
      </c>
      <c r="F1943" s="1222">
        <v>10</v>
      </c>
      <c r="G1943" s="859"/>
      <c r="H1943" s="860"/>
      <c r="I1943" s="861">
        <v>1149310</v>
      </c>
      <c r="J1943" s="862">
        <v>1107472</v>
      </c>
      <c r="K1943" s="859"/>
      <c r="L1943" s="863"/>
      <c r="M1943" s="859">
        <v>126381</v>
      </c>
      <c r="N1943" s="859"/>
      <c r="O1943" s="752">
        <f t="shared" si="258"/>
        <v>126381</v>
      </c>
      <c r="P1943" s="862">
        <v>136145</v>
      </c>
      <c r="Q1943" s="860"/>
      <c r="R1943" s="753">
        <f t="shared" si="261"/>
        <v>136145</v>
      </c>
      <c r="S1943" s="752">
        <f t="shared" si="262"/>
        <v>1275691</v>
      </c>
      <c r="T1943" s="754">
        <f t="shared" si="263"/>
        <v>1243617</v>
      </c>
      <c r="U1943" s="859"/>
      <c r="V1943" s="863"/>
      <c r="W1943" s="859"/>
      <c r="X1943" s="859"/>
      <c r="Y1943" s="755">
        <f t="shared" si="259"/>
        <v>0</v>
      </c>
      <c r="Z1943" s="864"/>
      <c r="AA1943" s="863"/>
      <c r="AB1943" s="756">
        <f t="shared" si="260"/>
        <v>0</v>
      </c>
      <c r="AC1943" s="859"/>
      <c r="AD1943" s="863"/>
      <c r="AE1943" s="859"/>
      <c r="AF1943" s="859"/>
      <c r="AG1943" s="864"/>
      <c r="AH1943" s="865"/>
      <c r="AI1943" s="757">
        <f t="shared" si="264"/>
        <v>1275691</v>
      </c>
      <c r="AJ1943" s="758">
        <f t="shared" si="265"/>
        <v>1243617</v>
      </c>
    </row>
    <row r="1944" spans="1:36" x14ac:dyDescent="0.2">
      <c r="A1944" s="1217" t="s">
        <v>153</v>
      </c>
      <c r="B1944" s="1218" t="s">
        <v>264</v>
      </c>
      <c r="C1944" s="1218" t="s">
        <v>1336</v>
      </c>
      <c r="D1944" s="1242"/>
      <c r="E1944" s="1221">
        <v>198011</v>
      </c>
      <c r="F1944" s="1222">
        <v>10</v>
      </c>
      <c r="G1944" s="859">
        <v>6257529</v>
      </c>
      <c r="H1944" s="860">
        <v>5725840</v>
      </c>
      <c r="I1944" s="861"/>
      <c r="J1944" s="862"/>
      <c r="K1944" s="859">
        <v>731541</v>
      </c>
      <c r="L1944" s="863">
        <v>765803</v>
      </c>
      <c r="M1944" s="859">
        <v>2476092</v>
      </c>
      <c r="N1944" s="859"/>
      <c r="O1944" s="752">
        <f t="shared" si="258"/>
        <v>2476092</v>
      </c>
      <c r="P1944" s="862">
        <v>2322610</v>
      </c>
      <c r="Q1944" s="860"/>
      <c r="R1944" s="753">
        <f t="shared" si="261"/>
        <v>2322610</v>
      </c>
      <c r="S1944" s="752">
        <f t="shared" si="262"/>
        <v>9465162</v>
      </c>
      <c r="T1944" s="754">
        <f t="shared" si="263"/>
        <v>8814253</v>
      </c>
      <c r="U1944" s="859"/>
      <c r="V1944" s="863"/>
      <c r="W1944" s="859"/>
      <c r="X1944" s="859"/>
      <c r="Y1944" s="755">
        <f t="shared" si="259"/>
        <v>0</v>
      </c>
      <c r="Z1944" s="864"/>
      <c r="AA1944" s="863"/>
      <c r="AB1944" s="756">
        <f t="shared" si="260"/>
        <v>0</v>
      </c>
      <c r="AC1944" s="859"/>
      <c r="AD1944" s="863"/>
      <c r="AE1944" s="859"/>
      <c r="AF1944" s="859"/>
      <c r="AG1944" s="864"/>
      <c r="AH1944" s="865"/>
      <c r="AI1944" s="757">
        <f t="shared" si="264"/>
        <v>9465162</v>
      </c>
      <c r="AJ1944" s="758">
        <f t="shared" si="265"/>
        <v>8814253</v>
      </c>
    </row>
    <row r="1945" spans="1:36" x14ac:dyDescent="0.2">
      <c r="A1945" s="1217" t="s">
        <v>153</v>
      </c>
      <c r="B1945" s="1218" t="s">
        <v>264</v>
      </c>
      <c r="C1945" s="1223" t="s">
        <v>1300</v>
      </c>
      <c r="D1945" s="1224"/>
      <c r="E1945" s="1221">
        <v>198011</v>
      </c>
      <c r="F1945" s="1222">
        <v>10</v>
      </c>
      <c r="G1945" s="859"/>
      <c r="H1945" s="860"/>
      <c r="I1945" s="861"/>
      <c r="J1945" s="862"/>
      <c r="K1945" s="859"/>
      <c r="L1945" s="863"/>
      <c r="M1945" s="859"/>
      <c r="N1945" s="859"/>
      <c r="O1945" s="752">
        <f t="shared" si="258"/>
        <v>0</v>
      </c>
      <c r="P1945" s="862"/>
      <c r="Q1945" s="860"/>
      <c r="R1945" s="753">
        <f t="shared" si="261"/>
        <v>0</v>
      </c>
      <c r="S1945" s="752">
        <f t="shared" si="262"/>
        <v>0</v>
      </c>
      <c r="T1945" s="754">
        <f t="shared" si="263"/>
        <v>0</v>
      </c>
      <c r="U1945" s="859"/>
      <c r="V1945" s="863"/>
      <c r="W1945" s="859"/>
      <c r="X1945" s="859"/>
      <c r="Y1945" s="755">
        <f t="shared" si="259"/>
        <v>0</v>
      </c>
      <c r="Z1945" s="864"/>
      <c r="AA1945" s="863"/>
      <c r="AB1945" s="756">
        <f t="shared" si="260"/>
        <v>0</v>
      </c>
      <c r="AC1945" s="859"/>
      <c r="AD1945" s="863"/>
      <c r="AE1945" s="859"/>
      <c r="AF1945" s="859"/>
      <c r="AG1945" s="864"/>
      <c r="AH1945" s="865"/>
      <c r="AI1945" s="757">
        <f t="shared" si="264"/>
        <v>0</v>
      </c>
      <c r="AJ1945" s="758">
        <f t="shared" si="265"/>
        <v>0</v>
      </c>
    </row>
    <row r="1946" spans="1:36" x14ac:dyDescent="0.2">
      <c r="A1946" s="1217" t="s">
        <v>153</v>
      </c>
      <c r="B1946" s="1218" t="s">
        <v>266</v>
      </c>
      <c r="C1946" s="1223" t="s">
        <v>319</v>
      </c>
      <c r="D1946" s="1224"/>
      <c r="E1946" s="1221">
        <v>198011</v>
      </c>
      <c r="F1946" s="1222">
        <v>10</v>
      </c>
      <c r="G1946" s="859"/>
      <c r="H1946" s="860"/>
      <c r="I1946" s="861">
        <v>145402</v>
      </c>
      <c r="J1946" s="862">
        <v>145977</v>
      </c>
      <c r="K1946" s="859"/>
      <c r="L1946" s="863"/>
      <c r="M1946" s="859"/>
      <c r="N1946" s="859"/>
      <c r="O1946" s="752">
        <f t="shared" si="258"/>
        <v>0</v>
      </c>
      <c r="P1946" s="862"/>
      <c r="Q1946" s="860"/>
      <c r="R1946" s="753">
        <f t="shared" si="261"/>
        <v>0</v>
      </c>
      <c r="S1946" s="752">
        <f t="shared" si="262"/>
        <v>145402</v>
      </c>
      <c r="T1946" s="754">
        <f t="shared" si="263"/>
        <v>145977</v>
      </c>
      <c r="U1946" s="859"/>
      <c r="V1946" s="863"/>
      <c r="W1946" s="859"/>
      <c r="X1946" s="859"/>
      <c r="Y1946" s="755">
        <f t="shared" si="259"/>
        <v>0</v>
      </c>
      <c r="Z1946" s="864"/>
      <c r="AA1946" s="863"/>
      <c r="AB1946" s="756">
        <f t="shared" si="260"/>
        <v>0</v>
      </c>
      <c r="AC1946" s="859"/>
      <c r="AD1946" s="863"/>
      <c r="AE1946" s="859"/>
      <c r="AF1946" s="859"/>
      <c r="AG1946" s="864"/>
      <c r="AH1946" s="865"/>
      <c r="AI1946" s="757">
        <f t="shared" si="264"/>
        <v>145402</v>
      </c>
      <c r="AJ1946" s="758">
        <f t="shared" si="265"/>
        <v>145977</v>
      </c>
    </row>
    <row r="1947" spans="1:36" x14ac:dyDescent="0.2">
      <c r="A1947" s="1217" t="s">
        <v>153</v>
      </c>
      <c r="B1947" s="1218" t="s">
        <v>275</v>
      </c>
      <c r="C1947" s="1223" t="s">
        <v>258</v>
      </c>
      <c r="D1947" s="1224"/>
      <c r="E1947" s="1221">
        <v>198011</v>
      </c>
      <c r="F1947" s="1222">
        <v>10</v>
      </c>
      <c r="G1947" s="859"/>
      <c r="H1947" s="860"/>
      <c r="I1947" s="861">
        <v>880385</v>
      </c>
      <c r="J1947" s="862">
        <v>924977</v>
      </c>
      <c r="K1947" s="859"/>
      <c r="L1947" s="863"/>
      <c r="M1947" s="859">
        <v>110806</v>
      </c>
      <c r="N1947" s="859"/>
      <c r="O1947" s="752">
        <f t="shared" si="258"/>
        <v>110806</v>
      </c>
      <c r="P1947" s="862">
        <v>153875</v>
      </c>
      <c r="Q1947" s="860"/>
      <c r="R1947" s="753">
        <f t="shared" si="261"/>
        <v>153875</v>
      </c>
      <c r="S1947" s="752">
        <f t="shared" si="262"/>
        <v>991191</v>
      </c>
      <c r="T1947" s="754">
        <f t="shared" si="263"/>
        <v>1078852</v>
      </c>
      <c r="U1947" s="859"/>
      <c r="V1947" s="863"/>
      <c r="W1947" s="859"/>
      <c r="X1947" s="859"/>
      <c r="Y1947" s="755">
        <f t="shared" si="259"/>
        <v>0</v>
      </c>
      <c r="Z1947" s="864"/>
      <c r="AA1947" s="863"/>
      <c r="AB1947" s="756">
        <f t="shared" si="260"/>
        <v>0</v>
      </c>
      <c r="AC1947" s="859"/>
      <c r="AD1947" s="863"/>
      <c r="AE1947" s="859"/>
      <c r="AF1947" s="859"/>
      <c r="AG1947" s="864"/>
      <c r="AH1947" s="865"/>
      <c r="AI1947" s="757">
        <f t="shared" si="264"/>
        <v>991191</v>
      </c>
      <c r="AJ1947" s="758">
        <f t="shared" si="265"/>
        <v>1078852</v>
      </c>
    </row>
    <row r="1948" spans="1:36" x14ac:dyDescent="0.2">
      <c r="A1948" s="1217" t="s">
        <v>153</v>
      </c>
      <c r="B1948" s="1218" t="s">
        <v>264</v>
      </c>
      <c r="C1948" s="1303" t="s">
        <v>1337</v>
      </c>
      <c r="D1948" s="1304"/>
      <c r="E1948" s="1221">
        <v>198039</v>
      </c>
      <c r="F1948" s="1231">
        <v>10</v>
      </c>
      <c r="G1948" s="859">
        <v>8397801</v>
      </c>
      <c r="H1948" s="860">
        <v>7999994</v>
      </c>
      <c r="I1948" s="861"/>
      <c r="J1948" s="862"/>
      <c r="K1948" s="859">
        <v>2440308</v>
      </c>
      <c r="L1948" s="863">
        <v>2440308</v>
      </c>
      <c r="M1948" s="859">
        <v>3202148</v>
      </c>
      <c r="N1948" s="859"/>
      <c r="O1948" s="752">
        <f t="shared" si="258"/>
        <v>3202148</v>
      </c>
      <c r="P1948" s="862">
        <v>3232797</v>
      </c>
      <c r="Q1948" s="860"/>
      <c r="R1948" s="753">
        <f t="shared" si="261"/>
        <v>3232797</v>
      </c>
      <c r="S1948" s="752">
        <f t="shared" si="262"/>
        <v>14040257</v>
      </c>
      <c r="T1948" s="754">
        <f t="shared" si="263"/>
        <v>13673099</v>
      </c>
      <c r="U1948" s="859"/>
      <c r="V1948" s="863"/>
      <c r="W1948" s="859"/>
      <c r="X1948" s="859"/>
      <c r="Y1948" s="755">
        <f t="shared" si="259"/>
        <v>0</v>
      </c>
      <c r="Z1948" s="864"/>
      <c r="AA1948" s="863"/>
      <c r="AB1948" s="756">
        <f t="shared" si="260"/>
        <v>0</v>
      </c>
      <c r="AC1948" s="859"/>
      <c r="AD1948" s="863"/>
      <c r="AE1948" s="859"/>
      <c r="AF1948" s="859"/>
      <c r="AG1948" s="864"/>
      <c r="AH1948" s="865"/>
      <c r="AI1948" s="757">
        <f t="shared" si="264"/>
        <v>14040257</v>
      </c>
      <c r="AJ1948" s="758">
        <f t="shared" si="265"/>
        <v>13673099</v>
      </c>
    </row>
    <row r="1949" spans="1:36" x14ac:dyDescent="0.2">
      <c r="A1949" s="1217" t="s">
        <v>153</v>
      </c>
      <c r="B1949" s="1218" t="s">
        <v>264</v>
      </c>
      <c r="C1949" s="1223" t="s">
        <v>1300</v>
      </c>
      <c r="D1949" s="1224"/>
      <c r="E1949" s="1221">
        <v>198039</v>
      </c>
      <c r="F1949" s="1231">
        <v>10</v>
      </c>
      <c r="G1949" s="859"/>
      <c r="H1949" s="860"/>
      <c r="I1949" s="861"/>
      <c r="J1949" s="862"/>
      <c r="K1949" s="859"/>
      <c r="L1949" s="863"/>
      <c r="M1949" s="859"/>
      <c r="N1949" s="859"/>
      <c r="O1949" s="752">
        <f t="shared" si="258"/>
        <v>0</v>
      </c>
      <c r="P1949" s="862"/>
      <c r="Q1949" s="860"/>
      <c r="R1949" s="753">
        <f t="shared" si="261"/>
        <v>0</v>
      </c>
      <c r="S1949" s="752">
        <f t="shared" si="262"/>
        <v>0</v>
      </c>
      <c r="T1949" s="754">
        <f t="shared" si="263"/>
        <v>0</v>
      </c>
      <c r="U1949" s="859"/>
      <c r="V1949" s="863"/>
      <c r="W1949" s="859"/>
      <c r="X1949" s="859"/>
      <c r="Y1949" s="755">
        <f t="shared" si="259"/>
        <v>0</v>
      </c>
      <c r="Z1949" s="864"/>
      <c r="AA1949" s="863"/>
      <c r="AB1949" s="756">
        <f t="shared" si="260"/>
        <v>0</v>
      </c>
      <c r="AC1949" s="859"/>
      <c r="AD1949" s="863"/>
      <c r="AE1949" s="859"/>
      <c r="AF1949" s="859"/>
      <c r="AG1949" s="864"/>
      <c r="AH1949" s="865"/>
      <c r="AI1949" s="757">
        <f t="shared" si="264"/>
        <v>0</v>
      </c>
      <c r="AJ1949" s="758">
        <f t="shared" si="265"/>
        <v>0</v>
      </c>
    </row>
    <row r="1950" spans="1:36" x14ac:dyDescent="0.2">
      <c r="A1950" s="1217" t="s">
        <v>153</v>
      </c>
      <c r="B1950" s="1218" t="s">
        <v>266</v>
      </c>
      <c r="C1950" s="1223" t="s">
        <v>319</v>
      </c>
      <c r="D1950" s="1224"/>
      <c r="E1950" s="1221">
        <v>198039</v>
      </c>
      <c r="F1950" s="1231">
        <v>10</v>
      </c>
      <c r="G1950" s="859"/>
      <c r="H1950" s="860"/>
      <c r="I1950" s="861">
        <v>162534</v>
      </c>
      <c r="J1950" s="862">
        <v>162840</v>
      </c>
      <c r="K1950" s="859"/>
      <c r="L1950" s="863"/>
      <c r="M1950" s="859"/>
      <c r="N1950" s="859"/>
      <c r="O1950" s="752">
        <f t="shared" si="258"/>
        <v>0</v>
      </c>
      <c r="P1950" s="862"/>
      <c r="Q1950" s="860"/>
      <c r="R1950" s="753">
        <f t="shared" si="261"/>
        <v>0</v>
      </c>
      <c r="S1950" s="752">
        <f t="shared" si="262"/>
        <v>162534</v>
      </c>
      <c r="T1950" s="754">
        <f t="shared" si="263"/>
        <v>162840</v>
      </c>
      <c r="U1950" s="859"/>
      <c r="V1950" s="863"/>
      <c r="W1950" s="859"/>
      <c r="X1950" s="859"/>
      <c r="Y1950" s="755">
        <f t="shared" si="259"/>
        <v>0</v>
      </c>
      <c r="Z1950" s="864"/>
      <c r="AA1950" s="863"/>
      <c r="AB1950" s="756">
        <f t="shared" si="260"/>
        <v>0</v>
      </c>
      <c r="AC1950" s="859"/>
      <c r="AD1950" s="863"/>
      <c r="AE1950" s="859"/>
      <c r="AF1950" s="859"/>
      <c r="AG1950" s="864"/>
      <c r="AH1950" s="865"/>
      <c r="AI1950" s="757">
        <f t="shared" si="264"/>
        <v>162534</v>
      </c>
      <c r="AJ1950" s="758">
        <f t="shared" si="265"/>
        <v>162840</v>
      </c>
    </row>
    <row r="1951" spans="1:36" x14ac:dyDescent="0.2">
      <c r="A1951" s="1217" t="s">
        <v>153</v>
      </c>
      <c r="B1951" s="1218" t="s">
        <v>275</v>
      </c>
      <c r="C1951" s="1223" t="s">
        <v>258</v>
      </c>
      <c r="D1951" s="1224"/>
      <c r="E1951" s="1221">
        <v>198039</v>
      </c>
      <c r="F1951" s="1231">
        <v>10</v>
      </c>
      <c r="G1951" s="859"/>
      <c r="H1951" s="860"/>
      <c r="I1951" s="861">
        <v>1803496</v>
      </c>
      <c r="J1951" s="862">
        <v>1685472</v>
      </c>
      <c r="K1951" s="859"/>
      <c r="L1951" s="863"/>
      <c r="M1951" s="859">
        <v>272148</v>
      </c>
      <c r="N1951" s="859"/>
      <c r="O1951" s="752">
        <f t="shared" si="258"/>
        <v>272148</v>
      </c>
      <c r="P1951" s="862">
        <v>307117</v>
      </c>
      <c r="Q1951" s="860"/>
      <c r="R1951" s="753">
        <f t="shared" si="261"/>
        <v>307117</v>
      </c>
      <c r="S1951" s="752">
        <f t="shared" si="262"/>
        <v>2075644</v>
      </c>
      <c r="T1951" s="754">
        <f t="shared" si="263"/>
        <v>1992589</v>
      </c>
      <c r="U1951" s="859"/>
      <c r="V1951" s="863"/>
      <c r="W1951" s="859"/>
      <c r="X1951" s="859"/>
      <c r="Y1951" s="755">
        <f t="shared" si="259"/>
        <v>0</v>
      </c>
      <c r="Z1951" s="864"/>
      <c r="AA1951" s="863"/>
      <c r="AB1951" s="756">
        <f t="shared" si="260"/>
        <v>0</v>
      </c>
      <c r="AC1951" s="859"/>
      <c r="AD1951" s="863"/>
      <c r="AE1951" s="859"/>
      <c r="AF1951" s="859"/>
      <c r="AG1951" s="864"/>
      <c r="AH1951" s="865"/>
      <c r="AI1951" s="757">
        <f t="shared" si="264"/>
        <v>2075644</v>
      </c>
      <c r="AJ1951" s="758">
        <f t="shared" si="265"/>
        <v>1992589</v>
      </c>
    </row>
    <row r="1952" spans="1:36" x14ac:dyDescent="0.2">
      <c r="A1952" s="1217" t="s">
        <v>153</v>
      </c>
      <c r="B1952" s="1218" t="s">
        <v>264</v>
      </c>
      <c r="C1952" s="1218" t="s">
        <v>1338</v>
      </c>
      <c r="D1952" s="1242"/>
      <c r="E1952" s="1221">
        <v>198084</v>
      </c>
      <c r="F1952" s="1222">
        <v>10</v>
      </c>
      <c r="G1952" s="859">
        <v>6362096</v>
      </c>
      <c r="H1952" s="860">
        <v>5864510</v>
      </c>
      <c r="I1952" s="861"/>
      <c r="J1952" s="862"/>
      <c r="K1952" s="859">
        <v>3647505</v>
      </c>
      <c r="L1952" s="863">
        <v>3781447</v>
      </c>
      <c r="M1952" s="859">
        <v>1768336</v>
      </c>
      <c r="N1952" s="859"/>
      <c r="O1952" s="752">
        <f t="shared" si="258"/>
        <v>1768336</v>
      </c>
      <c r="P1952" s="862">
        <v>2299039</v>
      </c>
      <c r="Q1952" s="860"/>
      <c r="R1952" s="753">
        <f t="shared" si="261"/>
        <v>2299039</v>
      </c>
      <c r="S1952" s="752">
        <f t="shared" si="262"/>
        <v>11777937</v>
      </c>
      <c r="T1952" s="754">
        <f t="shared" si="263"/>
        <v>11944996</v>
      </c>
      <c r="U1952" s="859"/>
      <c r="V1952" s="863"/>
      <c r="W1952" s="859"/>
      <c r="X1952" s="859"/>
      <c r="Y1952" s="755">
        <f t="shared" si="259"/>
        <v>0</v>
      </c>
      <c r="Z1952" s="864"/>
      <c r="AA1952" s="863"/>
      <c r="AB1952" s="756">
        <f t="shared" si="260"/>
        <v>0</v>
      </c>
      <c r="AC1952" s="859"/>
      <c r="AD1952" s="863"/>
      <c r="AE1952" s="859"/>
      <c r="AF1952" s="859"/>
      <c r="AG1952" s="864"/>
      <c r="AH1952" s="865"/>
      <c r="AI1952" s="757">
        <f t="shared" si="264"/>
        <v>11777937</v>
      </c>
      <c r="AJ1952" s="758">
        <f t="shared" si="265"/>
        <v>11944996</v>
      </c>
    </row>
    <row r="1953" spans="1:36" x14ac:dyDescent="0.2">
      <c r="A1953" s="1217" t="s">
        <v>153</v>
      </c>
      <c r="B1953" s="1218" t="s">
        <v>264</v>
      </c>
      <c r="C1953" s="1223" t="s">
        <v>1300</v>
      </c>
      <c r="D1953" s="1224"/>
      <c r="E1953" s="1221">
        <v>198084</v>
      </c>
      <c r="F1953" s="1222">
        <v>10</v>
      </c>
      <c r="G1953" s="859"/>
      <c r="H1953" s="860"/>
      <c r="I1953" s="861"/>
      <c r="J1953" s="862"/>
      <c r="K1953" s="859"/>
      <c r="L1953" s="863"/>
      <c r="M1953" s="859"/>
      <c r="N1953" s="859"/>
      <c r="O1953" s="752">
        <f t="shared" si="258"/>
        <v>0</v>
      </c>
      <c r="P1953" s="862"/>
      <c r="Q1953" s="860"/>
      <c r="R1953" s="753">
        <f t="shared" si="261"/>
        <v>0</v>
      </c>
      <c r="S1953" s="752">
        <f t="shared" si="262"/>
        <v>0</v>
      </c>
      <c r="T1953" s="754">
        <f t="shared" si="263"/>
        <v>0</v>
      </c>
      <c r="U1953" s="859"/>
      <c r="V1953" s="863"/>
      <c r="W1953" s="859"/>
      <c r="X1953" s="859"/>
      <c r="Y1953" s="755">
        <f t="shared" si="259"/>
        <v>0</v>
      </c>
      <c r="Z1953" s="864"/>
      <c r="AA1953" s="863"/>
      <c r="AB1953" s="756">
        <f t="shared" si="260"/>
        <v>0</v>
      </c>
      <c r="AC1953" s="859"/>
      <c r="AD1953" s="863"/>
      <c r="AE1953" s="859"/>
      <c r="AF1953" s="859"/>
      <c r="AG1953" s="864"/>
      <c r="AH1953" s="865"/>
      <c r="AI1953" s="757">
        <f t="shared" si="264"/>
        <v>0</v>
      </c>
      <c r="AJ1953" s="758">
        <f t="shared" si="265"/>
        <v>0</v>
      </c>
    </row>
    <row r="1954" spans="1:36" x14ac:dyDescent="0.2">
      <c r="A1954" s="1217" t="s">
        <v>153</v>
      </c>
      <c r="B1954" s="1218" t="s">
        <v>266</v>
      </c>
      <c r="C1954" s="1223" t="s">
        <v>319</v>
      </c>
      <c r="D1954" s="1224"/>
      <c r="E1954" s="1221">
        <v>198084</v>
      </c>
      <c r="F1954" s="1222">
        <v>10</v>
      </c>
      <c r="G1954" s="859"/>
      <c r="H1954" s="860"/>
      <c r="I1954" s="861">
        <v>148487</v>
      </c>
      <c r="J1954" s="862">
        <v>148287</v>
      </c>
      <c r="K1954" s="859"/>
      <c r="L1954" s="863"/>
      <c r="M1954" s="859"/>
      <c r="N1954" s="859"/>
      <c r="O1954" s="752">
        <f t="shared" si="258"/>
        <v>0</v>
      </c>
      <c r="P1954" s="862"/>
      <c r="Q1954" s="860"/>
      <c r="R1954" s="753">
        <f t="shared" si="261"/>
        <v>0</v>
      </c>
      <c r="S1954" s="752">
        <f t="shared" si="262"/>
        <v>148487</v>
      </c>
      <c r="T1954" s="754">
        <f t="shared" si="263"/>
        <v>148287</v>
      </c>
      <c r="U1954" s="859"/>
      <c r="V1954" s="863"/>
      <c r="W1954" s="859"/>
      <c r="X1954" s="859"/>
      <c r="Y1954" s="755">
        <f t="shared" si="259"/>
        <v>0</v>
      </c>
      <c r="Z1954" s="864"/>
      <c r="AA1954" s="863"/>
      <c r="AB1954" s="756">
        <f t="shared" si="260"/>
        <v>0</v>
      </c>
      <c r="AC1954" s="859"/>
      <c r="AD1954" s="863"/>
      <c r="AE1954" s="859"/>
      <c r="AF1954" s="859"/>
      <c r="AG1954" s="864"/>
      <c r="AH1954" s="865"/>
      <c r="AI1954" s="757">
        <f t="shared" si="264"/>
        <v>148487</v>
      </c>
      <c r="AJ1954" s="758">
        <f t="shared" si="265"/>
        <v>148287</v>
      </c>
    </row>
    <row r="1955" spans="1:36" x14ac:dyDescent="0.2">
      <c r="A1955" s="1217" t="s">
        <v>153</v>
      </c>
      <c r="B1955" s="1218" t="s">
        <v>275</v>
      </c>
      <c r="C1955" s="1223" t="s">
        <v>258</v>
      </c>
      <c r="D1955" s="1224"/>
      <c r="E1955" s="1221">
        <v>198084</v>
      </c>
      <c r="F1955" s="1222">
        <v>10</v>
      </c>
      <c r="G1955" s="859"/>
      <c r="H1955" s="860"/>
      <c r="I1955" s="861">
        <v>1581896</v>
      </c>
      <c r="J1955" s="862">
        <v>1479578</v>
      </c>
      <c r="K1955" s="859"/>
      <c r="L1955" s="863"/>
      <c r="M1955" s="859">
        <v>160072</v>
      </c>
      <c r="N1955" s="859"/>
      <c r="O1955" s="752">
        <f t="shared" si="258"/>
        <v>160072</v>
      </c>
      <c r="P1955" s="862">
        <v>178571</v>
      </c>
      <c r="Q1955" s="860"/>
      <c r="R1955" s="753">
        <f t="shared" si="261"/>
        <v>178571</v>
      </c>
      <c r="S1955" s="752">
        <f t="shared" si="262"/>
        <v>1741968</v>
      </c>
      <c r="T1955" s="754">
        <f t="shared" si="263"/>
        <v>1658149</v>
      </c>
      <c r="U1955" s="859"/>
      <c r="V1955" s="863"/>
      <c r="W1955" s="859"/>
      <c r="X1955" s="859"/>
      <c r="Y1955" s="755">
        <f t="shared" si="259"/>
        <v>0</v>
      </c>
      <c r="Z1955" s="864"/>
      <c r="AA1955" s="863"/>
      <c r="AB1955" s="756">
        <f t="shared" si="260"/>
        <v>0</v>
      </c>
      <c r="AC1955" s="859"/>
      <c r="AD1955" s="863"/>
      <c r="AE1955" s="859"/>
      <c r="AF1955" s="859"/>
      <c r="AG1955" s="864"/>
      <c r="AH1955" s="865"/>
      <c r="AI1955" s="757">
        <f t="shared" si="264"/>
        <v>1741968</v>
      </c>
      <c r="AJ1955" s="758">
        <f t="shared" si="265"/>
        <v>1658149</v>
      </c>
    </row>
    <row r="1956" spans="1:36" x14ac:dyDescent="0.2">
      <c r="A1956" s="1217" t="s">
        <v>153</v>
      </c>
      <c r="B1956" s="1218" t="s">
        <v>264</v>
      </c>
      <c r="C1956" s="1303" t="s">
        <v>1339</v>
      </c>
      <c r="D1956" s="1304"/>
      <c r="E1956" s="1221">
        <v>198206</v>
      </c>
      <c r="F1956" s="1222">
        <v>10</v>
      </c>
      <c r="G1956" s="859">
        <v>6503599</v>
      </c>
      <c r="H1956" s="860">
        <v>6251001</v>
      </c>
      <c r="I1956" s="861"/>
      <c r="J1956" s="862"/>
      <c r="K1956" s="859">
        <v>2053000</v>
      </c>
      <c r="L1956" s="863">
        <v>2130955</v>
      </c>
      <c r="M1956" s="859">
        <v>2515615</v>
      </c>
      <c r="N1956" s="859"/>
      <c r="O1956" s="752">
        <f t="shared" si="258"/>
        <v>2515615</v>
      </c>
      <c r="P1956" s="862">
        <v>2605457</v>
      </c>
      <c r="Q1956" s="860"/>
      <c r="R1956" s="753">
        <f t="shared" si="261"/>
        <v>2605457</v>
      </c>
      <c r="S1956" s="752">
        <f t="shared" si="262"/>
        <v>11072214</v>
      </c>
      <c r="T1956" s="754">
        <f t="shared" si="263"/>
        <v>10987413</v>
      </c>
      <c r="U1956" s="859"/>
      <c r="V1956" s="863"/>
      <c r="W1956" s="859"/>
      <c r="X1956" s="859"/>
      <c r="Y1956" s="755">
        <f t="shared" si="259"/>
        <v>0</v>
      </c>
      <c r="Z1956" s="864"/>
      <c r="AA1956" s="863"/>
      <c r="AB1956" s="756">
        <f t="shared" si="260"/>
        <v>0</v>
      </c>
      <c r="AC1956" s="859"/>
      <c r="AD1956" s="863"/>
      <c r="AE1956" s="859"/>
      <c r="AF1956" s="859"/>
      <c r="AG1956" s="864"/>
      <c r="AH1956" s="865"/>
      <c r="AI1956" s="757">
        <f t="shared" si="264"/>
        <v>11072214</v>
      </c>
      <c r="AJ1956" s="758">
        <f t="shared" si="265"/>
        <v>10987413</v>
      </c>
    </row>
    <row r="1957" spans="1:36" x14ac:dyDescent="0.2">
      <c r="A1957" s="1217" t="s">
        <v>153</v>
      </c>
      <c r="B1957" s="1218" t="s">
        <v>264</v>
      </c>
      <c r="C1957" s="1223" t="s">
        <v>1300</v>
      </c>
      <c r="D1957" s="1224"/>
      <c r="E1957" s="1221">
        <v>198206</v>
      </c>
      <c r="F1957" s="1222">
        <v>10</v>
      </c>
      <c r="G1957" s="859"/>
      <c r="H1957" s="860"/>
      <c r="I1957" s="861"/>
      <c r="J1957" s="862"/>
      <c r="K1957" s="859"/>
      <c r="L1957" s="863"/>
      <c r="M1957" s="859"/>
      <c r="N1957" s="859"/>
      <c r="O1957" s="752">
        <f t="shared" si="258"/>
        <v>0</v>
      </c>
      <c r="P1957" s="862"/>
      <c r="Q1957" s="860"/>
      <c r="R1957" s="753">
        <f t="shared" si="261"/>
        <v>0</v>
      </c>
      <c r="S1957" s="752">
        <f t="shared" si="262"/>
        <v>0</v>
      </c>
      <c r="T1957" s="754">
        <f t="shared" si="263"/>
        <v>0</v>
      </c>
      <c r="U1957" s="859"/>
      <c r="V1957" s="863"/>
      <c r="W1957" s="859"/>
      <c r="X1957" s="859"/>
      <c r="Y1957" s="755">
        <f t="shared" si="259"/>
        <v>0</v>
      </c>
      <c r="Z1957" s="864"/>
      <c r="AA1957" s="863"/>
      <c r="AB1957" s="756">
        <f t="shared" si="260"/>
        <v>0</v>
      </c>
      <c r="AC1957" s="859"/>
      <c r="AD1957" s="863"/>
      <c r="AE1957" s="859"/>
      <c r="AF1957" s="859"/>
      <c r="AG1957" s="864"/>
      <c r="AH1957" s="865"/>
      <c r="AI1957" s="757">
        <f t="shared" si="264"/>
        <v>0</v>
      </c>
      <c r="AJ1957" s="758">
        <f t="shared" si="265"/>
        <v>0</v>
      </c>
    </row>
    <row r="1958" spans="1:36" x14ac:dyDescent="0.2">
      <c r="A1958" s="1217" t="s">
        <v>153</v>
      </c>
      <c r="B1958" s="1218" t="s">
        <v>266</v>
      </c>
      <c r="C1958" s="1223" t="s">
        <v>319</v>
      </c>
      <c r="D1958" s="1224"/>
      <c r="E1958" s="1221">
        <v>198206</v>
      </c>
      <c r="F1958" s="1222">
        <v>10</v>
      </c>
      <c r="G1958" s="859"/>
      <c r="H1958" s="860"/>
      <c r="I1958" s="861">
        <v>151279</v>
      </c>
      <c r="J1958" s="862">
        <v>151044</v>
      </c>
      <c r="K1958" s="859"/>
      <c r="L1958" s="863"/>
      <c r="M1958" s="859"/>
      <c r="N1958" s="859"/>
      <c r="O1958" s="752">
        <f t="shared" si="258"/>
        <v>0</v>
      </c>
      <c r="P1958" s="862"/>
      <c r="Q1958" s="860"/>
      <c r="R1958" s="753">
        <f t="shared" si="261"/>
        <v>0</v>
      </c>
      <c r="S1958" s="752">
        <f t="shared" si="262"/>
        <v>151279</v>
      </c>
      <c r="T1958" s="754">
        <f t="shared" si="263"/>
        <v>151044</v>
      </c>
      <c r="U1958" s="859"/>
      <c r="V1958" s="863"/>
      <c r="W1958" s="859"/>
      <c r="X1958" s="859"/>
      <c r="Y1958" s="755">
        <f t="shared" si="259"/>
        <v>0</v>
      </c>
      <c r="Z1958" s="864"/>
      <c r="AA1958" s="863"/>
      <c r="AB1958" s="756">
        <f t="shared" si="260"/>
        <v>0</v>
      </c>
      <c r="AC1958" s="859"/>
      <c r="AD1958" s="863"/>
      <c r="AE1958" s="859"/>
      <c r="AF1958" s="859"/>
      <c r="AG1958" s="864"/>
      <c r="AH1958" s="865"/>
      <c r="AI1958" s="757">
        <f t="shared" si="264"/>
        <v>151279</v>
      </c>
      <c r="AJ1958" s="758">
        <f t="shared" si="265"/>
        <v>151044</v>
      </c>
    </row>
    <row r="1959" spans="1:36" x14ac:dyDescent="0.2">
      <c r="A1959" s="1217" t="s">
        <v>153</v>
      </c>
      <c r="B1959" s="1218" t="s">
        <v>275</v>
      </c>
      <c r="C1959" s="1223" t="s">
        <v>258</v>
      </c>
      <c r="D1959" s="1224"/>
      <c r="E1959" s="1221">
        <v>198206</v>
      </c>
      <c r="F1959" s="1222">
        <v>10</v>
      </c>
      <c r="G1959" s="859"/>
      <c r="H1959" s="860"/>
      <c r="I1959" s="861">
        <v>1238476</v>
      </c>
      <c r="J1959" s="862">
        <v>1267877</v>
      </c>
      <c r="K1959" s="859"/>
      <c r="L1959" s="863"/>
      <c r="M1959" s="859">
        <v>252656</v>
      </c>
      <c r="N1959" s="859"/>
      <c r="O1959" s="752">
        <f t="shared" si="258"/>
        <v>252656</v>
      </c>
      <c r="P1959" s="862">
        <v>221631</v>
      </c>
      <c r="Q1959" s="860"/>
      <c r="R1959" s="753">
        <f t="shared" si="261"/>
        <v>221631</v>
      </c>
      <c r="S1959" s="752">
        <f t="shared" si="262"/>
        <v>1491132</v>
      </c>
      <c r="T1959" s="754">
        <f t="shared" si="263"/>
        <v>1489508</v>
      </c>
      <c r="U1959" s="859"/>
      <c r="V1959" s="863"/>
      <c r="W1959" s="859"/>
      <c r="X1959" s="859"/>
      <c r="Y1959" s="755">
        <f t="shared" si="259"/>
        <v>0</v>
      </c>
      <c r="Z1959" s="864"/>
      <c r="AA1959" s="863"/>
      <c r="AB1959" s="756">
        <f t="shared" si="260"/>
        <v>0</v>
      </c>
      <c r="AC1959" s="859"/>
      <c r="AD1959" s="863"/>
      <c r="AE1959" s="859"/>
      <c r="AF1959" s="859"/>
      <c r="AG1959" s="864"/>
      <c r="AH1959" s="865"/>
      <c r="AI1959" s="757">
        <f t="shared" si="264"/>
        <v>1491132</v>
      </c>
      <c r="AJ1959" s="758">
        <f t="shared" si="265"/>
        <v>1489508</v>
      </c>
    </row>
    <row r="1960" spans="1:36" x14ac:dyDescent="0.2">
      <c r="A1960" s="1217" t="s">
        <v>153</v>
      </c>
      <c r="B1960" s="1218" t="s">
        <v>264</v>
      </c>
      <c r="C1960" s="1303" t="s">
        <v>1340</v>
      </c>
      <c r="D1960" s="1304"/>
      <c r="E1960" s="1221">
        <v>197814</v>
      </c>
      <c r="F1960" s="1231">
        <v>10</v>
      </c>
      <c r="G1960" s="859">
        <v>9130754</v>
      </c>
      <c r="H1960" s="860">
        <v>8597582</v>
      </c>
      <c r="I1960" s="861"/>
      <c r="J1960" s="862"/>
      <c r="K1960" s="859">
        <v>2172196</v>
      </c>
      <c r="L1960" s="863">
        <v>3913869</v>
      </c>
      <c r="M1960" s="859">
        <v>3561790</v>
      </c>
      <c r="N1960" s="859"/>
      <c r="O1960" s="752">
        <f t="shared" si="258"/>
        <v>3561790</v>
      </c>
      <c r="P1960" s="862">
        <v>3753163</v>
      </c>
      <c r="Q1960" s="860"/>
      <c r="R1960" s="753">
        <f t="shared" si="261"/>
        <v>3753163</v>
      </c>
      <c r="S1960" s="752">
        <f t="shared" si="262"/>
        <v>14864740</v>
      </c>
      <c r="T1960" s="754">
        <f t="shared" si="263"/>
        <v>16264614</v>
      </c>
      <c r="U1960" s="859"/>
      <c r="V1960" s="863"/>
      <c r="W1960" s="859"/>
      <c r="X1960" s="859"/>
      <c r="Y1960" s="755">
        <f t="shared" si="259"/>
        <v>0</v>
      </c>
      <c r="Z1960" s="864"/>
      <c r="AA1960" s="863"/>
      <c r="AB1960" s="756">
        <f t="shared" si="260"/>
        <v>0</v>
      </c>
      <c r="AC1960" s="859"/>
      <c r="AD1960" s="863"/>
      <c r="AE1960" s="859"/>
      <c r="AF1960" s="859"/>
      <c r="AG1960" s="864"/>
      <c r="AH1960" s="865"/>
      <c r="AI1960" s="757">
        <f t="shared" si="264"/>
        <v>14864740</v>
      </c>
      <c r="AJ1960" s="758">
        <f t="shared" si="265"/>
        <v>16264614</v>
      </c>
    </row>
    <row r="1961" spans="1:36" x14ac:dyDescent="0.2">
      <c r="A1961" s="1217" t="s">
        <v>153</v>
      </c>
      <c r="B1961" s="1218" t="s">
        <v>264</v>
      </c>
      <c r="C1961" s="1223" t="s">
        <v>1300</v>
      </c>
      <c r="D1961" s="1224"/>
      <c r="E1961" s="1221">
        <v>197814</v>
      </c>
      <c r="F1961" s="1231">
        <v>10</v>
      </c>
      <c r="G1961" s="859"/>
      <c r="H1961" s="860"/>
      <c r="I1961" s="861"/>
      <c r="J1961" s="862"/>
      <c r="K1961" s="859"/>
      <c r="L1961" s="863"/>
      <c r="M1961" s="859"/>
      <c r="N1961" s="859"/>
      <c r="O1961" s="752">
        <f t="shared" si="258"/>
        <v>0</v>
      </c>
      <c r="P1961" s="862"/>
      <c r="Q1961" s="860"/>
      <c r="R1961" s="753">
        <f t="shared" si="261"/>
        <v>0</v>
      </c>
      <c r="S1961" s="752">
        <f t="shared" si="262"/>
        <v>0</v>
      </c>
      <c r="T1961" s="754">
        <f t="shared" si="263"/>
        <v>0</v>
      </c>
      <c r="U1961" s="859"/>
      <c r="V1961" s="863"/>
      <c r="W1961" s="859"/>
      <c r="X1961" s="859"/>
      <c r="Y1961" s="755">
        <f t="shared" si="259"/>
        <v>0</v>
      </c>
      <c r="Z1961" s="864"/>
      <c r="AA1961" s="863"/>
      <c r="AB1961" s="756">
        <f t="shared" si="260"/>
        <v>0</v>
      </c>
      <c r="AC1961" s="859"/>
      <c r="AD1961" s="863"/>
      <c r="AE1961" s="859"/>
      <c r="AF1961" s="859"/>
      <c r="AG1961" s="864"/>
      <c r="AH1961" s="865"/>
      <c r="AI1961" s="757">
        <f t="shared" si="264"/>
        <v>0</v>
      </c>
      <c r="AJ1961" s="758">
        <f t="shared" si="265"/>
        <v>0</v>
      </c>
    </row>
    <row r="1962" spans="1:36" x14ac:dyDescent="0.2">
      <c r="A1962" s="1217" t="s">
        <v>153</v>
      </c>
      <c r="B1962" s="1218" t="s">
        <v>266</v>
      </c>
      <c r="C1962" s="1223" t="s">
        <v>319</v>
      </c>
      <c r="D1962" s="1224"/>
      <c r="E1962" s="1221">
        <v>197814</v>
      </c>
      <c r="F1962" s="1231">
        <v>10</v>
      </c>
      <c r="G1962" s="859"/>
      <c r="H1962" s="860"/>
      <c r="I1962" s="861">
        <v>156939</v>
      </c>
      <c r="J1962" s="862">
        <v>153638</v>
      </c>
      <c r="K1962" s="859"/>
      <c r="L1962" s="863"/>
      <c r="M1962" s="859"/>
      <c r="N1962" s="859"/>
      <c r="O1962" s="752">
        <f t="shared" si="258"/>
        <v>0</v>
      </c>
      <c r="P1962" s="862"/>
      <c r="Q1962" s="860"/>
      <c r="R1962" s="753">
        <f t="shared" si="261"/>
        <v>0</v>
      </c>
      <c r="S1962" s="752">
        <f t="shared" si="262"/>
        <v>156939</v>
      </c>
      <c r="T1962" s="754">
        <f t="shared" si="263"/>
        <v>153638</v>
      </c>
      <c r="U1962" s="859"/>
      <c r="V1962" s="863"/>
      <c r="W1962" s="859"/>
      <c r="X1962" s="859"/>
      <c r="Y1962" s="755">
        <f t="shared" si="259"/>
        <v>0</v>
      </c>
      <c r="Z1962" s="864"/>
      <c r="AA1962" s="863"/>
      <c r="AB1962" s="756">
        <f t="shared" si="260"/>
        <v>0</v>
      </c>
      <c r="AC1962" s="859"/>
      <c r="AD1962" s="863"/>
      <c r="AE1962" s="859"/>
      <c r="AF1962" s="859"/>
      <c r="AG1962" s="864"/>
      <c r="AH1962" s="865"/>
      <c r="AI1962" s="757">
        <f t="shared" si="264"/>
        <v>156939</v>
      </c>
      <c r="AJ1962" s="758">
        <f t="shared" si="265"/>
        <v>153638</v>
      </c>
    </row>
    <row r="1963" spans="1:36" x14ac:dyDescent="0.2">
      <c r="A1963" s="1217" t="s">
        <v>153</v>
      </c>
      <c r="B1963" s="1218" t="s">
        <v>275</v>
      </c>
      <c r="C1963" s="1223" t="s">
        <v>258</v>
      </c>
      <c r="D1963" s="1224"/>
      <c r="E1963" s="1221">
        <v>197814</v>
      </c>
      <c r="F1963" s="1231">
        <v>10</v>
      </c>
      <c r="G1963" s="859"/>
      <c r="H1963" s="860"/>
      <c r="I1963" s="861">
        <v>1453319</v>
      </c>
      <c r="J1963" s="862">
        <v>1468880</v>
      </c>
      <c r="K1963" s="859"/>
      <c r="L1963" s="863"/>
      <c r="M1963" s="859">
        <v>214562</v>
      </c>
      <c r="N1963" s="859"/>
      <c r="O1963" s="752">
        <f t="shared" si="258"/>
        <v>214562</v>
      </c>
      <c r="P1963" s="862">
        <v>172239</v>
      </c>
      <c r="Q1963" s="860"/>
      <c r="R1963" s="753">
        <f t="shared" si="261"/>
        <v>172239</v>
      </c>
      <c r="S1963" s="752">
        <f t="shared" si="262"/>
        <v>1667881</v>
      </c>
      <c r="T1963" s="754">
        <f t="shared" si="263"/>
        <v>1641119</v>
      </c>
      <c r="U1963" s="859"/>
      <c r="V1963" s="863"/>
      <c r="W1963" s="859"/>
      <c r="X1963" s="859"/>
      <c r="Y1963" s="755">
        <f t="shared" si="259"/>
        <v>0</v>
      </c>
      <c r="Z1963" s="864"/>
      <c r="AA1963" s="863"/>
      <c r="AB1963" s="756">
        <f t="shared" si="260"/>
        <v>0</v>
      </c>
      <c r="AC1963" s="859"/>
      <c r="AD1963" s="863"/>
      <c r="AE1963" s="859"/>
      <c r="AF1963" s="859"/>
      <c r="AG1963" s="864"/>
      <c r="AH1963" s="865"/>
      <c r="AI1963" s="757">
        <f t="shared" si="264"/>
        <v>1667881</v>
      </c>
      <c r="AJ1963" s="758">
        <f t="shared" si="265"/>
        <v>1641119</v>
      </c>
    </row>
    <row r="1964" spans="1:36" x14ac:dyDescent="0.2">
      <c r="A1964" s="1217" t="s">
        <v>153</v>
      </c>
      <c r="B1964" s="1218" t="s">
        <v>264</v>
      </c>
      <c r="C1964" s="1218" t="s">
        <v>1341</v>
      </c>
      <c r="D1964" s="1242"/>
      <c r="E1964" s="1221">
        <v>198640</v>
      </c>
      <c r="F1964" s="1222">
        <v>10</v>
      </c>
      <c r="G1964" s="859">
        <v>6474988</v>
      </c>
      <c r="H1964" s="860">
        <v>6102368</v>
      </c>
      <c r="I1964" s="861"/>
      <c r="J1964" s="862"/>
      <c r="K1964" s="859">
        <v>1010599</v>
      </c>
      <c r="L1964" s="863">
        <v>1035404</v>
      </c>
      <c r="M1964" s="859">
        <v>2327371</v>
      </c>
      <c r="N1964" s="859"/>
      <c r="O1964" s="752">
        <f t="shared" si="258"/>
        <v>2327371</v>
      </c>
      <c r="P1964" s="862">
        <v>2491230</v>
      </c>
      <c r="Q1964" s="860"/>
      <c r="R1964" s="753">
        <f t="shared" si="261"/>
        <v>2491230</v>
      </c>
      <c r="S1964" s="752">
        <f t="shared" si="262"/>
        <v>9812958</v>
      </c>
      <c r="T1964" s="754">
        <f t="shared" si="263"/>
        <v>9629002</v>
      </c>
      <c r="U1964" s="859"/>
      <c r="V1964" s="863"/>
      <c r="W1964" s="859"/>
      <c r="X1964" s="859"/>
      <c r="Y1964" s="755">
        <f t="shared" si="259"/>
        <v>0</v>
      </c>
      <c r="Z1964" s="864"/>
      <c r="AA1964" s="863"/>
      <c r="AB1964" s="756">
        <f t="shared" si="260"/>
        <v>0</v>
      </c>
      <c r="AC1964" s="859"/>
      <c r="AD1964" s="863"/>
      <c r="AE1964" s="859"/>
      <c r="AF1964" s="859"/>
      <c r="AG1964" s="864"/>
      <c r="AH1964" s="865"/>
      <c r="AI1964" s="757">
        <f t="shared" si="264"/>
        <v>9812958</v>
      </c>
      <c r="AJ1964" s="758">
        <f t="shared" si="265"/>
        <v>9629002</v>
      </c>
    </row>
    <row r="1965" spans="1:36" x14ac:dyDescent="0.2">
      <c r="A1965" s="1217" t="s">
        <v>153</v>
      </c>
      <c r="B1965" s="1218" t="s">
        <v>264</v>
      </c>
      <c r="C1965" s="1223" t="s">
        <v>1300</v>
      </c>
      <c r="D1965" s="1224"/>
      <c r="E1965" s="1221">
        <v>198640</v>
      </c>
      <c r="F1965" s="1222">
        <v>10</v>
      </c>
      <c r="G1965" s="859"/>
      <c r="H1965" s="860"/>
      <c r="I1965" s="861"/>
      <c r="J1965" s="862"/>
      <c r="K1965" s="859"/>
      <c r="L1965" s="863"/>
      <c r="M1965" s="859"/>
      <c r="N1965" s="859"/>
      <c r="O1965" s="752">
        <f t="shared" si="258"/>
        <v>0</v>
      </c>
      <c r="P1965" s="862"/>
      <c r="Q1965" s="860"/>
      <c r="R1965" s="753">
        <f t="shared" si="261"/>
        <v>0</v>
      </c>
      <c r="S1965" s="752">
        <f t="shared" si="262"/>
        <v>0</v>
      </c>
      <c r="T1965" s="754">
        <f t="shared" si="263"/>
        <v>0</v>
      </c>
      <c r="U1965" s="859"/>
      <c r="V1965" s="863"/>
      <c r="W1965" s="859"/>
      <c r="X1965" s="859"/>
      <c r="Y1965" s="755">
        <f t="shared" si="259"/>
        <v>0</v>
      </c>
      <c r="Z1965" s="864"/>
      <c r="AA1965" s="863"/>
      <c r="AB1965" s="756">
        <f t="shared" si="260"/>
        <v>0</v>
      </c>
      <c r="AC1965" s="859"/>
      <c r="AD1965" s="863"/>
      <c r="AE1965" s="859"/>
      <c r="AF1965" s="859"/>
      <c r="AG1965" s="864"/>
      <c r="AH1965" s="865"/>
      <c r="AI1965" s="757">
        <f t="shared" si="264"/>
        <v>0</v>
      </c>
      <c r="AJ1965" s="758">
        <f t="shared" si="265"/>
        <v>0</v>
      </c>
    </row>
    <row r="1966" spans="1:36" x14ac:dyDescent="0.2">
      <c r="A1966" s="1217" t="s">
        <v>153</v>
      </c>
      <c r="B1966" s="1218" t="s">
        <v>266</v>
      </c>
      <c r="C1966" s="1223" t="s">
        <v>319</v>
      </c>
      <c r="D1966" s="1224"/>
      <c r="E1966" s="1221">
        <v>198640</v>
      </c>
      <c r="F1966" s="1222">
        <v>10</v>
      </c>
      <c r="G1966" s="859"/>
      <c r="H1966" s="860"/>
      <c r="I1966" s="861">
        <v>151958</v>
      </c>
      <c r="J1966" s="862">
        <v>149422</v>
      </c>
      <c r="K1966" s="859"/>
      <c r="L1966" s="863"/>
      <c r="M1966" s="859"/>
      <c r="N1966" s="859"/>
      <c r="O1966" s="752">
        <f t="shared" si="258"/>
        <v>0</v>
      </c>
      <c r="P1966" s="862"/>
      <c r="Q1966" s="860"/>
      <c r="R1966" s="753">
        <f t="shared" si="261"/>
        <v>0</v>
      </c>
      <c r="S1966" s="752">
        <f t="shared" si="262"/>
        <v>151958</v>
      </c>
      <c r="T1966" s="754">
        <f t="shared" si="263"/>
        <v>149422</v>
      </c>
      <c r="U1966" s="859"/>
      <c r="V1966" s="863"/>
      <c r="W1966" s="859"/>
      <c r="X1966" s="859"/>
      <c r="Y1966" s="755">
        <f t="shared" si="259"/>
        <v>0</v>
      </c>
      <c r="Z1966" s="864"/>
      <c r="AA1966" s="863"/>
      <c r="AB1966" s="756">
        <f t="shared" si="260"/>
        <v>0</v>
      </c>
      <c r="AC1966" s="859"/>
      <c r="AD1966" s="863"/>
      <c r="AE1966" s="859"/>
      <c r="AF1966" s="859"/>
      <c r="AG1966" s="864"/>
      <c r="AH1966" s="865"/>
      <c r="AI1966" s="757">
        <f t="shared" si="264"/>
        <v>151958</v>
      </c>
      <c r="AJ1966" s="758">
        <f t="shared" si="265"/>
        <v>149422</v>
      </c>
    </row>
    <row r="1967" spans="1:36" x14ac:dyDescent="0.2">
      <c r="A1967" s="1217" t="s">
        <v>153</v>
      </c>
      <c r="B1967" s="1218" t="s">
        <v>275</v>
      </c>
      <c r="C1967" s="1223" t="s">
        <v>258</v>
      </c>
      <c r="D1967" s="1224"/>
      <c r="E1967" s="1221">
        <v>198640</v>
      </c>
      <c r="F1967" s="1222">
        <v>10</v>
      </c>
      <c r="G1967" s="859"/>
      <c r="H1967" s="860"/>
      <c r="I1967" s="861">
        <v>1140546</v>
      </c>
      <c r="J1967" s="862">
        <v>1238695</v>
      </c>
      <c r="K1967" s="859"/>
      <c r="L1967" s="863"/>
      <c r="M1967" s="859">
        <v>103004</v>
      </c>
      <c r="N1967" s="859"/>
      <c r="O1967" s="752">
        <f t="shared" si="258"/>
        <v>103004</v>
      </c>
      <c r="P1967" s="862">
        <v>220998</v>
      </c>
      <c r="Q1967" s="860"/>
      <c r="R1967" s="753">
        <f t="shared" si="261"/>
        <v>220998</v>
      </c>
      <c r="S1967" s="752">
        <f t="shared" si="262"/>
        <v>1243550</v>
      </c>
      <c r="T1967" s="754">
        <f t="shared" si="263"/>
        <v>1459693</v>
      </c>
      <c r="U1967" s="859"/>
      <c r="V1967" s="863"/>
      <c r="W1967" s="859"/>
      <c r="X1967" s="859"/>
      <c r="Y1967" s="755">
        <f t="shared" si="259"/>
        <v>0</v>
      </c>
      <c r="Z1967" s="864"/>
      <c r="AA1967" s="863"/>
      <c r="AB1967" s="756">
        <f t="shared" si="260"/>
        <v>0</v>
      </c>
      <c r="AC1967" s="859"/>
      <c r="AD1967" s="863"/>
      <c r="AE1967" s="859"/>
      <c r="AF1967" s="859"/>
      <c r="AG1967" s="864"/>
      <c r="AH1967" s="865"/>
      <c r="AI1967" s="757">
        <f t="shared" si="264"/>
        <v>1243550</v>
      </c>
      <c r="AJ1967" s="758">
        <f t="shared" si="265"/>
        <v>1459693</v>
      </c>
    </row>
    <row r="1968" spans="1:36" x14ac:dyDescent="0.2">
      <c r="A1968" s="1217" t="s">
        <v>153</v>
      </c>
      <c r="B1968" s="1218" t="s">
        <v>264</v>
      </c>
      <c r="C1968" s="1218" t="s">
        <v>1342</v>
      </c>
      <c r="D1968" s="1242"/>
      <c r="E1968" s="1221">
        <v>198729</v>
      </c>
      <c r="F1968" s="1222">
        <v>10</v>
      </c>
      <c r="G1968" s="859">
        <v>5492674</v>
      </c>
      <c r="H1968" s="860">
        <v>5656510</v>
      </c>
      <c r="I1968" s="861"/>
      <c r="J1968" s="862"/>
      <c r="K1968" s="859">
        <v>1362585</v>
      </c>
      <c r="L1968" s="863">
        <v>1543970</v>
      </c>
      <c r="M1968" s="859">
        <v>1925265</v>
      </c>
      <c r="N1968" s="859"/>
      <c r="O1968" s="752">
        <f t="shared" si="258"/>
        <v>1925265</v>
      </c>
      <c r="P1968" s="862">
        <v>2387882</v>
      </c>
      <c r="Q1968" s="860"/>
      <c r="R1968" s="753">
        <f t="shared" si="261"/>
        <v>2387882</v>
      </c>
      <c r="S1968" s="752">
        <f t="shared" si="262"/>
        <v>8780524</v>
      </c>
      <c r="T1968" s="754">
        <f t="shared" si="263"/>
        <v>9588362</v>
      </c>
      <c r="U1968" s="859"/>
      <c r="V1968" s="863"/>
      <c r="W1968" s="859"/>
      <c r="X1968" s="859"/>
      <c r="Y1968" s="755">
        <f t="shared" si="259"/>
        <v>0</v>
      </c>
      <c r="Z1968" s="864"/>
      <c r="AA1968" s="863"/>
      <c r="AB1968" s="756">
        <f t="shared" si="260"/>
        <v>0</v>
      </c>
      <c r="AC1968" s="859"/>
      <c r="AD1968" s="863"/>
      <c r="AE1968" s="859"/>
      <c r="AF1968" s="859"/>
      <c r="AG1968" s="864"/>
      <c r="AH1968" s="865"/>
      <c r="AI1968" s="757">
        <f t="shared" si="264"/>
        <v>8780524</v>
      </c>
      <c r="AJ1968" s="758">
        <f t="shared" si="265"/>
        <v>9588362</v>
      </c>
    </row>
    <row r="1969" spans="1:36" x14ac:dyDescent="0.2">
      <c r="A1969" s="1217" t="s">
        <v>153</v>
      </c>
      <c r="B1969" s="1218" t="s">
        <v>264</v>
      </c>
      <c r="C1969" s="1223" t="s">
        <v>1300</v>
      </c>
      <c r="D1969" s="1224"/>
      <c r="E1969" s="1221">
        <v>198729</v>
      </c>
      <c r="F1969" s="1222">
        <v>10</v>
      </c>
      <c r="G1969" s="859"/>
      <c r="H1969" s="860"/>
      <c r="I1969" s="861"/>
      <c r="J1969" s="862"/>
      <c r="K1969" s="859"/>
      <c r="L1969" s="863"/>
      <c r="M1969" s="859"/>
      <c r="N1969" s="859"/>
      <c r="O1969" s="752">
        <f t="shared" si="258"/>
        <v>0</v>
      </c>
      <c r="P1969" s="862"/>
      <c r="Q1969" s="860"/>
      <c r="R1969" s="753">
        <f t="shared" si="261"/>
        <v>0</v>
      </c>
      <c r="S1969" s="752">
        <f t="shared" si="262"/>
        <v>0</v>
      </c>
      <c r="T1969" s="754">
        <f t="shared" si="263"/>
        <v>0</v>
      </c>
      <c r="U1969" s="859"/>
      <c r="V1969" s="863"/>
      <c r="W1969" s="859"/>
      <c r="X1969" s="859"/>
      <c r="Y1969" s="755">
        <f t="shared" si="259"/>
        <v>0</v>
      </c>
      <c r="Z1969" s="864"/>
      <c r="AA1969" s="863"/>
      <c r="AB1969" s="756">
        <f t="shared" si="260"/>
        <v>0</v>
      </c>
      <c r="AC1969" s="859"/>
      <c r="AD1969" s="863"/>
      <c r="AE1969" s="859"/>
      <c r="AF1969" s="859"/>
      <c r="AG1969" s="864"/>
      <c r="AH1969" s="865"/>
      <c r="AI1969" s="757">
        <f t="shared" si="264"/>
        <v>0</v>
      </c>
      <c r="AJ1969" s="758">
        <f t="shared" si="265"/>
        <v>0</v>
      </c>
    </row>
    <row r="1970" spans="1:36" x14ac:dyDescent="0.2">
      <c r="A1970" s="1217" t="s">
        <v>153</v>
      </c>
      <c r="B1970" s="1218" t="s">
        <v>266</v>
      </c>
      <c r="C1970" s="1223" t="s">
        <v>319</v>
      </c>
      <c r="D1970" s="1224"/>
      <c r="E1970" s="1221">
        <v>198729</v>
      </c>
      <c r="F1970" s="1222">
        <v>10</v>
      </c>
      <c r="G1970" s="859"/>
      <c r="H1970" s="860"/>
      <c r="I1970" s="861">
        <v>155666</v>
      </c>
      <c r="J1970" s="862">
        <v>156354</v>
      </c>
      <c r="K1970" s="859"/>
      <c r="L1970" s="863"/>
      <c r="M1970" s="859"/>
      <c r="N1970" s="859"/>
      <c r="O1970" s="752">
        <f t="shared" si="258"/>
        <v>0</v>
      </c>
      <c r="P1970" s="862"/>
      <c r="Q1970" s="860"/>
      <c r="R1970" s="753">
        <f t="shared" si="261"/>
        <v>0</v>
      </c>
      <c r="S1970" s="752">
        <f t="shared" si="262"/>
        <v>155666</v>
      </c>
      <c r="T1970" s="754">
        <f t="shared" si="263"/>
        <v>156354</v>
      </c>
      <c r="U1970" s="859"/>
      <c r="V1970" s="863"/>
      <c r="W1970" s="859"/>
      <c r="X1970" s="859"/>
      <c r="Y1970" s="755">
        <f t="shared" si="259"/>
        <v>0</v>
      </c>
      <c r="Z1970" s="864"/>
      <c r="AA1970" s="863"/>
      <c r="AB1970" s="756">
        <f t="shared" si="260"/>
        <v>0</v>
      </c>
      <c r="AC1970" s="859"/>
      <c r="AD1970" s="863"/>
      <c r="AE1970" s="859"/>
      <c r="AF1970" s="859"/>
      <c r="AG1970" s="864"/>
      <c r="AH1970" s="865"/>
      <c r="AI1970" s="757">
        <f t="shared" si="264"/>
        <v>155666</v>
      </c>
      <c r="AJ1970" s="758">
        <f t="shared" si="265"/>
        <v>156354</v>
      </c>
    </row>
    <row r="1971" spans="1:36" x14ac:dyDescent="0.2">
      <c r="A1971" s="1217" t="s">
        <v>153</v>
      </c>
      <c r="B1971" s="1218" t="s">
        <v>275</v>
      </c>
      <c r="C1971" s="1223" t="s">
        <v>258</v>
      </c>
      <c r="D1971" s="1224"/>
      <c r="E1971" s="1221">
        <v>198729</v>
      </c>
      <c r="F1971" s="1222">
        <v>10</v>
      </c>
      <c r="G1971" s="859"/>
      <c r="H1971" s="860"/>
      <c r="I1971" s="861">
        <v>957223</v>
      </c>
      <c r="J1971" s="862">
        <v>946097</v>
      </c>
      <c r="K1971" s="859"/>
      <c r="L1971" s="863"/>
      <c r="M1971" s="859">
        <v>112966</v>
      </c>
      <c r="N1971" s="859"/>
      <c r="O1971" s="752">
        <f t="shared" si="258"/>
        <v>112966</v>
      </c>
      <c r="P1971" s="862">
        <v>164640</v>
      </c>
      <c r="Q1971" s="860"/>
      <c r="R1971" s="753">
        <f t="shared" si="261"/>
        <v>164640</v>
      </c>
      <c r="S1971" s="752">
        <f t="shared" si="262"/>
        <v>1070189</v>
      </c>
      <c r="T1971" s="754">
        <f t="shared" si="263"/>
        <v>1110737</v>
      </c>
      <c r="U1971" s="859"/>
      <c r="V1971" s="863"/>
      <c r="W1971" s="859"/>
      <c r="X1971" s="859"/>
      <c r="Y1971" s="755">
        <f t="shared" si="259"/>
        <v>0</v>
      </c>
      <c r="Z1971" s="864"/>
      <c r="AA1971" s="863"/>
      <c r="AB1971" s="756">
        <f t="shared" si="260"/>
        <v>0</v>
      </c>
      <c r="AC1971" s="859"/>
      <c r="AD1971" s="863"/>
      <c r="AE1971" s="859"/>
      <c r="AF1971" s="859"/>
      <c r="AG1971" s="864"/>
      <c r="AH1971" s="865"/>
      <c r="AI1971" s="757">
        <f t="shared" si="264"/>
        <v>1070189</v>
      </c>
      <c r="AJ1971" s="758">
        <f t="shared" si="265"/>
        <v>1110737</v>
      </c>
    </row>
    <row r="1972" spans="1:36" x14ac:dyDescent="0.2">
      <c r="A1972" s="1217" t="s">
        <v>153</v>
      </c>
      <c r="B1972" s="1218" t="s">
        <v>264</v>
      </c>
      <c r="C1972" s="1218" t="s">
        <v>1343</v>
      </c>
      <c r="D1972" s="1242"/>
      <c r="E1972" s="1221">
        <v>198905</v>
      </c>
      <c r="F1972" s="1222">
        <v>10</v>
      </c>
      <c r="G1972" s="859">
        <v>3970446</v>
      </c>
      <c r="H1972" s="860">
        <v>3807260</v>
      </c>
      <c r="I1972" s="861"/>
      <c r="J1972" s="862"/>
      <c r="K1972" s="859">
        <v>936098</v>
      </c>
      <c r="L1972" s="863">
        <v>916649</v>
      </c>
      <c r="M1972" s="859">
        <v>1115941</v>
      </c>
      <c r="N1972" s="859"/>
      <c r="O1972" s="752">
        <f t="shared" si="258"/>
        <v>1115941</v>
      </c>
      <c r="P1972" s="862">
        <v>1223858</v>
      </c>
      <c r="Q1972" s="860"/>
      <c r="R1972" s="753">
        <f t="shared" si="261"/>
        <v>1223858</v>
      </c>
      <c r="S1972" s="752">
        <f t="shared" si="262"/>
        <v>6022485</v>
      </c>
      <c r="T1972" s="754">
        <f t="shared" si="263"/>
        <v>5947767</v>
      </c>
      <c r="U1972" s="859"/>
      <c r="V1972" s="863"/>
      <c r="W1972" s="859"/>
      <c r="X1972" s="859"/>
      <c r="Y1972" s="755">
        <f t="shared" si="259"/>
        <v>0</v>
      </c>
      <c r="Z1972" s="864"/>
      <c r="AA1972" s="863"/>
      <c r="AB1972" s="756">
        <f t="shared" si="260"/>
        <v>0</v>
      </c>
      <c r="AC1972" s="859"/>
      <c r="AD1972" s="863"/>
      <c r="AE1972" s="859"/>
      <c r="AF1972" s="859"/>
      <c r="AG1972" s="864"/>
      <c r="AH1972" s="865"/>
      <c r="AI1972" s="757">
        <f t="shared" si="264"/>
        <v>6022485</v>
      </c>
      <c r="AJ1972" s="758">
        <f t="shared" si="265"/>
        <v>5947767</v>
      </c>
    </row>
    <row r="1973" spans="1:36" x14ac:dyDescent="0.2">
      <c r="A1973" s="1217" t="s">
        <v>153</v>
      </c>
      <c r="B1973" s="1218" t="s">
        <v>264</v>
      </c>
      <c r="C1973" s="1223" t="s">
        <v>1300</v>
      </c>
      <c r="D1973" s="1224"/>
      <c r="E1973" s="1221">
        <v>198905</v>
      </c>
      <c r="F1973" s="1222">
        <v>10</v>
      </c>
      <c r="G1973" s="859"/>
      <c r="H1973" s="860"/>
      <c r="I1973" s="861"/>
      <c r="J1973" s="862"/>
      <c r="K1973" s="859"/>
      <c r="L1973" s="863"/>
      <c r="M1973" s="859"/>
      <c r="N1973" s="859"/>
      <c r="O1973" s="752">
        <f t="shared" si="258"/>
        <v>0</v>
      </c>
      <c r="P1973" s="862"/>
      <c r="Q1973" s="860"/>
      <c r="R1973" s="753">
        <f t="shared" si="261"/>
        <v>0</v>
      </c>
      <c r="S1973" s="752">
        <f t="shared" si="262"/>
        <v>0</v>
      </c>
      <c r="T1973" s="754">
        <f t="shared" si="263"/>
        <v>0</v>
      </c>
      <c r="U1973" s="859"/>
      <c r="V1973" s="863"/>
      <c r="W1973" s="859"/>
      <c r="X1973" s="859"/>
      <c r="Y1973" s="755">
        <f t="shared" si="259"/>
        <v>0</v>
      </c>
      <c r="Z1973" s="864"/>
      <c r="AA1973" s="863"/>
      <c r="AB1973" s="756">
        <f t="shared" si="260"/>
        <v>0</v>
      </c>
      <c r="AC1973" s="859"/>
      <c r="AD1973" s="863"/>
      <c r="AE1973" s="859"/>
      <c r="AF1973" s="859"/>
      <c r="AG1973" s="864"/>
      <c r="AH1973" s="865"/>
      <c r="AI1973" s="757">
        <f t="shared" si="264"/>
        <v>0</v>
      </c>
      <c r="AJ1973" s="758">
        <f t="shared" si="265"/>
        <v>0</v>
      </c>
    </row>
    <row r="1974" spans="1:36" x14ac:dyDescent="0.2">
      <c r="A1974" s="1217" t="s">
        <v>153</v>
      </c>
      <c r="B1974" s="1218" t="s">
        <v>266</v>
      </c>
      <c r="C1974" s="1223" t="s">
        <v>319</v>
      </c>
      <c r="D1974" s="1224"/>
      <c r="E1974" s="1221">
        <v>198905</v>
      </c>
      <c r="F1974" s="1222">
        <v>10</v>
      </c>
      <c r="G1974" s="859"/>
      <c r="H1974" s="860"/>
      <c r="I1974" s="861">
        <v>146373</v>
      </c>
      <c r="J1974" s="862">
        <v>145963</v>
      </c>
      <c r="K1974" s="859"/>
      <c r="L1974" s="863"/>
      <c r="M1974" s="859"/>
      <c r="N1974" s="859"/>
      <c r="O1974" s="752">
        <f t="shared" si="258"/>
        <v>0</v>
      </c>
      <c r="P1974" s="862"/>
      <c r="Q1974" s="860"/>
      <c r="R1974" s="753">
        <f t="shared" si="261"/>
        <v>0</v>
      </c>
      <c r="S1974" s="752">
        <f t="shared" si="262"/>
        <v>146373</v>
      </c>
      <c r="T1974" s="754">
        <f t="shared" si="263"/>
        <v>145963</v>
      </c>
      <c r="U1974" s="859"/>
      <c r="V1974" s="863"/>
      <c r="W1974" s="859"/>
      <c r="X1974" s="859"/>
      <c r="Y1974" s="755">
        <f t="shared" si="259"/>
        <v>0</v>
      </c>
      <c r="Z1974" s="864"/>
      <c r="AA1974" s="863"/>
      <c r="AB1974" s="756">
        <f t="shared" si="260"/>
        <v>0</v>
      </c>
      <c r="AC1974" s="859"/>
      <c r="AD1974" s="863"/>
      <c r="AE1974" s="859"/>
      <c r="AF1974" s="859"/>
      <c r="AG1974" s="864"/>
      <c r="AH1974" s="865"/>
      <c r="AI1974" s="757">
        <f t="shared" si="264"/>
        <v>146373</v>
      </c>
      <c r="AJ1974" s="758">
        <f t="shared" si="265"/>
        <v>145963</v>
      </c>
    </row>
    <row r="1975" spans="1:36" x14ac:dyDescent="0.2">
      <c r="A1975" s="1217" t="s">
        <v>153</v>
      </c>
      <c r="B1975" s="1218" t="s">
        <v>275</v>
      </c>
      <c r="C1975" s="1223" t="s">
        <v>258</v>
      </c>
      <c r="D1975" s="1224"/>
      <c r="E1975" s="1221">
        <v>198905</v>
      </c>
      <c r="F1975" s="1222">
        <v>10</v>
      </c>
      <c r="G1975" s="859"/>
      <c r="H1975" s="860"/>
      <c r="I1975" s="861">
        <v>993840</v>
      </c>
      <c r="J1975" s="862">
        <v>985809</v>
      </c>
      <c r="K1975" s="859"/>
      <c r="L1975" s="863"/>
      <c r="M1975" s="859">
        <v>107717</v>
      </c>
      <c r="N1975" s="859"/>
      <c r="O1975" s="752">
        <f t="shared" si="258"/>
        <v>107717</v>
      </c>
      <c r="P1975" s="862">
        <v>117148</v>
      </c>
      <c r="Q1975" s="860"/>
      <c r="R1975" s="753">
        <f t="shared" si="261"/>
        <v>117148</v>
      </c>
      <c r="S1975" s="752">
        <f t="shared" si="262"/>
        <v>1101557</v>
      </c>
      <c r="T1975" s="754">
        <f t="shared" si="263"/>
        <v>1102957</v>
      </c>
      <c r="U1975" s="859"/>
      <c r="V1975" s="863"/>
      <c r="W1975" s="859"/>
      <c r="X1975" s="859"/>
      <c r="Y1975" s="755">
        <f t="shared" si="259"/>
        <v>0</v>
      </c>
      <c r="Z1975" s="864"/>
      <c r="AA1975" s="863"/>
      <c r="AB1975" s="756">
        <f t="shared" si="260"/>
        <v>0</v>
      </c>
      <c r="AC1975" s="859"/>
      <c r="AD1975" s="863"/>
      <c r="AE1975" s="859"/>
      <c r="AF1975" s="859"/>
      <c r="AG1975" s="864"/>
      <c r="AH1975" s="865"/>
      <c r="AI1975" s="757">
        <f t="shared" si="264"/>
        <v>1101557</v>
      </c>
      <c r="AJ1975" s="758">
        <f t="shared" si="265"/>
        <v>1102957</v>
      </c>
    </row>
    <row r="1976" spans="1:36" x14ac:dyDescent="0.2">
      <c r="A1976" s="1217" t="s">
        <v>153</v>
      </c>
      <c r="B1976" s="1218" t="s">
        <v>264</v>
      </c>
      <c r="C1976" s="1303" t="s">
        <v>1344</v>
      </c>
      <c r="D1976" s="1304"/>
      <c r="E1976" s="1221">
        <v>198914</v>
      </c>
      <c r="F1976" s="1231">
        <v>10</v>
      </c>
      <c r="G1976" s="859">
        <v>5977188</v>
      </c>
      <c r="H1976" s="860">
        <v>5420931</v>
      </c>
      <c r="I1976" s="861"/>
      <c r="J1976" s="862"/>
      <c r="K1976" s="859">
        <v>898957</v>
      </c>
      <c r="L1976" s="863">
        <v>910047</v>
      </c>
      <c r="M1976" s="859">
        <v>1156189</v>
      </c>
      <c r="N1976" s="859"/>
      <c r="O1976" s="752">
        <f t="shared" si="258"/>
        <v>1156189</v>
      </c>
      <c r="P1976" s="862">
        <v>1834880</v>
      </c>
      <c r="Q1976" s="860"/>
      <c r="R1976" s="753">
        <f t="shared" si="261"/>
        <v>1834880</v>
      </c>
      <c r="S1976" s="752">
        <f t="shared" si="262"/>
        <v>8032334</v>
      </c>
      <c r="T1976" s="754">
        <f t="shared" si="263"/>
        <v>8165858</v>
      </c>
      <c r="U1976" s="859"/>
      <c r="V1976" s="863"/>
      <c r="W1976" s="859"/>
      <c r="X1976" s="859"/>
      <c r="Y1976" s="755">
        <f t="shared" si="259"/>
        <v>0</v>
      </c>
      <c r="Z1976" s="864"/>
      <c r="AA1976" s="863"/>
      <c r="AB1976" s="756">
        <f t="shared" si="260"/>
        <v>0</v>
      </c>
      <c r="AC1976" s="859"/>
      <c r="AD1976" s="863"/>
      <c r="AE1976" s="859"/>
      <c r="AF1976" s="859"/>
      <c r="AG1976" s="864"/>
      <c r="AH1976" s="865"/>
      <c r="AI1976" s="757">
        <f t="shared" si="264"/>
        <v>8032334</v>
      </c>
      <c r="AJ1976" s="758">
        <f t="shared" si="265"/>
        <v>8165858</v>
      </c>
    </row>
    <row r="1977" spans="1:36" x14ac:dyDescent="0.2">
      <c r="A1977" s="1217" t="s">
        <v>153</v>
      </c>
      <c r="B1977" s="1218" t="s">
        <v>264</v>
      </c>
      <c r="C1977" s="1223" t="s">
        <v>1300</v>
      </c>
      <c r="D1977" s="1224"/>
      <c r="E1977" s="1221">
        <v>198914</v>
      </c>
      <c r="F1977" s="1231">
        <v>10</v>
      </c>
      <c r="G1977" s="859"/>
      <c r="H1977" s="860"/>
      <c r="I1977" s="861"/>
      <c r="J1977" s="862"/>
      <c r="K1977" s="859"/>
      <c r="L1977" s="863"/>
      <c r="M1977" s="859"/>
      <c r="N1977" s="859"/>
      <c r="O1977" s="752">
        <f t="shared" si="258"/>
        <v>0</v>
      </c>
      <c r="P1977" s="862"/>
      <c r="Q1977" s="860"/>
      <c r="R1977" s="753">
        <f t="shared" si="261"/>
        <v>0</v>
      </c>
      <c r="S1977" s="752">
        <f t="shared" si="262"/>
        <v>0</v>
      </c>
      <c r="T1977" s="754">
        <f t="shared" si="263"/>
        <v>0</v>
      </c>
      <c r="U1977" s="859"/>
      <c r="V1977" s="863"/>
      <c r="W1977" s="859"/>
      <c r="X1977" s="859"/>
      <c r="Y1977" s="755">
        <f t="shared" si="259"/>
        <v>0</v>
      </c>
      <c r="Z1977" s="864"/>
      <c r="AA1977" s="863"/>
      <c r="AB1977" s="756">
        <f t="shared" si="260"/>
        <v>0</v>
      </c>
      <c r="AC1977" s="859"/>
      <c r="AD1977" s="863"/>
      <c r="AE1977" s="859"/>
      <c r="AF1977" s="859"/>
      <c r="AG1977" s="864"/>
      <c r="AH1977" s="865"/>
      <c r="AI1977" s="757">
        <f t="shared" si="264"/>
        <v>0</v>
      </c>
      <c r="AJ1977" s="758">
        <f t="shared" si="265"/>
        <v>0</v>
      </c>
    </row>
    <row r="1978" spans="1:36" x14ac:dyDescent="0.2">
      <c r="A1978" s="1217" t="s">
        <v>153</v>
      </c>
      <c r="B1978" s="1218" t="s">
        <v>266</v>
      </c>
      <c r="C1978" s="1223" t="s">
        <v>319</v>
      </c>
      <c r="D1978" s="1224"/>
      <c r="E1978" s="1221">
        <v>198914</v>
      </c>
      <c r="F1978" s="1231">
        <v>10</v>
      </c>
      <c r="G1978" s="859"/>
      <c r="H1978" s="860"/>
      <c r="I1978" s="861">
        <v>150223</v>
      </c>
      <c r="J1978" s="862">
        <v>151800</v>
      </c>
      <c r="K1978" s="859"/>
      <c r="L1978" s="863"/>
      <c r="M1978" s="859"/>
      <c r="N1978" s="859"/>
      <c r="O1978" s="752">
        <f t="shared" si="258"/>
        <v>0</v>
      </c>
      <c r="P1978" s="862"/>
      <c r="Q1978" s="860"/>
      <c r="R1978" s="753">
        <f t="shared" si="261"/>
        <v>0</v>
      </c>
      <c r="S1978" s="752">
        <f t="shared" si="262"/>
        <v>150223</v>
      </c>
      <c r="T1978" s="754">
        <f t="shared" si="263"/>
        <v>151800</v>
      </c>
      <c r="U1978" s="859"/>
      <c r="V1978" s="863"/>
      <c r="W1978" s="859"/>
      <c r="X1978" s="859"/>
      <c r="Y1978" s="755">
        <f t="shared" si="259"/>
        <v>0</v>
      </c>
      <c r="Z1978" s="864"/>
      <c r="AA1978" s="863"/>
      <c r="AB1978" s="756">
        <f t="shared" si="260"/>
        <v>0</v>
      </c>
      <c r="AC1978" s="859"/>
      <c r="AD1978" s="863"/>
      <c r="AE1978" s="859"/>
      <c r="AF1978" s="859"/>
      <c r="AG1978" s="864"/>
      <c r="AH1978" s="865"/>
      <c r="AI1978" s="757">
        <f t="shared" si="264"/>
        <v>150223</v>
      </c>
      <c r="AJ1978" s="758">
        <f t="shared" si="265"/>
        <v>151800</v>
      </c>
    </row>
    <row r="1979" spans="1:36" x14ac:dyDescent="0.2">
      <c r="A1979" s="1217" t="s">
        <v>153</v>
      </c>
      <c r="B1979" s="1218" t="s">
        <v>275</v>
      </c>
      <c r="C1979" s="1223" t="s">
        <v>258</v>
      </c>
      <c r="D1979" s="1224"/>
      <c r="E1979" s="1221">
        <v>198914</v>
      </c>
      <c r="F1979" s="1231">
        <v>10</v>
      </c>
      <c r="G1979" s="859"/>
      <c r="H1979" s="860"/>
      <c r="I1979" s="861">
        <v>2047907</v>
      </c>
      <c r="J1979" s="862">
        <v>2108177</v>
      </c>
      <c r="K1979" s="859"/>
      <c r="L1979" s="863"/>
      <c r="M1979" s="859">
        <v>141316</v>
      </c>
      <c r="N1979" s="859"/>
      <c r="O1979" s="752">
        <f t="shared" si="258"/>
        <v>141316</v>
      </c>
      <c r="P1979" s="862">
        <v>278622</v>
      </c>
      <c r="Q1979" s="860"/>
      <c r="R1979" s="753">
        <f t="shared" si="261"/>
        <v>278622</v>
      </c>
      <c r="S1979" s="752">
        <f t="shared" si="262"/>
        <v>2189223</v>
      </c>
      <c r="T1979" s="754">
        <f t="shared" si="263"/>
        <v>2386799</v>
      </c>
      <c r="U1979" s="859"/>
      <c r="V1979" s="863"/>
      <c r="W1979" s="859"/>
      <c r="X1979" s="859"/>
      <c r="Y1979" s="755">
        <f t="shared" si="259"/>
        <v>0</v>
      </c>
      <c r="Z1979" s="864"/>
      <c r="AA1979" s="863"/>
      <c r="AB1979" s="756">
        <f t="shared" si="260"/>
        <v>0</v>
      </c>
      <c r="AC1979" s="859"/>
      <c r="AD1979" s="863"/>
      <c r="AE1979" s="859"/>
      <c r="AF1979" s="859"/>
      <c r="AG1979" s="864"/>
      <c r="AH1979" s="865"/>
      <c r="AI1979" s="757">
        <f t="shared" si="264"/>
        <v>2189223</v>
      </c>
      <c r="AJ1979" s="758">
        <f t="shared" si="265"/>
        <v>2386799</v>
      </c>
    </row>
    <row r="1980" spans="1:36" x14ac:dyDescent="0.2">
      <c r="A1980" s="1217" t="s">
        <v>153</v>
      </c>
      <c r="B1980" s="1218" t="s">
        <v>264</v>
      </c>
      <c r="C1980" s="1218" t="s">
        <v>1345</v>
      </c>
      <c r="D1980" s="1242"/>
      <c r="E1980" s="1221">
        <v>198923</v>
      </c>
      <c r="F1980" s="1222">
        <v>10</v>
      </c>
      <c r="G1980" s="859">
        <v>5636835</v>
      </c>
      <c r="H1980" s="860">
        <v>5208609</v>
      </c>
      <c r="I1980" s="861"/>
      <c r="J1980" s="862"/>
      <c r="K1980" s="859">
        <v>853688</v>
      </c>
      <c r="L1980" s="863">
        <v>881290</v>
      </c>
      <c r="M1980" s="859">
        <v>1983033</v>
      </c>
      <c r="N1980" s="859"/>
      <c r="O1980" s="752">
        <f t="shared" si="258"/>
        <v>1983033</v>
      </c>
      <c r="P1980" s="862">
        <v>1987182</v>
      </c>
      <c r="Q1980" s="860"/>
      <c r="R1980" s="753">
        <f t="shared" si="261"/>
        <v>1987182</v>
      </c>
      <c r="S1980" s="752">
        <f t="shared" si="262"/>
        <v>8473556</v>
      </c>
      <c r="T1980" s="754">
        <f t="shared" si="263"/>
        <v>8077081</v>
      </c>
      <c r="U1980" s="859"/>
      <c r="V1980" s="863"/>
      <c r="W1980" s="859"/>
      <c r="X1980" s="859"/>
      <c r="Y1980" s="755">
        <f t="shared" si="259"/>
        <v>0</v>
      </c>
      <c r="Z1980" s="864"/>
      <c r="AA1980" s="863"/>
      <c r="AB1980" s="756">
        <f t="shared" si="260"/>
        <v>0</v>
      </c>
      <c r="AC1980" s="859"/>
      <c r="AD1980" s="863"/>
      <c r="AE1980" s="859"/>
      <c r="AF1980" s="859"/>
      <c r="AG1980" s="864"/>
      <c r="AH1980" s="865"/>
      <c r="AI1980" s="757">
        <f t="shared" si="264"/>
        <v>8473556</v>
      </c>
      <c r="AJ1980" s="758">
        <f t="shared" si="265"/>
        <v>8077081</v>
      </c>
    </row>
    <row r="1981" spans="1:36" x14ac:dyDescent="0.2">
      <c r="A1981" s="1217" t="s">
        <v>153</v>
      </c>
      <c r="B1981" s="1218" t="s">
        <v>264</v>
      </c>
      <c r="C1981" s="1223" t="s">
        <v>1300</v>
      </c>
      <c r="D1981" s="1224"/>
      <c r="E1981" s="1221">
        <v>198923</v>
      </c>
      <c r="F1981" s="1222">
        <v>10</v>
      </c>
      <c r="G1981" s="859"/>
      <c r="H1981" s="860"/>
      <c r="I1981" s="861"/>
      <c r="J1981" s="862"/>
      <c r="K1981" s="859"/>
      <c r="L1981" s="863"/>
      <c r="M1981" s="859"/>
      <c r="N1981" s="859"/>
      <c r="O1981" s="752">
        <f t="shared" si="258"/>
        <v>0</v>
      </c>
      <c r="P1981" s="862"/>
      <c r="Q1981" s="860"/>
      <c r="R1981" s="753">
        <f t="shared" si="261"/>
        <v>0</v>
      </c>
      <c r="S1981" s="752">
        <f t="shared" si="262"/>
        <v>0</v>
      </c>
      <c r="T1981" s="754">
        <f t="shared" si="263"/>
        <v>0</v>
      </c>
      <c r="U1981" s="859"/>
      <c r="V1981" s="863"/>
      <c r="W1981" s="859"/>
      <c r="X1981" s="859"/>
      <c r="Y1981" s="755">
        <f t="shared" si="259"/>
        <v>0</v>
      </c>
      <c r="Z1981" s="864"/>
      <c r="AA1981" s="863"/>
      <c r="AB1981" s="756">
        <f t="shared" si="260"/>
        <v>0</v>
      </c>
      <c r="AC1981" s="859"/>
      <c r="AD1981" s="863"/>
      <c r="AE1981" s="859"/>
      <c r="AF1981" s="859"/>
      <c r="AG1981" s="864"/>
      <c r="AH1981" s="865"/>
      <c r="AI1981" s="757">
        <f t="shared" si="264"/>
        <v>0</v>
      </c>
      <c r="AJ1981" s="758">
        <f t="shared" si="265"/>
        <v>0</v>
      </c>
    </row>
    <row r="1982" spans="1:36" x14ac:dyDescent="0.2">
      <c r="A1982" s="1217" t="s">
        <v>153</v>
      </c>
      <c r="B1982" s="1218" t="s">
        <v>266</v>
      </c>
      <c r="C1982" s="1223" t="s">
        <v>319</v>
      </c>
      <c r="D1982" s="1224"/>
      <c r="E1982" s="1221">
        <v>198923</v>
      </c>
      <c r="F1982" s="1222">
        <v>10</v>
      </c>
      <c r="G1982" s="859"/>
      <c r="H1982" s="860"/>
      <c r="I1982" s="861">
        <v>143506</v>
      </c>
      <c r="J1982" s="862">
        <v>148734</v>
      </c>
      <c r="K1982" s="859"/>
      <c r="L1982" s="863"/>
      <c r="M1982" s="859"/>
      <c r="N1982" s="859"/>
      <c r="O1982" s="752">
        <f t="shared" si="258"/>
        <v>0</v>
      </c>
      <c r="P1982" s="862"/>
      <c r="Q1982" s="860"/>
      <c r="R1982" s="753">
        <f t="shared" si="261"/>
        <v>0</v>
      </c>
      <c r="S1982" s="752">
        <f t="shared" si="262"/>
        <v>143506</v>
      </c>
      <c r="T1982" s="754">
        <f t="shared" si="263"/>
        <v>148734</v>
      </c>
      <c r="U1982" s="859"/>
      <c r="V1982" s="863"/>
      <c r="W1982" s="859"/>
      <c r="X1982" s="859"/>
      <c r="Y1982" s="755">
        <f t="shared" si="259"/>
        <v>0</v>
      </c>
      <c r="Z1982" s="864"/>
      <c r="AA1982" s="863"/>
      <c r="AB1982" s="756">
        <f t="shared" si="260"/>
        <v>0</v>
      </c>
      <c r="AC1982" s="859"/>
      <c r="AD1982" s="863"/>
      <c r="AE1982" s="859"/>
      <c r="AF1982" s="859"/>
      <c r="AG1982" s="864"/>
      <c r="AH1982" s="865"/>
      <c r="AI1982" s="757">
        <f t="shared" si="264"/>
        <v>143506</v>
      </c>
      <c r="AJ1982" s="758">
        <f t="shared" si="265"/>
        <v>148734</v>
      </c>
    </row>
    <row r="1983" spans="1:36" x14ac:dyDescent="0.2">
      <c r="A1983" s="1217" t="s">
        <v>153</v>
      </c>
      <c r="B1983" s="1218" t="s">
        <v>275</v>
      </c>
      <c r="C1983" s="1223" t="s">
        <v>258</v>
      </c>
      <c r="D1983" s="1224"/>
      <c r="E1983" s="1221">
        <v>198923</v>
      </c>
      <c r="F1983" s="1222">
        <v>10</v>
      </c>
      <c r="G1983" s="859"/>
      <c r="H1983" s="860"/>
      <c r="I1983" s="861">
        <v>1188896</v>
      </c>
      <c r="J1983" s="862">
        <v>1017433</v>
      </c>
      <c r="K1983" s="859"/>
      <c r="L1983" s="863"/>
      <c r="M1983" s="859">
        <v>41522</v>
      </c>
      <c r="N1983" s="859"/>
      <c r="O1983" s="752">
        <f t="shared" si="258"/>
        <v>41522</v>
      </c>
      <c r="P1983" s="862">
        <v>148176</v>
      </c>
      <c r="Q1983" s="860"/>
      <c r="R1983" s="753">
        <f t="shared" si="261"/>
        <v>148176</v>
      </c>
      <c r="S1983" s="752">
        <f t="shared" si="262"/>
        <v>1230418</v>
      </c>
      <c r="T1983" s="754">
        <f t="shared" si="263"/>
        <v>1165609</v>
      </c>
      <c r="U1983" s="859"/>
      <c r="V1983" s="863"/>
      <c r="W1983" s="859"/>
      <c r="X1983" s="859"/>
      <c r="Y1983" s="755">
        <f t="shared" si="259"/>
        <v>0</v>
      </c>
      <c r="Z1983" s="864"/>
      <c r="AA1983" s="863"/>
      <c r="AB1983" s="756">
        <f t="shared" si="260"/>
        <v>0</v>
      </c>
      <c r="AC1983" s="859"/>
      <c r="AD1983" s="863"/>
      <c r="AE1983" s="859"/>
      <c r="AF1983" s="859"/>
      <c r="AG1983" s="864"/>
      <c r="AH1983" s="865"/>
      <c r="AI1983" s="757">
        <f t="shared" si="264"/>
        <v>1230418</v>
      </c>
      <c r="AJ1983" s="758">
        <f t="shared" si="265"/>
        <v>1165609</v>
      </c>
    </row>
    <row r="1984" spans="1:36" x14ac:dyDescent="0.2">
      <c r="A1984" s="1217" t="s">
        <v>153</v>
      </c>
      <c r="B1984" s="1218" t="s">
        <v>264</v>
      </c>
      <c r="C1984" s="1218" t="s">
        <v>1346</v>
      </c>
      <c r="D1984" s="1242"/>
      <c r="E1984" s="1221">
        <v>199023</v>
      </c>
      <c r="F1984" s="1222">
        <v>10</v>
      </c>
      <c r="G1984" s="859">
        <v>3823136</v>
      </c>
      <c r="H1984" s="860">
        <v>3784302</v>
      </c>
      <c r="I1984" s="861"/>
      <c r="J1984" s="862"/>
      <c r="K1984" s="859">
        <v>756375</v>
      </c>
      <c r="L1984" s="863">
        <v>784000</v>
      </c>
      <c r="M1984" s="859">
        <v>1243638</v>
      </c>
      <c r="N1984" s="859"/>
      <c r="O1984" s="752">
        <f t="shared" si="258"/>
        <v>1243638</v>
      </c>
      <c r="P1984" s="862">
        <v>1227484</v>
      </c>
      <c r="Q1984" s="860"/>
      <c r="R1984" s="753">
        <f t="shared" si="261"/>
        <v>1227484</v>
      </c>
      <c r="S1984" s="752">
        <f t="shared" si="262"/>
        <v>5823149</v>
      </c>
      <c r="T1984" s="754">
        <f t="shared" si="263"/>
        <v>5795786</v>
      </c>
      <c r="U1984" s="859"/>
      <c r="V1984" s="863"/>
      <c r="W1984" s="859"/>
      <c r="X1984" s="859"/>
      <c r="Y1984" s="755">
        <f t="shared" si="259"/>
        <v>0</v>
      </c>
      <c r="Z1984" s="864"/>
      <c r="AA1984" s="863"/>
      <c r="AB1984" s="756">
        <f t="shared" si="260"/>
        <v>0</v>
      </c>
      <c r="AC1984" s="859"/>
      <c r="AD1984" s="863"/>
      <c r="AE1984" s="859"/>
      <c r="AF1984" s="859"/>
      <c r="AG1984" s="864"/>
      <c r="AH1984" s="865"/>
      <c r="AI1984" s="757">
        <f t="shared" si="264"/>
        <v>5823149</v>
      </c>
      <c r="AJ1984" s="758">
        <f t="shared" si="265"/>
        <v>5795786</v>
      </c>
    </row>
    <row r="1985" spans="1:36" x14ac:dyDescent="0.2">
      <c r="A1985" s="1217" t="s">
        <v>153</v>
      </c>
      <c r="B1985" s="1218" t="s">
        <v>264</v>
      </c>
      <c r="C1985" s="1223" t="s">
        <v>1300</v>
      </c>
      <c r="D1985" s="1224"/>
      <c r="E1985" s="1221">
        <v>199023</v>
      </c>
      <c r="F1985" s="1222">
        <v>10</v>
      </c>
      <c r="G1985" s="859"/>
      <c r="H1985" s="860"/>
      <c r="I1985" s="861"/>
      <c r="J1985" s="862"/>
      <c r="K1985" s="859"/>
      <c r="L1985" s="863"/>
      <c r="M1985" s="859"/>
      <c r="N1985" s="859"/>
      <c r="O1985" s="752">
        <f t="shared" si="258"/>
        <v>0</v>
      </c>
      <c r="P1985" s="862"/>
      <c r="Q1985" s="860"/>
      <c r="R1985" s="753">
        <f t="shared" si="261"/>
        <v>0</v>
      </c>
      <c r="S1985" s="752">
        <f t="shared" si="262"/>
        <v>0</v>
      </c>
      <c r="T1985" s="754">
        <f t="shared" si="263"/>
        <v>0</v>
      </c>
      <c r="U1985" s="859"/>
      <c r="V1985" s="863"/>
      <c r="W1985" s="859"/>
      <c r="X1985" s="859"/>
      <c r="Y1985" s="755">
        <f t="shared" si="259"/>
        <v>0</v>
      </c>
      <c r="Z1985" s="864"/>
      <c r="AA1985" s="863"/>
      <c r="AB1985" s="756">
        <f t="shared" si="260"/>
        <v>0</v>
      </c>
      <c r="AC1985" s="859"/>
      <c r="AD1985" s="863"/>
      <c r="AE1985" s="859"/>
      <c r="AF1985" s="859"/>
      <c r="AG1985" s="864"/>
      <c r="AH1985" s="865"/>
      <c r="AI1985" s="757">
        <f t="shared" si="264"/>
        <v>0</v>
      </c>
      <c r="AJ1985" s="758">
        <f t="shared" si="265"/>
        <v>0</v>
      </c>
    </row>
    <row r="1986" spans="1:36" x14ac:dyDescent="0.2">
      <c r="A1986" s="1217" t="s">
        <v>153</v>
      </c>
      <c r="B1986" s="1218" t="s">
        <v>266</v>
      </c>
      <c r="C1986" s="1223" t="s">
        <v>319</v>
      </c>
      <c r="D1986" s="1224"/>
      <c r="E1986" s="1221">
        <v>199023</v>
      </c>
      <c r="F1986" s="1222">
        <v>10</v>
      </c>
      <c r="G1986" s="859"/>
      <c r="H1986" s="860"/>
      <c r="I1986" s="861">
        <v>149015</v>
      </c>
      <c r="J1986" s="862">
        <v>151530</v>
      </c>
      <c r="K1986" s="859"/>
      <c r="L1986" s="863"/>
      <c r="M1986" s="859"/>
      <c r="N1986" s="859"/>
      <c r="O1986" s="752">
        <f t="shared" si="258"/>
        <v>0</v>
      </c>
      <c r="P1986" s="862"/>
      <c r="Q1986" s="860"/>
      <c r="R1986" s="753">
        <f t="shared" si="261"/>
        <v>0</v>
      </c>
      <c r="S1986" s="752">
        <f t="shared" si="262"/>
        <v>149015</v>
      </c>
      <c r="T1986" s="754">
        <f t="shared" si="263"/>
        <v>151530</v>
      </c>
      <c r="U1986" s="859"/>
      <c r="V1986" s="863"/>
      <c r="W1986" s="859"/>
      <c r="X1986" s="859"/>
      <c r="Y1986" s="755">
        <f t="shared" si="259"/>
        <v>0</v>
      </c>
      <c r="Z1986" s="864"/>
      <c r="AA1986" s="863"/>
      <c r="AB1986" s="756">
        <f t="shared" si="260"/>
        <v>0</v>
      </c>
      <c r="AC1986" s="859"/>
      <c r="AD1986" s="863"/>
      <c r="AE1986" s="859"/>
      <c r="AF1986" s="859"/>
      <c r="AG1986" s="864"/>
      <c r="AH1986" s="865"/>
      <c r="AI1986" s="757">
        <f t="shared" si="264"/>
        <v>149015</v>
      </c>
      <c r="AJ1986" s="758">
        <f t="shared" si="265"/>
        <v>151530</v>
      </c>
    </row>
    <row r="1987" spans="1:36" x14ac:dyDescent="0.2">
      <c r="A1987" s="1217" t="s">
        <v>153</v>
      </c>
      <c r="B1987" s="1218" t="s">
        <v>275</v>
      </c>
      <c r="C1987" s="1223" t="s">
        <v>258</v>
      </c>
      <c r="D1987" s="1224"/>
      <c r="E1987" s="1221">
        <v>199023</v>
      </c>
      <c r="F1987" s="1222">
        <v>10</v>
      </c>
      <c r="G1987" s="859"/>
      <c r="H1987" s="860"/>
      <c r="I1987" s="861">
        <v>936250</v>
      </c>
      <c r="J1987" s="862">
        <v>887137</v>
      </c>
      <c r="K1987" s="859"/>
      <c r="L1987" s="863"/>
      <c r="M1987" s="859">
        <v>95443</v>
      </c>
      <c r="N1987" s="859"/>
      <c r="O1987" s="752">
        <f t="shared" si="258"/>
        <v>95443</v>
      </c>
      <c r="P1987" s="862">
        <v>157675</v>
      </c>
      <c r="Q1987" s="860"/>
      <c r="R1987" s="753">
        <f t="shared" si="261"/>
        <v>157675</v>
      </c>
      <c r="S1987" s="752">
        <f t="shared" si="262"/>
        <v>1031693</v>
      </c>
      <c r="T1987" s="754">
        <f t="shared" si="263"/>
        <v>1044812</v>
      </c>
      <c r="U1987" s="859"/>
      <c r="V1987" s="863"/>
      <c r="W1987" s="859"/>
      <c r="X1987" s="859"/>
      <c r="Y1987" s="755">
        <f t="shared" si="259"/>
        <v>0</v>
      </c>
      <c r="Z1987" s="864"/>
      <c r="AA1987" s="863"/>
      <c r="AB1987" s="756">
        <f t="shared" si="260"/>
        <v>0</v>
      </c>
      <c r="AC1987" s="859"/>
      <c r="AD1987" s="863"/>
      <c r="AE1987" s="859"/>
      <c r="AF1987" s="859"/>
      <c r="AG1987" s="864"/>
      <c r="AH1987" s="865"/>
      <c r="AI1987" s="757">
        <f t="shared" si="264"/>
        <v>1031693</v>
      </c>
      <c r="AJ1987" s="758">
        <f t="shared" si="265"/>
        <v>1044812</v>
      </c>
    </row>
    <row r="1988" spans="1:36" x14ac:dyDescent="0.2">
      <c r="A1988" s="1217" t="s">
        <v>153</v>
      </c>
      <c r="B1988" s="1218" t="s">
        <v>264</v>
      </c>
      <c r="C1988" s="1218" t="s">
        <v>1347</v>
      </c>
      <c r="D1988" s="1242"/>
      <c r="E1988" s="1221">
        <v>199263</v>
      </c>
      <c r="F1988" s="1222">
        <v>10</v>
      </c>
      <c r="G1988" s="859">
        <v>3238464</v>
      </c>
      <c r="H1988" s="860">
        <v>3134781</v>
      </c>
      <c r="I1988" s="861"/>
      <c r="J1988" s="862"/>
      <c r="K1988" s="859">
        <v>532033</v>
      </c>
      <c r="L1988" s="863">
        <v>547993</v>
      </c>
      <c r="M1988" s="859">
        <v>506043</v>
      </c>
      <c r="N1988" s="859"/>
      <c r="O1988" s="752">
        <f t="shared" si="258"/>
        <v>506043</v>
      </c>
      <c r="P1988" s="862">
        <v>859420</v>
      </c>
      <c r="Q1988" s="860"/>
      <c r="R1988" s="753">
        <f t="shared" si="261"/>
        <v>859420</v>
      </c>
      <c r="S1988" s="752">
        <f t="shared" si="262"/>
        <v>4276540</v>
      </c>
      <c r="T1988" s="754">
        <f t="shared" si="263"/>
        <v>4542194</v>
      </c>
      <c r="U1988" s="859"/>
      <c r="V1988" s="863"/>
      <c r="W1988" s="859"/>
      <c r="X1988" s="859"/>
      <c r="Y1988" s="755">
        <f t="shared" si="259"/>
        <v>0</v>
      </c>
      <c r="Z1988" s="864"/>
      <c r="AA1988" s="863"/>
      <c r="AB1988" s="756">
        <f t="shared" si="260"/>
        <v>0</v>
      </c>
      <c r="AC1988" s="859"/>
      <c r="AD1988" s="863"/>
      <c r="AE1988" s="859"/>
      <c r="AF1988" s="859"/>
      <c r="AG1988" s="864"/>
      <c r="AH1988" s="865"/>
      <c r="AI1988" s="757">
        <f t="shared" si="264"/>
        <v>4276540</v>
      </c>
      <c r="AJ1988" s="758">
        <f t="shared" si="265"/>
        <v>4542194</v>
      </c>
    </row>
    <row r="1989" spans="1:36" x14ac:dyDescent="0.2">
      <c r="A1989" s="1217" t="s">
        <v>153</v>
      </c>
      <c r="B1989" s="1218" t="s">
        <v>264</v>
      </c>
      <c r="C1989" s="1223" t="s">
        <v>1300</v>
      </c>
      <c r="D1989" s="1224"/>
      <c r="E1989" s="1221">
        <v>199263</v>
      </c>
      <c r="F1989" s="1222">
        <v>10</v>
      </c>
      <c r="G1989" s="859"/>
      <c r="H1989" s="860"/>
      <c r="I1989" s="861"/>
      <c r="J1989" s="862"/>
      <c r="K1989" s="859"/>
      <c r="L1989" s="863"/>
      <c r="M1989" s="859"/>
      <c r="N1989" s="859"/>
      <c r="O1989" s="752">
        <f t="shared" si="258"/>
        <v>0</v>
      </c>
      <c r="P1989" s="862"/>
      <c r="Q1989" s="860"/>
      <c r="R1989" s="753">
        <f t="shared" si="261"/>
        <v>0</v>
      </c>
      <c r="S1989" s="752">
        <f t="shared" si="262"/>
        <v>0</v>
      </c>
      <c r="T1989" s="754">
        <f t="shared" si="263"/>
        <v>0</v>
      </c>
      <c r="U1989" s="859"/>
      <c r="V1989" s="863"/>
      <c r="W1989" s="859"/>
      <c r="X1989" s="859"/>
      <c r="Y1989" s="755">
        <f t="shared" si="259"/>
        <v>0</v>
      </c>
      <c r="Z1989" s="864"/>
      <c r="AA1989" s="863"/>
      <c r="AB1989" s="756">
        <f t="shared" si="260"/>
        <v>0</v>
      </c>
      <c r="AC1989" s="859"/>
      <c r="AD1989" s="863"/>
      <c r="AE1989" s="859"/>
      <c r="AF1989" s="859"/>
      <c r="AG1989" s="864"/>
      <c r="AH1989" s="865"/>
      <c r="AI1989" s="757">
        <f t="shared" si="264"/>
        <v>0</v>
      </c>
      <c r="AJ1989" s="758">
        <f t="shared" si="265"/>
        <v>0</v>
      </c>
    </row>
    <row r="1990" spans="1:36" x14ac:dyDescent="0.2">
      <c r="A1990" s="1217" t="s">
        <v>153</v>
      </c>
      <c r="B1990" s="1218" t="s">
        <v>266</v>
      </c>
      <c r="C1990" s="1223" t="s">
        <v>319</v>
      </c>
      <c r="D1990" s="1224"/>
      <c r="E1990" s="1221">
        <v>199263</v>
      </c>
      <c r="F1990" s="1222">
        <v>10</v>
      </c>
      <c r="G1990" s="859"/>
      <c r="H1990" s="860"/>
      <c r="I1990" s="861">
        <v>97515</v>
      </c>
      <c r="J1990" s="862">
        <v>98788</v>
      </c>
      <c r="K1990" s="859"/>
      <c r="L1990" s="863"/>
      <c r="M1990" s="859"/>
      <c r="N1990" s="859"/>
      <c r="O1990" s="752">
        <f t="shared" si="258"/>
        <v>0</v>
      </c>
      <c r="P1990" s="862"/>
      <c r="Q1990" s="860"/>
      <c r="R1990" s="753">
        <f t="shared" si="261"/>
        <v>0</v>
      </c>
      <c r="S1990" s="752">
        <f t="shared" si="262"/>
        <v>97515</v>
      </c>
      <c r="T1990" s="754">
        <f t="shared" si="263"/>
        <v>98788</v>
      </c>
      <c r="U1990" s="859"/>
      <c r="V1990" s="863"/>
      <c r="W1990" s="859"/>
      <c r="X1990" s="859"/>
      <c r="Y1990" s="755">
        <f t="shared" si="259"/>
        <v>0</v>
      </c>
      <c r="Z1990" s="864"/>
      <c r="AA1990" s="863"/>
      <c r="AB1990" s="756">
        <f t="shared" si="260"/>
        <v>0</v>
      </c>
      <c r="AC1990" s="859"/>
      <c r="AD1990" s="863"/>
      <c r="AE1990" s="859"/>
      <c r="AF1990" s="859"/>
      <c r="AG1990" s="864"/>
      <c r="AH1990" s="865"/>
      <c r="AI1990" s="757">
        <f t="shared" si="264"/>
        <v>97515</v>
      </c>
      <c r="AJ1990" s="758">
        <f t="shared" si="265"/>
        <v>98788</v>
      </c>
    </row>
    <row r="1991" spans="1:36" x14ac:dyDescent="0.2">
      <c r="A1991" s="1217" t="s">
        <v>153</v>
      </c>
      <c r="B1991" s="1218" t="s">
        <v>275</v>
      </c>
      <c r="C1991" s="1223" t="s">
        <v>258</v>
      </c>
      <c r="D1991" s="1224"/>
      <c r="E1991" s="1221">
        <v>199263</v>
      </c>
      <c r="F1991" s="1222">
        <v>10</v>
      </c>
      <c r="G1991" s="859"/>
      <c r="H1991" s="860"/>
      <c r="I1991" s="861">
        <v>715622</v>
      </c>
      <c r="J1991" s="862">
        <v>723598</v>
      </c>
      <c r="K1991" s="859"/>
      <c r="L1991" s="863"/>
      <c r="M1991" s="859">
        <v>28903</v>
      </c>
      <c r="N1991" s="859"/>
      <c r="O1991" s="752">
        <f t="shared" si="258"/>
        <v>28903</v>
      </c>
      <c r="P1991" s="862">
        <v>114615</v>
      </c>
      <c r="Q1991" s="860"/>
      <c r="R1991" s="753">
        <f t="shared" si="261"/>
        <v>114615</v>
      </c>
      <c r="S1991" s="752">
        <f t="shared" si="262"/>
        <v>744525</v>
      </c>
      <c r="T1991" s="754">
        <f t="shared" si="263"/>
        <v>838213</v>
      </c>
      <c r="U1991" s="859"/>
      <c r="V1991" s="863"/>
      <c r="W1991" s="859"/>
      <c r="X1991" s="859"/>
      <c r="Y1991" s="755">
        <f t="shared" si="259"/>
        <v>0</v>
      </c>
      <c r="Z1991" s="864"/>
      <c r="AA1991" s="863"/>
      <c r="AB1991" s="756">
        <f t="shared" si="260"/>
        <v>0</v>
      </c>
      <c r="AC1991" s="859"/>
      <c r="AD1991" s="863"/>
      <c r="AE1991" s="859"/>
      <c r="AF1991" s="859"/>
      <c r="AG1991" s="864"/>
      <c r="AH1991" s="865"/>
      <c r="AI1991" s="757">
        <f t="shared" si="264"/>
        <v>744525</v>
      </c>
      <c r="AJ1991" s="758">
        <f t="shared" si="265"/>
        <v>838213</v>
      </c>
    </row>
    <row r="1992" spans="1:36" x14ac:dyDescent="0.2">
      <c r="A1992" s="1217" t="s">
        <v>153</v>
      </c>
      <c r="B1992" s="1218" t="s">
        <v>264</v>
      </c>
      <c r="C1992" s="1303" t="s">
        <v>1348</v>
      </c>
      <c r="D1992" s="1304"/>
      <c r="E1992" s="1221">
        <v>199324</v>
      </c>
      <c r="F1992" s="1231">
        <v>10</v>
      </c>
      <c r="G1992" s="859">
        <v>9557969</v>
      </c>
      <c r="H1992" s="860">
        <v>7910007</v>
      </c>
      <c r="I1992" s="861"/>
      <c r="J1992" s="862"/>
      <c r="K1992" s="859">
        <v>1246263</v>
      </c>
      <c r="L1992" s="863">
        <v>1246263</v>
      </c>
      <c r="M1992" s="859">
        <v>2750860</v>
      </c>
      <c r="N1992" s="859"/>
      <c r="O1992" s="752">
        <f t="shared" si="258"/>
        <v>2750860</v>
      </c>
      <c r="P1992" s="862">
        <v>2833910</v>
      </c>
      <c r="Q1992" s="860"/>
      <c r="R1992" s="753">
        <f t="shared" si="261"/>
        <v>2833910</v>
      </c>
      <c r="S1992" s="752">
        <f t="shared" si="262"/>
        <v>13555092</v>
      </c>
      <c r="T1992" s="754">
        <f t="shared" si="263"/>
        <v>11990180</v>
      </c>
      <c r="U1992" s="859"/>
      <c r="V1992" s="863"/>
      <c r="W1992" s="859"/>
      <c r="X1992" s="859"/>
      <c r="Y1992" s="755">
        <f t="shared" si="259"/>
        <v>0</v>
      </c>
      <c r="Z1992" s="864"/>
      <c r="AA1992" s="863"/>
      <c r="AB1992" s="756">
        <f t="shared" si="260"/>
        <v>0</v>
      </c>
      <c r="AC1992" s="859"/>
      <c r="AD1992" s="863"/>
      <c r="AE1992" s="859"/>
      <c r="AF1992" s="859"/>
      <c r="AG1992" s="864"/>
      <c r="AH1992" s="865"/>
      <c r="AI1992" s="757">
        <f t="shared" si="264"/>
        <v>13555092</v>
      </c>
      <c r="AJ1992" s="758">
        <f t="shared" si="265"/>
        <v>11990180</v>
      </c>
    </row>
    <row r="1993" spans="1:36" x14ac:dyDescent="0.2">
      <c r="A1993" s="1217" t="s">
        <v>153</v>
      </c>
      <c r="B1993" s="1218" t="s">
        <v>264</v>
      </c>
      <c r="C1993" s="1223" t="s">
        <v>1300</v>
      </c>
      <c r="D1993" s="1224"/>
      <c r="E1993" s="1221">
        <v>199324</v>
      </c>
      <c r="F1993" s="1231">
        <v>10</v>
      </c>
      <c r="G1993" s="859"/>
      <c r="H1993" s="860"/>
      <c r="I1993" s="861"/>
      <c r="J1993" s="862"/>
      <c r="K1993" s="859"/>
      <c r="L1993" s="863"/>
      <c r="M1993" s="859"/>
      <c r="N1993" s="859"/>
      <c r="O1993" s="752">
        <f t="shared" si="258"/>
        <v>0</v>
      </c>
      <c r="P1993" s="862"/>
      <c r="Q1993" s="860"/>
      <c r="R1993" s="753">
        <f t="shared" si="261"/>
        <v>0</v>
      </c>
      <c r="S1993" s="752">
        <f t="shared" si="262"/>
        <v>0</v>
      </c>
      <c r="T1993" s="754">
        <f t="shared" si="263"/>
        <v>0</v>
      </c>
      <c r="U1993" s="859"/>
      <c r="V1993" s="863"/>
      <c r="W1993" s="859"/>
      <c r="X1993" s="859"/>
      <c r="Y1993" s="755">
        <f t="shared" si="259"/>
        <v>0</v>
      </c>
      <c r="Z1993" s="864"/>
      <c r="AA1993" s="863"/>
      <c r="AB1993" s="756">
        <f t="shared" si="260"/>
        <v>0</v>
      </c>
      <c r="AC1993" s="859"/>
      <c r="AD1993" s="863"/>
      <c r="AE1993" s="859"/>
      <c r="AF1993" s="859"/>
      <c r="AG1993" s="864"/>
      <c r="AH1993" s="865"/>
      <c r="AI1993" s="757">
        <f t="shared" si="264"/>
        <v>0</v>
      </c>
      <c r="AJ1993" s="758">
        <f t="shared" si="265"/>
        <v>0</v>
      </c>
    </row>
    <row r="1994" spans="1:36" x14ac:dyDescent="0.2">
      <c r="A1994" s="1217" t="s">
        <v>153</v>
      </c>
      <c r="B1994" s="1218" t="s">
        <v>266</v>
      </c>
      <c r="C1994" s="1223" t="s">
        <v>319</v>
      </c>
      <c r="D1994" s="1224"/>
      <c r="E1994" s="1221">
        <v>199324</v>
      </c>
      <c r="F1994" s="1231">
        <v>10</v>
      </c>
      <c r="G1994" s="859"/>
      <c r="H1994" s="860"/>
      <c r="I1994" s="861">
        <v>147581</v>
      </c>
      <c r="J1994" s="862">
        <v>146612</v>
      </c>
      <c r="K1994" s="859"/>
      <c r="L1994" s="863"/>
      <c r="M1994" s="859"/>
      <c r="N1994" s="859"/>
      <c r="O1994" s="752">
        <f t="shared" si="258"/>
        <v>0</v>
      </c>
      <c r="P1994" s="862"/>
      <c r="Q1994" s="860"/>
      <c r="R1994" s="753">
        <f t="shared" si="261"/>
        <v>0</v>
      </c>
      <c r="S1994" s="752">
        <f t="shared" si="262"/>
        <v>147581</v>
      </c>
      <c r="T1994" s="754">
        <f t="shared" si="263"/>
        <v>146612</v>
      </c>
      <c r="U1994" s="859"/>
      <c r="V1994" s="863"/>
      <c r="W1994" s="859"/>
      <c r="X1994" s="859"/>
      <c r="Y1994" s="755">
        <f t="shared" si="259"/>
        <v>0</v>
      </c>
      <c r="Z1994" s="864"/>
      <c r="AA1994" s="863"/>
      <c r="AB1994" s="756">
        <f t="shared" si="260"/>
        <v>0</v>
      </c>
      <c r="AC1994" s="859"/>
      <c r="AD1994" s="863"/>
      <c r="AE1994" s="859"/>
      <c r="AF1994" s="859"/>
      <c r="AG1994" s="864"/>
      <c r="AH1994" s="865"/>
      <c r="AI1994" s="757">
        <f t="shared" si="264"/>
        <v>147581</v>
      </c>
      <c r="AJ1994" s="758">
        <f t="shared" si="265"/>
        <v>146612</v>
      </c>
    </row>
    <row r="1995" spans="1:36" x14ac:dyDescent="0.2">
      <c r="A1995" s="1217" t="s">
        <v>153</v>
      </c>
      <c r="B1995" s="1218" t="s">
        <v>275</v>
      </c>
      <c r="C1995" s="1223" t="s">
        <v>258</v>
      </c>
      <c r="D1995" s="1224"/>
      <c r="E1995" s="1221">
        <v>199324</v>
      </c>
      <c r="F1995" s="1231">
        <v>10</v>
      </c>
      <c r="G1995" s="859"/>
      <c r="H1995" s="860"/>
      <c r="I1995" s="861">
        <v>1760353</v>
      </c>
      <c r="J1995" s="862">
        <v>1998952</v>
      </c>
      <c r="K1995" s="859"/>
      <c r="L1995" s="863"/>
      <c r="M1995" s="859">
        <v>217384</v>
      </c>
      <c r="N1995" s="859"/>
      <c r="O1995" s="752">
        <f t="shared" ref="O1995:O2058" si="266">SUM(M1995:N1995)</f>
        <v>217384</v>
      </c>
      <c r="P1995" s="862">
        <v>378039</v>
      </c>
      <c r="Q1995" s="860"/>
      <c r="R1995" s="753">
        <f t="shared" si="261"/>
        <v>378039</v>
      </c>
      <c r="S1995" s="752">
        <f t="shared" si="262"/>
        <v>1977737</v>
      </c>
      <c r="T1995" s="754">
        <f t="shared" si="263"/>
        <v>2376991</v>
      </c>
      <c r="U1995" s="859"/>
      <c r="V1995" s="863"/>
      <c r="W1995" s="859"/>
      <c r="X1995" s="859"/>
      <c r="Y1995" s="755">
        <f t="shared" ref="Y1995:Y2058" si="267">SUM(W1995:X1995)</f>
        <v>0</v>
      </c>
      <c r="Z1995" s="864"/>
      <c r="AA1995" s="863"/>
      <c r="AB1995" s="756">
        <f t="shared" ref="AB1995:AB2058" si="268">SUM(Z1995:AA1995)</f>
        <v>0</v>
      </c>
      <c r="AC1995" s="859"/>
      <c r="AD1995" s="863"/>
      <c r="AE1995" s="859"/>
      <c r="AF1995" s="859"/>
      <c r="AG1995" s="864"/>
      <c r="AH1995" s="865"/>
      <c r="AI1995" s="757">
        <f t="shared" si="264"/>
        <v>1977737</v>
      </c>
      <c r="AJ1995" s="758">
        <f t="shared" si="265"/>
        <v>2376991</v>
      </c>
    </row>
    <row r="1996" spans="1:36" x14ac:dyDescent="0.2">
      <c r="A1996" s="1217" t="s">
        <v>153</v>
      </c>
      <c r="B1996" s="1218" t="s">
        <v>264</v>
      </c>
      <c r="C1996" s="1303" t="s">
        <v>1349</v>
      </c>
      <c r="D1996" s="1304" t="s">
        <v>1126</v>
      </c>
      <c r="E1996" s="1221">
        <v>199449</v>
      </c>
      <c r="F1996" s="1231">
        <v>10</v>
      </c>
      <c r="G1996" s="859">
        <v>8474026</v>
      </c>
      <c r="H1996" s="860">
        <v>8255809</v>
      </c>
      <c r="I1996" s="861"/>
      <c r="J1996" s="862"/>
      <c r="K1996" s="859">
        <v>2004573</v>
      </c>
      <c r="L1996" s="863">
        <v>1999285</v>
      </c>
      <c r="M1996" s="859">
        <v>3046413</v>
      </c>
      <c r="N1996" s="859"/>
      <c r="O1996" s="752">
        <f t="shared" si="266"/>
        <v>3046413</v>
      </c>
      <c r="P1996" s="862">
        <v>3542841</v>
      </c>
      <c r="Q1996" s="860"/>
      <c r="R1996" s="753">
        <f t="shared" ref="R1996:R2059" si="269">SUM(P1996:Q1996)</f>
        <v>3542841</v>
      </c>
      <c r="S1996" s="752">
        <f t="shared" ref="S1996:S2059" si="270">SUM(G1996,I1996,K1996,M1996)</f>
        <v>13525012</v>
      </c>
      <c r="T1996" s="754">
        <f t="shared" ref="T1996:T2059" si="271">SUM(H1996,J1996,L1996,P1996)</f>
        <v>13797935</v>
      </c>
      <c r="U1996" s="859"/>
      <c r="V1996" s="863"/>
      <c r="W1996" s="859"/>
      <c r="X1996" s="859"/>
      <c r="Y1996" s="755">
        <f t="shared" si="267"/>
        <v>0</v>
      </c>
      <c r="Z1996" s="864"/>
      <c r="AA1996" s="863"/>
      <c r="AB1996" s="756">
        <f t="shared" si="268"/>
        <v>0</v>
      </c>
      <c r="AC1996" s="859"/>
      <c r="AD1996" s="863"/>
      <c r="AE1996" s="859"/>
      <c r="AF1996" s="859"/>
      <c r="AG1996" s="864"/>
      <c r="AH1996" s="865"/>
      <c r="AI1996" s="757">
        <f t="shared" ref="AI1996:AI2059" si="272">SUM(S1996,U1996,W1996,AC1996,AE1996)</f>
        <v>13525012</v>
      </c>
      <c r="AJ1996" s="758">
        <f t="shared" ref="AJ1996:AJ2059" si="273">SUM(T1996,V1996,Z1996,AD1996,AG1996)</f>
        <v>13797935</v>
      </c>
    </row>
    <row r="1997" spans="1:36" x14ac:dyDescent="0.2">
      <c r="A1997" s="1217" t="s">
        <v>153</v>
      </c>
      <c r="B1997" s="1218" t="s">
        <v>264</v>
      </c>
      <c r="C1997" s="1223" t="s">
        <v>1300</v>
      </c>
      <c r="D1997" s="1224"/>
      <c r="E1997" s="1221">
        <v>199449</v>
      </c>
      <c r="F1997" s="1231">
        <v>10</v>
      </c>
      <c r="G1997" s="859"/>
      <c r="H1997" s="860"/>
      <c r="I1997" s="861"/>
      <c r="J1997" s="862"/>
      <c r="K1997" s="859"/>
      <c r="L1997" s="863"/>
      <c r="M1997" s="859"/>
      <c r="N1997" s="859"/>
      <c r="O1997" s="752">
        <f t="shared" si="266"/>
        <v>0</v>
      </c>
      <c r="P1997" s="862"/>
      <c r="Q1997" s="860"/>
      <c r="R1997" s="753">
        <f t="shared" si="269"/>
        <v>0</v>
      </c>
      <c r="S1997" s="752">
        <f t="shared" si="270"/>
        <v>0</v>
      </c>
      <c r="T1997" s="754">
        <f t="shared" si="271"/>
        <v>0</v>
      </c>
      <c r="U1997" s="859"/>
      <c r="V1997" s="863"/>
      <c r="W1997" s="859"/>
      <c r="X1997" s="859"/>
      <c r="Y1997" s="755">
        <f t="shared" si="267"/>
        <v>0</v>
      </c>
      <c r="Z1997" s="864"/>
      <c r="AA1997" s="863"/>
      <c r="AB1997" s="756">
        <f t="shared" si="268"/>
        <v>0</v>
      </c>
      <c r="AC1997" s="859"/>
      <c r="AD1997" s="863"/>
      <c r="AE1997" s="859"/>
      <c r="AF1997" s="859"/>
      <c r="AG1997" s="864"/>
      <c r="AH1997" s="865"/>
      <c r="AI1997" s="757">
        <f t="shared" si="272"/>
        <v>0</v>
      </c>
      <c r="AJ1997" s="758">
        <f t="shared" si="273"/>
        <v>0</v>
      </c>
    </row>
    <row r="1998" spans="1:36" x14ac:dyDescent="0.2">
      <c r="A1998" s="1217" t="s">
        <v>153</v>
      </c>
      <c r="B1998" s="1218" t="s">
        <v>266</v>
      </c>
      <c r="C1998" s="1223" t="s">
        <v>319</v>
      </c>
      <c r="D1998" s="1224"/>
      <c r="E1998" s="1221">
        <v>199449</v>
      </c>
      <c r="F1998" s="1231">
        <v>10</v>
      </c>
      <c r="G1998" s="859"/>
      <c r="H1998" s="860"/>
      <c r="I1998" s="861">
        <v>155138</v>
      </c>
      <c r="J1998" s="862">
        <v>156733</v>
      </c>
      <c r="K1998" s="859"/>
      <c r="L1998" s="863"/>
      <c r="M1998" s="859"/>
      <c r="N1998" s="859"/>
      <c r="O1998" s="752">
        <f t="shared" si="266"/>
        <v>0</v>
      </c>
      <c r="P1998" s="862"/>
      <c r="Q1998" s="860"/>
      <c r="R1998" s="753">
        <f t="shared" si="269"/>
        <v>0</v>
      </c>
      <c r="S1998" s="752">
        <f t="shared" si="270"/>
        <v>155138</v>
      </c>
      <c r="T1998" s="754">
        <f t="shared" si="271"/>
        <v>156733</v>
      </c>
      <c r="U1998" s="859"/>
      <c r="V1998" s="863"/>
      <c r="W1998" s="859"/>
      <c r="X1998" s="859"/>
      <c r="Y1998" s="755">
        <f t="shared" si="267"/>
        <v>0</v>
      </c>
      <c r="Z1998" s="864"/>
      <c r="AA1998" s="863"/>
      <c r="AB1998" s="756">
        <f t="shared" si="268"/>
        <v>0</v>
      </c>
      <c r="AC1998" s="859"/>
      <c r="AD1998" s="863"/>
      <c r="AE1998" s="859"/>
      <c r="AF1998" s="859"/>
      <c r="AG1998" s="864"/>
      <c r="AH1998" s="865"/>
      <c r="AI1998" s="757">
        <f t="shared" si="272"/>
        <v>155138</v>
      </c>
      <c r="AJ1998" s="758">
        <f t="shared" si="273"/>
        <v>156733</v>
      </c>
    </row>
    <row r="1999" spans="1:36" x14ac:dyDescent="0.2">
      <c r="A1999" s="1217" t="s">
        <v>153</v>
      </c>
      <c r="B1999" s="1218" t="s">
        <v>275</v>
      </c>
      <c r="C1999" s="1223" t="s">
        <v>258</v>
      </c>
      <c r="D1999" s="1224"/>
      <c r="E1999" s="1221">
        <v>199449</v>
      </c>
      <c r="F1999" s="1231">
        <v>10</v>
      </c>
      <c r="G1999" s="859"/>
      <c r="H1999" s="860"/>
      <c r="I1999" s="861">
        <v>2384084</v>
      </c>
      <c r="J1999" s="862">
        <v>2279520</v>
      </c>
      <c r="K1999" s="859"/>
      <c r="L1999" s="863"/>
      <c r="M1999" s="859">
        <v>84584</v>
      </c>
      <c r="N1999" s="859"/>
      <c r="O1999" s="752">
        <f t="shared" si="266"/>
        <v>84584</v>
      </c>
      <c r="P1999" s="862">
        <v>217832</v>
      </c>
      <c r="Q1999" s="860"/>
      <c r="R1999" s="753">
        <f t="shared" si="269"/>
        <v>217832</v>
      </c>
      <c r="S1999" s="752">
        <f t="shared" si="270"/>
        <v>2468668</v>
      </c>
      <c r="T1999" s="754">
        <f t="shared" si="271"/>
        <v>2497352</v>
      </c>
      <c r="U1999" s="859"/>
      <c r="V1999" s="863"/>
      <c r="W1999" s="859"/>
      <c r="X1999" s="859"/>
      <c r="Y1999" s="755">
        <f t="shared" si="267"/>
        <v>0</v>
      </c>
      <c r="Z1999" s="864"/>
      <c r="AA1999" s="863"/>
      <c r="AB1999" s="756">
        <f t="shared" si="268"/>
        <v>0</v>
      </c>
      <c r="AC1999" s="859"/>
      <c r="AD1999" s="863"/>
      <c r="AE1999" s="859"/>
      <c r="AF1999" s="859"/>
      <c r="AG1999" s="864"/>
      <c r="AH1999" s="865"/>
      <c r="AI1999" s="757">
        <f t="shared" si="272"/>
        <v>2468668</v>
      </c>
      <c r="AJ1999" s="758">
        <f t="shared" si="273"/>
        <v>2497352</v>
      </c>
    </row>
    <row r="2000" spans="1:36" x14ac:dyDescent="0.2">
      <c r="A2000" s="1217" t="s">
        <v>153</v>
      </c>
      <c r="B2000" s="1218" t="s">
        <v>264</v>
      </c>
      <c r="C2000" s="1218" t="s">
        <v>1350</v>
      </c>
      <c r="D2000" s="1242"/>
      <c r="E2000" s="1221">
        <v>199467</v>
      </c>
      <c r="F2000" s="1222">
        <v>10</v>
      </c>
      <c r="G2000" s="859">
        <v>4078171</v>
      </c>
      <c r="H2000" s="860">
        <v>3826328</v>
      </c>
      <c r="I2000" s="861"/>
      <c r="J2000" s="862"/>
      <c r="K2000" s="859">
        <v>861839</v>
      </c>
      <c r="L2000" s="863">
        <v>932389</v>
      </c>
      <c r="M2000" s="859">
        <v>1031811</v>
      </c>
      <c r="N2000" s="859"/>
      <c r="O2000" s="752">
        <f t="shared" si="266"/>
        <v>1031811</v>
      </c>
      <c r="P2000" s="862">
        <v>1283691</v>
      </c>
      <c r="Q2000" s="860"/>
      <c r="R2000" s="753">
        <f t="shared" si="269"/>
        <v>1283691</v>
      </c>
      <c r="S2000" s="752">
        <f t="shared" si="270"/>
        <v>5971821</v>
      </c>
      <c r="T2000" s="754">
        <f t="shared" si="271"/>
        <v>6042408</v>
      </c>
      <c r="U2000" s="859"/>
      <c r="V2000" s="863"/>
      <c r="W2000" s="859"/>
      <c r="X2000" s="859"/>
      <c r="Y2000" s="755">
        <f t="shared" si="267"/>
        <v>0</v>
      </c>
      <c r="Z2000" s="864"/>
      <c r="AA2000" s="863"/>
      <c r="AB2000" s="756">
        <f t="shared" si="268"/>
        <v>0</v>
      </c>
      <c r="AC2000" s="859"/>
      <c r="AD2000" s="863"/>
      <c r="AE2000" s="859"/>
      <c r="AF2000" s="859"/>
      <c r="AG2000" s="864"/>
      <c r="AH2000" s="865"/>
      <c r="AI2000" s="757">
        <f t="shared" si="272"/>
        <v>5971821</v>
      </c>
      <c r="AJ2000" s="758">
        <f t="shared" si="273"/>
        <v>6042408</v>
      </c>
    </row>
    <row r="2001" spans="1:36" x14ac:dyDescent="0.2">
      <c r="A2001" s="1217" t="s">
        <v>153</v>
      </c>
      <c r="B2001" s="1218" t="s">
        <v>264</v>
      </c>
      <c r="C2001" s="1223" t="s">
        <v>1300</v>
      </c>
      <c r="D2001" s="1224"/>
      <c r="E2001" s="1221">
        <v>199467</v>
      </c>
      <c r="F2001" s="1222">
        <v>10</v>
      </c>
      <c r="G2001" s="859"/>
      <c r="H2001" s="860"/>
      <c r="I2001" s="861"/>
      <c r="J2001" s="862"/>
      <c r="K2001" s="859"/>
      <c r="L2001" s="863"/>
      <c r="M2001" s="859"/>
      <c r="N2001" s="859"/>
      <c r="O2001" s="752">
        <f t="shared" si="266"/>
        <v>0</v>
      </c>
      <c r="P2001" s="862"/>
      <c r="Q2001" s="860"/>
      <c r="R2001" s="753">
        <f t="shared" si="269"/>
        <v>0</v>
      </c>
      <c r="S2001" s="752">
        <f t="shared" si="270"/>
        <v>0</v>
      </c>
      <c r="T2001" s="754">
        <f t="shared" si="271"/>
        <v>0</v>
      </c>
      <c r="U2001" s="859"/>
      <c r="V2001" s="863"/>
      <c r="W2001" s="859"/>
      <c r="X2001" s="859"/>
      <c r="Y2001" s="755">
        <f t="shared" si="267"/>
        <v>0</v>
      </c>
      <c r="Z2001" s="864"/>
      <c r="AA2001" s="863"/>
      <c r="AB2001" s="756">
        <f t="shared" si="268"/>
        <v>0</v>
      </c>
      <c r="AC2001" s="859"/>
      <c r="AD2001" s="863"/>
      <c r="AE2001" s="859"/>
      <c r="AF2001" s="859"/>
      <c r="AG2001" s="864"/>
      <c r="AH2001" s="865"/>
      <c r="AI2001" s="757">
        <f t="shared" si="272"/>
        <v>0</v>
      </c>
      <c r="AJ2001" s="758">
        <f t="shared" si="273"/>
        <v>0</v>
      </c>
    </row>
    <row r="2002" spans="1:36" x14ac:dyDescent="0.2">
      <c r="A2002" s="1217" t="s">
        <v>153</v>
      </c>
      <c r="B2002" s="1218" t="s">
        <v>266</v>
      </c>
      <c r="C2002" s="1223" t="s">
        <v>319</v>
      </c>
      <c r="D2002" s="1224"/>
      <c r="E2002" s="1221">
        <v>199467</v>
      </c>
      <c r="F2002" s="1222">
        <v>10</v>
      </c>
      <c r="G2002" s="859"/>
      <c r="H2002" s="860"/>
      <c r="I2002" s="861">
        <v>146751</v>
      </c>
      <c r="J2002" s="862">
        <v>147855</v>
      </c>
      <c r="K2002" s="859"/>
      <c r="L2002" s="863"/>
      <c r="M2002" s="859"/>
      <c r="N2002" s="859"/>
      <c r="O2002" s="752">
        <f t="shared" si="266"/>
        <v>0</v>
      </c>
      <c r="P2002" s="862"/>
      <c r="Q2002" s="860"/>
      <c r="R2002" s="753">
        <f t="shared" si="269"/>
        <v>0</v>
      </c>
      <c r="S2002" s="752">
        <f t="shared" si="270"/>
        <v>146751</v>
      </c>
      <c r="T2002" s="754">
        <f t="shared" si="271"/>
        <v>147855</v>
      </c>
      <c r="U2002" s="859"/>
      <c r="V2002" s="863"/>
      <c r="W2002" s="859"/>
      <c r="X2002" s="859"/>
      <c r="Y2002" s="755">
        <f t="shared" si="267"/>
        <v>0</v>
      </c>
      <c r="Z2002" s="864"/>
      <c r="AA2002" s="863"/>
      <c r="AB2002" s="756">
        <f t="shared" si="268"/>
        <v>0</v>
      </c>
      <c r="AC2002" s="859"/>
      <c r="AD2002" s="863"/>
      <c r="AE2002" s="859"/>
      <c r="AF2002" s="859"/>
      <c r="AG2002" s="864"/>
      <c r="AH2002" s="865"/>
      <c r="AI2002" s="757">
        <f t="shared" si="272"/>
        <v>146751</v>
      </c>
      <c r="AJ2002" s="758">
        <f t="shared" si="273"/>
        <v>147855</v>
      </c>
    </row>
    <row r="2003" spans="1:36" x14ac:dyDescent="0.2">
      <c r="A2003" s="1217" t="s">
        <v>153</v>
      </c>
      <c r="B2003" s="1218" t="s">
        <v>275</v>
      </c>
      <c r="C2003" s="1223" t="s">
        <v>258</v>
      </c>
      <c r="D2003" s="1224"/>
      <c r="E2003" s="1221">
        <v>199467</v>
      </c>
      <c r="F2003" s="1222">
        <v>10</v>
      </c>
      <c r="G2003" s="859"/>
      <c r="H2003" s="860"/>
      <c r="I2003" s="861">
        <v>875643</v>
      </c>
      <c r="J2003" s="862">
        <v>839018</v>
      </c>
      <c r="K2003" s="859"/>
      <c r="L2003" s="863"/>
      <c r="M2003" s="859">
        <v>55651</v>
      </c>
      <c r="N2003" s="859"/>
      <c r="O2003" s="752">
        <f t="shared" si="266"/>
        <v>55651</v>
      </c>
      <c r="P2003" s="862">
        <v>115881</v>
      </c>
      <c r="Q2003" s="860"/>
      <c r="R2003" s="753">
        <f t="shared" si="269"/>
        <v>115881</v>
      </c>
      <c r="S2003" s="752">
        <f t="shared" si="270"/>
        <v>931294</v>
      </c>
      <c r="T2003" s="754">
        <f t="shared" si="271"/>
        <v>954899</v>
      </c>
      <c r="U2003" s="859"/>
      <c r="V2003" s="863"/>
      <c r="W2003" s="859"/>
      <c r="X2003" s="859"/>
      <c r="Y2003" s="755">
        <f t="shared" si="267"/>
        <v>0</v>
      </c>
      <c r="Z2003" s="864"/>
      <c r="AA2003" s="863"/>
      <c r="AB2003" s="756">
        <f t="shared" si="268"/>
        <v>0</v>
      </c>
      <c r="AC2003" s="859"/>
      <c r="AD2003" s="863"/>
      <c r="AE2003" s="859"/>
      <c r="AF2003" s="859"/>
      <c r="AG2003" s="864"/>
      <c r="AH2003" s="865"/>
      <c r="AI2003" s="757">
        <f t="shared" si="272"/>
        <v>931294</v>
      </c>
      <c r="AJ2003" s="758">
        <f t="shared" si="273"/>
        <v>954899</v>
      </c>
    </row>
    <row r="2004" spans="1:36" x14ac:dyDescent="0.2">
      <c r="A2004" s="1217" t="s">
        <v>153</v>
      </c>
      <c r="B2004" s="1218" t="s">
        <v>264</v>
      </c>
      <c r="C2004" s="1303" t="s">
        <v>1351</v>
      </c>
      <c r="D2004" s="1304"/>
      <c r="E2004" s="1221">
        <v>199485</v>
      </c>
      <c r="F2004" s="1231">
        <v>10</v>
      </c>
      <c r="G2004" s="859">
        <v>7648654</v>
      </c>
      <c r="H2004" s="860">
        <v>7068317</v>
      </c>
      <c r="I2004" s="861"/>
      <c r="J2004" s="862"/>
      <c r="K2004" s="859">
        <v>2561809</v>
      </c>
      <c r="L2004" s="863">
        <v>2364473</v>
      </c>
      <c r="M2004" s="859">
        <v>3293705</v>
      </c>
      <c r="N2004" s="859"/>
      <c r="O2004" s="752">
        <f t="shared" si="266"/>
        <v>3293705</v>
      </c>
      <c r="P2004" s="862">
        <v>3069616</v>
      </c>
      <c r="Q2004" s="860"/>
      <c r="R2004" s="753">
        <f t="shared" si="269"/>
        <v>3069616</v>
      </c>
      <c r="S2004" s="752">
        <f t="shared" si="270"/>
        <v>13504168</v>
      </c>
      <c r="T2004" s="754">
        <f t="shared" si="271"/>
        <v>12502406</v>
      </c>
      <c r="U2004" s="859"/>
      <c r="V2004" s="863"/>
      <c r="W2004" s="859"/>
      <c r="X2004" s="859"/>
      <c r="Y2004" s="755">
        <f t="shared" si="267"/>
        <v>0</v>
      </c>
      <c r="Z2004" s="864"/>
      <c r="AA2004" s="863"/>
      <c r="AB2004" s="756">
        <f t="shared" si="268"/>
        <v>0</v>
      </c>
      <c r="AC2004" s="859"/>
      <c r="AD2004" s="863"/>
      <c r="AE2004" s="859"/>
      <c r="AF2004" s="859"/>
      <c r="AG2004" s="864"/>
      <c r="AH2004" s="865"/>
      <c r="AI2004" s="757">
        <f t="shared" si="272"/>
        <v>13504168</v>
      </c>
      <c r="AJ2004" s="758">
        <f t="shared" si="273"/>
        <v>12502406</v>
      </c>
    </row>
    <row r="2005" spans="1:36" x14ac:dyDescent="0.2">
      <c r="A2005" s="1217" t="s">
        <v>153</v>
      </c>
      <c r="B2005" s="1218" t="s">
        <v>264</v>
      </c>
      <c r="C2005" s="1223" t="s">
        <v>1300</v>
      </c>
      <c r="D2005" s="1224"/>
      <c r="E2005" s="1221">
        <v>199485</v>
      </c>
      <c r="F2005" s="1231">
        <v>10</v>
      </c>
      <c r="G2005" s="859"/>
      <c r="H2005" s="860"/>
      <c r="I2005" s="861"/>
      <c r="J2005" s="862"/>
      <c r="K2005" s="859"/>
      <c r="L2005" s="863"/>
      <c r="M2005" s="859"/>
      <c r="N2005" s="859"/>
      <c r="O2005" s="752">
        <f t="shared" si="266"/>
        <v>0</v>
      </c>
      <c r="P2005" s="862"/>
      <c r="Q2005" s="860"/>
      <c r="R2005" s="753">
        <f t="shared" si="269"/>
        <v>0</v>
      </c>
      <c r="S2005" s="752">
        <f t="shared" si="270"/>
        <v>0</v>
      </c>
      <c r="T2005" s="754">
        <f t="shared" si="271"/>
        <v>0</v>
      </c>
      <c r="U2005" s="859"/>
      <c r="V2005" s="863"/>
      <c r="W2005" s="859"/>
      <c r="X2005" s="859"/>
      <c r="Y2005" s="755">
        <f t="shared" si="267"/>
        <v>0</v>
      </c>
      <c r="Z2005" s="864"/>
      <c r="AA2005" s="863"/>
      <c r="AB2005" s="756">
        <f t="shared" si="268"/>
        <v>0</v>
      </c>
      <c r="AC2005" s="859"/>
      <c r="AD2005" s="863"/>
      <c r="AE2005" s="859"/>
      <c r="AF2005" s="859"/>
      <c r="AG2005" s="864"/>
      <c r="AH2005" s="865"/>
      <c r="AI2005" s="757">
        <f t="shared" si="272"/>
        <v>0</v>
      </c>
      <c r="AJ2005" s="758">
        <f t="shared" si="273"/>
        <v>0</v>
      </c>
    </row>
    <row r="2006" spans="1:36" x14ac:dyDescent="0.2">
      <c r="A2006" s="1217" t="s">
        <v>153</v>
      </c>
      <c r="B2006" s="1218" t="s">
        <v>266</v>
      </c>
      <c r="C2006" s="1223" t="s">
        <v>319</v>
      </c>
      <c r="D2006" s="1224"/>
      <c r="E2006" s="1221">
        <v>199485</v>
      </c>
      <c r="F2006" s="1231">
        <v>10</v>
      </c>
      <c r="G2006" s="859"/>
      <c r="H2006" s="860"/>
      <c r="I2006" s="861">
        <v>153251</v>
      </c>
      <c r="J2006" s="862">
        <v>154030</v>
      </c>
      <c r="K2006" s="859"/>
      <c r="L2006" s="863"/>
      <c r="M2006" s="859"/>
      <c r="N2006" s="859"/>
      <c r="O2006" s="752">
        <f t="shared" si="266"/>
        <v>0</v>
      </c>
      <c r="P2006" s="862"/>
      <c r="Q2006" s="860"/>
      <c r="R2006" s="753">
        <f t="shared" si="269"/>
        <v>0</v>
      </c>
      <c r="S2006" s="752">
        <f t="shared" si="270"/>
        <v>153251</v>
      </c>
      <c r="T2006" s="754">
        <f t="shared" si="271"/>
        <v>154030</v>
      </c>
      <c r="U2006" s="859"/>
      <c r="V2006" s="863"/>
      <c r="W2006" s="859"/>
      <c r="X2006" s="859"/>
      <c r="Y2006" s="755">
        <f t="shared" si="267"/>
        <v>0</v>
      </c>
      <c r="Z2006" s="864"/>
      <c r="AA2006" s="863"/>
      <c r="AB2006" s="756">
        <f t="shared" si="268"/>
        <v>0</v>
      </c>
      <c r="AC2006" s="859"/>
      <c r="AD2006" s="863"/>
      <c r="AE2006" s="859"/>
      <c r="AF2006" s="859"/>
      <c r="AG2006" s="864"/>
      <c r="AH2006" s="865"/>
      <c r="AI2006" s="757">
        <f t="shared" si="272"/>
        <v>153251</v>
      </c>
      <c r="AJ2006" s="758">
        <f t="shared" si="273"/>
        <v>154030</v>
      </c>
    </row>
    <row r="2007" spans="1:36" x14ac:dyDescent="0.2">
      <c r="A2007" s="1217" t="s">
        <v>153</v>
      </c>
      <c r="B2007" s="1218" t="s">
        <v>275</v>
      </c>
      <c r="C2007" s="1223" t="s">
        <v>258</v>
      </c>
      <c r="D2007" s="1224"/>
      <c r="E2007" s="1221">
        <v>199485</v>
      </c>
      <c r="F2007" s="1231">
        <v>10</v>
      </c>
      <c r="G2007" s="859"/>
      <c r="H2007" s="860"/>
      <c r="I2007" s="861">
        <v>1225518</v>
      </c>
      <c r="J2007" s="862">
        <v>1065473</v>
      </c>
      <c r="K2007" s="859"/>
      <c r="L2007" s="863"/>
      <c r="M2007" s="859">
        <v>195584</v>
      </c>
      <c r="N2007" s="859"/>
      <c r="O2007" s="752">
        <f t="shared" si="266"/>
        <v>195584</v>
      </c>
      <c r="P2007" s="862">
        <v>172239</v>
      </c>
      <c r="Q2007" s="860"/>
      <c r="R2007" s="753">
        <f t="shared" si="269"/>
        <v>172239</v>
      </c>
      <c r="S2007" s="752">
        <f t="shared" si="270"/>
        <v>1421102</v>
      </c>
      <c r="T2007" s="754">
        <f t="shared" si="271"/>
        <v>1237712</v>
      </c>
      <c r="U2007" s="859"/>
      <c r="V2007" s="863"/>
      <c r="W2007" s="859"/>
      <c r="X2007" s="859"/>
      <c r="Y2007" s="755">
        <f t="shared" si="267"/>
        <v>0</v>
      </c>
      <c r="Z2007" s="864"/>
      <c r="AA2007" s="863"/>
      <c r="AB2007" s="756">
        <f t="shared" si="268"/>
        <v>0</v>
      </c>
      <c r="AC2007" s="859"/>
      <c r="AD2007" s="863"/>
      <c r="AE2007" s="859"/>
      <c r="AF2007" s="859"/>
      <c r="AG2007" s="864"/>
      <c r="AH2007" s="865"/>
      <c r="AI2007" s="757">
        <f t="shared" si="272"/>
        <v>1421102</v>
      </c>
      <c r="AJ2007" s="758">
        <f t="shared" si="273"/>
        <v>1237712</v>
      </c>
    </row>
    <row r="2008" spans="1:36" x14ac:dyDescent="0.2">
      <c r="A2008" s="1217" t="s">
        <v>153</v>
      </c>
      <c r="B2008" s="1218" t="s">
        <v>264</v>
      </c>
      <c r="C2008" s="1303" t="s">
        <v>1352</v>
      </c>
      <c r="D2008" s="1304"/>
      <c r="E2008" s="1221">
        <v>199625</v>
      </c>
      <c r="F2008" s="1222">
        <v>10</v>
      </c>
      <c r="G2008" s="859">
        <v>6262952</v>
      </c>
      <c r="H2008" s="860">
        <v>5764508</v>
      </c>
      <c r="I2008" s="861"/>
      <c r="J2008" s="862"/>
      <c r="K2008" s="859">
        <v>1252169</v>
      </c>
      <c r="L2008" s="863">
        <v>1300754</v>
      </c>
      <c r="M2008" s="859">
        <v>1857022</v>
      </c>
      <c r="N2008" s="859"/>
      <c r="O2008" s="752">
        <f t="shared" si="266"/>
        <v>1857022</v>
      </c>
      <c r="P2008" s="862">
        <v>2175747</v>
      </c>
      <c r="Q2008" s="860"/>
      <c r="R2008" s="753">
        <f t="shared" si="269"/>
        <v>2175747</v>
      </c>
      <c r="S2008" s="752">
        <f t="shared" si="270"/>
        <v>9372143</v>
      </c>
      <c r="T2008" s="754">
        <f t="shared" si="271"/>
        <v>9241009</v>
      </c>
      <c r="U2008" s="859"/>
      <c r="V2008" s="863"/>
      <c r="W2008" s="859"/>
      <c r="X2008" s="859"/>
      <c r="Y2008" s="755">
        <f t="shared" si="267"/>
        <v>0</v>
      </c>
      <c r="Z2008" s="864"/>
      <c r="AA2008" s="863"/>
      <c r="AB2008" s="756">
        <f t="shared" si="268"/>
        <v>0</v>
      </c>
      <c r="AC2008" s="859"/>
      <c r="AD2008" s="863"/>
      <c r="AE2008" s="859"/>
      <c r="AF2008" s="859"/>
      <c r="AG2008" s="864"/>
      <c r="AH2008" s="865"/>
      <c r="AI2008" s="757">
        <f t="shared" si="272"/>
        <v>9372143</v>
      </c>
      <c r="AJ2008" s="758">
        <f t="shared" si="273"/>
        <v>9241009</v>
      </c>
    </row>
    <row r="2009" spans="1:36" x14ac:dyDescent="0.2">
      <c r="A2009" s="1217" t="s">
        <v>153</v>
      </c>
      <c r="B2009" s="1218" t="s">
        <v>264</v>
      </c>
      <c r="C2009" s="1223" t="s">
        <v>1300</v>
      </c>
      <c r="D2009" s="1224"/>
      <c r="E2009" s="1221">
        <v>199625</v>
      </c>
      <c r="F2009" s="1222">
        <v>10</v>
      </c>
      <c r="G2009" s="859"/>
      <c r="H2009" s="860"/>
      <c r="I2009" s="861"/>
      <c r="J2009" s="862"/>
      <c r="K2009" s="859"/>
      <c r="L2009" s="863"/>
      <c r="M2009" s="859"/>
      <c r="N2009" s="859"/>
      <c r="O2009" s="752">
        <f t="shared" si="266"/>
        <v>0</v>
      </c>
      <c r="P2009" s="862"/>
      <c r="Q2009" s="860"/>
      <c r="R2009" s="753">
        <f t="shared" si="269"/>
        <v>0</v>
      </c>
      <c r="S2009" s="752">
        <f t="shared" si="270"/>
        <v>0</v>
      </c>
      <c r="T2009" s="754">
        <f t="shared" si="271"/>
        <v>0</v>
      </c>
      <c r="U2009" s="859"/>
      <c r="V2009" s="863"/>
      <c r="W2009" s="859"/>
      <c r="X2009" s="859"/>
      <c r="Y2009" s="755">
        <f t="shared" si="267"/>
        <v>0</v>
      </c>
      <c r="Z2009" s="864"/>
      <c r="AA2009" s="863"/>
      <c r="AB2009" s="756">
        <f t="shared" si="268"/>
        <v>0</v>
      </c>
      <c r="AC2009" s="859"/>
      <c r="AD2009" s="863"/>
      <c r="AE2009" s="859"/>
      <c r="AF2009" s="859"/>
      <c r="AG2009" s="864"/>
      <c r="AH2009" s="865"/>
      <c r="AI2009" s="757">
        <f t="shared" si="272"/>
        <v>0</v>
      </c>
      <c r="AJ2009" s="758">
        <f t="shared" si="273"/>
        <v>0</v>
      </c>
    </row>
    <row r="2010" spans="1:36" x14ac:dyDescent="0.2">
      <c r="A2010" s="1217" t="s">
        <v>153</v>
      </c>
      <c r="B2010" s="1218" t="s">
        <v>266</v>
      </c>
      <c r="C2010" s="1223" t="s">
        <v>319</v>
      </c>
      <c r="D2010" s="1224"/>
      <c r="E2010" s="1221">
        <v>199625</v>
      </c>
      <c r="F2010" s="1222">
        <v>10</v>
      </c>
      <c r="G2010" s="859"/>
      <c r="H2010" s="860"/>
      <c r="I2010" s="861">
        <v>152260</v>
      </c>
      <c r="J2010" s="862">
        <v>150503</v>
      </c>
      <c r="K2010" s="859"/>
      <c r="L2010" s="863"/>
      <c r="M2010" s="859"/>
      <c r="N2010" s="859"/>
      <c r="O2010" s="752">
        <f t="shared" si="266"/>
        <v>0</v>
      </c>
      <c r="P2010" s="862"/>
      <c r="Q2010" s="860"/>
      <c r="R2010" s="753">
        <f t="shared" si="269"/>
        <v>0</v>
      </c>
      <c r="S2010" s="752">
        <f t="shared" si="270"/>
        <v>152260</v>
      </c>
      <c r="T2010" s="754">
        <f t="shared" si="271"/>
        <v>150503</v>
      </c>
      <c r="U2010" s="859"/>
      <c r="V2010" s="863"/>
      <c r="W2010" s="859"/>
      <c r="X2010" s="859"/>
      <c r="Y2010" s="755">
        <f t="shared" si="267"/>
        <v>0</v>
      </c>
      <c r="Z2010" s="864"/>
      <c r="AA2010" s="863"/>
      <c r="AB2010" s="756">
        <f t="shared" si="268"/>
        <v>0</v>
      </c>
      <c r="AC2010" s="859"/>
      <c r="AD2010" s="863"/>
      <c r="AE2010" s="859"/>
      <c r="AF2010" s="859"/>
      <c r="AG2010" s="864"/>
      <c r="AH2010" s="865"/>
      <c r="AI2010" s="757">
        <f t="shared" si="272"/>
        <v>152260</v>
      </c>
      <c r="AJ2010" s="758">
        <f t="shared" si="273"/>
        <v>150503</v>
      </c>
    </row>
    <row r="2011" spans="1:36" x14ac:dyDescent="0.2">
      <c r="A2011" s="1217" t="s">
        <v>153</v>
      </c>
      <c r="B2011" s="1218" t="s">
        <v>275</v>
      </c>
      <c r="C2011" s="1223" t="s">
        <v>258</v>
      </c>
      <c r="D2011" s="1224"/>
      <c r="E2011" s="1221">
        <v>199625</v>
      </c>
      <c r="F2011" s="1222">
        <v>10</v>
      </c>
      <c r="G2011" s="859"/>
      <c r="H2011" s="860"/>
      <c r="I2011" s="861">
        <v>2011762</v>
      </c>
      <c r="J2011" s="862">
        <v>1873764</v>
      </c>
      <c r="K2011" s="859"/>
      <c r="L2011" s="863"/>
      <c r="M2011" s="859">
        <v>141064</v>
      </c>
      <c r="N2011" s="859"/>
      <c r="O2011" s="752">
        <f t="shared" si="266"/>
        <v>141064</v>
      </c>
      <c r="P2011" s="862">
        <v>200734</v>
      </c>
      <c r="Q2011" s="860"/>
      <c r="R2011" s="753">
        <f t="shared" si="269"/>
        <v>200734</v>
      </c>
      <c r="S2011" s="752">
        <f t="shared" si="270"/>
        <v>2152826</v>
      </c>
      <c r="T2011" s="754">
        <f t="shared" si="271"/>
        <v>2074498</v>
      </c>
      <c r="U2011" s="859"/>
      <c r="V2011" s="863"/>
      <c r="W2011" s="859"/>
      <c r="X2011" s="859"/>
      <c r="Y2011" s="755">
        <f t="shared" si="267"/>
        <v>0</v>
      </c>
      <c r="Z2011" s="864"/>
      <c r="AA2011" s="863"/>
      <c r="AB2011" s="756">
        <f t="shared" si="268"/>
        <v>0</v>
      </c>
      <c r="AC2011" s="859"/>
      <c r="AD2011" s="863"/>
      <c r="AE2011" s="859"/>
      <c r="AF2011" s="859"/>
      <c r="AG2011" s="864"/>
      <c r="AH2011" s="865"/>
      <c r="AI2011" s="757">
        <f t="shared" si="272"/>
        <v>2152826</v>
      </c>
      <c r="AJ2011" s="758">
        <f t="shared" si="273"/>
        <v>2074498</v>
      </c>
    </row>
    <row r="2012" spans="1:36" x14ac:dyDescent="0.2">
      <c r="A2012" s="1217" t="s">
        <v>153</v>
      </c>
      <c r="B2012" s="1218" t="s">
        <v>264</v>
      </c>
      <c r="C2012" s="1303" t="s">
        <v>1353</v>
      </c>
      <c r="D2012" s="1304" t="s">
        <v>1126</v>
      </c>
      <c r="E2012" s="1221">
        <v>197850</v>
      </c>
      <c r="F2012" s="1231">
        <v>10</v>
      </c>
      <c r="G2012" s="859">
        <v>8752154</v>
      </c>
      <c r="H2012" s="860">
        <v>8300390</v>
      </c>
      <c r="I2012" s="861"/>
      <c r="J2012" s="862"/>
      <c r="K2012" s="859">
        <v>1667963</v>
      </c>
      <c r="L2012" s="863">
        <v>1792129</v>
      </c>
      <c r="M2012" s="859">
        <v>2862887</v>
      </c>
      <c r="N2012" s="859"/>
      <c r="O2012" s="752">
        <f t="shared" si="266"/>
        <v>2862887</v>
      </c>
      <c r="P2012" s="862">
        <v>3122197</v>
      </c>
      <c r="Q2012" s="860"/>
      <c r="R2012" s="753">
        <f t="shared" si="269"/>
        <v>3122197</v>
      </c>
      <c r="S2012" s="752">
        <f t="shared" si="270"/>
        <v>13283004</v>
      </c>
      <c r="T2012" s="754">
        <f t="shared" si="271"/>
        <v>13214716</v>
      </c>
      <c r="U2012" s="859"/>
      <c r="V2012" s="863"/>
      <c r="W2012" s="859"/>
      <c r="X2012" s="859"/>
      <c r="Y2012" s="755">
        <f t="shared" si="267"/>
        <v>0</v>
      </c>
      <c r="Z2012" s="864"/>
      <c r="AA2012" s="863"/>
      <c r="AB2012" s="756">
        <f t="shared" si="268"/>
        <v>0</v>
      </c>
      <c r="AC2012" s="859"/>
      <c r="AD2012" s="863"/>
      <c r="AE2012" s="859"/>
      <c r="AF2012" s="859"/>
      <c r="AG2012" s="864"/>
      <c r="AH2012" s="865"/>
      <c r="AI2012" s="757">
        <f t="shared" si="272"/>
        <v>13283004</v>
      </c>
      <c r="AJ2012" s="758">
        <f t="shared" si="273"/>
        <v>13214716</v>
      </c>
    </row>
    <row r="2013" spans="1:36" x14ac:dyDescent="0.2">
      <c r="A2013" s="1217" t="s">
        <v>153</v>
      </c>
      <c r="B2013" s="1218" t="s">
        <v>264</v>
      </c>
      <c r="C2013" s="1223" t="s">
        <v>1300</v>
      </c>
      <c r="D2013" s="1224"/>
      <c r="E2013" s="1221">
        <v>197850</v>
      </c>
      <c r="F2013" s="1231">
        <v>10</v>
      </c>
      <c r="G2013" s="859"/>
      <c r="H2013" s="860"/>
      <c r="I2013" s="861"/>
      <c r="J2013" s="862"/>
      <c r="K2013" s="859"/>
      <c r="L2013" s="863"/>
      <c r="M2013" s="859"/>
      <c r="N2013" s="859"/>
      <c r="O2013" s="752">
        <f t="shared" si="266"/>
        <v>0</v>
      </c>
      <c r="P2013" s="862"/>
      <c r="Q2013" s="860"/>
      <c r="R2013" s="753">
        <f t="shared" si="269"/>
        <v>0</v>
      </c>
      <c r="S2013" s="752">
        <f t="shared" si="270"/>
        <v>0</v>
      </c>
      <c r="T2013" s="754">
        <f t="shared" si="271"/>
        <v>0</v>
      </c>
      <c r="U2013" s="859"/>
      <c r="V2013" s="863"/>
      <c r="W2013" s="859"/>
      <c r="X2013" s="859"/>
      <c r="Y2013" s="755">
        <f t="shared" si="267"/>
        <v>0</v>
      </c>
      <c r="Z2013" s="864"/>
      <c r="AA2013" s="863"/>
      <c r="AB2013" s="756">
        <f t="shared" si="268"/>
        <v>0</v>
      </c>
      <c r="AC2013" s="859"/>
      <c r="AD2013" s="863"/>
      <c r="AE2013" s="859"/>
      <c r="AF2013" s="859"/>
      <c r="AG2013" s="864"/>
      <c r="AH2013" s="865"/>
      <c r="AI2013" s="757">
        <f t="shared" si="272"/>
        <v>0</v>
      </c>
      <c r="AJ2013" s="758">
        <f t="shared" si="273"/>
        <v>0</v>
      </c>
    </row>
    <row r="2014" spans="1:36" x14ac:dyDescent="0.2">
      <c r="A2014" s="1217" t="s">
        <v>153</v>
      </c>
      <c r="B2014" s="1218" t="s">
        <v>266</v>
      </c>
      <c r="C2014" s="1223" t="s">
        <v>319</v>
      </c>
      <c r="D2014" s="1224"/>
      <c r="E2014" s="1221">
        <v>197850</v>
      </c>
      <c r="F2014" s="1231">
        <v>10</v>
      </c>
      <c r="G2014" s="859"/>
      <c r="H2014" s="860"/>
      <c r="I2014" s="861">
        <v>157968</v>
      </c>
      <c r="J2014" s="862">
        <v>157058</v>
      </c>
      <c r="K2014" s="859"/>
      <c r="L2014" s="863"/>
      <c r="M2014" s="859"/>
      <c r="N2014" s="859"/>
      <c r="O2014" s="752">
        <f t="shared" si="266"/>
        <v>0</v>
      </c>
      <c r="P2014" s="862"/>
      <c r="Q2014" s="860"/>
      <c r="R2014" s="753">
        <f t="shared" si="269"/>
        <v>0</v>
      </c>
      <c r="S2014" s="752">
        <f t="shared" si="270"/>
        <v>157968</v>
      </c>
      <c r="T2014" s="754">
        <f t="shared" si="271"/>
        <v>157058</v>
      </c>
      <c r="U2014" s="859"/>
      <c r="V2014" s="863"/>
      <c r="W2014" s="859"/>
      <c r="X2014" s="859"/>
      <c r="Y2014" s="755">
        <f t="shared" si="267"/>
        <v>0</v>
      </c>
      <c r="Z2014" s="864"/>
      <c r="AA2014" s="863"/>
      <c r="AB2014" s="756">
        <f t="shared" si="268"/>
        <v>0</v>
      </c>
      <c r="AC2014" s="859"/>
      <c r="AD2014" s="863"/>
      <c r="AE2014" s="859"/>
      <c r="AF2014" s="859"/>
      <c r="AG2014" s="864"/>
      <c r="AH2014" s="865"/>
      <c r="AI2014" s="757">
        <f t="shared" si="272"/>
        <v>157968</v>
      </c>
      <c r="AJ2014" s="758">
        <f t="shared" si="273"/>
        <v>157058</v>
      </c>
    </row>
    <row r="2015" spans="1:36" x14ac:dyDescent="0.2">
      <c r="A2015" s="1217" t="s">
        <v>153</v>
      </c>
      <c r="B2015" s="1218" t="s">
        <v>275</v>
      </c>
      <c r="C2015" s="1223" t="s">
        <v>258</v>
      </c>
      <c r="D2015" s="1224"/>
      <c r="E2015" s="1221">
        <v>197850</v>
      </c>
      <c r="F2015" s="1231">
        <v>10</v>
      </c>
      <c r="G2015" s="859"/>
      <c r="H2015" s="860"/>
      <c r="I2015" s="861">
        <v>2777523</v>
      </c>
      <c r="J2015" s="862">
        <v>2744396</v>
      </c>
      <c r="K2015" s="859"/>
      <c r="L2015" s="863"/>
      <c r="M2015" s="859">
        <v>233148</v>
      </c>
      <c r="N2015" s="859"/>
      <c r="O2015" s="752">
        <f t="shared" si="266"/>
        <v>233148</v>
      </c>
      <c r="P2015" s="862">
        <v>426165</v>
      </c>
      <c r="Q2015" s="860"/>
      <c r="R2015" s="753">
        <f t="shared" si="269"/>
        <v>426165</v>
      </c>
      <c r="S2015" s="752">
        <f t="shared" si="270"/>
        <v>3010671</v>
      </c>
      <c r="T2015" s="754">
        <f t="shared" si="271"/>
        <v>3170561</v>
      </c>
      <c r="U2015" s="859"/>
      <c r="V2015" s="863"/>
      <c r="W2015" s="859"/>
      <c r="X2015" s="859"/>
      <c r="Y2015" s="755">
        <f t="shared" si="267"/>
        <v>0</v>
      </c>
      <c r="Z2015" s="864"/>
      <c r="AA2015" s="863"/>
      <c r="AB2015" s="756">
        <f t="shared" si="268"/>
        <v>0</v>
      </c>
      <c r="AC2015" s="859"/>
      <c r="AD2015" s="863"/>
      <c r="AE2015" s="859"/>
      <c r="AF2015" s="859"/>
      <c r="AG2015" s="864"/>
      <c r="AH2015" s="865"/>
      <c r="AI2015" s="757">
        <f t="shared" si="272"/>
        <v>3010671</v>
      </c>
      <c r="AJ2015" s="758">
        <f t="shared" si="273"/>
        <v>3170561</v>
      </c>
    </row>
    <row r="2016" spans="1:36" x14ac:dyDescent="0.2">
      <c r="A2016" s="1217" t="s">
        <v>153</v>
      </c>
      <c r="B2016" s="1218" t="s">
        <v>264</v>
      </c>
      <c r="C2016" s="1303" t="s">
        <v>1354</v>
      </c>
      <c r="D2016" s="1304"/>
      <c r="E2016" s="1221">
        <v>199722</v>
      </c>
      <c r="F2016" s="1231">
        <v>10</v>
      </c>
      <c r="G2016" s="859">
        <v>8618494</v>
      </c>
      <c r="H2016" s="860">
        <v>7379271</v>
      </c>
      <c r="I2016" s="861"/>
      <c r="J2016" s="862"/>
      <c r="K2016" s="859">
        <v>1242525</v>
      </c>
      <c r="L2016" s="863">
        <v>1242525</v>
      </c>
      <c r="M2016" s="859">
        <v>2687124</v>
      </c>
      <c r="N2016" s="859"/>
      <c r="O2016" s="752">
        <f t="shared" si="266"/>
        <v>2687124</v>
      </c>
      <c r="P2016" s="862">
        <v>2743254</v>
      </c>
      <c r="Q2016" s="860"/>
      <c r="R2016" s="753">
        <f t="shared" si="269"/>
        <v>2743254</v>
      </c>
      <c r="S2016" s="752">
        <f t="shared" si="270"/>
        <v>12548143</v>
      </c>
      <c r="T2016" s="754">
        <f t="shared" si="271"/>
        <v>11365050</v>
      </c>
      <c r="U2016" s="859"/>
      <c r="V2016" s="863"/>
      <c r="W2016" s="859"/>
      <c r="X2016" s="859"/>
      <c r="Y2016" s="755">
        <f t="shared" si="267"/>
        <v>0</v>
      </c>
      <c r="Z2016" s="864"/>
      <c r="AA2016" s="863"/>
      <c r="AB2016" s="756">
        <f t="shared" si="268"/>
        <v>0</v>
      </c>
      <c r="AC2016" s="859"/>
      <c r="AD2016" s="863"/>
      <c r="AE2016" s="859"/>
      <c r="AF2016" s="859"/>
      <c r="AG2016" s="864"/>
      <c r="AH2016" s="865"/>
      <c r="AI2016" s="757">
        <f t="shared" si="272"/>
        <v>12548143</v>
      </c>
      <c r="AJ2016" s="758">
        <f t="shared" si="273"/>
        <v>11365050</v>
      </c>
    </row>
    <row r="2017" spans="1:36" x14ac:dyDescent="0.2">
      <c r="A2017" s="1217" t="s">
        <v>153</v>
      </c>
      <c r="B2017" s="1218" t="s">
        <v>264</v>
      </c>
      <c r="C2017" s="1223" t="s">
        <v>1300</v>
      </c>
      <c r="D2017" s="1224"/>
      <c r="E2017" s="1221">
        <v>199722</v>
      </c>
      <c r="F2017" s="1231">
        <v>10</v>
      </c>
      <c r="G2017" s="859"/>
      <c r="H2017" s="860"/>
      <c r="I2017" s="861"/>
      <c r="J2017" s="862"/>
      <c r="K2017" s="859"/>
      <c r="L2017" s="863"/>
      <c r="M2017" s="859"/>
      <c r="N2017" s="859"/>
      <c r="O2017" s="752">
        <f t="shared" si="266"/>
        <v>0</v>
      </c>
      <c r="P2017" s="862"/>
      <c r="Q2017" s="860"/>
      <c r="R2017" s="753">
        <f t="shared" si="269"/>
        <v>0</v>
      </c>
      <c r="S2017" s="752">
        <f t="shared" si="270"/>
        <v>0</v>
      </c>
      <c r="T2017" s="754">
        <f t="shared" si="271"/>
        <v>0</v>
      </c>
      <c r="U2017" s="859"/>
      <c r="V2017" s="863"/>
      <c r="W2017" s="859"/>
      <c r="X2017" s="859"/>
      <c r="Y2017" s="755">
        <f t="shared" si="267"/>
        <v>0</v>
      </c>
      <c r="Z2017" s="864"/>
      <c r="AA2017" s="863"/>
      <c r="AB2017" s="756">
        <f t="shared" si="268"/>
        <v>0</v>
      </c>
      <c r="AC2017" s="859"/>
      <c r="AD2017" s="863"/>
      <c r="AE2017" s="859"/>
      <c r="AF2017" s="859"/>
      <c r="AG2017" s="864"/>
      <c r="AH2017" s="865"/>
      <c r="AI2017" s="757">
        <f t="shared" si="272"/>
        <v>0</v>
      </c>
      <c r="AJ2017" s="758">
        <f t="shared" si="273"/>
        <v>0</v>
      </c>
    </row>
    <row r="2018" spans="1:36" x14ac:dyDescent="0.2">
      <c r="A2018" s="1217" t="s">
        <v>153</v>
      </c>
      <c r="B2018" s="1218" t="s">
        <v>266</v>
      </c>
      <c r="C2018" s="1223" t="s">
        <v>319</v>
      </c>
      <c r="D2018" s="1224"/>
      <c r="E2018" s="1221">
        <v>199722</v>
      </c>
      <c r="F2018" s="1231">
        <v>10</v>
      </c>
      <c r="G2018" s="859"/>
      <c r="H2018" s="860"/>
      <c r="I2018" s="861">
        <v>153845</v>
      </c>
      <c r="J2018" s="862">
        <v>155260</v>
      </c>
      <c r="K2018" s="859"/>
      <c r="L2018" s="863"/>
      <c r="M2018" s="859"/>
      <c r="N2018" s="859"/>
      <c r="O2018" s="752">
        <f t="shared" si="266"/>
        <v>0</v>
      </c>
      <c r="P2018" s="862"/>
      <c r="Q2018" s="860"/>
      <c r="R2018" s="753">
        <f t="shared" si="269"/>
        <v>0</v>
      </c>
      <c r="S2018" s="752">
        <f t="shared" si="270"/>
        <v>153845</v>
      </c>
      <c r="T2018" s="754">
        <f t="shared" si="271"/>
        <v>155260</v>
      </c>
      <c r="U2018" s="859"/>
      <c r="V2018" s="863"/>
      <c r="W2018" s="859"/>
      <c r="X2018" s="859"/>
      <c r="Y2018" s="755">
        <f t="shared" si="267"/>
        <v>0</v>
      </c>
      <c r="Z2018" s="864"/>
      <c r="AA2018" s="863"/>
      <c r="AB2018" s="756">
        <f t="shared" si="268"/>
        <v>0</v>
      </c>
      <c r="AC2018" s="859"/>
      <c r="AD2018" s="863"/>
      <c r="AE2018" s="859"/>
      <c r="AF2018" s="859"/>
      <c r="AG2018" s="864"/>
      <c r="AH2018" s="865"/>
      <c r="AI2018" s="757">
        <f t="shared" si="272"/>
        <v>153845</v>
      </c>
      <c r="AJ2018" s="758">
        <f t="shared" si="273"/>
        <v>155260</v>
      </c>
    </row>
    <row r="2019" spans="1:36" x14ac:dyDescent="0.2">
      <c r="A2019" s="1217" t="s">
        <v>153</v>
      </c>
      <c r="B2019" s="1218" t="s">
        <v>275</v>
      </c>
      <c r="C2019" s="1223" t="s">
        <v>258</v>
      </c>
      <c r="D2019" s="1224"/>
      <c r="E2019" s="1221">
        <v>199722</v>
      </c>
      <c r="F2019" s="1231">
        <v>10</v>
      </c>
      <c r="G2019" s="859"/>
      <c r="H2019" s="860"/>
      <c r="I2019" s="861">
        <v>2973626</v>
      </c>
      <c r="J2019" s="862">
        <v>2637054</v>
      </c>
      <c r="K2019" s="859"/>
      <c r="L2019" s="863"/>
      <c r="M2019" s="859">
        <v>230480</v>
      </c>
      <c r="N2019" s="859"/>
      <c r="O2019" s="752">
        <f t="shared" si="266"/>
        <v>230480</v>
      </c>
      <c r="P2019" s="862">
        <v>405901</v>
      </c>
      <c r="Q2019" s="860"/>
      <c r="R2019" s="753">
        <f t="shared" si="269"/>
        <v>405901</v>
      </c>
      <c r="S2019" s="752">
        <f t="shared" si="270"/>
        <v>3204106</v>
      </c>
      <c r="T2019" s="754">
        <f t="shared" si="271"/>
        <v>3042955</v>
      </c>
      <c r="U2019" s="859"/>
      <c r="V2019" s="863"/>
      <c r="W2019" s="859"/>
      <c r="X2019" s="859"/>
      <c r="Y2019" s="755">
        <f t="shared" si="267"/>
        <v>0</v>
      </c>
      <c r="Z2019" s="864"/>
      <c r="AA2019" s="863"/>
      <c r="AB2019" s="756">
        <f t="shared" si="268"/>
        <v>0</v>
      </c>
      <c r="AC2019" s="859"/>
      <c r="AD2019" s="863"/>
      <c r="AE2019" s="859"/>
      <c r="AF2019" s="859"/>
      <c r="AG2019" s="864"/>
      <c r="AH2019" s="865"/>
      <c r="AI2019" s="757">
        <f t="shared" si="272"/>
        <v>3204106</v>
      </c>
      <c r="AJ2019" s="758">
        <f t="shared" si="273"/>
        <v>3042955</v>
      </c>
    </row>
    <row r="2020" spans="1:36" x14ac:dyDescent="0.2">
      <c r="A2020" s="1217" t="s">
        <v>153</v>
      </c>
      <c r="B2020" s="1218" t="s">
        <v>264</v>
      </c>
      <c r="C2020" s="1303" t="s">
        <v>1355</v>
      </c>
      <c r="D2020" s="1304" t="s">
        <v>1126</v>
      </c>
      <c r="E2020" s="1221">
        <v>199731</v>
      </c>
      <c r="F2020" s="1231">
        <v>10</v>
      </c>
      <c r="G2020" s="859">
        <v>9046111</v>
      </c>
      <c r="H2020" s="860">
        <v>8761926</v>
      </c>
      <c r="I2020" s="861"/>
      <c r="J2020" s="862"/>
      <c r="K2020" s="859">
        <v>2268701</v>
      </c>
      <c r="L2020" s="863">
        <v>2154623</v>
      </c>
      <c r="M2020" s="859">
        <v>3357857</v>
      </c>
      <c r="N2020" s="859"/>
      <c r="O2020" s="752">
        <f t="shared" si="266"/>
        <v>3357857</v>
      </c>
      <c r="P2020" s="862">
        <v>3707835</v>
      </c>
      <c r="Q2020" s="860"/>
      <c r="R2020" s="753">
        <f t="shared" si="269"/>
        <v>3707835</v>
      </c>
      <c r="S2020" s="752">
        <f t="shared" si="270"/>
        <v>14672669</v>
      </c>
      <c r="T2020" s="754">
        <f t="shared" si="271"/>
        <v>14624384</v>
      </c>
      <c r="U2020" s="859"/>
      <c r="V2020" s="863"/>
      <c r="W2020" s="859"/>
      <c r="X2020" s="859"/>
      <c r="Y2020" s="755">
        <f t="shared" si="267"/>
        <v>0</v>
      </c>
      <c r="Z2020" s="864"/>
      <c r="AA2020" s="863"/>
      <c r="AB2020" s="756">
        <f t="shared" si="268"/>
        <v>0</v>
      </c>
      <c r="AC2020" s="859"/>
      <c r="AD2020" s="863"/>
      <c r="AE2020" s="859"/>
      <c r="AF2020" s="859"/>
      <c r="AG2020" s="864"/>
      <c r="AH2020" s="865"/>
      <c r="AI2020" s="757">
        <f t="shared" si="272"/>
        <v>14672669</v>
      </c>
      <c r="AJ2020" s="758">
        <f t="shared" si="273"/>
        <v>14624384</v>
      </c>
    </row>
    <row r="2021" spans="1:36" x14ac:dyDescent="0.2">
      <c r="A2021" s="1217" t="s">
        <v>153</v>
      </c>
      <c r="B2021" s="1218" t="s">
        <v>264</v>
      </c>
      <c r="C2021" s="1223" t="s">
        <v>1300</v>
      </c>
      <c r="D2021" s="1224"/>
      <c r="E2021" s="1221">
        <v>199731</v>
      </c>
      <c r="F2021" s="1231">
        <v>10</v>
      </c>
      <c r="G2021" s="859"/>
      <c r="H2021" s="860"/>
      <c r="I2021" s="861"/>
      <c r="J2021" s="862"/>
      <c r="K2021" s="859"/>
      <c r="L2021" s="863"/>
      <c r="M2021" s="859"/>
      <c r="N2021" s="859"/>
      <c r="O2021" s="752">
        <f t="shared" si="266"/>
        <v>0</v>
      </c>
      <c r="P2021" s="862"/>
      <c r="Q2021" s="860"/>
      <c r="R2021" s="753">
        <f t="shared" si="269"/>
        <v>0</v>
      </c>
      <c r="S2021" s="752">
        <f t="shared" si="270"/>
        <v>0</v>
      </c>
      <c r="T2021" s="754">
        <f t="shared" si="271"/>
        <v>0</v>
      </c>
      <c r="U2021" s="859"/>
      <c r="V2021" s="863"/>
      <c r="W2021" s="859"/>
      <c r="X2021" s="859"/>
      <c r="Y2021" s="755">
        <f t="shared" si="267"/>
        <v>0</v>
      </c>
      <c r="Z2021" s="864"/>
      <c r="AA2021" s="863"/>
      <c r="AB2021" s="756">
        <f t="shared" si="268"/>
        <v>0</v>
      </c>
      <c r="AC2021" s="859"/>
      <c r="AD2021" s="863"/>
      <c r="AE2021" s="859"/>
      <c r="AF2021" s="859"/>
      <c r="AG2021" s="864"/>
      <c r="AH2021" s="865"/>
      <c r="AI2021" s="757">
        <f t="shared" si="272"/>
        <v>0</v>
      </c>
      <c r="AJ2021" s="758">
        <f t="shared" si="273"/>
        <v>0</v>
      </c>
    </row>
    <row r="2022" spans="1:36" x14ac:dyDescent="0.2">
      <c r="A2022" s="1217" t="s">
        <v>153</v>
      </c>
      <c r="B2022" s="1218" t="s">
        <v>266</v>
      </c>
      <c r="C2022" s="1223" t="s">
        <v>319</v>
      </c>
      <c r="D2022" s="1224"/>
      <c r="E2022" s="1221">
        <v>199731</v>
      </c>
      <c r="F2022" s="1231">
        <v>10</v>
      </c>
      <c r="G2022" s="859"/>
      <c r="H2022" s="860"/>
      <c r="I2022" s="861">
        <v>144713</v>
      </c>
      <c r="J2022" s="862">
        <v>144396</v>
      </c>
      <c r="K2022" s="859"/>
      <c r="L2022" s="863"/>
      <c r="M2022" s="859"/>
      <c r="N2022" s="859"/>
      <c r="O2022" s="752">
        <f t="shared" si="266"/>
        <v>0</v>
      </c>
      <c r="P2022" s="862"/>
      <c r="Q2022" s="860"/>
      <c r="R2022" s="753">
        <f t="shared" si="269"/>
        <v>0</v>
      </c>
      <c r="S2022" s="752">
        <f t="shared" si="270"/>
        <v>144713</v>
      </c>
      <c r="T2022" s="754">
        <f t="shared" si="271"/>
        <v>144396</v>
      </c>
      <c r="U2022" s="859"/>
      <c r="V2022" s="863"/>
      <c r="W2022" s="859"/>
      <c r="X2022" s="859"/>
      <c r="Y2022" s="755">
        <f t="shared" si="267"/>
        <v>0</v>
      </c>
      <c r="Z2022" s="864"/>
      <c r="AA2022" s="863"/>
      <c r="AB2022" s="756">
        <f t="shared" si="268"/>
        <v>0</v>
      </c>
      <c r="AC2022" s="859"/>
      <c r="AD2022" s="863"/>
      <c r="AE2022" s="859"/>
      <c r="AF2022" s="859"/>
      <c r="AG2022" s="864"/>
      <c r="AH2022" s="865"/>
      <c r="AI2022" s="757">
        <f t="shared" si="272"/>
        <v>144713</v>
      </c>
      <c r="AJ2022" s="758">
        <f t="shared" si="273"/>
        <v>144396</v>
      </c>
    </row>
    <row r="2023" spans="1:36" x14ac:dyDescent="0.2">
      <c r="A2023" s="1217" t="s">
        <v>153</v>
      </c>
      <c r="B2023" s="1218" t="s">
        <v>275</v>
      </c>
      <c r="C2023" s="1223" t="s">
        <v>258</v>
      </c>
      <c r="D2023" s="1224"/>
      <c r="E2023" s="1221">
        <v>199731</v>
      </c>
      <c r="F2023" s="1231">
        <v>10</v>
      </c>
      <c r="G2023" s="859"/>
      <c r="H2023" s="860"/>
      <c r="I2023" s="861">
        <v>1906556</v>
      </c>
      <c r="J2023" s="862">
        <v>1660944</v>
      </c>
      <c r="K2023" s="859"/>
      <c r="L2023" s="863"/>
      <c r="M2023" s="859">
        <v>311903</v>
      </c>
      <c r="N2023" s="859"/>
      <c r="O2023" s="752">
        <f t="shared" si="266"/>
        <v>311903</v>
      </c>
      <c r="P2023" s="862">
        <v>285587</v>
      </c>
      <c r="Q2023" s="860"/>
      <c r="R2023" s="753">
        <f t="shared" si="269"/>
        <v>285587</v>
      </c>
      <c r="S2023" s="752">
        <f t="shared" si="270"/>
        <v>2218459</v>
      </c>
      <c r="T2023" s="754">
        <f t="shared" si="271"/>
        <v>1946531</v>
      </c>
      <c r="U2023" s="859"/>
      <c r="V2023" s="863"/>
      <c r="W2023" s="859"/>
      <c r="X2023" s="859"/>
      <c r="Y2023" s="755">
        <f t="shared" si="267"/>
        <v>0</v>
      </c>
      <c r="Z2023" s="864"/>
      <c r="AA2023" s="863"/>
      <c r="AB2023" s="756">
        <f t="shared" si="268"/>
        <v>0</v>
      </c>
      <c r="AC2023" s="859"/>
      <c r="AD2023" s="863"/>
      <c r="AE2023" s="859"/>
      <c r="AF2023" s="859"/>
      <c r="AG2023" s="864"/>
      <c r="AH2023" s="865"/>
      <c r="AI2023" s="757">
        <f t="shared" si="272"/>
        <v>2218459</v>
      </c>
      <c r="AJ2023" s="758">
        <f t="shared" si="273"/>
        <v>1946531</v>
      </c>
    </row>
    <row r="2024" spans="1:36" x14ac:dyDescent="0.2">
      <c r="A2024" s="1217" t="s">
        <v>153</v>
      </c>
      <c r="B2024" s="1218" t="s">
        <v>264</v>
      </c>
      <c r="C2024" s="1218" t="s">
        <v>1356</v>
      </c>
      <c r="D2024" s="1242"/>
      <c r="E2024" s="1221">
        <v>199795</v>
      </c>
      <c r="F2024" s="1222">
        <v>10</v>
      </c>
      <c r="G2024" s="859">
        <v>5185670</v>
      </c>
      <c r="H2024" s="860">
        <v>5001305</v>
      </c>
      <c r="I2024" s="861"/>
      <c r="J2024" s="862"/>
      <c r="K2024" s="859">
        <v>949421</v>
      </c>
      <c r="L2024" s="863">
        <v>894205</v>
      </c>
      <c r="M2024" s="859">
        <v>1731536</v>
      </c>
      <c r="N2024" s="859"/>
      <c r="O2024" s="752">
        <f t="shared" si="266"/>
        <v>1731536</v>
      </c>
      <c r="P2024" s="862">
        <v>2057894</v>
      </c>
      <c r="Q2024" s="860"/>
      <c r="R2024" s="753">
        <f t="shared" si="269"/>
        <v>2057894</v>
      </c>
      <c r="S2024" s="752">
        <f t="shared" si="270"/>
        <v>7866627</v>
      </c>
      <c r="T2024" s="754">
        <f t="shared" si="271"/>
        <v>7953404</v>
      </c>
      <c r="U2024" s="859"/>
      <c r="V2024" s="863"/>
      <c r="W2024" s="859"/>
      <c r="X2024" s="859"/>
      <c r="Y2024" s="755">
        <f t="shared" si="267"/>
        <v>0</v>
      </c>
      <c r="Z2024" s="864"/>
      <c r="AA2024" s="863"/>
      <c r="AB2024" s="756">
        <f t="shared" si="268"/>
        <v>0</v>
      </c>
      <c r="AC2024" s="859"/>
      <c r="AD2024" s="863"/>
      <c r="AE2024" s="859"/>
      <c r="AF2024" s="859"/>
      <c r="AG2024" s="864"/>
      <c r="AH2024" s="865"/>
      <c r="AI2024" s="757">
        <f t="shared" si="272"/>
        <v>7866627</v>
      </c>
      <c r="AJ2024" s="758">
        <f t="shared" si="273"/>
        <v>7953404</v>
      </c>
    </row>
    <row r="2025" spans="1:36" x14ac:dyDescent="0.2">
      <c r="A2025" s="1217" t="s">
        <v>153</v>
      </c>
      <c r="B2025" s="1218" t="s">
        <v>264</v>
      </c>
      <c r="C2025" s="1223" t="s">
        <v>1300</v>
      </c>
      <c r="D2025" s="1224"/>
      <c r="E2025" s="1221">
        <v>199795</v>
      </c>
      <c r="F2025" s="1222">
        <v>10</v>
      </c>
      <c r="G2025" s="859"/>
      <c r="H2025" s="860"/>
      <c r="I2025" s="861"/>
      <c r="J2025" s="862"/>
      <c r="K2025" s="859"/>
      <c r="L2025" s="863"/>
      <c r="M2025" s="859"/>
      <c r="N2025" s="859"/>
      <c r="O2025" s="752">
        <f t="shared" si="266"/>
        <v>0</v>
      </c>
      <c r="P2025" s="862"/>
      <c r="Q2025" s="860"/>
      <c r="R2025" s="753">
        <f t="shared" si="269"/>
        <v>0</v>
      </c>
      <c r="S2025" s="752">
        <f t="shared" si="270"/>
        <v>0</v>
      </c>
      <c r="T2025" s="754">
        <f t="shared" si="271"/>
        <v>0</v>
      </c>
      <c r="U2025" s="859"/>
      <c r="V2025" s="863"/>
      <c r="W2025" s="859"/>
      <c r="X2025" s="859"/>
      <c r="Y2025" s="755">
        <f t="shared" si="267"/>
        <v>0</v>
      </c>
      <c r="Z2025" s="864"/>
      <c r="AA2025" s="863"/>
      <c r="AB2025" s="756">
        <f t="shared" si="268"/>
        <v>0</v>
      </c>
      <c r="AC2025" s="859"/>
      <c r="AD2025" s="863"/>
      <c r="AE2025" s="859"/>
      <c r="AF2025" s="859"/>
      <c r="AG2025" s="864"/>
      <c r="AH2025" s="865"/>
      <c r="AI2025" s="757">
        <f t="shared" si="272"/>
        <v>0</v>
      </c>
      <c r="AJ2025" s="758">
        <f t="shared" si="273"/>
        <v>0</v>
      </c>
    </row>
    <row r="2026" spans="1:36" x14ac:dyDescent="0.2">
      <c r="A2026" s="1217" t="s">
        <v>153</v>
      </c>
      <c r="B2026" s="1218" t="s">
        <v>266</v>
      </c>
      <c r="C2026" s="1223" t="s">
        <v>319</v>
      </c>
      <c r="D2026" s="1224"/>
      <c r="E2026" s="1221">
        <v>199795</v>
      </c>
      <c r="F2026" s="1222">
        <v>10</v>
      </c>
      <c r="G2026" s="859"/>
      <c r="H2026" s="860"/>
      <c r="I2026" s="861">
        <v>148713</v>
      </c>
      <c r="J2026" s="862">
        <v>147206</v>
      </c>
      <c r="K2026" s="859"/>
      <c r="L2026" s="863"/>
      <c r="M2026" s="859"/>
      <c r="N2026" s="859"/>
      <c r="O2026" s="752">
        <f t="shared" si="266"/>
        <v>0</v>
      </c>
      <c r="P2026" s="862"/>
      <c r="Q2026" s="860"/>
      <c r="R2026" s="753">
        <f t="shared" si="269"/>
        <v>0</v>
      </c>
      <c r="S2026" s="752">
        <f t="shared" si="270"/>
        <v>148713</v>
      </c>
      <c r="T2026" s="754">
        <f t="shared" si="271"/>
        <v>147206</v>
      </c>
      <c r="U2026" s="859"/>
      <c r="V2026" s="863"/>
      <c r="W2026" s="859"/>
      <c r="X2026" s="859"/>
      <c r="Y2026" s="755">
        <f t="shared" si="267"/>
        <v>0</v>
      </c>
      <c r="Z2026" s="864"/>
      <c r="AA2026" s="863"/>
      <c r="AB2026" s="756">
        <f t="shared" si="268"/>
        <v>0</v>
      </c>
      <c r="AC2026" s="859"/>
      <c r="AD2026" s="863"/>
      <c r="AE2026" s="859"/>
      <c r="AF2026" s="859"/>
      <c r="AG2026" s="864"/>
      <c r="AH2026" s="865"/>
      <c r="AI2026" s="757">
        <f t="shared" si="272"/>
        <v>148713</v>
      </c>
      <c r="AJ2026" s="758">
        <f t="shared" si="273"/>
        <v>147206</v>
      </c>
    </row>
    <row r="2027" spans="1:36" x14ac:dyDescent="0.2">
      <c r="A2027" s="1217" t="s">
        <v>153</v>
      </c>
      <c r="B2027" s="1218" t="s">
        <v>275</v>
      </c>
      <c r="C2027" s="1223" t="s">
        <v>258</v>
      </c>
      <c r="D2027" s="1224"/>
      <c r="E2027" s="1221">
        <v>199795</v>
      </c>
      <c r="F2027" s="1222">
        <v>10</v>
      </c>
      <c r="G2027" s="859"/>
      <c r="H2027" s="860"/>
      <c r="I2027" s="861">
        <v>667312</v>
      </c>
      <c r="J2027" s="862">
        <v>643495</v>
      </c>
      <c r="K2027" s="859"/>
      <c r="L2027" s="863"/>
      <c r="M2027" s="859">
        <v>159454</v>
      </c>
      <c r="N2027" s="859"/>
      <c r="O2027" s="752">
        <f t="shared" si="266"/>
        <v>159454</v>
      </c>
      <c r="P2027" s="862">
        <v>105750</v>
      </c>
      <c r="Q2027" s="860"/>
      <c r="R2027" s="753">
        <f t="shared" si="269"/>
        <v>105750</v>
      </c>
      <c r="S2027" s="752">
        <f t="shared" si="270"/>
        <v>826766</v>
      </c>
      <c r="T2027" s="754">
        <f t="shared" si="271"/>
        <v>749245</v>
      </c>
      <c r="U2027" s="859"/>
      <c r="V2027" s="863"/>
      <c r="W2027" s="859"/>
      <c r="X2027" s="859"/>
      <c r="Y2027" s="755">
        <f t="shared" si="267"/>
        <v>0</v>
      </c>
      <c r="Z2027" s="864"/>
      <c r="AA2027" s="863"/>
      <c r="AB2027" s="756">
        <f t="shared" si="268"/>
        <v>0</v>
      </c>
      <c r="AC2027" s="859"/>
      <c r="AD2027" s="863"/>
      <c r="AE2027" s="859"/>
      <c r="AF2027" s="859"/>
      <c r="AG2027" s="864"/>
      <c r="AH2027" s="865"/>
      <c r="AI2027" s="757">
        <f t="shared" si="272"/>
        <v>826766</v>
      </c>
      <c r="AJ2027" s="758">
        <f t="shared" si="273"/>
        <v>749245</v>
      </c>
    </row>
    <row r="2028" spans="1:36" x14ac:dyDescent="0.2">
      <c r="A2028" s="1217" t="s">
        <v>153</v>
      </c>
      <c r="B2028" s="1218" t="s">
        <v>264</v>
      </c>
      <c r="C2028" s="1303" t="s">
        <v>1357</v>
      </c>
      <c r="D2028" s="1304"/>
      <c r="E2028" s="1221">
        <v>199953</v>
      </c>
      <c r="F2028" s="1231">
        <v>10</v>
      </c>
      <c r="G2028" s="859">
        <v>6432392</v>
      </c>
      <c r="H2028" s="860">
        <v>6427771</v>
      </c>
      <c r="I2028" s="861"/>
      <c r="J2028" s="862"/>
      <c r="K2028" s="859">
        <v>1715996</v>
      </c>
      <c r="L2028" s="863">
        <v>1949294</v>
      </c>
      <c r="M2028" s="859">
        <v>3181428</v>
      </c>
      <c r="N2028" s="859"/>
      <c r="O2028" s="752">
        <f t="shared" si="266"/>
        <v>3181428</v>
      </c>
      <c r="P2028" s="862">
        <v>2625400</v>
      </c>
      <c r="Q2028" s="860"/>
      <c r="R2028" s="753">
        <f t="shared" si="269"/>
        <v>2625400</v>
      </c>
      <c r="S2028" s="752">
        <f t="shared" si="270"/>
        <v>11329816</v>
      </c>
      <c r="T2028" s="754">
        <f t="shared" si="271"/>
        <v>11002465</v>
      </c>
      <c r="U2028" s="859"/>
      <c r="V2028" s="863"/>
      <c r="W2028" s="859"/>
      <c r="X2028" s="859"/>
      <c r="Y2028" s="755">
        <f t="shared" si="267"/>
        <v>0</v>
      </c>
      <c r="Z2028" s="864"/>
      <c r="AA2028" s="863"/>
      <c r="AB2028" s="756">
        <f t="shared" si="268"/>
        <v>0</v>
      </c>
      <c r="AC2028" s="859"/>
      <c r="AD2028" s="863"/>
      <c r="AE2028" s="859"/>
      <c r="AF2028" s="859"/>
      <c r="AG2028" s="864"/>
      <c r="AH2028" s="865"/>
      <c r="AI2028" s="757">
        <f t="shared" si="272"/>
        <v>11329816</v>
      </c>
      <c r="AJ2028" s="758">
        <f t="shared" si="273"/>
        <v>11002465</v>
      </c>
    </row>
    <row r="2029" spans="1:36" x14ac:dyDescent="0.2">
      <c r="A2029" s="1217" t="s">
        <v>153</v>
      </c>
      <c r="B2029" s="1218" t="s">
        <v>264</v>
      </c>
      <c r="C2029" s="1223" t="s">
        <v>1300</v>
      </c>
      <c r="D2029" s="1224"/>
      <c r="E2029" s="1221">
        <v>199953</v>
      </c>
      <c r="F2029" s="1231">
        <v>10</v>
      </c>
      <c r="G2029" s="859"/>
      <c r="H2029" s="860"/>
      <c r="I2029" s="861"/>
      <c r="J2029" s="862"/>
      <c r="K2029" s="859"/>
      <c r="L2029" s="863"/>
      <c r="M2029" s="859"/>
      <c r="N2029" s="859"/>
      <c r="O2029" s="752">
        <f t="shared" si="266"/>
        <v>0</v>
      </c>
      <c r="P2029" s="862"/>
      <c r="Q2029" s="860"/>
      <c r="R2029" s="753">
        <f t="shared" si="269"/>
        <v>0</v>
      </c>
      <c r="S2029" s="752">
        <f t="shared" si="270"/>
        <v>0</v>
      </c>
      <c r="T2029" s="754">
        <f t="shared" si="271"/>
        <v>0</v>
      </c>
      <c r="U2029" s="859"/>
      <c r="V2029" s="863"/>
      <c r="W2029" s="859"/>
      <c r="X2029" s="859"/>
      <c r="Y2029" s="755">
        <f t="shared" si="267"/>
        <v>0</v>
      </c>
      <c r="Z2029" s="864"/>
      <c r="AA2029" s="863"/>
      <c r="AB2029" s="756">
        <f t="shared" si="268"/>
        <v>0</v>
      </c>
      <c r="AC2029" s="859"/>
      <c r="AD2029" s="863"/>
      <c r="AE2029" s="859"/>
      <c r="AF2029" s="859"/>
      <c r="AG2029" s="864"/>
      <c r="AH2029" s="865"/>
      <c r="AI2029" s="757">
        <f t="shared" si="272"/>
        <v>0</v>
      </c>
      <c r="AJ2029" s="758">
        <f t="shared" si="273"/>
        <v>0</v>
      </c>
    </row>
    <row r="2030" spans="1:36" x14ac:dyDescent="0.2">
      <c r="A2030" s="1217" t="s">
        <v>153</v>
      </c>
      <c r="B2030" s="1218" t="s">
        <v>266</v>
      </c>
      <c r="C2030" s="1223" t="s">
        <v>319</v>
      </c>
      <c r="D2030" s="1224"/>
      <c r="E2030" s="1221">
        <v>199953</v>
      </c>
      <c r="F2030" s="1231">
        <v>10</v>
      </c>
      <c r="G2030" s="859"/>
      <c r="H2030" s="860"/>
      <c r="I2030" s="861">
        <v>157703</v>
      </c>
      <c r="J2030" s="862">
        <v>170464</v>
      </c>
      <c r="K2030" s="859"/>
      <c r="L2030" s="863"/>
      <c r="M2030" s="859"/>
      <c r="N2030" s="859"/>
      <c r="O2030" s="752">
        <f t="shared" si="266"/>
        <v>0</v>
      </c>
      <c r="P2030" s="862"/>
      <c r="Q2030" s="860"/>
      <c r="R2030" s="753">
        <f t="shared" si="269"/>
        <v>0</v>
      </c>
      <c r="S2030" s="752">
        <f t="shared" si="270"/>
        <v>157703</v>
      </c>
      <c r="T2030" s="754">
        <f t="shared" si="271"/>
        <v>170464</v>
      </c>
      <c r="U2030" s="859"/>
      <c r="V2030" s="863"/>
      <c r="W2030" s="859"/>
      <c r="X2030" s="859"/>
      <c r="Y2030" s="755">
        <f t="shared" si="267"/>
        <v>0</v>
      </c>
      <c r="Z2030" s="864"/>
      <c r="AA2030" s="863"/>
      <c r="AB2030" s="756">
        <f t="shared" si="268"/>
        <v>0</v>
      </c>
      <c r="AC2030" s="859"/>
      <c r="AD2030" s="863"/>
      <c r="AE2030" s="859"/>
      <c r="AF2030" s="859"/>
      <c r="AG2030" s="864"/>
      <c r="AH2030" s="865"/>
      <c r="AI2030" s="757">
        <f t="shared" si="272"/>
        <v>157703</v>
      </c>
      <c r="AJ2030" s="758">
        <f t="shared" si="273"/>
        <v>170464</v>
      </c>
    </row>
    <row r="2031" spans="1:36" x14ac:dyDescent="0.2">
      <c r="A2031" s="1217" t="s">
        <v>153</v>
      </c>
      <c r="B2031" s="1218" t="s">
        <v>275</v>
      </c>
      <c r="C2031" s="1223" t="s">
        <v>258</v>
      </c>
      <c r="D2031" s="1224"/>
      <c r="E2031" s="1221">
        <v>199953</v>
      </c>
      <c r="F2031" s="1231">
        <v>10</v>
      </c>
      <c r="G2031" s="859"/>
      <c r="H2031" s="860"/>
      <c r="I2031" s="861">
        <v>1417076</v>
      </c>
      <c r="J2031" s="862">
        <v>1487618</v>
      </c>
      <c r="K2031" s="859"/>
      <c r="L2031" s="863"/>
      <c r="M2031" s="859">
        <v>316883</v>
      </c>
      <c r="N2031" s="859"/>
      <c r="O2031" s="752">
        <f t="shared" si="266"/>
        <v>316883</v>
      </c>
      <c r="P2031" s="862">
        <v>197570</v>
      </c>
      <c r="Q2031" s="860"/>
      <c r="R2031" s="753">
        <f t="shared" si="269"/>
        <v>197570</v>
      </c>
      <c r="S2031" s="752">
        <f t="shared" si="270"/>
        <v>1733959</v>
      </c>
      <c r="T2031" s="754">
        <f t="shared" si="271"/>
        <v>1685188</v>
      </c>
      <c r="U2031" s="859"/>
      <c r="V2031" s="863"/>
      <c r="W2031" s="859"/>
      <c r="X2031" s="859"/>
      <c r="Y2031" s="755">
        <f t="shared" si="267"/>
        <v>0</v>
      </c>
      <c r="Z2031" s="864"/>
      <c r="AA2031" s="863"/>
      <c r="AB2031" s="756">
        <f t="shared" si="268"/>
        <v>0</v>
      </c>
      <c r="AC2031" s="859"/>
      <c r="AD2031" s="863"/>
      <c r="AE2031" s="859"/>
      <c r="AF2031" s="859"/>
      <c r="AG2031" s="864"/>
      <c r="AH2031" s="865"/>
      <c r="AI2031" s="757">
        <f t="shared" si="272"/>
        <v>1733959</v>
      </c>
      <c r="AJ2031" s="758">
        <f t="shared" si="273"/>
        <v>1685188</v>
      </c>
    </row>
    <row r="2032" spans="1:36" x14ac:dyDescent="0.2">
      <c r="A2032" s="1217" t="s">
        <v>153</v>
      </c>
      <c r="B2032" s="1218" t="s">
        <v>279</v>
      </c>
      <c r="C2032" s="1241" t="s">
        <v>12</v>
      </c>
      <c r="D2032" s="1242"/>
      <c r="E2032" s="1236"/>
      <c r="F2032" s="1237"/>
      <c r="G2032" s="859"/>
      <c r="H2032" s="860"/>
      <c r="I2032" s="861"/>
      <c r="J2032" s="862"/>
      <c r="K2032" s="859"/>
      <c r="L2032" s="863"/>
      <c r="M2032" s="859"/>
      <c r="N2032" s="859"/>
      <c r="O2032" s="752">
        <f t="shared" si="266"/>
        <v>0</v>
      </c>
      <c r="P2032" s="862"/>
      <c r="Q2032" s="860"/>
      <c r="R2032" s="753">
        <f t="shared" si="269"/>
        <v>0</v>
      </c>
      <c r="S2032" s="752">
        <f t="shared" si="270"/>
        <v>0</v>
      </c>
      <c r="T2032" s="754">
        <f t="shared" si="271"/>
        <v>0</v>
      </c>
      <c r="U2032" s="859"/>
      <c r="V2032" s="863"/>
      <c r="W2032" s="859"/>
      <c r="X2032" s="859"/>
      <c r="Y2032" s="755">
        <f t="shared" si="267"/>
        <v>0</v>
      </c>
      <c r="Z2032" s="864"/>
      <c r="AA2032" s="863"/>
      <c r="AB2032" s="756">
        <f t="shared" si="268"/>
        <v>0</v>
      </c>
      <c r="AC2032" s="859"/>
      <c r="AD2032" s="863"/>
      <c r="AE2032" s="859"/>
      <c r="AF2032" s="859"/>
      <c r="AG2032" s="864"/>
      <c r="AH2032" s="865"/>
      <c r="AI2032" s="757">
        <f t="shared" si="272"/>
        <v>0</v>
      </c>
      <c r="AJ2032" s="758">
        <f t="shared" si="273"/>
        <v>0</v>
      </c>
    </row>
    <row r="2033" spans="1:36" x14ac:dyDescent="0.2">
      <c r="A2033" s="1217" t="s">
        <v>153</v>
      </c>
      <c r="B2033" s="1218" t="s">
        <v>279</v>
      </c>
      <c r="C2033" s="1225" t="s">
        <v>1358</v>
      </c>
      <c r="D2033" s="1224"/>
      <c r="E2033" s="1236"/>
      <c r="F2033" s="1222"/>
      <c r="G2033" s="859"/>
      <c r="H2033" s="860"/>
      <c r="I2033" s="861">
        <v>1144991</v>
      </c>
      <c r="J2033" s="862">
        <v>1405957</v>
      </c>
      <c r="K2033" s="859"/>
      <c r="L2033" s="863"/>
      <c r="M2033" s="859"/>
      <c r="N2033" s="859"/>
      <c r="O2033" s="752">
        <f t="shared" si="266"/>
        <v>0</v>
      </c>
      <c r="P2033" s="862"/>
      <c r="Q2033" s="860"/>
      <c r="R2033" s="753">
        <f t="shared" si="269"/>
        <v>0</v>
      </c>
      <c r="S2033" s="752">
        <f t="shared" si="270"/>
        <v>1144991</v>
      </c>
      <c r="T2033" s="754">
        <f t="shared" si="271"/>
        <v>1405957</v>
      </c>
      <c r="U2033" s="859"/>
      <c r="V2033" s="863"/>
      <c r="W2033" s="859"/>
      <c r="X2033" s="859"/>
      <c r="Y2033" s="755">
        <f t="shared" si="267"/>
        <v>0</v>
      </c>
      <c r="Z2033" s="864"/>
      <c r="AA2033" s="863"/>
      <c r="AB2033" s="756">
        <f t="shared" si="268"/>
        <v>0</v>
      </c>
      <c r="AC2033" s="859"/>
      <c r="AD2033" s="863"/>
      <c r="AE2033" s="859"/>
      <c r="AF2033" s="859"/>
      <c r="AG2033" s="864"/>
      <c r="AH2033" s="865"/>
      <c r="AI2033" s="757">
        <f t="shared" si="272"/>
        <v>1144991</v>
      </c>
      <c r="AJ2033" s="758">
        <f t="shared" si="273"/>
        <v>1405957</v>
      </c>
    </row>
    <row r="2034" spans="1:36" x14ac:dyDescent="0.2">
      <c r="A2034" s="1217" t="s">
        <v>153</v>
      </c>
      <c r="B2034" s="1218" t="s">
        <v>279</v>
      </c>
      <c r="C2034" s="1225" t="s">
        <v>1359</v>
      </c>
      <c r="D2034" s="1224"/>
      <c r="E2034" s="1236"/>
      <c r="F2034" s="1222"/>
      <c r="G2034" s="859"/>
      <c r="H2034" s="860"/>
      <c r="I2034" s="861">
        <v>19814613</v>
      </c>
      <c r="J2034" s="862">
        <v>19635508</v>
      </c>
      <c r="K2034" s="859"/>
      <c r="L2034" s="863"/>
      <c r="M2034" s="859"/>
      <c r="N2034" s="859"/>
      <c r="O2034" s="752">
        <f t="shared" si="266"/>
        <v>0</v>
      </c>
      <c r="P2034" s="862"/>
      <c r="Q2034" s="860"/>
      <c r="R2034" s="753">
        <f t="shared" si="269"/>
        <v>0</v>
      </c>
      <c r="S2034" s="752">
        <f t="shared" si="270"/>
        <v>19814613</v>
      </c>
      <c r="T2034" s="754">
        <f t="shared" si="271"/>
        <v>19635508</v>
      </c>
      <c r="U2034" s="859"/>
      <c r="V2034" s="863"/>
      <c r="W2034" s="859"/>
      <c r="X2034" s="859"/>
      <c r="Y2034" s="755">
        <f t="shared" si="267"/>
        <v>0</v>
      </c>
      <c r="Z2034" s="864"/>
      <c r="AA2034" s="863"/>
      <c r="AB2034" s="756">
        <f t="shared" si="268"/>
        <v>0</v>
      </c>
      <c r="AC2034" s="859"/>
      <c r="AD2034" s="863"/>
      <c r="AE2034" s="859"/>
      <c r="AF2034" s="859"/>
      <c r="AG2034" s="864"/>
      <c r="AH2034" s="865"/>
      <c r="AI2034" s="757">
        <f t="shared" si="272"/>
        <v>19814613</v>
      </c>
      <c r="AJ2034" s="758">
        <f t="shared" si="273"/>
        <v>19635508</v>
      </c>
    </row>
    <row r="2035" spans="1:36" x14ac:dyDescent="0.2">
      <c r="A2035" s="1217" t="s">
        <v>153</v>
      </c>
      <c r="B2035" s="1218" t="s">
        <v>281</v>
      </c>
      <c r="C2035" s="1241" t="s">
        <v>109</v>
      </c>
      <c r="D2035" s="1242"/>
      <c r="E2035" s="1221"/>
      <c r="F2035" s="1222"/>
      <c r="G2035" s="859"/>
      <c r="H2035" s="860"/>
      <c r="I2035" s="861"/>
      <c r="J2035" s="862"/>
      <c r="K2035" s="859"/>
      <c r="L2035" s="863"/>
      <c r="M2035" s="859"/>
      <c r="N2035" s="859"/>
      <c r="O2035" s="752">
        <f t="shared" si="266"/>
        <v>0</v>
      </c>
      <c r="P2035" s="862"/>
      <c r="Q2035" s="860"/>
      <c r="R2035" s="753">
        <f t="shared" si="269"/>
        <v>0</v>
      </c>
      <c r="S2035" s="752">
        <f t="shared" si="270"/>
        <v>0</v>
      </c>
      <c r="T2035" s="754">
        <f t="shared" si="271"/>
        <v>0</v>
      </c>
      <c r="U2035" s="859"/>
      <c r="V2035" s="863"/>
      <c r="W2035" s="859"/>
      <c r="X2035" s="859"/>
      <c r="Y2035" s="755">
        <f t="shared" si="267"/>
        <v>0</v>
      </c>
      <c r="Z2035" s="864"/>
      <c r="AA2035" s="863"/>
      <c r="AB2035" s="756">
        <f t="shared" si="268"/>
        <v>0</v>
      </c>
      <c r="AC2035" s="859"/>
      <c r="AD2035" s="863"/>
      <c r="AE2035" s="859"/>
      <c r="AF2035" s="859"/>
      <c r="AG2035" s="864"/>
      <c r="AH2035" s="865"/>
      <c r="AI2035" s="757">
        <f t="shared" si="272"/>
        <v>0</v>
      </c>
      <c r="AJ2035" s="758">
        <f t="shared" si="273"/>
        <v>0</v>
      </c>
    </row>
    <row r="2036" spans="1:36" x14ac:dyDescent="0.2">
      <c r="A2036" s="1217" t="s">
        <v>153</v>
      </c>
      <c r="B2036" s="1218" t="s">
        <v>283</v>
      </c>
      <c r="C2036" s="1223" t="s">
        <v>139</v>
      </c>
      <c r="D2036" s="1224"/>
      <c r="E2036" s="1221"/>
      <c r="F2036" s="1222"/>
      <c r="G2036" s="859"/>
      <c r="H2036" s="860"/>
      <c r="I2036" s="861"/>
      <c r="J2036" s="862"/>
      <c r="K2036" s="859"/>
      <c r="L2036" s="863"/>
      <c r="M2036" s="859"/>
      <c r="N2036" s="859"/>
      <c r="O2036" s="752">
        <f t="shared" si="266"/>
        <v>0</v>
      </c>
      <c r="P2036" s="862"/>
      <c r="Q2036" s="860"/>
      <c r="R2036" s="753">
        <f t="shared" si="269"/>
        <v>0</v>
      </c>
      <c r="S2036" s="752">
        <f t="shared" si="270"/>
        <v>0</v>
      </c>
      <c r="T2036" s="754">
        <f t="shared" si="271"/>
        <v>0</v>
      </c>
      <c r="U2036" s="859"/>
      <c r="V2036" s="863"/>
      <c r="W2036" s="859"/>
      <c r="X2036" s="859"/>
      <c r="Y2036" s="755">
        <f t="shared" si="267"/>
        <v>0</v>
      </c>
      <c r="Z2036" s="864"/>
      <c r="AA2036" s="863"/>
      <c r="AB2036" s="756">
        <f t="shared" si="268"/>
        <v>0</v>
      </c>
      <c r="AC2036" s="859"/>
      <c r="AD2036" s="863"/>
      <c r="AE2036" s="859"/>
      <c r="AF2036" s="859"/>
      <c r="AG2036" s="864"/>
      <c r="AH2036" s="865"/>
      <c r="AI2036" s="757">
        <f t="shared" si="272"/>
        <v>0</v>
      </c>
      <c r="AJ2036" s="758">
        <f t="shared" si="273"/>
        <v>0</v>
      </c>
    </row>
    <row r="2037" spans="1:36" x14ac:dyDescent="0.2">
      <c r="A2037" s="1217" t="s">
        <v>153</v>
      </c>
      <c r="B2037" s="1218" t="s">
        <v>283</v>
      </c>
      <c r="C2037" s="1225" t="s">
        <v>1360</v>
      </c>
      <c r="D2037" s="1224"/>
      <c r="E2037" s="1221"/>
      <c r="F2037" s="1222"/>
      <c r="G2037" s="859"/>
      <c r="H2037" s="860"/>
      <c r="I2037" s="861"/>
      <c r="J2037" s="862"/>
      <c r="K2037" s="859"/>
      <c r="L2037" s="863"/>
      <c r="M2037" s="859"/>
      <c r="N2037" s="859"/>
      <c r="O2037" s="752">
        <f t="shared" si="266"/>
        <v>0</v>
      </c>
      <c r="P2037" s="862"/>
      <c r="Q2037" s="860"/>
      <c r="R2037" s="753">
        <f t="shared" si="269"/>
        <v>0</v>
      </c>
      <c r="S2037" s="752">
        <f t="shared" si="270"/>
        <v>0</v>
      </c>
      <c r="T2037" s="754">
        <f t="shared" si="271"/>
        <v>0</v>
      </c>
      <c r="U2037" s="859">
        <v>24260507</v>
      </c>
      <c r="V2037" s="863">
        <v>24555569</v>
      </c>
      <c r="W2037" s="859"/>
      <c r="X2037" s="859"/>
      <c r="Y2037" s="755">
        <f t="shared" si="267"/>
        <v>0</v>
      </c>
      <c r="Z2037" s="864"/>
      <c r="AA2037" s="863"/>
      <c r="AB2037" s="756">
        <f t="shared" si="268"/>
        <v>0</v>
      </c>
      <c r="AC2037" s="859"/>
      <c r="AD2037" s="863"/>
      <c r="AE2037" s="859"/>
      <c r="AF2037" s="859"/>
      <c r="AG2037" s="864"/>
      <c r="AH2037" s="865"/>
      <c r="AI2037" s="757">
        <f t="shared" si="272"/>
        <v>24260507</v>
      </c>
      <c r="AJ2037" s="758">
        <f t="shared" si="273"/>
        <v>24555569</v>
      </c>
    </row>
    <row r="2038" spans="1:36" x14ac:dyDescent="0.2">
      <c r="A2038" s="1311" t="s">
        <v>154</v>
      </c>
      <c r="B2038" s="844" t="s">
        <v>264</v>
      </c>
      <c r="C2038" s="868" t="s">
        <v>1362</v>
      </c>
      <c r="D2038" s="869"/>
      <c r="E2038" s="1312">
        <v>207388</v>
      </c>
      <c r="F2038" s="847">
        <v>1</v>
      </c>
      <c r="G2038" s="859">
        <v>119822306</v>
      </c>
      <c r="H2038" s="860">
        <v>120972506</v>
      </c>
      <c r="I2038" s="861"/>
      <c r="J2038" s="862"/>
      <c r="K2038" s="859"/>
      <c r="L2038" s="863"/>
      <c r="M2038" s="859">
        <v>191203606</v>
      </c>
      <c r="N2038" s="859"/>
      <c r="O2038" s="752">
        <f t="shared" si="266"/>
        <v>191203606</v>
      </c>
      <c r="P2038" s="862">
        <v>216489111</v>
      </c>
      <c r="Q2038" s="860"/>
      <c r="R2038" s="753">
        <f t="shared" si="269"/>
        <v>216489111</v>
      </c>
      <c r="S2038" s="752">
        <f t="shared" si="270"/>
        <v>311025912</v>
      </c>
      <c r="T2038" s="754">
        <f t="shared" si="271"/>
        <v>337461617</v>
      </c>
      <c r="U2038" s="859"/>
      <c r="V2038" s="863"/>
      <c r="W2038" s="859"/>
      <c r="X2038" s="859"/>
      <c r="Y2038" s="755">
        <f t="shared" si="267"/>
        <v>0</v>
      </c>
      <c r="Z2038" s="864"/>
      <c r="AA2038" s="863"/>
      <c r="AB2038" s="756">
        <f t="shared" si="268"/>
        <v>0</v>
      </c>
      <c r="AC2038" s="859"/>
      <c r="AD2038" s="863"/>
      <c r="AE2038" s="859"/>
      <c r="AF2038" s="859"/>
      <c r="AG2038" s="864"/>
      <c r="AH2038" s="865"/>
      <c r="AI2038" s="757">
        <f t="shared" si="272"/>
        <v>311025912</v>
      </c>
      <c r="AJ2038" s="758">
        <f t="shared" si="273"/>
        <v>337461617</v>
      </c>
    </row>
    <row r="2039" spans="1:36" x14ac:dyDescent="0.2">
      <c r="A2039" s="1311" t="s">
        <v>154</v>
      </c>
      <c r="B2039" s="844" t="s">
        <v>280</v>
      </c>
      <c r="C2039" s="866" t="s">
        <v>453</v>
      </c>
      <c r="D2039" s="845"/>
      <c r="E2039" s="1312">
        <v>207388</v>
      </c>
      <c r="F2039" s="847">
        <v>1</v>
      </c>
      <c r="G2039" s="859"/>
      <c r="H2039" s="860"/>
      <c r="I2039" s="861"/>
      <c r="J2039" s="862"/>
      <c r="K2039" s="859"/>
      <c r="L2039" s="863"/>
      <c r="M2039" s="859"/>
      <c r="N2039" s="859"/>
      <c r="O2039" s="752">
        <f t="shared" si="266"/>
        <v>0</v>
      </c>
      <c r="P2039" s="862"/>
      <c r="Q2039" s="860"/>
      <c r="R2039" s="753">
        <f t="shared" si="269"/>
        <v>0</v>
      </c>
      <c r="S2039" s="752">
        <f t="shared" si="270"/>
        <v>0</v>
      </c>
      <c r="T2039" s="754">
        <f t="shared" si="271"/>
        <v>0</v>
      </c>
      <c r="U2039" s="859"/>
      <c r="V2039" s="863"/>
      <c r="W2039" s="859"/>
      <c r="X2039" s="859"/>
      <c r="Y2039" s="755">
        <f t="shared" si="267"/>
        <v>0</v>
      </c>
      <c r="Z2039" s="864"/>
      <c r="AA2039" s="863"/>
      <c r="AB2039" s="756">
        <f t="shared" si="268"/>
        <v>0</v>
      </c>
      <c r="AC2039" s="859">
        <v>10806637</v>
      </c>
      <c r="AD2039" s="863">
        <v>10902937</v>
      </c>
      <c r="AE2039" s="859"/>
      <c r="AF2039" s="859"/>
      <c r="AG2039" s="864"/>
      <c r="AH2039" s="865"/>
      <c r="AI2039" s="757">
        <f t="shared" si="272"/>
        <v>10806637</v>
      </c>
      <c r="AJ2039" s="758">
        <f t="shared" si="273"/>
        <v>10902937</v>
      </c>
    </row>
    <row r="2040" spans="1:36" x14ac:dyDescent="0.2">
      <c r="A2040" s="1311" t="s">
        <v>154</v>
      </c>
      <c r="B2040" s="844" t="s">
        <v>280</v>
      </c>
      <c r="C2040" s="858" t="s">
        <v>1363</v>
      </c>
      <c r="D2040" s="845"/>
      <c r="E2040" s="1312">
        <v>207389</v>
      </c>
      <c r="F2040" s="847">
        <v>1</v>
      </c>
      <c r="G2040" s="859"/>
      <c r="H2040" s="860"/>
      <c r="I2040" s="861"/>
      <c r="J2040" s="862"/>
      <c r="K2040" s="859"/>
      <c r="L2040" s="863"/>
      <c r="M2040" s="859"/>
      <c r="N2040" s="859"/>
      <c r="O2040" s="752">
        <f t="shared" si="266"/>
        <v>0</v>
      </c>
      <c r="P2040" s="862"/>
      <c r="Q2040" s="860"/>
      <c r="R2040" s="753">
        <f t="shared" si="269"/>
        <v>0</v>
      </c>
      <c r="S2040" s="752">
        <f t="shared" si="270"/>
        <v>0</v>
      </c>
      <c r="T2040" s="754">
        <f t="shared" si="271"/>
        <v>0</v>
      </c>
      <c r="U2040" s="859"/>
      <c r="V2040" s="863"/>
      <c r="W2040" s="859"/>
      <c r="X2040" s="859"/>
      <c r="Y2040" s="755">
        <f t="shared" si="267"/>
        <v>0</v>
      </c>
      <c r="Z2040" s="864"/>
      <c r="AA2040" s="863"/>
      <c r="AB2040" s="756">
        <f t="shared" si="268"/>
        <v>0</v>
      </c>
      <c r="AC2040" s="859">
        <v>14037266</v>
      </c>
      <c r="AD2040" s="863">
        <v>14194766</v>
      </c>
      <c r="AE2040" s="859"/>
      <c r="AF2040" s="859"/>
      <c r="AG2040" s="864"/>
      <c r="AH2040" s="865"/>
      <c r="AI2040" s="757">
        <f t="shared" si="272"/>
        <v>14037266</v>
      </c>
      <c r="AJ2040" s="758">
        <f t="shared" si="273"/>
        <v>14194766</v>
      </c>
    </row>
    <row r="2041" spans="1:36" x14ac:dyDescent="0.2">
      <c r="A2041" s="1311" t="s">
        <v>154</v>
      </c>
      <c r="B2041" s="844" t="s">
        <v>268</v>
      </c>
      <c r="C2041" s="858" t="s">
        <v>257</v>
      </c>
      <c r="D2041" s="845"/>
      <c r="E2041" s="1312">
        <v>207388</v>
      </c>
      <c r="F2041" s="847">
        <v>1</v>
      </c>
      <c r="G2041" s="859"/>
      <c r="H2041" s="860"/>
      <c r="I2041" s="861">
        <v>28916944</v>
      </c>
      <c r="J2041" s="862"/>
      <c r="K2041" s="859"/>
      <c r="L2041" s="863"/>
      <c r="M2041" s="859"/>
      <c r="N2041" s="859"/>
      <c r="O2041" s="752">
        <f t="shared" si="266"/>
        <v>0</v>
      </c>
      <c r="P2041" s="862"/>
      <c r="Q2041" s="860"/>
      <c r="R2041" s="753">
        <f t="shared" si="269"/>
        <v>0</v>
      </c>
      <c r="S2041" s="752">
        <f t="shared" si="270"/>
        <v>28916944</v>
      </c>
      <c r="T2041" s="754">
        <f t="shared" si="271"/>
        <v>0</v>
      </c>
      <c r="U2041" s="859"/>
      <c r="V2041" s="863"/>
      <c r="W2041" s="859"/>
      <c r="X2041" s="859"/>
      <c r="Y2041" s="755">
        <f t="shared" si="267"/>
        <v>0</v>
      </c>
      <c r="Z2041" s="864"/>
      <c r="AA2041" s="863"/>
      <c r="AB2041" s="756">
        <f t="shared" si="268"/>
        <v>0</v>
      </c>
      <c r="AC2041" s="859"/>
      <c r="AD2041" s="863"/>
      <c r="AE2041" s="859"/>
      <c r="AF2041" s="859"/>
      <c r="AG2041" s="864"/>
      <c r="AH2041" s="865"/>
      <c r="AI2041" s="757">
        <f t="shared" si="272"/>
        <v>28916944</v>
      </c>
      <c r="AJ2041" s="758">
        <f t="shared" si="273"/>
        <v>0</v>
      </c>
    </row>
    <row r="2042" spans="1:36" x14ac:dyDescent="0.2">
      <c r="A2042" s="1311" t="s">
        <v>154</v>
      </c>
      <c r="B2042" s="844" t="s">
        <v>269</v>
      </c>
      <c r="C2042" s="858" t="s">
        <v>256</v>
      </c>
      <c r="D2042" s="845"/>
      <c r="E2042" s="1312">
        <v>207388</v>
      </c>
      <c r="F2042" s="847">
        <v>1</v>
      </c>
      <c r="G2042" s="859"/>
      <c r="H2042" s="860"/>
      <c r="I2042" s="861">
        <v>26436909</v>
      </c>
      <c r="J2042" s="862"/>
      <c r="K2042" s="859"/>
      <c r="L2042" s="863"/>
      <c r="M2042" s="859"/>
      <c r="N2042" s="859"/>
      <c r="O2042" s="752">
        <f t="shared" si="266"/>
        <v>0</v>
      </c>
      <c r="P2042" s="862"/>
      <c r="Q2042" s="860"/>
      <c r="R2042" s="753">
        <f t="shared" si="269"/>
        <v>0</v>
      </c>
      <c r="S2042" s="752">
        <f t="shared" si="270"/>
        <v>26436909</v>
      </c>
      <c r="T2042" s="754">
        <f t="shared" si="271"/>
        <v>0</v>
      </c>
      <c r="U2042" s="859"/>
      <c r="V2042" s="863"/>
      <c r="W2042" s="859"/>
      <c r="X2042" s="859"/>
      <c r="Y2042" s="755">
        <f t="shared" si="267"/>
        <v>0</v>
      </c>
      <c r="Z2042" s="864"/>
      <c r="AA2042" s="863"/>
      <c r="AB2042" s="756">
        <f t="shared" si="268"/>
        <v>0</v>
      </c>
      <c r="AC2042" s="859"/>
      <c r="AD2042" s="863"/>
      <c r="AE2042" s="859"/>
      <c r="AF2042" s="859"/>
      <c r="AG2042" s="864"/>
      <c r="AH2042" s="865"/>
      <c r="AI2042" s="757">
        <f t="shared" si="272"/>
        <v>26436909</v>
      </c>
      <c r="AJ2042" s="758">
        <f t="shared" si="273"/>
        <v>0</v>
      </c>
    </row>
    <row r="2043" spans="1:36" x14ac:dyDescent="0.2">
      <c r="A2043" s="1311" t="s">
        <v>154</v>
      </c>
      <c r="B2043" s="844" t="s">
        <v>264</v>
      </c>
      <c r="C2043" s="858" t="s">
        <v>1364</v>
      </c>
      <c r="D2043" s="845"/>
      <c r="E2043" s="1312">
        <v>207388</v>
      </c>
      <c r="F2043" s="847">
        <v>1</v>
      </c>
      <c r="G2043" s="859">
        <v>11266651</v>
      </c>
      <c r="H2043" s="860">
        <v>11295149</v>
      </c>
      <c r="I2043" s="861"/>
      <c r="J2043" s="862"/>
      <c r="K2043" s="859"/>
      <c r="L2043" s="863"/>
      <c r="M2043" s="859">
        <v>10272795</v>
      </c>
      <c r="N2043" s="859"/>
      <c r="O2043" s="752">
        <f t="shared" si="266"/>
        <v>10272795</v>
      </c>
      <c r="P2043" s="862">
        <v>9829677</v>
      </c>
      <c r="Q2043" s="860"/>
      <c r="R2043" s="753">
        <f t="shared" si="269"/>
        <v>9829677</v>
      </c>
      <c r="S2043" s="752">
        <f t="shared" si="270"/>
        <v>21539446</v>
      </c>
      <c r="T2043" s="754">
        <f t="shared" si="271"/>
        <v>21124826</v>
      </c>
      <c r="U2043" s="859"/>
      <c r="V2043" s="863"/>
      <c r="W2043" s="859"/>
      <c r="X2043" s="859"/>
      <c r="Y2043" s="755">
        <f t="shared" si="267"/>
        <v>0</v>
      </c>
      <c r="Z2043" s="864"/>
      <c r="AA2043" s="863"/>
      <c r="AB2043" s="756">
        <f t="shared" si="268"/>
        <v>0</v>
      </c>
      <c r="AC2043" s="859"/>
      <c r="AD2043" s="863"/>
      <c r="AE2043" s="859"/>
      <c r="AF2043" s="859"/>
      <c r="AG2043" s="864"/>
      <c r="AH2043" s="865"/>
      <c r="AI2043" s="757">
        <f t="shared" si="272"/>
        <v>21539446</v>
      </c>
      <c r="AJ2043" s="758">
        <f t="shared" si="273"/>
        <v>21124826</v>
      </c>
    </row>
    <row r="2044" spans="1:36" x14ac:dyDescent="0.2">
      <c r="A2044" s="1311" t="s">
        <v>154</v>
      </c>
      <c r="B2044" s="844" t="s">
        <v>264</v>
      </c>
      <c r="C2044" s="868" t="s">
        <v>1365</v>
      </c>
      <c r="D2044" s="869"/>
      <c r="E2044" s="1312">
        <v>207500</v>
      </c>
      <c r="F2044" s="847">
        <v>1</v>
      </c>
      <c r="G2044" s="859">
        <v>135457458</v>
      </c>
      <c r="H2044" s="860">
        <v>136742638</v>
      </c>
      <c r="I2044" s="861"/>
      <c r="J2044" s="862"/>
      <c r="K2044" s="859"/>
      <c r="L2044" s="863"/>
      <c r="M2044" s="859">
        <v>230451070</v>
      </c>
      <c r="N2044" s="859"/>
      <c r="O2044" s="752">
        <f t="shared" si="266"/>
        <v>230451070</v>
      </c>
      <c r="P2044" s="862">
        <v>248258976</v>
      </c>
      <c r="Q2044" s="860"/>
      <c r="R2044" s="753">
        <f t="shared" si="269"/>
        <v>248258976</v>
      </c>
      <c r="S2044" s="752">
        <f t="shared" si="270"/>
        <v>365908528</v>
      </c>
      <c r="T2044" s="754">
        <f t="shared" si="271"/>
        <v>385001614</v>
      </c>
      <c r="U2044" s="859"/>
      <c r="V2044" s="863"/>
      <c r="W2044" s="859"/>
      <c r="X2044" s="859"/>
      <c r="Y2044" s="755">
        <f t="shared" si="267"/>
        <v>0</v>
      </c>
      <c r="Z2044" s="864"/>
      <c r="AA2044" s="863"/>
      <c r="AB2044" s="756">
        <f t="shared" si="268"/>
        <v>0</v>
      </c>
      <c r="AC2044" s="859"/>
      <c r="AD2044" s="863"/>
      <c r="AE2044" s="859"/>
      <c r="AF2044" s="859"/>
      <c r="AG2044" s="864"/>
      <c r="AH2044" s="865"/>
      <c r="AI2044" s="757">
        <f t="shared" si="272"/>
        <v>365908528</v>
      </c>
      <c r="AJ2044" s="758">
        <f t="shared" si="273"/>
        <v>385001614</v>
      </c>
    </row>
    <row r="2045" spans="1:36" x14ac:dyDescent="0.2">
      <c r="A2045" s="1311" t="s">
        <v>154</v>
      </c>
      <c r="B2045" s="844" t="s">
        <v>280</v>
      </c>
      <c r="C2045" s="866" t="s">
        <v>1366</v>
      </c>
      <c r="D2045" s="845"/>
      <c r="E2045" s="846">
        <v>207500</v>
      </c>
      <c r="F2045" s="847">
        <v>1</v>
      </c>
      <c r="G2045" s="859"/>
      <c r="H2045" s="860"/>
      <c r="I2045" s="861"/>
      <c r="J2045" s="862"/>
      <c r="K2045" s="859"/>
      <c r="L2045" s="863"/>
      <c r="M2045" s="859"/>
      <c r="N2045" s="859"/>
      <c r="O2045" s="752">
        <f t="shared" si="266"/>
        <v>0</v>
      </c>
      <c r="P2045" s="862"/>
      <c r="Q2045" s="860"/>
      <c r="R2045" s="753">
        <f t="shared" si="269"/>
        <v>0</v>
      </c>
      <c r="S2045" s="752">
        <f t="shared" si="270"/>
        <v>0</v>
      </c>
      <c r="T2045" s="754">
        <f t="shared" si="271"/>
        <v>0</v>
      </c>
      <c r="U2045" s="859"/>
      <c r="V2045" s="863"/>
      <c r="W2045" s="859"/>
      <c r="X2045" s="859"/>
      <c r="Y2045" s="755">
        <f t="shared" si="267"/>
        <v>0</v>
      </c>
      <c r="Z2045" s="864"/>
      <c r="AA2045" s="863"/>
      <c r="AB2045" s="756">
        <f t="shared" si="268"/>
        <v>0</v>
      </c>
      <c r="AC2045" s="859">
        <v>92323530</v>
      </c>
      <c r="AD2045" s="863">
        <v>93389130</v>
      </c>
      <c r="AE2045" s="859"/>
      <c r="AF2045" s="859"/>
      <c r="AG2045" s="864"/>
      <c r="AH2045" s="865"/>
      <c r="AI2045" s="757">
        <f t="shared" si="272"/>
        <v>92323530</v>
      </c>
      <c r="AJ2045" s="758">
        <f t="shared" si="273"/>
        <v>93389130</v>
      </c>
    </row>
    <row r="2046" spans="1:36" x14ac:dyDescent="0.2">
      <c r="A2046" s="1311" t="s">
        <v>154</v>
      </c>
      <c r="B2046" s="844" t="s">
        <v>264</v>
      </c>
      <c r="C2046" s="866" t="s">
        <v>1248</v>
      </c>
      <c r="D2046" s="845"/>
      <c r="E2046" s="1312">
        <v>207500</v>
      </c>
      <c r="F2046" s="847">
        <v>1</v>
      </c>
      <c r="G2046" s="859">
        <v>5930530</v>
      </c>
      <c r="H2046" s="860">
        <v>5991730</v>
      </c>
      <c r="I2046" s="861"/>
      <c r="J2046" s="862"/>
      <c r="K2046" s="859"/>
      <c r="L2046" s="863"/>
      <c r="M2046" s="859">
        <v>9665302</v>
      </c>
      <c r="N2046" s="859"/>
      <c r="O2046" s="752">
        <f t="shared" si="266"/>
        <v>9665302</v>
      </c>
      <c r="P2046" s="862">
        <v>9830839</v>
      </c>
      <c r="Q2046" s="860"/>
      <c r="R2046" s="753">
        <f t="shared" si="269"/>
        <v>9830839</v>
      </c>
      <c r="S2046" s="752">
        <f t="shared" si="270"/>
        <v>15595832</v>
      </c>
      <c r="T2046" s="754">
        <f t="shared" si="271"/>
        <v>15822569</v>
      </c>
      <c r="U2046" s="859"/>
      <c r="V2046" s="863"/>
      <c r="W2046" s="859"/>
      <c r="X2046" s="859"/>
      <c r="Y2046" s="755">
        <f t="shared" si="267"/>
        <v>0</v>
      </c>
      <c r="Z2046" s="864"/>
      <c r="AA2046" s="863"/>
      <c r="AB2046" s="756">
        <f t="shared" si="268"/>
        <v>0</v>
      </c>
      <c r="AC2046" s="859"/>
      <c r="AD2046" s="863"/>
      <c r="AE2046" s="859"/>
      <c r="AF2046" s="859"/>
      <c r="AG2046" s="864"/>
      <c r="AH2046" s="865"/>
      <c r="AI2046" s="757">
        <f t="shared" si="272"/>
        <v>15595832</v>
      </c>
      <c r="AJ2046" s="758">
        <f t="shared" si="273"/>
        <v>15822569</v>
      </c>
    </row>
    <row r="2047" spans="1:36" x14ac:dyDescent="0.2">
      <c r="A2047" s="1311" t="s">
        <v>154</v>
      </c>
      <c r="B2047" s="844" t="s">
        <v>264</v>
      </c>
      <c r="C2047" s="868" t="s">
        <v>1367</v>
      </c>
      <c r="D2047" s="869"/>
      <c r="E2047" s="1312">
        <v>207263</v>
      </c>
      <c r="F2047" s="847">
        <v>3</v>
      </c>
      <c r="G2047" s="859">
        <v>36782485</v>
      </c>
      <c r="H2047" s="860">
        <v>37109185</v>
      </c>
      <c r="I2047" s="861"/>
      <c r="J2047" s="862"/>
      <c r="K2047" s="859"/>
      <c r="L2047" s="863"/>
      <c r="M2047" s="859">
        <v>39482895</v>
      </c>
      <c r="N2047" s="859"/>
      <c r="O2047" s="752">
        <f t="shared" si="266"/>
        <v>39482895</v>
      </c>
      <c r="P2047" s="862">
        <v>39455396</v>
      </c>
      <c r="Q2047" s="860"/>
      <c r="R2047" s="753">
        <f t="shared" si="269"/>
        <v>39455396</v>
      </c>
      <c r="S2047" s="752">
        <f t="shared" si="270"/>
        <v>76265380</v>
      </c>
      <c r="T2047" s="754">
        <f t="shared" si="271"/>
        <v>76564581</v>
      </c>
      <c r="U2047" s="859"/>
      <c r="V2047" s="863"/>
      <c r="W2047" s="859"/>
      <c r="X2047" s="859"/>
      <c r="Y2047" s="755">
        <f t="shared" si="267"/>
        <v>0</v>
      </c>
      <c r="Z2047" s="864"/>
      <c r="AA2047" s="863"/>
      <c r="AB2047" s="756">
        <f t="shared" si="268"/>
        <v>0</v>
      </c>
      <c r="AC2047" s="859"/>
      <c r="AD2047" s="863"/>
      <c r="AE2047" s="859"/>
      <c r="AF2047" s="859"/>
      <c r="AG2047" s="864"/>
      <c r="AH2047" s="865"/>
      <c r="AI2047" s="757">
        <f t="shared" si="272"/>
        <v>76265380</v>
      </c>
      <c r="AJ2047" s="758">
        <f t="shared" si="273"/>
        <v>76564581</v>
      </c>
    </row>
    <row r="2048" spans="1:36" x14ac:dyDescent="0.2">
      <c r="A2048" s="1311" t="s">
        <v>154</v>
      </c>
      <c r="B2048" s="844" t="s">
        <v>264</v>
      </c>
      <c r="C2048" s="868" t="s">
        <v>1368</v>
      </c>
      <c r="D2048" s="869"/>
      <c r="E2048" s="1312">
        <v>206941</v>
      </c>
      <c r="F2048" s="847">
        <v>3</v>
      </c>
      <c r="G2048" s="859">
        <v>52794661</v>
      </c>
      <c r="H2048" s="860">
        <v>53342761</v>
      </c>
      <c r="I2048" s="861"/>
      <c r="J2048" s="862"/>
      <c r="K2048" s="859"/>
      <c r="L2048" s="863"/>
      <c r="M2048" s="859">
        <v>87156744</v>
      </c>
      <c r="N2048" s="859"/>
      <c r="O2048" s="752">
        <f t="shared" si="266"/>
        <v>87156744</v>
      </c>
      <c r="P2048" s="862">
        <v>94953747</v>
      </c>
      <c r="Q2048" s="860"/>
      <c r="R2048" s="753">
        <f t="shared" si="269"/>
        <v>94953747</v>
      </c>
      <c r="S2048" s="752">
        <f t="shared" si="270"/>
        <v>139951405</v>
      </c>
      <c r="T2048" s="754">
        <f t="shared" si="271"/>
        <v>148296508</v>
      </c>
      <c r="U2048" s="859"/>
      <c r="V2048" s="863"/>
      <c r="W2048" s="859"/>
      <c r="X2048" s="859"/>
      <c r="Y2048" s="755">
        <f t="shared" si="267"/>
        <v>0</v>
      </c>
      <c r="Z2048" s="864"/>
      <c r="AA2048" s="863"/>
      <c r="AB2048" s="756">
        <f t="shared" si="268"/>
        <v>0</v>
      </c>
      <c r="AC2048" s="859"/>
      <c r="AD2048" s="863"/>
      <c r="AE2048" s="859"/>
      <c r="AF2048" s="859"/>
      <c r="AG2048" s="864"/>
      <c r="AH2048" s="865"/>
      <c r="AI2048" s="757">
        <f t="shared" si="272"/>
        <v>139951405</v>
      </c>
      <c r="AJ2048" s="758">
        <f t="shared" si="273"/>
        <v>148296508</v>
      </c>
    </row>
    <row r="2049" spans="1:36" x14ac:dyDescent="0.2">
      <c r="A2049" s="1311" t="s">
        <v>154</v>
      </c>
      <c r="B2049" s="844" t="s">
        <v>264</v>
      </c>
      <c r="C2049" s="984" t="s">
        <v>1369</v>
      </c>
      <c r="D2049" s="1313"/>
      <c r="E2049" s="981">
        <v>207847</v>
      </c>
      <c r="F2049" s="1317">
        <v>4</v>
      </c>
      <c r="G2049" s="859">
        <v>18702428</v>
      </c>
      <c r="H2049" s="860">
        <v>18844628</v>
      </c>
      <c r="I2049" s="861"/>
      <c r="J2049" s="862"/>
      <c r="K2049" s="859"/>
      <c r="L2049" s="863"/>
      <c r="M2049" s="859">
        <v>24382410</v>
      </c>
      <c r="N2049" s="859"/>
      <c r="O2049" s="752">
        <f t="shared" si="266"/>
        <v>24382410</v>
      </c>
      <c r="P2049" s="862">
        <v>26379334</v>
      </c>
      <c r="Q2049" s="860"/>
      <c r="R2049" s="753">
        <f t="shared" si="269"/>
        <v>26379334</v>
      </c>
      <c r="S2049" s="752">
        <f t="shared" si="270"/>
        <v>43084838</v>
      </c>
      <c r="T2049" s="754">
        <f t="shared" si="271"/>
        <v>45223962</v>
      </c>
      <c r="U2049" s="859"/>
      <c r="V2049" s="863"/>
      <c r="W2049" s="859"/>
      <c r="X2049" s="859"/>
      <c r="Y2049" s="755">
        <f t="shared" si="267"/>
        <v>0</v>
      </c>
      <c r="Z2049" s="864"/>
      <c r="AA2049" s="863"/>
      <c r="AB2049" s="756">
        <f t="shared" si="268"/>
        <v>0</v>
      </c>
      <c r="AC2049" s="859"/>
      <c r="AD2049" s="863"/>
      <c r="AE2049" s="859"/>
      <c r="AF2049" s="859"/>
      <c r="AG2049" s="864"/>
      <c r="AH2049" s="865"/>
      <c r="AI2049" s="757">
        <f t="shared" si="272"/>
        <v>43084838</v>
      </c>
      <c r="AJ2049" s="758">
        <f t="shared" si="273"/>
        <v>45223962</v>
      </c>
    </row>
    <row r="2050" spans="1:36" x14ac:dyDescent="0.2">
      <c r="A2050" s="1311" t="s">
        <v>154</v>
      </c>
      <c r="B2050" s="844" t="s">
        <v>264</v>
      </c>
      <c r="C2050" s="868" t="s">
        <v>1370</v>
      </c>
      <c r="D2050" s="869"/>
      <c r="E2050" s="1312">
        <v>206914</v>
      </c>
      <c r="F2050" s="847">
        <v>5</v>
      </c>
      <c r="G2050" s="859">
        <v>21608265</v>
      </c>
      <c r="H2050" s="860">
        <v>21783765</v>
      </c>
      <c r="I2050" s="861"/>
      <c r="J2050" s="862"/>
      <c r="K2050" s="859"/>
      <c r="L2050" s="863"/>
      <c r="M2050" s="859">
        <v>24558350</v>
      </c>
      <c r="N2050" s="859"/>
      <c r="O2050" s="752">
        <f t="shared" si="266"/>
        <v>24558350</v>
      </c>
      <c r="P2050" s="862">
        <v>25514344</v>
      </c>
      <c r="Q2050" s="860"/>
      <c r="R2050" s="753">
        <f t="shared" si="269"/>
        <v>25514344</v>
      </c>
      <c r="S2050" s="752">
        <f t="shared" si="270"/>
        <v>46166615</v>
      </c>
      <c r="T2050" s="754">
        <f t="shared" si="271"/>
        <v>47298109</v>
      </c>
      <c r="U2050" s="859"/>
      <c r="V2050" s="863"/>
      <c r="W2050" s="859"/>
      <c r="X2050" s="859"/>
      <c r="Y2050" s="755">
        <f t="shared" si="267"/>
        <v>0</v>
      </c>
      <c r="Z2050" s="864"/>
      <c r="AA2050" s="863"/>
      <c r="AB2050" s="756">
        <f t="shared" si="268"/>
        <v>0</v>
      </c>
      <c r="AC2050" s="859"/>
      <c r="AD2050" s="863"/>
      <c r="AE2050" s="859"/>
      <c r="AF2050" s="859"/>
      <c r="AG2050" s="864"/>
      <c r="AH2050" s="865"/>
      <c r="AI2050" s="757">
        <f t="shared" si="272"/>
        <v>46166615</v>
      </c>
      <c r="AJ2050" s="758">
        <f t="shared" si="273"/>
        <v>47298109</v>
      </c>
    </row>
    <row r="2051" spans="1:36" x14ac:dyDescent="0.2">
      <c r="A2051" s="1311" t="s">
        <v>154</v>
      </c>
      <c r="B2051" s="844" t="s">
        <v>264</v>
      </c>
      <c r="C2051" s="868" t="s">
        <v>1371</v>
      </c>
      <c r="D2051" s="869"/>
      <c r="E2051" s="1312">
        <v>207041</v>
      </c>
      <c r="F2051" s="847">
        <v>5</v>
      </c>
      <c r="G2051" s="859">
        <v>17480403</v>
      </c>
      <c r="H2051" s="860">
        <v>17647803</v>
      </c>
      <c r="I2051" s="861"/>
      <c r="J2051" s="862"/>
      <c r="K2051" s="859"/>
      <c r="L2051" s="863"/>
      <c r="M2051" s="859">
        <v>18829324</v>
      </c>
      <c r="N2051" s="859"/>
      <c r="O2051" s="752">
        <f t="shared" si="266"/>
        <v>18829324</v>
      </c>
      <c r="P2051" s="862">
        <v>18994692</v>
      </c>
      <c r="Q2051" s="860"/>
      <c r="R2051" s="753">
        <f t="shared" si="269"/>
        <v>18994692</v>
      </c>
      <c r="S2051" s="752">
        <f t="shared" si="270"/>
        <v>36309727</v>
      </c>
      <c r="T2051" s="754">
        <f t="shared" si="271"/>
        <v>36642495</v>
      </c>
      <c r="U2051" s="859"/>
      <c r="V2051" s="863"/>
      <c r="W2051" s="859"/>
      <c r="X2051" s="859"/>
      <c r="Y2051" s="755">
        <f t="shared" si="267"/>
        <v>0</v>
      </c>
      <c r="Z2051" s="864"/>
      <c r="AA2051" s="863"/>
      <c r="AB2051" s="756">
        <f t="shared" si="268"/>
        <v>0</v>
      </c>
      <c r="AC2051" s="859"/>
      <c r="AD2051" s="863"/>
      <c r="AE2051" s="859"/>
      <c r="AF2051" s="859"/>
      <c r="AG2051" s="864"/>
      <c r="AH2051" s="865"/>
      <c r="AI2051" s="757">
        <f t="shared" si="272"/>
        <v>36309727</v>
      </c>
      <c r="AJ2051" s="758">
        <f t="shared" si="273"/>
        <v>36642495</v>
      </c>
    </row>
    <row r="2052" spans="1:36" x14ac:dyDescent="0.2">
      <c r="A2052" s="1311" t="s">
        <v>154</v>
      </c>
      <c r="B2052" s="844" t="s">
        <v>264</v>
      </c>
      <c r="C2052" s="868" t="s">
        <v>1372</v>
      </c>
      <c r="D2052" s="869"/>
      <c r="E2052" s="1312">
        <v>207209</v>
      </c>
      <c r="F2052" s="847">
        <v>5</v>
      </c>
      <c r="G2052" s="859">
        <v>18592255</v>
      </c>
      <c r="H2052" s="860">
        <v>18764155</v>
      </c>
      <c r="I2052" s="861"/>
      <c r="J2052" s="862"/>
      <c r="K2052" s="859"/>
      <c r="L2052" s="863"/>
      <c r="M2052" s="859">
        <v>12990170</v>
      </c>
      <c r="N2052" s="859"/>
      <c r="O2052" s="752">
        <f t="shared" si="266"/>
        <v>12990170</v>
      </c>
      <c r="P2052" s="862">
        <v>13206005</v>
      </c>
      <c r="Q2052" s="860"/>
      <c r="R2052" s="753">
        <f t="shared" si="269"/>
        <v>13206005</v>
      </c>
      <c r="S2052" s="752">
        <f t="shared" si="270"/>
        <v>31582425</v>
      </c>
      <c r="T2052" s="754">
        <f t="shared" si="271"/>
        <v>31970160</v>
      </c>
      <c r="U2052" s="859"/>
      <c r="V2052" s="863"/>
      <c r="W2052" s="859"/>
      <c r="X2052" s="859"/>
      <c r="Y2052" s="755">
        <f t="shared" si="267"/>
        <v>0</v>
      </c>
      <c r="Z2052" s="864"/>
      <c r="AA2052" s="863"/>
      <c r="AB2052" s="756">
        <f t="shared" si="268"/>
        <v>0</v>
      </c>
      <c r="AC2052" s="859"/>
      <c r="AD2052" s="863"/>
      <c r="AE2052" s="859"/>
      <c r="AF2052" s="859"/>
      <c r="AG2052" s="864"/>
      <c r="AH2052" s="865"/>
      <c r="AI2052" s="757">
        <f t="shared" si="272"/>
        <v>31582425</v>
      </c>
      <c r="AJ2052" s="758">
        <f t="shared" si="273"/>
        <v>31970160</v>
      </c>
    </row>
    <row r="2053" spans="1:36" x14ac:dyDescent="0.2">
      <c r="A2053" s="1311" t="s">
        <v>154</v>
      </c>
      <c r="B2053" s="844" t="s">
        <v>264</v>
      </c>
      <c r="C2053" s="868" t="s">
        <v>1373</v>
      </c>
      <c r="D2053" s="869"/>
      <c r="E2053" s="1312">
        <v>207306</v>
      </c>
      <c r="F2053" s="847">
        <v>5</v>
      </c>
      <c r="G2053" s="859">
        <v>10122045</v>
      </c>
      <c r="H2053" s="860">
        <v>10241745</v>
      </c>
      <c r="I2053" s="861"/>
      <c r="J2053" s="862"/>
      <c r="K2053" s="859"/>
      <c r="L2053" s="863"/>
      <c r="M2053" s="859">
        <v>12642244</v>
      </c>
      <c r="N2053" s="859"/>
      <c r="O2053" s="752">
        <f t="shared" si="266"/>
        <v>12642244</v>
      </c>
      <c r="P2053" s="862">
        <v>13583205</v>
      </c>
      <c r="Q2053" s="860"/>
      <c r="R2053" s="753">
        <f t="shared" si="269"/>
        <v>13583205</v>
      </c>
      <c r="S2053" s="752">
        <f t="shared" si="270"/>
        <v>22764289</v>
      </c>
      <c r="T2053" s="754">
        <f t="shared" si="271"/>
        <v>23824950</v>
      </c>
      <c r="U2053" s="859"/>
      <c r="V2053" s="863"/>
      <c r="W2053" s="859"/>
      <c r="X2053" s="859"/>
      <c r="Y2053" s="755">
        <f t="shared" si="267"/>
        <v>0</v>
      </c>
      <c r="Z2053" s="864"/>
      <c r="AA2053" s="863"/>
      <c r="AB2053" s="756">
        <f t="shared" si="268"/>
        <v>0</v>
      </c>
      <c r="AC2053" s="859"/>
      <c r="AD2053" s="863"/>
      <c r="AE2053" s="859"/>
      <c r="AF2053" s="859"/>
      <c r="AG2053" s="864"/>
      <c r="AH2053" s="865"/>
      <c r="AI2053" s="757">
        <f t="shared" si="272"/>
        <v>22764289</v>
      </c>
      <c r="AJ2053" s="758">
        <f t="shared" si="273"/>
        <v>23824950</v>
      </c>
    </row>
    <row r="2054" spans="1:36" x14ac:dyDescent="0.2">
      <c r="A2054" s="1311" t="s">
        <v>154</v>
      </c>
      <c r="B2054" s="844" t="s">
        <v>264</v>
      </c>
      <c r="C2054" s="868" t="s">
        <v>1374</v>
      </c>
      <c r="D2054" s="869"/>
      <c r="E2054" s="1312">
        <v>207865</v>
      </c>
      <c r="F2054" s="847">
        <v>5</v>
      </c>
      <c r="G2054" s="859">
        <v>22633303</v>
      </c>
      <c r="H2054" s="860">
        <v>22841203</v>
      </c>
      <c r="I2054" s="861"/>
      <c r="J2054" s="862"/>
      <c r="K2054" s="859"/>
      <c r="L2054" s="863"/>
      <c r="M2054" s="859">
        <v>27584660</v>
      </c>
      <c r="N2054" s="859"/>
      <c r="O2054" s="752">
        <f t="shared" si="266"/>
        <v>27584660</v>
      </c>
      <c r="P2054" s="862">
        <v>29064356</v>
      </c>
      <c r="Q2054" s="860"/>
      <c r="R2054" s="753">
        <f t="shared" si="269"/>
        <v>29064356</v>
      </c>
      <c r="S2054" s="752">
        <f t="shared" si="270"/>
        <v>50217963</v>
      </c>
      <c r="T2054" s="754">
        <f t="shared" si="271"/>
        <v>51905559</v>
      </c>
      <c r="U2054" s="859"/>
      <c r="V2054" s="863"/>
      <c r="W2054" s="859"/>
      <c r="X2054" s="859"/>
      <c r="Y2054" s="755">
        <f t="shared" si="267"/>
        <v>0</v>
      </c>
      <c r="Z2054" s="864"/>
      <c r="AA2054" s="863"/>
      <c r="AB2054" s="756">
        <f t="shared" si="268"/>
        <v>0</v>
      </c>
      <c r="AC2054" s="859"/>
      <c r="AD2054" s="863"/>
      <c r="AE2054" s="859"/>
      <c r="AF2054" s="859"/>
      <c r="AG2054" s="864"/>
      <c r="AH2054" s="865"/>
      <c r="AI2054" s="757">
        <f t="shared" si="272"/>
        <v>50217963</v>
      </c>
      <c r="AJ2054" s="758">
        <f t="shared" si="273"/>
        <v>51905559</v>
      </c>
    </row>
    <row r="2055" spans="1:36" x14ac:dyDescent="0.2">
      <c r="A2055" s="1311" t="s">
        <v>154</v>
      </c>
      <c r="B2055" s="844" t="s">
        <v>264</v>
      </c>
      <c r="C2055" s="868" t="s">
        <v>1375</v>
      </c>
      <c r="D2055" s="869"/>
      <c r="E2055" s="1312">
        <v>207351</v>
      </c>
      <c r="F2055" s="847">
        <v>6</v>
      </c>
      <c r="G2055" s="859">
        <v>7200230</v>
      </c>
      <c r="H2055" s="860">
        <v>7274030</v>
      </c>
      <c r="I2055" s="861"/>
      <c r="J2055" s="862"/>
      <c r="K2055" s="859"/>
      <c r="L2055" s="863"/>
      <c r="M2055" s="859">
        <v>10292005</v>
      </c>
      <c r="N2055" s="859"/>
      <c r="O2055" s="752">
        <f t="shared" si="266"/>
        <v>10292005</v>
      </c>
      <c r="P2055" s="862">
        <v>10428175</v>
      </c>
      <c r="Q2055" s="860"/>
      <c r="R2055" s="753">
        <f t="shared" si="269"/>
        <v>10428175</v>
      </c>
      <c r="S2055" s="752">
        <f t="shared" si="270"/>
        <v>17492235</v>
      </c>
      <c r="T2055" s="754">
        <f t="shared" si="271"/>
        <v>17702205</v>
      </c>
      <c r="U2055" s="859"/>
      <c r="V2055" s="863"/>
      <c r="W2055" s="859"/>
      <c r="X2055" s="859"/>
      <c r="Y2055" s="755">
        <f t="shared" si="267"/>
        <v>0</v>
      </c>
      <c r="Z2055" s="864"/>
      <c r="AA2055" s="863"/>
      <c r="AB2055" s="756">
        <f t="shared" si="268"/>
        <v>0</v>
      </c>
      <c r="AC2055" s="859"/>
      <c r="AD2055" s="863"/>
      <c r="AE2055" s="859"/>
      <c r="AF2055" s="859"/>
      <c r="AG2055" s="864"/>
      <c r="AH2055" s="865"/>
      <c r="AI2055" s="757">
        <f t="shared" si="272"/>
        <v>17492235</v>
      </c>
      <c r="AJ2055" s="758">
        <f t="shared" si="273"/>
        <v>17702205</v>
      </c>
    </row>
    <row r="2056" spans="1:36" x14ac:dyDescent="0.2">
      <c r="A2056" s="1311" t="s">
        <v>154</v>
      </c>
      <c r="B2056" s="844" t="s">
        <v>264</v>
      </c>
      <c r="C2056" s="868" t="s">
        <v>1376</v>
      </c>
      <c r="D2056" s="869"/>
      <c r="E2056" s="1312">
        <v>207661</v>
      </c>
      <c r="F2056" s="847">
        <v>6</v>
      </c>
      <c r="G2056" s="859">
        <v>13884642</v>
      </c>
      <c r="H2056" s="860">
        <v>14129080</v>
      </c>
      <c r="I2056" s="861"/>
      <c r="J2056" s="862"/>
      <c r="K2056" s="859"/>
      <c r="L2056" s="863"/>
      <c r="M2056" s="859">
        <v>17165288</v>
      </c>
      <c r="N2056" s="859"/>
      <c r="O2056" s="752">
        <f t="shared" si="266"/>
        <v>17165288</v>
      </c>
      <c r="P2056" s="862">
        <v>16737076</v>
      </c>
      <c r="Q2056" s="860"/>
      <c r="R2056" s="753">
        <f t="shared" si="269"/>
        <v>16737076</v>
      </c>
      <c r="S2056" s="752">
        <f t="shared" si="270"/>
        <v>31049930</v>
      </c>
      <c r="T2056" s="754">
        <f t="shared" si="271"/>
        <v>30866156</v>
      </c>
      <c r="U2056" s="859"/>
      <c r="V2056" s="863"/>
      <c r="W2056" s="859"/>
      <c r="X2056" s="859"/>
      <c r="Y2056" s="755">
        <f t="shared" si="267"/>
        <v>0</v>
      </c>
      <c r="Z2056" s="864"/>
      <c r="AA2056" s="863"/>
      <c r="AB2056" s="756">
        <f t="shared" si="268"/>
        <v>0</v>
      </c>
      <c r="AC2056" s="859"/>
      <c r="AD2056" s="863"/>
      <c r="AE2056" s="859"/>
      <c r="AF2056" s="859"/>
      <c r="AG2056" s="864"/>
      <c r="AH2056" s="865"/>
      <c r="AI2056" s="757">
        <f t="shared" si="272"/>
        <v>31049930</v>
      </c>
      <c r="AJ2056" s="758">
        <f t="shared" si="273"/>
        <v>30866156</v>
      </c>
    </row>
    <row r="2057" spans="1:36" x14ac:dyDescent="0.2">
      <c r="A2057" s="1311" t="s">
        <v>154</v>
      </c>
      <c r="B2057" s="844" t="s">
        <v>264</v>
      </c>
      <c r="C2057" s="868" t="s">
        <v>1377</v>
      </c>
      <c r="D2057" s="869"/>
      <c r="E2057" s="1312">
        <v>207722</v>
      </c>
      <c r="F2057" s="847">
        <v>6</v>
      </c>
      <c r="G2057" s="859">
        <v>7388510</v>
      </c>
      <c r="H2057" s="860">
        <v>7463210</v>
      </c>
      <c r="I2057" s="861"/>
      <c r="J2057" s="862"/>
      <c r="K2057" s="859"/>
      <c r="L2057" s="863"/>
      <c r="M2057" s="859">
        <v>4657076</v>
      </c>
      <c r="N2057" s="859"/>
      <c r="O2057" s="752">
        <f t="shared" si="266"/>
        <v>4657076</v>
      </c>
      <c r="P2057" s="862">
        <v>4871123</v>
      </c>
      <c r="Q2057" s="860"/>
      <c r="R2057" s="753">
        <f t="shared" si="269"/>
        <v>4871123</v>
      </c>
      <c r="S2057" s="752">
        <f t="shared" si="270"/>
        <v>12045586</v>
      </c>
      <c r="T2057" s="754">
        <f t="shared" si="271"/>
        <v>12334333</v>
      </c>
      <c r="U2057" s="859"/>
      <c r="V2057" s="863"/>
      <c r="W2057" s="859"/>
      <c r="X2057" s="859"/>
      <c r="Y2057" s="755">
        <f t="shared" si="267"/>
        <v>0</v>
      </c>
      <c r="Z2057" s="864"/>
      <c r="AA2057" s="863"/>
      <c r="AB2057" s="756">
        <f t="shared" si="268"/>
        <v>0</v>
      </c>
      <c r="AC2057" s="859"/>
      <c r="AD2057" s="863"/>
      <c r="AE2057" s="859"/>
      <c r="AF2057" s="859"/>
      <c r="AG2057" s="864"/>
      <c r="AH2057" s="865"/>
      <c r="AI2057" s="757">
        <f t="shared" si="272"/>
        <v>12045586</v>
      </c>
      <c r="AJ2057" s="758">
        <f t="shared" si="273"/>
        <v>12334333</v>
      </c>
    </row>
    <row r="2058" spans="1:36" x14ac:dyDescent="0.2">
      <c r="A2058" s="1311" t="s">
        <v>154</v>
      </c>
      <c r="B2058" s="844" t="s">
        <v>264</v>
      </c>
      <c r="C2058" s="984" t="s">
        <v>1378</v>
      </c>
      <c r="D2058" s="985" t="s">
        <v>1413</v>
      </c>
      <c r="E2058" s="981">
        <v>207397</v>
      </c>
      <c r="F2058" s="1315">
        <v>7</v>
      </c>
      <c r="G2058" s="859">
        <v>11124865</v>
      </c>
      <c r="H2058" s="860">
        <v>11663314</v>
      </c>
      <c r="I2058" s="861"/>
      <c r="J2058" s="862"/>
      <c r="K2058" s="859"/>
      <c r="L2058" s="863"/>
      <c r="M2058" s="859">
        <v>14721818</v>
      </c>
      <c r="N2058" s="859"/>
      <c r="O2058" s="752">
        <f t="shared" si="266"/>
        <v>14721818</v>
      </c>
      <c r="P2058" s="862">
        <v>14353583</v>
      </c>
      <c r="Q2058" s="860"/>
      <c r="R2058" s="753">
        <f t="shared" si="269"/>
        <v>14353583</v>
      </c>
      <c r="S2058" s="752">
        <f t="shared" si="270"/>
        <v>25846683</v>
      </c>
      <c r="T2058" s="754">
        <f t="shared" si="271"/>
        <v>26016897</v>
      </c>
      <c r="U2058" s="859"/>
      <c r="V2058" s="863"/>
      <c r="W2058" s="859"/>
      <c r="X2058" s="859"/>
      <c r="Y2058" s="755">
        <f t="shared" si="267"/>
        <v>0</v>
      </c>
      <c r="Z2058" s="864"/>
      <c r="AA2058" s="863"/>
      <c r="AB2058" s="756">
        <f t="shared" si="268"/>
        <v>0</v>
      </c>
      <c r="AC2058" s="859"/>
      <c r="AD2058" s="863"/>
      <c r="AE2058" s="859"/>
      <c r="AF2058" s="859"/>
      <c r="AG2058" s="864"/>
      <c r="AH2058" s="865"/>
      <c r="AI2058" s="757">
        <f t="shared" si="272"/>
        <v>25846683</v>
      </c>
      <c r="AJ2058" s="758">
        <f t="shared" si="273"/>
        <v>26016897</v>
      </c>
    </row>
    <row r="2059" spans="1:36" x14ac:dyDescent="0.2">
      <c r="A2059" s="1311" t="s">
        <v>154</v>
      </c>
      <c r="B2059" s="844" t="s">
        <v>264</v>
      </c>
      <c r="C2059" s="868" t="s">
        <v>1379</v>
      </c>
      <c r="D2059" s="985" t="s">
        <v>1412</v>
      </c>
      <c r="E2059" s="981">
        <v>207564</v>
      </c>
      <c r="F2059" s="1315">
        <v>7</v>
      </c>
      <c r="G2059" s="859">
        <v>14370429</v>
      </c>
      <c r="H2059" s="860">
        <v>14553129</v>
      </c>
      <c r="I2059" s="861"/>
      <c r="J2059" s="862"/>
      <c r="K2059" s="859"/>
      <c r="L2059" s="863"/>
      <c r="M2059" s="859">
        <v>13695819</v>
      </c>
      <c r="N2059" s="859"/>
      <c r="O2059" s="752">
        <f t="shared" ref="O2059:O2122" si="274">SUM(M2059:N2059)</f>
        <v>13695819</v>
      </c>
      <c r="P2059" s="862">
        <v>14151789</v>
      </c>
      <c r="Q2059" s="860"/>
      <c r="R2059" s="753">
        <f t="shared" si="269"/>
        <v>14151789</v>
      </c>
      <c r="S2059" s="752">
        <f t="shared" si="270"/>
        <v>28066248</v>
      </c>
      <c r="T2059" s="754">
        <f t="shared" si="271"/>
        <v>28704918</v>
      </c>
      <c r="U2059" s="859"/>
      <c r="V2059" s="863"/>
      <c r="W2059" s="859"/>
      <c r="X2059" s="859"/>
      <c r="Y2059" s="755">
        <f t="shared" ref="Y2059:Y2122" si="275">SUM(W2059:X2059)</f>
        <v>0</v>
      </c>
      <c r="Z2059" s="864"/>
      <c r="AA2059" s="863"/>
      <c r="AB2059" s="756">
        <f t="shared" ref="AB2059:AB2122" si="276">SUM(Z2059:AA2059)</f>
        <v>0</v>
      </c>
      <c r="AC2059" s="859"/>
      <c r="AD2059" s="863"/>
      <c r="AE2059" s="859"/>
      <c r="AF2059" s="859"/>
      <c r="AG2059" s="864"/>
      <c r="AH2059" s="865"/>
      <c r="AI2059" s="757">
        <f t="shared" si="272"/>
        <v>28066248</v>
      </c>
      <c r="AJ2059" s="758">
        <f t="shared" si="273"/>
        <v>28704918</v>
      </c>
    </row>
    <row r="2060" spans="1:36" x14ac:dyDescent="0.2">
      <c r="A2060" s="1311" t="s">
        <v>154</v>
      </c>
      <c r="B2060" s="844" t="s">
        <v>264</v>
      </c>
      <c r="C2060" s="868" t="s">
        <v>1380</v>
      </c>
      <c r="D2060" s="985"/>
      <c r="E2060" s="981">
        <v>207449</v>
      </c>
      <c r="F2060" s="1315">
        <v>8</v>
      </c>
      <c r="G2060" s="859">
        <v>24799336</v>
      </c>
      <c r="H2060" s="860">
        <v>25464664</v>
      </c>
      <c r="I2060" s="861"/>
      <c r="J2060" s="862"/>
      <c r="K2060" s="859">
        <v>5200000</v>
      </c>
      <c r="L2060" s="863">
        <v>5000000</v>
      </c>
      <c r="M2060" s="859">
        <v>25000125</v>
      </c>
      <c r="N2060" s="859"/>
      <c r="O2060" s="752">
        <f t="shared" si="274"/>
        <v>25000125</v>
      </c>
      <c r="P2060" s="862">
        <v>24744180</v>
      </c>
      <c r="Q2060" s="860"/>
      <c r="R2060" s="753">
        <f t="shared" ref="R2060:R2123" si="277">SUM(P2060:Q2060)</f>
        <v>24744180</v>
      </c>
      <c r="S2060" s="752">
        <f t="shared" ref="S2060:S2123" si="278">SUM(G2060,I2060,K2060,M2060)</f>
        <v>54999461</v>
      </c>
      <c r="T2060" s="754">
        <f t="shared" ref="T2060:T2123" si="279">SUM(H2060,J2060,L2060,P2060)</f>
        <v>55208844</v>
      </c>
      <c r="U2060" s="859"/>
      <c r="V2060" s="863"/>
      <c r="W2060" s="859"/>
      <c r="X2060" s="859"/>
      <c r="Y2060" s="755">
        <f t="shared" si="275"/>
        <v>0</v>
      </c>
      <c r="Z2060" s="864"/>
      <c r="AA2060" s="863"/>
      <c r="AB2060" s="756">
        <f t="shared" si="276"/>
        <v>0</v>
      </c>
      <c r="AC2060" s="859"/>
      <c r="AD2060" s="863"/>
      <c r="AE2060" s="859"/>
      <c r="AF2060" s="859"/>
      <c r="AG2060" s="864"/>
      <c r="AH2060" s="865"/>
      <c r="AI2060" s="757">
        <f t="shared" ref="AI2060:AI2123" si="280">SUM(S2060,U2060,W2060,AC2060,AE2060)</f>
        <v>54999461</v>
      </c>
      <c r="AJ2060" s="758">
        <f t="shared" ref="AJ2060:AJ2123" si="281">SUM(T2060,V2060,Z2060,AD2060,AG2060)</f>
        <v>55208844</v>
      </c>
    </row>
    <row r="2061" spans="1:36" x14ac:dyDescent="0.2">
      <c r="A2061" s="1311" t="s">
        <v>154</v>
      </c>
      <c r="B2061" s="844" t="s">
        <v>264</v>
      </c>
      <c r="C2061" s="984" t="s">
        <v>1381</v>
      </c>
      <c r="D2061" s="985" t="s">
        <v>1413</v>
      </c>
      <c r="E2061" s="981">
        <v>207670</v>
      </c>
      <c r="F2061" s="1315">
        <v>8</v>
      </c>
      <c r="G2061" s="859">
        <v>20727932</v>
      </c>
      <c r="H2061" s="860">
        <v>20970932</v>
      </c>
      <c r="I2061" s="861"/>
      <c r="J2061" s="862"/>
      <c r="K2061" s="859">
        <v>1350000</v>
      </c>
      <c r="L2061" s="863">
        <v>1300000</v>
      </c>
      <c r="M2061" s="859">
        <v>14505437</v>
      </c>
      <c r="N2061" s="859"/>
      <c r="O2061" s="752">
        <f t="shared" si="274"/>
        <v>14505437</v>
      </c>
      <c r="P2061" s="862">
        <v>14440134</v>
      </c>
      <c r="Q2061" s="860"/>
      <c r="R2061" s="753">
        <f t="shared" si="277"/>
        <v>14440134</v>
      </c>
      <c r="S2061" s="752">
        <f t="shared" si="278"/>
        <v>36583369</v>
      </c>
      <c r="T2061" s="754">
        <f t="shared" si="279"/>
        <v>36711066</v>
      </c>
      <c r="U2061" s="859"/>
      <c r="V2061" s="863"/>
      <c r="W2061" s="859"/>
      <c r="X2061" s="859"/>
      <c r="Y2061" s="755">
        <f t="shared" si="275"/>
        <v>0</v>
      </c>
      <c r="Z2061" s="864"/>
      <c r="AA2061" s="863"/>
      <c r="AB2061" s="756">
        <f t="shared" si="276"/>
        <v>0</v>
      </c>
      <c r="AC2061" s="859"/>
      <c r="AD2061" s="863"/>
      <c r="AE2061" s="859"/>
      <c r="AF2061" s="859"/>
      <c r="AG2061" s="864"/>
      <c r="AH2061" s="865"/>
      <c r="AI2061" s="757">
        <f t="shared" si="280"/>
        <v>36583369</v>
      </c>
      <c r="AJ2061" s="758">
        <f t="shared" si="281"/>
        <v>36711066</v>
      </c>
    </row>
    <row r="2062" spans="1:36" x14ac:dyDescent="0.2">
      <c r="A2062" s="1311" t="s">
        <v>154</v>
      </c>
      <c r="B2062" s="844" t="s">
        <v>264</v>
      </c>
      <c r="C2062" s="868" t="s">
        <v>1382</v>
      </c>
      <c r="D2062" s="985"/>
      <c r="E2062" s="981">
        <v>207935</v>
      </c>
      <c r="F2062" s="1315">
        <v>8</v>
      </c>
      <c r="G2062" s="859">
        <v>36136945</v>
      </c>
      <c r="H2062" s="860">
        <v>36946614</v>
      </c>
      <c r="I2062" s="861"/>
      <c r="J2062" s="862"/>
      <c r="K2062" s="859">
        <v>35325529</v>
      </c>
      <c r="L2062" s="863">
        <v>40325073</v>
      </c>
      <c r="M2062" s="859">
        <v>36768613</v>
      </c>
      <c r="N2062" s="859"/>
      <c r="O2062" s="752">
        <f t="shared" si="274"/>
        <v>36768613</v>
      </c>
      <c r="P2062" s="862">
        <v>37061333</v>
      </c>
      <c r="Q2062" s="860"/>
      <c r="R2062" s="753">
        <f t="shared" si="277"/>
        <v>37061333</v>
      </c>
      <c r="S2062" s="752">
        <f t="shared" si="278"/>
        <v>108231087</v>
      </c>
      <c r="T2062" s="754">
        <f t="shared" si="279"/>
        <v>114333020</v>
      </c>
      <c r="U2062" s="859"/>
      <c r="V2062" s="863"/>
      <c r="W2062" s="859"/>
      <c r="X2062" s="859"/>
      <c r="Y2062" s="755">
        <f t="shared" si="275"/>
        <v>0</v>
      </c>
      <c r="Z2062" s="864"/>
      <c r="AA2062" s="863"/>
      <c r="AB2062" s="756">
        <f t="shared" si="276"/>
        <v>0</v>
      </c>
      <c r="AC2062" s="859"/>
      <c r="AD2062" s="863"/>
      <c r="AE2062" s="859"/>
      <c r="AF2062" s="859"/>
      <c r="AG2062" s="864"/>
      <c r="AH2062" s="865"/>
      <c r="AI2062" s="757">
        <f t="shared" si="280"/>
        <v>108231087</v>
      </c>
      <c r="AJ2062" s="758">
        <f t="shared" si="281"/>
        <v>114333020</v>
      </c>
    </row>
    <row r="2063" spans="1:36" x14ac:dyDescent="0.2">
      <c r="A2063" s="1311" t="s">
        <v>154</v>
      </c>
      <c r="B2063" s="844" t="s">
        <v>264</v>
      </c>
      <c r="C2063" s="984" t="s">
        <v>1383</v>
      </c>
      <c r="D2063" s="985" t="s">
        <v>1414</v>
      </c>
      <c r="E2063" s="981">
        <v>206923</v>
      </c>
      <c r="F2063" s="1314">
        <v>9</v>
      </c>
      <c r="G2063" s="859">
        <v>6288279</v>
      </c>
      <c r="H2063" s="860">
        <v>6488628</v>
      </c>
      <c r="I2063" s="861"/>
      <c r="J2063" s="862"/>
      <c r="K2063" s="859"/>
      <c r="L2063" s="863"/>
      <c r="M2063" s="859">
        <v>5400280</v>
      </c>
      <c r="N2063" s="859"/>
      <c r="O2063" s="752">
        <f t="shared" si="274"/>
        <v>5400280</v>
      </c>
      <c r="P2063" s="862">
        <v>5911877</v>
      </c>
      <c r="Q2063" s="860"/>
      <c r="R2063" s="753">
        <f t="shared" si="277"/>
        <v>5911877</v>
      </c>
      <c r="S2063" s="752">
        <f t="shared" si="278"/>
        <v>11688559</v>
      </c>
      <c r="T2063" s="754">
        <f t="shared" si="279"/>
        <v>12400505</v>
      </c>
      <c r="U2063" s="859"/>
      <c r="V2063" s="863"/>
      <c r="W2063" s="859"/>
      <c r="X2063" s="859"/>
      <c r="Y2063" s="755">
        <f t="shared" si="275"/>
        <v>0</v>
      </c>
      <c r="Z2063" s="864"/>
      <c r="AA2063" s="863"/>
      <c r="AB2063" s="756">
        <f t="shared" si="276"/>
        <v>0</v>
      </c>
      <c r="AC2063" s="859"/>
      <c r="AD2063" s="863"/>
      <c r="AE2063" s="859"/>
      <c r="AF2063" s="859"/>
      <c r="AG2063" s="864"/>
      <c r="AH2063" s="865"/>
      <c r="AI2063" s="757">
        <f t="shared" si="280"/>
        <v>11688559</v>
      </c>
      <c r="AJ2063" s="758">
        <f t="shared" si="281"/>
        <v>12400505</v>
      </c>
    </row>
    <row r="2064" spans="1:36" x14ac:dyDescent="0.2">
      <c r="A2064" s="1311" t="s">
        <v>154</v>
      </c>
      <c r="B2064" s="844" t="s">
        <v>264</v>
      </c>
      <c r="C2064" s="868" t="s">
        <v>1384</v>
      </c>
      <c r="D2064" s="985"/>
      <c r="E2064" s="981">
        <v>207281</v>
      </c>
      <c r="F2064" s="1315">
        <v>9</v>
      </c>
      <c r="G2064" s="859">
        <v>9984778</v>
      </c>
      <c r="H2064" s="860">
        <v>10292753</v>
      </c>
      <c r="I2064" s="861"/>
      <c r="J2064" s="862"/>
      <c r="K2064" s="859"/>
      <c r="L2064" s="863"/>
      <c r="M2064" s="859">
        <v>14139671</v>
      </c>
      <c r="N2064" s="859"/>
      <c r="O2064" s="752">
        <f t="shared" si="274"/>
        <v>14139671</v>
      </c>
      <c r="P2064" s="862">
        <v>14033769</v>
      </c>
      <c r="Q2064" s="860"/>
      <c r="R2064" s="753">
        <f t="shared" si="277"/>
        <v>14033769</v>
      </c>
      <c r="S2064" s="752">
        <f t="shared" si="278"/>
        <v>24124449</v>
      </c>
      <c r="T2064" s="754">
        <f t="shared" si="279"/>
        <v>24326522</v>
      </c>
      <c r="U2064" s="859"/>
      <c r="V2064" s="863"/>
      <c r="W2064" s="859"/>
      <c r="X2064" s="859"/>
      <c r="Y2064" s="755">
        <f t="shared" si="275"/>
        <v>0</v>
      </c>
      <c r="Z2064" s="864"/>
      <c r="AA2064" s="863"/>
      <c r="AB2064" s="756">
        <f t="shared" si="276"/>
        <v>0</v>
      </c>
      <c r="AC2064" s="859"/>
      <c r="AD2064" s="863"/>
      <c r="AE2064" s="859"/>
      <c r="AF2064" s="859"/>
      <c r="AG2064" s="864"/>
      <c r="AH2064" s="865"/>
      <c r="AI2064" s="757">
        <f t="shared" si="280"/>
        <v>24124449</v>
      </c>
      <c r="AJ2064" s="758">
        <f t="shared" si="281"/>
        <v>24326522</v>
      </c>
    </row>
    <row r="2065" spans="1:36" x14ac:dyDescent="0.2">
      <c r="A2065" s="1311" t="s">
        <v>154</v>
      </c>
      <c r="B2065" s="844" t="s">
        <v>264</v>
      </c>
      <c r="C2065" s="868" t="s">
        <v>1385</v>
      </c>
      <c r="D2065" s="985"/>
      <c r="E2065" s="981">
        <v>206996</v>
      </c>
      <c r="F2065" s="1315">
        <v>10</v>
      </c>
      <c r="G2065" s="859">
        <v>6769919</v>
      </c>
      <c r="H2065" s="860">
        <v>6859019</v>
      </c>
      <c r="I2065" s="861"/>
      <c r="J2065" s="862"/>
      <c r="K2065" s="859"/>
      <c r="L2065" s="863"/>
      <c r="M2065" s="859">
        <v>5121078</v>
      </c>
      <c r="N2065" s="859"/>
      <c r="O2065" s="752">
        <f t="shared" si="274"/>
        <v>5121078</v>
      </c>
      <c r="P2065" s="862">
        <v>5406922</v>
      </c>
      <c r="Q2065" s="860"/>
      <c r="R2065" s="753">
        <f t="shared" si="277"/>
        <v>5406922</v>
      </c>
      <c r="S2065" s="752">
        <f t="shared" si="278"/>
        <v>11890997</v>
      </c>
      <c r="T2065" s="754">
        <f t="shared" si="279"/>
        <v>12265941</v>
      </c>
      <c r="U2065" s="859"/>
      <c r="V2065" s="863"/>
      <c r="W2065" s="859"/>
      <c r="X2065" s="859"/>
      <c r="Y2065" s="755">
        <f t="shared" si="275"/>
        <v>0</v>
      </c>
      <c r="Z2065" s="864"/>
      <c r="AA2065" s="863"/>
      <c r="AB2065" s="756">
        <f t="shared" si="276"/>
        <v>0</v>
      </c>
      <c r="AC2065" s="859"/>
      <c r="AD2065" s="863"/>
      <c r="AE2065" s="859"/>
      <c r="AF2065" s="859"/>
      <c r="AG2065" s="864"/>
      <c r="AH2065" s="865"/>
      <c r="AI2065" s="757">
        <f t="shared" si="280"/>
        <v>11890997</v>
      </c>
      <c r="AJ2065" s="758">
        <f t="shared" si="281"/>
        <v>12265941</v>
      </c>
    </row>
    <row r="2066" spans="1:36" x14ac:dyDescent="0.2">
      <c r="A2066" s="1311" t="s">
        <v>154</v>
      </c>
      <c r="B2066" s="844" t="s">
        <v>264</v>
      </c>
      <c r="C2066" s="868" t="s">
        <v>1386</v>
      </c>
      <c r="D2066" s="985"/>
      <c r="E2066" s="981">
        <v>207050</v>
      </c>
      <c r="F2066" s="1315">
        <v>10</v>
      </c>
      <c r="G2066" s="859">
        <v>6474505</v>
      </c>
      <c r="H2066" s="860">
        <v>6545605</v>
      </c>
      <c r="I2066" s="861"/>
      <c r="J2066" s="862"/>
      <c r="K2066" s="859"/>
      <c r="L2066" s="863"/>
      <c r="M2066" s="859">
        <v>4356701</v>
      </c>
      <c r="N2066" s="859"/>
      <c r="O2066" s="752">
        <f t="shared" si="274"/>
        <v>4356701</v>
      </c>
      <c r="P2066" s="862">
        <v>4026416</v>
      </c>
      <c r="Q2066" s="860"/>
      <c r="R2066" s="753">
        <f t="shared" si="277"/>
        <v>4026416</v>
      </c>
      <c r="S2066" s="752">
        <f t="shared" si="278"/>
        <v>10831206</v>
      </c>
      <c r="T2066" s="754">
        <f t="shared" si="279"/>
        <v>10572021</v>
      </c>
      <c r="U2066" s="859"/>
      <c r="V2066" s="863"/>
      <c r="W2066" s="859"/>
      <c r="X2066" s="859"/>
      <c r="Y2066" s="755">
        <f t="shared" si="275"/>
        <v>0</v>
      </c>
      <c r="Z2066" s="864"/>
      <c r="AA2066" s="863"/>
      <c r="AB2066" s="756">
        <f t="shared" si="276"/>
        <v>0</v>
      </c>
      <c r="AC2066" s="859"/>
      <c r="AD2066" s="863"/>
      <c r="AE2066" s="859"/>
      <c r="AF2066" s="859"/>
      <c r="AG2066" s="864"/>
      <c r="AH2066" s="865"/>
      <c r="AI2066" s="757">
        <f t="shared" si="280"/>
        <v>10831206</v>
      </c>
      <c r="AJ2066" s="758">
        <f t="shared" si="281"/>
        <v>10572021</v>
      </c>
    </row>
    <row r="2067" spans="1:36" x14ac:dyDescent="0.2">
      <c r="A2067" s="1311" t="s">
        <v>154</v>
      </c>
      <c r="B2067" s="844" t="s">
        <v>264</v>
      </c>
      <c r="C2067" s="984" t="s">
        <v>1387</v>
      </c>
      <c r="D2067" s="985"/>
      <c r="E2067" s="981">
        <v>207236</v>
      </c>
      <c r="F2067" s="1315">
        <v>10</v>
      </c>
      <c r="G2067" s="859">
        <v>5727612</v>
      </c>
      <c r="H2067" s="860">
        <v>5827964</v>
      </c>
      <c r="I2067" s="861"/>
      <c r="J2067" s="862"/>
      <c r="K2067" s="859"/>
      <c r="L2067" s="863"/>
      <c r="M2067" s="859">
        <v>6358522</v>
      </c>
      <c r="N2067" s="859"/>
      <c r="O2067" s="752">
        <f t="shared" si="274"/>
        <v>6358522</v>
      </c>
      <c r="P2067" s="862">
        <v>7072634</v>
      </c>
      <c r="Q2067" s="860"/>
      <c r="R2067" s="753">
        <f t="shared" si="277"/>
        <v>7072634</v>
      </c>
      <c r="S2067" s="752">
        <f t="shared" si="278"/>
        <v>12086134</v>
      </c>
      <c r="T2067" s="754">
        <f t="shared" si="279"/>
        <v>12900598</v>
      </c>
      <c r="U2067" s="859"/>
      <c r="V2067" s="863"/>
      <c r="W2067" s="859"/>
      <c r="X2067" s="859"/>
      <c r="Y2067" s="755">
        <f t="shared" si="275"/>
        <v>0</v>
      </c>
      <c r="Z2067" s="864"/>
      <c r="AA2067" s="863"/>
      <c r="AB2067" s="756">
        <f t="shared" si="276"/>
        <v>0</v>
      </c>
      <c r="AC2067" s="859"/>
      <c r="AD2067" s="863"/>
      <c r="AE2067" s="859"/>
      <c r="AF2067" s="859"/>
      <c r="AG2067" s="864"/>
      <c r="AH2067" s="865"/>
      <c r="AI2067" s="757">
        <f t="shared" si="280"/>
        <v>12086134</v>
      </c>
      <c r="AJ2067" s="758">
        <f t="shared" si="281"/>
        <v>12900598</v>
      </c>
    </row>
    <row r="2068" spans="1:36" x14ac:dyDescent="0.2">
      <c r="A2068" s="1311" t="s">
        <v>154</v>
      </c>
      <c r="B2068" s="844" t="s">
        <v>264</v>
      </c>
      <c r="C2068" s="868" t="s">
        <v>1388</v>
      </c>
      <c r="D2068" s="985"/>
      <c r="E2068" s="981">
        <v>207290</v>
      </c>
      <c r="F2068" s="1315">
        <v>10</v>
      </c>
      <c r="G2068" s="859">
        <v>8883776</v>
      </c>
      <c r="H2068" s="860">
        <v>8971076</v>
      </c>
      <c r="I2068" s="861"/>
      <c r="J2068" s="862"/>
      <c r="K2068" s="859"/>
      <c r="L2068" s="863"/>
      <c r="M2068" s="859">
        <v>7745250</v>
      </c>
      <c r="N2068" s="859"/>
      <c r="O2068" s="752">
        <f t="shared" si="274"/>
        <v>7745250</v>
      </c>
      <c r="P2068" s="862">
        <v>7416107</v>
      </c>
      <c r="Q2068" s="860"/>
      <c r="R2068" s="753">
        <f t="shared" si="277"/>
        <v>7416107</v>
      </c>
      <c r="S2068" s="752">
        <f t="shared" si="278"/>
        <v>16629026</v>
      </c>
      <c r="T2068" s="754">
        <f t="shared" si="279"/>
        <v>16387183</v>
      </c>
      <c r="U2068" s="859"/>
      <c r="V2068" s="863"/>
      <c r="W2068" s="859"/>
      <c r="X2068" s="859"/>
      <c r="Y2068" s="755">
        <f t="shared" si="275"/>
        <v>0</v>
      </c>
      <c r="Z2068" s="864"/>
      <c r="AA2068" s="863"/>
      <c r="AB2068" s="756">
        <f t="shared" si="276"/>
        <v>0</v>
      </c>
      <c r="AC2068" s="859"/>
      <c r="AD2068" s="863"/>
      <c r="AE2068" s="859"/>
      <c r="AF2068" s="859"/>
      <c r="AG2068" s="864"/>
      <c r="AH2068" s="865"/>
      <c r="AI2068" s="757">
        <f t="shared" si="280"/>
        <v>16629026</v>
      </c>
      <c r="AJ2068" s="758">
        <f t="shared" si="281"/>
        <v>16387183</v>
      </c>
    </row>
    <row r="2069" spans="1:36" x14ac:dyDescent="0.2">
      <c r="A2069" s="1311" t="s">
        <v>154</v>
      </c>
      <c r="B2069" s="844" t="s">
        <v>264</v>
      </c>
      <c r="C2069" s="868" t="s">
        <v>1389</v>
      </c>
      <c r="D2069" s="985"/>
      <c r="E2069" s="981">
        <v>207069</v>
      </c>
      <c r="F2069" s="1315">
        <v>10</v>
      </c>
      <c r="G2069" s="859">
        <v>6358917</v>
      </c>
      <c r="H2069" s="860">
        <v>6435417</v>
      </c>
      <c r="I2069" s="861"/>
      <c r="J2069" s="862"/>
      <c r="K2069" s="859"/>
      <c r="L2069" s="863"/>
      <c r="M2069" s="859">
        <v>5519369</v>
      </c>
      <c r="N2069" s="859"/>
      <c r="O2069" s="752">
        <f t="shared" si="274"/>
        <v>5519369</v>
      </c>
      <c r="P2069" s="862">
        <v>5151638</v>
      </c>
      <c r="Q2069" s="860"/>
      <c r="R2069" s="753">
        <f t="shared" si="277"/>
        <v>5151638</v>
      </c>
      <c r="S2069" s="752">
        <f t="shared" si="278"/>
        <v>11878286</v>
      </c>
      <c r="T2069" s="754">
        <f t="shared" si="279"/>
        <v>11587055</v>
      </c>
      <c r="U2069" s="859"/>
      <c r="V2069" s="863"/>
      <c r="W2069" s="859"/>
      <c r="X2069" s="859"/>
      <c r="Y2069" s="755">
        <f t="shared" si="275"/>
        <v>0</v>
      </c>
      <c r="Z2069" s="864"/>
      <c r="AA2069" s="863"/>
      <c r="AB2069" s="756">
        <f t="shared" si="276"/>
        <v>0</v>
      </c>
      <c r="AC2069" s="859"/>
      <c r="AD2069" s="863"/>
      <c r="AE2069" s="859"/>
      <c r="AF2069" s="859"/>
      <c r="AG2069" s="864"/>
      <c r="AH2069" s="865"/>
      <c r="AI2069" s="757">
        <f t="shared" si="280"/>
        <v>11878286</v>
      </c>
      <c r="AJ2069" s="758">
        <f t="shared" si="281"/>
        <v>11587055</v>
      </c>
    </row>
    <row r="2070" spans="1:36" x14ac:dyDescent="0.2">
      <c r="A2070" s="1311" t="s">
        <v>154</v>
      </c>
      <c r="B2070" s="844" t="s">
        <v>264</v>
      </c>
      <c r="C2070" s="868" t="s">
        <v>1390</v>
      </c>
      <c r="D2070" s="985"/>
      <c r="E2070" s="981">
        <v>207740</v>
      </c>
      <c r="F2070" s="1315">
        <v>10</v>
      </c>
      <c r="G2070" s="859">
        <v>5948795</v>
      </c>
      <c r="H2070" s="860">
        <v>6026195</v>
      </c>
      <c r="I2070" s="861"/>
      <c r="J2070" s="862"/>
      <c r="K2070" s="859"/>
      <c r="L2070" s="863"/>
      <c r="M2070" s="859">
        <v>5054479</v>
      </c>
      <c r="N2070" s="859"/>
      <c r="O2070" s="752">
        <f t="shared" si="274"/>
        <v>5054479</v>
      </c>
      <c r="P2070" s="862">
        <v>5044681</v>
      </c>
      <c r="Q2070" s="860"/>
      <c r="R2070" s="753">
        <f t="shared" si="277"/>
        <v>5044681</v>
      </c>
      <c r="S2070" s="752">
        <f t="shared" si="278"/>
        <v>11003274</v>
      </c>
      <c r="T2070" s="754">
        <f t="shared" si="279"/>
        <v>11070876</v>
      </c>
      <c r="U2070" s="859"/>
      <c r="V2070" s="863"/>
      <c r="W2070" s="859"/>
      <c r="X2070" s="859"/>
      <c r="Y2070" s="755">
        <f t="shared" si="275"/>
        <v>0</v>
      </c>
      <c r="Z2070" s="864"/>
      <c r="AA2070" s="863"/>
      <c r="AB2070" s="756">
        <f t="shared" si="276"/>
        <v>0</v>
      </c>
      <c r="AC2070" s="859"/>
      <c r="AD2070" s="863"/>
      <c r="AE2070" s="859"/>
      <c r="AF2070" s="859"/>
      <c r="AG2070" s="864"/>
      <c r="AH2070" s="865"/>
      <c r="AI2070" s="757">
        <f t="shared" si="280"/>
        <v>11003274</v>
      </c>
      <c r="AJ2070" s="758">
        <f t="shared" si="281"/>
        <v>11070876</v>
      </c>
    </row>
    <row r="2071" spans="1:36" x14ac:dyDescent="0.2">
      <c r="A2071" s="1311" t="s">
        <v>154</v>
      </c>
      <c r="B2071" s="844" t="s">
        <v>264</v>
      </c>
      <c r="C2071" s="868" t="s">
        <v>1391</v>
      </c>
      <c r="D2071" s="985"/>
      <c r="E2071" s="981">
        <v>208035</v>
      </c>
      <c r="F2071" s="1315">
        <v>10</v>
      </c>
      <c r="G2071" s="859">
        <v>5701773</v>
      </c>
      <c r="H2071" s="860">
        <v>5810048</v>
      </c>
      <c r="I2071" s="861"/>
      <c r="J2071" s="862"/>
      <c r="K2071" s="859"/>
      <c r="L2071" s="863"/>
      <c r="M2071" s="859">
        <v>9242000</v>
      </c>
      <c r="N2071" s="859"/>
      <c r="O2071" s="752">
        <f t="shared" si="274"/>
        <v>9242000</v>
      </c>
      <c r="P2071" s="862">
        <v>3982800</v>
      </c>
      <c r="Q2071" s="860"/>
      <c r="R2071" s="753">
        <f t="shared" si="277"/>
        <v>3982800</v>
      </c>
      <c r="S2071" s="752">
        <f t="shared" si="278"/>
        <v>14943773</v>
      </c>
      <c r="T2071" s="754">
        <f t="shared" si="279"/>
        <v>9792848</v>
      </c>
      <c r="U2071" s="859"/>
      <c r="V2071" s="863"/>
      <c r="W2071" s="859"/>
      <c r="X2071" s="859"/>
      <c r="Y2071" s="755">
        <f t="shared" si="275"/>
        <v>0</v>
      </c>
      <c r="Z2071" s="864"/>
      <c r="AA2071" s="863"/>
      <c r="AB2071" s="756">
        <f t="shared" si="276"/>
        <v>0</v>
      </c>
      <c r="AC2071" s="859"/>
      <c r="AD2071" s="863"/>
      <c r="AE2071" s="859"/>
      <c r="AF2071" s="859"/>
      <c r="AG2071" s="864"/>
      <c r="AH2071" s="865"/>
      <c r="AI2071" s="757">
        <f t="shared" si="280"/>
        <v>14943773</v>
      </c>
      <c r="AJ2071" s="758">
        <f t="shared" si="281"/>
        <v>9792848</v>
      </c>
    </row>
    <row r="2072" spans="1:36" x14ac:dyDescent="0.2">
      <c r="A2072" s="1311" t="s">
        <v>154</v>
      </c>
      <c r="B2072" s="844" t="s">
        <v>273</v>
      </c>
      <c r="C2072" s="883" t="s">
        <v>787</v>
      </c>
      <c r="D2072" s="869"/>
      <c r="E2072" s="846"/>
      <c r="F2072" s="847"/>
      <c r="G2072" s="859"/>
      <c r="H2072" s="860"/>
      <c r="I2072" s="861"/>
      <c r="J2072" s="862"/>
      <c r="K2072" s="859"/>
      <c r="L2072" s="863"/>
      <c r="M2072" s="859"/>
      <c r="N2072" s="859"/>
      <c r="O2072" s="752">
        <f t="shared" si="274"/>
        <v>0</v>
      </c>
      <c r="P2072" s="862"/>
      <c r="Q2072" s="860"/>
      <c r="R2072" s="753">
        <f t="shared" si="277"/>
        <v>0</v>
      </c>
      <c r="S2072" s="752">
        <f t="shared" si="278"/>
        <v>0</v>
      </c>
      <c r="T2072" s="754">
        <f t="shared" si="279"/>
        <v>0</v>
      </c>
      <c r="U2072" s="859"/>
      <c r="V2072" s="863"/>
      <c r="W2072" s="859"/>
      <c r="X2072" s="859"/>
      <c r="Y2072" s="755">
        <f t="shared" si="275"/>
        <v>0</v>
      </c>
      <c r="Z2072" s="864"/>
      <c r="AA2072" s="863"/>
      <c r="AB2072" s="756">
        <f t="shared" si="276"/>
        <v>0</v>
      </c>
      <c r="AC2072" s="859"/>
      <c r="AD2072" s="863"/>
      <c r="AE2072" s="859"/>
      <c r="AF2072" s="859"/>
      <c r="AG2072" s="864"/>
      <c r="AH2072" s="865"/>
      <c r="AI2072" s="757">
        <f t="shared" si="280"/>
        <v>0</v>
      </c>
      <c r="AJ2072" s="758">
        <f t="shared" si="281"/>
        <v>0</v>
      </c>
    </row>
    <row r="2073" spans="1:36" x14ac:dyDescent="0.2">
      <c r="A2073" s="1311" t="s">
        <v>154</v>
      </c>
      <c r="B2073" s="893" t="s">
        <v>274</v>
      </c>
      <c r="C2073" s="858" t="s">
        <v>319</v>
      </c>
      <c r="D2073" s="845"/>
      <c r="E2073" s="846"/>
      <c r="F2073" s="847"/>
      <c r="G2073" s="859"/>
      <c r="H2073" s="860"/>
      <c r="I2073" s="861"/>
      <c r="J2073" s="862"/>
      <c r="K2073" s="859"/>
      <c r="L2073" s="863"/>
      <c r="M2073" s="859"/>
      <c r="N2073" s="859"/>
      <c r="O2073" s="752">
        <f t="shared" si="274"/>
        <v>0</v>
      </c>
      <c r="P2073" s="862"/>
      <c r="Q2073" s="860"/>
      <c r="R2073" s="753">
        <f t="shared" si="277"/>
        <v>0</v>
      </c>
      <c r="S2073" s="752">
        <f t="shared" si="278"/>
        <v>0</v>
      </c>
      <c r="T2073" s="754">
        <f t="shared" si="279"/>
        <v>0</v>
      </c>
      <c r="U2073" s="859"/>
      <c r="V2073" s="863"/>
      <c r="W2073" s="859"/>
      <c r="X2073" s="859"/>
      <c r="Y2073" s="755">
        <f t="shared" si="275"/>
        <v>0</v>
      </c>
      <c r="Z2073" s="864"/>
      <c r="AA2073" s="863"/>
      <c r="AB2073" s="756">
        <f t="shared" si="276"/>
        <v>0</v>
      </c>
      <c r="AC2073" s="859"/>
      <c r="AD2073" s="863"/>
      <c r="AE2073" s="859"/>
      <c r="AF2073" s="859"/>
      <c r="AG2073" s="864"/>
      <c r="AH2073" s="865"/>
      <c r="AI2073" s="757">
        <f t="shared" si="280"/>
        <v>0</v>
      </c>
      <c r="AJ2073" s="758">
        <f t="shared" si="281"/>
        <v>0</v>
      </c>
    </row>
    <row r="2074" spans="1:36" x14ac:dyDescent="0.2">
      <c r="A2074" s="1311" t="s">
        <v>154</v>
      </c>
      <c r="B2074" s="893" t="s">
        <v>274</v>
      </c>
      <c r="C2074" s="866" t="s">
        <v>1392</v>
      </c>
      <c r="D2074" s="845"/>
      <c r="E2074" s="846"/>
      <c r="F2074" s="847"/>
      <c r="G2074" s="859"/>
      <c r="H2074" s="860"/>
      <c r="I2074" s="861">
        <v>93835</v>
      </c>
      <c r="J2074" s="862">
        <v>0</v>
      </c>
      <c r="K2074" s="859"/>
      <c r="L2074" s="863"/>
      <c r="M2074" s="859"/>
      <c r="N2074" s="859"/>
      <c r="O2074" s="752">
        <f t="shared" si="274"/>
        <v>0</v>
      </c>
      <c r="P2074" s="862"/>
      <c r="Q2074" s="860"/>
      <c r="R2074" s="753">
        <f t="shared" si="277"/>
        <v>0</v>
      </c>
      <c r="S2074" s="752">
        <f t="shared" si="278"/>
        <v>93835</v>
      </c>
      <c r="T2074" s="754">
        <f t="shared" si="279"/>
        <v>0</v>
      </c>
      <c r="U2074" s="859"/>
      <c r="V2074" s="863"/>
      <c r="W2074" s="859"/>
      <c r="X2074" s="859"/>
      <c r="Y2074" s="755">
        <f t="shared" si="275"/>
        <v>0</v>
      </c>
      <c r="Z2074" s="864"/>
      <c r="AA2074" s="863"/>
      <c r="AB2074" s="756">
        <f t="shared" si="276"/>
        <v>0</v>
      </c>
      <c r="AC2074" s="859"/>
      <c r="AD2074" s="863"/>
      <c r="AE2074" s="859"/>
      <c r="AF2074" s="859"/>
      <c r="AG2074" s="864"/>
      <c r="AH2074" s="865"/>
      <c r="AI2074" s="757">
        <f t="shared" si="280"/>
        <v>93835</v>
      </c>
      <c r="AJ2074" s="758">
        <f t="shared" si="281"/>
        <v>0</v>
      </c>
    </row>
    <row r="2075" spans="1:36" x14ac:dyDescent="0.2">
      <c r="A2075" s="1311" t="s">
        <v>154</v>
      </c>
      <c r="B2075" s="893" t="s">
        <v>303</v>
      </c>
      <c r="C2075" s="883" t="s">
        <v>1393</v>
      </c>
      <c r="D2075" s="869"/>
      <c r="E2075" s="846"/>
      <c r="F2075" s="847"/>
      <c r="G2075" s="859"/>
      <c r="H2075" s="860"/>
      <c r="I2075" s="861"/>
      <c r="J2075" s="862"/>
      <c r="K2075" s="859"/>
      <c r="L2075" s="863"/>
      <c r="M2075" s="859"/>
      <c r="N2075" s="859"/>
      <c r="O2075" s="752">
        <f t="shared" si="274"/>
        <v>0</v>
      </c>
      <c r="P2075" s="862"/>
      <c r="Q2075" s="860"/>
      <c r="R2075" s="753">
        <f t="shared" si="277"/>
        <v>0</v>
      </c>
      <c r="S2075" s="752">
        <f t="shared" si="278"/>
        <v>0</v>
      </c>
      <c r="T2075" s="754">
        <f t="shared" si="279"/>
        <v>0</v>
      </c>
      <c r="U2075" s="859"/>
      <c r="V2075" s="863"/>
      <c r="W2075" s="859"/>
      <c r="X2075" s="859"/>
      <c r="Y2075" s="755">
        <f t="shared" si="275"/>
        <v>0</v>
      </c>
      <c r="Z2075" s="864"/>
      <c r="AA2075" s="863"/>
      <c r="AB2075" s="756">
        <f t="shared" si="276"/>
        <v>0</v>
      </c>
      <c r="AC2075" s="859"/>
      <c r="AD2075" s="863"/>
      <c r="AE2075" s="859"/>
      <c r="AF2075" s="859"/>
      <c r="AG2075" s="864"/>
      <c r="AH2075" s="865"/>
      <c r="AI2075" s="757">
        <f t="shared" si="280"/>
        <v>0</v>
      </c>
      <c r="AJ2075" s="758">
        <f t="shared" si="281"/>
        <v>0</v>
      </c>
    </row>
    <row r="2076" spans="1:36" x14ac:dyDescent="0.2">
      <c r="A2076" s="1311" t="s">
        <v>154</v>
      </c>
      <c r="B2076" s="893" t="s">
        <v>303</v>
      </c>
      <c r="C2076" s="866" t="s">
        <v>1394</v>
      </c>
      <c r="D2076" s="845"/>
      <c r="E2076" s="846"/>
      <c r="F2076" s="847"/>
      <c r="G2076" s="859"/>
      <c r="H2076" s="860"/>
      <c r="I2076" s="861">
        <v>647396</v>
      </c>
      <c r="J2076" s="862">
        <v>647396</v>
      </c>
      <c r="K2076" s="859"/>
      <c r="L2076" s="863"/>
      <c r="M2076" s="859"/>
      <c r="N2076" s="859"/>
      <c r="O2076" s="752">
        <f t="shared" si="274"/>
        <v>0</v>
      </c>
      <c r="P2076" s="862"/>
      <c r="Q2076" s="860"/>
      <c r="R2076" s="753">
        <f t="shared" si="277"/>
        <v>0</v>
      </c>
      <c r="S2076" s="752">
        <f t="shared" si="278"/>
        <v>647396</v>
      </c>
      <c r="T2076" s="754">
        <f t="shared" si="279"/>
        <v>647396</v>
      </c>
      <c r="U2076" s="859"/>
      <c r="V2076" s="863"/>
      <c r="W2076" s="859"/>
      <c r="X2076" s="859"/>
      <c r="Y2076" s="755">
        <f t="shared" si="275"/>
        <v>0</v>
      </c>
      <c r="Z2076" s="864"/>
      <c r="AA2076" s="863"/>
      <c r="AB2076" s="756">
        <f t="shared" si="276"/>
        <v>0</v>
      </c>
      <c r="AC2076" s="859"/>
      <c r="AD2076" s="863"/>
      <c r="AE2076" s="859"/>
      <c r="AF2076" s="859"/>
      <c r="AG2076" s="864"/>
      <c r="AH2076" s="865"/>
      <c r="AI2076" s="757">
        <f t="shared" si="280"/>
        <v>647396</v>
      </c>
      <c r="AJ2076" s="758">
        <f t="shared" si="281"/>
        <v>647396</v>
      </c>
    </row>
    <row r="2077" spans="1:36" x14ac:dyDescent="0.2">
      <c r="A2077" s="1311" t="s">
        <v>154</v>
      </c>
      <c r="B2077" s="893" t="s">
        <v>303</v>
      </c>
      <c r="C2077" s="866" t="s">
        <v>1395</v>
      </c>
      <c r="D2077" s="845"/>
      <c r="E2077" s="846"/>
      <c r="F2077" s="847"/>
      <c r="G2077" s="859"/>
      <c r="H2077" s="860"/>
      <c r="I2077" s="861">
        <v>25283</v>
      </c>
      <c r="J2077" s="862">
        <v>25283</v>
      </c>
      <c r="K2077" s="859"/>
      <c r="L2077" s="863"/>
      <c r="M2077" s="859"/>
      <c r="N2077" s="859"/>
      <c r="O2077" s="752">
        <f t="shared" si="274"/>
        <v>0</v>
      </c>
      <c r="P2077" s="862"/>
      <c r="Q2077" s="860"/>
      <c r="R2077" s="753">
        <f t="shared" si="277"/>
        <v>0</v>
      </c>
      <c r="S2077" s="752">
        <f t="shared" si="278"/>
        <v>25283</v>
      </c>
      <c r="T2077" s="754">
        <f t="shared" si="279"/>
        <v>25283</v>
      </c>
      <c r="U2077" s="859"/>
      <c r="V2077" s="863"/>
      <c r="W2077" s="859"/>
      <c r="X2077" s="859"/>
      <c r="Y2077" s="755">
        <f t="shared" si="275"/>
        <v>0</v>
      </c>
      <c r="Z2077" s="864"/>
      <c r="AA2077" s="863"/>
      <c r="AB2077" s="756">
        <f t="shared" si="276"/>
        <v>0</v>
      </c>
      <c r="AC2077" s="859"/>
      <c r="AD2077" s="863"/>
      <c r="AE2077" s="859"/>
      <c r="AF2077" s="859"/>
      <c r="AG2077" s="864"/>
      <c r="AH2077" s="865"/>
      <c r="AI2077" s="757">
        <f t="shared" si="280"/>
        <v>25283</v>
      </c>
      <c r="AJ2077" s="758">
        <f t="shared" si="281"/>
        <v>25283</v>
      </c>
    </row>
    <row r="2078" spans="1:36" x14ac:dyDescent="0.2">
      <c r="A2078" s="1311" t="s">
        <v>154</v>
      </c>
      <c r="B2078" s="893" t="s">
        <v>303</v>
      </c>
      <c r="C2078" s="866" t="s">
        <v>1396</v>
      </c>
      <c r="D2078" s="845"/>
      <c r="E2078" s="846"/>
      <c r="F2078" s="847"/>
      <c r="G2078" s="859"/>
      <c r="H2078" s="860"/>
      <c r="I2078" s="861">
        <v>1686184</v>
      </c>
      <c r="J2078" s="862">
        <v>1686184</v>
      </c>
      <c r="K2078" s="859"/>
      <c r="L2078" s="863"/>
      <c r="M2078" s="859"/>
      <c r="N2078" s="859"/>
      <c r="O2078" s="752">
        <f t="shared" si="274"/>
        <v>0</v>
      </c>
      <c r="P2078" s="862"/>
      <c r="Q2078" s="860"/>
      <c r="R2078" s="753">
        <f t="shared" si="277"/>
        <v>0</v>
      </c>
      <c r="S2078" s="752">
        <f t="shared" si="278"/>
        <v>1686184</v>
      </c>
      <c r="T2078" s="754">
        <f t="shared" si="279"/>
        <v>1686184</v>
      </c>
      <c r="U2078" s="859"/>
      <c r="V2078" s="863"/>
      <c r="W2078" s="859"/>
      <c r="X2078" s="859"/>
      <c r="Y2078" s="755">
        <f t="shared" si="275"/>
        <v>0</v>
      </c>
      <c r="Z2078" s="864"/>
      <c r="AA2078" s="863"/>
      <c r="AB2078" s="756">
        <f t="shared" si="276"/>
        <v>0</v>
      </c>
      <c r="AC2078" s="859"/>
      <c r="AD2078" s="863"/>
      <c r="AE2078" s="859"/>
      <c r="AF2078" s="859"/>
      <c r="AG2078" s="864"/>
      <c r="AH2078" s="865"/>
      <c r="AI2078" s="757">
        <f t="shared" si="280"/>
        <v>1686184</v>
      </c>
      <c r="AJ2078" s="758">
        <f t="shared" si="281"/>
        <v>1686184</v>
      </c>
    </row>
    <row r="2079" spans="1:36" x14ac:dyDescent="0.2">
      <c r="A2079" s="1311" t="s">
        <v>154</v>
      </c>
      <c r="B2079" s="893" t="s">
        <v>303</v>
      </c>
      <c r="C2079" s="866" t="s">
        <v>1397</v>
      </c>
      <c r="D2079" s="845"/>
      <c r="E2079" s="846"/>
      <c r="F2079" s="847"/>
      <c r="G2079" s="859"/>
      <c r="H2079" s="860"/>
      <c r="I2079" s="861">
        <v>286030</v>
      </c>
      <c r="J2079" s="862">
        <v>286030</v>
      </c>
      <c r="K2079" s="859"/>
      <c r="L2079" s="863"/>
      <c r="M2079" s="859"/>
      <c r="N2079" s="859"/>
      <c r="O2079" s="752">
        <f t="shared" si="274"/>
        <v>0</v>
      </c>
      <c r="P2079" s="862"/>
      <c r="Q2079" s="860"/>
      <c r="R2079" s="753">
        <f t="shared" si="277"/>
        <v>0</v>
      </c>
      <c r="S2079" s="752">
        <f t="shared" si="278"/>
        <v>286030</v>
      </c>
      <c r="T2079" s="754">
        <f t="shared" si="279"/>
        <v>286030</v>
      </c>
      <c r="U2079" s="859"/>
      <c r="V2079" s="863"/>
      <c r="W2079" s="859"/>
      <c r="X2079" s="859"/>
      <c r="Y2079" s="755">
        <f t="shared" si="275"/>
        <v>0</v>
      </c>
      <c r="Z2079" s="864"/>
      <c r="AA2079" s="863"/>
      <c r="AB2079" s="756">
        <f t="shared" si="276"/>
        <v>0</v>
      </c>
      <c r="AC2079" s="859"/>
      <c r="AD2079" s="863"/>
      <c r="AE2079" s="859"/>
      <c r="AF2079" s="859"/>
      <c r="AG2079" s="864"/>
      <c r="AH2079" s="865"/>
      <c r="AI2079" s="757">
        <f t="shared" si="280"/>
        <v>286030</v>
      </c>
      <c r="AJ2079" s="758">
        <f t="shared" si="281"/>
        <v>286030</v>
      </c>
    </row>
    <row r="2080" spans="1:36" x14ac:dyDescent="0.2">
      <c r="A2080" s="1311" t="s">
        <v>154</v>
      </c>
      <c r="B2080" s="893" t="s">
        <v>303</v>
      </c>
      <c r="C2080" s="866" t="s">
        <v>1398</v>
      </c>
      <c r="D2080" s="845"/>
      <c r="E2080" s="846"/>
      <c r="F2080" s="847"/>
      <c r="G2080" s="859"/>
      <c r="H2080" s="860"/>
      <c r="I2080" s="861">
        <v>8329363</v>
      </c>
      <c r="J2080" s="862">
        <v>8329363</v>
      </c>
      <c r="K2080" s="859"/>
      <c r="L2080" s="863"/>
      <c r="M2080" s="859"/>
      <c r="N2080" s="859"/>
      <c r="O2080" s="752">
        <f t="shared" si="274"/>
        <v>0</v>
      </c>
      <c r="P2080" s="862"/>
      <c r="Q2080" s="860"/>
      <c r="R2080" s="753">
        <f t="shared" si="277"/>
        <v>0</v>
      </c>
      <c r="S2080" s="752">
        <f t="shared" si="278"/>
        <v>8329363</v>
      </c>
      <c r="T2080" s="754">
        <f t="shared" si="279"/>
        <v>8329363</v>
      </c>
      <c r="U2080" s="859"/>
      <c r="V2080" s="863"/>
      <c r="W2080" s="859"/>
      <c r="X2080" s="859"/>
      <c r="Y2080" s="755">
        <f t="shared" si="275"/>
        <v>0</v>
      </c>
      <c r="Z2080" s="864"/>
      <c r="AA2080" s="863"/>
      <c r="AB2080" s="756">
        <f t="shared" si="276"/>
        <v>0</v>
      </c>
      <c r="AC2080" s="859"/>
      <c r="AD2080" s="863"/>
      <c r="AE2080" s="859"/>
      <c r="AF2080" s="859"/>
      <c r="AG2080" s="864"/>
      <c r="AH2080" s="865"/>
      <c r="AI2080" s="757">
        <f t="shared" si="280"/>
        <v>8329363</v>
      </c>
      <c r="AJ2080" s="758">
        <f t="shared" si="281"/>
        <v>8329363</v>
      </c>
    </row>
    <row r="2081" spans="1:36" x14ac:dyDescent="0.2">
      <c r="A2081" s="1311" t="s">
        <v>154</v>
      </c>
      <c r="B2081" s="893" t="s">
        <v>303</v>
      </c>
      <c r="C2081" s="866" t="s">
        <v>1399</v>
      </c>
      <c r="D2081" s="845"/>
      <c r="E2081" s="846"/>
      <c r="F2081" s="847"/>
      <c r="G2081" s="859"/>
      <c r="H2081" s="860"/>
      <c r="I2081" s="861">
        <v>391220</v>
      </c>
      <c r="J2081" s="862">
        <v>391220</v>
      </c>
      <c r="K2081" s="859"/>
      <c r="L2081" s="863"/>
      <c r="M2081" s="859"/>
      <c r="N2081" s="859"/>
      <c r="O2081" s="752">
        <f t="shared" si="274"/>
        <v>0</v>
      </c>
      <c r="P2081" s="862"/>
      <c r="Q2081" s="860"/>
      <c r="R2081" s="753">
        <f t="shared" si="277"/>
        <v>0</v>
      </c>
      <c r="S2081" s="752">
        <f t="shared" si="278"/>
        <v>391220</v>
      </c>
      <c r="T2081" s="754">
        <f t="shared" si="279"/>
        <v>391220</v>
      </c>
      <c r="U2081" s="859"/>
      <c r="V2081" s="863"/>
      <c r="W2081" s="859"/>
      <c r="X2081" s="859"/>
      <c r="Y2081" s="755">
        <f t="shared" si="275"/>
        <v>0</v>
      </c>
      <c r="Z2081" s="864"/>
      <c r="AA2081" s="863"/>
      <c r="AB2081" s="756">
        <f t="shared" si="276"/>
        <v>0</v>
      </c>
      <c r="AC2081" s="859"/>
      <c r="AD2081" s="863"/>
      <c r="AE2081" s="859"/>
      <c r="AF2081" s="859"/>
      <c r="AG2081" s="864"/>
      <c r="AH2081" s="865"/>
      <c r="AI2081" s="757">
        <f t="shared" si="280"/>
        <v>391220</v>
      </c>
      <c r="AJ2081" s="758">
        <f t="shared" si="281"/>
        <v>391220</v>
      </c>
    </row>
    <row r="2082" spans="1:36" x14ac:dyDescent="0.2">
      <c r="A2082" s="1311" t="s">
        <v>154</v>
      </c>
      <c r="B2082" s="893" t="s">
        <v>303</v>
      </c>
      <c r="C2082" s="866" t="s">
        <v>1400</v>
      </c>
      <c r="D2082" s="845"/>
      <c r="E2082" s="846"/>
      <c r="F2082" s="847"/>
      <c r="G2082" s="859"/>
      <c r="H2082" s="860"/>
      <c r="I2082" s="861">
        <v>3120185</v>
      </c>
      <c r="J2082" s="862">
        <v>3120185</v>
      </c>
      <c r="K2082" s="859"/>
      <c r="L2082" s="863"/>
      <c r="M2082" s="859"/>
      <c r="N2082" s="859"/>
      <c r="O2082" s="752">
        <f t="shared" si="274"/>
        <v>0</v>
      </c>
      <c r="P2082" s="862"/>
      <c r="Q2082" s="860"/>
      <c r="R2082" s="753">
        <f t="shared" si="277"/>
        <v>0</v>
      </c>
      <c r="S2082" s="752">
        <f t="shared" si="278"/>
        <v>3120185</v>
      </c>
      <c r="T2082" s="754">
        <f t="shared" si="279"/>
        <v>3120185</v>
      </c>
      <c r="U2082" s="859"/>
      <c r="V2082" s="863"/>
      <c r="W2082" s="859"/>
      <c r="X2082" s="859"/>
      <c r="Y2082" s="755">
        <f t="shared" si="275"/>
        <v>0</v>
      </c>
      <c r="Z2082" s="864"/>
      <c r="AA2082" s="863"/>
      <c r="AB2082" s="756">
        <f t="shared" si="276"/>
        <v>0</v>
      </c>
      <c r="AC2082" s="859"/>
      <c r="AD2082" s="863"/>
      <c r="AE2082" s="859"/>
      <c r="AF2082" s="859"/>
      <c r="AG2082" s="864"/>
      <c r="AH2082" s="865"/>
      <c r="AI2082" s="757">
        <f t="shared" si="280"/>
        <v>3120185</v>
      </c>
      <c r="AJ2082" s="758">
        <f t="shared" si="281"/>
        <v>3120185</v>
      </c>
    </row>
    <row r="2083" spans="1:36" x14ac:dyDescent="0.2">
      <c r="A2083" s="1311" t="s">
        <v>154</v>
      </c>
      <c r="B2083" s="893" t="s">
        <v>303</v>
      </c>
      <c r="C2083" s="866" t="s">
        <v>1401</v>
      </c>
      <c r="D2083" s="845"/>
      <c r="E2083" s="846"/>
      <c r="F2083" s="847"/>
      <c r="G2083" s="859"/>
      <c r="H2083" s="860"/>
      <c r="I2083" s="861">
        <v>1098472</v>
      </c>
      <c r="J2083" s="862">
        <v>1098472</v>
      </c>
      <c r="K2083" s="859"/>
      <c r="L2083" s="863"/>
      <c r="M2083" s="859"/>
      <c r="N2083" s="859"/>
      <c r="O2083" s="752">
        <f t="shared" si="274"/>
        <v>0</v>
      </c>
      <c r="P2083" s="862"/>
      <c r="Q2083" s="860"/>
      <c r="R2083" s="753">
        <f t="shared" si="277"/>
        <v>0</v>
      </c>
      <c r="S2083" s="752">
        <f t="shared" si="278"/>
        <v>1098472</v>
      </c>
      <c r="T2083" s="754">
        <f t="shared" si="279"/>
        <v>1098472</v>
      </c>
      <c r="U2083" s="859"/>
      <c r="V2083" s="863"/>
      <c r="W2083" s="859"/>
      <c r="X2083" s="859"/>
      <c r="Y2083" s="755">
        <f t="shared" si="275"/>
        <v>0</v>
      </c>
      <c r="Z2083" s="864"/>
      <c r="AA2083" s="863"/>
      <c r="AB2083" s="756">
        <f t="shared" si="276"/>
        <v>0</v>
      </c>
      <c r="AC2083" s="859"/>
      <c r="AD2083" s="863"/>
      <c r="AE2083" s="859"/>
      <c r="AF2083" s="859"/>
      <c r="AG2083" s="864"/>
      <c r="AH2083" s="865"/>
      <c r="AI2083" s="757">
        <f t="shared" si="280"/>
        <v>1098472</v>
      </c>
      <c r="AJ2083" s="758">
        <f t="shared" si="281"/>
        <v>1098472</v>
      </c>
    </row>
    <row r="2084" spans="1:36" x14ac:dyDescent="0.2">
      <c r="A2084" s="1311" t="s">
        <v>154</v>
      </c>
      <c r="B2084" s="893" t="s">
        <v>303</v>
      </c>
      <c r="C2084" s="866" t="s">
        <v>1402</v>
      </c>
      <c r="D2084" s="845"/>
      <c r="E2084" s="846"/>
      <c r="F2084" s="847"/>
      <c r="G2084" s="859"/>
      <c r="H2084" s="860"/>
      <c r="I2084" s="861">
        <v>68476</v>
      </c>
      <c r="J2084" s="862">
        <v>68476</v>
      </c>
      <c r="K2084" s="859"/>
      <c r="L2084" s="863"/>
      <c r="M2084" s="859"/>
      <c r="N2084" s="859"/>
      <c r="O2084" s="752">
        <f t="shared" si="274"/>
        <v>0</v>
      </c>
      <c r="P2084" s="862"/>
      <c r="Q2084" s="860"/>
      <c r="R2084" s="753">
        <f t="shared" si="277"/>
        <v>0</v>
      </c>
      <c r="S2084" s="752">
        <f t="shared" si="278"/>
        <v>68476</v>
      </c>
      <c r="T2084" s="754">
        <f t="shared" si="279"/>
        <v>68476</v>
      </c>
      <c r="U2084" s="859"/>
      <c r="V2084" s="863"/>
      <c r="W2084" s="859"/>
      <c r="X2084" s="859"/>
      <c r="Y2084" s="755">
        <f t="shared" si="275"/>
        <v>0</v>
      </c>
      <c r="Z2084" s="864"/>
      <c r="AA2084" s="863"/>
      <c r="AB2084" s="756">
        <f t="shared" si="276"/>
        <v>0</v>
      </c>
      <c r="AC2084" s="859"/>
      <c r="AD2084" s="863"/>
      <c r="AE2084" s="859"/>
      <c r="AF2084" s="859"/>
      <c r="AG2084" s="864"/>
      <c r="AH2084" s="865"/>
      <c r="AI2084" s="757">
        <f t="shared" si="280"/>
        <v>68476</v>
      </c>
      <c r="AJ2084" s="758">
        <f t="shared" si="281"/>
        <v>68476</v>
      </c>
    </row>
    <row r="2085" spans="1:36" x14ac:dyDescent="0.2">
      <c r="A2085" s="1311" t="s">
        <v>154</v>
      </c>
      <c r="B2085" s="893" t="s">
        <v>281</v>
      </c>
      <c r="C2085" s="883" t="s">
        <v>109</v>
      </c>
      <c r="D2085" s="869"/>
      <c r="E2085" s="846"/>
      <c r="F2085" s="847"/>
      <c r="G2085" s="859"/>
      <c r="H2085" s="860"/>
      <c r="I2085" s="861"/>
      <c r="J2085" s="862"/>
      <c r="K2085" s="859"/>
      <c r="L2085" s="863"/>
      <c r="M2085" s="859"/>
      <c r="N2085" s="859"/>
      <c r="O2085" s="752">
        <f t="shared" si="274"/>
        <v>0</v>
      </c>
      <c r="P2085" s="862"/>
      <c r="Q2085" s="860"/>
      <c r="R2085" s="753">
        <f t="shared" si="277"/>
        <v>0</v>
      </c>
      <c r="S2085" s="752">
        <f t="shared" si="278"/>
        <v>0</v>
      </c>
      <c r="T2085" s="754">
        <f t="shared" si="279"/>
        <v>0</v>
      </c>
      <c r="U2085" s="859"/>
      <c r="V2085" s="863"/>
      <c r="W2085" s="859"/>
      <c r="X2085" s="859"/>
      <c r="Y2085" s="755">
        <f t="shared" si="275"/>
        <v>0</v>
      </c>
      <c r="Z2085" s="864"/>
      <c r="AA2085" s="863"/>
      <c r="AB2085" s="756">
        <f t="shared" si="276"/>
        <v>0</v>
      </c>
      <c r="AC2085" s="859"/>
      <c r="AD2085" s="863"/>
      <c r="AE2085" s="859"/>
      <c r="AF2085" s="859"/>
      <c r="AG2085" s="864"/>
      <c r="AH2085" s="865"/>
      <c r="AI2085" s="757">
        <f t="shared" si="280"/>
        <v>0</v>
      </c>
      <c r="AJ2085" s="758">
        <f t="shared" si="281"/>
        <v>0</v>
      </c>
    </row>
    <row r="2086" spans="1:36" x14ac:dyDescent="0.2">
      <c r="A2086" s="1311" t="s">
        <v>154</v>
      </c>
      <c r="B2086" s="893" t="s">
        <v>282</v>
      </c>
      <c r="C2086" s="858" t="s">
        <v>140</v>
      </c>
      <c r="D2086" s="845"/>
      <c r="E2086" s="846"/>
      <c r="F2086" s="847"/>
      <c r="G2086" s="859"/>
      <c r="H2086" s="860"/>
      <c r="I2086" s="861"/>
      <c r="J2086" s="862"/>
      <c r="K2086" s="859"/>
      <c r="L2086" s="863"/>
      <c r="M2086" s="859"/>
      <c r="N2086" s="859"/>
      <c r="O2086" s="752">
        <f t="shared" si="274"/>
        <v>0</v>
      </c>
      <c r="P2086" s="862"/>
      <c r="Q2086" s="860"/>
      <c r="R2086" s="753">
        <f t="shared" si="277"/>
        <v>0</v>
      </c>
      <c r="S2086" s="752">
        <f t="shared" si="278"/>
        <v>0</v>
      </c>
      <c r="T2086" s="754">
        <f t="shared" si="279"/>
        <v>0</v>
      </c>
      <c r="U2086" s="859"/>
      <c r="V2086" s="863"/>
      <c r="W2086" s="859"/>
      <c r="X2086" s="859"/>
      <c r="Y2086" s="755">
        <f t="shared" si="275"/>
        <v>0</v>
      </c>
      <c r="Z2086" s="864"/>
      <c r="AA2086" s="863"/>
      <c r="AB2086" s="756">
        <f t="shared" si="276"/>
        <v>0</v>
      </c>
      <c r="AC2086" s="859"/>
      <c r="AD2086" s="863"/>
      <c r="AE2086" s="859"/>
      <c r="AF2086" s="859"/>
      <c r="AG2086" s="864"/>
      <c r="AH2086" s="865"/>
      <c r="AI2086" s="757">
        <f t="shared" si="280"/>
        <v>0</v>
      </c>
      <c r="AJ2086" s="758">
        <f t="shared" si="281"/>
        <v>0</v>
      </c>
    </row>
    <row r="2087" spans="1:36" x14ac:dyDescent="0.2">
      <c r="A2087" s="1311" t="s">
        <v>154</v>
      </c>
      <c r="B2087" s="893" t="s">
        <v>282</v>
      </c>
      <c r="C2087" s="866" t="s">
        <v>1403</v>
      </c>
      <c r="D2087" s="845"/>
      <c r="E2087" s="846"/>
      <c r="F2087" s="847"/>
      <c r="G2087" s="859"/>
      <c r="H2087" s="860"/>
      <c r="I2087" s="861"/>
      <c r="J2087" s="862"/>
      <c r="K2087" s="859"/>
      <c r="L2087" s="863"/>
      <c r="M2087" s="859"/>
      <c r="N2087" s="859"/>
      <c r="O2087" s="752">
        <f t="shared" si="274"/>
        <v>0</v>
      </c>
      <c r="P2087" s="862"/>
      <c r="Q2087" s="860"/>
      <c r="R2087" s="753">
        <f t="shared" si="277"/>
        <v>0</v>
      </c>
      <c r="S2087" s="752">
        <f t="shared" si="278"/>
        <v>0</v>
      </c>
      <c r="T2087" s="754">
        <f t="shared" si="279"/>
        <v>0</v>
      </c>
      <c r="U2087" s="859">
        <v>10139942</v>
      </c>
      <c r="V2087" s="863">
        <v>10139942</v>
      </c>
      <c r="W2087" s="859"/>
      <c r="X2087" s="859"/>
      <c r="Y2087" s="755">
        <f t="shared" si="275"/>
        <v>0</v>
      </c>
      <c r="Z2087" s="864"/>
      <c r="AA2087" s="863"/>
      <c r="AB2087" s="756">
        <f t="shared" si="276"/>
        <v>0</v>
      </c>
      <c r="AC2087" s="859"/>
      <c r="AD2087" s="863"/>
      <c r="AE2087" s="859"/>
      <c r="AF2087" s="859"/>
      <c r="AG2087" s="864"/>
      <c r="AH2087" s="865"/>
      <c r="AI2087" s="757">
        <f t="shared" si="280"/>
        <v>10139942</v>
      </c>
      <c r="AJ2087" s="758">
        <f t="shared" si="281"/>
        <v>10139942</v>
      </c>
    </row>
    <row r="2088" spans="1:36" x14ac:dyDescent="0.2">
      <c r="A2088" s="1311" t="s">
        <v>154</v>
      </c>
      <c r="B2088" s="893" t="s">
        <v>282</v>
      </c>
      <c r="C2088" s="866" t="s">
        <v>1404</v>
      </c>
      <c r="D2088" s="845"/>
      <c r="E2088" s="846"/>
      <c r="F2088" s="847"/>
      <c r="G2088" s="859"/>
      <c r="H2088" s="860"/>
      <c r="I2088" s="861"/>
      <c r="J2088" s="862"/>
      <c r="K2088" s="859"/>
      <c r="L2088" s="863"/>
      <c r="M2088" s="859"/>
      <c r="N2088" s="859"/>
      <c r="O2088" s="752">
        <f t="shared" si="274"/>
        <v>0</v>
      </c>
      <c r="P2088" s="862"/>
      <c r="Q2088" s="860"/>
      <c r="R2088" s="753">
        <f t="shared" si="277"/>
        <v>0</v>
      </c>
      <c r="S2088" s="752">
        <f t="shared" si="278"/>
        <v>0</v>
      </c>
      <c r="T2088" s="754">
        <f t="shared" si="279"/>
        <v>0</v>
      </c>
      <c r="U2088" s="859"/>
      <c r="V2088" s="863"/>
      <c r="W2088" s="859"/>
      <c r="X2088" s="859"/>
      <c r="Y2088" s="755">
        <f t="shared" si="275"/>
        <v>0</v>
      </c>
      <c r="Z2088" s="864"/>
      <c r="AA2088" s="863"/>
      <c r="AB2088" s="756">
        <f t="shared" si="276"/>
        <v>0</v>
      </c>
      <c r="AC2088" s="859"/>
      <c r="AD2088" s="863"/>
      <c r="AE2088" s="859"/>
      <c r="AF2088" s="859"/>
      <c r="AG2088" s="864"/>
      <c r="AH2088" s="865"/>
      <c r="AI2088" s="757">
        <f t="shared" si="280"/>
        <v>0</v>
      </c>
      <c r="AJ2088" s="758">
        <f t="shared" si="281"/>
        <v>0</v>
      </c>
    </row>
    <row r="2089" spans="1:36" x14ac:dyDescent="0.2">
      <c r="A2089" s="1311" t="s">
        <v>154</v>
      </c>
      <c r="B2089" s="893" t="s">
        <v>283</v>
      </c>
      <c r="C2089" s="858" t="s">
        <v>139</v>
      </c>
      <c r="D2089" s="845"/>
      <c r="E2089" s="846"/>
      <c r="F2089" s="847"/>
      <c r="G2089" s="859"/>
      <c r="H2089" s="860"/>
      <c r="I2089" s="861"/>
      <c r="J2089" s="862"/>
      <c r="K2089" s="859"/>
      <c r="L2089" s="863"/>
      <c r="M2089" s="859"/>
      <c r="N2089" s="859"/>
      <c r="O2089" s="752">
        <f t="shared" si="274"/>
        <v>0</v>
      </c>
      <c r="P2089" s="862"/>
      <c r="Q2089" s="860"/>
      <c r="R2089" s="753">
        <f t="shared" si="277"/>
        <v>0</v>
      </c>
      <c r="S2089" s="752">
        <f t="shared" si="278"/>
        <v>0</v>
      </c>
      <c r="T2089" s="754">
        <f t="shared" si="279"/>
        <v>0</v>
      </c>
      <c r="U2089" s="859"/>
      <c r="V2089" s="863"/>
      <c r="W2089" s="859"/>
      <c r="X2089" s="859"/>
      <c r="Y2089" s="755">
        <f t="shared" si="275"/>
        <v>0</v>
      </c>
      <c r="Z2089" s="864"/>
      <c r="AA2089" s="863"/>
      <c r="AB2089" s="756">
        <f t="shared" si="276"/>
        <v>0</v>
      </c>
      <c r="AC2089" s="859"/>
      <c r="AD2089" s="863"/>
      <c r="AE2089" s="859"/>
      <c r="AF2089" s="859"/>
      <c r="AG2089" s="864"/>
      <c r="AH2089" s="865"/>
      <c r="AI2089" s="757">
        <f t="shared" si="280"/>
        <v>0</v>
      </c>
      <c r="AJ2089" s="758">
        <f t="shared" si="281"/>
        <v>0</v>
      </c>
    </row>
    <row r="2090" spans="1:36" x14ac:dyDescent="0.2">
      <c r="A2090" s="1311" t="s">
        <v>154</v>
      </c>
      <c r="B2090" s="893" t="s">
        <v>284</v>
      </c>
      <c r="C2090" s="858" t="s">
        <v>138</v>
      </c>
      <c r="D2090" s="845"/>
      <c r="E2090" s="846"/>
      <c r="F2090" s="847"/>
      <c r="G2090" s="859"/>
      <c r="H2090" s="860"/>
      <c r="I2090" s="861"/>
      <c r="J2090" s="862"/>
      <c r="K2090" s="859"/>
      <c r="L2090" s="863"/>
      <c r="M2090" s="859"/>
      <c r="N2090" s="859"/>
      <c r="O2090" s="752">
        <f t="shared" si="274"/>
        <v>0</v>
      </c>
      <c r="P2090" s="862"/>
      <c r="Q2090" s="860"/>
      <c r="R2090" s="753">
        <f t="shared" si="277"/>
        <v>0</v>
      </c>
      <c r="S2090" s="752">
        <f t="shared" si="278"/>
        <v>0</v>
      </c>
      <c r="T2090" s="754">
        <f t="shared" si="279"/>
        <v>0</v>
      </c>
      <c r="U2090" s="859"/>
      <c r="V2090" s="863"/>
      <c r="W2090" s="859"/>
      <c r="X2090" s="859"/>
      <c r="Y2090" s="755">
        <f t="shared" si="275"/>
        <v>0</v>
      </c>
      <c r="Z2090" s="864"/>
      <c r="AA2090" s="863"/>
      <c r="AB2090" s="756">
        <f t="shared" si="276"/>
        <v>0</v>
      </c>
      <c r="AC2090" s="859"/>
      <c r="AD2090" s="863"/>
      <c r="AE2090" s="859"/>
      <c r="AF2090" s="859"/>
      <c r="AG2090" s="864"/>
      <c r="AH2090" s="865"/>
      <c r="AI2090" s="757">
        <f t="shared" si="280"/>
        <v>0</v>
      </c>
      <c r="AJ2090" s="758">
        <f t="shared" si="281"/>
        <v>0</v>
      </c>
    </row>
    <row r="2091" spans="1:36" x14ac:dyDescent="0.2">
      <c r="A2091" s="1311" t="s">
        <v>154</v>
      </c>
      <c r="B2091" s="893" t="s">
        <v>284</v>
      </c>
      <c r="C2091" s="866" t="s">
        <v>1405</v>
      </c>
      <c r="D2091" s="845"/>
      <c r="E2091" s="846"/>
      <c r="F2091" s="847"/>
      <c r="G2091" s="859"/>
      <c r="H2091" s="860"/>
      <c r="I2091" s="861"/>
      <c r="J2091" s="862"/>
      <c r="K2091" s="859"/>
      <c r="L2091" s="863"/>
      <c r="M2091" s="859"/>
      <c r="N2091" s="859"/>
      <c r="O2091" s="752">
        <f t="shared" si="274"/>
        <v>0</v>
      </c>
      <c r="P2091" s="862"/>
      <c r="Q2091" s="860"/>
      <c r="R2091" s="753">
        <f t="shared" si="277"/>
        <v>0</v>
      </c>
      <c r="S2091" s="752">
        <f t="shared" si="278"/>
        <v>0</v>
      </c>
      <c r="T2091" s="754">
        <f t="shared" si="279"/>
        <v>0</v>
      </c>
      <c r="U2091" s="859"/>
      <c r="V2091" s="863"/>
      <c r="W2091" s="859"/>
      <c r="X2091" s="859"/>
      <c r="Y2091" s="755">
        <f t="shared" si="275"/>
        <v>0</v>
      </c>
      <c r="Z2091" s="864"/>
      <c r="AA2091" s="863"/>
      <c r="AB2091" s="756">
        <f t="shared" si="276"/>
        <v>0</v>
      </c>
      <c r="AC2091" s="859"/>
      <c r="AD2091" s="863"/>
      <c r="AE2091" s="859"/>
      <c r="AF2091" s="859"/>
      <c r="AG2091" s="864"/>
      <c r="AH2091" s="865"/>
      <c r="AI2091" s="757">
        <f t="shared" si="280"/>
        <v>0</v>
      </c>
      <c r="AJ2091" s="758">
        <f t="shared" si="281"/>
        <v>0</v>
      </c>
    </row>
    <row r="2092" spans="1:36" x14ac:dyDescent="0.2">
      <c r="A2092" s="1311" t="s">
        <v>154</v>
      </c>
      <c r="B2092" s="893" t="s">
        <v>285</v>
      </c>
      <c r="C2092" s="858" t="s">
        <v>646</v>
      </c>
      <c r="D2092" s="845"/>
      <c r="E2092" s="846"/>
      <c r="F2092" s="847"/>
      <c r="G2092" s="859"/>
      <c r="H2092" s="860"/>
      <c r="I2092" s="861"/>
      <c r="J2092" s="862"/>
      <c r="K2092" s="859"/>
      <c r="L2092" s="863"/>
      <c r="M2092" s="859"/>
      <c r="N2092" s="859"/>
      <c r="O2092" s="752">
        <f t="shared" si="274"/>
        <v>0</v>
      </c>
      <c r="P2092" s="862"/>
      <c r="Q2092" s="860"/>
      <c r="R2092" s="753">
        <f t="shared" si="277"/>
        <v>0</v>
      </c>
      <c r="S2092" s="752">
        <f t="shared" si="278"/>
        <v>0</v>
      </c>
      <c r="T2092" s="754">
        <f t="shared" si="279"/>
        <v>0</v>
      </c>
      <c r="U2092" s="859"/>
      <c r="V2092" s="863"/>
      <c r="W2092" s="859"/>
      <c r="X2092" s="859"/>
      <c r="Y2092" s="755">
        <f t="shared" si="275"/>
        <v>0</v>
      </c>
      <c r="Z2092" s="864"/>
      <c r="AA2092" s="863"/>
      <c r="AB2092" s="756">
        <f t="shared" si="276"/>
        <v>0</v>
      </c>
      <c r="AC2092" s="859"/>
      <c r="AD2092" s="863"/>
      <c r="AE2092" s="859"/>
      <c r="AF2092" s="859"/>
      <c r="AG2092" s="864"/>
      <c r="AH2092" s="865"/>
      <c r="AI2092" s="757">
        <f t="shared" si="280"/>
        <v>0</v>
      </c>
      <c r="AJ2092" s="758">
        <f t="shared" si="281"/>
        <v>0</v>
      </c>
    </row>
    <row r="2093" spans="1:36" x14ac:dyDescent="0.2">
      <c r="A2093" s="1311" t="s">
        <v>154</v>
      </c>
      <c r="B2093" s="844" t="s">
        <v>286</v>
      </c>
      <c r="C2093" s="883" t="s">
        <v>565</v>
      </c>
      <c r="D2093" s="869"/>
      <c r="E2093" s="846"/>
      <c r="F2093" s="847"/>
      <c r="G2093" s="859"/>
      <c r="H2093" s="860"/>
      <c r="I2093" s="861"/>
      <c r="J2093" s="862"/>
      <c r="K2093" s="859"/>
      <c r="L2093" s="863"/>
      <c r="M2093" s="859"/>
      <c r="N2093" s="859"/>
      <c r="O2093" s="752">
        <f t="shared" si="274"/>
        <v>0</v>
      </c>
      <c r="P2093" s="862"/>
      <c r="Q2093" s="860"/>
      <c r="R2093" s="753">
        <f t="shared" si="277"/>
        <v>0</v>
      </c>
      <c r="S2093" s="752">
        <f t="shared" si="278"/>
        <v>0</v>
      </c>
      <c r="T2093" s="754">
        <f t="shared" si="279"/>
        <v>0</v>
      </c>
      <c r="U2093" s="859"/>
      <c r="V2093" s="863"/>
      <c r="W2093" s="859"/>
      <c r="X2093" s="859"/>
      <c r="Y2093" s="755">
        <f t="shared" si="275"/>
        <v>0</v>
      </c>
      <c r="Z2093" s="864"/>
      <c r="AA2093" s="863"/>
      <c r="AB2093" s="756">
        <f t="shared" si="276"/>
        <v>0</v>
      </c>
      <c r="AC2093" s="859"/>
      <c r="AD2093" s="863"/>
      <c r="AE2093" s="859"/>
      <c r="AF2093" s="859"/>
      <c r="AG2093" s="864"/>
      <c r="AH2093" s="865"/>
      <c r="AI2093" s="757">
        <f t="shared" si="280"/>
        <v>0</v>
      </c>
      <c r="AJ2093" s="758">
        <f t="shared" si="281"/>
        <v>0</v>
      </c>
    </row>
    <row r="2094" spans="1:36" x14ac:dyDescent="0.2">
      <c r="A2094" s="1311" t="s">
        <v>154</v>
      </c>
      <c r="B2094" s="844" t="s">
        <v>287</v>
      </c>
      <c r="C2094" s="883" t="s">
        <v>570</v>
      </c>
      <c r="D2094" s="869"/>
      <c r="E2094" s="846"/>
      <c r="F2094" s="847"/>
      <c r="G2094" s="859"/>
      <c r="H2094" s="860"/>
      <c r="I2094" s="861"/>
      <c r="J2094" s="862"/>
      <c r="K2094" s="859"/>
      <c r="L2094" s="863"/>
      <c r="M2094" s="859"/>
      <c r="N2094" s="859"/>
      <c r="O2094" s="752">
        <f t="shared" si="274"/>
        <v>0</v>
      </c>
      <c r="P2094" s="862"/>
      <c r="Q2094" s="860"/>
      <c r="R2094" s="753">
        <f t="shared" si="277"/>
        <v>0</v>
      </c>
      <c r="S2094" s="752">
        <f t="shared" si="278"/>
        <v>0</v>
      </c>
      <c r="T2094" s="754">
        <f t="shared" si="279"/>
        <v>0</v>
      </c>
      <c r="U2094" s="859"/>
      <c r="V2094" s="863"/>
      <c r="W2094" s="859"/>
      <c r="X2094" s="859"/>
      <c r="Y2094" s="755">
        <f t="shared" si="275"/>
        <v>0</v>
      </c>
      <c r="Z2094" s="864"/>
      <c r="AA2094" s="863"/>
      <c r="AB2094" s="756">
        <f t="shared" si="276"/>
        <v>0</v>
      </c>
      <c r="AC2094" s="859"/>
      <c r="AD2094" s="863"/>
      <c r="AE2094" s="859"/>
      <c r="AF2094" s="859"/>
      <c r="AG2094" s="864"/>
      <c r="AH2094" s="865"/>
      <c r="AI2094" s="757">
        <f t="shared" si="280"/>
        <v>0</v>
      </c>
      <c r="AJ2094" s="758">
        <f t="shared" si="281"/>
        <v>0</v>
      </c>
    </row>
    <row r="2095" spans="1:36" x14ac:dyDescent="0.2">
      <c r="A2095" s="1311" t="s">
        <v>154</v>
      </c>
      <c r="B2095" s="844" t="s">
        <v>288</v>
      </c>
      <c r="C2095" s="858" t="s">
        <v>571</v>
      </c>
      <c r="D2095" s="845"/>
      <c r="E2095" s="846"/>
      <c r="F2095" s="847"/>
      <c r="G2095" s="859"/>
      <c r="H2095" s="860"/>
      <c r="I2095" s="861"/>
      <c r="J2095" s="862"/>
      <c r="K2095" s="859"/>
      <c r="L2095" s="863"/>
      <c r="M2095" s="859"/>
      <c r="N2095" s="859"/>
      <c r="O2095" s="752">
        <f t="shared" si="274"/>
        <v>0</v>
      </c>
      <c r="P2095" s="862"/>
      <c r="Q2095" s="860"/>
      <c r="R2095" s="753">
        <f t="shared" si="277"/>
        <v>0</v>
      </c>
      <c r="S2095" s="752">
        <f t="shared" si="278"/>
        <v>0</v>
      </c>
      <c r="T2095" s="754">
        <f t="shared" si="279"/>
        <v>0</v>
      </c>
      <c r="U2095" s="859"/>
      <c r="V2095" s="863"/>
      <c r="W2095" s="859"/>
      <c r="X2095" s="859"/>
      <c r="Y2095" s="755">
        <f t="shared" si="275"/>
        <v>0</v>
      </c>
      <c r="Z2095" s="864"/>
      <c r="AA2095" s="863"/>
      <c r="AB2095" s="756">
        <f t="shared" si="276"/>
        <v>0</v>
      </c>
      <c r="AC2095" s="859"/>
      <c r="AD2095" s="863"/>
      <c r="AE2095" s="859"/>
      <c r="AF2095" s="859"/>
      <c r="AG2095" s="864"/>
      <c r="AH2095" s="865"/>
      <c r="AI2095" s="757">
        <f t="shared" si="280"/>
        <v>0</v>
      </c>
      <c r="AJ2095" s="758">
        <f t="shared" si="281"/>
        <v>0</v>
      </c>
    </row>
    <row r="2096" spans="1:36" x14ac:dyDescent="0.2">
      <c r="A2096" s="1311" t="s">
        <v>154</v>
      </c>
      <c r="B2096" s="844" t="s">
        <v>289</v>
      </c>
      <c r="C2096" s="858" t="s">
        <v>573</v>
      </c>
      <c r="D2096" s="845"/>
      <c r="E2096" s="846"/>
      <c r="F2096" s="847"/>
      <c r="G2096" s="859"/>
      <c r="H2096" s="860"/>
      <c r="I2096" s="861"/>
      <c r="J2096" s="862"/>
      <c r="K2096" s="859"/>
      <c r="L2096" s="863"/>
      <c r="M2096" s="859"/>
      <c r="N2096" s="859"/>
      <c r="O2096" s="752">
        <f t="shared" si="274"/>
        <v>0</v>
      </c>
      <c r="P2096" s="862"/>
      <c r="Q2096" s="860"/>
      <c r="R2096" s="753">
        <f t="shared" si="277"/>
        <v>0</v>
      </c>
      <c r="S2096" s="752">
        <f t="shared" si="278"/>
        <v>0</v>
      </c>
      <c r="T2096" s="754">
        <f t="shared" si="279"/>
        <v>0</v>
      </c>
      <c r="U2096" s="859"/>
      <c r="V2096" s="863"/>
      <c r="W2096" s="859"/>
      <c r="X2096" s="859"/>
      <c r="Y2096" s="755">
        <f t="shared" si="275"/>
        <v>0</v>
      </c>
      <c r="Z2096" s="864"/>
      <c r="AA2096" s="863"/>
      <c r="AB2096" s="756">
        <f t="shared" si="276"/>
        <v>0</v>
      </c>
      <c r="AC2096" s="859"/>
      <c r="AD2096" s="863"/>
      <c r="AE2096" s="859"/>
      <c r="AF2096" s="859"/>
      <c r="AG2096" s="864"/>
      <c r="AH2096" s="865"/>
      <c r="AI2096" s="757">
        <f t="shared" si="280"/>
        <v>0</v>
      </c>
      <c r="AJ2096" s="758">
        <f t="shared" si="281"/>
        <v>0</v>
      </c>
    </row>
    <row r="2097" spans="1:36" x14ac:dyDescent="0.2">
      <c r="A2097" s="1311" t="s">
        <v>154</v>
      </c>
      <c r="B2097" s="844" t="s">
        <v>290</v>
      </c>
      <c r="C2097" s="858" t="s">
        <v>137</v>
      </c>
      <c r="D2097" s="845"/>
      <c r="E2097" s="846"/>
      <c r="F2097" s="847"/>
      <c r="G2097" s="859"/>
      <c r="H2097" s="860"/>
      <c r="I2097" s="861"/>
      <c r="J2097" s="862"/>
      <c r="K2097" s="859"/>
      <c r="L2097" s="863"/>
      <c r="M2097" s="859"/>
      <c r="N2097" s="859"/>
      <c r="O2097" s="752">
        <f t="shared" si="274"/>
        <v>0</v>
      </c>
      <c r="P2097" s="862"/>
      <c r="Q2097" s="860"/>
      <c r="R2097" s="753">
        <f t="shared" si="277"/>
        <v>0</v>
      </c>
      <c r="S2097" s="752">
        <f t="shared" si="278"/>
        <v>0</v>
      </c>
      <c r="T2097" s="754">
        <f t="shared" si="279"/>
        <v>0</v>
      </c>
      <c r="U2097" s="859"/>
      <c r="V2097" s="863"/>
      <c r="W2097" s="859"/>
      <c r="X2097" s="859"/>
      <c r="Y2097" s="755">
        <f t="shared" si="275"/>
        <v>0</v>
      </c>
      <c r="Z2097" s="864"/>
      <c r="AA2097" s="863"/>
      <c r="AB2097" s="756">
        <f t="shared" si="276"/>
        <v>0</v>
      </c>
      <c r="AC2097" s="859"/>
      <c r="AD2097" s="863"/>
      <c r="AE2097" s="859"/>
      <c r="AF2097" s="859"/>
      <c r="AG2097" s="864"/>
      <c r="AH2097" s="865"/>
      <c r="AI2097" s="757">
        <f t="shared" si="280"/>
        <v>0</v>
      </c>
      <c r="AJ2097" s="758">
        <f t="shared" si="281"/>
        <v>0</v>
      </c>
    </row>
    <row r="2098" spans="1:36" x14ac:dyDescent="0.2">
      <c r="A2098" s="1311" t="s">
        <v>154</v>
      </c>
      <c r="B2098" s="844" t="s">
        <v>291</v>
      </c>
      <c r="C2098" s="883" t="s">
        <v>574</v>
      </c>
      <c r="D2098" s="869"/>
      <c r="E2098" s="846"/>
      <c r="F2098" s="847"/>
      <c r="G2098" s="859"/>
      <c r="H2098" s="860"/>
      <c r="I2098" s="861"/>
      <c r="J2098" s="862"/>
      <c r="K2098" s="859"/>
      <c r="L2098" s="863"/>
      <c r="M2098" s="859"/>
      <c r="N2098" s="859"/>
      <c r="O2098" s="752">
        <f t="shared" si="274"/>
        <v>0</v>
      </c>
      <c r="P2098" s="862"/>
      <c r="Q2098" s="860"/>
      <c r="R2098" s="753">
        <f t="shared" si="277"/>
        <v>0</v>
      </c>
      <c r="S2098" s="752">
        <f t="shared" si="278"/>
        <v>0</v>
      </c>
      <c r="T2098" s="754">
        <f t="shared" si="279"/>
        <v>0</v>
      </c>
      <c r="U2098" s="859"/>
      <c r="V2098" s="863"/>
      <c r="W2098" s="859"/>
      <c r="X2098" s="859"/>
      <c r="Y2098" s="755">
        <f t="shared" si="275"/>
        <v>0</v>
      </c>
      <c r="Z2098" s="864"/>
      <c r="AA2098" s="863"/>
      <c r="AB2098" s="756">
        <f t="shared" si="276"/>
        <v>0</v>
      </c>
      <c r="AC2098" s="859"/>
      <c r="AD2098" s="863"/>
      <c r="AE2098" s="859"/>
      <c r="AF2098" s="859"/>
      <c r="AG2098" s="864"/>
      <c r="AH2098" s="865"/>
      <c r="AI2098" s="757">
        <f t="shared" si="280"/>
        <v>0</v>
      </c>
      <c r="AJ2098" s="758">
        <f t="shared" si="281"/>
        <v>0</v>
      </c>
    </row>
    <row r="2099" spans="1:36" x14ac:dyDescent="0.2">
      <c r="A2099" s="1311" t="s">
        <v>154</v>
      </c>
      <c r="B2099" s="844" t="s">
        <v>292</v>
      </c>
      <c r="C2099" s="889" t="s">
        <v>34</v>
      </c>
      <c r="D2099" s="882"/>
      <c r="E2099" s="846"/>
      <c r="F2099" s="847"/>
      <c r="G2099" s="859"/>
      <c r="H2099" s="860"/>
      <c r="I2099" s="861"/>
      <c r="J2099" s="862"/>
      <c r="K2099" s="859"/>
      <c r="L2099" s="863"/>
      <c r="M2099" s="859"/>
      <c r="N2099" s="859"/>
      <c r="O2099" s="752">
        <f t="shared" si="274"/>
        <v>0</v>
      </c>
      <c r="P2099" s="862"/>
      <c r="Q2099" s="860"/>
      <c r="R2099" s="753">
        <f t="shared" si="277"/>
        <v>0</v>
      </c>
      <c r="S2099" s="752">
        <f t="shared" si="278"/>
        <v>0</v>
      </c>
      <c r="T2099" s="754">
        <f t="shared" si="279"/>
        <v>0</v>
      </c>
      <c r="U2099" s="859"/>
      <c r="V2099" s="863"/>
      <c r="W2099" s="859"/>
      <c r="X2099" s="859"/>
      <c r="Y2099" s="755">
        <f t="shared" si="275"/>
        <v>0</v>
      </c>
      <c r="Z2099" s="864"/>
      <c r="AA2099" s="863"/>
      <c r="AB2099" s="756">
        <f t="shared" si="276"/>
        <v>0</v>
      </c>
      <c r="AC2099" s="859"/>
      <c r="AD2099" s="863"/>
      <c r="AE2099" s="859"/>
      <c r="AF2099" s="859"/>
      <c r="AG2099" s="864"/>
      <c r="AH2099" s="865"/>
      <c r="AI2099" s="757">
        <f t="shared" si="280"/>
        <v>0</v>
      </c>
      <c r="AJ2099" s="758">
        <f t="shared" si="281"/>
        <v>0</v>
      </c>
    </row>
    <row r="2100" spans="1:36" x14ac:dyDescent="0.2">
      <c r="A2100" s="1311" t="s">
        <v>154</v>
      </c>
      <c r="B2100" s="844" t="s">
        <v>292</v>
      </c>
      <c r="C2100" s="1316" t="s">
        <v>1406</v>
      </c>
      <c r="D2100" s="845"/>
      <c r="E2100" s="846"/>
      <c r="F2100" s="847"/>
      <c r="G2100" s="859"/>
      <c r="H2100" s="860"/>
      <c r="I2100" s="861"/>
      <c r="J2100" s="862"/>
      <c r="K2100" s="859"/>
      <c r="L2100" s="863"/>
      <c r="M2100" s="859"/>
      <c r="N2100" s="859"/>
      <c r="O2100" s="752">
        <f t="shared" si="274"/>
        <v>0</v>
      </c>
      <c r="P2100" s="862"/>
      <c r="Q2100" s="860"/>
      <c r="R2100" s="753">
        <f t="shared" si="277"/>
        <v>0</v>
      </c>
      <c r="S2100" s="752">
        <f t="shared" si="278"/>
        <v>0</v>
      </c>
      <c r="T2100" s="754">
        <f t="shared" si="279"/>
        <v>0</v>
      </c>
      <c r="U2100" s="859">
        <v>57000000</v>
      </c>
      <c r="V2100" s="863">
        <v>57000000</v>
      </c>
      <c r="W2100" s="859"/>
      <c r="X2100" s="859"/>
      <c r="Y2100" s="755">
        <f t="shared" si="275"/>
        <v>0</v>
      </c>
      <c r="Z2100" s="864"/>
      <c r="AA2100" s="863"/>
      <c r="AB2100" s="756">
        <f t="shared" si="276"/>
        <v>0</v>
      </c>
      <c r="AC2100" s="859"/>
      <c r="AD2100" s="863"/>
      <c r="AE2100" s="859"/>
      <c r="AF2100" s="859"/>
      <c r="AG2100" s="864"/>
      <c r="AH2100" s="865"/>
      <c r="AI2100" s="757">
        <f t="shared" si="280"/>
        <v>57000000</v>
      </c>
      <c r="AJ2100" s="758">
        <f t="shared" si="281"/>
        <v>57000000</v>
      </c>
    </row>
    <row r="2101" spans="1:36" x14ac:dyDescent="0.2">
      <c r="A2101" s="1311" t="s">
        <v>154</v>
      </c>
      <c r="B2101" s="893" t="s">
        <v>310</v>
      </c>
      <c r="C2101" s="891" t="s">
        <v>311</v>
      </c>
      <c r="D2101" s="892"/>
      <c r="E2101" s="884"/>
      <c r="F2101" s="885"/>
      <c r="G2101" s="859"/>
      <c r="H2101" s="860"/>
      <c r="I2101" s="861"/>
      <c r="J2101" s="862"/>
      <c r="K2101" s="859"/>
      <c r="L2101" s="863"/>
      <c r="M2101" s="859"/>
      <c r="N2101" s="859"/>
      <c r="O2101" s="752">
        <f t="shared" si="274"/>
        <v>0</v>
      </c>
      <c r="P2101" s="862"/>
      <c r="Q2101" s="860"/>
      <c r="R2101" s="753">
        <f t="shared" si="277"/>
        <v>0</v>
      </c>
      <c r="S2101" s="752">
        <f t="shared" si="278"/>
        <v>0</v>
      </c>
      <c r="T2101" s="754">
        <f t="shared" si="279"/>
        <v>0</v>
      </c>
      <c r="U2101" s="859"/>
      <c r="V2101" s="863"/>
      <c r="W2101" s="859"/>
      <c r="X2101" s="859"/>
      <c r="Y2101" s="755">
        <f t="shared" si="275"/>
        <v>0</v>
      </c>
      <c r="Z2101" s="864"/>
      <c r="AA2101" s="863"/>
      <c r="AB2101" s="756">
        <f t="shared" si="276"/>
        <v>0</v>
      </c>
      <c r="AC2101" s="859"/>
      <c r="AD2101" s="863"/>
      <c r="AE2101" s="859"/>
      <c r="AF2101" s="859"/>
      <c r="AG2101" s="864"/>
      <c r="AH2101" s="865"/>
      <c r="AI2101" s="757">
        <f t="shared" si="280"/>
        <v>0</v>
      </c>
      <c r="AJ2101" s="758">
        <f t="shared" si="281"/>
        <v>0</v>
      </c>
    </row>
    <row r="2102" spans="1:36" x14ac:dyDescent="0.2">
      <c r="A2102" s="1311" t="s">
        <v>154</v>
      </c>
      <c r="B2102" s="893" t="s">
        <v>251</v>
      </c>
      <c r="C2102" s="891" t="s">
        <v>249</v>
      </c>
      <c r="D2102" s="892"/>
      <c r="E2102" s="884"/>
      <c r="F2102" s="885"/>
      <c r="G2102" s="859"/>
      <c r="H2102" s="860"/>
      <c r="I2102" s="861"/>
      <c r="J2102" s="862"/>
      <c r="K2102" s="859"/>
      <c r="L2102" s="863"/>
      <c r="M2102" s="859"/>
      <c r="N2102" s="859"/>
      <c r="O2102" s="752">
        <f t="shared" si="274"/>
        <v>0</v>
      </c>
      <c r="P2102" s="862"/>
      <c r="Q2102" s="860"/>
      <c r="R2102" s="753">
        <f t="shared" si="277"/>
        <v>0</v>
      </c>
      <c r="S2102" s="752">
        <f t="shared" si="278"/>
        <v>0</v>
      </c>
      <c r="T2102" s="754">
        <f t="shared" si="279"/>
        <v>0</v>
      </c>
      <c r="U2102" s="859"/>
      <c r="V2102" s="863"/>
      <c r="W2102" s="859"/>
      <c r="X2102" s="859"/>
      <c r="Y2102" s="755">
        <f t="shared" si="275"/>
        <v>0</v>
      </c>
      <c r="Z2102" s="864"/>
      <c r="AA2102" s="863"/>
      <c r="AB2102" s="756">
        <f t="shared" si="276"/>
        <v>0</v>
      </c>
      <c r="AC2102" s="859"/>
      <c r="AD2102" s="863"/>
      <c r="AE2102" s="859"/>
      <c r="AF2102" s="859"/>
      <c r="AG2102" s="864"/>
      <c r="AH2102" s="865"/>
      <c r="AI2102" s="757">
        <f t="shared" si="280"/>
        <v>0</v>
      </c>
      <c r="AJ2102" s="758">
        <f t="shared" si="281"/>
        <v>0</v>
      </c>
    </row>
    <row r="2103" spans="1:36" x14ac:dyDescent="0.2">
      <c r="A2103" s="1311" t="s">
        <v>154</v>
      </c>
      <c r="B2103" s="893" t="s">
        <v>209</v>
      </c>
      <c r="C2103" s="891" t="s">
        <v>576</v>
      </c>
      <c r="D2103" s="892"/>
      <c r="E2103" s="884"/>
      <c r="F2103" s="885"/>
      <c r="G2103" s="859"/>
      <c r="H2103" s="860"/>
      <c r="I2103" s="861"/>
      <c r="J2103" s="862"/>
      <c r="K2103" s="859"/>
      <c r="L2103" s="863"/>
      <c r="M2103" s="859"/>
      <c r="N2103" s="859"/>
      <c r="O2103" s="752">
        <f t="shared" si="274"/>
        <v>0</v>
      </c>
      <c r="P2103" s="862"/>
      <c r="Q2103" s="860"/>
      <c r="R2103" s="753">
        <f t="shared" si="277"/>
        <v>0</v>
      </c>
      <c r="S2103" s="752">
        <f t="shared" si="278"/>
        <v>0</v>
      </c>
      <c r="T2103" s="754">
        <f t="shared" si="279"/>
        <v>0</v>
      </c>
      <c r="U2103" s="859"/>
      <c r="V2103" s="863"/>
      <c r="W2103" s="859"/>
      <c r="X2103" s="859"/>
      <c r="Y2103" s="755">
        <f t="shared" si="275"/>
        <v>0</v>
      </c>
      <c r="Z2103" s="864"/>
      <c r="AA2103" s="863"/>
      <c r="AB2103" s="756">
        <f t="shared" si="276"/>
        <v>0</v>
      </c>
      <c r="AC2103" s="859"/>
      <c r="AD2103" s="863"/>
      <c r="AE2103" s="859"/>
      <c r="AF2103" s="859"/>
      <c r="AG2103" s="864"/>
      <c r="AH2103" s="865"/>
      <c r="AI2103" s="757">
        <f t="shared" si="280"/>
        <v>0</v>
      </c>
      <c r="AJ2103" s="758">
        <f t="shared" si="281"/>
        <v>0</v>
      </c>
    </row>
    <row r="2104" spans="1:36" x14ac:dyDescent="0.2">
      <c r="A2104" s="1311" t="s">
        <v>154</v>
      </c>
      <c r="B2104" s="893" t="s">
        <v>210</v>
      </c>
      <c r="C2104" s="891" t="s">
        <v>311</v>
      </c>
      <c r="D2104" s="892"/>
      <c r="E2104" s="884"/>
      <c r="F2104" s="885"/>
      <c r="G2104" s="859"/>
      <c r="H2104" s="860"/>
      <c r="I2104" s="861"/>
      <c r="J2104" s="862"/>
      <c r="K2104" s="859"/>
      <c r="L2104" s="863"/>
      <c r="M2104" s="859"/>
      <c r="N2104" s="859"/>
      <c r="O2104" s="752">
        <f t="shared" si="274"/>
        <v>0</v>
      </c>
      <c r="P2104" s="862"/>
      <c r="Q2104" s="860"/>
      <c r="R2104" s="753">
        <f t="shared" si="277"/>
        <v>0</v>
      </c>
      <c r="S2104" s="752">
        <f t="shared" si="278"/>
        <v>0</v>
      </c>
      <c r="T2104" s="754">
        <f t="shared" si="279"/>
        <v>0</v>
      </c>
      <c r="U2104" s="859"/>
      <c r="V2104" s="863"/>
      <c r="W2104" s="859"/>
      <c r="X2104" s="859"/>
      <c r="Y2104" s="755">
        <f t="shared" si="275"/>
        <v>0</v>
      </c>
      <c r="Z2104" s="864"/>
      <c r="AA2104" s="863"/>
      <c r="AB2104" s="756">
        <f t="shared" si="276"/>
        <v>0</v>
      </c>
      <c r="AC2104" s="859"/>
      <c r="AD2104" s="863"/>
      <c r="AE2104" s="859"/>
      <c r="AF2104" s="859"/>
      <c r="AG2104" s="864"/>
      <c r="AH2104" s="865"/>
      <c r="AI2104" s="757">
        <f t="shared" si="280"/>
        <v>0</v>
      </c>
      <c r="AJ2104" s="758">
        <f t="shared" si="281"/>
        <v>0</v>
      </c>
    </row>
    <row r="2105" spans="1:36" x14ac:dyDescent="0.2">
      <c r="A2105" s="1311" t="s">
        <v>154</v>
      </c>
      <c r="B2105" s="893" t="s">
        <v>251</v>
      </c>
      <c r="C2105" s="891" t="s">
        <v>249</v>
      </c>
      <c r="D2105" s="892"/>
      <c r="E2105" s="884"/>
      <c r="F2105" s="885"/>
      <c r="G2105" s="859"/>
      <c r="H2105" s="860"/>
      <c r="I2105" s="861"/>
      <c r="J2105" s="862"/>
      <c r="K2105" s="859"/>
      <c r="L2105" s="863"/>
      <c r="M2105" s="859"/>
      <c r="N2105" s="859"/>
      <c r="O2105" s="752">
        <f t="shared" si="274"/>
        <v>0</v>
      </c>
      <c r="P2105" s="862"/>
      <c r="Q2105" s="860"/>
      <c r="R2105" s="753">
        <f t="shared" si="277"/>
        <v>0</v>
      </c>
      <c r="S2105" s="752">
        <f t="shared" si="278"/>
        <v>0</v>
      </c>
      <c r="T2105" s="754">
        <f t="shared" si="279"/>
        <v>0</v>
      </c>
      <c r="U2105" s="859"/>
      <c r="V2105" s="863"/>
      <c r="W2105" s="859"/>
      <c r="X2105" s="859"/>
      <c r="Y2105" s="755">
        <f t="shared" si="275"/>
        <v>0</v>
      </c>
      <c r="Z2105" s="864"/>
      <c r="AA2105" s="863"/>
      <c r="AB2105" s="756">
        <f t="shared" si="276"/>
        <v>0</v>
      </c>
      <c r="AC2105" s="859"/>
      <c r="AD2105" s="863"/>
      <c r="AE2105" s="859"/>
      <c r="AF2105" s="859"/>
      <c r="AG2105" s="864"/>
      <c r="AH2105" s="865"/>
      <c r="AI2105" s="757">
        <f t="shared" si="280"/>
        <v>0</v>
      </c>
      <c r="AJ2105" s="758">
        <f t="shared" si="281"/>
        <v>0</v>
      </c>
    </row>
    <row r="2106" spans="1:36" x14ac:dyDescent="0.2">
      <c r="A2106" s="1311" t="s">
        <v>154</v>
      </c>
      <c r="B2106" s="893" t="s">
        <v>205</v>
      </c>
      <c r="C2106" s="891" t="s">
        <v>577</v>
      </c>
      <c r="D2106" s="892"/>
      <c r="E2106" s="884"/>
      <c r="F2106" s="885"/>
      <c r="G2106" s="859"/>
      <c r="H2106" s="860"/>
      <c r="I2106" s="861"/>
      <c r="J2106" s="862"/>
      <c r="K2106" s="859"/>
      <c r="L2106" s="863"/>
      <c r="M2106" s="859"/>
      <c r="N2106" s="859"/>
      <c r="O2106" s="752">
        <f t="shared" si="274"/>
        <v>0</v>
      </c>
      <c r="P2106" s="862"/>
      <c r="Q2106" s="860"/>
      <c r="R2106" s="753">
        <f t="shared" si="277"/>
        <v>0</v>
      </c>
      <c r="S2106" s="752">
        <f t="shared" si="278"/>
        <v>0</v>
      </c>
      <c r="T2106" s="754">
        <f t="shared" si="279"/>
        <v>0</v>
      </c>
      <c r="U2106" s="859"/>
      <c r="V2106" s="863"/>
      <c r="W2106" s="859"/>
      <c r="X2106" s="859"/>
      <c r="Y2106" s="755">
        <f t="shared" si="275"/>
        <v>0</v>
      </c>
      <c r="Z2106" s="864"/>
      <c r="AA2106" s="863"/>
      <c r="AB2106" s="756">
        <f t="shared" si="276"/>
        <v>0</v>
      </c>
      <c r="AC2106" s="859"/>
      <c r="AD2106" s="863"/>
      <c r="AE2106" s="859"/>
      <c r="AF2106" s="859"/>
      <c r="AG2106" s="864"/>
      <c r="AH2106" s="865"/>
      <c r="AI2106" s="757">
        <f t="shared" si="280"/>
        <v>0</v>
      </c>
      <c r="AJ2106" s="758">
        <f t="shared" si="281"/>
        <v>0</v>
      </c>
    </row>
    <row r="2107" spans="1:36" x14ac:dyDescent="0.2">
      <c r="A2107" s="1311" t="s">
        <v>154</v>
      </c>
      <c r="B2107" s="893" t="s">
        <v>218</v>
      </c>
      <c r="C2107" s="891" t="s">
        <v>311</v>
      </c>
      <c r="D2107" s="892"/>
      <c r="E2107" s="884"/>
      <c r="F2107" s="885"/>
      <c r="G2107" s="859"/>
      <c r="H2107" s="860"/>
      <c r="I2107" s="861"/>
      <c r="J2107" s="862"/>
      <c r="K2107" s="859"/>
      <c r="L2107" s="863"/>
      <c r="M2107" s="859"/>
      <c r="N2107" s="859"/>
      <c r="O2107" s="752">
        <f t="shared" si="274"/>
        <v>0</v>
      </c>
      <c r="P2107" s="862"/>
      <c r="Q2107" s="860"/>
      <c r="R2107" s="753">
        <f t="shared" si="277"/>
        <v>0</v>
      </c>
      <c r="S2107" s="752">
        <f t="shared" si="278"/>
        <v>0</v>
      </c>
      <c r="T2107" s="754">
        <f t="shared" si="279"/>
        <v>0</v>
      </c>
      <c r="U2107" s="859"/>
      <c r="V2107" s="863"/>
      <c r="W2107" s="859"/>
      <c r="X2107" s="859"/>
      <c r="Y2107" s="755">
        <f t="shared" si="275"/>
        <v>0</v>
      </c>
      <c r="Z2107" s="864"/>
      <c r="AA2107" s="863"/>
      <c r="AB2107" s="756">
        <f t="shared" si="276"/>
        <v>0</v>
      </c>
      <c r="AC2107" s="859"/>
      <c r="AD2107" s="863"/>
      <c r="AE2107" s="859"/>
      <c r="AF2107" s="859"/>
      <c r="AG2107" s="864"/>
      <c r="AH2107" s="865"/>
      <c r="AI2107" s="757">
        <f t="shared" si="280"/>
        <v>0</v>
      </c>
      <c r="AJ2107" s="758">
        <f t="shared" si="281"/>
        <v>0</v>
      </c>
    </row>
    <row r="2108" spans="1:36" x14ac:dyDescent="0.2">
      <c r="A2108" s="1311" t="s">
        <v>154</v>
      </c>
      <c r="B2108" s="893" t="s">
        <v>251</v>
      </c>
      <c r="C2108" s="891" t="s">
        <v>249</v>
      </c>
      <c r="D2108" s="892"/>
      <c r="E2108" s="884"/>
      <c r="F2108" s="885"/>
      <c r="G2108" s="859"/>
      <c r="H2108" s="860"/>
      <c r="I2108" s="861"/>
      <c r="J2108" s="862"/>
      <c r="K2108" s="859"/>
      <c r="L2108" s="863"/>
      <c r="M2108" s="859"/>
      <c r="N2108" s="859"/>
      <c r="O2108" s="752">
        <f t="shared" si="274"/>
        <v>0</v>
      </c>
      <c r="P2108" s="862"/>
      <c r="Q2108" s="860"/>
      <c r="R2108" s="753">
        <f t="shared" si="277"/>
        <v>0</v>
      </c>
      <c r="S2108" s="752">
        <f t="shared" si="278"/>
        <v>0</v>
      </c>
      <c r="T2108" s="754">
        <f t="shared" si="279"/>
        <v>0</v>
      </c>
      <c r="U2108" s="859"/>
      <c r="V2108" s="863"/>
      <c r="W2108" s="859"/>
      <c r="X2108" s="859"/>
      <c r="Y2108" s="755">
        <f t="shared" si="275"/>
        <v>0</v>
      </c>
      <c r="Z2108" s="864"/>
      <c r="AA2108" s="863"/>
      <c r="AB2108" s="756">
        <f t="shared" si="276"/>
        <v>0</v>
      </c>
      <c r="AC2108" s="859"/>
      <c r="AD2108" s="863"/>
      <c r="AE2108" s="859"/>
      <c r="AF2108" s="859"/>
      <c r="AG2108" s="864"/>
      <c r="AH2108" s="865"/>
      <c r="AI2108" s="757">
        <f t="shared" si="280"/>
        <v>0</v>
      </c>
      <c r="AJ2108" s="758">
        <f t="shared" si="281"/>
        <v>0</v>
      </c>
    </row>
    <row r="2109" spans="1:36" x14ac:dyDescent="0.2">
      <c r="A2109" s="1311" t="s">
        <v>154</v>
      </c>
      <c r="B2109" s="844" t="s">
        <v>292</v>
      </c>
      <c r="C2109" s="890" t="s">
        <v>1407</v>
      </c>
      <c r="D2109" s="845"/>
      <c r="E2109" s="846"/>
      <c r="F2109" s="847"/>
      <c r="G2109" s="859"/>
      <c r="H2109" s="860"/>
      <c r="I2109" s="861"/>
      <c r="J2109" s="862"/>
      <c r="K2109" s="859"/>
      <c r="L2109" s="863"/>
      <c r="M2109" s="859"/>
      <c r="N2109" s="859"/>
      <c r="O2109" s="752">
        <f t="shared" si="274"/>
        <v>0</v>
      </c>
      <c r="P2109" s="862"/>
      <c r="Q2109" s="860"/>
      <c r="R2109" s="753">
        <f t="shared" si="277"/>
        <v>0</v>
      </c>
      <c r="S2109" s="752">
        <f t="shared" si="278"/>
        <v>0</v>
      </c>
      <c r="T2109" s="754">
        <f t="shared" si="279"/>
        <v>0</v>
      </c>
      <c r="U2109" s="859">
        <v>37404</v>
      </c>
      <c r="V2109" s="863">
        <v>37404</v>
      </c>
      <c r="W2109" s="859"/>
      <c r="X2109" s="859"/>
      <c r="Y2109" s="755">
        <f t="shared" si="275"/>
        <v>0</v>
      </c>
      <c r="Z2109" s="864"/>
      <c r="AA2109" s="863"/>
      <c r="AB2109" s="756">
        <f t="shared" si="276"/>
        <v>0</v>
      </c>
      <c r="AC2109" s="859"/>
      <c r="AD2109" s="863"/>
      <c r="AE2109" s="859"/>
      <c r="AF2109" s="859"/>
      <c r="AG2109" s="864"/>
      <c r="AH2109" s="865"/>
      <c r="AI2109" s="757">
        <f t="shared" si="280"/>
        <v>37404</v>
      </c>
      <c r="AJ2109" s="758">
        <f t="shared" si="281"/>
        <v>37404</v>
      </c>
    </row>
    <row r="2110" spans="1:36" x14ac:dyDescent="0.2">
      <c r="A2110" s="1311" t="s">
        <v>154</v>
      </c>
      <c r="B2110" s="893" t="s">
        <v>310</v>
      </c>
      <c r="C2110" s="891" t="s">
        <v>311</v>
      </c>
      <c r="D2110" s="892"/>
      <c r="E2110" s="884"/>
      <c r="F2110" s="885"/>
      <c r="G2110" s="859"/>
      <c r="H2110" s="860"/>
      <c r="I2110" s="861"/>
      <c r="J2110" s="862"/>
      <c r="K2110" s="859"/>
      <c r="L2110" s="863"/>
      <c r="M2110" s="859"/>
      <c r="N2110" s="859"/>
      <c r="O2110" s="752">
        <f t="shared" si="274"/>
        <v>0</v>
      </c>
      <c r="P2110" s="862"/>
      <c r="Q2110" s="860"/>
      <c r="R2110" s="753">
        <f t="shared" si="277"/>
        <v>0</v>
      </c>
      <c r="S2110" s="752">
        <f t="shared" si="278"/>
        <v>0</v>
      </c>
      <c r="T2110" s="754">
        <f t="shared" si="279"/>
        <v>0</v>
      </c>
      <c r="U2110" s="859"/>
      <c r="V2110" s="863"/>
      <c r="W2110" s="859"/>
      <c r="X2110" s="859"/>
      <c r="Y2110" s="755">
        <f t="shared" si="275"/>
        <v>0</v>
      </c>
      <c r="Z2110" s="864"/>
      <c r="AA2110" s="863"/>
      <c r="AB2110" s="756">
        <f t="shared" si="276"/>
        <v>0</v>
      </c>
      <c r="AC2110" s="859"/>
      <c r="AD2110" s="863"/>
      <c r="AE2110" s="859"/>
      <c r="AF2110" s="859"/>
      <c r="AG2110" s="864"/>
      <c r="AH2110" s="865"/>
      <c r="AI2110" s="757">
        <f t="shared" si="280"/>
        <v>0</v>
      </c>
      <c r="AJ2110" s="758">
        <f t="shared" si="281"/>
        <v>0</v>
      </c>
    </row>
    <row r="2111" spans="1:36" x14ac:dyDescent="0.2">
      <c r="A2111" s="1311" t="s">
        <v>154</v>
      </c>
      <c r="B2111" s="893" t="s">
        <v>251</v>
      </c>
      <c r="C2111" s="891" t="s">
        <v>249</v>
      </c>
      <c r="D2111" s="892"/>
      <c r="E2111" s="884"/>
      <c r="F2111" s="885"/>
      <c r="G2111" s="859"/>
      <c r="H2111" s="860"/>
      <c r="I2111" s="861"/>
      <c r="J2111" s="862"/>
      <c r="K2111" s="859"/>
      <c r="L2111" s="863"/>
      <c r="M2111" s="859"/>
      <c r="N2111" s="859"/>
      <c r="O2111" s="752">
        <f t="shared" si="274"/>
        <v>0</v>
      </c>
      <c r="P2111" s="862"/>
      <c r="Q2111" s="860"/>
      <c r="R2111" s="753">
        <f t="shared" si="277"/>
        <v>0</v>
      </c>
      <c r="S2111" s="752">
        <f t="shared" si="278"/>
        <v>0</v>
      </c>
      <c r="T2111" s="754">
        <f t="shared" si="279"/>
        <v>0</v>
      </c>
      <c r="U2111" s="859"/>
      <c r="V2111" s="863"/>
      <c r="W2111" s="859"/>
      <c r="X2111" s="859"/>
      <c r="Y2111" s="755">
        <f t="shared" si="275"/>
        <v>0</v>
      </c>
      <c r="Z2111" s="864"/>
      <c r="AA2111" s="863"/>
      <c r="AB2111" s="756">
        <f t="shared" si="276"/>
        <v>0</v>
      </c>
      <c r="AC2111" s="859"/>
      <c r="AD2111" s="863"/>
      <c r="AE2111" s="859"/>
      <c r="AF2111" s="859"/>
      <c r="AG2111" s="864"/>
      <c r="AH2111" s="865"/>
      <c r="AI2111" s="757">
        <f t="shared" si="280"/>
        <v>0</v>
      </c>
      <c r="AJ2111" s="758">
        <f t="shared" si="281"/>
        <v>0</v>
      </c>
    </row>
    <row r="2112" spans="1:36" x14ac:dyDescent="0.2">
      <c r="A2112" s="1311" t="s">
        <v>154</v>
      </c>
      <c r="B2112" s="893" t="s">
        <v>209</v>
      </c>
      <c r="C2112" s="891" t="s">
        <v>576</v>
      </c>
      <c r="D2112" s="892"/>
      <c r="E2112" s="884"/>
      <c r="F2112" s="885"/>
      <c r="G2112" s="859"/>
      <c r="H2112" s="860"/>
      <c r="I2112" s="861"/>
      <c r="J2112" s="862"/>
      <c r="K2112" s="859"/>
      <c r="L2112" s="863"/>
      <c r="M2112" s="859"/>
      <c r="N2112" s="859"/>
      <c r="O2112" s="752">
        <f t="shared" si="274"/>
        <v>0</v>
      </c>
      <c r="P2112" s="862"/>
      <c r="Q2112" s="860"/>
      <c r="R2112" s="753">
        <f t="shared" si="277"/>
        <v>0</v>
      </c>
      <c r="S2112" s="752">
        <f t="shared" si="278"/>
        <v>0</v>
      </c>
      <c r="T2112" s="754">
        <f t="shared" si="279"/>
        <v>0</v>
      </c>
      <c r="U2112" s="859"/>
      <c r="V2112" s="863"/>
      <c r="W2112" s="859"/>
      <c r="X2112" s="859"/>
      <c r="Y2112" s="755">
        <f t="shared" si="275"/>
        <v>0</v>
      </c>
      <c r="Z2112" s="864"/>
      <c r="AA2112" s="863"/>
      <c r="AB2112" s="756">
        <f t="shared" si="276"/>
        <v>0</v>
      </c>
      <c r="AC2112" s="859"/>
      <c r="AD2112" s="863"/>
      <c r="AE2112" s="859"/>
      <c r="AF2112" s="859"/>
      <c r="AG2112" s="864"/>
      <c r="AH2112" s="865"/>
      <c r="AI2112" s="757">
        <f t="shared" si="280"/>
        <v>0</v>
      </c>
      <c r="AJ2112" s="758">
        <f t="shared" si="281"/>
        <v>0</v>
      </c>
    </row>
    <row r="2113" spans="1:36" x14ac:dyDescent="0.2">
      <c r="A2113" s="1311" t="s">
        <v>154</v>
      </c>
      <c r="B2113" s="893" t="s">
        <v>210</v>
      </c>
      <c r="C2113" s="891" t="s">
        <v>311</v>
      </c>
      <c r="D2113" s="892"/>
      <c r="E2113" s="884"/>
      <c r="F2113" s="885"/>
      <c r="G2113" s="859"/>
      <c r="H2113" s="860"/>
      <c r="I2113" s="861"/>
      <c r="J2113" s="862"/>
      <c r="K2113" s="859"/>
      <c r="L2113" s="863"/>
      <c r="M2113" s="859"/>
      <c r="N2113" s="859"/>
      <c r="O2113" s="752">
        <f t="shared" si="274"/>
        <v>0</v>
      </c>
      <c r="P2113" s="862"/>
      <c r="Q2113" s="860"/>
      <c r="R2113" s="753">
        <f t="shared" si="277"/>
        <v>0</v>
      </c>
      <c r="S2113" s="752">
        <f t="shared" si="278"/>
        <v>0</v>
      </c>
      <c r="T2113" s="754">
        <f t="shared" si="279"/>
        <v>0</v>
      </c>
      <c r="U2113" s="859"/>
      <c r="V2113" s="863"/>
      <c r="W2113" s="859"/>
      <c r="X2113" s="859"/>
      <c r="Y2113" s="755">
        <f t="shared" si="275"/>
        <v>0</v>
      </c>
      <c r="Z2113" s="864"/>
      <c r="AA2113" s="863"/>
      <c r="AB2113" s="756">
        <f t="shared" si="276"/>
        <v>0</v>
      </c>
      <c r="AC2113" s="859"/>
      <c r="AD2113" s="863"/>
      <c r="AE2113" s="859"/>
      <c r="AF2113" s="859"/>
      <c r="AG2113" s="864"/>
      <c r="AH2113" s="865"/>
      <c r="AI2113" s="757">
        <f t="shared" si="280"/>
        <v>0</v>
      </c>
      <c r="AJ2113" s="758">
        <f t="shared" si="281"/>
        <v>0</v>
      </c>
    </row>
    <row r="2114" spans="1:36" x14ac:dyDescent="0.2">
      <c r="A2114" s="1311" t="s">
        <v>154</v>
      </c>
      <c r="B2114" s="893" t="s">
        <v>251</v>
      </c>
      <c r="C2114" s="891" t="s">
        <v>249</v>
      </c>
      <c r="D2114" s="892"/>
      <c r="E2114" s="884"/>
      <c r="F2114" s="885"/>
      <c r="G2114" s="859"/>
      <c r="H2114" s="860"/>
      <c r="I2114" s="861"/>
      <c r="J2114" s="862"/>
      <c r="K2114" s="859"/>
      <c r="L2114" s="863"/>
      <c r="M2114" s="859"/>
      <c r="N2114" s="859"/>
      <c r="O2114" s="752">
        <f t="shared" si="274"/>
        <v>0</v>
      </c>
      <c r="P2114" s="862"/>
      <c r="Q2114" s="860"/>
      <c r="R2114" s="753">
        <f t="shared" si="277"/>
        <v>0</v>
      </c>
      <c r="S2114" s="752">
        <f t="shared" si="278"/>
        <v>0</v>
      </c>
      <c r="T2114" s="754">
        <f t="shared" si="279"/>
        <v>0</v>
      </c>
      <c r="U2114" s="859"/>
      <c r="V2114" s="863"/>
      <c r="W2114" s="859"/>
      <c r="X2114" s="859"/>
      <c r="Y2114" s="755">
        <f t="shared" si="275"/>
        <v>0</v>
      </c>
      <c r="Z2114" s="864"/>
      <c r="AA2114" s="863"/>
      <c r="AB2114" s="756">
        <f t="shared" si="276"/>
        <v>0</v>
      </c>
      <c r="AC2114" s="859"/>
      <c r="AD2114" s="863"/>
      <c r="AE2114" s="859"/>
      <c r="AF2114" s="859"/>
      <c r="AG2114" s="864"/>
      <c r="AH2114" s="865"/>
      <c r="AI2114" s="757">
        <f t="shared" si="280"/>
        <v>0</v>
      </c>
      <c r="AJ2114" s="758">
        <f t="shared" si="281"/>
        <v>0</v>
      </c>
    </row>
    <row r="2115" spans="1:36" x14ac:dyDescent="0.2">
      <c r="A2115" s="1311" t="s">
        <v>154</v>
      </c>
      <c r="B2115" s="893" t="s">
        <v>205</v>
      </c>
      <c r="C2115" s="891" t="s">
        <v>577</v>
      </c>
      <c r="D2115" s="892"/>
      <c r="E2115" s="884"/>
      <c r="F2115" s="885"/>
      <c r="G2115" s="859"/>
      <c r="H2115" s="860"/>
      <c r="I2115" s="861"/>
      <c r="J2115" s="862"/>
      <c r="K2115" s="859"/>
      <c r="L2115" s="863"/>
      <c r="M2115" s="859"/>
      <c r="N2115" s="859"/>
      <c r="O2115" s="752">
        <f t="shared" si="274"/>
        <v>0</v>
      </c>
      <c r="P2115" s="862"/>
      <c r="Q2115" s="860"/>
      <c r="R2115" s="753">
        <f t="shared" si="277"/>
        <v>0</v>
      </c>
      <c r="S2115" s="752">
        <f t="shared" si="278"/>
        <v>0</v>
      </c>
      <c r="T2115" s="754">
        <f t="shared" si="279"/>
        <v>0</v>
      </c>
      <c r="U2115" s="859"/>
      <c r="V2115" s="863"/>
      <c r="W2115" s="859"/>
      <c r="X2115" s="859"/>
      <c r="Y2115" s="755">
        <f t="shared" si="275"/>
        <v>0</v>
      </c>
      <c r="Z2115" s="864"/>
      <c r="AA2115" s="863"/>
      <c r="AB2115" s="756">
        <f t="shared" si="276"/>
        <v>0</v>
      </c>
      <c r="AC2115" s="859"/>
      <c r="AD2115" s="863"/>
      <c r="AE2115" s="859"/>
      <c r="AF2115" s="859"/>
      <c r="AG2115" s="864"/>
      <c r="AH2115" s="865"/>
      <c r="AI2115" s="757">
        <f t="shared" si="280"/>
        <v>0</v>
      </c>
      <c r="AJ2115" s="758">
        <f t="shared" si="281"/>
        <v>0</v>
      </c>
    </row>
    <row r="2116" spans="1:36" x14ac:dyDescent="0.2">
      <c r="A2116" s="1311" t="s">
        <v>154</v>
      </c>
      <c r="B2116" s="893" t="s">
        <v>218</v>
      </c>
      <c r="C2116" s="891" t="s">
        <v>311</v>
      </c>
      <c r="D2116" s="892"/>
      <c r="E2116" s="884"/>
      <c r="F2116" s="885"/>
      <c r="G2116" s="859"/>
      <c r="H2116" s="860"/>
      <c r="I2116" s="861"/>
      <c r="J2116" s="862"/>
      <c r="K2116" s="859"/>
      <c r="L2116" s="863"/>
      <c r="M2116" s="859"/>
      <c r="N2116" s="859"/>
      <c r="O2116" s="752">
        <f t="shared" si="274"/>
        <v>0</v>
      </c>
      <c r="P2116" s="862"/>
      <c r="Q2116" s="860"/>
      <c r="R2116" s="753">
        <f t="shared" si="277"/>
        <v>0</v>
      </c>
      <c r="S2116" s="752">
        <f t="shared" si="278"/>
        <v>0</v>
      </c>
      <c r="T2116" s="754">
        <f t="shared" si="279"/>
        <v>0</v>
      </c>
      <c r="U2116" s="859"/>
      <c r="V2116" s="863"/>
      <c r="W2116" s="859"/>
      <c r="X2116" s="859"/>
      <c r="Y2116" s="755">
        <f t="shared" si="275"/>
        <v>0</v>
      </c>
      <c r="Z2116" s="864"/>
      <c r="AA2116" s="863"/>
      <c r="AB2116" s="756">
        <f t="shared" si="276"/>
        <v>0</v>
      </c>
      <c r="AC2116" s="859"/>
      <c r="AD2116" s="863"/>
      <c r="AE2116" s="859"/>
      <c r="AF2116" s="859"/>
      <c r="AG2116" s="864"/>
      <c r="AH2116" s="865"/>
      <c r="AI2116" s="757">
        <f t="shared" si="280"/>
        <v>0</v>
      </c>
      <c r="AJ2116" s="758">
        <f t="shared" si="281"/>
        <v>0</v>
      </c>
    </row>
    <row r="2117" spans="1:36" x14ac:dyDescent="0.2">
      <c r="A2117" s="1311" t="s">
        <v>154</v>
      </c>
      <c r="B2117" s="893" t="s">
        <v>251</v>
      </c>
      <c r="C2117" s="891" t="s">
        <v>249</v>
      </c>
      <c r="D2117" s="892"/>
      <c r="E2117" s="884"/>
      <c r="F2117" s="885"/>
      <c r="G2117" s="859"/>
      <c r="H2117" s="860"/>
      <c r="I2117" s="861"/>
      <c r="J2117" s="862"/>
      <c r="K2117" s="859"/>
      <c r="L2117" s="863"/>
      <c r="M2117" s="859"/>
      <c r="N2117" s="859"/>
      <c r="O2117" s="752">
        <f t="shared" si="274"/>
        <v>0</v>
      </c>
      <c r="P2117" s="862"/>
      <c r="Q2117" s="860"/>
      <c r="R2117" s="753">
        <f t="shared" si="277"/>
        <v>0</v>
      </c>
      <c r="S2117" s="752">
        <f t="shared" si="278"/>
        <v>0</v>
      </c>
      <c r="T2117" s="754">
        <f t="shared" si="279"/>
        <v>0</v>
      </c>
      <c r="U2117" s="859"/>
      <c r="V2117" s="863"/>
      <c r="W2117" s="859"/>
      <c r="X2117" s="859"/>
      <c r="Y2117" s="755">
        <f t="shared" si="275"/>
        <v>0</v>
      </c>
      <c r="Z2117" s="864"/>
      <c r="AA2117" s="863"/>
      <c r="AB2117" s="756">
        <f t="shared" si="276"/>
        <v>0</v>
      </c>
      <c r="AC2117" s="859"/>
      <c r="AD2117" s="863"/>
      <c r="AE2117" s="859"/>
      <c r="AF2117" s="859"/>
      <c r="AG2117" s="864"/>
      <c r="AH2117" s="865"/>
      <c r="AI2117" s="757">
        <f t="shared" si="280"/>
        <v>0</v>
      </c>
      <c r="AJ2117" s="758">
        <f t="shared" si="281"/>
        <v>0</v>
      </c>
    </row>
    <row r="2118" spans="1:36" x14ac:dyDescent="0.2">
      <c r="A2118" s="1311" t="s">
        <v>154</v>
      </c>
      <c r="B2118" s="844" t="s">
        <v>292</v>
      </c>
      <c r="C2118" s="890" t="s">
        <v>1408</v>
      </c>
      <c r="D2118" s="845"/>
      <c r="E2118" s="846"/>
      <c r="F2118" s="847"/>
      <c r="G2118" s="859"/>
      <c r="H2118" s="860"/>
      <c r="I2118" s="861"/>
      <c r="J2118" s="862"/>
      <c r="K2118" s="859"/>
      <c r="L2118" s="863"/>
      <c r="M2118" s="859"/>
      <c r="N2118" s="859"/>
      <c r="O2118" s="752">
        <f t="shared" si="274"/>
        <v>0</v>
      </c>
      <c r="P2118" s="862"/>
      <c r="Q2118" s="860"/>
      <c r="R2118" s="753">
        <f t="shared" si="277"/>
        <v>0</v>
      </c>
      <c r="S2118" s="752">
        <f t="shared" si="278"/>
        <v>0</v>
      </c>
      <c r="T2118" s="754">
        <f t="shared" si="279"/>
        <v>0</v>
      </c>
      <c r="U2118" s="859">
        <v>93510</v>
      </c>
      <c r="V2118" s="863">
        <v>93510</v>
      </c>
      <c r="W2118" s="859"/>
      <c r="X2118" s="859"/>
      <c r="Y2118" s="755">
        <f t="shared" si="275"/>
        <v>0</v>
      </c>
      <c r="Z2118" s="864"/>
      <c r="AA2118" s="863"/>
      <c r="AB2118" s="756">
        <f t="shared" si="276"/>
        <v>0</v>
      </c>
      <c r="AC2118" s="859"/>
      <c r="AD2118" s="863"/>
      <c r="AE2118" s="859"/>
      <c r="AF2118" s="859"/>
      <c r="AG2118" s="864"/>
      <c r="AH2118" s="865"/>
      <c r="AI2118" s="757">
        <f t="shared" si="280"/>
        <v>93510</v>
      </c>
      <c r="AJ2118" s="758">
        <f t="shared" si="281"/>
        <v>93510</v>
      </c>
    </row>
    <row r="2119" spans="1:36" x14ac:dyDescent="0.2">
      <c r="A2119" s="1311" t="s">
        <v>154</v>
      </c>
      <c r="B2119" s="893" t="s">
        <v>310</v>
      </c>
      <c r="C2119" s="891" t="s">
        <v>311</v>
      </c>
      <c r="D2119" s="892"/>
      <c r="E2119" s="884"/>
      <c r="F2119" s="885"/>
      <c r="G2119" s="859"/>
      <c r="H2119" s="860"/>
      <c r="I2119" s="861"/>
      <c r="J2119" s="862"/>
      <c r="K2119" s="859"/>
      <c r="L2119" s="863"/>
      <c r="M2119" s="859"/>
      <c r="N2119" s="859"/>
      <c r="O2119" s="752">
        <f t="shared" si="274"/>
        <v>0</v>
      </c>
      <c r="P2119" s="862"/>
      <c r="Q2119" s="860"/>
      <c r="R2119" s="753">
        <f t="shared" si="277"/>
        <v>0</v>
      </c>
      <c r="S2119" s="752">
        <f t="shared" si="278"/>
        <v>0</v>
      </c>
      <c r="T2119" s="754">
        <f t="shared" si="279"/>
        <v>0</v>
      </c>
      <c r="U2119" s="859"/>
      <c r="V2119" s="863"/>
      <c r="W2119" s="859"/>
      <c r="X2119" s="859"/>
      <c r="Y2119" s="755">
        <f t="shared" si="275"/>
        <v>0</v>
      </c>
      <c r="Z2119" s="864"/>
      <c r="AA2119" s="863"/>
      <c r="AB2119" s="756">
        <f t="shared" si="276"/>
        <v>0</v>
      </c>
      <c r="AC2119" s="859"/>
      <c r="AD2119" s="863"/>
      <c r="AE2119" s="859"/>
      <c r="AF2119" s="859"/>
      <c r="AG2119" s="864"/>
      <c r="AH2119" s="865"/>
      <c r="AI2119" s="757">
        <f t="shared" si="280"/>
        <v>0</v>
      </c>
      <c r="AJ2119" s="758">
        <f t="shared" si="281"/>
        <v>0</v>
      </c>
    </row>
    <row r="2120" spans="1:36" x14ac:dyDescent="0.2">
      <c r="A2120" s="1311" t="s">
        <v>154</v>
      </c>
      <c r="B2120" s="893" t="s">
        <v>251</v>
      </c>
      <c r="C2120" s="891" t="s">
        <v>249</v>
      </c>
      <c r="D2120" s="892"/>
      <c r="E2120" s="884"/>
      <c r="F2120" s="885"/>
      <c r="G2120" s="859"/>
      <c r="H2120" s="860"/>
      <c r="I2120" s="861"/>
      <c r="J2120" s="862"/>
      <c r="K2120" s="859"/>
      <c r="L2120" s="863"/>
      <c r="M2120" s="859"/>
      <c r="N2120" s="859"/>
      <c r="O2120" s="752">
        <f t="shared" si="274"/>
        <v>0</v>
      </c>
      <c r="P2120" s="862"/>
      <c r="Q2120" s="860"/>
      <c r="R2120" s="753">
        <f t="shared" si="277"/>
        <v>0</v>
      </c>
      <c r="S2120" s="752">
        <f t="shared" si="278"/>
        <v>0</v>
      </c>
      <c r="T2120" s="754">
        <f t="shared" si="279"/>
        <v>0</v>
      </c>
      <c r="U2120" s="859"/>
      <c r="V2120" s="863"/>
      <c r="W2120" s="859"/>
      <c r="X2120" s="859"/>
      <c r="Y2120" s="755">
        <f t="shared" si="275"/>
        <v>0</v>
      </c>
      <c r="Z2120" s="864"/>
      <c r="AA2120" s="863"/>
      <c r="AB2120" s="756">
        <f t="shared" si="276"/>
        <v>0</v>
      </c>
      <c r="AC2120" s="859"/>
      <c r="AD2120" s="863"/>
      <c r="AE2120" s="859"/>
      <c r="AF2120" s="859"/>
      <c r="AG2120" s="864"/>
      <c r="AH2120" s="865"/>
      <c r="AI2120" s="757">
        <f t="shared" si="280"/>
        <v>0</v>
      </c>
      <c r="AJ2120" s="758">
        <f t="shared" si="281"/>
        <v>0</v>
      </c>
    </row>
    <row r="2121" spans="1:36" x14ac:dyDescent="0.2">
      <c r="A2121" s="1311" t="s">
        <v>154</v>
      </c>
      <c r="B2121" s="893" t="s">
        <v>209</v>
      </c>
      <c r="C2121" s="891" t="s">
        <v>576</v>
      </c>
      <c r="D2121" s="892"/>
      <c r="E2121" s="884"/>
      <c r="F2121" s="885"/>
      <c r="G2121" s="859"/>
      <c r="H2121" s="860"/>
      <c r="I2121" s="861"/>
      <c r="J2121" s="862"/>
      <c r="K2121" s="859"/>
      <c r="L2121" s="863"/>
      <c r="M2121" s="859"/>
      <c r="N2121" s="859"/>
      <c r="O2121" s="752">
        <f t="shared" si="274"/>
        <v>0</v>
      </c>
      <c r="P2121" s="862"/>
      <c r="Q2121" s="860"/>
      <c r="R2121" s="753">
        <f t="shared" si="277"/>
        <v>0</v>
      </c>
      <c r="S2121" s="752">
        <f t="shared" si="278"/>
        <v>0</v>
      </c>
      <c r="T2121" s="754">
        <f t="shared" si="279"/>
        <v>0</v>
      </c>
      <c r="U2121" s="859"/>
      <c r="V2121" s="863"/>
      <c r="W2121" s="859"/>
      <c r="X2121" s="859"/>
      <c r="Y2121" s="755">
        <f t="shared" si="275"/>
        <v>0</v>
      </c>
      <c r="Z2121" s="864"/>
      <c r="AA2121" s="863"/>
      <c r="AB2121" s="756">
        <f t="shared" si="276"/>
        <v>0</v>
      </c>
      <c r="AC2121" s="859"/>
      <c r="AD2121" s="863"/>
      <c r="AE2121" s="859"/>
      <c r="AF2121" s="859"/>
      <c r="AG2121" s="864"/>
      <c r="AH2121" s="865"/>
      <c r="AI2121" s="757">
        <f t="shared" si="280"/>
        <v>0</v>
      </c>
      <c r="AJ2121" s="758">
        <f t="shared" si="281"/>
        <v>0</v>
      </c>
    </row>
    <row r="2122" spans="1:36" x14ac:dyDescent="0.2">
      <c r="A2122" s="1311" t="s">
        <v>154</v>
      </c>
      <c r="B2122" s="893" t="s">
        <v>210</v>
      </c>
      <c r="C2122" s="891" t="s">
        <v>311</v>
      </c>
      <c r="D2122" s="892"/>
      <c r="E2122" s="884"/>
      <c r="F2122" s="885"/>
      <c r="G2122" s="859"/>
      <c r="H2122" s="860"/>
      <c r="I2122" s="861"/>
      <c r="J2122" s="862"/>
      <c r="K2122" s="859"/>
      <c r="L2122" s="863"/>
      <c r="M2122" s="859"/>
      <c r="N2122" s="859"/>
      <c r="O2122" s="752">
        <f t="shared" si="274"/>
        <v>0</v>
      </c>
      <c r="P2122" s="862"/>
      <c r="Q2122" s="860"/>
      <c r="R2122" s="753">
        <f t="shared" si="277"/>
        <v>0</v>
      </c>
      <c r="S2122" s="752">
        <f t="shared" si="278"/>
        <v>0</v>
      </c>
      <c r="T2122" s="754">
        <f t="shared" si="279"/>
        <v>0</v>
      </c>
      <c r="U2122" s="859"/>
      <c r="V2122" s="863"/>
      <c r="W2122" s="859"/>
      <c r="X2122" s="859"/>
      <c r="Y2122" s="755">
        <f t="shared" si="275"/>
        <v>0</v>
      </c>
      <c r="Z2122" s="864"/>
      <c r="AA2122" s="863"/>
      <c r="AB2122" s="756">
        <f t="shared" si="276"/>
        <v>0</v>
      </c>
      <c r="AC2122" s="859"/>
      <c r="AD2122" s="863"/>
      <c r="AE2122" s="859"/>
      <c r="AF2122" s="859"/>
      <c r="AG2122" s="864"/>
      <c r="AH2122" s="865"/>
      <c r="AI2122" s="757">
        <f t="shared" si="280"/>
        <v>0</v>
      </c>
      <c r="AJ2122" s="758">
        <f t="shared" si="281"/>
        <v>0</v>
      </c>
    </row>
    <row r="2123" spans="1:36" x14ac:dyDescent="0.2">
      <c r="A2123" s="1311" t="s">
        <v>154</v>
      </c>
      <c r="B2123" s="893" t="s">
        <v>251</v>
      </c>
      <c r="C2123" s="891" t="s">
        <v>249</v>
      </c>
      <c r="D2123" s="892"/>
      <c r="E2123" s="884"/>
      <c r="F2123" s="885"/>
      <c r="G2123" s="859"/>
      <c r="H2123" s="860"/>
      <c r="I2123" s="861"/>
      <c r="J2123" s="862"/>
      <c r="K2123" s="859"/>
      <c r="L2123" s="863"/>
      <c r="M2123" s="859"/>
      <c r="N2123" s="859"/>
      <c r="O2123" s="752">
        <f t="shared" ref="O2123:O2186" si="282">SUM(M2123:N2123)</f>
        <v>0</v>
      </c>
      <c r="P2123" s="862"/>
      <c r="Q2123" s="860"/>
      <c r="R2123" s="753">
        <f t="shared" si="277"/>
        <v>0</v>
      </c>
      <c r="S2123" s="752">
        <f t="shared" si="278"/>
        <v>0</v>
      </c>
      <c r="T2123" s="754">
        <f t="shared" si="279"/>
        <v>0</v>
      </c>
      <c r="U2123" s="859"/>
      <c r="V2123" s="863"/>
      <c r="W2123" s="859"/>
      <c r="X2123" s="859"/>
      <c r="Y2123" s="755">
        <f t="shared" ref="Y2123:Y2186" si="283">SUM(W2123:X2123)</f>
        <v>0</v>
      </c>
      <c r="Z2123" s="864"/>
      <c r="AA2123" s="863"/>
      <c r="AB2123" s="756">
        <f t="shared" ref="AB2123:AB2186" si="284">SUM(Z2123:AA2123)</f>
        <v>0</v>
      </c>
      <c r="AC2123" s="859"/>
      <c r="AD2123" s="863"/>
      <c r="AE2123" s="859"/>
      <c r="AF2123" s="859"/>
      <c r="AG2123" s="864"/>
      <c r="AH2123" s="865"/>
      <c r="AI2123" s="757">
        <f t="shared" si="280"/>
        <v>0</v>
      </c>
      <c r="AJ2123" s="758">
        <f t="shared" si="281"/>
        <v>0</v>
      </c>
    </row>
    <row r="2124" spans="1:36" x14ac:dyDescent="0.2">
      <c r="A2124" s="1311" t="s">
        <v>154</v>
      </c>
      <c r="B2124" s="893" t="s">
        <v>205</v>
      </c>
      <c r="C2124" s="891" t="s">
        <v>577</v>
      </c>
      <c r="D2124" s="892"/>
      <c r="E2124" s="884"/>
      <c r="F2124" s="885"/>
      <c r="G2124" s="859"/>
      <c r="H2124" s="860"/>
      <c r="I2124" s="861"/>
      <c r="J2124" s="862"/>
      <c r="K2124" s="859"/>
      <c r="L2124" s="863"/>
      <c r="M2124" s="859"/>
      <c r="N2124" s="859"/>
      <c r="O2124" s="752">
        <f t="shared" si="282"/>
        <v>0</v>
      </c>
      <c r="P2124" s="862"/>
      <c r="Q2124" s="860"/>
      <c r="R2124" s="753">
        <f t="shared" ref="R2124:R2187" si="285">SUM(P2124:Q2124)</f>
        <v>0</v>
      </c>
      <c r="S2124" s="752">
        <f t="shared" ref="S2124:S2187" si="286">SUM(G2124,I2124,K2124,M2124)</f>
        <v>0</v>
      </c>
      <c r="T2124" s="754">
        <f t="shared" ref="T2124:T2187" si="287">SUM(H2124,J2124,L2124,P2124)</f>
        <v>0</v>
      </c>
      <c r="U2124" s="859"/>
      <c r="V2124" s="863"/>
      <c r="W2124" s="859"/>
      <c r="X2124" s="859"/>
      <c r="Y2124" s="755">
        <f t="shared" si="283"/>
        <v>0</v>
      </c>
      <c r="Z2124" s="864"/>
      <c r="AA2124" s="863"/>
      <c r="AB2124" s="756">
        <f t="shared" si="284"/>
        <v>0</v>
      </c>
      <c r="AC2124" s="859"/>
      <c r="AD2124" s="863"/>
      <c r="AE2124" s="859"/>
      <c r="AF2124" s="859"/>
      <c r="AG2124" s="864"/>
      <c r="AH2124" s="865"/>
      <c r="AI2124" s="757">
        <f t="shared" ref="AI2124:AI2187" si="288">SUM(S2124,U2124,W2124,AC2124,AE2124)</f>
        <v>0</v>
      </c>
      <c r="AJ2124" s="758">
        <f t="shared" ref="AJ2124:AJ2187" si="289">SUM(T2124,V2124,Z2124,AD2124,AG2124)</f>
        <v>0</v>
      </c>
    </row>
    <row r="2125" spans="1:36" x14ac:dyDescent="0.2">
      <c r="A2125" s="1311" t="s">
        <v>154</v>
      </c>
      <c r="B2125" s="893" t="s">
        <v>218</v>
      </c>
      <c r="C2125" s="891" t="s">
        <v>311</v>
      </c>
      <c r="D2125" s="892"/>
      <c r="E2125" s="884"/>
      <c r="F2125" s="885"/>
      <c r="G2125" s="859"/>
      <c r="H2125" s="860"/>
      <c r="I2125" s="861"/>
      <c r="J2125" s="862"/>
      <c r="K2125" s="859"/>
      <c r="L2125" s="863"/>
      <c r="M2125" s="859"/>
      <c r="N2125" s="859"/>
      <c r="O2125" s="752">
        <f t="shared" si="282"/>
        <v>0</v>
      </c>
      <c r="P2125" s="862"/>
      <c r="Q2125" s="860"/>
      <c r="R2125" s="753">
        <f t="shared" si="285"/>
        <v>0</v>
      </c>
      <c r="S2125" s="752">
        <f t="shared" si="286"/>
        <v>0</v>
      </c>
      <c r="T2125" s="754">
        <f t="shared" si="287"/>
        <v>0</v>
      </c>
      <c r="U2125" s="859"/>
      <c r="V2125" s="863"/>
      <c r="W2125" s="859"/>
      <c r="X2125" s="859"/>
      <c r="Y2125" s="755">
        <f t="shared" si="283"/>
        <v>0</v>
      </c>
      <c r="Z2125" s="864"/>
      <c r="AA2125" s="863"/>
      <c r="AB2125" s="756">
        <f t="shared" si="284"/>
        <v>0</v>
      </c>
      <c r="AC2125" s="859"/>
      <c r="AD2125" s="863"/>
      <c r="AE2125" s="859"/>
      <c r="AF2125" s="859"/>
      <c r="AG2125" s="864"/>
      <c r="AH2125" s="865"/>
      <c r="AI2125" s="757">
        <f t="shared" si="288"/>
        <v>0</v>
      </c>
      <c r="AJ2125" s="758">
        <f t="shared" si="289"/>
        <v>0</v>
      </c>
    </row>
    <row r="2126" spans="1:36" x14ac:dyDescent="0.2">
      <c r="A2126" s="1311" t="s">
        <v>154</v>
      </c>
      <c r="B2126" s="893" t="s">
        <v>251</v>
      </c>
      <c r="C2126" s="891" t="s">
        <v>249</v>
      </c>
      <c r="D2126" s="892"/>
      <c r="E2126" s="884"/>
      <c r="F2126" s="885"/>
      <c r="G2126" s="859"/>
      <c r="H2126" s="860"/>
      <c r="I2126" s="861"/>
      <c r="J2126" s="862"/>
      <c r="K2126" s="859"/>
      <c r="L2126" s="863"/>
      <c r="M2126" s="859"/>
      <c r="N2126" s="859"/>
      <c r="O2126" s="752">
        <f t="shared" si="282"/>
        <v>0</v>
      </c>
      <c r="P2126" s="862"/>
      <c r="Q2126" s="860"/>
      <c r="R2126" s="753">
        <f t="shared" si="285"/>
        <v>0</v>
      </c>
      <c r="S2126" s="752">
        <f t="shared" si="286"/>
        <v>0</v>
      </c>
      <c r="T2126" s="754">
        <f t="shared" si="287"/>
        <v>0</v>
      </c>
      <c r="U2126" s="859"/>
      <c r="V2126" s="863"/>
      <c r="W2126" s="859"/>
      <c r="X2126" s="859"/>
      <c r="Y2126" s="755">
        <f t="shared" si="283"/>
        <v>0</v>
      </c>
      <c r="Z2126" s="864"/>
      <c r="AA2126" s="863"/>
      <c r="AB2126" s="756">
        <f t="shared" si="284"/>
        <v>0</v>
      </c>
      <c r="AC2126" s="859"/>
      <c r="AD2126" s="863"/>
      <c r="AE2126" s="859"/>
      <c r="AF2126" s="859"/>
      <c r="AG2126" s="864"/>
      <c r="AH2126" s="865"/>
      <c r="AI2126" s="757">
        <f t="shared" si="288"/>
        <v>0</v>
      </c>
      <c r="AJ2126" s="758">
        <f t="shared" si="289"/>
        <v>0</v>
      </c>
    </row>
    <row r="2127" spans="1:36" x14ac:dyDescent="0.2">
      <c r="A2127" s="1311" t="s">
        <v>154</v>
      </c>
      <c r="B2127" s="844" t="s">
        <v>292</v>
      </c>
      <c r="C2127" s="890" t="s">
        <v>1409</v>
      </c>
      <c r="D2127" s="845"/>
      <c r="E2127" s="846"/>
      <c r="F2127" s="847"/>
      <c r="G2127" s="859"/>
      <c r="H2127" s="860"/>
      <c r="I2127" s="861"/>
      <c r="J2127" s="862"/>
      <c r="K2127" s="859"/>
      <c r="L2127" s="863"/>
      <c r="M2127" s="859"/>
      <c r="N2127" s="859"/>
      <c r="O2127" s="752">
        <f t="shared" si="282"/>
        <v>0</v>
      </c>
      <c r="P2127" s="862"/>
      <c r="Q2127" s="860"/>
      <c r="R2127" s="753">
        <f t="shared" si="285"/>
        <v>0</v>
      </c>
      <c r="S2127" s="752">
        <f t="shared" si="286"/>
        <v>0</v>
      </c>
      <c r="T2127" s="754">
        <f t="shared" si="287"/>
        <v>0</v>
      </c>
      <c r="U2127" s="859">
        <v>986068</v>
      </c>
      <c r="V2127" s="863">
        <v>986068</v>
      </c>
      <c r="W2127" s="859"/>
      <c r="X2127" s="859"/>
      <c r="Y2127" s="755">
        <f t="shared" si="283"/>
        <v>0</v>
      </c>
      <c r="Z2127" s="864"/>
      <c r="AA2127" s="863"/>
      <c r="AB2127" s="756">
        <f t="shared" si="284"/>
        <v>0</v>
      </c>
      <c r="AC2127" s="859"/>
      <c r="AD2127" s="863"/>
      <c r="AE2127" s="859"/>
      <c r="AF2127" s="859"/>
      <c r="AG2127" s="864"/>
      <c r="AH2127" s="865"/>
      <c r="AI2127" s="757">
        <f t="shared" si="288"/>
        <v>986068</v>
      </c>
      <c r="AJ2127" s="758">
        <f t="shared" si="289"/>
        <v>986068</v>
      </c>
    </row>
    <row r="2128" spans="1:36" x14ac:dyDescent="0.2">
      <c r="A2128" s="1311" t="s">
        <v>154</v>
      </c>
      <c r="B2128" s="893" t="s">
        <v>310</v>
      </c>
      <c r="C2128" s="891" t="s">
        <v>311</v>
      </c>
      <c r="D2128" s="892"/>
      <c r="E2128" s="884"/>
      <c r="F2128" s="885"/>
      <c r="G2128" s="859"/>
      <c r="H2128" s="860"/>
      <c r="I2128" s="861"/>
      <c r="J2128" s="862"/>
      <c r="K2128" s="859"/>
      <c r="L2128" s="863"/>
      <c r="M2128" s="859"/>
      <c r="N2128" s="859"/>
      <c r="O2128" s="752">
        <f t="shared" si="282"/>
        <v>0</v>
      </c>
      <c r="P2128" s="862"/>
      <c r="Q2128" s="860"/>
      <c r="R2128" s="753">
        <f t="shared" si="285"/>
        <v>0</v>
      </c>
      <c r="S2128" s="752">
        <f t="shared" si="286"/>
        <v>0</v>
      </c>
      <c r="T2128" s="754">
        <f t="shared" si="287"/>
        <v>0</v>
      </c>
      <c r="U2128" s="859"/>
      <c r="V2128" s="863"/>
      <c r="W2128" s="859"/>
      <c r="X2128" s="859"/>
      <c r="Y2128" s="755">
        <f t="shared" si="283"/>
        <v>0</v>
      </c>
      <c r="Z2128" s="864"/>
      <c r="AA2128" s="863"/>
      <c r="AB2128" s="756">
        <f t="shared" si="284"/>
        <v>0</v>
      </c>
      <c r="AC2128" s="859"/>
      <c r="AD2128" s="863"/>
      <c r="AE2128" s="859"/>
      <c r="AF2128" s="859"/>
      <c r="AG2128" s="864"/>
      <c r="AH2128" s="865"/>
      <c r="AI2128" s="757">
        <f t="shared" si="288"/>
        <v>0</v>
      </c>
      <c r="AJ2128" s="758">
        <f t="shared" si="289"/>
        <v>0</v>
      </c>
    </row>
    <row r="2129" spans="1:36" x14ac:dyDescent="0.2">
      <c r="A2129" s="1311" t="s">
        <v>154</v>
      </c>
      <c r="B2129" s="893" t="s">
        <v>251</v>
      </c>
      <c r="C2129" s="891" t="s">
        <v>249</v>
      </c>
      <c r="D2129" s="892"/>
      <c r="E2129" s="884"/>
      <c r="F2129" s="885"/>
      <c r="G2129" s="859"/>
      <c r="H2129" s="860"/>
      <c r="I2129" s="861"/>
      <c r="J2129" s="862"/>
      <c r="K2129" s="859"/>
      <c r="L2129" s="863"/>
      <c r="M2129" s="859"/>
      <c r="N2129" s="859"/>
      <c r="O2129" s="752">
        <f t="shared" si="282"/>
        <v>0</v>
      </c>
      <c r="P2129" s="862"/>
      <c r="Q2129" s="860"/>
      <c r="R2129" s="753">
        <f t="shared" si="285"/>
        <v>0</v>
      </c>
      <c r="S2129" s="752">
        <f t="shared" si="286"/>
        <v>0</v>
      </c>
      <c r="T2129" s="754">
        <f t="shared" si="287"/>
        <v>0</v>
      </c>
      <c r="U2129" s="859"/>
      <c r="V2129" s="863"/>
      <c r="W2129" s="859"/>
      <c r="X2129" s="859"/>
      <c r="Y2129" s="755">
        <f t="shared" si="283"/>
        <v>0</v>
      </c>
      <c r="Z2129" s="864"/>
      <c r="AA2129" s="863"/>
      <c r="AB2129" s="756">
        <f t="shared" si="284"/>
        <v>0</v>
      </c>
      <c r="AC2129" s="859"/>
      <c r="AD2129" s="863"/>
      <c r="AE2129" s="859"/>
      <c r="AF2129" s="859"/>
      <c r="AG2129" s="864"/>
      <c r="AH2129" s="865"/>
      <c r="AI2129" s="757">
        <f t="shared" si="288"/>
        <v>0</v>
      </c>
      <c r="AJ2129" s="758">
        <f t="shared" si="289"/>
        <v>0</v>
      </c>
    </row>
    <row r="2130" spans="1:36" x14ac:dyDescent="0.2">
      <c r="A2130" s="1311" t="s">
        <v>154</v>
      </c>
      <c r="B2130" s="893" t="s">
        <v>209</v>
      </c>
      <c r="C2130" s="891" t="s">
        <v>576</v>
      </c>
      <c r="D2130" s="892"/>
      <c r="E2130" s="884"/>
      <c r="F2130" s="885"/>
      <c r="G2130" s="859"/>
      <c r="H2130" s="860"/>
      <c r="I2130" s="861"/>
      <c r="J2130" s="862"/>
      <c r="K2130" s="859"/>
      <c r="L2130" s="863"/>
      <c r="M2130" s="859"/>
      <c r="N2130" s="859"/>
      <c r="O2130" s="752">
        <f t="shared" si="282"/>
        <v>0</v>
      </c>
      <c r="P2130" s="862"/>
      <c r="Q2130" s="860"/>
      <c r="R2130" s="753">
        <f t="shared" si="285"/>
        <v>0</v>
      </c>
      <c r="S2130" s="752">
        <f t="shared" si="286"/>
        <v>0</v>
      </c>
      <c r="T2130" s="754">
        <f t="shared" si="287"/>
        <v>0</v>
      </c>
      <c r="U2130" s="859"/>
      <c r="V2130" s="863"/>
      <c r="W2130" s="859"/>
      <c r="X2130" s="859"/>
      <c r="Y2130" s="755">
        <f t="shared" si="283"/>
        <v>0</v>
      </c>
      <c r="Z2130" s="864"/>
      <c r="AA2130" s="863"/>
      <c r="AB2130" s="756">
        <f t="shared" si="284"/>
        <v>0</v>
      </c>
      <c r="AC2130" s="859"/>
      <c r="AD2130" s="863"/>
      <c r="AE2130" s="859"/>
      <c r="AF2130" s="859"/>
      <c r="AG2130" s="864"/>
      <c r="AH2130" s="865"/>
      <c r="AI2130" s="757">
        <f t="shared" si="288"/>
        <v>0</v>
      </c>
      <c r="AJ2130" s="758">
        <f t="shared" si="289"/>
        <v>0</v>
      </c>
    </row>
    <row r="2131" spans="1:36" x14ac:dyDescent="0.2">
      <c r="A2131" s="1311" t="s">
        <v>154</v>
      </c>
      <c r="B2131" s="893" t="s">
        <v>210</v>
      </c>
      <c r="C2131" s="891" t="s">
        <v>311</v>
      </c>
      <c r="D2131" s="892"/>
      <c r="E2131" s="884"/>
      <c r="F2131" s="885"/>
      <c r="G2131" s="859"/>
      <c r="H2131" s="860"/>
      <c r="I2131" s="861"/>
      <c r="J2131" s="862"/>
      <c r="K2131" s="859"/>
      <c r="L2131" s="863"/>
      <c r="M2131" s="859"/>
      <c r="N2131" s="859"/>
      <c r="O2131" s="752">
        <f t="shared" si="282"/>
        <v>0</v>
      </c>
      <c r="P2131" s="862"/>
      <c r="Q2131" s="860"/>
      <c r="R2131" s="753">
        <f t="shared" si="285"/>
        <v>0</v>
      </c>
      <c r="S2131" s="752">
        <f t="shared" si="286"/>
        <v>0</v>
      </c>
      <c r="T2131" s="754">
        <f t="shared" si="287"/>
        <v>0</v>
      </c>
      <c r="U2131" s="859"/>
      <c r="V2131" s="863"/>
      <c r="W2131" s="859"/>
      <c r="X2131" s="859"/>
      <c r="Y2131" s="755">
        <f t="shared" si="283"/>
        <v>0</v>
      </c>
      <c r="Z2131" s="864"/>
      <c r="AA2131" s="863"/>
      <c r="AB2131" s="756">
        <f t="shared" si="284"/>
        <v>0</v>
      </c>
      <c r="AC2131" s="859"/>
      <c r="AD2131" s="863"/>
      <c r="AE2131" s="859"/>
      <c r="AF2131" s="859"/>
      <c r="AG2131" s="864"/>
      <c r="AH2131" s="865"/>
      <c r="AI2131" s="757">
        <f t="shared" si="288"/>
        <v>0</v>
      </c>
      <c r="AJ2131" s="758">
        <f t="shared" si="289"/>
        <v>0</v>
      </c>
    </row>
    <row r="2132" spans="1:36" x14ac:dyDescent="0.2">
      <c r="A2132" s="1311" t="s">
        <v>154</v>
      </c>
      <c r="B2132" s="893" t="s">
        <v>251</v>
      </c>
      <c r="C2132" s="891" t="s">
        <v>249</v>
      </c>
      <c r="D2132" s="892"/>
      <c r="E2132" s="884"/>
      <c r="F2132" s="885"/>
      <c r="G2132" s="859"/>
      <c r="H2132" s="860"/>
      <c r="I2132" s="861"/>
      <c r="J2132" s="862"/>
      <c r="K2132" s="859"/>
      <c r="L2132" s="863"/>
      <c r="M2132" s="859"/>
      <c r="N2132" s="859"/>
      <c r="O2132" s="752">
        <f t="shared" si="282"/>
        <v>0</v>
      </c>
      <c r="P2132" s="862"/>
      <c r="Q2132" s="860"/>
      <c r="R2132" s="753">
        <f t="shared" si="285"/>
        <v>0</v>
      </c>
      <c r="S2132" s="752">
        <f t="shared" si="286"/>
        <v>0</v>
      </c>
      <c r="T2132" s="754">
        <f t="shared" si="287"/>
        <v>0</v>
      </c>
      <c r="U2132" s="859"/>
      <c r="V2132" s="863"/>
      <c r="W2132" s="859"/>
      <c r="X2132" s="859"/>
      <c r="Y2132" s="755">
        <f t="shared" si="283"/>
        <v>0</v>
      </c>
      <c r="Z2132" s="864"/>
      <c r="AA2132" s="863"/>
      <c r="AB2132" s="756">
        <f t="shared" si="284"/>
        <v>0</v>
      </c>
      <c r="AC2132" s="859"/>
      <c r="AD2132" s="863"/>
      <c r="AE2132" s="859"/>
      <c r="AF2132" s="859"/>
      <c r="AG2132" s="864"/>
      <c r="AH2132" s="865"/>
      <c r="AI2132" s="757">
        <f t="shared" si="288"/>
        <v>0</v>
      </c>
      <c r="AJ2132" s="758">
        <f t="shared" si="289"/>
        <v>0</v>
      </c>
    </row>
    <row r="2133" spans="1:36" x14ac:dyDescent="0.2">
      <c r="A2133" s="1311" t="s">
        <v>154</v>
      </c>
      <c r="B2133" s="893" t="s">
        <v>205</v>
      </c>
      <c r="C2133" s="891" t="s">
        <v>577</v>
      </c>
      <c r="D2133" s="892"/>
      <c r="E2133" s="884"/>
      <c r="F2133" s="885"/>
      <c r="G2133" s="859"/>
      <c r="H2133" s="860"/>
      <c r="I2133" s="861"/>
      <c r="J2133" s="862"/>
      <c r="K2133" s="859"/>
      <c r="L2133" s="863"/>
      <c r="M2133" s="859"/>
      <c r="N2133" s="859"/>
      <c r="O2133" s="752">
        <f t="shared" si="282"/>
        <v>0</v>
      </c>
      <c r="P2133" s="862"/>
      <c r="Q2133" s="860"/>
      <c r="R2133" s="753">
        <f t="shared" si="285"/>
        <v>0</v>
      </c>
      <c r="S2133" s="752">
        <f t="shared" si="286"/>
        <v>0</v>
      </c>
      <c r="T2133" s="754">
        <f t="shared" si="287"/>
        <v>0</v>
      </c>
      <c r="U2133" s="859"/>
      <c r="V2133" s="863"/>
      <c r="W2133" s="859"/>
      <c r="X2133" s="859"/>
      <c r="Y2133" s="755">
        <f t="shared" si="283"/>
        <v>0</v>
      </c>
      <c r="Z2133" s="864"/>
      <c r="AA2133" s="863"/>
      <c r="AB2133" s="756">
        <f t="shared" si="284"/>
        <v>0</v>
      </c>
      <c r="AC2133" s="859"/>
      <c r="AD2133" s="863"/>
      <c r="AE2133" s="859"/>
      <c r="AF2133" s="859"/>
      <c r="AG2133" s="864"/>
      <c r="AH2133" s="865"/>
      <c r="AI2133" s="757">
        <f t="shared" si="288"/>
        <v>0</v>
      </c>
      <c r="AJ2133" s="758">
        <f t="shared" si="289"/>
        <v>0</v>
      </c>
    </row>
    <row r="2134" spans="1:36" x14ac:dyDescent="0.2">
      <c r="A2134" s="1311" t="s">
        <v>154</v>
      </c>
      <c r="B2134" s="893" t="s">
        <v>218</v>
      </c>
      <c r="C2134" s="891" t="s">
        <v>311</v>
      </c>
      <c r="D2134" s="892"/>
      <c r="E2134" s="884"/>
      <c r="F2134" s="885"/>
      <c r="G2134" s="859"/>
      <c r="H2134" s="860"/>
      <c r="I2134" s="861"/>
      <c r="J2134" s="862"/>
      <c r="K2134" s="859"/>
      <c r="L2134" s="863"/>
      <c r="M2134" s="859"/>
      <c r="N2134" s="859"/>
      <c r="O2134" s="752">
        <f t="shared" si="282"/>
        <v>0</v>
      </c>
      <c r="P2134" s="862"/>
      <c r="Q2134" s="860"/>
      <c r="R2134" s="753">
        <f t="shared" si="285"/>
        <v>0</v>
      </c>
      <c r="S2134" s="752">
        <f t="shared" si="286"/>
        <v>0</v>
      </c>
      <c r="T2134" s="754">
        <f t="shared" si="287"/>
        <v>0</v>
      </c>
      <c r="U2134" s="859"/>
      <c r="V2134" s="863"/>
      <c r="W2134" s="859"/>
      <c r="X2134" s="859"/>
      <c r="Y2134" s="755">
        <f t="shared" si="283"/>
        <v>0</v>
      </c>
      <c r="Z2134" s="864"/>
      <c r="AA2134" s="863"/>
      <c r="AB2134" s="756">
        <f t="shared" si="284"/>
        <v>0</v>
      </c>
      <c r="AC2134" s="859"/>
      <c r="AD2134" s="863"/>
      <c r="AE2134" s="859"/>
      <c r="AF2134" s="859"/>
      <c r="AG2134" s="864"/>
      <c r="AH2134" s="865"/>
      <c r="AI2134" s="757">
        <f t="shared" si="288"/>
        <v>0</v>
      </c>
      <c r="AJ2134" s="758">
        <f t="shared" si="289"/>
        <v>0</v>
      </c>
    </row>
    <row r="2135" spans="1:36" x14ac:dyDescent="0.2">
      <c r="A2135" s="1311" t="s">
        <v>154</v>
      </c>
      <c r="B2135" s="893" t="s">
        <v>251</v>
      </c>
      <c r="C2135" s="891" t="s">
        <v>249</v>
      </c>
      <c r="D2135" s="892"/>
      <c r="E2135" s="884"/>
      <c r="F2135" s="885"/>
      <c r="G2135" s="859"/>
      <c r="H2135" s="860"/>
      <c r="I2135" s="861"/>
      <c r="J2135" s="862"/>
      <c r="K2135" s="859"/>
      <c r="L2135" s="863"/>
      <c r="M2135" s="859"/>
      <c r="N2135" s="859"/>
      <c r="O2135" s="752">
        <f t="shared" si="282"/>
        <v>0</v>
      </c>
      <c r="P2135" s="862"/>
      <c r="Q2135" s="860"/>
      <c r="R2135" s="753">
        <f t="shared" si="285"/>
        <v>0</v>
      </c>
      <c r="S2135" s="752">
        <f t="shared" si="286"/>
        <v>0</v>
      </c>
      <c r="T2135" s="754">
        <f t="shared" si="287"/>
        <v>0</v>
      </c>
      <c r="U2135" s="859"/>
      <c r="V2135" s="863"/>
      <c r="W2135" s="859"/>
      <c r="X2135" s="859"/>
      <c r="Y2135" s="755">
        <f t="shared" si="283"/>
        <v>0</v>
      </c>
      <c r="Z2135" s="864"/>
      <c r="AA2135" s="863"/>
      <c r="AB2135" s="756">
        <f t="shared" si="284"/>
        <v>0</v>
      </c>
      <c r="AC2135" s="859"/>
      <c r="AD2135" s="863"/>
      <c r="AE2135" s="859"/>
      <c r="AF2135" s="859"/>
      <c r="AG2135" s="864"/>
      <c r="AH2135" s="865"/>
      <c r="AI2135" s="757">
        <f t="shared" si="288"/>
        <v>0</v>
      </c>
      <c r="AJ2135" s="758">
        <f t="shared" si="289"/>
        <v>0</v>
      </c>
    </row>
    <row r="2136" spans="1:36" x14ac:dyDescent="0.2">
      <c r="A2136" s="1311" t="s">
        <v>154</v>
      </c>
      <c r="B2136" s="844" t="s">
        <v>292</v>
      </c>
      <c r="C2136" s="890" t="s">
        <v>1410</v>
      </c>
      <c r="D2136" s="845"/>
      <c r="E2136" s="846"/>
      <c r="F2136" s="847"/>
      <c r="G2136" s="859"/>
      <c r="H2136" s="860"/>
      <c r="I2136" s="861"/>
      <c r="J2136" s="862"/>
      <c r="K2136" s="859"/>
      <c r="L2136" s="863"/>
      <c r="M2136" s="859"/>
      <c r="N2136" s="859"/>
      <c r="O2136" s="752">
        <f t="shared" si="282"/>
        <v>0</v>
      </c>
      <c r="P2136" s="862"/>
      <c r="Q2136" s="860"/>
      <c r="R2136" s="753">
        <f t="shared" si="285"/>
        <v>0</v>
      </c>
      <c r="S2136" s="752">
        <f t="shared" si="286"/>
        <v>0</v>
      </c>
      <c r="T2136" s="754">
        <f t="shared" si="287"/>
        <v>0</v>
      </c>
      <c r="U2136" s="859">
        <v>19115722</v>
      </c>
      <c r="V2136" s="863">
        <v>19115722</v>
      </c>
      <c r="W2136" s="859"/>
      <c r="X2136" s="859"/>
      <c r="Y2136" s="755">
        <f t="shared" si="283"/>
        <v>0</v>
      </c>
      <c r="Z2136" s="864"/>
      <c r="AA2136" s="863"/>
      <c r="AB2136" s="756">
        <f t="shared" si="284"/>
        <v>0</v>
      </c>
      <c r="AC2136" s="859"/>
      <c r="AD2136" s="863"/>
      <c r="AE2136" s="859"/>
      <c r="AF2136" s="859"/>
      <c r="AG2136" s="864"/>
      <c r="AH2136" s="865"/>
      <c r="AI2136" s="757">
        <f t="shared" si="288"/>
        <v>19115722</v>
      </c>
      <c r="AJ2136" s="758">
        <f t="shared" si="289"/>
        <v>19115722</v>
      </c>
    </row>
    <row r="2137" spans="1:36" x14ac:dyDescent="0.2">
      <c r="A2137" s="1311" t="s">
        <v>154</v>
      </c>
      <c r="B2137" s="893" t="s">
        <v>310</v>
      </c>
      <c r="C2137" s="891" t="s">
        <v>311</v>
      </c>
      <c r="D2137" s="892"/>
      <c r="E2137" s="884"/>
      <c r="F2137" s="885"/>
      <c r="G2137" s="859"/>
      <c r="H2137" s="860"/>
      <c r="I2137" s="861"/>
      <c r="J2137" s="862"/>
      <c r="K2137" s="859"/>
      <c r="L2137" s="863"/>
      <c r="M2137" s="859"/>
      <c r="N2137" s="859"/>
      <c r="O2137" s="752">
        <f t="shared" si="282"/>
        <v>0</v>
      </c>
      <c r="P2137" s="862"/>
      <c r="Q2137" s="860"/>
      <c r="R2137" s="753">
        <f t="shared" si="285"/>
        <v>0</v>
      </c>
      <c r="S2137" s="752">
        <f t="shared" si="286"/>
        <v>0</v>
      </c>
      <c r="T2137" s="754">
        <f t="shared" si="287"/>
        <v>0</v>
      </c>
      <c r="U2137" s="859"/>
      <c r="V2137" s="863"/>
      <c r="W2137" s="859"/>
      <c r="X2137" s="859"/>
      <c r="Y2137" s="755">
        <f t="shared" si="283"/>
        <v>0</v>
      </c>
      <c r="Z2137" s="864"/>
      <c r="AA2137" s="863"/>
      <c r="AB2137" s="756">
        <f t="shared" si="284"/>
        <v>0</v>
      </c>
      <c r="AC2137" s="859"/>
      <c r="AD2137" s="863"/>
      <c r="AE2137" s="859"/>
      <c r="AF2137" s="859"/>
      <c r="AG2137" s="864"/>
      <c r="AH2137" s="865"/>
      <c r="AI2137" s="757">
        <f t="shared" si="288"/>
        <v>0</v>
      </c>
      <c r="AJ2137" s="758">
        <f t="shared" si="289"/>
        <v>0</v>
      </c>
    </row>
    <row r="2138" spans="1:36" x14ac:dyDescent="0.2">
      <c r="A2138" s="1311" t="s">
        <v>154</v>
      </c>
      <c r="B2138" s="893" t="s">
        <v>251</v>
      </c>
      <c r="C2138" s="891" t="s">
        <v>249</v>
      </c>
      <c r="D2138" s="892"/>
      <c r="E2138" s="884"/>
      <c r="F2138" s="885"/>
      <c r="G2138" s="859"/>
      <c r="H2138" s="860"/>
      <c r="I2138" s="861"/>
      <c r="J2138" s="862"/>
      <c r="K2138" s="859"/>
      <c r="L2138" s="863"/>
      <c r="M2138" s="859"/>
      <c r="N2138" s="859"/>
      <c r="O2138" s="752">
        <f t="shared" si="282"/>
        <v>0</v>
      </c>
      <c r="P2138" s="862"/>
      <c r="Q2138" s="860"/>
      <c r="R2138" s="753">
        <f t="shared" si="285"/>
        <v>0</v>
      </c>
      <c r="S2138" s="752">
        <f t="shared" si="286"/>
        <v>0</v>
      </c>
      <c r="T2138" s="754">
        <f t="shared" si="287"/>
        <v>0</v>
      </c>
      <c r="U2138" s="859"/>
      <c r="V2138" s="863"/>
      <c r="W2138" s="859"/>
      <c r="X2138" s="859"/>
      <c r="Y2138" s="755">
        <f t="shared" si="283"/>
        <v>0</v>
      </c>
      <c r="Z2138" s="864"/>
      <c r="AA2138" s="863"/>
      <c r="AB2138" s="756">
        <f t="shared" si="284"/>
        <v>0</v>
      </c>
      <c r="AC2138" s="859"/>
      <c r="AD2138" s="863"/>
      <c r="AE2138" s="859"/>
      <c r="AF2138" s="859"/>
      <c r="AG2138" s="864"/>
      <c r="AH2138" s="865"/>
      <c r="AI2138" s="757">
        <f t="shared" si="288"/>
        <v>0</v>
      </c>
      <c r="AJ2138" s="758">
        <f t="shared" si="289"/>
        <v>0</v>
      </c>
    </row>
    <row r="2139" spans="1:36" x14ac:dyDescent="0.2">
      <c r="A2139" s="1311" t="s">
        <v>154</v>
      </c>
      <c r="B2139" s="893" t="s">
        <v>209</v>
      </c>
      <c r="C2139" s="891" t="s">
        <v>576</v>
      </c>
      <c r="D2139" s="892"/>
      <c r="E2139" s="884"/>
      <c r="F2139" s="885"/>
      <c r="G2139" s="859"/>
      <c r="H2139" s="860"/>
      <c r="I2139" s="861"/>
      <c r="J2139" s="862"/>
      <c r="K2139" s="859"/>
      <c r="L2139" s="863"/>
      <c r="M2139" s="859"/>
      <c r="N2139" s="859"/>
      <c r="O2139" s="752">
        <f t="shared" si="282"/>
        <v>0</v>
      </c>
      <c r="P2139" s="862"/>
      <c r="Q2139" s="860"/>
      <c r="R2139" s="753">
        <f t="shared" si="285"/>
        <v>0</v>
      </c>
      <c r="S2139" s="752">
        <f t="shared" si="286"/>
        <v>0</v>
      </c>
      <c r="T2139" s="754">
        <f t="shared" si="287"/>
        <v>0</v>
      </c>
      <c r="U2139" s="859"/>
      <c r="V2139" s="863"/>
      <c r="W2139" s="859"/>
      <c r="X2139" s="859"/>
      <c r="Y2139" s="755">
        <f t="shared" si="283"/>
        <v>0</v>
      </c>
      <c r="Z2139" s="864"/>
      <c r="AA2139" s="863"/>
      <c r="AB2139" s="756">
        <f t="shared" si="284"/>
        <v>0</v>
      </c>
      <c r="AC2139" s="859"/>
      <c r="AD2139" s="863"/>
      <c r="AE2139" s="859"/>
      <c r="AF2139" s="859"/>
      <c r="AG2139" s="864"/>
      <c r="AH2139" s="865"/>
      <c r="AI2139" s="757">
        <f t="shared" si="288"/>
        <v>0</v>
      </c>
      <c r="AJ2139" s="758">
        <f t="shared" si="289"/>
        <v>0</v>
      </c>
    </row>
    <row r="2140" spans="1:36" x14ac:dyDescent="0.2">
      <c r="A2140" s="1311" t="s">
        <v>154</v>
      </c>
      <c r="B2140" s="893" t="s">
        <v>210</v>
      </c>
      <c r="C2140" s="891" t="s">
        <v>311</v>
      </c>
      <c r="D2140" s="892"/>
      <c r="E2140" s="884"/>
      <c r="F2140" s="885"/>
      <c r="G2140" s="859"/>
      <c r="H2140" s="860"/>
      <c r="I2140" s="861"/>
      <c r="J2140" s="862"/>
      <c r="K2140" s="859"/>
      <c r="L2140" s="863"/>
      <c r="M2140" s="859"/>
      <c r="N2140" s="859"/>
      <c r="O2140" s="752">
        <f t="shared" si="282"/>
        <v>0</v>
      </c>
      <c r="P2140" s="862"/>
      <c r="Q2140" s="860"/>
      <c r="R2140" s="753">
        <f t="shared" si="285"/>
        <v>0</v>
      </c>
      <c r="S2140" s="752">
        <f t="shared" si="286"/>
        <v>0</v>
      </c>
      <c r="T2140" s="754">
        <f t="shared" si="287"/>
        <v>0</v>
      </c>
      <c r="U2140" s="859"/>
      <c r="V2140" s="863"/>
      <c r="W2140" s="859"/>
      <c r="X2140" s="859"/>
      <c r="Y2140" s="755">
        <f t="shared" si="283"/>
        <v>0</v>
      </c>
      <c r="Z2140" s="864"/>
      <c r="AA2140" s="863"/>
      <c r="AB2140" s="756">
        <f t="shared" si="284"/>
        <v>0</v>
      </c>
      <c r="AC2140" s="859"/>
      <c r="AD2140" s="863"/>
      <c r="AE2140" s="859"/>
      <c r="AF2140" s="859"/>
      <c r="AG2140" s="864"/>
      <c r="AH2140" s="865"/>
      <c r="AI2140" s="757">
        <f t="shared" si="288"/>
        <v>0</v>
      </c>
      <c r="AJ2140" s="758">
        <f t="shared" si="289"/>
        <v>0</v>
      </c>
    </row>
    <row r="2141" spans="1:36" x14ac:dyDescent="0.2">
      <c r="A2141" s="1311" t="s">
        <v>154</v>
      </c>
      <c r="B2141" s="893" t="s">
        <v>251</v>
      </c>
      <c r="C2141" s="891" t="s">
        <v>249</v>
      </c>
      <c r="D2141" s="892"/>
      <c r="E2141" s="884"/>
      <c r="F2141" s="885"/>
      <c r="G2141" s="859"/>
      <c r="H2141" s="860"/>
      <c r="I2141" s="861"/>
      <c r="J2141" s="862"/>
      <c r="K2141" s="859"/>
      <c r="L2141" s="863"/>
      <c r="M2141" s="859"/>
      <c r="N2141" s="859"/>
      <c r="O2141" s="752">
        <f t="shared" si="282"/>
        <v>0</v>
      </c>
      <c r="P2141" s="862"/>
      <c r="Q2141" s="860"/>
      <c r="R2141" s="753">
        <f t="shared" si="285"/>
        <v>0</v>
      </c>
      <c r="S2141" s="752">
        <f t="shared" si="286"/>
        <v>0</v>
      </c>
      <c r="T2141" s="754">
        <f t="shared" si="287"/>
        <v>0</v>
      </c>
      <c r="U2141" s="859"/>
      <c r="V2141" s="863"/>
      <c r="W2141" s="859"/>
      <c r="X2141" s="859"/>
      <c r="Y2141" s="755">
        <f t="shared" si="283"/>
        <v>0</v>
      </c>
      <c r="Z2141" s="864"/>
      <c r="AA2141" s="863"/>
      <c r="AB2141" s="756">
        <f t="shared" si="284"/>
        <v>0</v>
      </c>
      <c r="AC2141" s="859"/>
      <c r="AD2141" s="863"/>
      <c r="AE2141" s="859"/>
      <c r="AF2141" s="859"/>
      <c r="AG2141" s="864"/>
      <c r="AH2141" s="865"/>
      <c r="AI2141" s="757">
        <f t="shared" si="288"/>
        <v>0</v>
      </c>
      <c r="AJ2141" s="758">
        <f t="shared" si="289"/>
        <v>0</v>
      </c>
    </row>
    <row r="2142" spans="1:36" x14ac:dyDescent="0.2">
      <c r="A2142" s="1311" t="s">
        <v>154</v>
      </c>
      <c r="B2142" s="893" t="s">
        <v>205</v>
      </c>
      <c r="C2142" s="891" t="s">
        <v>577</v>
      </c>
      <c r="D2142" s="892"/>
      <c r="E2142" s="884"/>
      <c r="F2142" s="885"/>
      <c r="G2142" s="859"/>
      <c r="H2142" s="860"/>
      <c r="I2142" s="861"/>
      <c r="J2142" s="862"/>
      <c r="K2142" s="859"/>
      <c r="L2142" s="863"/>
      <c r="M2142" s="859"/>
      <c r="N2142" s="859"/>
      <c r="O2142" s="752">
        <f t="shared" si="282"/>
        <v>0</v>
      </c>
      <c r="P2142" s="862"/>
      <c r="Q2142" s="860"/>
      <c r="R2142" s="753">
        <f t="shared" si="285"/>
        <v>0</v>
      </c>
      <c r="S2142" s="752">
        <f t="shared" si="286"/>
        <v>0</v>
      </c>
      <c r="T2142" s="754">
        <f t="shared" si="287"/>
        <v>0</v>
      </c>
      <c r="U2142" s="859"/>
      <c r="V2142" s="863"/>
      <c r="W2142" s="859"/>
      <c r="X2142" s="859"/>
      <c r="Y2142" s="755">
        <f t="shared" si="283"/>
        <v>0</v>
      </c>
      <c r="Z2142" s="864"/>
      <c r="AA2142" s="863"/>
      <c r="AB2142" s="756">
        <f t="shared" si="284"/>
        <v>0</v>
      </c>
      <c r="AC2142" s="859"/>
      <c r="AD2142" s="863"/>
      <c r="AE2142" s="859"/>
      <c r="AF2142" s="859"/>
      <c r="AG2142" s="864"/>
      <c r="AH2142" s="865"/>
      <c r="AI2142" s="757">
        <f t="shared" si="288"/>
        <v>0</v>
      </c>
      <c r="AJ2142" s="758">
        <f t="shared" si="289"/>
        <v>0</v>
      </c>
    </row>
    <row r="2143" spans="1:36" x14ac:dyDescent="0.2">
      <c r="A2143" s="1311" t="s">
        <v>154</v>
      </c>
      <c r="B2143" s="893" t="s">
        <v>218</v>
      </c>
      <c r="C2143" s="891" t="s">
        <v>311</v>
      </c>
      <c r="D2143" s="892"/>
      <c r="E2143" s="884"/>
      <c r="F2143" s="885"/>
      <c r="G2143" s="859"/>
      <c r="H2143" s="860"/>
      <c r="I2143" s="861"/>
      <c r="J2143" s="862"/>
      <c r="K2143" s="859"/>
      <c r="L2143" s="863"/>
      <c r="M2143" s="859"/>
      <c r="N2143" s="859"/>
      <c r="O2143" s="752">
        <f t="shared" si="282"/>
        <v>0</v>
      </c>
      <c r="P2143" s="862"/>
      <c r="Q2143" s="860"/>
      <c r="R2143" s="753">
        <f t="shared" si="285"/>
        <v>0</v>
      </c>
      <c r="S2143" s="752">
        <f t="shared" si="286"/>
        <v>0</v>
      </c>
      <c r="T2143" s="754">
        <f t="shared" si="287"/>
        <v>0</v>
      </c>
      <c r="U2143" s="859"/>
      <c r="V2143" s="863"/>
      <c r="W2143" s="859"/>
      <c r="X2143" s="859"/>
      <c r="Y2143" s="755">
        <f t="shared" si="283"/>
        <v>0</v>
      </c>
      <c r="Z2143" s="864"/>
      <c r="AA2143" s="863"/>
      <c r="AB2143" s="756">
        <f t="shared" si="284"/>
        <v>0</v>
      </c>
      <c r="AC2143" s="859"/>
      <c r="AD2143" s="863"/>
      <c r="AE2143" s="859"/>
      <c r="AF2143" s="859"/>
      <c r="AG2143" s="864"/>
      <c r="AH2143" s="865"/>
      <c r="AI2143" s="757">
        <f t="shared" si="288"/>
        <v>0</v>
      </c>
      <c r="AJ2143" s="758">
        <f t="shared" si="289"/>
        <v>0</v>
      </c>
    </row>
    <row r="2144" spans="1:36" x14ac:dyDescent="0.2">
      <c r="A2144" s="1311" t="s">
        <v>154</v>
      </c>
      <c r="B2144" s="893" t="s">
        <v>251</v>
      </c>
      <c r="C2144" s="891" t="s">
        <v>249</v>
      </c>
      <c r="D2144" s="892"/>
      <c r="E2144" s="884"/>
      <c r="F2144" s="885"/>
      <c r="G2144" s="859"/>
      <c r="H2144" s="860"/>
      <c r="I2144" s="861"/>
      <c r="J2144" s="862"/>
      <c r="K2144" s="859"/>
      <c r="L2144" s="863"/>
      <c r="M2144" s="859"/>
      <c r="N2144" s="859"/>
      <c r="O2144" s="752">
        <f t="shared" si="282"/>
        <v>0</v>
      </c>
      <c r="P2144" s="862"/>
      <c r="Q2144" s="860"/>
      <c r="R2144" s="753">
        <f t="shared" si="285"/>
        <v>0</v>
      </c>
      <c r="S2144" s="752">
        <f t="shared" si="286"/>
        <v>0</v>
      </c>
      <c r="T2144" s="754">
        <f t="shared" si="287"/>
        <v>0</v>
      </c>
      <c r="U2144" s="859"/>
      <c r="V2144" s="863"/>
      <c r="W2144" s="859"/>
      <c r="X2144" s="859"/>
      <c r="Y2144" s="755">
        <f t="shared" si="283"/>
        <v>0</v>
      </c>
      <c r="Z2144" s="864"/>
      <c r="AA2144" s="863"/>
      <c r="AB2144" s="756">
        <f t="shared" si="284"/>
        <v>0</v>
      </c>
      <c r="AC2144" s="859"/>
      <c r="AD2144" s="863"/>
      <c r="AE2144" s="859"/>
      <c r="AF2144" s="859"/>
      <c r="AG2144" s="864"/>
      <c r="AH2144" s="865"/>
      <c r="AI2144" s="757">
        <f t="shared" si="288"/>
        <v>0</v>
      </c>
      <c r="AJ2144" s="758">
        <f t="shared" si="289"/>
        <v>0</v>
      </c>
    </row>
    <row r="2145" spans="1:36" x14ac:dyDescent="0.2">
      <c r="A2145" s="1311" t="s">
        <v>154</v>
      </c>
      <c r="B2145" s="893" t="s">
        <v>293</v>
      </c>
      <c r="C2145" s="889" t="s">
        <v>588</v>
      </c>
      <c r="D2145" s="882"/>
      <c r="E2145" s="884"/>
      <c r="F2145" s="885"/>
      <c r="G2145" s="859"/>
      <c r="H2145" s="860"/>
      <c r="I2145" s="861"/>
      <c r="J2145" s="862"/>
      <c r="K2145" s="859"/>
      <c r="L2145" s="863"/>
      <c r="M2145" s="859"/>
      <c r="N2145" s="859"/>
      <c r="O2145" s="752">
        <f t="shared" si="282"/>
        <v>0</v>
      </c>
      <c r="P2145" s="862"/>
      <c r="Q2145" s="860"/>
      <c r="R2145" s="753">
        <f t="shared" si="285"/>
        <v>0</v>
      </c>
      <c r="S2145" s="752">
        <f t="shared" si="286"/>
        <v>0</v>
      </c>
      <c r="T2145" s="754">
        <f t="shared" si="287"/>
        <v>0</v>
      </c>
      <c r="U2145" s="859"/>
      <c r="V2145" s="863"/>
      <c r="W2145" s="859"/>
      <c r="X2145" s="859"/>
      <c r="Y2145" s="755">
        <f t="shared" si="283"/>
        <v>0</v>
      </c>
      <c r="Z2145" s="864"/>
      <c r="AA2145" s="863"/>
      <c r="AB2145" s="756">
        <f t="shared" si="284"/>
        <v>0</v>
      </c>
      <c r="AC2145" s="859"/>
      <c r="AD2145" s="863"/>
      <c r="AE2145" s="859"/>
      <c r="AF2145" s="859"/>
      <c r="AG2145" s="864"/>
      <c r="AH2145" s="865"/>
      <c r="AI2145" s="757">
        <f t="shared" si="288"/>
        <v>0</v>
      </c>
      <c r="AJ2145" s="758">
        <f t="shared" si="289"/>
        <v>0</v>
      </c>
    </row>
    <row r="2146" spans="1:36" x14ac:dyDescent="0.2">
      <c r="A2146" s="1311" t="s">
        <v>154</v>
      </c>
      <c r="B2146" s="893" t="s">
        <v>252</v>
      </c>
      <c r="C2146" s="891" t="s">
        <v>311</v>
      </c>
      <c r="D2146" s="892"/>
      <c r="E2146" s="884"/>
      <c r="F2146" s="885"/>
      <c r="G2146" s="859"/>
      <c r="H2146" s="860"/>
      <c r="I2146" s="861"/>
      <c r="J2146" s="862"/>
      <c r="K2146" s="859"/>
      <c r="L2146" s="863"/>
      <c r="M2146" s="859"/>
      <c r="N2146" s="859"/>
      <c r="O2146" s="752">
        <f t="shared" si="282"/>
        <v>0</v>
      </c>
      <c r="P2146" s="862"/>
      <c r="Q2146" s="860"/>
      <c r="R2146" s="753">
        <f t="shared" si="285"/>
        <v>0</v>
      </c>
      <c r="S2146" s="752">
        <f t="shared" si="286"/>
        <v>0</v>
      </c>
      <c r="T2146" s="754">
        <f t="shared" si="287"/>
        <v>0</v>
      </c>
      <c r="U2146" s="859"/>
      <c r="V2146" s="863"/>
      <c r="W2146" s="859"/>
      <c r="X2146" s="859"/>
      <c r="Y2146" s="755">
        <f t="shared" si="283"/>
        <v>0</v>
      </c>
      <c r="Z2146" s="864"/>
      <c r="AA2146" s="863"/>
      <c r="AB2146" s="756">
        <f t="shared" si="284"/>
        <v>0</v>
      </c>
      <c r="AC2146" s="859"/>
      <c r="AD2146" s="863"/>
      <c r="AE2146" s="859"/>
      <c r="AF2146" s="859"/>
      <c r="AG2146" s="864"/>
      <c r="AH2146" s="865"/>
      <c r="AI2146" s="757">
        <f t="shared" si="288"/>
        <v>0</v>
      </c>
      <c r="AJ2146" s="758">
        <f t="shared" si="289"/>
        <v>0</v>
      </c>
    </row>
    <row r="2147" spans="1:36" x14ac:dyDescent="0.2">
      <c r="A2147" s="1311" t="s">
        <v>154</v>
      </c>
      <c r="B2147" s="893" t="s">
        <v>253</v>
      </c>
      <c r="C2147" s="891" t="s">
        <v>249</v>
      </c>
      <c r="D2147" s="892"/>
      <c r="E2147" s="884"/>
      <c r="F2147" s="885"/>
      <c r="G2147" s="859"/>
      <c r="H2147" s="860"/>
      <c r="I2147" s="861"/>
      <c r="J2147" s="862"/>
      <c r="K2147" s="859"/>
      <c r="L2147" s="863"/>
      <c r="M2147" s="859"/>
      <c r="N2147" s="859"/>
      <c r="O2147" s="752">
        <f t="shared" si="282"/>
        <v>0</v>
      </c>
      <c r="P2147" s="862"/>
      <c r="Q2147" s="860"/>
      <c r="R2147" s="753">
        <f t="shared" si="285"/>
        <v>0</v>
      </c>
      <c r="S2147" s="752">
        <f t="shared" si="286"/>
        <v>0</v>
      </c>
      <c r="T2147" s="754">
        <f t="shared" si="287"/>
        <v>0</v>
      </c>
      <c r="U2147" s="859"/>
      <c r="V2147" s="863"/>
      <c r="W2147" s="859"/>
      <c r="X2147" s="859"/>
      <c r="Y2147" s="755">
        <f t="shared" si="283"/>
        <v>0</v>
      </c>
      <c r="Z2147" s="864"/>
      <c r="AA2147" s="863"/>
      <c r="AB2147" s="756">
        <f t="shared" si="284"/>
        <v>0</v>
      </c>
      <c r="AC2147" s="859"/>
      <c r="AD2147" s="863"/>
      <c r="AE2147" s="859"/>
      <c r="AF2147" s="859"/>
      <c r="AG2147" s="864"/>
      <c r="AH2147" s="865"/>
      <c r="AI2147" s="757">
        <f t="shared" si="288"/>
        <v>0</v>
      </c>
      <c r="AJ2147" s="758">
        <f t="shared" si="289"/>
        <v>0</v>
      </c>
    </row>
    <row r="2148" spans="1:36" x14ac:dyDescent="0.2">
      <c r="A2148" s="843" t="s">
        <v>154</v>
      </c>
      <c r="B2148" s="893" t="s">
        <v>294</v>
      </c>
      <c r="C2148" s="889" t="s">
        <v>591</v>
      </c>
      <c r="D2148" s="882"/>
      <c r="E2148" s="884"/>
      <c r="F2148" s="885"/>
      <c r="G2148" s="859"/>
      <c r="H2148" s="860"/>
      <c r="I2148" s="861"/>
      <c r="J2148" s="862"/>
      <c r="K2148" s="859"/>
      <c r="L2148" s="863"/>
      <c r="M2148" s="859"/>
      <c r="N2148" s="859"/>
      <c r="O2148" s="752">
        <f t="shared" si="282"/>
        <v>0</v>
      </c>
      <c r="P2148" s="862"/>
      <c r="Q2148" s="860"/>
      <c r="R2148" s="753">
        <f t="shared" si="285"/>
        <v>0</v>
      </c>
      <c r="S2148" s="752">
        <f t="shared" si="286"/>
        <v>0</v>
      </c>
      <c r="T2148" s="754">
        <f t="shared" si="287"/>
        <v>0</v>
      </c>
      <c r="U2148" s="859"/>
      <c r="V2148" s="863"/>
      <c r="W2148" s="859"/>
      <c r="X2148" s="859"/>
      <c r="Y2148" s="755">
        <f t="shared" si="283"/>
        <v>0</v>
      </c>
      <c r="Z2148" s="864"/>
      <c r="AA2148" s="863"/>
      <c r="AB2148" s="756">
        <f t="shared" si="284"/>
        <v>0</v>
      </c>
      <c r="AC2148" s="859"/>
      <c r="AD2148" s="863"/>
      <c r="AE2148" s="859"/>
      <c r="AF2148" s="859"/>
      <c r="AG2148" s="864"/>
      <c r="AH2148" s="865"/>
      <c r="AI2148" s="757">
        <f t="shared" si="288"/>
        <v>0</v>
      </c>
      <c r="AJ2148" s="758">
        <f t="shared" si="289"/>
        <v>0</v>
      </c>
    </row>
    <row r="2149" spans="1:36" x14ac:dyDescent="0.2">
      <c r="A2149" s="843" t="s">
        <v>154</v>
      </c>
      <c r="B2149" s="893" t="s">
        <v>294</v>
      </c>
      <c r="C2149" s="890" t="s">
        <v>1411</v>
      </c>
      <c r="D2149" s="845"/>
      <c r="E2149" s="884"/>
      <c r="F2149" s="885"/>
      <c r="G2149" s="859"/>
      <c r="H2149" s="860"/>
      <c r="I2149" s="861"/>
      <c r="J2149" s="862"/>
      <c r="K2149" s="859"/>
      <c r="L2149" s="863"/>
      <c r="M2149" s="859"/>
      <c r="N2149" s="859"/>
      <c r="O2149" s="752">
        <f t="shared" si="282"/>
        <v>0</v>
      </c>
      <c r="P2149" s="862"/>
      <c r="Q2149" s="860"/>
      <c r="R2149" s="753">
        <f t="shared" si="285"/>
        <v>0</v>
      </c>
      <c r="S2149" s="752">
        <f t="shared" si="286"/>
        <v>0</v>
      </c>
      <c r="T2149" s="754">
        <f t="shared" si="287"/>
        <v>0</v>
      </c>
      <c r="U2149" s="859">
        <v>3406848</v>
      </c>
      <c r="V2149" s="863">
        <v>3406848</v>
      </c>
      <c r="W2149" s="859"/>
      <c r="X2149" s="859"/>
      <c r="Y2149" s="755">
        <f t="shared" si="283"/>
        <v>0</v>
      </c>
      <c r="Z2149" s="864"/>
      <c r="AA2149" s="863"/>
      <c r="AB2149" s="756">
        <f t="shared" si="284"/>
        <v>0</v>
      </c>
      <c r="AC2149" s="859"/>
      <c r="AD2149" s="863"/>
      <c r="AE2149" s="859"/>
      <c r="AF2149" s="859"/>
      <c r="AG2149" s="864"/>
      <c r="AH2149" s="865"/>
      <c r="AI2149" s="757">
        <f t="shared" si="288"/>
        <v>3406848</v>
      </c>
      <c r="AJ2149" s="758">
        <f t="shared" si="289"/>
        <v>3406848</v>
      </c>
    </row>
    <row r="2150" spans="1:36" x14ac:dyDescent="0.2">
      <c r="A2150" s="1311" t="s">
        <v>154</v>
      </c>
      <c r="B2150" s="893" t="s">
        <v>254</v>
      </c>
      <c r="C2150" s="891" t="s">
        <v>311</v>
      </c>
      <c r="D2150" s="892"/>
      <c r="E2150" s="884"/>
      <c r="F2150" s="885"/>
      <c r="G2150" s="859"/>
      <c r="H2150" s="860"/>
      <c r="I2150" s="861"/>
      <c r="J2150" s="862"/>
      <c r="K2150" s="859"/>
      <c r="L2150" s="863"/>
      <c r="M2150" s="859"/>
      <c r="N2150" s="859"/>
      <c r="O2150" s="752">
        <f t="shared" si="282"/>
        <v>0</v>
      </c>
      <c r="P2150" s="862"/>
      <c r="Q2150" s="860"/>
      <c r="R2150" s="753">
        <f t="shared" si="285"/>
        <v>0</v>
      </c>
      <c r="S2150" s="752">
        <f t="shared" si="286"/>
        <v>0</v>
      </c>
      <c r="T2150" s="754">
        <f t="shared" si="287"/>
        <v>0</v>
      </c>
      <c r="U2150" s="859"/>
      <c r="V2150" s="863"/>
      <c r="W2150" s="859"/>
      <c r="X2150" s="859"/>
      <c r="Y2150" s="755">
        <f t="shared" si="283"/>
        <v>0</v>
      </c>
      <c r="Z2150" s="864"/>
      <c r="AA2150" s="863"/>
      <c r="AB2150" s="756">
        <f t="shared" si="284"/>
        <v>0</v>
      </c>
      <c r="AC2150" s="859"/>
      <c r="AD2150" s="863"/>
      <c r="AE2150" s="859"/>
      <c r="AF2150" s="859"/>
      <c r="AG2150" s="864"/>
      <c r="AH2150" s="865"/>
      <c r="AI2150" s="757">
        <f t="shared" si="288"/>
        <v>0</v>
      </c>
      <c r="AJ2150" s="758">
        <f t="shared" si="289"/>
        <v>0</v>
      </c>
    </row>
    <row r="2151" spans="1:36" x14ac:dyDescent="0.2">
      <c r="A2151" s="1311" t="s">
        <v>154</v>
      </c>
      <c r="B2151" s="893" t="s">
        <v>255</v>
      </c>
      <c r="C2151" s="891" t="s">
        <v>249</v>
      </c>
      <c r="D2151" s="892"/>
      <c r="E2151" s="884"/>
      <c r="F2151" s="885"/>
      <c r="G2151" s="859"/>
      <c r="H2151" s="860"/>
      <c r="I2151" s="861"/>
      <c r="J2151" s="862"/>
      <c r="K2151" s="859"/>
      <c r="L2151" s="863"/>
      <c r="M2151" s="859"/>
      <c r="N2151" s="859"/>
      <c r="O2151" s="752">
        <f t="shared" si="282"/>
        <v>0</v>
      </c>
      <c r="P2151" s="862"/>
      <c r="Q2151" s="860"/>
      <c r="R2151" s="753">
        <f t="shared" si="285"/>
        <v>0</v>
      </c>
      <c r="S2151" s="752">
        <f t="shared" si="286"/>
        <v>0</v>
      </c>
      <c r="T2151" s="754">
        <f t="shared" si="287"/>
        <v>0</v>
      </c>
      <c r="U2151" s="859"/>
      <c r="V2151" s="863"/>
      <c r="W2151" s="859"/>
      <c r="X2151" s="859"/>
      <c r="Y2151" s="755">
        <f t="shared" si="283"/>
        <v>0</v>
      </c>
      <c r="Z2151" s="864"/>
      <c r="AA2151" s="863"/>
      <c r="AB2151" s="756">
        <f t="shared" si="284"/>
        <v>0</v>
      </c>
      <c r="AC2151" s="859"/>
      <c r="AD2151" s="863"/>
      <c r="AE2151" s="859"/>
      <c r="AF2151" s="859"/>
      <c r="AG2151" s="864"/>
      <c r="AH2151" s="865"/>
      <c r="AI2151" s="757">
        <f t="shared" si="288"/>
        <v>0</v>
      </c>
      <c r="AJ2151" s="758">
        <f t="shared" si="289"/>
        <v>0</v>
      </c>
    </row>
    <row r="2152" spans="1:36" x14ac:dyDescent="0.2">
      <c r="A2152" s="1164" t="s">
        <v>154</v>
      </c>
      <c r="B2152" s="1464" t="s">
        <v>264</v>
      </c>
      <c r="C2152" s="1465" t="s">
        <v>1836</v>
      </c>
      <c r="D2152" s="1466"/>
      <c r="E2152" s="1164">
        <v>365374</v>
      </c>
      <c r="F2152" s="910">
        <v>12</v>
      </c>
      <c r="G2152" s="859">
        <v>4156502</v>
      </c>
      <c r="H2152" s="860">
        <v>4347856</v>
      </c>
      <c r="I2152" s="861"/>
      <c r="J2152" s="862"/>
      <c r="K2152" s="859"/>
      <c r="L2152" s="863"/>
      <c r="M2152" s="859">
        <v>1283331</v>
      </c>
      <c r="N2152" s="859"/>
      <c r="O2152" s="752">
        <f t="shared" si="282"/>
        <v>1283331</v>
      </c>
      <c r="P2152" s="862">
        <v>991436</v>
      </c>
      <c r="Q2152" s="860"/>
      <c r="R2152" s="753">
        <f t="shared" si="285"/>
        <v>991436</v>
      </c>
      <c r="S2152" s="752">
        <f t="shared" si="286"/>
        <v>5439833</v>
      </c>
      <c r="T2152" s="754">
        <f t="shared" si="287"/>
        <v>5339292</v>
      </c>
      <c r="U2152" s="859"/>
      <c r="V2152" s="863"/>
      <c r="W2152" s="859"/>
      <c r="X2152" s="859"/>
      <c r="Y2152" s="755">
        <f t="shared" si="283"/>
        <v>0</v>
      </c>
      <c r="Z2152" s="864"/>
      <c r="AA2152" s="863"/>
      <c r="AB2152" s="756">
        <f t="shared" si="284"/>
        <v>0</v>
      </c>
      <c r="AC2152" s="859"/>
      <c r="AD2152" s="863"/>
      <c r="AE2152" s="859"/>
      <c r="AF2152" s="859"/>
      <c r="AG2152" s="864"/>
      <c r="AH2152" s="865"/>
      <c r="AI2152" s="757">
        <f t="shared" si="288"/>
        <v>5439833</v>
      </c>
      <c r="AJ2152" s="758">
        <f t="shared" si="289"/>
        <v>5339292</v>
      </c>
    </row>
    <row r="2153" spans="1:36" x14ac:dyDescent="0.2">
      <c r="A2153" s="1164" t="s">
        <v>154</v>
      </c>
      <c r="B2153" s="1464" t="s">
        <v>264</v>
      </c>
      <c r="C2153" s="1160" t="s">
        <v>1837</v>
      </c>
      <c r="D2153" s="1161"/>
      <c r="E2153" s="1164">
        <v>245999</v>
      </c>
      <c r="F2153" s="910">
        <v>12</v>
      </c>
      <c r="G2153" s="859">
        <v>4735883</v>
      </c>
      <c r="H2153" s="860">
        <v>4428261</v>
      </c>
      <c r="I2153" s="861"/>
      <c r="J2153" s="862"/>
      <c r="K2153" s="859"/>
      <c r="L2153" s="863"/>
      <c r="M2153" s="859">
        <v>2507071</v>
      </c>
      <c r="N2153" s="859"/>
      <c r="O2153" s="752">
        <f t="shared" si="282"/>
        <v>2507071</v>
      </c>
      <c r="P2153" s="862">
        <v>2455235</v>
      </c>
      <c r="Q2153" s="860"/>
      <c r="R2153" s="753">
        <f t="shared" si="285"/>
        <v>2455235</v>
      </c>
      <c r="S2153" s="752">
        <f t="shared" si="286"/>
        <v>7242954</v>
      </c>
      <c r="T2153" s="754">
        <f t="shared" si="287"/>
        <v>6883496</v>
      </c>
      <c r="U2153" s="859"/>
      <c r="V2153" s="863"/>
      <c r="W2153" s="859"/>
      <c r="X2153" s="859"/>
      <c r="Y2153" s="755">
        <f t="shared" si="283"/>
        <v>0</v>
      </c>
      <c r="Z2153" s="864"/>
      <c r="AA2153" s="863"/>
      <c r="AB2153" s="756">
        <f t="shared" si="284"/>
        <v>0</v>
      </c>
      <c r="AC2153" s="859"/>
      <c r="AD2153" s="863"/>
      <c r="AE2153" s="859"/>
      <c r="AF2153" s="859"/>
      <c r="AG2153" s="864"/>
      <c r="AH2153" s="865"/>
      <c r="AI2153" s="757">
        <f t="shared" si="288"/>
        <v>7242954</v>
      </c>
      <c r="AJ2153" s="758">
        <f t="shared" si="289"/>
        <v>6883496</v>
      </c>
    </row>
    <row r="2154" spans="1:36" x14ac:dyDescent="0.2">
      <c r="A2154" s="1164" t="s">
        <v>154</v>
      </c>
      <c r="B2154" s="1464" t="s">
        <v>264</v>
      </c>
      <c r="C2154" s="1160" t="s">
        <v>1838</v>
      </c>
      <c r="D2154" s="1161"/>
      <c r="E2154" s="1164">
        <v>363165</v>
      </c>
      <c r="F2154" s="910">
        <v>12</v>
      </c>
      <c r="G2154" s="859">
        <v>5388476</v>
      </c>
      <c r="H2154" s="860">
        <v>5154631</v>
      </c>
      <c r="I2154" s="861"/>
      <c r="J2154" s="862"/>
      <c r="K2154" s="859"/>
      <c r="L2154" s="863"/>
      <c r="M2154" s="859">
        <v>2796736</v>
      </c>
      <c r="N2154" s="859"/>
      <c r="O2154" s="752">
        <f t="shared" si="282"/>
        <v>2796736</v>
      </c>
      <c r="P2154" s="862">
        <v>1741551</v>
      </c>
      <c r="Q2154" s="860"/>
      <c r="R2154" s="753">
        <f t="shared" si="285"/>
        <v>1741551</v>
      </c>
      <c r="S2154" s="752">
        <f t="shared" si="286"/>
        <v>8185212</v>
      </c>
      <c r="T2154" s="754">
        <f t="shared" si="287"/>
        <v>6896182</v>
      </c>
      <c r="U2154" s="859"/>
      <c r="V2154" s="863"/>
      <c r="W2154" s="859"/>
      <c r="X2154" s="859"/>
      <c r="Y2154" s="755">
        <f t="shared" si="283"/>
        <v>0</v>
      </c>
      <c r="Z2154" s="864"/>
      <c r="AA2154" s="863"/>
      <c r="AB2154" s="756">
        <f t="shared" si="284"/>
        <v>0</v>
      </c>
      <c r="AC2154" s="859"/>
      <c r="AD2154" s="863"/>
      <c r="AE2154" s="859"/>
      <c r="AF2154" s="859"/>
      <c r="AG2154" s="864"/>
      <c r="AH2154" s="865"/>
      <c r="AI2154" s="757">
        <f t="shared" si="288"/>
        <v>8185212</v>
      </c>
      <c r="AJ2154" s="758">
        <f t="shared" si="289"/>
        <v>6896182</v>
      </c>
    </row>
    <row r="2155" spans="1:36" x14ac:dyDescent="0.2">
      <c r="A2155" s="1164" t="s">
        <v>154</v>
      </c>
      <c r="B2155" s="1464" t="s">
        <v>264</v>
      </c>
      <c r="C2155" s="1160" t="s">
        <v>1839</v>
      </c>
      <c r="D2155" s="1161"/>
      <c r="E2155" s="1164">
        <v>365213</v>
      </c>
      <c r="F2155" s="910">
        <v>13</v>
      </c>
      <c r="G2155" s="859">
        <v>3848333</v>
      </c>
      <c r="H2155" s="860">
        <v>3832632</v>
      </c>
      <c r="I2155" s="861"/>
      <c r="J2155" s="862"/>
      <c r="K2155" s="859"/>
      <c r="L2155" s="863"/>
      <c r="M2155" s="859">
        <v>995271</v>
      </c>
      <c r="N2155" s="859"/>
      <c r="O2155" s="752">
        <f t="shared" si="282"/>
        <v>995271</v>
      </c>
      <c r="P2155" s="862">
        <v>953042</v>
      </c>
      <c r="Q2155" s="860"/>
      <c r="R2155" s="753">
        <f t="shared" si="285"/>
        <v>953042</v>
      </c>
      <c r="S2155" s="752">
        <f t="shared" si="286"/>
        <v>4843604</v>
      </c>
      <c r="T2155" s="754">
        <f t="shared" si="287"/>
        <v>4785674</v>
      </c>
      <c r="U2155" s="859"/>
      <c r="V2155" s="863"/>
      <c r="W2155" s="859"/>
      <c r="X2155" s="859"/>
      <c r="Y2155" s="755">
        <f t="shared" si="283"/>
        <v>0</v>
      </c>
      <c r="Z2155" s="864"/>
      <c r="AA2155" s="863"/>
      <c r="AB2155" s="756">
        <f t="shared" si="284"/>
        <v>0</v>
      </c>
      <c r="AC2155" s="859"/>
      <c r="AD2155" s="863"/>
      <c r="AE2155" s="859"/>
      <c r="AF2155" s="859"/>
      <c r="AG2155" s="864"/>
      <c r="AH2155" s="865"/>
      <c r="AI2155" s="757">
        <f t="shared" si="288"/>
        <v>4843604</v>
      </c>
      <c r="AJ2155" s="758">
        <f t="shared" si="289"/>
        <v>4785674</v>
      </c>
    </row>
    <row r="2156" spans="1:36" x14ac:dyDescent="0.2">
      <c r="A2156" s="1164" t="s">
        <v>154</v>
      </c>
      <c r="B2156" s="1464" t="s">
        <v>264</v>
      </c>
      <c r="C2156" s="1160" t="s">
        <v>1840</v>
      </c>
      <c r="D2156" s="1161"/>
      <c r="E2156" s="1164">
        <v>364946</v>
      </c>
      <c r="F2156" s="910">
        <v>13</v>
      </c>
      <c r="G2156" s="859">
        <v>4820629</v>
      </c>
      <c r="H2156" s="860">
        <v>4674634</v>
      </c>
      <c r="I2156" s="861"/>
      <c r="J2156" s="862"/>
      <c r="K2156" s="859"/>
      <c r="L2156" s="863"/>
      <c r="M2156" s="859">
        <v>764783</v>
      </c>
      <c r="N2156" s="859"/>
      <c r="O2156" s="752">
        <f t="shared" si="282"/>
        <v>764783</v>
      </c>
      <c r="P2156" s="862">
        <v>850892</v>
      </c>
      <c r="Q2156" s="860"/>
      <c r="R2156" s="753">
        <f t="shared" si="285"/>
        <v>850892</v>
      </c>
      <c r="S2156" s="752">
        <f t="shared" si="286"/>
        <v>5585412</v>
      </c>
      <c r="T2156" s="754">
        <f t="shared" si="287"/>
        <v>5525526</v>
      </c>
      <c r="U2156" s="859"/>
      <c r="V2156" s="863"/>
      <c r="W2156" s="859"/>
      <c r="X2156" s="859"/>
      <c r="Y2156" s="755">
        <f t="shared" si="283"/>
        <v>0</v>
      </c>
      <c r="Z2156" s="864"/>
      <c r="AA2156" s="863"/>
      <c r="AB2156" s="756">
        <f t="shared" si="284"/>
        <v>0</v>
      </c>
      <c r="AC2156" s="859"/>
      <c r="AD2156" s="863"/>
      <c r="AE2156" s="859"/>
      <c r="AF2156" s="859"/>
      <c r="AG2156" s="864"/>
      <c r="AH2156" s="865"/>
      <c r="AI2156" s="757">
        <f t="shared" si="288"/>
        <v>5585412</v>
      </c>
      <c r="AJ2156" s="758">
        <f t="shared" si="289"/>
        <v>5525526</v>
      </c>
    </row>
    <row r="2157" spans="1:36" x14ac:dyDescent="0.2">
      <c r="A2157" s="1164" t="s">
        <v>154</v>
      </c>
      <c r="B2157" s="1464" t="s">
        <v>264</v>
      </c>
      <c r="C2157" s="1160" t="s">
        <v>1841</v>
      </c>
      <c r="D2157" s="1161"/>
      <c r="E2157" s="1164">
        <v>246017</v>
      </c>
      <c r="F2157" s="910">
        <v>13</v>
      </c>
      <c r="G2157" s="859">
        <v>5804300</v>
      </c>
      <c r="H2157" s="860">
        <v>5797180</v>
      </c>
      <c r="I2157" s="861"/>
      <c r="J2157" s="862"/>
      <c r="K2157" s="859"/>
      <c r="L2157" s="863"/>
      <c r="M2157" s="859">
        <v>1683253</v>
      </c>
      <c r="N2157" s="859"/>
      <c r="O2157" s="752">
        <f t="shared" si="282"/>
        <v>1683253</v>
      </c>
      <c r="P2157" s="862">
        <v>1659202</v>
      </c>
      <c r="Q2157" s="860"/>
      <c r="R2157" s="753">
        <f t="shared" si="285"/>
        <v>1659202</v>
      </c>
      <c r="S2157" s="752">
        <f t="shared" si="286"/>
        <v>7487553</v>
      </c>
      <c r="T2157" s="754">
        <f t="shared" si="287"/>
        <v>7456382</v>
      </c>
      <c r="U2157" s="859"/>
      <c r="V2157" s="863"/>
      <c r="W2157" s="859"/>
      <c r="X2157" s="859"/>
      <c r="Y2157" s="755">
        <f t="shared" si="283"/>
        <v>0</v>
      </c>
      <c r="Z2157" s="864"/>
      <c r="AA2157" s="863"/>
      <c r="AB2157" s="756">
        <f t="shared" si="284"/>
        <v>0</v>
      </c>
      <c r="AC2157" s="859"/>
      <c r="AD2157" s="863"/>
      <c r="AE2157" s="859"/>
      <c r="AF2157" s="859"/>
      <c r="AG2157" s="864"/>
      <c r="AH2157" s="865"/>
      <c r="AI2157" s="757">
        <f t="shared" si="288"/>
        <v>7487553</v>
      </c>
      <c r="AJ2157" s="758">
        <f t="shared" si="289"/>
        <v>7456382</v>
      </c>
    </row>
    <row r="2158" spans="1:36" x14ac:dyDescent="0.2">
      <c r="A2158" s="1164" t="s">
        <v>154</v>
      </c>
      <c r="B2158" s="1464" t="s">
        <v>264</v>
      </c>
      <c r="C2158" s="1160" t="s">
        <v>1842</v>
      </c>
      <c r="D2158" s="1161"/>
      <c r="E2158" s="1164">
        <v>375656</v>
      </c>
      <c r="F2158" s="910">
        <v>13</v>
      </c>
      <c r="G2158" s="859">
        <v>1285144</v>
      </c>
      <c r="H2158" s="860">
        <v>1357976</v>
      </c>
      <c r="I2158" s="861"/>
      <c r="J2158" s="862"/>
      <c r="K2158" s="859"/>
      <c r="L2158" s="863"/>
      <c r="M2158" s="859">
        <v>65500</v>
      </c>
      <c r="N2158" s="859"/>
      <c r="O2158" s="752">
        <f t="shared" si="282"/>
        <v>65500</v>
      </c>
      <c r="P2158" s="862">
        <v>298073</v>
      </c>
      <c r="Q2158" s="860"/>
      <c r="R2158" s="753">
        <f t="shared" si="285"/>
        <v>298073</v>
      </c>
      <c r="S2158" s="752">
        <f t="shared" si="286"/>
        <v>1350644</v>
      </c>
      <c r="T2158" s="754">
        <f t="shared" si="287"/>
        <v>1656049</v>
      </c>
      <c r="U2158" s="859"/>
      <c r="V2158" s="863"/>
      <c r="W2158" s="859"/>
      <c r="X2158" s="859"/>
      <c r="Y2158" s="755">
        <f t="shared" si="283"/>
        <v>0</v>
      </c>
      <c r="Z2158" s="864"/>
      <c r="AA2158" s="863"/>
      <c r="AB2158" s="756">
        <f t="shared" si="284"/>
        <v>0</v>
      </c>
      <c r="AC2158" s="859"/>
      <c r="AD2158" s="863"/>
      <c r="AE2158" s="859"/>
      <c r="AF2158" s="859"/>
      <c r="AG2158" s="864"/>
      <c r="AH2158" s="865"/>
      <c r="AI2158" s="757">
        <f t="shared" si="288"/>
        <v>1350644</v>
      </c>
      <c r="AJ2158" s="758">
        <f t="shared" si="289"/>
        <v>1656049</v>
      </c>
    </row>
    <row r="2159" spans="1:36" x14ac:dyDescent="0.2">
      <c r="A2159" s="1164" t="s">
        <v>154</v>
      </c>
      <c r="B2159" s="1464" t="s">
        <v>264</v>
      </c>
      <c r="C2159" s="1160" t="s">
        <v>1843</v>
      </c>
      <c r="D2159" s="1161"/>
      <c r="E2159" s="1164">
        <v>418348</v>
      </c>
      <c r="F2159" s="910">
        <v>13</v>
      </c>
      <c r="G2159" s="859">
        <v>2172107</v>
      </c>
      <c r="H2159" s="860">
        <v>1972465</v>
      </c>
      <c r="I2159" s="861"/>
      <c r="J2159" s="862"/>
      <c r="K2159" s="859"/>
      <c r="L2159" s="863"/>
      <c r="M2159" s="859">
        <v>336043</v>
      </c>
      <c r="N2159" s="859"/>
      <c r="O2159" s="752">
        <f t="shared" si="282"/>
        <v>336043</v>
      </c>
      <c r="P2159" s="862">
        <v>314467</v>
      </c>
      <c r="Q2159" s="860"/>
      <c r="R2159" s="753">
        <f t="shared" si="285"/>
        <v>314467</v>
      </c>
      <c r="S2159" s="752">
        <f t="shared" si="286"/>
        <v>2508150</v>
      </c>
      <c r="T2159" s="754">
        <f t="shared" si="287"/>
        <v>2286932</v>
      </c>
      <c r="U2159" s="859"/>
      <c r="V2159" s="863"/>
      <c r="W2159" s="859"/>
      <c r="X2159" s="859"/>
      <c r="Y2159" s="755">
        <f t="shared" si="283"/>
        <v>0</v>
      </c>
      <c r="Z2159" s="864"/>
      <c r="AA2159" s="863"/>
      <c r="AB2159" s="756">
        <f t="shared" si="284"/>
        <v>0</v>
      </c>
      <c r="AC2159" s="859"/>
      <c r="AD2159" s="863"/>
      <c r="AE2159" s="859"/>
      <c r="AF2159" s="859"/>
      <c r="AG2159" s="864"/>
      <c r="AH2159" s="865"/>
      <c r="AI2159" s="757">
        <f t="shared" si="288"/>
        <v>2508150</v>
      </c>
      <c r="AJ2159" s="758">
        <f t="shared" si="289"/>
        <v>2286932</v>
      </c>
    </row>
    <row r="2160" spans="1:36" x14ac:dyDescent="0.2">
      <c r="A2160" s="1164" t="s">
        <v>154</v>
      </c>
      <c r="B2160" s="1464" t="s">
        <v>264</v>
      </c>
      <c r="C2160" s="1160" t="s">
        <v>1844</v>
      </c>
      <c r="D2160" s="1161"/>
      <c r="E2160" s="1164">
        <v>375683</v>
      </c>
      <c r="F2160" s="910">
        <v>13</v>
      </c>
      <c r="G2160" s="859">
        <v>3606109</v>
      </c>
      <c r="H2160" s="860">
        <v>3792370</v>
      </c>
      <c r="I2160" s="861"/>
      <c r="J2160" s="862"/>
      <c r="K2160" s="859"/>
      <c r="L2160" s="863"/>
      <c r="M2160" s="859">
        <v>689083</v>
      </c>
      <c r="N2160" s="859"/>
      <c r="O2160" s="752">
        <f t="shared" si="282"/>
        <v>689083</v>
      </c>
      <c r="P2160" s="862">
        <v>620230</v>
      </c>
      <c r="Q2160" s="860"/>
      <c r="R2160" s="753">
        <f t="shared" si="285"/>
        <v>620230</v>
      </c>
      <c r="S2160" s="752">
        <f t="shared" si="286"/>
        <v>4295192</v>
      </c>
      <c r="T2160" s="754">
        <f t="shared" si="287"/>
        <v>4412600</v>
      </c>
      <c r="U2160" s="859"/>
      <c r="V2160" s="863"/>
      <c r="W2160" s="859"/>
      <c r="X2160" s="859"/>
      <c r="Y2160" s="755">
        <f t="shared" si="283"/>
        <v>0</v>
      </c>
      <c r="Z2160" s="864"/>
      <c r="AA2160" s="863"/>
      <c r="AB2160" s="756">
        <f t="shared" si="284"/>
        <v>0</v>
      </c>
      <c r="AC2160" s="859"/>
      <c r="AD2160" s="863"/>
      <c r="AE2160" s="859"/>
      <c r="AF2160" s="859"/>
      <c r="AG2160" s="864"/>
      <c r="AH2160" s="865"/>
      <c r="AI2160" s="757">
        <f t="shared" si="288"/>
        <v>4295192</v>
      </c>
      <c r="AJ2160" s="758">
        <f t="shared" si="289"/>
        <v>4412600</v>
      </c>
    </row>
    <row r="2161" spans="1:36" x14ac:dyDescent="0.2">
      <c r="A2161" s="1164" t="s">
        <v>154</v>
      </c>
      <c r="B2161" s="1464" t="s">
        <v>264</v>
      </c>
      <c r="C2161" s="1160" t="s">
        <v>1845</v>
      </c>
      <c r="D2161" s="1166"/>
      <c r="E2161" s="1467">
        <v>364548</v>
      </c>
      <c r="F2161" s="910">
        <v>13</v>
      </c>
      <c r="G2161" s="859">
        <v>6569877</v>
      </c>
      <c r="H2161" s="860">
        <v>6475133</v>
      </c>
      <c r="I2161" s="861"/>
      <c r="J2161" s="862"/>
      <c r="K2161" s="859"/>
      <c r="L2161" s="863"/>
      <c r="M2161" s="859">
        <v>1806891</v>
      </c>
      <c r="N2161" s="859"/>
      <c r="O2161" s="752">
        <f t="shared" si="282"/>
        <v>1806891</v>
      </c>
      <c r="P2161" s="862">
        <v>1753061</v>
      </c>
      <c r="Q2161" s="860"/>
      <c r="R2161" s="753">
        <f t="shared" si="285"/>
        <v>1753061</v>
      </c>
      <c r="S2161" s="752">
        <f t="shared" si="286"/>
        <v>8376768</v>
      </c>
      <c r="T2161" s="754">
        <f t="shared" si="287"/>
        <v>8228194</v>
      </c>
      <c r="U2161" s="859"/>
      <c r="V2161" s="863"/>
      <c r="W2161" s="859"/>
      <c r="X2161" s="859"/>
      <c r="Y2161" s="755">
        <f t="shared" si="283"/>
        <v>0</v>
      </c>
      <c r="Z2161" s="864"/>
      <c r="AA2161" s="863"/>
      <c r="AB2161" s="756">
        <f t="shared" si="284"/>
        <v>0</v>
      </c>
      <c r="AC2161" s="859"/>
      <c r="AD2161" s="863"/>
      <c r="AE2161" s="859"/>
      <c r="AF2161" s="859"/>
      <c r="AG2161" s="864"/>
      <c r="AH2161" s="865"/>
      <c r="AI2161" s="757">
        <f t="shared" si="288"/>
        <v>8376768</v>
      </c>
      <c r="AJ2161" s="758">
        <f t="shared" si="289"/>
        <v>8228194</v>
      </c>
    </row>
    <row r="2162" spans="1:36" x14ac:dyDescent="0.2">
      <c r="A2162" s="1164" t="s">
        <v>154</v>
      </c>
      <c r="B2162" s="1464" t="s">
        <v>264</v>
      </c>
      <c r="C2162" s="1160" t="s">
        <v>1846</v>
      </c>
      <c r="D2162" s="1161"/>
      <c r="E2162" s="1164">
        <v>428019</v>
      </c>
      <c r="F2162" s="910">
        <v>13</v>
      </c>
      <c r="G2162" s="859">
        <v>1345953</v>
      </c>
      <c r="H2162" s="860">
        <v>1560110</v>
      </c>
      <c r="I2162" s="861"/>
      <c r="J2162" s="862"/>
      <c r="K2162" s="859"/>
      <c r="L2162" s="863"/>
      <c r="M2162" s="859">
        <v>260882</v>
      </c>
      <c r="N2162" s="859"/>
      <c r="O2162" s="752">
        <f t="shared" si="282"/>
        <v>260882</v>
      </c>
      <c r="P2162" s="862">
        <v>310640</v>
      </c>
      <c r="Q2162" s="860"/>
      <c r="R2162" s="753">
        <f t="shared" si="285"/>
        <v>310640</v>
      </c>
      <c r="S2162" s="752">
        <f t="shared" si="286"/>
        <v>1606835</v>
      </c>
      <c r="T2162" s="754">
        <f t="shared" si="287"/>
        <v>1870750</v>
      </c>
      <c r="U2162" s="859"/>
      <c r="V2162" s="863"/>
      <c r="W2162" s="859"/>
      <c r="X2162" s="859"/>
      <c r="Y2162" s="755">
        <f t="shared" si="283"/>
        <v>0</v>
      </c>
      <c r="Z2162" s="864"/>
      <c r="AA2162" s="863"/>
      <c r="AB2162" s="756">
        <f t="shared" si="284"/>
        <v>0</v>
      </c>
      <c r="AC2162" s="859"/>
      <c r="AD2162" s="863"/>
      <c r="AE2162" s="859"/>
      <c r="AF2162" s="859"/>
      <c r="AG2162" s="864"/>
      <c r="AH2162" s="865"/>
      <c r="AI2162" s="757">
        <f t="shared" si="288"/>
        <v>1606835</v>
      </c>
      <c r="AJ2162" s="758">
        <f t="shared" si="289"/>
        <v>1870750</v>
      </c>
    </row>
    <row r="2163" spans="1:36" x14ac:dyDescent="0.2">
      <c r="A2163" s="1164" t="s">
        <v>154</v>
      </c>
      <c r="B2163" s="1464" t="s">
        <v>264</v>
      </c>
      <c r="C2163" s="1160" t="s">
        <v>1847</v>
      </c>
      <c r="D2163" s="1161"/>
      <c r="E2163" s="1164">
        <v>208053</v>
      </c>
      <c r="F2163" s="910">
        <v>13</v>
      </c>
      <c r="G2163" s="859">
        <v>1940409</v>
      </c>
      <c r="H2163" s="860">
        <v>1900769</v>
      </c>
      <c r="I2163" s="861"/>
      <c r="J2163" s="862"/>
      <c r="K2163" s="859"/>
      <c r="L2163" s="863"/>
      <c r="M2163" s="859">
        <v>222096</v>
      </c>
      <c r="N2163" s="859"/>
      <c r="O2163" s="752">
        <f t="shared" si="282"/>
        <v>222096</v>
      </c>
      <c r="P2163" s="862">
        <v>298208</v>
      </c>
      <c r="Q2163" s="860"/>
      <c r="R2163" s="753">
        <f t="shared" si="285"/>
        <v>298208</v>
      </c>
      <c r="S2163" s="752">
        <f t="shared" si="286"/>
        <v>2162505</v>
      </c>
      <c r="T2163" s="754">
        <f t="shared" si="287"/>
        <v>2198977</v>
      </c>
      <c r="U2163" s="859"/>
      <c r="V2163" s="863"/>
      <c r="W2163" s="859"/>
      <c r="X2163" s="859"/>
      <c r="Y2163" s="755">
        <f t="shared" si="283"/>
        <v>0</v>
      </c>
      <c r="Z2163" s="864"/>
      <c r="AA2163" s="863"/>
      <c r="AB2163" s="756">
        <f t="shared" si="284"/>
        <v>0</v>
      </c>
      <c r="AC2163" s="859"/>
      <c r="AD2163" s="863"/>
      <c r="AE2163" s="859"/>
      <c r="AF2163" s="859"/>
      <c r="AG2163" s="864"/>
      <c r="AH2163" s="865"/>
      <c r="AI2163" s="757">
        <f t="shared" si="288"/>
        <v>2162505</v>
      </c>
      <c r="AJ2163" s="758">
        <f t="shared" si="289"/>
        <v>2198977</v>
      </c>
    </row>
    <row r="2164" spans="1:36" x14ac:dyDescent="0.2">
      <c r="A2164" s="1164" t="s">
        <v>154</v>
      </c>
      <c r="B2164" s="1464" t="s">
        <v>264</v>
      </c>
      <c r="C2164" s="1468" t="s">
        <v>1848</v>
      </c>
      <c r="D2164" s="1469"/>
      <c r="E2164" s="1164">
        <v>418296</v>
      </c>
      <c r="F2164" s="910">
        <v>13</v>
      </c>
      <c r="G2164" s="859"/>
      <c r="H2164" s="860"/>
      <c r="I2164" s="861"/>
      <c r="J2164" s="862"/>
      <c r="K2164" s="859"/>
      <c r="L2164" s="863"/>
      <c r="M2164" s="859"/>
      <c r="N2164" s="859"/>
      <c r="O2164" s="752">
        <f t="shared" si="282"/>
        <v>0</v>
      </c>
      <c r="P2164" s="862"/>
      <c r="Q2164" s="860"/>
      <c r="R2164" s="753">
        <f t="shared" si="285"/>
        <v>0</v>
      </c>
      <c r="S2164" s="752">
        <f t="shared" si="286"/>
        <v>0</v>
      </c>
      <c r="T2164" s="754">
        <f t="shared" si="287"/>
        <v>0</v>
      </c>
      <c r="U2164" s="859"/>
      <c r="V2164" s="863"/>
      <c r="W2164" s="859"/>
      <c r="X2164" s="859"/>
      <c r="Y2164" s="755">
        <f t="shared" si="283"/>
        <v>0</v>
      </c>
      <c r="Z2164" s="864"/>
      <c r="AA2164" s="863"/>
      <c r="AB2164" s="756">
        <f t="shared" si="284"/>
        <v>0</v>
      </c>
      <c r="AC2164" s="859"/>
      <c r="AD2164" s="863"/>
      <c r="AE2164" s="859"/>
      <c r="AF2164" s="859"/>
      <c r="AG2164" s="864"/>
      <c r="AH2164" s="865"/>
      <c r="AI2164" s="757">
        <f t="shared" si="288"/>
        <v>0</v>
      </c>
      <c r="AJ2164" s="758">
        <f t="shared" si="289"/>
        <v>0</v>
      </c>
    </row>
    <row r="2165" spans="1:36" x14ac:dyDescent="0.2">
      <c r="A2165" s="1164" t="s">
        <v>154</v>
      </c>
      <c r="B2165" s="1464" t="s">
        <v>264</v>
      </c>
      <c r="C2165" s="1468" t="s">
        <v>1849</v>
      </c>
      <c r="D2165" s="1469"/>
      <c r="E2165" s="1164">
        <v>421540</v>
      </c>
      <c r="F2165" s="910">
        <v>13</v>
      </c>
      <c r="G2165" s="859"/>
      <c r="H2165" s="860"/>
      <c r="I2165" s="861"/>
      <c r="J2165" s="862"/>
      <c r="K2165" s="859"/>
      <c r="L2165" s="863"/>
      <c r="M2165" s="859"/>
      <c r="N2165" s="859"/>
      <c r="O2165" s="752">
        <f t="shared" si="282"/>
        <v>0</v>
      </c>
      <c r="P2165" s="862"/>
      <c r="Q2165" s="860"/>
      <c r="R2165" s="753">
        <f t="shared" si="285"/>
        <v>0</v>
      </c>
      <c r="S2165" s="752">
        <f t="shared" si="286"/>
        <v>0</v>
      </c>
      <c r="T2165" s="754">
        <f t="shared" si="287"/>
        <v>0</v>
      </c>
      <c r="U2165" s="859"/>
      <c r="V2165" s="863"/>
      <c r="W2165" s="859"/>
      <c r="X2165" s="859"/>
      <c r="Y2165" s="755">
        <f t="shared" si="283"/>
        <v>0</v>
      </c>
      <c r="Z2165" s="864"/>
      <c r="AA2165" s="863"/>
      <c r="AB2165" s="756">
        <f t="shared" si="284"/>
        <v>0</v>
      </c>
      <c r="AC2165" s="859"/>
      <c r="AD2165" s="863"/>
      <c r="AE2165" s="859"/>
      <c r="AF2165" s="859"/>
      <c r="AG2165" s="864"/>
      <c r="AH2165" s="865"/>
      <c r="AI2165" s="757">
        <f t="shared" si="288"/>
        <v>0</v>
      </c>
      <c r="AJ2165" s="758">
        <f t="shared" si="289"/>
        <v>0</v>
      </c>
    </row>
    <row r="2166" spans="1:36" x14ac:dyDescent="0.2">
      <c r="A2166" s="1164" t="s">
        <v>154</v>
      </c>
      <c r="B2166" s="1464" t="s">
        <v>264</v>
      </c>
      <c r="C2166" s="1468" t="s">
        <v>1850</v>
      </c>
      <c r="D2166" s="1469"/>
      <c r="E2166" s="1164">
        <v>421559</v>
      </c>
      <c r="F2166" s="910">
        <v>13</v>
      </c>
      <c r="G2166" s="859"/>
      <c r="H2166" s="860"/>
      <c r="I2166" s="861"/>
      <c r="J2166" s="862"/>
      <c r="K2166" s="859"/>
      <c r="L2166" s="863"/>
      <c r="M2166" s="859"/>
      <c r="N2166" s="859"/>
      <c r="O2166" s="752">
        <f t="shared" si="282"/>
        <v>0</v>
      </c>
      <c r="P2166" s="862"/>
      <c r="Q2166" s="860"/>
      <c r="R2166" s="753">
        <f t="shared" si="285"/>
        <v>0</v>
      </c>
      <c r="S2166" s="752">
        <f t="shared" si="286"/>
        <v>0</v>
      </c>
      <c r="T2166" s="754">
        <f t="shared" si="287"/>
        <v>0</v>
      </c>
      <c r="U2166" s="859"/>
      <c r="V2166" s="863"/>
      <c r="W2166" s="859"/>
      <c r="X2166" s="859"/>
      <c r="Y2166" s="755">
        <f t="shared" si="283"/>
        <v>0</v>
      </c>
      <c r="Z2166" s="864"/>
      <c r="AA2166" s="863"/>
      <c r="AB2166" s="756">
        <f t="shared" si="284"/>
        <v>0</v>
      </c>
      <c r="AC2166" s="859"/>
      <c r="AD2166" s="863"/>
      <c r="AE2166" s="859"/>
      <c r="AF2166" s="859"/>
      <c r="AG2166" s="864"/>
      <c r="AH2166" s="865"/>
      <c r="AI2166" s="757">
        <f t="shared" si="288"/>
        <v>0</v>
      </c>
      <c r="AJ2166" s="758">
        <f t="shared" si="289"/>
        <v>0</v>
      </c>
    </row>
    <row r="2167" spans="1:36" x14ac:dyDescent="0.2">
      <c r="A2167" s="1164" t="s">
        <v>154</v>
      </c>
      <c r="B2167" s="1464" t="s">
        <v>264</v>
      </c>
      <c r="C2167" s="1468" t="s">
        <v>1851</v>
      </c>
      <c r="D2167" s="1469"/>
      <c r="E2167" s="1164">
        <v>208026</v>
      </c>
      <c r="F2167" s="910">
        <v>13</v>
      </c>
      <c r="G2167" s="859"/>
      <c r="H2167" s="860"/>
      <c r="I2167" s="861"/>
      <c r="J2167" s="862"/>
      <c r="K2167" s="859"/>
      <c r="L2167" s="863"/>
      <c r="M2167" s="859"/>
      <c r="N2167" s="859"/>
      <c r="O2167" s="752">
        <f t="shared" si="282"/>
        <v>0</v>
      </c>
      <c r="P2167" s="862"/>
      <c r="Q2167" s="860"/>
      <c r="R2167" s="753">
        <f t="shared" si="285"/>
        <v>0</v>
      </c>
      <c r="S2167" s="752">
        <f t="shared" si="286"/>
        <v>0</v>
      </c>
      <c r="T2167" s="754">
        <f t="shared" si="287"/>
        <v>0</v>
      </c>
      <c r="U2167" s="859"/>
      <c r="V2167" s="863"/>
      <c r="W2167" s="859"/>
      <c r="X2167" s="859"/>
      <c r="Y2167" s="755">
        <f t="shared" si="283"/>
        <v>0</v>
      </c>
      <c r="Z2167" s="864"/>
      <c r="AA2167" s="863"/>
      <c r="AB2167" s="756">
        <f t="shared" si="284"/>
        <v>0</v>
      </c>
      <c r="AC2167" s="859"/>
      <c r="AD2167" s="863"/>
      <c r="AE2167" s="859"/>
      <c r="AF2167" s="859"/>
      <c r="AG2167" s="864"/>
      <c r="AH2167" s="865"/>
      <c r="AI2167" s="757">
        <f t="shared" si="288"/>
        <v>0</v>
      </c>
      <c r="AJ2167" s="758">
        <f t="shared" si="289"/>
        <v>0</v>
      </c>
    </row>
    <row r="2168" spans="1:36" x14ac:dyDescent="0.2">
      <c r="A2168" s="1164" t="s">
        <v>154</v>
      </c>
      <c r="B2168" s="1464" t="s">
        <v>264</v>
      </c>
      <c r="C2168" s="1470" t="s">
        <v>1852</v>
      </c>
      <c r="D2168" s="1471"/>
      <c r="E2168" s="1164">
        <v>375692</v>
      </c>
      <c r="F2168" s="910">
        <v>13</v>
      </c>
      <c r="G2168" s="859"/>
      <c r="H2168" s="860"/>
      <c r="I2168" s="861"/>
      <c r="J2168" s="862"/>
      <c r="K2168" s="859"/>
      <c r="L2168" s="863"/>
      <c r="M2168" s="859"/>
      <c r="N2168" s="859"/>
      <c r="O2168" s="752">
        <f t="shared" si="282"/>
        <v>0</v>
      </c>
      <c r="P2168" s="862"/>
      <c r="Q2168" s="860"/>
      <c r="R2168" s="753">
        <f t="shared" si="285"/>
        <v>0</v>
      </c>
      <c r="S2168" s="752">
        <f t="shared" si="286"/>
        <v>0</v>
      </c>
      <c r="T2168" s="754">
        <f t="shared" si="287"/>
        <v>0</v>
      </c>
      <c r="U2168" s="859"/>
      <c r="V2168" s="863"/>
      <c r="W2168" s="859"/>
      <c r="X2168" s="859"/>
      <c r="Y2168" s="755">
        <f t="shared" si="283"/>
        <v>0</v>
      </c>
      <c r="Z2168" s="864"/>
      <c r="AA2168" s="863"/>
      <c r="AB2168" s="756">
        <f t="shared" si="284"/>
        <v>0</v>
      </c>
      <c r="AC2168" s="859"/>
      <c r="AD2168" s="863"/>
      <c r="AE2168" s="859"/>
      <c r="AF2168" s="859"/>
      <c r="AG2168" s="864"/>
      <c r="AH2168" s="865"/>
      <c r="AI2168" s="757">
        <f t="shared" si="288"/>
        <v>0</v>
      </c>
      <c r="AJ2168" s="758">
        <f t="shared" si="289"/>
        <v>0</v>
      </c>
    </row>
    <row r="2169" spans="1:36" x14ac:dyDescent="0.2">
      <c r="A2169" s="1164" t="s">
        <v>154</v>
      </c>
      <c r="B2169" s="1464" t="s">
        <v>264</v>
      </c>
      <c r="C2169" s="1470" t="s">
        <v>1853</v>
      </c>
      <c r="D2169" s="1471"/>
      <c r="E2169" s="1164">
        <v>375708</v>
      </c>
      <c r="F2169" s="910">
        <v>13</v>
      </c>
      <c r="G2169" s="859"/>
      <c r="H2169" s="860"/>
      <c r="I2169" s="861"/>
      <c r="J2169" s="862"/>
      <c r="K2169" s="859"/>
      <c r="L2169" s="863"/>
      <c r="M2169" s="859"/>
      <c r="N2169" s="859"/>
      <c r="O2169" s="752">
        <f t="shared" si="282"/>
        <v>0</v>
      </c>
      <c r="P2169" s="862"/>
      <c r="Q2169" s="860"/>
      <c r="R2169" s="753">
        <f t="shared" si="285"/>
        <v>0</v>
      </c>
      <c r="S2169" s="752">
        <f t="shared" si="286"/>
        <v>0</v>
      </c>
      <c r="T2169" s="754">
        <f t="shared" si="287"/>
        <v>0</v>
      </c>
      <c r="U2169" s="859"/>
      <c r="V2169" s="863"/>
      <c r="W2169" s="859"/>
      <c r="X2169" s="859"/>
      <c r="Y2169" s="755">
        <f t="shared" si="283"/>
        <v>0</v>
      </c>
      <c r="Z2169" s="864"/>
      <c r="AA2169" s="863"/>
      <c r="AB2169" s="756">
        <f t="shared" si="284"/>
        <v>0</v>
      </c>
      <c r="AC2169" s="859"/>
      <c r="AD2169" s="863"/>
      <c r="AE2169" s="859"/>
      <c r="AF2169" s="859"/>
      <c r="AG2169" s="864"/>
      <c r="AH2169" s="865"/>
      <c r="AI2169" s="757">
        <f t="shared" si="288"/>
        <v>0</v>
      </c>
      <c r="AJ2169" s="758">
        <f t="shared" si="289"/>
        <v>0</v>
      </c>
    </row>
    <row r="2170" spans="1:36" x14ac:dyDescent="0.2">
      <c r="A2170" s="1164" t="s">
        <v>154</v>
      </c>
      <c r="B2170" s="1464" t="s">
        <v>264</v>
      </c>
      <c r="C2170" s="1470" t="s">
        <v>1854</v>
      </c>
      <c r="D2170" s="1471"/>
      <c r="E2170" s="1164">
        <v>375717</v>
      </c>
      <c r="F2170" s="910">
        <v>13</v>
      </c>
      <c r="G2170" s="859"/>
      <c r="H2170" s="860"/>
      <c r="I2170" s="861"/>
      <c r="J2170" s="862"/>
      <c r="K2170" s="859"/>
      <c r="L2170" s="863"/>
      <c r="M2170" s="859"/>
      <c r="N2170" s="859"/>
      <c r="O2170" s="752">
        <f t="shared" si="282"/>
        <v>0</v>
      </c>
      <c r="P2170" s="862"/>
      <c r="Q2170" s="860"/>
      <c r="R2170" s="753">
        <f t="shared" si="285"/>
        <v>0</v>
      </c>
      <c r="S2170" s="752">
        <f t="shared" si="286"/>
        <v>0</v>
      </c>
      <c r="T2170" s="754">
        <f t="shared" si="287"/>
        <v>0</v>
      </c>
      <c r="U2170" s="859"/>
      <c r="V2170" s="863"/>
      <c r="W2170" s="859"/>
      <c r="X2170" s="859"/>
      <c r="Y2170" s="755">
        <f t="shared" si="283"/>
        <v>0</v>
      </c>
      <c r="Z2170" s="864"/>
      <c r="AA2170" s="863"/>
      <c r="AB2170" s="756">
        <f t="shared" si="284"/>
        <v>0</v>
      </c>
      <c r="AC2170" s="859"/>
      <c r="AD2170" s="863"/>
      <c r="AE2170" s="859"/>
      <c r="AF2170" s="859"/>
      <c r="AG2170" s="864"/>
      <c r="AH2170" s="865"/>
      <c r="AI2170" s="757">
        <f t="shared" si="288"/>
        <v>0</v>
      </c>
      <c r="AJ2170" s="758">
        <f t="shared" si="289"/>
        <v>0</v>
      </c>
    </row>
    <row r="2171" spans="1:36" x14ac:dyDescent="0.2">
      <c r="A2171" s="1164" t="s">
        <v>154</v>
      </c>
      <c r="B2171" s="1464" t="s">
        <v>264</v>
      </c>
      <c r="C2171" s="1470" t="s">
        <v>1855</v>
      </c>
      <c r="D2171" s="1471"/>
      <c r="E2171" s="1164">
        <v>375735</v>
      </c>
      <c r="F2171" s="910">
        <v>13</v>
      </c>
      <c r="G2171" s="859"/>
      <c r="H2171" s="860"/>
      <c r="I2171" s="861"/>
      <c r="J2171" s="862"/>
      <c r="K2171" s="859"/>
      <c r="L2171" s="863"/>
      <c r="M2171" s="859"/>
      <c r="N2171" s="859"/>
      <c r="O2171" s="752">
        <f t="shared" si="282"/>
        <v>0</v>
      </c>
      <c r="P2171" s="862"/>
      <c r="Q2171" s="860"/>
      <c r="R2171" s="753">
        <f t="shared" si="285"/>
        <v>0</v>
      </c>
      <c r="S2171" s="752">
        <f t="shared" si="286"/>
        <v>0</v>
      </c>
      <c r="T2171" s="754">
        <f t="shared" si="287"/>
        <v>0</v>
      </c>
      <c r="U2171" s="859"/>
      <c r="V2171" s="863"/>
      <c r="W2171" s="859"/>
      <c r="X2171" s="859"/>
      <c r="Y2171" s="755">
        <f t="shared" si="283"/>
        <v>0</v>
      </c>
      <c r="Z2171" s="864"/>
      <c r="AA2171" s="863"/>
      <c r="AB2171" s="756">
        <f t="shared" si="284"/>
        <v>0</v>
      </c>
      <c r="AC2171" s="859"/>
      <c r="AD2171" s="863"/>
      <c r="AE2171" s="859"/>
      <c r="AF2171" s="859"/>
      <c r="AG2171" s="864"/>
      <c r="AH2171" s="865"/>
      <c r="AI2171" s="757">
        <f t="shared" si="288"/>
        <v>0</v>
      </c>
      <c r="AJ2171" s="758">
        <f t="shared" si="289"/>
        <v>0</v>
      </c>
    </row>
    <row r="2172" spans="1:36" x14ac:dyDescent="0.2">
      <c r="A2172" s="1164" t="s">
        <v>154</v>
      </c>
      <c r="B2172" s="1464" t="s">
        <v>264</v>
      </c>
      <c r="C2172" s="1470" t="s">
        <v>1856</v>
      </c>
      <c r="D2172" s="1471"/>
      <c r="E2172" s="1164">
        <v>375726</v>
      </c>
      <c r="F2172" s="910">
        <v>13</v>
      </c>
      <c r="G2172" s="859"/>
      <c r="H2172" s="860"/>
      <c r="I2172" s="861"/>
      <c r="J2172" s="862"/>
      <c r="K2172" s="859"/>
      <c r="L2172" s="863"/>
      <c r="M2172" s="859"/>
      <c r="N2172" s="859"/>
      <c r="O2172" s="752">
        <f t="shared" si="282"/>
        <v>0</v>
      </c>
      <c r="P2172" s="862"/>
      <c r="Q2172" s="860"/>
      <c r="R2172" s="753">
        <f t="shared" si="285"/>
        <v>0</v>
      </c>
      <c r="S2172" s="752">
        <f t="shared" si="286"/>
        <v>0</v>
      </c>
      <c r="T2172" s="754">
        <f t="shared" si="287"/>
        <v>0</v>
      </c>
      <c r="U2172" s="859"/>
      <c r="V2172" s="863"/>
      <c r="W2172" s="859"/>
      <c r="X2172" s="859"/>
      <c r="Y2172" s="755">
        <f t="shared" si="283"/>
        <v>0</v>
      </c>
      <c r="Z2172" s="864"/>
      <c r="AA2172" s="863"/>
      <c r="AB2172" s="756">
        <f t="shared" si="284"/>
        <v>0</v>
      </c>
      <c r="AC2172" s="859"/>
      <c r="AD2172" s="863"/>
      <c r="AE2172" s="859"/>
      <c r="AF2172" s="859"/>
      <c r="AG2172" s="864"/>
      <c r="AH2172" s="865"/>
      <c r="AI2172" s="757">
        <f t="shared" si="288"/>
        <v>0</v>
      </c>
      <c r="AJ2172" s="758">
        <f t="shared" si="289"/>
        <v>0</v>
      </c>
    </row>
    <row r="2173" spans="1:36" x14ac:dyDescent="0.2">
      <c r="A2173" s="1164" t="s">
        <v>154</v>
      </c>
      <c r="B2173" s="1464" t="s">
        <v>264</v>
      </c>
      <c r="C2173" s="1470" t="s">
        <v>1857</v>
      </c>
      <c r="D2173" s="1471"/>
      <c r="E2173" s="1164">
        <v>375744</v>
      </c>
      <c r="F2173" s="910">
        <v>13</v>
      </c>
      <c r="G2173" s="859"/>
      <c r="H2173" s="860"/>
      <c r="I2173" s="861"/>
      <c r="J2173" s="862"/>
      <c r="K2173" s="859"/>
      <c r="L2173" s="863"/>
      <c r="M2173" s="859"/>
      <c r="N2173" s="859"/>
      <c r="O2173" s="752">
        <f t="shared" si="282"/>
        <v>0</v>
      </c>
      <c r="P2173" s="862"/>
      <c r="Q2173" s="860"/>
      <c r="R2173" s="753">
        <f t="shared" si="285"/>
        <v>0</v>
      </c>
      <c r="S2173" s="752">
        <f t="shared" si="286"/>
        <v>0</v>
      </c>
      <c r="T2173" s="754">
        <f t="shared" si="287"/>
        <v>0</v>
      </c>
      <c r="U2173" s="859"/>
      <c r="V2173" s="863"/>
      <c r="W2173" s="859"/>
      <c r="X2173" s="859"/>
      <c r="Y2173" s="755">
        <f t="shared" si="283"/>
        <v>0</v>
      </c>
      <c r="Z2173" s="864"/>
      <c r="AA2173" s="863"/>
      <c r="AB2173" s="756">
        <f t="shared" si="284"/>
        <v>0</v>
      </c>
      <c r="AC2173" s="859"/>
      <c r="AD2173" s="863"/>
      <c r="AE2173" s="859"/>
      <c r="AF2173" s="859"/>
      <c r="AG2173" s="864"/>
      <c r="AH2173" s="865"/>
      <c r="AI2173" s="757">
        <f t="shared" si="288"/>
        <v>0</v>
      </c>
      <c r="AJ2173" s="758">
        <f t="shared" si="289"/>
        <v>0</v>
      </c>
    </row>
    <row r="2174" spans="1:36" x14ac:dyDescent="0.2">
      <c r="A2174" s="1164" t="s">
        <v>154</v>
      </c>
      <c r="B2174" s="1464" t="s">
        <v>264</v>
      </c>
      <c r="C2174" s="1470" t="s">
        <v>1858</v>
      </c>
      <c r="D2174" s="1471"/>
      <c r="E2174" s="1164">
        <v>375753</v>
      </c>
      <c r="F2174" s="910">
        <v>13</v>
      </c>
      <c r="G2174" s="859"/>
      <c r="H2174" s="860"/>
      <c r="I2174" s="861"/>
      <c r="J2174" s="862"/>
      <c r="K2174" s="859"/>
      <c r="L2174" s="863"/>
      <c r="M2174" s="859"/>
      <c r="N2174" s="859"/>
      <c r="O2174" s="752">
        <f t="shared" si="282"/>
        <v>0</v>
      </c>
      <c r="P2174" s="862"/>
      <c r="Q2174" s="860"/>
      <c r="R2174" s="753">
        <f t="shared" si="285"/>
        <v>0</v>
      </c>
      <c r="S2174" s="752">
        <f t="shared" si="286"/>
        <v>0</v>
      </c>
      <c r="T2174" s="754">
        <f t="shared" si="287"/>
        <v>0</v>
      </c>
      <c r="U2174" s="859"/>
      <c r="V2174" s="863"/>
      <c r="W2174" s="859"/>
      <c r="X2174" s="859"/>
      <c r="Y2174" s="755">
        <f t="shared" si="283"/>
        <v>0</v>
      </c>
      <c r="Z2174" s="864"/>
      <c r="AA2174" s="863"/>
      <c r="AB2174" s="756">
        <f t="shared" si="284"/>
        <v>0</v>
      </c>
      <c r="AC2174" s="859"/>
      <c r="AD2174" s="863"/>
      <c r="AE2174" s="859"/>
      <c r="AF2174" s="859"/>
      <c r="AG2174" s="864"/>
      <c r="AH2174" s="865"/>
      <c r="AI2174" s="757">
        <f t="shared" si="288"/>
        <v>0</v>
      </c>
      <c r="AJ2174" s="758">
        <f t="shared" si="289"/>
        <v>0</v>
      </c>
    </row>
    <row r="2175" spans="1:36" x14ac:dyDescent="0.2">
      <c r="A2175" s="1164" t="s">
        <v>154</v>
      </c>
      <c r="B2175" s="1464" t="s">
        <v>264</v>
      </c>
      <c r="C2175" s="1470" t="s">
        <v>1859</v>
      </c>
      <c r="D2175" s="1471"/>
      <c r="E2175" s="1164">
        <v>405748</v>
      </c>
      <c r="F2175" s="910">
        <v>13</v>
      </c>
      <c r="G2175" s="859"/>
      <c r="H2175" s="860"/>
      <c r="I2175" s="861"/>
      <c r="J2175" s="862"/>
      <c r="K2175" s="859"/>
      <c r="L2175" s="863"/>
      <c r="M2175" s="859"/>
      <c r="N2175" s="859"/>
      <c r="O2175" s="752">
        <f t="shared" si="282"/>
        <v>0</v>
      </c>
      <c r="P2175" s="862"/>
      <c r="Q2175" s="860"/>
      <c r="R2175" s="753">
        <f t="shared" si="285"/>
        <v>0</v>
      </c>
      <c r="S2175" s="752">
        <f t="shared" si="286"/>
        <v>0</v>
      </c>
      <c r="T2175" s="754">
        <f t="shared" si="287"/>
        <v>0</v>
      </c>
      <c r="U2175" s="859"/>
      <c r="V2175" s="863"/>
      <c r="W2175" s="859"/>
      <c r="X2175" s="859"/>
      <c r="Y2175" s="755">
        <f t="shared" si="283"/>
        <v>0</v>
      </c>
      <c r="Z2175" s="864"/>
      <c r="AA2175" s="863"/>
      <c r="AB2175" s="756">
        <f t="shared" si="284"/>
        <v>0</v>
      </c>
      <c r="AC2175" s="859"/>
      <c r="AD2175" s="863"/>
      <c r="AE2175" s="859"/>
      <c r="AF2175" s="859"/>
      <c r="AG2175" s="864"/>
      <c r="AH2175" s="865"/>
      <c r="AI2175" s="757">
        <f t="shared" si="288"/>
        <v>0</v>
      </c>
      <c r="AJ2175" s="758">
        <f t="shared" si="289"/>
        <v>0</v>
      </c>
    </row>
    <row r="2176" spans="1:36" x14ac:dyDescent="0.2">
      <c r="A2176" s="1164" t="s">
        <v>154</v>
      </c>
      <c r="B2176" s="1464" t="s">
        <v>264</v>
      </c>
      <c r="C2176" s="1470" t="s">
        <v>1860</v>
      </c>
      <c r="D2176" s="1471"/>
      <c r="E2176" s="1164">
        <v>375762</v>
      </c>
      <c r="F2176" s="910">
        <v>13</v>
      </c>
      <c r="G2176" s="859"/>
      <c r="H2176" s="860"/>
      <c r="I2176" s="861"/>
      <c r="J2176" s="862"/>
      <c r="K2176" s="859"/>
      <c r="L2176" s="863"/>
      <c r="M2176" s="859"/>
      <c r="N2176" s="859"/>
      <c r="O2176" s="752">
        <f t="shared" si="282"/>
        <v>0</v>
      </c>
      <c r="P2176" s="862"/>
      <c r="Q2176" s="860"/>
      <c r="R2176" s="753">
        <f t="shared" si="285"/>
        <v>0</v>
      </c>
      <c r="S2176" s="752">
        <f t="shared" si="286"/>
        <v>0</v>
      </c>
      <c r="T2176" s="754">
        <f t="shared" si="287"/>
        <v>0</v>
      </c>
      <c r="U2176" s="859"/>
      <c r="V2176" s="863"/>
      <c r="W2176" s="859"/>
      <c r="X2176" s="859"/>
      <c r="Y2176" s="755">
        <f t="shared" si="283"/>
        <v>0</v>
      </c>
      <c r="Z2176" s="864"/>
      <c r="AA2176" s="863"/>
      <c r="AB2176" s="756">
        <f t="shared" si="284"/>
        <v>0</v>
      </c>
      <c r="AC2176" s="859"/>
      <c r="AD2176" s="863"/>
      <c r="AE2176" s="859"/>
      <c r="AF2176" s="859"/>
      <c r="AG2176" s="864"/>
      <c r="AH2176" s="865"/>
      <c r="AI2176" s="757">
        <f t="shared" si="288"/>
        <v>0</v>
      </c>
      <c r="AJ2176" s="758">
        <f t="shared" si="289"/>
        <v>0</v>
      </c>
    </row>
    <row r="2177" spans="1:36" x14ac:dyDescent="0.2">
      <c r="A2177" s="1164" t="s">
        <v>154</v>
      </c>
      <c r="B2177" s="1464" t="s">
        <v>264</v>
      </c>
      <c r="C2177" s="1160" t="s">
        <v>1861</v>
      </c>
      <c r="D2177" s="1161"/>
      <c r="E2177" s="1164">
        <v>365480</v>
      </c>
      <c r="F2177" s="910">
        <v>13</v>
      </c>
      <c r="G2177" s="859">
        <v>3364961</v>
      </c>
      <c r="H2177" s="860">
        <v>3411804</v>
      </c>
      <c r="I2177" s="861"/>
      <c r="J2177" s="862"/>
      <c r="K2177" s="859"/>
      <c r="L2177" s="863"/>
      <c r="M2177" s="859">
        <v>950425</v>
      </c>
      <c r="N2177" s="859"/>
      <c r="O2177" s="752">
        <f t="shared" si="282"/>
        <v>950425</v>
      </c>
      <c r="P2177" s="862">
        <v>834215</v>
      </c>
      <c r="Q2177" s="860"/>
      <c r="R2177" s="753">
        <f t="shared" si="285"/>
        <v>834215</v>
      </c>
      <c r="S2177" s="752">
        <f t="shared" si="286"/>
        <v>4315386</v>
      </c>
      <c r="T2177" s="754">
        <f t="shared" si="287"/>
        <v>4246019</v>
      </c>
      <c r="U2177" s="859"/>
      <c r="V2177" s="863"/>
      <c r="W2177" s="859"/>
      <c r="X2177" s="859"/>
      <c r="Y2177" s="755">
        <f t="shared" si="283"/>
        <v>0</v>
      </c>
      <c r="Z2177" s="864"/>
      <c r="AA2177" s="863"/>
      <c r="AB2177" s="756">
        <f t="shared" si="284"/>
        <v>0</v>
      </c>
      <c r="AC2177" s="859"/>
      <c r="AD2177" s="863"/>
      <c r="AE2177" s="859"/>
      <c r="AF2177" s="859"/>
      <c r="AG2177" s="864"/>
      <c r="AH2177" s="865"/>
      <c r="AI2177" s="757">
        <f t="shared" si="288"/>
        <v>4315386</v>
      </c>
      <c r="AJ2177" s="758">
        <f t="shared" si="289"/>
        <v>4246019</v>
      </c>
    </row>
    <row r="2178" spans="1:36" x14ac:dyDescent="0.2">
      <c r="A2178" s="1164" t="s">
        <v>154</v>
      </c>
      <c r="B2178" s="1464" t="s">
        <v>264</v>
      </c>
      <c r="C2178" s="1160" t="s">
        <v>1862</v>
      </c>
      <c r="D2178" s="1161"/>
      <c r="E2178" s="1164">
        <v>418320</v>
      </c>
      <c r="F2178" s="910">
        <v>13</v>
      </c>
      <c r="G2178" s="859">
        <v>2748703</v>
      </c>
      <c r="H2178" s="860">
        <v>2743533</v>
      </c>
      <c r="I2178" s="861"/>
      <c r="J2178" s="862"/>
      <c r="K2178" s="859"/>
      <c r="L2178" s="863"/>
      <c r="M2178" s="859">
        <v>639935</v>
      </c>
      <c r="N2178" s="859"/>
      <c r="O2178" s="752">
        <f t="shared" si="282"/>
        <v>639935</v>
      </c>
      <c r="P2178" s="862">
        <v>555120</v>
      </c>
      <c r="Q2178" s="860"/>
      <c r="R2178" s="753">
        <f t="shared" si="285"/>
        <v>555120</v>
      </c>
      <c r="S2178" s="752">
        <f t="shared" si="286"/>
        <v>3388638</v>
      </c>
      <c r="T2178" s="754">
        <f t="shared" si="287"/>
        <v>3298653</v>
      </c>
      <c r="U2178" s="859"/>
      <c r="V2178" s="863"/>
      <c r="W2178" s="859"/>
      <c r="X2178" s="859"/>
      <c r="Y2178" s="755">
        <f t="shared" si="283"/>
        <v>0</v>
      </c>
      <c r="Z2178" s="864"/>
      <c r="AA2178" s="863"/>
      <c r="AB2178" s="756">
        <f t="shared" si="284"/>
        <v>0</v>
      </c>
      <c r="AC2178" s="859"/>
      <c r="AD2178" s="863"/>
      <c r="AE2178" s="859"/>
      <c r="AF2178" s="859"/>
      <c r="AG2178" s="864"/>
      <c r="AH2178" s="865"/>
      <c r="AI2178" s="757">
        <f t="shared" si="288"/>
        <v>3388638</v>
      </c>
      <c r="AJ2178" s="758">
        <f t="shared" si="289"/>
        <v>3298653</v>
      </c>
    </row>
    <row r="2179" spans="1:36" x14ac:dyDescent="0.2">
      <c r="A2179" s="1164" t="s">
        <v>154</v>
      </c>
      <c r="B2179" s="1464" t="s">
        <v>264</v>
      </c>
      <c r="C2179" s="1160" t="s">
        <v>1863</v>
      </c>
      <c r="D2179" s="1161"/>
      <c r="E2179" s="1164">
        <v>431017</v>
      </c>
      <c r="F2179" s="910">
        <v>13</v>
      </c>
      <c r="G2179" s="859">
        <v>2029860</v>
      </c>
      <c r="H2179" s="860">
        <v>1995116</v>
      </c>
      <c r="I2179" s="861"/>
      <c r="J2179" s="862"/>
      <c r="K2179" s="859"/>
      <c r="L2179" s="863"/>
      <c r="M2179" s="859">
        <v>24893</v>
      </c>
      <c r="N2179" s="859"/>
      <c r="O2179" s="752">
        <f t="shared" si="282"/>
        <v>24893</v>
      </c>
      <c r="P2179" s="862">
        <v>68211</v>
      </c>
      <c r="Q2179" s="860"/>
      <c r="R2179" s="753">
        <f t="shared" si="285"/>
        <v>68211</v>
      </c>
      <c r="S2179" s="752">
        <f t="shared" si="286"/>
        <v>2054753</v>
      </c>
      <c r="T2179" s="754">
        <f t="shared" si="287"/>
        <v>2063327</v>
      </c>
      <c r="U2179" s="859"/>
      <c r="V2179" s="863"/>
      <c r="W2179" s="859"/>
      <c r="X2179" s="859"/>
      <c r="Y2179" s="755">
        <f t="shared" si="283"/>
        <v>0</v>
      </c>
      <c r="Z2179" s="864"/>
      <c r="AA2179" s="863"/>
      <c r="AB2179" s="756">
        <f t="shared" si="284"/>
        <v>0</v>
      </c>
      <c r="AC2179" s="859"/>
      <c r="AD2179" s="863"/>
      <c r="AE2179" s="859"/>
      <c r="AF2179" s="859"/>
      <c r="AG2179" s="864"/>
      <c r="AH2179" s="865"/>
      <c r="AI2179" s="757">
        <f t="shared" si="288"/>
        <v>2054753</v>
      </c>
      <c r="AJ2179" s="758">
        <f t="shared" si="289"/>
        <v>2063327</v>
      </c>
    </row>
    <row r="2180" spans="1:36" x14ac:dyDescent="0.2">
      <c r="A2180" s="1164" t="s">
        <v>154</v>
      </c>
      <c r="B2180" s="1464" t="s">
        <v>264</v>
      </c>
      <c r="C2180" s="1465" t="s">
        <v>1864</v>
      </c>
      <c r="D2180" s="1466"/>
      <c r="E2180" s="1164">
        <v>248606</v>
      </c>
      <c r="F2180" s="910">
        <v>13</v>
      </c>
      <c r="G2180" s="859">
        <v>3299846</v>
      </c>
      <c r="H2180" s="860">
        <v>3458751</v>
      </c>
      <c r="I2180" s="861"/>
      <c r="J2180" s="862"/>
      <c r="K2180" s="859"/>
      <c r="L2180" s="863"/>
      <c r="M2180" s="859">
        <v>1832723</v>
      </c>
      <c r="N2180" s="859"/>
      <c r="O2180" s="752">
        <f t="shared" si="282"/>
        <v>1832723</v>
      </c>
      <c r="P2180" s="862">
        <v>1729409</v>
      </c>
      <c r="Q2180" s="860"/>
      <c r="R2180" s="753">
        <f t="shared" si="285"/>
        <v>1729409</v>
      </c>
      <c r="S2180" s="752">
        <f t="shared" si="286"/>
        <v>5132569</v>
      </c>
      <c r="T2180" s="754">
        <f t="shared" si="287"/>
        <v>5188160</v>
      </c>
      <c r="U2180" s="859"/>
      <c r="V2180" s="863"/>
      <c r="W2180" s="859"/>
      <c r="X2180" s="859"/>
      <c r="Y2180" s="755">
        <f t="shared" si="283"/>
        <v>0</v>
      </c>
      <c r="Z2180" s="864"/>
      <c r="AA2180" s="863"/>
      <c r="AB2180" s="756">
        <f t="shared" si="284"/>
        <v>0</v>
      </c>
      <c r="AC2180" s="859"/>
      <c r="AD2180" s="863"/>
      <c r="AE2180" s="859"/>
      <c r="AF2180" s="859"/>
      <c r="AG2180" s="864"/>
      <c r="AH2180" s="865"/>
      <c r="AI2180" s="757">
        <f t="shared" si="288"/>
        <v>5132569</v>
      </c>
      <c r="AJ2180" s="758">
        <f t="shared" si="289"/>
        <v>5188160</v>
      </c>
    </row>
    <row r="2181" spans="1:36" x14ac:dyDescent="0.2">
      <c r="A2181" s="1164" t="s">
        <v>154</v>
      </c>
      <c r="B2181" s="1464" t="s">
        <v>264</v>
      </c>
      <c r="C2181" s="1472" t="s">
        <v>1865</v>
      </c>
      <c r="D2181" s="1473"/>
      <c r="E2181" s="1164">
        <v>420459</v>
      </c>
      <c r="F2181" s="910">
        <v>13</v>
      </c>
      <c r="G2181" s="859"/>
      <c r="H2181" s="860"/>
      <c r="I2181" s="861"/>
      <c r="J2181" s="862"/>
      <c r="K2181" s="859"/>
      <c r="L2181" s="863"/>
      <c r="M2181" s="859"/>
      <c r="N2181" s="859"/>
      <c r="O2181" s="752">
        <f t="shared" si="282"/>
        <v>0</v>
      </c>
      <c r="P2181" s="862"/>
      <c r="Q2181" s="860"/>
      <c r="R2181" s="753">
        <f t="shared" si="285"/>
        <v>0</v>
      </c>
      <c r="S2181" s="752">
        <f t="shared" si="286"/>
        <v>0</v>
      </c>
      <c r="T2181" s="754">
        <f t="shared" si="287"/>
        <v>0</v>
      </c>
      <c r="U2181" s="859"/>
      <c r="V2181" s="863"/>
      <c r="W2181" s="859"/>
      <c r="X2181" s="859"/>
      <c r="Y2181" s="755">
        <f t="shared" si="283"/>
        <v>0</v>
      </c>
      <c r="Z2181" s="864"/>
      <c r="AA2181" s="863"/>
      <c r="AB2181" s="756">
        <f t="shared" si="284"/>
        <v>0</v>
      </c>
      <c r="AC2181" s="859"/>
      <c r="AD2181" s="863"/>
      <c r="AE2181" s="859"/>
      <c r="AF2181" s="859"/>
      <c r="AG2181" s="864"/>
      <c r="AH2181" s="865"/>
      <c r="AI2181" s="757">
        <f t="shared" si="288"/>
        <v>0</v>
      </c>
      <c r="AJ2181" s="758">
        <f t="shared" si="289"/>
        <v>0</v>
      </c>
    </row>
    <row r="2182" spans="1:36" x14ac:dyDescent="0.2">
      <c r="A2182" s="1164" t="s">
        <v>154</v>
      </c>
      <c r="B2182" s="1464" t="s">
        <v>264</v>
      </c>
      <c r="C2182" s="1474" t="s">
        <v>1866</v>
      </c>
      <c r="D2182" s="1475"/>
      <c r="E2182" s="1500">
        <v>456560</v>
      </c>
      <c r="F2182" s="1501">
        <v>13</v>
      </c>
      <c r="G2182" s="859"/>
      <c r="H2182" s="860"/>
      <c r="I2182" s="861"/>
      <c r="J2182" s="862"/>
      <c r="K2182" s="859"/>
      <c r="L2182" s="863"/>
      <c r="M2182" s="859"/>
      <c r="N2182" s="859"/>
      <c r="O2182" s="752">
        <f t="shared" si="282"/>
        <v>0</v>
      </c>
      <c r="P2182" s="862"/>
      <c r="Q2182" s="860"/>
      <c r="R2182" s="753">
        <f t="shared" si="285"/>
        <v>0</v>
      </c>
      <c r="S2182" s="752">
        <f t="shared" si="286"/>
        <v>0</v>
      </c>
      <c r="T2182" s="754">
        <f t="shared" si="287"/>
        <v>0</v>
      </c>
      <c r="U2182" s="859"/>
      <c r="V2182" s="863"/>
      <c r="W2182" s="859"/>
      <c r="X2182" s="859"/>
      <c r="Y2182" s="755">
        <f t="shared" si="283"/>
        <v>0</v>
      </c>
      <c r="Z2182" s="864"/>
      <c r="AA2182" s="863"/>
      <c r="AB2182" s="756">
        <f t="shared" si="284"/>
        <v>0</v>
      </c>
      <c r="AC2182" s="859"/>
      <c r="AD2182" s="863"/>
      <c r="AE2182" s="859"/>
      <c r="AF2182" s="859"/>
      <c r="AG2182" s="864"/>
      <c r="AH2182" s="865"/>
      <c r="AI2182" s="757">
        <f t="shared" si="288"/>
        <v>0</v>
      </c>
      <c r="AJ2182" s="758">
        <f t="shared" si="289"/>
        <v>0</v>
      </c>
    </row>
    <row r="2183" spans="1:36" x14ac:dyDescent="0.2">
      <c r="A2183" s="1164" t="s">
        <v>154</v>
      </c>
      <c r="B2183" s="1464" t="s">
        <v>264</v>
      </c>
      <c r="C2183" s="1476" t="s">
        <v>1867</v>
      </c>
      <c r="D2183" s="1477"/>
      <c r="E2183" s="1478">
        <v>432074</v>
      </c>
      <c r="F2183" s="910">
        <v>13</v>
      </c>
      <c r="G2183" s="859"/>
      <c r="H2183" s="860"/>
      <c r="I2183" s="861"/>
      <c r="J2183" s="862"/>
      <c r="K2183" s="859"/>
      <c r="L2183" s="863"/>
      <c r="M2183" s="859"/>
      <c r="N2183" s="859"/>
      <c r="O2183" s="752">
        <f t="shared" si="282"/>
        <v>0</v>
      </c>
      <c r="P2183" s="862"/>
      <c r="Q2183" s="860"/>
      <c r="R2183" s="753">
        <f t="shared" si="285"/>
        <v>0</v>
      </c>
      <c r="S2183" s="752">
        <f t="shared" si="286"/>
        <v>0</v>
      </c>
      <c r="T2183" s="754">
        <f t="shared" si="287"/>
        <v>0</v>
      </c>
      <c r="U2183" s="859"/>
      <c r="V2183" s="863"/>
      <c r="W2183" s="859"/>
      <c r="X2183" s="859"/>
      <c r="Y2183" s="755">
        <f t="shared" si="283"/>
        <v>0</v>
      </c>
      <c r="Z2183" s="864"/>
      <c r="AA2183" s="863"/>
      <c r="AB2183" s="756">
        <f t="shared" si="284"/>
        <v>0</v>
      </c>
      <c r="AC2183" s="859"/>
      <c r="AD2183" s="863"/>
      <c r="AE2183" s="859"/>
      <c r="AF2183" s="859"/>
      <c r="AG2183" s="864"/>
      <c r="AH2183" s="865"/>
      <c r="AI2183" s="757">
        <f t="shared" si="288"/>
        <v>0</v>
      </c>
      <c r="AJ2183" s="758">
        <f t="shared" si="289"/>
        <v>0</v>
      </c>
    </row>
    <row r="2184" spans="1:36" x14ac:dyDescent="0.2">
      <c r="A2184" s="1164" t="s">
        <v>154</v>
      </c>
      <c r="B2184" s="1464" t="s">
        <v>264</v>
      </c>
      <c r="C2184" s="1476" t="s">
        <v>1868</v>
      </c>
      <c r="D2184" s="1477"/>
      <c r="E2184" s="1478">
        <v>418339</v>
      </c>
      <c r="F2184" s="910">
        <v>13</v>
      </c>
      <c r="G2184" s="859"/>
      <c r="H2184" s="860"/>
      <c r="I2184" s="861"/>
      <c r="J2184" s="862"/>
      <c r="K2184" s="859"/>
      <c r="L2184" s="863"/>
      <c r="M2184" s="859"/>
      <c r="N2184" s="859"/>
      <c r="O2184" s="752">
        <f t="shared" si="282"/>
        <v>0</v>
      </c>
      <c r="P2184" s="862"/>
      <c r="Q2184" s="860"/>
      <c r="R2184" s="753">
        <f t="shared" si="285"/>
        <v>0</v>
      </c>
      <c r="S2184" s="752">
        <f t="shared" si="286"/>
        <v>0</v>
      </c>
      <c r="T2184" s="754">
        <f t="shared" si="287"/>
        <v>0</v>
      </c>
      <c r="U2184" s="859"/>
      <c r="V2184" s="863"/>
      <c r="W2184" s="859"/>
      <c r="X2184" s="859"/>
      <c r="Y2184" s="755">
        <f t="shared" si="283"/>
        <v>0</v>
      </c>
      <c r="Z2184" s="864"/>
      <c r="AA2184" s="863"/>
      <c r="AB2184" s="756">
        <f t="shared" si="284"/>
        <v>0</v>
      </c>
      <c r="AC2184" s="859"/>
      <c r="AD2184" s="863"/>
      <c r="AE2184" s="859"/>
      <c r="AF2184" s="859"/>
      <c r="AG2184" s="864"/>
      <c r="AH2184" s="865"/>
      <c r="AI2184" s="757">
        <f t="shared" si="288"/>
        <v>0</v>
      </c>
      <c r="AJ2184" s="758">
        <f t="shared" si="289"/>
        <v>0</v>
      </c>
    </row>
    <row r="2185" spans="1:36" x14ac:dyDescent="0.2">
      <c r="A2185" s="1164" t="s">
        <v>154</v>
      </c>
      <c r="B2185" s="1464" t="s">
        <v>264</v>
      </c>
      <c r="C2185" s="1479" t="s">
        <v>1869</v>
      </c>
      <c r="D2185" s="1480"/>
      <c r="E2185" s="1478">
        <v>366623</v>
      </c>
      <c r="F2185" s="910">
        <v>13</v>
      </c>
      <c r="G2185" s="859"/>
      <c r="H2185" s="860"/>
      <c r="I2185" s="861"/>
      <c r="J2185" s="862"/>
      <c r="K2185" s="859"/>
      <c r="L2185" s="863"/>
      <c r="M2185" s="859"/>
      <c r="N2185" s="859"/>
      <c r="O2185" s="752">
        <f t="shared" si="282"/>
        <v>0</v>
      </c>
      <c r="P2185" s="862"/>
      <c r="Q2185" s="860"/>
      <c r="R2185" s="753">
        <f t="shared" si="285"/>
        <v>0</v>
      </c>
      <c r="S2185" s="752">
        <f t="shared" si="286"/>
        <v>0</v>
      </c>
      <c r="T2185" s="754">
        <f t="shared" si="287"/>
        <v>0</v>
      </c>
      <c r="U2185" s="859"/>
      <c r="V2185" s="863"/>
      <c r="W2185" s="859"/>
      <c r="X2185" s="859"/>
      <c r="Y2185" s="755">
        <f t="shared" si="283"/>
        <v>0</v>
      </c>
      <c r="Z2185" s="864"/>
      <c r="AA2185" s="863"/>
      <c r="AB2185" s="756">
        <f t="shared" si="284"/>
        <v>0</v>
      </c>
      <c r="AC2185" s="859"/>
      <c r="AD2185" s="863"/>
      <c r="AE2185" s="859"/>
      <c r="AF2185" s="859"/>
      <c r="AG2185" s="864"/>
      <c r="AH2185" s="865"/>
      <c r="AI2185" s="757">
        <f t="shared" si="288"/>
        <v>0</v>
      </c>
      <c r="AJ2185" s="758">
        <f t="shared" si="289"/>
        <v>0</v>
      </c>
    </row>
    <row r="2186" spans="1:36" x14ac:dyDescent="0.2">
      <c r="A2186" s="1164" t="s">
        <v>154</v>
      </c>
      <c r="B2186" s="1464" t="s">
        <v>264</v>
      </c>
      <c r="C2186" s="1479" t="s">
        <v>1870</v>
      </c>
      <c r="D2186" s="1480"/>
      <c r="E2186" s="1478">
        <v>407601</v>
      </c>
      <c r="F2186" s="910">
        <v>13</v>
      </c>
      <c r="G2186" s="859"/>
      <c r="H2186" s="860"/>
      <c r="I2186" s="861"/>
      <c r="J2186" s="862"/>
      <c r="K2186" s="859"/>
      <c r="L2186" s="863"/>
      <c r="M2186" s="859"/>
      <c r="N2186" s="859"/>
      <c r="O2186" s="752">
        <f t="shared" si="282"/>
        <v>0</v>
      </c>
      <c r="P2186" s="862"/>
      <c r="Q2186" s="860"/>
      <c r="R2186" s="753">
        <f t="shared" si="285"/>
        <v>0</v>
      </c>
      <c r="S2186" s="752">
        <f t="shared" si="286"/>
        <v>0</v>
      </c>
      <c r="T2186" s="754">
        <f t="shared" si="287"/>
        <v>0</v>
      </c>
      <c r="U2186" s="859"/>
      <c r="V2186" s="863"/>
      <c r="W2186" s="859"/>
      <c r="X2186" s="859"/>
      <c r="Y2186" s="755">
        <f t="shared" si="283"/>
        <v>0</v>
      </c>
      <c r="Z2186" s="864"/>
      <c r="AA2186" s="863"/>
      <c r="AB2186" s="756">
        <f t="shared" si="284"/>
        <v>0</v>
      </c>
      <c r="AC2186" s="859"/>
      <c r="AD2186" s="863"/>
      <c r="AE2186" s="859"/>
      <c r="AF2186" s="859"/>
      <c r="AG2186" s="864"/>
      <c r="AH2186" s="865"/>
      <c r="AI2186" s="757">
        <f t="shared" si="288"/>
        <v>0</v>
      </c>
      <c r="AJ2186" s="758">
        <f t="shared" si="289"/>
        <v>0</v>
      </c>
    </row>
    <row r="2187" spans="1:36" x14ac:dyDescent="0.2">
      <c r="A2187" s="1164" t="s">
        <v>154</v>
      </c>
      <c r="B2187" s="1464" t="s">
        <v>264</v>
      </c>
      <c r="C2187" s="1464" t="s">
        <v>1871</v>
      </c>
      <c r="D2187" s="1481"/>
      <c r="E2187" s="1478">
        <v>364627</v>
      </c>
      <c r="F2187" s="910">
        <v>13</v>
      </c>
      <c r="G2187" s="859">
        <v>2309599</v>
      </c>
      <c r="H2187" s="860">
        <v>2459148</v>
      </c>
      <c r="I2187" s="861"/>
      <c r="J2187" s="862"/>
      <c r="K2187" s="859"/>
      <c r="L2187" s="863"/>
      <c r="M2187" s="859">
        <v>479821</v>
      </c>
      <c r="N2187" s="859"/>
      <c r="O2187" s="752">
        <f t="shared" ref="O2187:O2250" si="290">SUM(M2187:N2187)</f>
        <v>479821</v>
      </c>
      <c r="P2187" s="862">
        <v>481702</v>
      </c>
      <c r="Q2187" s="860"/>
      <c r="R2187" s="753">
        <f t="shared" si="285"/>
        <v>481702</v>
      </c>
      <c r="S2187" s="752">
        <f t="shared" si="286"/>
        <v>2789420</v>
      </c>
      <c r="T2187" s="754">
        <f t="shared" si="287"/>
        <v>2940850</v>
      </c>
      <c r="U2187" s="859"/>
      <c r="V2187" s="863"/>
      <c r="W2187" s="859"/>
      <c r="X2187" s="859"/>
      <c r="Y2187" s="755">
        <f t="shared" ref="Y2187:Y2250" si="291">SUM(W2187:X2187)</f>
        <v>0</v>
      </c>
      <c r="Z2187" s="864"/>
      <c r="AA2187" s="863"/>
      <c r="AB2187" s="756">
        <f t="shared" ref="AB2187:AB2250" si="292">SUM(Z2187:AA2187)</f>
        <v>0</v>
      </c>
      <c r="AC2187" s="859"/>
      <c r="AD2187" s="863"/>
      <c r="AE2187" s="859"/>
      <c r="AF2187" s="859"/>
      <c r="AG2187" s="864"/>
      <c r="AH2187" s="865"/>
      <c r="AI2187" s="757">
        <f t="shared" si="288"/>
        <v>2789420</v>
      </c>
      <c r="AJ2187" s="758">
        <f t="shared" si="289"/>
        <v>2940850</v>
      </c>
    </row>
    <row r="2188" spans="1:36" x14ac:dyDescent="0.2">
      <c r="A2188" s="1164" t="s">
        <v>154</v>
      </c>
      <c r="B2188" s="1464" t="s">
        <v>264</v>
      </c>
      <c r="C2188" s="1464" t="s">
        <v>1872</v>
      </c>
      <c r="D2188" s="1481"/>
      <c r="E2188" s="1478">
        <v>206905</v>
      </c>
      <c r="F2188" s="910">
        <v>13</v>
      </c>
      <c r="G2188" s="859">
        <v>1545317</v>
      </c>
      <c r="H2188" s="860">
        <v>1543151</v>
      </c>
      <c r="I2188" s="861"/>
      <c r="J2188" s="862"/>
      <c r="K2188" s="859"/>
      <c r="L2188" s="863"/>
      <c r="M2188" s="859">
        <v>507221</v>
      </c>
      <c r="N2188" s="859"/>
      <c r="O2188" s="752">
        <f t="shared" si="290"/>
        <v>507221</v>
      </c>
      <c r="P2188" s="862">
        <v>446263</v>
      </c>
      <c r="Q2188" s="860"/>
      <c r="R2188" s="753">
        <f t="shared" ref="R2188:R2251" si="293">SUM(P2188:Q2188)</f>
        <v>446263</v>
      </c>
      <c r="S2188" s="752">
        <f t="shared" ref="S2188:S2251" si="294">SUM(G2188,I2188,K2188,M2188)</f>
        <v>2052538</v>
      </c>
      <c r="T2188" s="754">
        <f t="shared" ref="T2188:T2251" si="295">SUM(H2188,J2188,L2188,P2188)</f>
        <v>1989414</v>
      </c>
      <c r="U2188" s="859"/>
      <c r="V2188" s="863"/>
      <c r="W2188" s="859"/>
      <c r="X2188" s="859"/>
      <c r="Y2188" s="755">
        <f t="shared" si="291"/>
        <v>0</v>
      </c>
      <c r="Z2188" s="864"/>
      <c r="AA2188" s="863"/>
      <c r="AB2188" s="756">
        <f t="shared" si="292"/>
        <v>0</v>
      </c>
      <c r="AC2188" s="859"/>
      <c r="AD2188" s="863"/>
      <c r="AE2188" s="859"/>
      <c r="AF2188" s="859"/>
      <c r="AG2188" s="864"/>
      <c r="AH2188" s="865"/>
      <c r="AI2188" s="757">
        <f t="shared" ref="AI2188:AI2251" si="296">SUM(S2188,U2188,W2188,AC2188,AE2188)</f>
        <v>2052538</v>
      </c>
      <c r="AJ2188" s="758">
        <f t="shared" ref="AJ2188:AJ2251" si="297">SUM(T2188,V2188,Z2188,AD2188,AG2188)</f>
        <v>1989414</v>
      </c>
    </row>
    <row r="2189" spans="1:36" x14ac:dyDescent="0.2">
      <c r="A2189" s="1164" t="s">
        <v>154</v>
      </c>
      <c r="B2189" s="1464" t="s">
        <v>264</v>
      </c>
      <c r="C2189" s="1464" t="s">
        <v>1873</v>
      </c>
      <c r="D2189" s="1481"/>
      <c r="E2189" s="1478">
        <v>250993</v>
      </c>
      <c r="F2189" s="910">
        <v>13</v>
      </c>
      <c r="G2189" s="859">
        <v>2149555</v>
      </c>
      <c r="H2189" s="860">
        <v>2217083</v>
      </c>
      <c r="I2189" s="861"/>
      <c r="J2189" s="862"/>
      <c r="K2189" s="859"/>
      <c r="L2189" s="863"/>
      <c r="M2189" s="859">
        <v>274191</v>
      </c>
      <c r="N2189" s="859"/>
      <c r="O2189" s="752">
        <f t="shared" si="290"/>
        <v>274191</v>
      </c>
      <c r="P2189" s="862">
        <v>288296</v>
      </c>
      <c r="Q2189" s="860"/>
      <c r="R2189" s="753">
        <f t="shared" si="293"/>
        <v>288296</v>
      </c>
      <c r="S2189" s="752">
        <f t="shared" si="294"/>
        <v>2423746</v>
      </c>
      <c r="T2189" s="754">
        <f t="shared" si="295"/>
        <v>2505379</v>
      </c>
      <c r="U2189" s="859"/>
      <c r="V2189" s="863"/>
      <c r="W2189" s="859"/>
      <c r="X2189" s="859"/>
      <c r="Y2189" s="755">
        <f t="shared" si="291"/>
        <v>0</v>
      </c>
      <c r="Z2189" s="864"/>
      <c r="AA2189" s="863"/>
      <c r="AB2189" s="756">
        <f t="shared" si="292"/>
        <v>0</v>
      </c>
      <c r="AC2189" s="859"/>
      <c r="AD2189" s="863"/>
      <c r="AE2189" s="859"/>
      <c r="AF2189" s="859"/>
      <c r="AG2189" s="864"/>
      <c r="AH2189" s="865"/>
      <c r="AI2189" s="757">
        <f t="shared" si="296"/>
        <v>2423746</v>
      </c>
      <c r="AJ2189" s="758">
        <f t="shared" si="297"/>
        <v>2505379</v>
      </c>
    </row>
    <row r="2190" spans="1:36" x14ac:dyDescent="0.2">
      <c r="A2190" s="1164" t="s">
        <v>154</v>
      </c>
      <c r="B2190" s="1464" t="s">
        <v>264</v>
      </c>
      <c r="C2190" s="1464" t="s">
        <v>1874</v>
      </c>
      <c r="D2190" s="1481"/>
      <c r="E2190" s="1478">
        <v>365198</v>
      </c>
      <c r="F2190" s="910">
        <v>13</v>
      </c>
      <c r="G2190" s="859">
        <v>2255104</v>
      </c>
      <c r="H2190" s="860">
        <v>2074397</v>
      </c>
      <c r="I2190" s="861"/>
      <c r="J2190" s="862"/>
      <c r="K2190" s="859"/>
      <c r="L2190" s="863"/>
      <c r="M2190" s="859">
        <v>408904</v>
      </c>
      <c r="N2190" s="859"/>
      <c r="O2190" s="752">
        <f t="shared" si="290"/>
        <v>408904</v>
      </c>
      <c r="P2190" s="862">
        <v>438319</v>
      </c>
      <c r="Q2190" s="860"/>
      <c r="R2190" s="753">
        <f t="shared" si="293"/>
        <v>438319</v>
      </c>
      <c r="S2190" s="752">
        <f t="shared" si="294"/>
        <v>2664008</v>
      </c>
      <c r="T2190" s="754">
        <f t="shared" si="295"/>
        <v>2512716</v>
      </c>
      <c r="U2190" s="859"/>
      <c r="V2190" s="863"/>
      <c r="W2190" s="859"/>
      <c r="X2190" s="859"/>
      <c r="Y2190" s="755">
        <f t="shared" si="291"/>
        <v>0</v>
      </c>
      <c r="Z2190" s="864"/>
      <c r="AA2190" s="863"/>
      <c r="AB2190" s="756">
        <f t="shared" si="292"/>
        <v>0</v>
      </c>
      <c r="AC2190" s="859"/>
      <c r="AD2190" s="863"/>
      <c r="AE2190" s="859"/>
      <c r="AF2190" s="859"/>
      <c r="AG2190" s="864"/>
      <c r="AH2190" s="865"/>
      <c r="AI2190" s="757">
        <f t="shared" si="296"/>
        <v>2664008</v>
      </c>
      <c r="AJ2190" s="758">
        <f t="shared" si="297"/>
        <v>2512716</v>
      </c>
    </row>
    <row r="2191" spans="1:36" x14ac:dyDescent="0.2">
      <c r="A2191" s="1164" t="s">
        <v>154</v>
      </c>
      <c r="B2191" s="1464" t="s">
        <v>264</v>
      </c>
      <c r="C2191" s="1464" t="s">
        <v>1875</v>
      </c>
      <c r="D2191" s="1481"/>
      <c r="E2191" s="1478">
        <v>368364</v>
      </c>
      <c r="F2191" s="910">
        <v>13</v>
      </c>
      <c r="G2191" s="859">
        <v>2224925</v>
      </c>
      <c r="H2191" s="860">
        <v>2239703</v>
      </c>
      <c r="I2191" s="861"/>
      <c r="J2191" s="862"/>
      <c r="K2191" s="859"/>
      <c r="L2191" s="863"/>
      <c r="M2191" s="859">
        <v>286347</v>
      </c>
      <c r="N2191" s="859"/>
      <c r="O2191" s="752">
        <f t="shared" si="290"/>
        <v>286347</v>
      </c>
      <c r="P2191" s="862">
        <v>219024</v>
      </c>
      <c r="Q2191" s="860"/>
      <c r="R2191" s="753">
        <f t="shared" si="293"/>
        <v>219024</v>
      </c>
      <c r="S2191" s="752">
        <f t="shared" si="294"/>
        <v>2511272</v>
      </c>
      <c r="T2191" s="754">
        <f t="shared" si="295"/>
        <v>2458727</v>
      </c>
      <c r="U2191" s="859"/>
      <c r="V2191" s="863"/>
      <c r="W2191" s="859"/>
      <c r="X2191" s="859"/>
      <c r="Y2191" s="755">
        <f t="shared" si="291"/>
        <v>0</v>
      </c>
      <c r="Z2191" s="864"/>
      <c r="AA2191" s="863"/>
      <c r="AB2191" s="756">
        <f t="shared" si="292"/>
        <v>0</v>
      </c>
      <c r="AC2191" s="859"/>
      <c r="AD2191" s="863"/>
      <c r="AE2191" s="859"/>
      <c r="AF2191" s="859"/>
      <c r="AG2191" s="864"/>
      <c r="AH2191" s="865"/>
      <c r="AI2191" s="757">
        <f t="shared" si="296"/>
        <v>2511272</v>
      </c>
      <c r="AJ2191" s="758">
        <f t="shared" si="297"/>
        <v>2458727</v>
      </c>
    </row>
    <row r="2192" spans="1:36" x14ac:dyDescent="0.2">
      <c r="A2192" s="1164" t="s">
        <v>154</v>
      </c>
      <c r="B2192" s="1464" t="s">
        <v>264</v>
      </c>
      <c r="C2192" s="1464" t="s">
        <v>1876</v>
      </c>
      <c r="D2192" s="1481"/>
      <c r="E2192" s="1478">
        <v>418287</v>
      </c>
      <c r="F2192" s="910">
        <v>13</v>
      </c>
      <c r="G2192" s="859">
        <v>2673982</v>
      </c>
      <c r="H2192" s="860">
        <v>2945357</v>
      </c>
      <c r="I2192" s="861"/>
      <c r="J2192" s="862"/>
      <c r="K2192" s="859"/>
      <c r="L2192" s="863"/>
      <c r="M2192" s="859">
        <v>749973</v>
      </c>
      <c r="N2192" s="859"/>
      <c r="O2192" s="752">
        <f t="shared" si="290"/>
        <v>749973</v>
      </c>
      <c r="P2192" s="862">
        <v>745257</v>
      </c>
      <c r="Q2192" s="860"/>
      <c r="R2192" s="753">
        <f t="shared" si="293"/>
        <v>745257</v>
      </c>
      <c r="S2192" s="752">
        <f t="shared" si="294"/>
        <v>3423955</v>
      </c>
      <c r="T2192" s="754">
        <f t="shared" si="295"/>
        <v>3690614</v>
      </c>
      <c r="U2192" s="859"/>
      <c r="V2192" s="863"/>
      <c r="W2192" s="859"/>
      <c r="X2192" s="859"/>
      <c r="Y2192" s="755">
        <f t="shared" si="291"/>
        <v>0</v>
      </c>
      <c r="Z2192" s="864"/>
      <c r="AA2192" s="863"/>
      <c r="AB2192" s="756">
        <f t="shared" si="292"/>
        <v>0</v>
      </c>
      <c r="AC2192" s="859"/>
      <c r="AD2192" s="863"/>
      <c r="AE2192" s="859"/>
      <c r="AF2192" s="859"/>
      <c r="AG2192" s="864"/>
      <c r="AH2192" s="865"/>
      <c r="AI2192" s="757">
        <f t="shared" si="296"/>
        <v>3423955</v>
      </c>
      <c r="AJ2192" s="758">
        <f t="shared" si="297"/>
        <v>3690614</v>
      </c>
    </row>
    <row r="2193" spans="1:36" x14ac:dyDescent="0.2">
      <c r="A2193" s="1164" t="s">
        <v>154</v>
      </c>
      <c r="B2193" s="1464" t="s">
        <v>264</v>
      </c>
      <c r="C2193" s="1482" t="s">
        <v>1877</v>
      </c>
      <c r="D2193" s="1483"/>
      <c r="E2193" s="1478">
        <v>207607</v>
      </c>
      <c r="F2193" s="910">
        <v>13</v>
      </c>
      <c r="G2193" s="859"/>
      <c r="H2193" s="860"/>
      <c r="I2193" s="861"/>
      <c r="J2193" s="862"/>
      <c r="K2193" s="859"/>
      <c r="L2193" s="863"/>
      <c r="M2193" s="859"/>
      <c r="N2193" s="859"/>
      <c r="O2193" s="752">
        <f t="shared" si="290"/>
        <v>0</v>
      </c>
      <c r="P2193" s="862"/>
      <c r="Q2193" s="860"/>
      <c r="R2193" s="753">
        <f t="shared" si="293"/>
        <v>0</v>
      </c>
      <c r="S2193" s="752">
        <f t="shared" si="294"/>
        <v>0</v>
      </c>
      <c r="T2193" s="754">
        <f t="shared" si="295"/>
        <v>0</v>
      </c>
      <c r="U2193" s="859"/>
      <c r="V2193" s="863"/>
      <c r="W2193" s="859"/>
      <c r="X2193" s="859"/>
      <c r="Y2193" s="755">
        <f t="shared" si="291"/>
        <v>0</v>
      </c>
      <c r="Z2193" s="864"/>
      <c r="AA2193" s="863"/>
      <c r="AB2193" s="756">
        <f t="shared" si="292"/>
        <v>0</v>
      </c>
      <c r="AC2193" s="859"/>
      <c r="AD2193" s="863"/>
      <c r="AE2193" s="859"/>
      <c r="AF2193" s="859"/>
      <c r="AG2193" s="864"/>
      <c r="AH2193" s="865"/>
      <c r="AI2193" s="757">
        <f t="shared" si="296"/>
        <v>0</v>
      </c>
      <c r="AJ2193" s="758">
        <f t="shared" si="297"/>
        <v>0</v>
      </c>
    </row>
    <row r="2194" spans="1:36" x14ac:dyDescent="0.2">
      <c r="A2194" s="1164" t="s">
        <v>154</v>
      </c>
      <c r="B2194" s="1464" t="s">
        <v>264</v>
      </c>
      <c r="C2194" s="1484" t="s">
        <v>1878</v>
      </c>
      <c r="D2194" s="1502" t="s">
        <v>1889</v>
      </c>
      <c r="E2194" s="1485">
        <v>261393</v>
      </c>
      <c r="F2194" s="910">
        <v>13</v>
      </c>
      <c r="G2194" s="859"/>
      <c r="H2194" s="860"/>
      <c r="I2194" s="861"/>
      <c r="J2194" s="862"/>
      <c r="K2194" s="859"/>
      <c r="L2194" s="863"/>
      <c r="M2194" s="859"/>
      <c r="N2194" s="859"/>
      <c r="O2194" s="752">
        <f t="shared" si="290"/>
        <v>0</v>
      </c>
      <c r="P2194" s="862"/>
      <c r="Q2194" s="860"/>
      <c r="R2194" s="753">
        <f t="shared" si="293"/>
        <v>0</v>
      </c>
      <c r="S2194" s="752">
        <f t="shared" si="294"/>
        <v>0</v>
      </c>
      <c r="T2194" s="754">
        <f t="shared" si="295"/>
        <v>0</v>
      </c>
      <c r="U2194" s="859"/>
      <c r="V2194" s="863"/>
      <c r="W2194" s="859"/>
      <c r="X2194" s="859"/>
      <c r="Y2194" s="755">
        <f t="shared" si="291"/>
        <v>0</v>
      </c>
      <c r="Z2194" s="864"/>
      <c r="AA2194" s="863"/>
      <c r="AB2194" s="756">
        <f t="shared" si="292"/>
        <v>0</v>
      </c>
      <c r="AC2194" s="859"/>
      <c r="AD2194" s="863"/>
      <c r="AE2194" s="859"/>
      <c r="AF2194" s="859"/>
      <c r="AG2194" s="864"/>
      <c r="AH2194" s="865"/>
      <c r="AI2194" s="757">
        <f t="shared" si="296"/>
        <v>0</v>
      </c>
      <c r="AJ2194" s="758">
        <f t="shared" si="297"/>
        <v>0</v>
      </c>
    </row>
    <row r="2195" spans="1:36" x14ac:dyDescent="0.2">
      <c r="A2195" s="1164" t="s">
        <v>154</v>
      </c>
      <c r="B2195" s="1464" t="s">
        <v>264</v>
      </c>
      <c r="C2195" s="1482" t="s">
        <v>1879</v>
      </c>
      <c r="D2195" s="1483" t="s">
        <v>1889</v>
      </c>
      <c r="E2195" s="1478">
        <v>261375</v>
      </c>
      <c r="F2195" s="910">
        <v>13</v>
      </c>
      <c r="G2195" s="859"/>
      <c r="H2195" s="860"/>
      <c r="I2195" s="861"/>
      <c r="J2195" s="862"/>
      <c r="K2195" s="859"/>
      <c r="L2195" s="863"/>
      <c r="M2195" s="859"/>
      <c r="N2195" s="859"/>
      <c r="O2195" s="752">
        <f t="shared" si="290"/>
        <v>0</v>
      </c>
      <c r="P2195" s="862"/>
      <c r="Q2195" s="860"/>
      <c r="R2195" s="753">
        <f t="shared" si="293"/>
        <v>0</v>
      </c>
      <c r="S2195" s="752">
        <f t="shared" si="294"/>
        <v>0</v>
      </c>
      <c r="T2195" s="754">
        <f t="shared" si="295"/>
        <v>0</v>
      </c>
      <c r="U2195" s="859"/>
      <c r="V2195" s="863"/>
      <c r="W2195" s="859"/>
      <c r="X2195" s="859"/>
      <c r="Y2195" s="755">
        <f t="shared" si="291"/>
        <v>0</v>
      </c>
      <c r="Z2195" s="864"/>
      <c r="AA2195" s="863"/>
      <c r="AB2195" s="756">
        <f t="shared" si="292"/>
        <v>0</v>
      </c>
      <c r="AC2195" s="859"/>
      <c r="AD2195" s="863"/>
      <c r="AE2195" s="859"/>
      <c r="AF2195" s="859"/>
      <c r="AG2195" s="864"/>
      <c r="AH2195" s="865"/>
      <c r="AI2195" s="757">
        <f t="shared" si="296"/>
        <v>0</v>
      </c>
      <c r="AJ2195" s="758">
        <f t="shared" si="297"/>
        <v>0</v>
      </c>
    </row>
    <row r="2196" spans="1:36" x14ac:dyDescent="0.2">
      <c r="A2196" s="1164" t="s">
        <v>154</v>
      </c>
      <c r="B2196" s="1464" t="s">
        <v>264</v>
      </c>
      <c r="C2196" s="1482" t="s">
        <v>1880</v>
      </c>
      <c r="D2196" s="1483"/>
      <c r="E2196" s="1478">
        <v>261384</v>
      </c>
      <c r="F2196" s="910">
        <v>13</v>
      </c>
      <c r="G2196" s="859"/>
      <c r="H2196" s="860"/>
      <c r="I2196" s="861"/>
      <c r="J2196" s="862"/>
      <c r="K2196" s="859"/>
      <c r="L2196" s="863"/>
      <c r="M2196" s="859"/>
      <c r="N2196" s="859"/>
      <c r="O2196" s="752">
        <f t="shared" si="290"/>
        <v>0</v>
      </c>
      <c r="P2196" s="862"/>
      <c r="Q2196" s="860"/>
      <c r="R2196" s="753">
        <f t="shared" si="293"/>
        <v>0</v>
      </c>
      <c r="S2196" s="752">
        <f t="shared" si="294"/>
        <v>0</v>
      </c>
      <c r="T2196" s="754">
        <f t="shared" si="295"/>
        <v>0</v>
      </c>
      <c r="U2196" s="859"/>
      <c r="V2196" s="863"/>
      <c r="W2196" s="859"/>
      <c r="X2196" s="859"/>
      <c r="Y2196" s="755">
        <f t="shared" si="291"/>
        <v>0</v>
      </c>
      <c r="Z2196" s="864"/>
      <c r="AA2196" s="863"/>
      <c r="AB2196" s="756">
        <f t="shared" si="292"/>
        <v>0</v>
      </c>
      <c r="AC2196" s="859"/>
      <c r="AD2196" s="863"/>
      <c r="AE2196" s="859"/>
      <c r="AF2196" s="859"/>
      <c r="AG2196" s="864"/>
      <c r="AH2196" s="865"/>
      <c r="AI2196" s="757">
        <f t="shared" si="296"/>
        <v>0</v>
      </c>
      <c r="AJ2196" s="758">
        <f t="shared" si="297"/>
        <v>0</v>
      </c>
    </row>
    <row r="2197" spans="1:36" x14ac:dyDescent="0.2">
      <c r="A2197" s="1164" t="s">
        <v>154</v>
      </c>
      <c r="B2197" s="1464" t="s">
        <v>264</v>
      </c>
      <c r="C2197" s="1464" t="s">
        <v>1881</v>
      </c>
      <c r="D2197" s="1481"/>
      <c r="E2197" s="1478">
        <v>418357</v>
      </c>
      <c r="F2197" s="910">
        <v>13</v>
      </c>
      <c r="G2197" s="859">
        <v>2442523</v>
      </c>
      <c r="H2197" s="860">
        <v>2528012</v>
      </c>
      <c r="I2197" s="861"/>
      <c r="J2197" s="862"/>
      <c r="K2197" s="859"/>
      <c r="L2197" s="863"/>
      <c r="M2197" s="859">
        <v>160179</v>
      </c>
      <c r="N2197" s="859"/>
      <c r="O2197" s="752">
        <f t="shared" si="290"/>
        <v>160179</v>
      </c>
      <c r="P2197" s="862">
        <v>94956</v>
      </c>
      <c r="Q2197" s="860"/>
      <c r="R2197" s="753">
        <f t="shared" si="293"/>
        <v>94956</v>
      </c>
      <c r="S2197" s="752">
        <f t="shared" si="294"/>
        <v>2602702</v>
      </c>
      <c r="T2197" s="754">
        <f t="shared" si="295"/>
        <v>2622968</v>
      </c>
      <c r="U2197" s="859"/>
      <c r="V2197" s="863"/>
      <c r="W2197" s="859"/>
      <c r="X2197" s="859"/>
      <c r="Y2197" s="755">
        <f t="shared" si="291"/>
        <v>0</v>
      </c>
      <c r="Z2197" s="864"/>
      <c r="AA2197" s="863"/>
      <c r="AB2197" s="756">
        <f t="shared" si="292"/>
        <v>0</v>
      </c>
      <c r="AC2197" s="859"/>
      <c r="AD2197" s="863"/>
      <c r="AE2197" s="859"/>
      <c r="AF2197" s="859"/>
      <c r="AG2197" s="864"/>
      <c r="AH2197" s="865"/>
      <c r="AI2197" s="757">
        <f t="shared" si="296"/>
        <v>2602702</v>
      </c>
      <c r="AJ2197" s="758">
        <f t="shared" si="297"/>
        <v>2622968</v>
      </c>
    </row>
    <row r="2198" spans="1:36" x14ac:dyDescent="0.2">
      <c r="A2198" s="1164" t="s">
        <v>154</v>
      </c>
      <c r="B2198" s="1464" t="s">
        <v>264</v>
      </c>
      <c r="C2198" s="1464" t="s">
        <v>1882</v>
      </c>
      <c r="D2198" s="1481"/>
      <c r="E2198" s="1478">
        <v>418302</v>
      </c>
      <c r="F2198" s="910">
        <v>13</v>
      </c>
      <c r="G2198" s="859">
        <v>2453560</v>
      </c>
      <c r="H2198" s="860">
        <v>2421941</v>
      </c>
      <c r="I2198" s="861"/>
      <c r="J2198" s="862"/>
      <c r="K2198" s="859"/>
      <c r="L2198" s="863"/>
      <c r="M2198" s="859">
        <v>541743</v>
      </c>
      <c r="N2198" s="859"/>
      <c r="O2198" s="752">
        <f t="shared" si="290"/>
        <v>541743</v>
      </c>
      <c r="P2198" s="862">
        <v>491475</v>
      </c>
      <c r="Q2198" s="860"/>
      <c r="R2198" s="753">
        <f t="shared" si="293"/>
        <v>491475</v>
      </c>
      <c r="S2198" s="752">
        <f t="shared" si="294"/>
        <v>2995303</v>
      </c>
      <c r="T2198" s="754">
        <f t="shared" si="295"/>
        <v>2913416</v>
      </c>
      <c r="U2198" s="859"/>
      <c r="V2198" s="863"/>
      <c r="W2198" s="859"/>
      <c r="X2198" s="859"/>
      <c r="Y2198" s="755">
        <f t="shared" si="291"/>
        <v>0</v>
      </c>
      <c r="Z2198" s="864"/>
      <c r="AA2198" s="863"/>
      <c r="AB2198" s="756">
        <f t="shared" si="292"/>
        <v>0</v>
      </c>
      <c r="AC2198" s="859"/>
      <c r="AD2198" s="863"/>
      <c r="AE2198" s="859"/>
      <c r="AF2198" s="859"/>
      <c r="AG2198" s="864"/>
      <c r="AH2198" s="865"/>
      <c r="AI2198" s="757">
        <f t="shared" si="296"/>
        <v>2995303</v>
      </c>
      <c r="AJ2198" s="758">
        <f t="shared" si="297"/>
        <v>2913416</v>
      </c>
    </row>
    <row r="2199" spans="1:36" x14ac:dyDescent="0.2">
      <c r="A2199" s="1164" t="s">
        <v>154</v>
      </c>
      <c r="B2199" s="1464" t="s">
        <v>264</v>
      </c>
      <c r="C2199" s="1486" t="s">
        <v>1883</v>
      </c>
      <c r="D2199" s="1487"/>
      <c r="E2199" s="1164"/>
      <c r="F2199" s="910">
        <v>13</v>
      </c>
      <c r="G2199" s="859">
        <v>4534920</v>
      </c>
      <c r="H2199" s="860">
        <v>4264619</v>
      </c>
      <c r="I2199" s="861"/>
      <c r="J2199" s="862"/>
      <c r="K2199" s="859"/>
      <c r="L2199" s="863"/>
      <c r="M2199" s="859">
        <v>836901</v>
      </c>
      <c r="N2199" s="859"/>
      <c r="O2199" s="752">
        <f t="shared" si="290"/>
        <v>836901</v>
      </c>
      <c r="P2199" s="862">
        <v>903803</v>
      </c>
      <c r="Q2199" s="860"/>
      <c r="R2199" s="753">
        <f t="shared" si="293"/>
        <v>903803</v>
      </c>
      <c r="S2199" s="752">
        <f t="shared" si="294"/>
        <v>5371821</v>
      </c>
      <c r="T2199" s="754">
        <f t="shared" si="295"/>
        <v>5168422</v>
      </c>
      <c r="U2199" s="859"/>
      <c r="V2199" s="863"/>
      <c r="W2199" s="859"/>
      <c r="X2199" s="859"/>
      <c r="Y2199" s="755">
        <f t="shared" si="291"/>
        <v>0</v>
      </c>
      <c r="Z2199" s="864"/>
      <c r="AA2199" s="863"/>
      <c r="AB2199" s="756">
        <f t="shared" si="292"/>
        <v>0</v>
      </c>
      <c r="AC2199" s="859"/>
      <c r="AD2199" s="863"/>
      <c r="AE2199" s="859"/>
      <c r="AF2199" s="859"/>
      <c r="AG2199" s="864"/>
      <c r="AH2199" s="865"/>
      <c r="AI2199" s="757">
        <f t="shared" si="296"/>
        <v>5371821</v>
      </c>
      <c r="AJ2199" s="758">
        <f t="shared" si="297"/>
        <v>5168422</v>
      </c>
    </row>
    <row r="2200" spans="1:36" x14ac:dyDescent="0.2">
      <c r="A2200" s="1164" t="s">
        <v>154</v>
      </c>
      <c r="B2200" s="1464" t="s">
        <v>264</v>
      </c>
      <c r="C2200" s="1488" t="s">
        <v>1884</v>
      </c>
      <c r="D2200" s="1489"/>
      <c r="E2200" s="1164"/>
      <c r="F2200" s="910">
        <v>13</v>
      </c>
      <c r="G2200" s="859">
        <v>7923241</v>
      </c>
      <c r="H2200" s="860">
        <v>8008580</v>
      </c>
      <c r="I2200" s="861"/>
      <c r="J2200" s="862"/>
      <c r="K2200" s="859"/>
      <c r="L2200" s="863"/>
      <c r="M2200" s="859">
        <v>1244898</v>
      </c>
      <c r="N2200" s="859"/>
      <c r="O2200" s="752">
        <f t="shared" si="290"/>
        <v>1244898</v>
      </c>
      <c r="P2200" s="862">
        <v>1963465</v>
      </c>
      <c r="Q2200" s="860"/>
      <c r="R2200" s="753">
        <f t="shared" si="293"/>
        <v>1963465</v>
      </c>
      <c r="S2200" s="752">
        <f t="shared" si="294"/>
        <v>9168139</v>
      </c>
      <c r="T2200" s="754">
        <f t="shared" si="295"/>
        <v>9972045</v>
      </c>
      <c r="U2200" s="859"/>
      <c r="V2200" s="863"/>
      <c r="W2200" s="859"/>
      <c r="X2200" s="859"/>
      <c r="Y2200" s="755">
        <f t="shared" si="291"/>
        <v>0</v>
      </c>
      <c r="Z2200" s="864"/>
      <c r="AA2200" s="863"/>
      <c r="AB2200" s="756">
        <f t="shared" si="292"/>
        <v>0</v>
      </c>
      <c r="AC2200" s="859"/>
      <c r="AD2200" s="863"/>
      <c r="AE2200" s="859"/>
      <c r="AF2200" s="859"/>
      <c r="AG2200" s="864"/>
      <c r="AH2200" s="865"/>
      <c r="AI2200" s="757">
        <f t="shared" si="296"/>
        <v>9168139</v>
      </c>
      <c r="AJ2200" s="758">
        <f t="shared" si="297"/>
        <v>9972045</v>
      </c>
    </row>
    <row r="2201" spans="1:36" x14ac:dyDescent="0.2">
      <c r="A2201" s="1164" t="s">
        <v>154</v>
      </c>
      <c r="B2201" s="1464" t="s">
        <v>264</v>
      </c>
      <c r="C2201" s="1490" t="s">
        <v>1885</v>
      </c>
      <c r="D2201" s="1491"/>
      <c r="E2201" s="1478"/>
      <c r="F2201" s="910">
        <v>13</v>
      </c>
      <c r="G2201" s="859">
        <v>2922446</v>
      </c>
      <c r="H2201" s="860">
        <v>2774005</v>
      </c>
      <c r="I2201" s="861"/>
      <c r="J2201" s="862"/>
      <c r="K2201" s="859"/>
      <c r="L2201" s="863"/>
      <c r="M2201" s="859">
        <v>773377</v>
      </c>
      <c r="N2201" s="859"/>
      <c r="O2201" s="752">
        <f t="shared" si="290"/>
        <v>773377</v>
      </c>
      <c r="P2201" s="862">
        <v>734607</v>
      </c>
      <c r="Q2201" s="860"/>
      <c r="R2201" s="753">
        <f t="shared" si="293"/>
        <v>734607</v>
      </c>
      <c r="S2201" s="752">
        <f t="shared" si="294"/>
        <v>3695823</v>
      </c>
      <c r="T2201" s="754">
        <f t="shared" si="295"/>
        <v>3508612</v>
      </c>
      <c r="U2201" s="859"/>
      <c r="V2201" s="863"/>
      <c r="W2201" s="859"/>
      <c r="X2201" s="859"/>
      <c r="Y2201" s="755">
        <f t="shared" si="291"/>
        <v>0</v>
      </c>
      <c r="Z2201" s="864"/>
      <c r="AA2201" s="863"/>
      <c r="AB2201" s="756">
        <f t="shared" si="292"/>
        <v>0</v>
      </c>
      <c r="AC2201" s="859"/>
      <c r="AD2201" s="863"/>
      <c r="AE2201" s="859"/>
      <c r="AF2201" s="859"/>
      <c r="AG2201" s="864"/>
      <c r="AH2201" s="865"/>
      <c r="AI2201" s="757">
        <f t="shared" si="296"/>
        <v>3695823</v>
      </c>
      <c r="AJ2201" s="758">
        <f t="shared" si="297"/>
        <v>3508612</v>
      </c>
    </row>
    <row r="2202" spans="1:36" x14ac:dyDescent="0.2">
      <c r="A2202" s="1164" t="s">
        <v>154</v>
      </c>
      <c r="B2202" s="1464" t="s">
        <v>264</v>
      </c>
      <c r="C2202" s="1492" t="s">
        <v>1886</v>
      </c>
      <c r="D2202" s="1493"/>
      <c r="E2202" s="1478"/>
      <c r="F2202" s="910">
        <v>13</v>
      </c>
      <c r="G2202" s="859">
        <v>1808112</v>
      </c>
      <c r="H2202" s="860">
        <v>1847089</v>
      </c>
      <c r="I2202" s="861"/>
      <c r="J2202" s="862"/>
      <c r="K2202" s="859"/>
      <c r="L2202" s="863"/>
      <c r="M2202" s="859">
        <v>241953</v>
      </c>
      <c r="N2202" s="859"/>
      <c r="O2202" s="752">
        <f t="shared" si="290"/>
        <v>241953</v>
      </c>
      <c r="P2202" s="862">
        <v>287115</v>
      </c>
      <c r="Q2202" s="860"/>
      <c r="R2202" s="753">
        <f t="shared" si="293"/>
        <v>287115</v>
      </c>
      <c r="S2202" s="752">
        <f t="shared" si="294"/>
        <v>2050065</v>
      </c>
      <c r="T2202" s="754">
        <f t="shared" si="295"/>
        <v>2134204</v>
      </c>
      <c r="U2202" s="859"/>
      <c r="V2202" s="863"/>
      <c r="W2202" s="859"/>
      <c r="X2202" s="859"/>
      <c r="Y2202" s="755">
        <f t="shared" si="291"/>
        <v>0</v>
      </c>
      <c r="Z2202" s="864"/>
      <c r="AA2202" s="863"/>
      <c r="AB2202" s="756">
        <f t="shared" si="292"/>
        <v>0</v>
      </c>
      <c r="AC2202" s="859"/>
      <c r="AD2202" s="863"/>
      <c r="AE2202" s="859"/>
      <c r="AF2202" s="859"/>
      <c r="AG2202" s="864"/>
      <c r="AH2202" s="865"/>
      <c r="AI2202" s="757">
        <f t="shared" si="296"/>
        <v>2050065</v>
      </c>
      <c r="AJ2202" s="758">
        <f t="shared" si="297"/>
        <v>2134204</v>
      </c>
    </row>
    <row r="2203" spans="1:36" x14ac:dyDescent="0.2">
      <c r="A2203" s="1164" t="s">
        <v>154</v>
      </c>
      <c r="B2203" s="1464" t="s">
        <v>264</v>
      </c>
      <c r="C2203" s="1494" t="s">
        <v>1887</v>
      </c>
      <c r="D2203" s="1495"/>
      <c r="E2203" s="1478"/>
      <c r="F2203" s="910">
        <v>13</v>
      </c>
      <c r="G2203" s="859">
        <v>7267189</v>
      </c>
      <c r="H2203" s="860">
        <v>7216512</v>
      </c>
      <c r="I2203" s="861"/>
      <c r="J2203" s="862"/>
      <c r="K2203" s="859"/>
      <c r="L2203" s="863"/>
      <c r="M2203" s="859">
        <v>5161240</v>
      </c>
      <c r="N2203" s="859"/>
      <c r="O2203" s="752">
        <f t="shared" si="290"/>
        <v>5161240</v>
      </c>
      <c r="P2203" s="862">
        <v>5412719</v>
      </c>
      <c r="Q2203" s="860"/>
      <c r="R2203" s="753">
        <f t="shared" si="293"/>
        <v>5412719</v>
      </c>
      <c r="S2203" s="752">
        <f t="shared" si="294"/>
        <v>12428429</v>
      </c>
      <c r="T2203" s="754">
        <f t="shared" si="295"/>
        <v>12629231</v>
      </c>
      <c r="U2203" s="859"/>
      <c r="V2203" s="863"/>
      <c r="W2203" s="859"/>
      <c r="X2203" s="859"/>
      <c r="Y2203" s="755">
        <f t="shared" si="291"/>
        <v>0</v>
      </c>
      <c r="Z2203" s="864"/>
      <c r="AA2203" s="863"/>
      <c r="AB2203" s="756">
        <f t="shared" si="292"/>
        <v>0</v>
      </c>
      <c r="AC2203" s="859"/>
      <c r="AD2203" s="863"/>
      <c r="AE2203" s="859"/>
      <c r="AF2203" s="859"/>
      <c r="AG2203" s="864"/>
      <c r="AH2203" s="865"/>
      <c r="AI2203" s="757">
        <f t="shared" si="296"/>
        <v>12428429</v>
      </c>
      <c r="AJ2203" s="758">
        <f t="shared" si="297"/>
        <v>12629231</v>
      </c>
    </row>
    <row r="2204" spans="1:36" x14ac:dyDescent="0.2">
      <c r="A2204" s="1164" t="s">
        <v>154</v>
      </c>
      <c r="B2204" s="1464" t="s">
        <v>281</v>
      </c>
      <c r="C2204" s="1496" t="s">
        <v>109</v>
      </c>
      <c r="D2204" s="1481"/>
      <c r="E2204" s="1478"/>
      <c r="F2204" s="910"/>
      <c r="G2204" s="859"/>
      <c r="H2204" s="860"/>
      <c r="I2204" s="861"/>
      <c r="J2204" s="862"/>
      <c r="K2204" s="859"/>
      <c r="L2204" s="863"/>
      <c r="M2204" s="859"/>
      <c r="N2204" s="859"/>
      <c r="O2204" s="752">
        <f t="shared" si="290"/>
        <v>0</v>
      </c>
      <c r="P2204" s="862"/>
      <c r="Q2204" s="860"/>
      <c r="R2204" s="753">
        <f t="shared" si="293"/>
        <v>0</v>
      </c>
      <c r="S2204" s="752">
        <f t="shared" si="294"/>
        <v>0</v>
      </c>
      <c r="T2204" s="754">
        <f t="shared" si="295"/>
        <v>0</v>
      </c>
      <c r="U2204" s="859"/>
      <c r="V2204" s="863"/>
      <c r="W2204" s="859"/>
      <c r="X2204" s="859"/>
      <c r="Y2204" s="755">
        <f t="shared" si="291"/>
        <v>0</v>
      </c>
      <c r="Z2204" s="864"/>
      <c r="AA2204" s="863"/>
      <c r="AB2204" s="756">
        <f t="shared" si="292"/>
        <v>0</v>
      </c>
      <c r="AC2204" s="859"/>
      <c r="AD2204" s="863"/>
      <c r="AE2204" s="859"/>
      <c r="AF2204" s="859"/>
      <c r="AG2204" s="864"/>
      <c r="AH2204" s="865"/>
      <c r="AI2204" s="757">
        <f t="shared" si="296"/>
        <v>0</v>
      </c>
      <c r="AJ2204" s="758">
        <f t="shared" si="297"/>
        <v>0</v>
      </c>
    </row>
    <row r="2205" spans="1:36" x14ac:dyDescent="0.2">
      <c r="A2205" s="1164" t="s">
        <v>154</v>
      </c>
      <c r="B2205" s="1464" t="s">
        <v>283</v>
      </c>
      <c r="C2205" s="1497" t="s">
        <v>139</v>
      </c>
      <c r="D2205" s="1498"/>
      <c r="E2205" s="1478"/>
      <c r="F2205" s="910"/>
      <c r="G2205" s="859"/>
      <c r="H2205" s="860"/>
      <c r="I2205" s="861"/>
      <c r="J2205" s="862"/>
      <c r="K2205" s="859"/>
      <c r="L2205" s="863"/>
      <c r="M2205" s="859"/>
      <c r="N2205" s="859"/>
      <c r="O2205" s="752">
        <f t="shared" si="290"/>
        <v>0</v>
      </c>
      <c r="P2205" s="862"/>
      <c r="Q2205" s="860"/>
      <c r="R2205" s="753">
        <f t="shared" si="293"/>
        <v>0</v>
      </c>
      <c r="S2205" s="752">
        <f t="shared" si="294"/>
        <v>0</v>
      </c>
      <c r="T2205" s="754">
        <f t="shared" si="295"/>
        <v>0</v>
      </c>
      <c r="U2205" s="859"/>
      <c r="V2205" s="863"/>
      <c r="W2205" s="859"/>
      <c r="X2205" s="859"/>
      <c r="Y2205" s="755">
        <f t="shared" si="291"/>
        <v>0</v>
      </c>
      <c r="Z2205" s="864"/>
      <c r="AA2205" s="863"/>
      <c r="AB2205" s="756">
        <f t="shared" si="292"/>
        <v>0</v>
      </c>
      <c r="AC2205" s="859"/>
      <c r="AD2205" s="863"/>
      <c r="AE2205" s="859"/>
      <c r="AF2205" s="859"/>
      <c r="AG2205" s="864"/>
      <c r="AH2205" s="865"/>
      <c r="AI2205" s="757">
        <f t="shared" si="296"/>
        <v>0</v>
      </c>
      <c r="AJ2205" s="758">
        <f t="shared" si="297"/>
        <v>0</v>
      </c>
    </row>
    <row r="2206" spans="1:36" x14ac:dyDescent="0.2">
      <c r="A2206" s="1164" t="s">
        <v>154</v>
      </c>
      <c r="B2206" s="1464" t="s">
        <v>283</v>
      </c>
      <c r="C2206" s="1499" t="s">
        <v>1888</v>
      </c>
      <c r="D2206" s="1498"/>
      <c r="E2206" s="1478"/>
      <c r="F2206" s="910"/>
      <c r="G2206" s="859"/>
      <c r="H2206" s="860"/>
      <c r="I2206" s="861"/>
      <c r="J2206" s="862"/>
      <c r="K2206" s="859"/>
      <c r="L2206" s="863"/>
      <c r="M2206" s="859"/>
      <c r="N2206" s="859"/>
      <c r="O2206" s="752">
        <f t="shared" si="290"/>
        <v>0</v>
      </c>
      <c r="P2206" s="862"/>
      <c r="Q2206" s="860"/>
      <c r="R2206" s="753">
        <f t="shared" si="293"/>
        <v>0</v>
      </c>
      <c r="S2206" s="752">
        <f t="shared" si="294"/>
        <v>0</v>
      </c>
      <c r="T2206" s="754">
        <f t="shared" si="295"/>
        <v>0</v>
      </c>
      <c r="U2206" s="859"/>
      <c r="V2206" s="863"/>
      <c r="W2206" s="859"/>
      <c r="X2206" s="859"/>
      <c r="Y2206" s="755">
        <f t="shared" si="291"/>
        <v>0</v>
      </c>
      <c r="Z2206" s="864"/>
      <c r="AA2206" s="863"/>
      <c r="AB2206" s="756">
        <f t="shared" si="292"/>
        <v>0</v>
      </c>
      <c r="AC2206" s="859"/>
      <c r="AD2206" s="863"/>
      <c r="AE2206" s="859"/>
      <c r="AF2206" s="859"/>
      <c r="AG2206" s="864"/>
      <c r="AH2206" s="865"/>
      <c r="AI2206" s="757">
        <f t="shared" si="296"/>
        <v>0</v>
      </c>
      <c r="AJ2206" s="758">
        <f t="shared" si="297"/>
        <v>0</v>
      </c>
    </row>
    <row r="2207" spans="1:36" x14ac:dyDescent="0.2">
      <c r="A2207" s="1421" t="s">
        <v>146</v>
      </c>
      <c r="B2207" s="1293" t="s">
        <v>264</v>
      </c>
      <c r="C2207" s="1422" t="s">
        <v>1662</v>
      </c>
      <c r="D2207" s="1423"/>
      <c r="E2207" s="1424">
        <v>217882</v>
      </c>
      <c r="F2207" s="1259">
        <v>1</v>
      </c>
      <c r="G2207" s="859">
        <v>52555948</v>
      </c>
      <c r="H2207" s="860">
        <v>52601494</v>
      </c>
      <c r="I2207" s="861"/>
      <c r="J2207" s="862"/>
      <c r="K2207" s="859"/>
      <c r="L2207" s="863"/>
      <c r="M2207" s="859">
        <v>334793035</v>
      </c>
      <c r="N2207" s="859">
        <v>24702793</v>
      </c>
      <c r="O2207" s="752">
        <f t="shared" si="290"/>
        <v>359495828</v>
      </c>
      <c r="P2207" s="862">
        <v>334793035</v>
      </c>
      <c r="Q2207" s="860">
        <v>24702793</v>
      </c>
      <c r="R2207" s="753">
        <f t="shared" si="293"/>
        <v>359495828</v>
      </c>
      <c r="S2207" s="752">
        <f t="shared" si="294"/>
        <v>387348983</v>
      </c>
      <c r="T2207" s="754">
        <f t="shared" si="295"/>
        <v>387394529</v>
      </c>
      <c r="U2207" s="859"/>
      <c r="V2207" s="863"/>
      <c r="W2207" s="859"/>
      <c r="X2207" s="859"/>
      <c r="Y2207" s="755">
        <f t="shared" si="291"/>
        <v>0</v>
      </c>
      <c r="Z2207" s="864"/>
      <c r="AA2207" s="863"/>
      <c r="AB2207" s="756">
        <f t="shared" si="292"/>
        <v>0</v>
      </c>
      <c r="AC2207" s="859"/>
      <c r="AD2207" s="863"/>
      <c r="AE2207" s="859"/>
      <c r="AF2207" s="859"/>
      <c r="AG2207" s="864"/>
      <c r="AH2207" s="865"/>
      <c r="AI2207" s="757">
        <f t="shared" si="296"/>
        <v>387348983</v>
      </c>
      <c r="AJ2207" s="758">
        <f t="shared" si="297"/>
        <v>387394529</v>
      </c>
    </row>
    <row r="2208" spans="1:36" x14ac:dyDescent="0.2">
      <c r="A2208" s="1421" t="s">
        <v>146</v>
      </c>
      <c r="B2208" s="1293" t="s">
        <v>264</v>
      </c>
      <c r="C2208" s="1284" t="s">
        <v>1663</v>
      </c>
      <c r="D2208" s="1283"/>
      <c r="E2208" s="1424">
        <v>217882</v>
      </c>
      <c r="F2208" s="1259">
        <v>1</v>
      </c>
      <c r="G2208" s="859">
        <v>10003751</v>
      </c>
      <c r="H2208" s="860">
        <v>10789110</v>
      </c>
      <c r="I2208" s="861"/>
      <c r="J2208" s="862"/>
      <c r="K2208" s="859"/>
      <c r="L2208" s="863"/>
      <c r="M2208" s="859"/>
      <c r="N2208" s="859"/>
      <c r="O2208" s="752">
        <f t="shared" si="290"/>
        <v>0</v>
      </c>
      <c r="P2208" s="862"/>
      <c r="Q2208" s="860"/>
      <c r="R2208" s="753">
        <f t="shared" si="293"/>
        <v>0</v>
      </c>
      <c r="S2208" s="752">
        <f t="shared" si="294"/>
        <v>10003751</v>
      </c>
      <c r="T2208" s="754">
        <f t="shared" si="295"/>
        <v>10789110</v>
      </c>
      <c r="U2208" s="859"/>
      <c r="V2208" s="863"/>
      <c r="W2208" s="859"/>
      <c r="X2208" s="859"/>
      <c r="Y2208" s="755">
        <f t="shared" si="291"/>
        <v>0</v>
      </c>
      <c r="Z2208" s="864"/>
      <c r="AA2208" s="863"/>
      <c r="AB2208" s="756">
        <f t="shared" si="292"/>
        <v>0</v>
      </c>
      <c r="AC2208" s="859"/>
      <c r="AD2208" s="863"/>
      <c r="AE2208" s="859"/>
      <c r="AF2208" s="859"/>
      <c r="AG2208" s="864"/>
      <c r="AH2208" s="865"/>
      <c r="AI2208" s="757">
        <f t="shared" si="296"/>
        <v>10003751</v>
      </c>
      <c r="AJ2208" s="758">
        <f t="shared" si="297"/>
        <v>10789110</v>
      </c>
    </row>
    <row r="2209" spans="1:36" x14ac:dyDescent="0.2">
      <c r="A2209" s="1421" t="s">
        <v>146</v>
      </c>
      <c r="B2209" s="1293" t="s">
        <v>266</v>
      </c>
      <c r="C2209" s="1282" t="s">
        <v>319</v>
      </c>
      <c r="D2209" s="1283"/>
      <c r="E2209" s="1424">
        <v>217882</v>
      </c>
      <c r="F2209" s="1259">
        <v>1</v>
      </c>
      <c r="G2209" s="859"/>
      <c r="H2209" s="860"/>
      <c r="I2209" s="861"/>
      <c r="J2209" s="862"/>
      <c r="K2209" s="859"/>
      <c r="L2209" s="863"/>
      <c r="M2209" s="859"/>
      <c r="N2209" s="859"/>
      <c r="O2209" s="752">
        <f t="shared" si="290"/>
        <v>0</v>
      </c>
      <c r="P2209" s="862"/>
      <c r="Q2209" s="860"/>
      <c r="R2209" s="753">
        <f t="shared" si="293"/>
        <v>0</v>
      </c>
      <c r="S2209" s="752">
        <f t="shared" si="294"/>
        <v>0</v>
      </c>
      <c r="T2209" s="754">
        <f t="shared" si="295"/>
        <v>0</v>
      </c>
      <c r="U2209" s="859"/>
      <c r="V2209" s="863"/>
      <c r="W2209" s="859"/>
      <c r="X2209" s="859"/>
      <c r="Y2209" s="755">
        <f t="shared" si="291"/>
        <v>0</v>
      </c>
      <c r="Z2209" s="864"/>
      <c r="AA2209" s="863"/>
      <c r="AB2209" s="756">
        <f t="shared" si="292"/>
        <v>0</v>
      </c>
      <c r="AC2209" s="859"/>
      <c r="AD2209" s="863"/>
      <c r="AE2209" s="859"/>
      <c r="AF2209" s="859"/>
      <c r="AG2209" s="864"/>
      <c r="AH2209" s="865"/>
      <c r="AI2209" s="757">
        <f t="shared" si="296"/>
        <v>0</v>
      </c>
      <c r="AJ2209" s="758">
        <f t="shared" si="297"/>
        <v>0</v>
      </c>
    </row>
    <row r="2210" spans="1:36" x14ac:dyDescent="0.2">
      <c r="A2210" s="1421" t="s">
        <v>146</v>
      </c>
      <c r="B2210" s="1293" t="s">
        <v>268</v>
      </c>
      <c r="C2210" s="1425" t="s">
        <v>1185</v>
      </c>
      <c r="D2210" s="1426"/>
      <c r="E2210" s="1424">
        <v>217882</v>
      </c>
      <c r="F2210" s="1259">
        <v>1</v>
      </c>
      <c r="G2210" s="859"/>
      <c r="H2210" s="860"/>
      <c r="I2210" s="861"/>
      <c r="J2210" s="862"/>
      <c r="K2210" s="859"/>
      <c r="L2210" s="863"/>
      <c r="M2210" s="859"/>
      <c r="N2210" s="859"/>
      <c r="O2210" s="752">
        <f t="shared" si="290"/>
        <v>0</v>
      </c>
      <c r="P2210" s="862"/>
      <c r="Q2210" s="860"/>
      <c r="R2210" s="753">
        <f t="shared" si="293"/>
        <v>0</v>
      </c>
      <c r="S2210" s="752">
        <f t="shared" si="294"/>
        <v>0</v>
      </c>
      <c r="T2210" s="754">
        <f t="shared" si="295"/>
        <v>0</v>
      </c>
      <c r="U2210" s="859"/>
      <c r="V2210" s="863"/>
      <c r="W2210" s="859"/>
      <c r="X2210" s="859"/>
      <c r="Y2210" s="755">
        <f t="shared" si="291"/>
        <v>0</v>
      </c>
      <c r="Z2210" s="864"/>
      <c r="AA2210" s="863"/>
      <c r="AB2210" s="756">
        <f t="shared" si="292"/>
        <v>0</v>
      </c>
      <c r="AC2210" s="859"/>
      <c r="AD2210" s="863"/>
      <c r="AE2210" s="859"/>
      <c r="AF2210" s="859"/>
      <c r="AG2210" s="864"/>
      <c r="AH2210" s="865"/>
      <c r="AI2210" s="757">
        <f t="shared" si="296"/>
        <v>0</v>
      </c>
      <c r="AJ2210" s="758">
        <f t="shared" si="297"/>
        <v>0</v>
      </c>
    </row>
    <row r="2211" spans="1:36" x14ac:dyDescent="0.2">
      <c r="A2211" s="1421" t="s">
        <v>146</v>
      </c>
      <c r="B2211" s="1293" t="s">
        <v>268</v>
      </c>
      <c r="C2211" s="1284" t="s">
        <v>1664</v>
      </c>
      <c r="D2211" s="1283"/>
      <c r="E2211" s="1424">
        <v>217882</v>
      </c>
      <c r="F2211" s="1259">
        <v>1</v>
      </c>
      <c r="G2211" s="859"/>
      <c r="H2211" s="860"/>
      <c r="I2211" s="861">
        <v>29284647</v>
      </c>
      <c r="J2211" s="862">
        <v>31282186</v>
      </c>
      <c r="K2211" s="859"/>
      <c r="L2211" s="863"/>
      <c r="M2211" s="859"/>
      <c r="N2211" s="859"/>
      <c r="O2211" s="752">
        <f t="shared" si="290"/>
        <v>0</v>
      </c>
      <c r="P2211" s="862"/>
      <c r="Q2211" s="860"/>
      <c r="R2211" s="753">
        <f t="shared" si="293"/>
        <v>0</v>
      </c>
      <c r="S2211" s="752">
        <f t="shared" si="294"/>
        <v>29284647</v>
      </c>
      <c r="T2211" s="754">
        <f t="shared" si="295"/>
        <v>31282186</v>
      </c>
      <c r="U2211" s="859"/>
      <c r="V2211" s="863"/>
      <c r="W2211" s="859"/>
      <c r="X2211" s="859"/>
      <c r="Y2211" s="755">
        <f t="shared" si="291"/>
        <v>0</v>
      </c>
      <c r="Z2211" s="864"/>
      <c r="AA2211" s="863"/>
      <c r="AB2211" s="756">
        <f t="shared" si="292"/>
        <v>0</v>
      </c>
      <c r="AC2211" s="859"/>
      <c r="AD2211" s="863"/>
      <c r="AE2211" s="859"/>
      <c r="AF2211" s="859"/>
      <c r="AG2211" s="864"/>
      <c r="AH2211" s="865"/>
      <c r="AI2211" s="757">
        <f t="shared" si="296"/>
        <v>29284647</v>
      </c>
      <c r="AJ2211" s="758">
        <f t="shared" si="297"/>
        <v>31282186</v>
      </c>
    </row>
    <row r="2212" spans="1:36" x14ac:dyDescent="0.2">
      <c r="A2212" s="1421" t="s">
        <v>146</v>
      </c>
      <c r="B2212" s="1293" t="s">
        <v>268</v>
      </c>
      <c r="C2212" s="1284" t="s">
        <v>1665</v>
      </c>
      <c r="D2212" s="1283"/>
      <c r="E2212" s="1424">
        <v>217882</v>
      </c>
      <c r="F2212" s="1259">
        <v>1</v>
      </c>
      <c r="G2212" s="859"/>
      <c r="H2212" s="860"/>
      <c r="I2212" s="861"/>
      <c r="J2212" s="862"/>
      <c r="K2212" s="859"/>
      <c r="L2212" s="863"/>
      <c r="M2212" s="859"/>
      <c r="N2212" s="859"/>
      <c r="O2212" s="752">
        <f t="shared" si="290"/>
        <v>0</v>
      </c>
      <c r="P2212" s="862"/>
      <c r="Q2212" s="860"/>
      <c r="R2212" s="753">
        <f t="shared" si="293"/>
        <v>0</v>
      </c>
      <c r="S2212" s="752">
        <f t="shared" si="294"/>
        <v>0</v>
      </c>
      <c r="T2212" s="754">
        <f t="shared" si="295"/>
        <v>0</v>
      </c>
      <c r="U2212" s="859"/>
      <c r="V2212" s="863"/>
      <c r="W2212" s="859"/>
      <c r="X2212" s="859"/>
      <c r="Y2212" s="755">
        <f t="shared" si="291"/>
        <v>0</v>
      </c>
      <c r="Z2212" s="864"/>
      <c r="AA2212" s="863"/>
      <c r="AB2212" s="756">
        <f t="shared" si="292"/>
        <v>0</v>
      </c>
      <c r="AC2212" s="859"/>
      <c r="AD2212" s="863"/>
      <c r="AE2212" s="859"/>
      <c r="AF2212" s="859"/>
      <c r="AG2212" s="864"/>
      <c r="AH2212" s="865"/>
      <c r="AI2212" s="757">
        <f t="shared" si="296"/>
        <v>0</v>
      </c>
      <c r="AJ2212" s="758">
        <f t="shared" si="297"/>
        <v>0</v>
      </c>
    </row>
    <row r="2213" spans="1:36" x14ac:dyDescent="0.2">
      <c r="A2213" s="1421" t="s">
        <v>146</v>
      </c>
      <c r="B2213" s="1293" t="s">
        <v>271</v>
      </c>
      <c r="C2213" s="1425" t="s">
        <v>1666</v>
      </c>
      <c r="D2213" s="1426"/>
      <c r="E2213" s="1424">
        <v>217882</v>
      </c>
      <c r="F2213" s="1259">
        <v>1</v>
      </c>
      <c r="G2213" s="859"/>
      <c r="H2213" s="860"/>
      <c r="I2213" s="861"/>
      <c r="J2213" s="862"/>
      <c r="K2213" s="859"/>
      <c r="L2213" s="863"/>
      <c r="M2213" s="859"/>
      <c r="N2213" s="859"/>
      <c r="O2213" s="752">
        <f t="shared" si="290"/>
        <v>0</v>
      </c>
      <c r="P2213" s="862"/>
      <c r="Q2213" s="860"/>
      <c r="R2213" s="753">
        <f t="shared" si="293"/>
        <v>0</v>
      </c>
      <c r="S2213" s="752">
        <f t="shared" si="294"/>
        <v>0</v>
      </c>
      <c r="T2213" s="754">
        <f t="shared" si="295"/>
        <v>0</v>
      </c>
      <c r="U2213" s="859"/>
      <c r="V2213" s="863"/>
      <c r="W2213" s="859"/>
      <c r="X2213" s="859"/>
      <c r="Y2213" s="755">
        <f t="shared" si="291"/>
        <v>0</v>
      </c>
      <c r="Z2213" s="864"/>
      <c r="AA2213" s="863"/>
      <c r="AB2213" s="756">
        <f t="shared" si="292"/>
        <v>0</v>
      </c>
      <c r="AC2213" s="859"/>
      <c r="AD2213" s="863"/>
      <c r="AE2213" s="859"/>
      <c r="AF2213" s="859"/>
      <c r="AG2213" s="864"/>
      <c r="AH2213" s="865"/>
      <c r="AI2213" s="757">
        <f t="shared" si="296"/>
        <v>0</v>
      </c>
      <c r="AJ2213" s="758">
        <f t="shared" si="297"/>
        <v>0</v>
      </c>
    </row>
    <row r="2214" spans="1:36" x14ac:dyDescent="0.2">
      <c r="A2214" s="1421" t="s">
        <v>146</v>
      </c>
      <c r="B2214" s="1293" t="s">
        <v>271</v>
      </c>
      <c r="C2214" s="1427" t="s">
        <v>1667</v>
      </c>
      <c r="D2214" s="1428"/>
      <c r="E2214" s="1424">
        <v>217882</v>
      </c>
      <c r="F2214" s="1259">
        <v>1</v>
      </c>
      <c r="G2214" s="859"/>
      <c r="H2214" s="860" t="s">
        <v>91</v>
      </c>
      <c r="I2214" s="861"/>
      <c r="J2214" s="862">
        <v>3000000</v>
      </c>
      <c r="K2214" s="859"/>
      <c r="L2214" s="863"/>
      <c r="M2214" s="859"/>
      <c r="N2214" s="859"/>
      <c r="O2214" s="752">
        <f t="shared" si="290"/>
        <v>0</v>
      </c>
      <c r="P2214" s="862"/>
      <c r="Q2214" s="860"/>
      <c r="R2214" s="753">
        <f t="shared" si="293"/>
        <v>0</v>
      </c>
      <c r="S2214" s="752">
        <f t="shared" si="294"/>
        <v>0</v>
      </c>
      <c r="T2214" s="754">
        <f t="shared" si="295"/>
        <v>3000000</v>
      </c>
      <c r="U2214" s="859"/>
      <c r="V2214" s="863"/>
      <c r="W2214" s="859"/>
      <c r="X2214" s="859"/>
      <c r="Y2214" s="755">
        <f t="shared" si="291"/>
        <v>0</v>
      </c>
      <c r="Z2214" s="864"/>
      <c r="AA2214" s="863"/>
      <c r="AB2214" s="756">
        <f t="shared" si="292"/>
        <v>0</v>
      </c>
      <c r="AC2214" s="859"/>
      <c r="AD2214" s="863"/>
      <c r="AE2214" s="859"/>
      <c r="AF2214" s="859"/>
      <c r="AG2214" s="864"/>
      <c r="AH2214" s="865"/>
      <c r="AI2214" s="757">
        <f t="shared" si="296"/>
        <v>0</v>
      </c>
      <c r="AJ2214" s="758">
        <f t="shared" si="297"/>
        <v>3000000</v>
      </c>
    </row>
    <row r="2215" spans="1:36" x14ac:dyDescent="0.2">
      <c r="A2215" s="1421" t="s">
        <v>146</v>
      </c>
      <c r="B2215" s="1293" t="s">
        <v>272</v>
      </c>
      <c r="C2215" s="1282" t="s">
        <v>970</v>
      </c>
      <c r="D2215" s="1283"/>
      <c r="E2215" s="1424">
        <v>217882</v>
      </c>
      <c r="F2215" s="1259">
        <v>1</v>
      </c>
      <c r="G2215" s="859"/>
      <c r="H2215" s="860"/>
      <c r="I2215" s="861"/>
      <c r="J2215" s="862"/>
      <c r="K2215" s="859"/>
      <c r="L2215" s="863"/>
      <c r="M2215" s="859"/>
      <c r="N2215" s="859"/>
      <c r="O2215" s="752">
        <f t="shared" si="290"/>
        <v>0</v>
      </c>
      <c r="P2215" s="862"/>
      <c r="Q2215" s="860"/>
      <c r="R2215" s="753">
        <f t="shared" si="293"/>
        <v>0</v>
      </c>
      <c r="S2215" s="752">
        <f t="shared" si="294"/>
        <v>0</v>
      </c>
      <c r="T2215" s="754">
        <f t="shared" si="295"/>
        <v>0</v>
      </c>
      <c r="U2215" s="859"/>
      <c r="V2215" s="863"/>
      <c r="W2215" s="859"/>
      <c r="X2215" s="859"/>
      <c r="Y2215" s="755">
        <f t="shared" si="291"/>
        <v>0</v>
      </c>
      <c r="Z2215" s="864"/>
      <c r="AA2215" s="863"/>
      <c r="AB2215" s="756">
        <f t="shared" si="292"/>
        <v>0</v>
      </c>
      <c r="AC2215" s="859"/>
      <c r="AD2215" s="863"/>
      <c r="AE2215" s="859"/>
      <c r="AF2215" s="859"/>
      <c r="AG2215" s="864"/>
      <c r="AH2215" s="865"/>
      <c r="AI2215" s="757">
        <f t="shared" si="296"/>
        <v>0</v>
      </c>
      <c r="AJ2215" s="758">
        <f t="shared" si="297"/>
        <v>0</v>
      </c>
    </row>
    <row r="2216" spans="1:36" x14ac:dyDescent="0.2">
      <c r="A2216" s="1421" t="s">
        <v>146</v>
      </c>
      <c r="B2216" s="1293" t="s">
        <v>272</v>
      </c>
      <c r="C2216" s="1429" t="s">
        <v>1668</v>
      </c>
      <c r="D2216" s="1430"/>
      <c r="E2216" s="1424">
        <v>217882</v>
      </c>
      <c r="F2216" s="1259">
        <v>1</v>
      </c>
      <c r="G2216" s="859"/>
      <c r="H2216" s="860"/>
      <c r="I2216" s="861"/>
      <c r="J2216" s="862">
        <v>1000000</v>
      </c>
      <c r="K2216" s="859"/>
      <c r="L2216" s="863"/>
      <c r="M2216" s="859"/>
      <c r="N2216" s="859"/>
      <c r="O2216" s="752">
        <f t="shared" si="290"/>
        <v>0</v>
      </c>
      <c r="P2216" s="862"/>
      <c r="Q2216" s="860"/>
      <c r="R2216" s="753">
        <f t="shared" si="293"/>
        <v>0</v>
      </c>
      <c r="S2216" s="752">
        <f t="shared" si="294"/>
        <v>0</v>
      </c>
      <c r="T2216" s="754">
        <f t="shared" si="295"/>
        <v>1000000</v>
      </c>
      <c r="U2216" s="859"/>
      <c r="V2216" s="863"/>
      <c r="W2216" s="859"/>
      <c r="X2216" s="859"/>
      <c r="Y2216" s="755">
        <f t="shared" si="291"/>
        <v>0</v>
      </c>
      <c r="Z2216" s="864"/>
      <c r="AA2216" s="863"/>
      <c r="AB2216" s="756">
        <f t="shared" si="292"/>
        <v>0</v>
      </c>
      <c r="AC2216" s="859"/>
      <c r="AD2216" s="863"/>
      <c r="AE2216" s="859"/>
      <c r="AF2216" s="859"/>
      <c r="AG2216" s="864"/>
      <c r="AH2216" s="865"/>
      <c r="AI2216" s="757">
        <f t="shared" si="296"/>
        <v>0</v>
      </c>
      <c r="AJ2216" s="758">
        <f t="shared" si="297"/>
        <v>1000000</v>
      </c>
    </row>
    <row r="2217" spans="1:36" x14ac:dyDescent="0.2">
      <c r="A2217" s="1421" t="s">
        <v>146</v>
      </c>
      <c r="B2217" s="1293" t="s">
        <v>272</v>
      </c>
      <c r="C2217" s="1282" t="s">
        <v>1669</v>
      </c>
      <c r="D2217" s="1283"/>
      <c r="E2217" s="1424">
        <v>217882</v>
      </c>
      <c r="F2217" s="1259">
        <v>1</v>
      </c>
      <c r="G2217" s="859"/>
      <c r="H2217" s="860"/>
      <c r="I2217" s="861">
        <v>4499221</v>
      </c>
      <c r="J2217" s="862"/>
      <c r="K2217" s="859"/>
      <c r="L2217" s="863"/>
      <c r="M2217" s="859"/>
      <c r="N2217" s="859"/>
      <c r="O2217" s="752">
        <f t="shared" si="290"/>
        <v>0</v>
      </c>
      <c r="P2217" s="862"/>
      <c r="Q2217" s="860"/>
      <c r="R2217" s="753">
        <f t="shared" si="293"/>
        <v>0</v>
      </c>
      <c r="S2217" s="752">
        <f t="shared" si="294"/>
        <v>4499221</v>
      </c>
      <c r="T2217" s="754">
        <f t="shared" si="295"/>
        <v>0</v>
      </c>
      <c r="U2217" s="859"/>
      <c r="V2217" s="863"/>
      <c r="W2217" s="859"/>
      <c r="X2217" s="859"/>
      <c r="Y2217" s="755">
        <f t="shared" si="291"/>
        <v>0</v>
      </c>
      <c r="Z2217" s="864"/>
      <c r="AA2217" s="863"/>
      <c r="AB2217" s="756">
        <f t="shared" si="292"/>
        <v>0</v>
      </c>
      <c r="AC2217" s="859"/>
      <c r="AD2217" s="863"/>
      <c r="AE2217" s="859"/>
      <c r="AF2217" s="859"/>
      <c r="AG2217" s="864"/>
      <c r="AH2217" s="865"/>
      <c r="AI2217" s="757">
        <f t="shared" si="296"/>
        <v>4499221</v>
      </c>
      <c r="AJ2217" s="758">
        <f t="shared" si="297"/>
        <v>0</v>
      </c>
    </row>
    <row r="2218" spans="1:36" x14ac:dyDescent="0.2">
      <c r="A2218" s="1421" t="s">
        <v>146</v>
      </c>
      <c r="B2218" s="1293" t="s">
        <v>272</v>
      </c>
      <c r="C2218" s="1429" t="s">
        <v>1670</v>
      </c>
      <c r="D2218" s="1430"/>
      <c r="E2218" s="1424">
        <v>217882</v>
      </c>
      <c r="F2218" s="1259">
        <v>1</v>
      </c>
      <c r="G2218" s="859"/>
      <c r="H2218" s="860"/>
      <c r="I2218" s="861"/>
      <c r="J2218" s="862">
        <v>2717813</v>
      </c>
      <c r="K2218" s="859"/>
      <c r="L2218" s="863"/>
      <c r="M2218" s="859"/>
      <c r="N2218" s="859"/>
      <c r="O2218" s="752">
        <f t="shared" si="290"/>
        <v>0</v>
      </c>
      <c r="P2218" s="862"/>
      <c r="Q2218" s="860"/>
      <c r="R2218" s="753">
        <f t="shared" si="293"/>
        <v>0</v>
      </c>
      <c r="S2218" s="752">
        <f t="shared" si="294"/>
        <v>0</v>
      </c>
      <c r="T2218" s="754">
        <f t="shared" si="295"/>
        <v>2717813</v>
      </c>
      <c r="U2218" s="859"/>
      <c r="V2218" s="863"/>
      <c r="W2218" s="859"/>
      <c r="X2218" s="859"/>
      <c r="Y2218" s="755">
        <f t="shared" si="291"/>
        <v>0</v>
      </c>
      <c r="Z2218" s="864"/>
      <c r="AA2218" s="863"/>
      <c r="AB2218" s="756">
        <f t="shared" si="292"/>
        <v>0</v>
      </c>
      <c r="AC2218" s="859"/>
      <c r="AD2218" s="863"/>
      <c r="AE2218" s="859"/>
      <c r="AF2218" s="859"/>
      <c r="AG2218" s="864"/>
      <c r="AH2218" s="865"/>
      <c r="AI2218" s="757">
        <f t="shared" si="296"/>
        <v>0</v>
      </c>
      <c r="AJ2218" s="758">
        <f t="shared" si="297"/>
        <v>2717813</v>
      </c>
    </row>
    <row r="2219" spans="1:36" x14ac:dyDescent="0.2">
      <c r="A2219" s="1421" t="s">
        <v>146</v>
      </c>
      <c r="B2219" s="1293" t="s">
        <v>272</v>
      </c>
      <c r="C2219" s="1284" t="s">
        <v>1671</v>
      </c>
      <c r="D2219" s="1283"/>
      <c r="E2219" s="1424">
        <v>217882</v>
      </c>
      <c r="F2219" s="1259">
        <v>1</v>
      </c>
      <c r="G2219" s="859"/>
      <c r="H2219" s="860"/>
      <c r="I2219" s="861">
        <v>30282</v>
      </c>
      <c r="J2219" s="862">
        <v>28539</v>
      </c>
      <c r="K2219" s="859"/>
      <c r="L2219" s="863"/>
      <c r="M2219" s="859"/>
      <c r="N2219" s="859"/>
      <c r="O2219" s="752">
        <f t="shared" si="290"/>
        <v>0</v>
      </c>
      <c r="P2219" s="862"/>
      <c r="Q2219" s="860"/>
      <c r="R2219" s="753">
        <f t="shared" si="293"/>
        <v>0</v>
      </c>
      <c r="S2219" s="752">
        <f t="shared" si="294"/>
        <v>30282</v>
      </c>
      <c r="T2219" s="754">
        <f t="shared" si="295"/>
        <v>28539</v>
      </c>
      <c r="U2219" s="859"/>
      <c r="V2219" s="863"/>
      <c r="W2219" s="859"/>
      <c r="X2219" s="859"/>
      <c r="Y2219" s="755">
        <f t="shared" si="291"/>
        <v>0</v>
      </c>
      <c r="Z2219" s="864"/>
      <c r="AA2219" s="863"/>
      <c r="AB2219" s="756">
        <f t="shared" si="292"/>
        <v>0</v>
      </c>
      <c r="AC2219" s="859"/>
      <c r="AD2219" s="863"/>
      <c r="AE2219" s="859"/>
      <c r="AF2219" s="859"/>
      <c r="AG2219" s="864"/>
      <c r="AH2219" s="865"/>
      <c r="AI2219" s="757">
        <f t="shared" si="296"/>
        <v>30282</v>
      </c>
      <c r="AJ2219" s="758">
        <f t="shared" si="297"/>
        <v>28539</v>
      </c>
    </row>
    <row r="2220" spans="1:36" x14ac:dyDescent="0.2">
      <c r="A2220" s="1421" t="s">
        <v>146</v>
      </c>
      <c r="B2220" s="1293" t="s">
        <v>264</v>
      </c>
      <c r="C2220" s="1293" t="s">
        <v>1672</v>
      </c>
      <c r="D2220" s="1295"/>
      <c r="E2220" s="1424">
        <v>218663</v>
      </c>
      <c r="F2220" s="1259">
        <v>1</v>
      </c>
      <c r="G2220" s="859">
        <v>68852227</v>
      </c>
      <c r="H2220" s="860">
        <v>68905595</v>
      </c>
      <c r="I2220" s="861"/>
      <c r="J2220" s="862"/>
      <c r="K2220" s="859"/>
      <c r="L2220" s="863"/>
      <c r="M2220" s="859">
        <v>455579675</v>
      </c>
      <c r="N2220" s="859">
        <v>24175612</v>
      </c>
      <c r="O2220" s="752">
        <f t="shared" si="290"/>
        <v>479755287</v>
      </c>
      <c r="P2220" s="862">
        <v>455579675</v>
      </c>
      <c r="Q2220" s="860">
        <v>24175612</v>
      </c>
      <c r="R2220" s="753">
        <f t="shared" si="293"/>
        <v>479755287</v>
      </c>
      <c r="S2220" s="752">
        <f t="shared" si="294"/>
        <v>524431902</v>
      </c>
      <c r="T2220" s="754">
        <f t="shared" si="295"/>
        <v>524485270</v>
      </c>
      <c r="U2220" s="859"/>
      <c r="V2220" s="863"/>
      <c r="W2220" s="859"/>
      <c r="X2220" s="859"/>
      <c r="Y2220" s="755">
        <f t="shared" si="291"/>
        <v>0</v>
      </c>
      <c r="Z2220" s="864"/>
      <c r="AA2220" s="863"/>
      <c r="AB2220" s="756">
        <f t="shared" si="292"/>
        <v>0</v>
      </c>
      <c r="AC2220" s="859"/>
      <c r="AD2220" s="863"/>
      <c r="AE2220" s="859"/>
      <c r="AF2220" s="859"/>
      <c r="AG2220" s="864"/>
      <c r="AH2220" s="865"/>
      <c r="AI2220" s="757">
        <f t="shared" si="296"/>
        <v>524431902</v>
      </c>
      <c r="AJ2220" s="758">
        <f t="shared" si="297"/>
        <v>524485270</v>
      </c>
    </row>
    <row r="2221" spans="1:36" x14ac:dyDescent="0.2">
      <c r="A2221" s="1421" t="s">
        <v>146</v>
      </c>
      <c r="B2221" s="1293" t="s">
        <v>264</v>
      </c>
      <c r="C2221" s="1284" t="s">
        <v>1663</v>
      </c>
      <c r="D2221" s="1283"/>
      <c r="E2221" s="1424">
        <v>218663</v>
      </c>
      <c r="F2221" s="1259">
        <v>1</v>
      </c>
      <c r="G2221" s="859">
        <v>18079504</v>
      </c>
      <c r="H2221" s="860">
        <v>19563395</v>
      </c>
      <c r="I2221" s="861"/>
      <c r="J2221" s="862"/>
      <c r="K2221" s="859"/>
      <c r="L2221" s="863"/>
      <c r="M2221" s="859"/>
      <c r="N2221" s="859"/>
      <c r="O2221" s="752">
        <f t="shared" si="290"/>
        <v>0</v>
      </c>
      <c r="P2221" s="862"/>
      <c r="Q2221" s="860"/>
      <c r="R2221" s="753">
        <f t="shared" si="293"/>
        <v>0</v>
      </c>
      <c r="S2221" s="752">
        <f t="shared" si="294"/>
        <v>18079504</v>
      </c>
      <c r="T2221" s="754">
        <f t="shared" si="295"/>
        <v>19563395</v>
      </c>
      <c r="U2221" s="859"/>
      <c r="V2221" s="863"/>
      <c r="W2221" s="859"/>
      <c r="X2221" s="859"/>
      <c r="Y2221" s="755">
        <f t="shared" si="291"/>
        <v>0</v>
      </c>
      <c r="Z2221" s="864"/>
      <c r="AA2221" s="863"/>
      <c r="AB2221" s="756">
        <f t="shared" si="292"/>
        <v>0</v>
      </c>
      <c r="AC2221" s="859"/>
      <c r="AD2221" s="863"/>
      <c r="AE2221" s="859"/>
      <c r="AF2221" s="859"/>
      <c r="AG2221" s="864"/>
      <c r="AH2221" s="865"/>
      <c r="AI2221" s="757">
        <f t="shared" si="296"/>
        <v>18079504</v>
      </c>
      <c r="AJ2221" s="758">
        <f t="shared" si="297"/>
        <v>19563395</v>
      </c>
    </row>
    <row r="2222" spans="1:36" x14ac:dyDescent="0.2">
      <c r="A2222" s="1421" t="s">
        <v>146</v>
      </c>
      <c r="B2222" s="1293" t="s">
        <v>266</v>
      </c>
      <c r="C2222" s="1425" t="s">
        <v>319</v>
      </c>
      <c r="D2222" s="1426"/>
      <c r="E2222" s="1424">
        <v>218663</v>
      </c>
      <c r="F2222" s="1259">
        <v>1</v>
      </c>
      <c r="G2222" s="859"/>
      <c r="H2222" s="860"/>
      <c r="I2222" s="861"/>
      <c r="J2222" s="862"/>
      <c r="K2222" s="859"/>
      <c r="L2222" s="863"/>
      <c r="M2222" s="859"/>
      <c r="N2222" s="859"/>
      <c r="O2222" s="752">
        <f t="shared" si="290"/>
        <v>0</v>
      </c>
      <c r="P2222" s="862"/>
      <c r="Q2222" s="860"/>
      <c r="R2222" s="753">
        <f t="shared" si="293"/>
        <v>0</v>
      </c>
      <c r="S2222" s="752">
        <f t="shared" si="294"/>
        <v>0</v>
      </c>
      <c r="T2222" s="754">
        <f t="shared" si="295"/>
        <v>0</v>
      </c>
      <c r="U2222" s="859"/>
      <c r="V2222" s="863"/>
      <c r="W2222" s="859"/>
      <c r="X2222" s="859"/>
      <c r="Y2222" s="755">
        <f t="shared" si="291"/>
        <v>0</v>
      </c>
      <c r="Z2222" s="864"/>
      <c r="AA2222" s="863"/>
      <c r="AB2222" s="756">
        <f t="shared" si="292"/>
        <v>0</v>
      </c>
      <c r="AC2222" s="859"/>
      <c r="AD2222" s="863"/>
      <c r="AE2222" s="859"/>
      <c r="AF2222" s="859"/>
      <c r="AG2222" s="864"/>
      <c r="AH2222" s="865"/>
      <c r="AI2222" s="757">
        <f t="shared" si="296"/>
        <v>0</v>
      </c>
      <c r="AJ2222" s="758">
        <f t="shared" si="297"/>
        <v>0</v>
      </c>
    </row>
    <row r="2223" spans="1:36" x14ac:dyDescent="0.2">
      <c r="A2223" s="1421" t="s">
        <v>146</v>
      </c>
      <c r="B2223" s="1293" t="s">
        <v>266</v>
      </c>
      <c r="C2223" s="1284" t="s">
        <v>1673</v>
      </c>
      <c r="D2223" s="1283"/>
      <c r="E2223" s="1424">
        <v>218663</v>
      </c>
      <c r="F2223" s="1259">
        <v>1</v>
      </c>
      <c r="G2223" s="859"/>
      <c r="H2223" s="860"/>
      <c r="I2223" s="861">
        <v>248625</v>
      </c>
      <c r="J2223" s="862">
        <v>251763</v>
      </c>
      <c r="K2223" s="859"/>
      <c r="L2223" s="863"/>
      <c r="M2223" s="859"/>
      <c r="N2223" s="859"/>
      <c r="O2223" s="752">
        <f t="shared" si="290"/>
        <v>0</v>
      </c>
      <c r="P2223" s="862"/>
      <c r="Q2223" s="860"/>
      <c r="R2223" s="753">
        <f t="shared" si="293"/>
        <v>0</v>
      </c>
      <c r="S2223" s="752">
        <f t="shared" si="294"/>
        <v>248625</v>
      </c>
      <c r="T2223" s="754">
        <f t="shared" si="295"/>
        <v>251763</v>
      </c>
      <c r="U2223" s="859"/>
      <c r="V2223" s="863"/>
      <c r="W2223" s="859"/>
      <c r="X2223" s="859"/>
      <c r="Y2223" s="755">
        <f t="shared" si="291"/>
        <v>0</v>
      </c>
      <c r="Z2223" s="864"/>
      <c r="AA2223" s="863"/>
      <c r="AB2223" s="756">
        <f t="shared" si="292"/>
        <v>0</v>
      </c>
      <c r="AC2223" s="859"/>
      <c r="AD2223" s="863"/>
      <c r="AE2223" s="859"/>
      <c r="AF2223" s="859"/>
      <c r="AG2223" s="864"/>
      <c r="AH2223" s="865"/>
      <c r="AI2223" s="757">
        <f t="shared" si="296"/>
        <v>248625</v>
      </c>
      <c r="AJ2223" s="758">
        <f t="shared" si="297"/>
        <v>251763</v>
      </c>
    </row>
    <row r="2224" spans="1:36" x14ac:dyDescent="0.2">
      <c r="A2224" s="1421" t="s">
        <v>146</v>
      </c>
      <c r="B2224" s="1293" t="s">
        <v>266</v>
      </c>
      <c r="C2224" s="1284" t="s">
        <v>1674</v>
      </c>
      <c r="D2224" s="1283"/>
      <c r="E2224" s="1424">
        <v>218663</v>
      </c>
      <c r="F2224" s="1259">
        <v>1</v>
      </c>
      <c r="G2224" s="859"/>
      <c r="H2224" s="860"/>
      <c r="I2224" s="861">
        <v>5000000</v>
      </c>
      <c r="J2224" s="862">
        <v>2748500</v>
      </c>
      <c r="K2224" s="859"/>
      <c r="L2224" s="863"/>
      <c r="M2224" s="859"/>
      <c r="N2224" s="859"/>
      <c r="O2224" s="752">
        <f t="shared" si="290"/>
        <v>0</v>
      </c>
      <c r="P2224" s="862"/>
      <c r="Q2224" s="860"/>
      <c r="R2224" s="753">
        <f t="shared" si="293"/>
        <v>0</v>
      </c>
      <c r="S2224" s="752">
        <f t="shared" si="294"/>
        <v>5000000</v>
      </c>
      <c r="T2224" s="754">
        <f t="shared" si="295"/>
        <v>2748500</v>
      </c>
      <c r="U2224" s="859"/>
      <c r="V2224" s="863"/>
      <c r="W2224" s="859"/>
      <c r="X2224" s="859"/>
      <c r="Y2224" s="755">
        <f t="shared" si="291"/>
        <v>0</v>
      </c>
      <c r="Z2224" s="864"/>
      <c r="AA2224" s="863"/>
      <c r="AB2224" s="756">
        <f t="shared" si="292"/>
        <v>0</v>
      </c>
      <c r="AC2224" s="859"/>
      <c r="AD2224" s="863"/>
      <c r="AE2224" s="859"/>
      <c r="AF2224" s="859"/>
      <c r="AG2224" s="864"/>
      <c r="AH2224" s="865"/>
      <c r="AI2224" s="757">
        <f t="shared" si="296"/>
        <v>5000000</v>
      </c>
      <c r="AJ2224" s="758">
        <f t="shared" si="297"/>
        <v>2748500</v>
      </c>
    </row>
    <row r="2225" spans="1:36" x14ac:dyDescent="0.2">
      <c r="A2225" s="1421" t="s">
        <v>146</v>
      </c>
      <c r="B2225" s="1293" t="s">
        <v>266</v>
      </c>
      <c r="C2225" s="1427" t="s">
        <v>1675</v>
      </c>
      <c r="D2225" s="1428"/>
      <c r="E2225" s="1424">
        <v>218663</v>
      </c>
      <c r="F2225" s="1259">
        <v>1</v>
      </c>
      <c r="G2225" s="859"/>
      <c r="H2225" s="860"/>
      <c r="I2225" s="861">
        <v>100000</v>
      </c>
      <c r="J2225" s="862">
        <v>100000</v>
      </c>
      <c r="K2225" s="859"/>
      <c r="L2225" s="863"/>
      <c r="M2225" s="859"/>
      <c r="N2225" s="859"/>
      <c r="O2225" s="752">
        <f t="shared" si="290"/>
        <v>0</v>
      </c>
      <c r="P2225" s="862"/>
      <c r="Q2225" s="860"/>
      <c r="R2225" s="753">
        <f t="shared" si="293"/>
        <v>0</v>
      </c>
      <c r="S2225" s="752">
        <f t="shared" si="294"/>
        <v>100000</v>
      </c>
      <c r="T2225" s="754">
        <f t="shared" si="295"/>
        <v>100000</v>
      </c>
      <c r="U2225" s="859"/>
      <c r="V2225" s="863"/>
      <c r="W2225" s="859"/>
      <c r="X2225" s="859"/>
      <c r="Y2225" s="755">
        <f t="shared" si="291"/>
        <v>0</v>
      </c>
      <c r="Z2225" s="864"/>
      <c r="AA2225" s="863"/>
      <c r="AB2225" s="756">
        <f t="shared" si="292"/>
        <v>0</v>
      </c>
      <c r="AC2225" s="859"/>
      <c r="AD2225" s="863"/>
      <c r="AE2225" s="859"/>
      <c r="AF2225" s="859"/>
      <c r="AG2225" s="864"/>
      <c r="AH2225" s="865"/>
      <c r="AI2225" s="757">
        <f t="shared" si="296"/>
        <v>100000</v>
      </c>
      <c r="AJ2225" s="758">
        <f t="shared" si="297"/>
        <v>100000</v>
      </c>
    </row>
    <row r="2226" spans="1:36" x14ac:dyDescent="0.2">
      <c r="A2226" s="1421" t="s">
        <v>146</v>
      </c>
      <c r="B2226" s="1293" t="s">
        <v>266</v>
      </c>
      <c r="C2226" s="1427" t="s">
        <v>1676</v>
      </c>
      <c r="D2226" s="1428"/>
      <c r="E2226" s="1424">
        <v>218663</v>
      </c>
      <c r="F2226" s="1259">
        <v>1</v>
      </c>
      <c r="G2226" s="859"/>
      <c r="H2226" s="860"/>
      <c r="I2226" s="861">
        <v>491734</v>
      </c>
      <c r="J2226" s="862">
        <v>791734</v>
      </c>
      <c r="K2226" s="859"/>
      <c r="L2226" s="863"/>
      <c r="M2226" s="859"/>
      <c r="N2226" s="859"/>
      <c r="O2226" s="752">
        <f t="shared" si="290"/>
        <v>0</v>
      </c>
      <c r="P2226" s="862"/>
      <c r="Q2226" s="860"/>
      <c r="R2226" s="753">
        <f t="shared" si="293"/>
        <v>0</v>
      </c>
      <c r="S2226" s="752">
        <f t="shared" si="294"/>
        <v>491734</v>
      </c>
      <c r="T2226" s="754">
        <f t="shared" si="295"/>
        <v>791734</v>
      </c>
      <c r="U2226" s="859"/>
      <c r="V2226" s="863"/>
      <c r="W2226" s="859"/>
      <c r="X2226" s="859"/>
      <c r="Y2226" s="755">
        <f t="shared" si="291"/>
        <v>0</v>
      </c>
      <c r="Z2226" s="864"/>
      <c r="AA2226" s="863"/>
      <c r="AB2226" s="756">
        <f t="shared" si="292"/>
        <v>0</v>
      </c>
      <c r="AC2226" s="859"/>
      <c r="AD2226" s="863"/>
      <c r="AE2226" s="859"/>
      <c r="AF2226" s="859"/>
      <c r="AG2226" s="864"/>
      <c r="AH2226" s="865"/>
      <c r="AI2226" s="757">
        <f t="shared" si="296"/>
        <v>491734</v>
      </c>
      <c r="AJ2226" s="758">
        <f t="shared" si="297"/>
        <v>791734</v>
      </c>
    </row>
    <row r="2227" spans="1:36" x14ac:dyDescent="0.2">
      <c r="A2227" s="1421" t="s">
        <v>146</v>
      </c>
      <c r="B2227" s="1293" t="s">
        <v>271</v>
      </c>
      <c r="C2227" s="1425" t="s">
        <v>309</v>
      </c>
      <c r="D2227" s="1426"/>
      <c r="E2227" s="1424">
        <v>218663</v>
      </c>
      <c r="F2227" s="1259">
        <v>1</v>
      </c>
      <c r="G2227" s="859"/>
      <c r="H2227" s="860"/>
      <c r="I2227" s="861"/>
      <c r="J2227" s="862"/>
      <c r="K2227" s="859"/>
      <c r="L2227" s="863"/>
      <c r="M2227" s="859"/>
      <c r="N2227" s="859"/>
      <c r="O2227" s="752">
        <f t="shared" si="290"/>
        <v>0</v>
      </c>
      <c r="P2227" s="862"/>
      <c r="Q2227" s="860"/>
      <c r="R2227" s="753">
        <f t="shared" si="293"/>
        <v>0</v>
      </c>
      <c r="S2227" s="752">
        <f t="shared" si="294"/>
        <v>0</v>
      </c>
      <c r="T2227" s="754">
        <f t="shared" si="295"/>
        <v>0</v>
      </c>
      <c r="U2227" s="859"/>
      <c r="V2227" s="863"/>
      <c r="W2227" s="859"/>
      <c r="X2227" s="859"/>
      <c r="Y2227" s="755">
        <f t="shared" si="291"/>
        <v>0</v>
      </c>
      <c r="Z2227" s="864"/>
      <c r="AA2227" s="863"/>
      <c r="AB2227" s="756">
        <f t="shared" si="292"/>
        <v>0</v>
      </c>
      <c r="AC2227" s="859"/>
      <c r="AD2227" s="863"/>
      <c r="AE2227" s="859"/>
      <c r="AF2227" s="859"/>
      <c r="AG2227" s="864"/>
      <c r="AH2227" s="865"/>
      <c r="AI2227" s="757">
        <f t="shared" si="296"/>
        <v>0</v>
      </c>
      <c r="AJ2227" s="758">
        <f t="shared" si="297"/>
        <v>0</v>
      </c>
    </row>
    <row r="2228" spans="1:36" x14ac:dyDescent="0.2">
      <c r="A2228" s="1421" t="s">
        <v>146</v>
      </c>
      <c r="B2228" s="1293" t="s">
        <v>272</v>
      </c>
      <c r="C2228" s="1282" t="s">
        <v>970</v>
      </c>
      <c r="D2228" s="1283"/>
      <c r="E2228" s="1424">
        <v>218663</v>
      </c>
      <c r="F2228" s="1259">
        <v>1</v>
      </c>
      <c r="G2228" s="859"/>
      <c r="H2228" s="860"/>
      <c r="I2228" s="861"/>
      <c r="J2228" s="862"/>
      <c r="K2228" s="859"/>
      <c r="L2228" s="863"/>
      <c r="M2228" s="859"/>
      <c r="N2228" s="859"/>
      <c r="O2228" s="752">
        <f t="shared" si="290"/>
        <v>0</v>
      </c>
      <c r="P2228" s="862"/>
      <c r="Q2228" s="860"/>
      <c r="R2228" s="753">
        <f t="shared" si="293"/>
        <v>0</v>
      </c>
      <c r="S2228" s="752">
        <f t="shared" si="294"/>
        <v>0</v>
      </c>
      <c r="T2228" s="754">
        <f t="shared" si="295"/>
        <v>0</v>
      </c>
      <c r="U2228" s="859"/>
      <c r="V2228" s="863"/>
      <c r="W2228" s="859"/>
      <c r="X2228" s="859"/>
      <c r="Y2228" s="755">
        <f t="shared" si="291"/>
        <v>0</v>
      </c>
      <c r="Z2228" s="864"/>
      <c r="AA2228" s="863"/>
      <c r="AB2228" s="756">
        <f t="shared" si="292"/>
        <v>0</v>
      </c>
      <c r="AC2228" s="859"/>
      <c r="AD2228" s="863"/>
      <c r="AE2228" s="859"/>
      <c r="AF2228" s="859"/>
      <c r="AG2228" s="864"/>
      <c r="AH2228" s="865"/>
      <c r="AI2228" s="757">
        <f t="shared" si="296"/>
        <v>0</v>
      </c>
      <c r="AJ2228" s="758">
        <f t="shared" si="297"/>
        <v>0</v>
      </c>
    </row>
    <row r="2229" spans="1:36" x14ac:dyDescent="0.2">
      <c r="A2229" s="1421" t="s">
        <v>146</v>
      </c>
      <c r="B2229" s="1293" t="s">
        <v>272</v>
      </c>
      <c r="C2229" s="1429" t="s">
        <v>1677</v>
      </c>
      <c r="D2229" s="1430"/>
      <c r="E2229" s="1424">
        <v>218663</v>
      </c>
      <c r="F2229" s="1259">
        <v>1</v>
      </c>
      <c r="G2229" s="859"/>
      <c r="H2229" s="860"/>
      <c r="I2229" s="861"/>
      <c r="J2229" s="862">
        <v>2500000</v>
      </c>
      <c r="K2229" s="859"/>
      <c r="L2229" s="863"/>
      <c r="M2229" s="859"/>
      <c r="N2229" s="859"/>
      <c r="O2229" s="752">
        <f t="shared" si="290"/>
        <v>0</v>
      </c>
      <c r="P2229" s="862"/>
      <c r="Q2229" s="860"/>
      <c r="R2229" s="753">
        <f t="shared" si="293"/>
        <v>0</v>
      </c>
      <c r="S2229" s="752">
        <f t="shared" si="294"/>
        <v>0</v>
      </c>
      <c r="T2229" s="754">
        <f t="shared" si="295"/>
        <v>2500000</v>
      </c>
      <c r="U2229" s="859"/>
      <c r="V2229" s="863"/>
      <c r="W2229" s="859"/>
      <c r="X2229" s="859"/>
      <c r="Y2229" s="755">
        <f t="shared" si="291"/>
        <v>0</v>
      </c>
      <c r="Z2229" s="864"/>
      <c r="AA2229" s="863"/>
      <c r="AB2229" s="756">
        <f t="shared" si="292"/>
        <v>0</v>
      </c>
      <c r="AC2229" s="859"/>
      <c r="AD2229" s="863"/>
      <c r="AE2229" s="859"/>
      <c r="AF2229" s="859"/>
      <c r="AG2229" s="864"/>
      <c r="AH2229" s="865"/>
      <c r="AI2229" s="757">
        <f t="shared" si="296"/>
        <v>0</v>
      </c>
      <c r="AJ2229" s="758">
        <f t="shared" si="297"/>
        <v>2500000</v>
      </c>
    </row>
    <row r="2230" spans="1:36" x14ac:dyDescent="0.2">
      <c r="A2230" s="1421" t="s">
        <v>146</v>
      </c>
      <c r="B2230" s="1293" t="s">
        <v>272</v>
      </c>
      <c r="C2230" s="1429" t="s">
        <v>1678</v>
      </c>
      <c r="D2230" s="1430"/>
      <c r="E2230" s="1424">
        <v>218663</v>
      </c>
      <c r="F2230" s="1259">
        <v>1</v>
      </c>
      <c r="G2230" s="859"/>
      <c r="H2230" s="860"/>
      <c r="I2230" s="861">
        <v>4687733</v>
      </c>
      <c r="J2230" s="862"/>
      <c r="K2230" s="859"/>
      <c r="L2230" s="863"/>
      <c r="M2230" s="859"/>
      <c r="N2230" s="859"/>
      <c r="O2230" s="752">
        <f t="shared" si="290"/>
        <v>0</v>
      </c>
      <c r="P2230" s="862"/>
      <c r="Q2230" s="860"/>
      <c r="R2230" s="753">
        <f t="shared" si="293"/>
        <v>0</v>
      </c>
      <c r="S2230" s="752">
        <f t="shared" si="294"/>
        <v>4687733</v>
      </c>
      <c r="T2230" s="754">
        <f t="shared" si="295"/>
        <v>0</v>
      </c>
      <c r="U2230" s="859"/>
      <c r="V2230" s="863"/>
      <c r="W2230" s="859"/>
      <c r="X2230" s="859"/>
      <c r="Y2230" s="755">
        <f t="shared" si="291"/>
        <v>0</v>
      </c>
      <c r="Z2230" s="864"/>
      <c r="AA2230" s="863"/>
      <c r="AB2230" s="756">
        <f t="shared" si="292"/>
        <v>0</v>
      </c>
      <c r="AC2230" s="859"/>
      <c r="AD2230" s="863"/>
      <c r="AE2230" s="859"/>
      <c r="AF2230" s="859"/>
      <c r="AG2230" s="864"/>
      <c r="AH2230" s="865"/>
      <c r="AI2230" s="757">
        <f t="shared" si="296"/>
        <v>4687733</v>
      </c>
      <c r="AJ2230" s="758">
        <f t="shared" si="297"/>
        <v>0</v>
      </c>
    </row>
    <row r="2231" spans="1:36" x14ac:dyDescent="0.2">
      <c r="A2231" s="1421" t="s">
        <v>146</v>
      </c>
      <c r="B2231" s="1293" t="s">
        <v>272</v>
      </c>
      <c r="C2231" s="1429" t="s">
        <v>1670</v>
      </c>
      <c r="D2231" s="1430"/>
      <c r="E2231" s="1424">
        <v>218663</v>
      </c>
      <c r="F2231" s="1259">
        <v>1</v>
      </c>
      <c r="G2231" s="859"/>
      <c r="H2231" s="860"/>
      <c r="I2231" s="861"/>
      <c r="J2231" s="862">
        <v>4527916</v>
      </c>
      <c r="K2231" s="859"/>
      <c r="L2231" s="863"/>
      <c r="M2231" s="859"/>
      <c r="N2231" s="859"/>
      <c r="O2231" s="752">
        <f t="shared" si="290"/>
        <v>0</v>
      </c>
      <c r="P2231" s="862"/>
      <c r="Q2231" s="860"/>
      <c r="R2231" s="753">
        <f t="shared" si="293"/>
        <v>0</v>
      </c>
      <c r="S2231" s="752">
        <f t="shared" si="294"/>
        <v>0</v>
      </c>
      <c r="T2231" s="754">
        <f t="shared" si="295"/>
        <v>4527916</v>
      </c>
      <c r="U2231" s="859"/>
      <c r="V2231" s="863"/>
      <c r="W2231" s="859"/>
      <c r="X2231" s="859"/>
      <c r="Y2231" s="755">
        <f t="shared" si="291"/>
        <v>0</v>
      </c>
      <c r="Z2231" s="864"/>
      <c r="AA2231" s="863"/>
      <c r="AB2231" s="756">
        <f t="shared" si="292"/>
        <v>0</v>
      </c>
      <c r="AC2231" s="859"/>
      <c r="AD2231" s="863"/>
      <c r="AE2231" s="859"/>
      <c r="AF2231" s="859"/>
      <c r="AG2231" s="864"/>
      <c r="AH2231" s="865"/>
      <c r="AI2231" s="757">
        <f t="shared" si="296"/>
        <v>0</v>
      </c>
      <c r="AJ2231" s="758">
        <f t="shared" si="297"/>
        <v>4527916</v>
      </c>
    </row>
    <row r="2232" spans="1:36" x14ac:dyDescent="0.2">
      <c r="A2232" s="1421" t="s">
        <v>146</v>
      </c>
      <c r="B2232" s="1293" t="s">
        <v>272</v>
      </c>
      <c r="C2232" s="1284" t="s">
        <v>1671</v>
      </c>
      <c r="D2232" s="1283"/>
      <c r="E2232" s="1424">
        <v>218663</v>
      </c>
      <c r="F2232" s="1259">
        <v>1</v>
      </c>
      <c r="G2232" s="859"/>
      <c r="H2232" s="860"/>
      <c r="I2232" s="861">
        <v>27271</v>
      </c>
      <c r="J2232" s="862">
        <v>26275</v>
      </c>
      <c r="K2232" s="859"/>
      <c r="L2232" s="863"/>
      <c r="M2232" s="859"/>
      <c r="N2232" s="859"/>
      <c r="O2232" s="752">
        <f t="shared" si="290"/>
        <v>0</v>
      </c>
      <c r="P2232" s="862"/>
      <c r="Q2232" s="860"/>
      <c r="R2232" s="753">
        <f t="shared" si="293"/>
        <v>0</v>
      </c>
      <c r="S2232" s="752">
        <f t="shared" si="294"/>
        <v>27271</v>
      </c>
      <c r="T2232" s="754">
        <f t="shared" si="295"/>
        <v>26275</v>
      </c>
      <c r="U2232" s="859"/>
      <c r="V2232" s="863"/>
      <c r="W2232" s="859"/>
      <c r="X2232" s="859"/>
      <c r="Y2232" s="755">
        <f t="shared" si="291"/>
        <v>0</v>
      </c>
      <c r="Z2232" s="864"/>
      <c r="AA2232" s="863"/>
      <c r="AB2232" s="756">
        <f t="shared" si="292"/>
        <v>0</v>
      </c>
      <c r="AC2232" s="859"/>
      <c r="AD2232" s="863"/>
      <c r="AE2232" s="859"/>
      <c r="AF2232" s="859"/>
      <c r="AG2232" s="864"/>
      <c r="AH2232" s="865"/>
      <c r="AI2232" s="757">
        <f t="shared" si="296"/>
        <v>27271</v>
      </c>
      <c r="AJ2232" s="758">
        <f t="shared" si="297"/>
        <v>26275</v>
      </c>
    </row>
    <row r="2233" spans="1:36" x14ac:dyDescent="0.2">
      <c r="A2233" s="1421" t="s">
        <v>146</v>
      </c>
      <c r="B2233" s="1293" t="s">
        <v>272</v>
      </c>
      <c r="C2233" s="1431" t="s">
        <v>1679</v>
      </c>
      <c r="D2233" s="1426"/>
      <c r="E2233" s="1424">
        <v>218663</v>
      </c>
      <c r="F2233" s="1259">
        <v>1</v>
      </c>
      <c r="G2233" s="859"/>
      <c r="H2233" s="860"/>
      <c r="I2233" s="861">
        <v>344074</v>
      </c>
      <c r="J2233" s="862">
        <v>344074</v>
      </c>
      <c r="K2233" s="859"/>
      <c r="L2233" s="863"/>
      <c r="M2233" s="859"/>
      <c r="N2233" s="859"/>
      <c r="O2233" s="752">
        <f t="shared" si="290"/>
        <v>0</v>
      </c>
      <c r="P2233" s="862"/>
      <c r="Q2233" s="860"/>
      <c r="R2233" s="753">
        <f t="shared" si="293"/>
        <v>0</v>
      </c>
      <c r="S2233" s="752">
        <f t="shared" si="294"/>
        <v>344074</v>
      </c>
      <c r="T2233" s="754">
        <f t="shared" si="295"/>
        <v>344074</v>
      </c>
      <c r="U2233" s="859"/>
      <c r="V2233" s="863"/>
      <c r="W2233" s="859"/>
      <c r="X2233" s="859"/>
      <c r="Y2233" s="755">
        <f t="shared" si="291"/>
        <v>0</v>
      </c>
      <c r="Z2233" s="864"/>
      <c r="AA2233" s="863"/>
      <c r="AB2233" s="756">
        <f t="shared" si="292"/>
        <v>0</v>
      </c>
      <c r="AC2233" s="859"/>
      <c r="AD2233" s="863"/>
      <c r="AE2233" s="859"/>
      <c r="AF2233" s="859"/>
      <c r="AG2233" s="864"/>
      <c r="AH2233" s="865"/>
      <c r="AI2233" s="757">
        <f t="shared" si="296"/>
        <v>344074</v>
      </c>
      <c r="AJ2233" s="758">
        <f t="shared" si="297"/>
        <v>344074</v>
      </c>
    </row>
    <row r="2234" spans="1:36" x14ac:dyDescent="0.2">
      <c r="A2234" s="1421" t="s">
        <v>146</v>
      </c>
      <c r="B2234" s="1293" t="s">
        <v>280</v>
      </c>
      <c r="C2234" s="1282" t="s">
        <v>814</v>
      </c>
      <c r="D2234" s="1283"/>
      <c r="E2234" s="1424">
        <v>218663</v>
      </c>
      <c r="F2234" s="1259">
        <v>1</v>
      </c>
      <c r="G2234" s="859"/>
      <c r="H2234" s="860"/>
      <c r="I2234" s="861"/>
      <c r="J2234" s="862"/>
      <c r="K2234" s="859"/>
      <c r="L2234" s="863"/>
      <c r="M2234" s="859"/>
      <c r="N2234" s="859"/>
      <c r="O2234" s="752">
        <f t="shared" si="290"/>
        <v>0</v>
      </c>
      <c r="P2234" s="862"/>
      <c r="Q2234" s="860"/>
      <c r="R2234" s="753">
        <f t="shared" si="293"/>
        <v>0</v>
      </c>
      <c r="S2234" s="752">
        <f t="shared" si="294"/>
        <v>0</v>
      </c>
      <c r="T2234" s="754">
        <f t="shared" si="295"/>
        <v>0</v>
      </c>
      <c r="U2234" s="859"/>
      <c r="V2234" s="863"/>
      <c r="W2234" s="859"/>
      <c r="X2234" s="859"/>
      <c r="Y2234" s="755">
        <f t="shared" si="291"/>
        <v>0</v>
      </c>
      <c r="Z2234" s="864"/>
      <c r="AA2234" s="863"/>
      <c r="AB2234" s="756">
        <f t="shared" si="292"/>
        <v>0</v>
      </c>
      <c r="AC2234" s="859"/>
      <c r="AD2234" s="863"/>
      <c r="AE2234" s="859"/>
      <c r="AF2234" s="859"/>
      <c r="AG2234" s="864"/>
      <c r="AH2234" s="865"/>
      <c r="AI2234" s="757">
        <f t="shared" si="296"/>
        <v>0</v>
      </c>
      <c r="AJ2234" s="758">
        <f t="shared" si="297"/>
        <v>0</v>
      </c>
    </row>
    <row r="2235" spans="1:36" x14ac:dyDescent="0.2">
      <c r="A2235" s="1421" t="s">
        <v>146</v>
      </c>
      <c r="B2235" s="1293" t="s">
        <v>280</v>
      </c>
      <c r="C2235" s="1284" t="s">
        <v>1680</v>
      </c>
      <c r="D2235" s="1283"/>
      <c r="E2235" s="1424">
        <v>218663</v>
      </c>
      <c r="F2235" s="1259">
        <v>1</v>
      </c>
      <c r="G2235" s="859"/>
      <c r="H2235" s="1137"/>
      <c r="I2235" s="861"/>
      <c r="J2235" s="862"/>
      <c r="K2235" s="859"/>
      <c r="L2235" s="863"/>
      <c r="M2235" s="859"/>
      <c r="N2235" s="859"/>
      <c r="O2235" s="752">
        <f t="shared" si="290"/>
        <v>0</v>
      </c>
      <c r="P2235" s="862"/>
      <c r="Q2235" s="860"/>
      <c r="R2235" s="753">
        <f t="shared" si="293"/>
        <v>0</v>
      </c>
      <c r="S2235" s="752">
        <f t="shared" si="294"/>
        <v>0</v>
      </c>
      <c r="T2235" s="754">
        <f t="shared" si="295"/>
        <v>0</v>
      </c>
      <c r="U2235" s="859"/>
      <c r="V2235" s="863"/>
      <c r="W2235" s="859"/>
      <c r="X2235" s="859"/>
      <c r="Y2235" s="755">
        <f t="shared" si="291"/>
        <v>0</v>
      </c>
      <c r="Z2235" s="864"/>
      <c r="AA2235" s="863"/>
      <c r="AB2235" s="756">
        <f t="shared" si="292"/>
        <v>0</v>
      </c>
      <c r="AC2235" s="859">
        <v>9999646</v>
      </c>
      <c r="AD2235" s="863">
        <v>9999646</v>
      </c>
      <c r="AE2235" s="859">
        <v>14582488</v>
      </c>
      <c r="AF2235" s="859">
        <v>891124</v>
      </c>
      <c r="AG2235" s="864"/>
      <c r="AH2235" s="865"/>
      <c r="AI2235" s="757">
        <f t="shared" si="296"/>
        <v>24582134</v>
      </c>
      <c r="AJ2235" s="758">
        <f t="shared" si="297"/>
        <v>9999646</v>
      </c>
    </row>
    <row r="2236" spans="1:36" x14ac:dyDescent="0.2">
      <c r="A2236" s="1421" t="s">
        <v>146</v>
      </c>
      <c r="B2236" s="1293" t="s">
        <v>280</v>
      </c>
      <c r="C2236" s="1284" t="s">
        <v>1681</v>
      </c>
      <c r="D2236" s="1283"/>
      <c r="E2236" s="1424">
        <v>218663</v>
      </c>
      <c r="F2236" s="1259">
        <v>1</v>
      </c>
      <c r="G2236" s="859"/>
      <c r="H2236" s="1137"/>
      <c r="I2236" s="861"/>
      <c r="J2236" s="862"/>
      <c r="K2236" s="859"/>
      <c r="L2236" s="863"/>
      <c r="M2236" s="859"/>
      <c r="N2236" s="859"/>
      <c r="O2236" s="752">
        <f t="shared" si="290"/>
        <v>0</v>
      </c>
      <c r="P2236" s="862"/>
      <c r="Q2236" s="860"/>
      <c r="R2236" s="753">
        <f t="shared" si="293"/>
        <v>0</v>
      </c>
      <c r="S2236" s="752">
        <f t="shared" si="294"/>
        <v>0</v>
      </c>
      <c r="T2236" s="754">
        <f t="shared" si="295"/>
        <v>0</v>
      </c>
      <c r="U2236" s="859"/>
      <c r="V2236" s="863"/>
      <c r="W2236" s="859"/>
      <c r="X2236" s="859"/>
      <c r="Y2236" s="755">
        <f t="shared" si="291"/>
        <v>0</v>
      </c>
      <c r="Z2236" s="864"/>
      <c r="AA2236" s="863"/>
      <c r="AB2236" s="756">
        <f t="shared" si="292"/>
        <v>0</v>
      </c>
      <c r="AC2236" s="859">
        <v>2719428</v>
      </c>
      <c r="AD2236" s="863">
        <v>2719428</v>
      </c>
      <c r="AE2236" s="859"/>
      <c r="AF2236" s="859"/>
      <c r="AG2236" s="864"/>
      <c r="AH2236" s="865"/>
      <c r="AI2236" s="757">
        <f t="shared" si="296"/>
        <v>2719428</v>
      </c>
      <c r="AJ2236" s="758">
        <f t="shared" si="297"/>
        <v>2719428</v>
      </c>
    </row>
    <row r="2237" spans="1:36" x14ac:dyDescent="0.2">
      <c r="A2237" s="1421" t="s">
        <v>146</v>
      </c>
      <c r="B2237" s="1293" t="s">
        <v>280</v>
      </c>
      <c r="C2237" s="1284" t="s">
        <v>1682</v>
      </c>
      <c r="D2237" s="1283"/>
      <c r="E2237" s="1424">
        <v>218663</v>
      </c>
      <c r="F2237" s="1259">
        <v>1</v>
      </c>
      <c r="G2237" s="859"/>
      <c r="H2237" s="1137"/>
      <c r="I2237" s="861"/>
      <c r="J2237" s="862"/>
      <c r="K2237" s="859"/>
      <c r="L2237" s="863"/>
      <c r="M2237" s="859"/>
      <c r="N2237" s="859"/>
      <c r="O2237" s="752">
        <f t="shared" si="290"/>
        <v>0</v>
      </c>
      <c r="P2237" s="862"/>
      <c r="Q2237" s="860"/>
      <c r="R2237" s="753">
        <f t="shared" si="293"/>
        <v>0</v>
      </c>
      <c r="S2237" s="752">
        <f t="shared" si="294"/>
        <v>0</v>
      </c>
      <c r="T2237" s="754">
        <f t="shared" si="295"/>
        <v>0</v>
      </c>
      <c r="U2237" s="859"/>
      <c r="V2237" s="863"/>
      <c r="W2237" s="859"/>
      <c r="X2237" s="859"/>
      <c r="Y2237" s="755">
        <f t="shared" si="291"/>
        <v>0</v>
      </c>
      <c r="Z2237" s="864"/>
      <c r="AA2237" s="863"/>
      <c r="AB2237" s="756">
        <f t="shared" si="292"/>
        <v>0</v>
      </c>
      <c r="AC2237" s="859">
        <v>826160</v>
      </c>
      <c r="AD2237" s="863">
        <v>801160</v>
      </c>
      <c r="AE2237" s="859"/>
      <c r="AF2237" s="859"/>
      <c r="AG2237" s="864"/>
      <c r="AH2237" s="865"/>
      <c r="AI2237" s="757">
        <f t="shared" si="296"/>
        <v>826160</v>
      </c>
      <c r="AJ2237" s="758">
        <f t="shared" si="297"/>
        <v>801160</v>
      </c>
    </row>
    <row r="2238" spans="1:36" x14ac:dyDescent="0.2">
      <c r="A2238" s="1421" t="s">
        <v>146</v>
      </c>
      <c r="B2238" s="1293" t="s">
        <v>264</v>
      </c>
      <c r="C2238" s="1422" t="s">
        <v>1683</v>
      </c>
      <c r="D2238" s="1423"/>
      <c r="E2238" s="1424">
        <v>217819</v>
      </c>
      <c r="F2238" s="1259">
        <v>3</v>
      </c>
      <c r="G2238" s="859">
        <v>15170116</v>
      </c>
      <c r="H2238" s="860">
        <v>15204116</v>
      </c>
      <c r="I2238" s="861"/>
      <c r="J2238" s="862"/>
      <c r="K2238" s="859"/>
      <c r="L2238" s="863"/>
      <c r="M2238" s="859">
        <v>154908709</v>
      </c>
      <c r="N2238" s="859">
        <v>6705503</v>
      </c>
      <c r="O2238" s="752">
        <f t="shared" si="290"/>
        <v>161614212</v>
      </c>
      <c r="P2238" s="862">
        <v>154908709</v>
      </c>
      <c r="Q2238" s="860">
        <v>6705503</v>
      </c>
      <c r="R2238" s="753">
        <f t="shared" si="293"/>
        <v>161614212</v>
      </c>
      <c r="S2238" s="752">
        <f t="shared" si="294"/>
        <v>170078825</v>
      </c>
      <c r="T2238" s="754">
        <f t="shared" si="295"/>
        <v>170112825</v>
      </c>
      <c r="U2238" s="859"/>
      <c r="V2238" s="863"/>
      <c r="W2238" s="859"/>
      <c r="X2238" s="859"/>
      <c r="Y2238" s="755">
        <f t="shared" si="291"/>
        <v>0</v>
      </c>
      <c r="Z2238" s="864"/>
      <c r="AA2238" s="863"/>
      <c r="AB2238" s="756">
        <f t="shared" si="292"/>
        <v>0</v>
      </c>
      <c r="AC2238" s="859"/>
      <c r="AD2238" s="863"/>
      <c r="AE2238" s="859"/>
      <c r="AF2238" s="859"/>
      <c r="AG2238" s="864"/>
      <c r="AH2238" s="865"/>
      <c r="AI2238" s="757">
        <f t="shared" si="296"/>
        <v>170078825</v>
      </c>
      <c r="AJ2238" s="758">
        <f t="shared" si="297"/>
        <v>170112825</v>
      </c>
    </row>
    <row r="2239" spans="1:36" x14ac:dyDescent="0.2">
      <c r="A2239" s="1421" t="s">
        <v>146</v>
      </c>
      <c r="B2239" s="1293" t="s">
        <v>264</v>
      </c>
      <c r="C2239" s="1284" t="s">
        <v>1663</v>
      </c>
      <c r="D2239" s="1283"/>
      <c r="E2239" s="1424">
        <v>217819</v>
      </c>
      <c r="F2239" s="1259">
        <v>3</v>
      </c>
      <c r="G2239" s="859">
        <v>3818543</v>
      </c>
      <c r="H2239" s="860">
        <v>4083102</v>
      </c>
      <c r="I2239" s="861"/>
      <c r="J2239" s="862"/>
      <c r="K2239" s="859"/>
      <c r="L2239" s="863"/>
      <c r="M2239" s="859"/>
      <c r="N2239" s="859"/>
      <c r="O2239" s="752">
        <f t="shared" si="290"/>
        <v>0</v>
      </c>
      <c r="P2239" s="862"/>
      <c r="Q2239" s="860"/>
      <c r="R2239" s="753">
        <f t="shared" si="293"/>
        <v>0</v>
      </c>
      <c r="S2239" s="752">
        <f t="shared" si="294"/>
        <v>3818543</v>
      </c>
      <c r="T2239" s="754">
        <f t="shared" si="295"/>
        <v>4083102</v>
      </c>
      <c r="U2239" s="859"/>
      <c r="V2239" s="863"/>
      <c r="W2239" s="859"/>
      <c r="X2239" s="859"/>
      <c r="Y2239" s="755">
        <f t="shared" si="291"/>
        <v>0</v>
      </c>
      <c r="Z2239" s="864"/>
      <c r="AA2239" s="863"/>
      <c r="AB2239" s="756">
        <f t="shared" si="292"/>
        <v>0</v>
      </c>
      <c r="AC2239" s="859"/>
      <c r="AD2239" s="863"/>
      <c r="AE2239" s="859"/>
      <c r="AF2239" s="859"/>
      <c r="AG2239" s="864"/>
      <c r="AH2239" s="865"/>
      <c r="AI2239" s="757">
        <f t="shared" si="296"/>
        <v>3818543</v>
      </c>
      <c r="AJ2239" s="758">
        <f t="shared" si="297"/>
        <v>4083102</v>
      </c>
    </row>
    <row r="2240" spans="1:36" x14ac:dyDescent="0.2">
      <c r="A2240" s="1421" t="s">
        <v>146</v>
      </c>
      <c r="B2240" s="1293" t="s">
        <v>266</v>
      </c>
      <c r="C2240" s="1425" t="s">
        <v>319</v>
      </c>
      <c r="D2240" s="1426"/>
      <c r="E2240" s="1424">
        <v>217819</v>
      </c>
      <c r="F2240" s="1259">
        <v>3</v>
      </c>
      <c r="G2240" s="859"/>
      <c r="H2240" s="860"/>
      <c r="I2240" s="861"/>
      <c r="J2240" s="862"/>
      <c r="K2240" s="859"/>
      <c r="L2240" s="863"/>
      <c r="M2240" s="859"/>
      <c r="N2240" s="859"/>
      <c r="O2240" s="752">
        <f t="shared" si="290"/>
        <v>0</v>
      </c>
      <c r="P2240" s="862"/>
      <c r="Q2240" s="860"/>
      <c r="R2240" s="753">
        <f t="shared" si="293"/>
        <v>0</v>
      </c>
      <c r="S2240" s="752">
        <f t="shared" si="294"/>
        <v>0</v>
      </c>
      <c r="T2240" s="754">
        <f t="shared" si="295"/>
        <v>0</v>
      </c>
      <c r="U2240" s="859"/>
      <c r="V2240" s="863"/>
      <c r="W2240" s="859"/>
      <c r="X2240" s="859"/>
      <c r="Y2240" s="755">
        <f t="shared" si="291"/>
        <v>0</v>
      </c>
      <c r="Z2240" s="864"/>
      <c r="AA2240" s="863"/>
      <c r="AB2240" s="756">
        <f t="shared" si="292"/>
        <v>0</v>
      </c>
      <c r="AC2240" s="859"/>
      <c r="AD2240" s="863"/>
      <c r="AE2240" s="859"/>
      <c r="AF2240" s="859"/>
      <c r="AG2240" s="864"/>
      <c r="AH2240" s="865"/>
      <c r="AI2240" s="757">
        <f t="shared" si="296"/>
        <v>0</v>
      </c>
      <c r="AJ2240" s="758">
        <f t="shared" si="297"/>
        <v>0</v>
      </c>
    </row>
    <row r="2241" spans="1:36" x14ac:dyDescent="0.2">
      <c r="A2241" s="1421" t="s">
        <v>146</v>
      </c>
      <c r="B2241" s="1293" t="s">
        <v>271</v>
      </c>
      <c r="C2241" s="1425" t="s">
        <v>309</v>
      </c>
      <c r="D2241" s="1426"/>
      <c r="E2241" s="1424">
        <v>217819</v>
      </c>
      <c r="F2241" s="1259">
        <v>3</v>
      </c>
      <c r="G2241" s="859"/>
      <c r="H2241" s="860"/>
      <c r="I2241" s="861"/>
      <c r="J2241" s="862"/>
      <c r="K2241" s="859"/>
      <c r="L2241" s="863"/>
      <c r="M2241" s="859"/>
      <c r="N2241" s="859"/>
      <c r="O2241" s="752">
        <f t="shared" si="290"/>
        <v>0</v>
      </c>
      <c r="P2241" s="862"/>
      <c r="Q2241" s="860"/>
      <c r="R2241" s="753">
        <f t="shared" si="293"/>
        <v>0</v>
      </c>
      <c r="S2241" s="752">
        <f t="shared" si="294"/>
        <v>0</v>
      </c>
      <c r="T2241" s="754">
        <f t="shared" si="295"/>
        <v>0</v>
      </c>
      <c r="U2241" s="859"/>
      <c r="V2241" s="863"/>
      <c r="W2241" s="859"/>
      <c r="X2241" s="859"/>
      <c r="Y2241" s="755">
        <f t="shared" si="291"/>
        <v>0</v>
      </c>
      <c r="Z2241" s="864"/>
      <c r="AA2241" s="863"/>
      <c r="AB2241" s="756">
        <f t="shared" si="292"/>
        <v>0</v>
      </c>
      <c r="AC2241" s="859"/>
      <c r="AD2241" s="863"/>
      <c r="AE2241" s="859"/>
      <c r="AF2241" s="859"/>
      <c r="AG2241" s="864"/>
      <c r="AH2241" s="865"/>
      <c r="AI2241" s="757">
        <f t="shared" si="296"/>
        <v>0</v>
      </c>
      <c r="AJ2241" s="758">
        <f t="shared" si="297"/>
        <v>0</v>
      </c>
    </row>
    <row r="2242" spans="1:36" x14ac:dyDescent="0.2">
      <c r="A2242" s="1421" t="s">
        <v>146</v>
      </c>
      <c r="B2242" s="1293" t="s">
        <v>272</v>
      </c>
      <c r="C2242" s="1282" t="s">
        <v>970</v>
      </c>
      <c r="D2242" s="1283"/>
      <c r="E2242" s="1424">
        <v>217819</v>
      </c>
      <c r="F2242" s="1259">
        <v>3</v>
      </c>
      <c r="G2242" s="859"/>
      <c r="H2242" s="860"/>
      <c r="I2242" s="861"/>
      <c r="J2242" s="862"/>
      <c r="K2242" s="859"/>
      <c r="L2242" s="863"/>
      <c r="M2242" s="859"/>
      <c r="N2242" s="859"/>
      <c r="O2242" s="752">
        <f t="shared" si="290"/>
        <v>0</v>
      </c>
      <c r="P2242" s="862"/>
      <c r="Q2242" s="860"/>
      <c r="R2242" s="753">
        <f t="shared" si="293"/>
        <v>0</v>
      </c>
      <c r="S2242" s="752">
        <f t="shared" si="294"/>
        <v>0</v>
      </c>
      <c r="T2242" s="754">
        <f t="shared" si="295"/>
        <v>0</v>
      </c>
      <c r="U2242" s="859"/>
      <c r="V2242" s="863"/>
      <c r="W2242" s="859"/>
      <c r="X2242" s="859"/>
      <c r="Y2242" s="755">
        <f t="shared" si="291"/>
        <v>0</v>
      </c>
      <c r="Z2242" s="864"/>
      <c r="AA2242" s="863"/>
      <c r="AB2242" s="756">
        <f t="shared" si="292"/>
        <v>0</v>
      </c>
      <c r="AC2242" s="859"/>
      <c r="AD2242" s="863"/>
      <c r="AE2242" s="859"/>
      <c r="AF2242" s="859"/>
      <c r="AG2242" s="864"/>
      <c r="AH2242" s="865"/>
      <c r="AI2242" s="757">
        <f t="shared" si="296"/>
        <v>0</v>
      </c>
      <c r="AJ2242" s="758">
        <f t="shared" si="297"/>
        <v>0</v>
      </c>
    </row>
    <row r="2243" spans="1:36" x14ac:dyDescent="0.2">
      <c r="A2243" s="1421" t="s">
        <v>146</v>
      </c>
      <c r="B2243" s="1293" t="s">
        <v>272</v>
      </c>
      <c r="C2243" s="1429" t="s">
        <v>1684</v>
      </c>
      <c r="D2243" s="1283"/>
      <c r="E2243" s="1424">
        <v>217819</v>
      </c>
      <c r="F2243" s="1259">
        <v>3</v>
      </c>
      <c r="G2243" s="859"/>
      <c r="H2243" s="860"/>
      <c r="I2243" s="861"/>
      <c r="J2243" s="862">
        <v>300000</v>
      </c>
      <c r="K2243" s="859"/>
      <c r="L2243" s="863"/>
      <c r="M2243" s="859"/>
      <c r="N2243" s="859"/>
      <c r="O2243" s="752">
        <f t="shared" si="290"/>
        <v>0</v>
      </c>
      <c r="P2243" s="862"/>
      <c r="Q2243" s="860"/>
      <c r="R2243" s="753">
        <f t="shared" si="293"/>
        <v>0</v>
      </c>
      <c r="S2243" s="752">
        <f t="shared" si="294"/>
        <v>0</v>
      </c>
      <c r="T2243" s="754">
        <f t="shared" si="295"/>
        <v>300000</v>
      </c>
      <c r="U2243" s="859"/>
      <c r="V2243" s="863"/>
      <c r="W2243" s="859"/>
      <c r="X2243" s="859"/>
      <c r="Y2243" s="755">
        <f t="shared" si="291"/>
        <v>0</v>
      </c>
      <c r="Z2243" s="864"/>
      <c r="AA2243" s="863"/>
      <c r="AB2243" s="756">
        <f t="shared" si="292"/>
        <v>0</v>
      </c>
      <c r="AC2243" s="859"/>
      <c r="AD2243" s="863"/>
      <c r="AE2243" s="859"/>
      <c r="AF2243" s="859"/>
      <c r="AG2243" s="864"/>
      <c r="AH2243" s="865"/>
      <c r="AI2243" s="757">
        <f t="shared" si="296"/>
        <v>0</v>
      </c>
      <c r="AJ2243" s="758">
        <f t="shared" si="297"/>
        <v>300000</v>
      </c>
    </row>
    <row r="2244" spans="1:36" x14ac:dyDescent="0.2">
      <c r="A2244" s="1421" t="s">
        <v>146</v>
      </c>
      <c r="B2244" s="1293" t="s">
        <v>272</v>
      </c>
      <c r="C2244" s="1429" t="s">
        <v>1685</v>
      </c>
      <c r="D2244" s="1283"/>
      <c r="E2244" s="1424">
        <v>217819</v>
      </c>
      <c r="F2244" s="1259">
        <v>3</v>
      </c>
      <c r="G2244" s="859"/>
      <c r="H2244" s="860"/>
      <c r="I2244" s="861"/>
      <c r="J2244" s="862">
        <v>500000</v>
      </c>
      <c r="K2244" s="859"/>
      <c r="L2244" s="863"/>
      <c r="M2244" s="859"/>
      <c r="N2244" s="859"/>
      <c r="O2244" s="752">
        <f t="shared" si="290"/>
        <v>0</v>
      </c>
      <c r="P2244" s="862"/>
      <c r="Q2244" s="860"/>
      <c r="R2244" s="753">
        <f t="shared" si="293"/>
        <v>0</v>
      </c>
      <c r="S2244" s="752">
        <f t="shared" si="294"/>
        <v>0</v>
      </c>
      <c r="T2244" s="754">
        <f t="shared" si="295"/>
        <v>500000</v>
      </c>
      <c r="U2244" s="859"/>
      <c r="V2244" s="863"/>
      <c r="W2244" s="859"/>
      <c r="X2244" s="859"/>
      <c r="Y2244" s="755">
        <f t="shared" si="291"/>
        <v>0</v>
      </c>
      <c r="Z2244" s="864"/>
      <c r="AA2244" s="863"/>
      <c r="AB2244" s="756">
        <f t="shared" si="292"/>
        <v>0</v>
      </c>
      <c r="AC2244" s="859"/>
      <c r="AD2244" s="863"/>
      <c r="AE2244" s="859"/>
      <c r="AF2244" s="859"/>
      <c r="AG2244" s="864"/>
      <c r="AH2244" s="865"/>
      <c r="AI2244" s="757">
        <f t="shared" si="296"/>
        <v>0</v>
      </c>
      <c r="AJ2244" s="758">
        <f t="shared" si="297"/>
        <v>500000</v>
      </c>
    </row>
    <row r="2245" spans="1:36" x14ac:dyDescent="0.2">
      <c r="A2245" s="1421" t="s">
        <v>146</v>
      </c>
      <c r="B2245" s="1293" t="s">
        <v>272</v>
      </c>
      <c r="C2245" s="1429" t="s">
        <v>1678</v>
      </c>
      <c r="D2245" s="1430"/>
      <c r="E2245" s="1424">
        <v>217819</v>
      </c>
      <c r="F2245" s="1259">
        <v>3</v>
      </c>
      <c r="G2245" s="859"/>
      <c r="H2245" s="860"/>
      <c r="I2245" s="861">
        <v>880383</v>
      </c>
      <c r="J2245" s="862"/>
      <c r="K2245" s="859"/>
      <c r="L2245" s="863"/>
      <c r="M2245" s="859"/>
      <c r="N2245" s="859"/>
      <c r="O2245" s="752">
        <f t="shared" si="290"/>
        <v>0</v>
      </c>
      <c r="P2245" s="862"/>
      <c r="Q2245" s="860"/>
      <c r="R2245" s="753">
        <f t="shared" si="293"/>
        <v>0</v>
      </c>
      <c r="S2245" s="752">
        <f t="shared" si="294"/>
        <v>880383</v>
      </c>
      <c r="T2245" s="754">
        <f t="shared" si="295"/>
        <v>0</v>
      </c>
      <c r="U2245" s="859"/>
      <c r="V2245" s="863"/>
      <c r="W2245" s="859"/>
      <c r="X2245" s="859"/>
      <c r="Y2245" s="755">
        <f t="shared" si="291"/>
        <v>0</v>
      </c>
      <c r="Z2245" s="864"/>
      <c r="AA2245" s="863"/>
      <c r="AB2245" s="756">
        <f t="shared" si="292"/>
        <v>0</v>
      </c>
      <c r="AC2245" s="859"/>
      <c r="AD2245" s="863"/>
      <c r="AE2245" s="859"/>
      <c r="AF2245" s="859"/>
      <c r="AG2245" s="864"/>
      <c r="AH2245" s="865"/>
      <c r="AI2245" s="757">
        <f t="shared" si="296"/>
        <v>880383</v>
      </c>
      <c r="AJ2245" s="758">
        <f t="shared" si="297"/>
        <v>0</v>
      </c>
    </row>
    <row r="2246" spans="1:36" x14ac:dyDescent="0.2">
      <c r="A2246" s="1421" t="s">
        <v>146</v>
      </c>
      <c r="B2246" s="1293" t="s">
        <v>272</v>
      </c>
      <c r="C2246" s="1429" t="s">
        <v>1670</v>
      </c>
      <c r="D2246" s="1430"/>
      <c r="E2246" s="1424">
        <v>217819</v>
      </c>
      <c r="F2246" s="1259">
        <v>3</v>
      </c>
      <c r="G2246" s="859"/>
      <c r="H2246" s="860"/>
      <c r="I2246" s="861"/>
      <c r="J2246" s="862">
        <v>825970</v>
      </c>
      <c r="K2246" s="859"/>
      <c r="L2246" s="863"/>
      <c r="M2246" s="859"/>
      <c r="N2246" s="859"/>
      <c r="O2246" s="752">
        <f t="shared" si="290"/>
        <v>0</v>
      </c>
      <c r="P2246" s="862"/>
      <c r="Q2246" s="860"/>
      <c r="R2246" s="753">
        <f t="shared" si="293"/>
        <v>0</v>
      </c>
      <c r="S2246" s="752">
        <f t="shared" si="294"/>
        <v>0</v>
      </c>
      <c r="T2246" s="754">
        <f t="shared" si="295"/>
        <v>825970</v>
      </c>
      <c r="U2246" s="859"/>
      <c r="V2246" s="863"/>
      <c r="W2246" s="859"/>
      <c r="X2246" s="859"/>
      <c r="Y2246" s="755">
        <f t="shared" si="291"/>
        <v>0</v>
      </c>
      <c r="Z2246" s="864"/>
      <c r="AA2246" s="863"/>
      <c r="AB2246" s="756">
        <f t="shared" si="292"/>
        <v>0</v>
      </c>
      <c r="AC2246" s="859"/>
      <c r="AD2246" s="863"/>
      <c r="AE2246" s="859"/>
      <c r="AF2246" s="859"/>
      <c r="AG2246" s="864"/>
      <c r="AH2246" s="865"/>
      <c r="AI2246" s="757">
        <f t="shared" si="296"/>
        <v>0</v>
      </c>
      <c r="AJ2246" s="758">
        <f t="shared" si="297"/>
        <v>825970</v>
      </c>
    </row>
    <row r="2247" spans="1:36" x14ac:dyDescent="0.2">
      <c r="A2247" s="1421" t="s">
        <v>146</v>
      </c>
      <c r="B2247" s="1293" t="s">
        <v>272</v>
      </c>
      <c r="C2247" s="1429" t="s">
        <v>1686</v>
      </c>
      <c r="D2247" s="1430"/>
      <c r="E2247" s="1424">
        <v>217819</v>
      </c>
      <c r="F2247" s="1259">
        <v>3</v>
      </c>
      <c r="G2247" s="859"/>
      <c r="H2247" s="860"/>
      <c r="I2247" s="861">
        <v>2000000</v>
      </c>
      <c r="J2247" s="862" t="s">
        <v>91</v>
      </c>
      <c r="K2247" s="859"/>
      <c r="L2247" s="863"/>
      <c r="M2247" s="859"/>
      <c r="N2247" s="859"/>
      <c r="O2247" s="752">
        <f t="shared" si="290"/>
        <v>0</v>
      </c>
      <c r="P2247" s="862"/>
      <c r="Q2247" s="860"/>
      <c r="R2247" s="753">
        <f t="shared" si="293"/>
        <v>0</v>
      </c>
      <c r="S2247" s="752">
        <f t="shared" si="294"/>
        <v>2000000</v>
      </c>
      <c r="T2247" s="754">
        <f t="shared" si="295"/>
        <v>0</v>
      </c>
      <c r="U2247" s="859"/>
      <c r="V2247" s="863"/>
      <c r="W2247" s="859"/>
      <c r="X2247" s="859"/>
      <c r="Y2247" s="755">
        <f t="shared" si="291"/>
        <v>0</v>
      </c>
      <c r="Z2247" s="864"/>
      <c r="AA2247" s="863"/>
      <c r="AB2247" s="756">
        <f t="shared" si="292"/>
        <v>0</v>
      </c>
      <c r="AC2247" s="859"/>
      <c r="AD2247" s="863"/>
      <c r="AE2247" s="859"/>
      <c r="AF2247" s="859"/>
      <c r="AG2247" s="864"/>
      <c r="AH2247" s="865"/>
      <c r="AI2247" s="757">
        <f t="shared" si="296"/>
        <v>2000000</v>
      </c>
      <c r="AJ2247" s="758">
        <f t="shared" si="297"/>
        <v>0</v>
      </c>
    </row>
    <row r="2248" spans="1:36" x14ac:dyDescent="0.2">
      <c r="A2248" s="1421" t="s">
        <v>146</v>
      </c>
      <c r="B2248" s="1293" t="s">
        <v>272</v>
      </c>
      <c r="C2248" s="1284" t="s">
        <v>1671</v>
      </c>
      <c r="D2248" s="1283"/>
      <c r="E2248" s="1424">
        <v>217819</v>
      </c>
      <c r="F2248" s="1259">
        <v>3</v>
      </c>
      <c r="G2248" s="859"/>
      <c r="H2248" s="860"/>
      <c r="I2248" s="861">
        <v>8817</v>
      </c>
      <c r="J2248" s="862">
        <v>8683</v>
      </c>
      <c r="K2248" s="859"/>
      <c r="L2248" s="863"/>
      <c r="M2248" s="859"/>
      <c r="N2248" s="859"/>
      <c r="O2248" s="752">
        <f t="shared" si="290"/>
        <v>0</v>
      </c>
      <c r="P2248" s="862"/>
      <c r="Q2248" s="860"/>
      <c r="R2248" s="753">
        <f t="shared" si="293"/>
        <v>0</v>
      </c>
      <c r="S2248" s="752">
        <f t="shared" si="294"/>
        <v>8817</v>
      </c>
      <c r="T2248" s="754">
        <f t="shared" si="295"/>
        <v>8683</v>
      </c>
      <c r="U2248" s="859"/>
      <c r="V2248" s="863"/>
      <c r="W2248" s="859"/>
      <c r="X2248" s="859"/>
      <c r="Y2248" s="755">
        <f t="shared" si="291"/>
        <v>0</v>
      </c>
      <c r="Z2248" s="864"/>
      <c r="AA2248" s="863"/>
      <c r="AB2248" s="756">
        <f t="shared" si="292"/>
        <v>0</v>
      </c>
      <c r="AC2248" s="859"/>
      <c r="AD2248" s="863"/>
      <c r="AE2248" s="859"/>
      <c r="AF2248" s="859"/>
      <c r="AG2248" s="864"/>
      <c r="AH2248" s="865"/>
      <c r="AI2248" s="757">
        <f t="shared" si="296"/>
        <v>8817</v>
      </c>
      <c r="AJ2248" s="758">
        <f t="shared" si="297"/>
        <v>8683</v>
      </c>
    </row>
    <row r="2249" spans="1:36" x14ac:dyDescent="0.2">
      <c r="A2249" s="1421" t="s">
        <v>146</v>
      </c>
      <c r="B2249" s="1293" t="s">
        <v>272</v>
      </c>
      <c r="C2249" s="1284" t="s">
        <v>1687</v>
      </c>
      <c r="D2249" s="1283"/>
      <c r="E2249" s="1424">
        <v>217819</v>
      </c>
      <c r="F2249" s="1259">
        <v>3</v>
      </c>
      <c r="G2249" s="859"/>
      <c r="H2249" s="860"/>
      <c r="I2249" s="861">
        <v>898392</v>
      </c>
      <c r="J2249" s="862">
        <v>892573</v>
      </c>
      <c r="K2249" s="859"/>
      <c r="L2249" s="863"/>
      <c r="M2249" s="859"/>
      <c r="N2249" s="859"/>
      <c r="O2249" s="752">
        <f t="shared" si="290"/>
        <v>0</v>
      </c>
      <c r="P2249" s="862"/>
      <c r="Q2249" s="860"/>
      <c r="R2249" s="753">
        <f t="shared" si="293"/>
        <v>0</v>
      </c>
      <c r="S2249" s="752">
        <f t="shared" si="294"/>
        <v>898392</v>
      </c>
      <c r="T2249" s="754">
        <f t="shared" si="295"/>
        <v>892573</v>
      </c>
      <c r="U2249" s="859"/>
      <c r="V2249" s="863"/>
      <c r="W2249" s="859"/>
      <c r="X2249" s="859"/>
      <c r="Y2249" s="755">
        <f t="shared" si="291"/>
        <v>0</v>
      </c>
      <c r="Z2249" s="864"/>
      <c r="AA2249" s="863"/>
      <c r="AB2249" s="756">
        <f t="shared" si="292"/>
        <v>0</v>
      </c>
      <c r="AC2249" s="859"/>
      <c r="AD2249" s="863"/>
      <c r="AE2249" s="859"/>
      <c r="AF2249" s="859"/>
      <c r="AG2249" s="864"/>
      <c r="AH2249" s="865"/>
      <c r="AI2249" s="757">
        <f t="shared" si="296"/>
        <v>898392</v>
      </c>
      <c r="AJ2249" s="758">
        <f t="shared" si="297"/>
        <v>892573</v>
      </c>
    </row>
    <row r="2250" spans="1:36" x14ac:dyDescent="0.2">
      <c r="A2250" s="1421" t="s">
        <v>146</v>
      </c>
      <c r="B2250" s="1293" t="s">
        <v>264</v>
      </c>
      <c r="C2250" s="1422" t="s">
        <v>1688</v>
      </c>
      <c r="D2250" s="1423"/>
      <c r="E2250" s="1424">
        <v>218964</v>
      </c>
      <c r="F2250" s="1259">
        <v>3</v>
      </c>
      <c r="G2250" s="859">
        <v>10406563</v>
      </c>
      <c r="H2250" s="860">
        <v>10415863</v>
      </c>
      <c r="I2250" s="861"/>
      <c r="J2250" s="862"/>
      <c r="K2250" s="859"/>
      <c r="L2250" s="863"/>
      <c r="M2250" s="859">
        <v>68716769</v>
      </c>
      <c r="N2250" s="859">
        <v>6738722</v>
      </c>
      <c r="O2250" s="752">
        <f t="shared" si="290"/>
        <v>75455491</v>
      </c>
      <c r="P2250" s="862">
        <v>68716769</v>
      </c>
      <c r="Q2250" s="860">
        <v>6738722</v>
      </c>
      <c r="R2250" s="753">
        <f t="shared" si="293"/>
        <v>75455491</v>
      </c>
      <c r="S2250" s="752">
        <f t="shared" si="294"/>
        <v>79123332</v>
      </c>
      <c r="T2250" s="754">
        <f t="shared" si="295"/>
        <v>79132632</v>
      </c>
      <c r="U2250" s="859"/>
      <c r="V2250" s="863"/>
      <c r="W2250" s="859"/>
      <c r="X2250" s="859"/>
      <c r="Y2250" s="755">
        <f t="shared" si="291"/>
        <v>0</v>
      </c>
      <c r="Z2250" s="864"/>
      <c r="AA2250" s="863"/>
      <c r="AB2250" s="756">
        <f t="shared" si="292"/>
        <v>0</v>
      </c>
      <c r="AC2250" s="859"/>
      <c r="AD2250" s="863"/>
      <c r="AE2250" s="859"/>
      <c r="AF2250" s="859"/>
      <c r="AG2250" s="864"/>
      <c r="AH2250" s="865"/>
      <c r="AI2250" s="757">
        <f t="shared" si="296"/>
        <v>79123332</v>
      </c>
      <c r="AJ2250" s="758">
        <f t="shared" si="297"/>
        <v>79132632</v>
      </c>
    </row>
    <row r="2251" spans="1:36" x14ac:dyDescent="0.2">
      <c r="A2251" s="1421" t="s">
        <v>146</v>
      </c>
      <c r="B2251" s="1293" t="s">
        <v>264</v>
      </c>
      <c r="C2251" s="1284" t="s">
        <v>1663</v>
      </c>
      <c r="D2251" s="1283"/>
      <c r="E2251" s="1424">
        <v>218964</v>
      </c>
      <c r="F2251" s="1259">
        <v>3</v>
      </c>
      <c r="G2251" s="859">
        <v>2690166</v>
      </c>
      <c r="H2251" s="860">
        <v>2920230</v>
      </c>
      <c r="I2251" s="861"/>
      <c r="J2251" s="862"/>
      <c r="K2251" s="859"/>
      <c r="L2251" s="863"/>
      <c r="M2251" s="859"/>
      <c r="N2251" s="859"/>
      <c r="O2251" s="752">
        <f t="shared" ref="O2251:O2314" si="298">SUM(M2251:N2251)</f>
        <v>0</v>
      </c>
      <c r="P2251" s="862"/>
      <c r="Q2251" s="860"/>
      <c r="R2251" s="753">
        <f t="shared" si="293"/>
        <v>0</v>
      </c>
      <c r="S2251" s="752">
        <f t="shared" si="294"/>
        <v>2690166</v>
      </c>
      <c r="T2251" s="754">
        <f t="shared" si="295"/>
        <v>2920230</v>
      </c>
      <c r="U2251" s="859"/>
      <c r="V2251" s="863"/>
      <c r="W2251" s="859"/>
      <c r="X2251" s="859"/>
      <c r="Y2251" s="755">
        <f t="shared" ref="Y2251:Y2314" si="299">SUM(W2251:X2251)</f>
        <v>0</v>
      </c>
      <c r="Z2251" s="864"/>
      <c r="AA2251" s="863"/>
      <c r="AB2251" s="756">
        <f t="shared" ref="AB2251:AB2314" si="300">SUM(Z2251:AA2251)</f>
        <v>0</v>
      </c>
      <c r="AC2251" s="859"/>
      <c r="AD2251" s="863"/>
      <c r="AE2251" s="859"/>
      <c r="AF2251" s="859"/>
      <c r="AG2251" s="864"/>
      <c r="AH2251" s="865"/>
      <c r="AI2251" s="757">
        <f t="shared" si="296"/>
        <v>2690166</v>
      </c>
      <c r="AJ2251" s="758">
        <f t="shared" si="297"/>
        <v>2920230</v>
      </c>
    </row>
    <row r="2252" spans="1:36" x14ac:dyDescent="0.2">
      <c r="A2252" s="1421" t="s">
        <v>146</v>
      </c>
      <c r="B2252" s="1293" t="s">
        <v>272</v>
      </c>
      <c r="C2252" s="1282" t="s">
        <v>970</v>
      </c>
      <c r="D2252" s="1283"/>
      <c r="E2252" s="1424">
        <v>218964</v>
      </c>
      <c r="F2252" s="1259">
        <v>3</v>
      </c>
      <c r="G2252" s="859"/>
      <c r="H2252" s="860"/>
      <c r="I2252" s="861"/>
      <c r="J2252" s="862"/>
      <c r="K2252" s="859"/>
      <c r="L2252" s="863"/>
      <c r="M2252" s="859"/>
      <c r="N2252" s="859"/>
      <c r="O2252" s="752">
        <f t="shared" si="298"/>
        <v>0</v>
      </c>
      <c r="P2252" s="862"/>
      <c r="Q2252" s="860"/>
      <c r="R2252" s="753">
        <f t="shared" ref="R2252:R2315" si="301">SUM(P2252:Q2252)</f>
        <v>0</v>
      </c>
      <c r="S2252" s="752">
        <f t="shared" ref="S2252:S2315" si="302">SUM(G2252,I2252,K2252,M2252)</f>
        <v>0</v>
      </c>
      <c r="T2252" s="754">
        <f t="shared" ref="T2252:T2315" si="303">SUM(H2252,J2252,L2252,P2252)</f>
        <v>0</v>
      </c>
      <c r="U2252" s="859"/>
      <c r="V2252" s="863"/>
      <c r="W2252" s="859"/>
      <c r="X2252" s="859"/>
      <c r="Y2252" s="755">
        <f t="shared" si="299"/>
        <v>0</v>
      </c>
      <c r="Z2252" s="864"/>
      <c r="AA2252" s="863"/>
      <c r="AB2252" s="756">
        <f t="shared" si="300"/>
        <v>0</v>
      </c>
      <c r="AC2252" s="859"/>
      <c r="AD2252" s="863"/>
      <c r="AE2252" s="859"/>
      <c r="AF2252" s="859"/>
      <c r="AG2252" s="864"/>
      <c r="AH2252" s="865"/>
      <c r="AI2252" s="757">
        <f t="shared" ref="AI2252:AI2315" si="304">SUM(S2252,U2252,W2252,AC2252,AE2252)</f>
        <v>0</v>
      </c>
      <c r="AJ2252" s="758">
        <f t="shared" ref="AJ2252:AJ2315" si="305">SUM(T2252,V2252,Z2252,AD2252,AG2252)</f>
        <v>0</v>
      </c>
    </row>
    <row r="2253" spans="1:36" x14ac:dyDescent="0.2">
      <c r="A2253" s="1421" t="s">
        <v>146</v>
      </c>
      <c r="B2253" s="1293" t="s">
        <v>272</v>
      </c>
      <c r="C2253" s="1429" t="s">
        <v>1669</v>
      </c>
      <c r="D2253" s="1430"/>
      <c r="E2253" s="1424">
        <v>218964</v>
      </c>
      <c r="F2253" s="1259">
        <v>3</v>
      </c>
      <c r="G2253" s="859"/>
      <c r="H2253" s="860"/>
      <c r="I2253" s="861">
        <v>1980415</v>
      </c>
      <c r="J2253" s="862"/>
      <c r="K2253" s="859"/>
      <c r="L2253" s="863"/>
      <c r="M2253" s="859"/>
      <c r="N2253" s="859"/>
      <c r="O2253" s="752">
        <f t="shared" si="298"/>
        <v>0</v>
      </c>
      <c r="P2253" s="862"/>
      <c r="Q2253" s="860"/>
      <c r="R2253" s="753">
        <f t="shared" si="301"/>
        <v>0</v>
      </c>
      <c r="S2253" s="752">
        <f t="shared" si="302"/>
        <v>1980415</v>
      </c>
      <c r="T2253" s="754">
        <f t="shared" si="303"/>
        <v>0</v>
      </c>
      <c r="U2253" s="859"/>
      <c r="V2253" s="863"/>
      <c r="W2253" s="859"/>
      <c r="X2253" s="859"/>
      <c r="Y2253" s="755">
        <f t="shared" si="299"/>
        <v>0</v>
      </c>
      <c r="Z2253" s="864"/>
      <c r="AA2253" s="863"/>
      <c r="AB2253" s="756">
        <f t="shared" si="300"/>
        <v>0</v>
      </c>
      <c r="AC2253" s="859"/>
      <c r="AD2253" s="863"/>
      <c r="AE2253" s="859"/>
      <c r="AF2253" s="859"/>
      <c r="AG2253" s="864"/>
      <c r="AH2253" s="865"/>
      <c r="AI2253" s="757">
        <f t="shared" si="304"/>
        <v>1980415</v>
      </c>
      <c r="AJ2253" s="758">
        <f t="shared" si="305"/>
        <v>0</v>
      </c>
    </row>
    <row r="2254" spans="1:36" x14ac:dyDescent="0.2">
      <c r="A2254" s="1421" t="s">
        <v>146</v>
      </c>
      <c r="B2254" s="1293" t="s">
        <v>272</v>
      </c>
      <c r="C2254" s="1429" t="s">
        <v>1689</v>
      </c>
      <c r="D2254" s="1430"/>
      <c r="E2254" s="1424">
        <v>218964</v>
      </c>
      <c r="F2254" s="1259">
        <v>3</v>
      </c>
      <c r="G2254" s="859"/>
      <c r="H2254" s="860"/>
      <c r="I2254" s="861"/>
      <c r="J2254" s="862">
        <v>350000</v>
      </c>
      <c r="K2254" s="859"/>
      <c r="L2254" s="863"/>
      <c r="M2254" s="859"/>
      <c r="N2254" s="859"/>
      <c r="O2254" s="752">
        <f t="shared" si="298"/>
        <v>0</v>
      </c>
      <c r="P2254" s="862"/>
      <c r="Q2254" s="860"/>
      <c r="R2254" s="753">
        <f t="shared" si="301"/>
        <v>0</v>
      </c>
      <c r="S2254" s="752">
        <f t="shared" si="302"/>
        <v>0</v>
      </c>
      <c r="T2254" s="754">
        <f t="shared" si="303"/>
        <v>350000</v>
      </c>
      <c r="U2254" s="859"/>
      <c r="V2254" s="863"/>
      <c r="W2254" s="859"/>
      <c r="X2254" s="859"/>
      <c r="Y2254" s="755">
        <f t="shared" si="299"/>
        <v>0</v>
      </c>
      <c r="Z2254" s="864"/>
      <c r="AA2254" s="863"/>
      <c r="AB2254" s="756">
        <f t="shared" si="300"/>
        <v>0</v>
      </c>
      <c r="AC2254" s="859"/>
      <c r="AD2254" s="863"/>
      <c r="AE2254" s="859"/>
      <c r="AF2254" s="859"/>
      <c r="AG2254" s="864"/>
      <c r="AH2254" s="865"/>
      <c r="AI2254" s="757">
        <f t="shared" si="304"/>
        <v>0</v>
      </c>
      <c r="AJ2254" s="758">
        <f t="shared" si="305"/>
        <v>350000</v>
      </c>
    </row>
    <row r="2255" spans="1:36" x14ac:dyDescent="0.2">
      <c r="A2255" s="1421" t="s">
        <v>146</v>
      </c>
      <c r="B2255" s="1293" t="s">
        <v>272</v>
      </c>
      <c r="C2255" s="1429" t="s">
        <v>1690</v>
      </c>
      <c r="D2255" s="1430"/>
      <c r="E2255" s="1424">
        <v>218964</v>
      </c>
      <c r="F2255" s="1259">
        <v>3</v>
      </c>
      <c r="G2255" s="859"/>
      <c r="H2255" s="860"/>
      <c r="I2255" s="861"/>
      <c r="J2255" s="862">
        <v>750000</v>
      </c>
      <c r="K2255" s="859"/>
      <c r="L2255" s="863"/>
      <c r="M2255" s="859"/>
      <c r="N2255" s="859"/>
      <c r="O2255" s="752">
        <f t="shared" si="298"/>
        <v>0</v>
      </c>
      <c r="P2255" s="862"/>
      <c r="Q2255" s="860"/>
      <c r="R2255" s="753">
        <f t="shared" si="301"/>
        <v>0</v>
      </c>
      <c r="S2255" s="752">
        <f t="shared" si="302"/>
        <v>0</v>
      </c>
      <c r="T2255" s="754">
        <f t="shared" si="303"/>
        <v>750000</v>
      </c>
      <c r="U2255" s="859"/>
      <c r="V2255" s="863"/>
      <c r="W2255" s="859"/>
      <c r="X2255" s="859"/>
      <c r="Y2255" s="755">
        <f t="shared" si="299"/>
        <v>0</v>
      </c>
      <c r="Z2255" s="864"/>
      <c r="AA2255" s="863"/>
      <c r="AB2255" s="756">
        <f t="shared" si="300"/>
        <v>0</v>
      </c>
      <c r="AC2255" s="859"/>
      <c r="AD2255" s="863"/>
      <c r="AE2255" s="859"/>
      <c r="AF2255" s="859"/>
      <c r="AG2255" s="864"/>
      <c r="AH2255" s="865"/>
      <c r="AI2255" s="757">
        <f t="shared" si="304"/>
        <v>0</v>
      </c>
      <c r="AJ2255" s="758">
        <f t="shared" si="305"/>
        <v>750000</v>
      </c>
    </row>
    <row r="2256" spans="1:36" x14ac:dyDescent="0.2">
      <c r="A2256" s="1421" t="s">
        <v>146</v>
      </c>
      <c r="B2256" s="1293" t="s">
        <v>272</v>
      </c>
      <c r="C2256" s="1429" t="s">
        <v>1670</v>
      </c>
      <c r="D2256" s="1430"/>
      <c r="E2256" s="1424">
        <v>218964</v>
      </c>
      <c r="F2256" s="1259">
        <v>3</v>
      </c>
      <c r="G2256" s="859"/>
      <c r="H2256" s="860"/>
      <c r="I2256" s="861"/>
      <c r="J2256" s="862">
        <v>569307</v>
      </c>
      <c r="K2256" s="859"/>
      <c r="L2256" s="863"/>
      <c r="M2256" s="859"/>
      <c r="N2256" s="859"/>
      <c r="O2256" s="752">
        <f t="shared" si="298"/>
        <v>0</v>
      </c>
      <c r="P2256" s="862"/>
      <c r="Q2256" s="860"/>
      <c r="R2256" s="753">
        <f t="shared" si="301"/>
        <v>0</v>
      </c>
      <c r="S2256" s="752">
        <f t="shared" si="302"/>
        <v>0</v>
      </c>
      <c r="T2256" s="754">
        <f t="shared" si="303"/>
        <v>569307</v>
      </c>
      <c r="U2256" s="859"/>
      <c r="V2256" s="863"/>
      <c r="W2256" s="859"/>
      <c r="X2256" s="859"/>
      <c r="Y2256" s="755">
        <f t="shared" si="299"/>
        <v>0</v>
      </c>
      <c r="Z2256" s="864"/>
      <c r="AA2256" s="863"/>
      <c r="AB2256" s="756">
        <f t="shared" si="300"/>
        <v>0</v>
      </c>
      <c r="AC2256" s="859"/>
      <c r="AD2256" s="863"/>
      <c r="AE2256" s="859"/>
      <c r="AF2256" s="859"/>
      <c r="AG2256" s="864"/>
      <c r="AH2256" s="865"/>
      <c r="AI2256" s="757">
        <f t="shared" si="304"/>
        <v>0</v>
      </c>
      <c r="AJ2256" s="758">
        <f t="shared" si="305"/>
        <v>569307</v>
      </c>
    </row>
    <row r="2257" spans="1:36" x14ac:dyDescent="0.2">
      <c r="A2257" s="1421" t="s">
        <v>146</v>
      </c>
      <c r="B2257" s="1293" t="s">
        <v>272</v>
      </c>
      <c r="C2257" s="1429" t="s">
        <v>1691</v>
      </c>
      <c r="D2257" s="1430"/>
      <c r="E2257" s="1424">
        <v>218964</v>
      </c>
      <c r="F2257" s="1259">
        <v>3</v>
      </c>
      <c r="G2257" s="859"/>
      <c r="H2257" s="860"/>
      <c r="I2257" s="861">
        <v>500000</v>
      </c>
      <c r="J2257" s="862"/>
      <c r="K2257" s="859"/>
      <c r="L2257" s="863"/>
      <c r="M2257" s="859"/>
      <c r="N2257" s="859"/>
      <c r="O2257" s="752">
        <f t="shared" si="298"/>
        <v>0</v>
      </c>
      <c r="P2257" s="862"/>
      <c r="Q2257" s="860"/>
      <c r="R2257" s="753">
        <f t="shared" si="301"/>
        <v>0</v>
      </c>
      <c r="S2257" s="752">
        <f t="shared" si="302"/>
        <v>500000</v>
      </c>
      <c r="T2257" s="754">
        <f t="shared" si="303"/>
        <v>0</v>
      </c>
      <c r="U2257" s="859"/>
      <c r="V2257" s="863"/>
      <c r="W2257" s="859"/>
      <c r="X2257" s="859"/>
      <c r="Y2257" s="755">
        <f t="shared" si="299"/>
        <v>0</v>
      </c>
      <c r="Z2257" s="864"/>
      <c r="AA2257" s="863"/>
      <c r="AB2257" s="756">
        <f t="shared" si="300"/>
        <v>0</v>
      </c>
      <c r="AC2257" s="859"/>
      <c r="AD2257" s="863"/>
      <c r="AE2257" s="859"/>
      <c r="AF2257" s="859"/>
      <c r="AG2257" s="864"/>
      <c r="AH2257" s="865"/>
      <c r="AI2257" s="757">
        <f t="shared" si="304"/>
        <v>500000</v>
      </c>
      <c r="AJ2257" s="758">
        <f t="shared" si="305"/>
        <v>0</v>
      </c>
    </row>
    <row r="2258" spans="1:36" x14ac:dyDescent="0.2">
      <c r="A2258" s="1421" t="s">
        <v>146</v>
      </c>
      <c r="B2258" s="1293" t="s">
        <v>272</v>
      </c>
      <c r="C2258" s="1284" t="s">
        <v>1671</v>
      </c>
      <c r="D2258" s="1283"/>
      <c r="E2258" s="1424">
        <v>218964</v>
      </c>
      <c r="F2258" s="1259">
        <v>3</v>
      </c>
      <c r="G2258" s="859"/>
      <c r="H2258" s="860"/>
      <c r="I2258" s="861">
        <v>9146</v>
      </c>
      <c r="J2258" s="862">
        <v>9071</v>
      </c>
      <c r="K2258" s="859"/>
      <c r="L2258" s="863"/>
      <c r="M2258" s="859"/>
      <c r="N2258" s="859"/>
      <c r="O2258" s="752">
        <f t="shared" si="298"/>
        <v>0</v>
      </c>
      <c r="P2258" s="862"/>
      <c r="Q2258" s="860"/>
      <c r="R2258" s="753">
        <f t="shared" si="301"/>
        <v>0</v>
      </c>
      <c r="S2258" s="752">
        <f t="shared" si="302"/>
        <v>9146</v>
      </c>
      <c r="T2258" s="754">
        <f t="shared" si="303"/>
        <v>9071</v>
      </c>
      <c r="U2258" s="859"/>
      <c r="V2258" s="863"/>
      <c r="W2258" s="859"/>
      <c r="X2258" s="859"/>
      <c r="Y2258" s="755">
        <f t="shared" si="299"/>
        <v>0</v>
      </c>
      <c r="Z2258" s="864"/>
      <c r="AA2258" s="863"/>
      <c r="AB2258" s="756">
        <f t="shared" si="300"/>
        <v>0</v>
      </c>
      <c r="AC2258" s="859"/>
      <c r="AD2258" s="863"/>
      <c r="AE2258" s="859"/>
      <c r="AF2258" s="859"/>
      <c r="AG2258" s="864"/>
      <c r="AH2258" s="865"/>
      <c r="AI2258" s="757">
        <f t="shared" si="304"/>
        <v>9146</v>
      </c>
      <c r="AJ2258" s="758">
        <f t="shared" si="305"/>
        <v>9071</v>
      </c>
    </row>
    <row r="2259" spans="1:36" x14ac:dyDescent="0.2">
      <c r="A2259" s="1421" t="s">
        <v>146</v>
      </c>
      <c r="B2259" s="1293" t="s">
        <v>272</v>
      </c>
      <c r="C2259" s="1284" t="s">
        <v>1687</v>
      </c>
      <c r="D2259" s="1283"/>
      <c r="E2259" s="1424">
        <v>218964</v>
      </c>
      <c r="F2259" s="1259">
        <v>3</v>
      </c>
      <c r="G2259" s="859"/>
      <c r="H2259" s="860"/>
      <c r="I2259" s="861">
        <v>544302</v>
      </c>
      <c r="J2259" s="862">
        <v>535585</v>
      </c>
      <c r="K2259" s="859"/>
      <c r="L2259" s="863"/>
      <c r="M2259" s="859"/>
      <c r="N2259" s="859"/>
      <c r="O2259" s="752">
        <f t="shared" si="298"/>
        <v>0</v>
      </c>
      <c r="P2259" s="862"/>
      <c r="Q2259" s="860"/>
      <c r="R2259" s="753">
        <f t="shared" si="301"/>
        <v>0</v>
      </c>
      <c r="S2259" s="752">
        <f t="shared" si="302"/>
        <v>544302</v>
      </c>
      <c r="T2259" s="754">
        <f t="shared" si="303"/>
        <v>535585</v>
      </c>
      <c r="U2259" s="859"/>
      <c r="V2259" s="863"/>
      <c r="W2259" s="859"/>
      <c r="X2259" s="859"/>
      <c r="Y2259" s="755">
        <f t="shared" si="299"/>
        <v>0</v>
      </c>
      <c r="Z2259" s="864"/>
      <c r="AA2259" s="863"/>
      <c r="AB2259" s="756">
        <f t="shared" si="300"/>
        <v>0</v>
      </c>
      <c r="AC2259" s="859"/>
      <c r="AD2259" s="863"/>
      <c r="AE2259" s="859"/>
      <c r="AF2259" s="859"/>
      <c r="AG2259" s="864"/>
      <c r="AH2259" s="865"/>
      <c r="AI2259" s="757">
        <f t="shared" si="304"/>
        <v>544302</v>
      </c>
      <c r="AJ2259" s="758">
        <f t="shared" si="305"/>
        <v>535585</v>
      </c>
    </row>
    <row r="2260" spans="1:36" x14ac:dyDescent="0.2">
      <c r="A2260" s="1421" t="s">
        <v>146</v>
      </c>
      <c r="B2260" s="1293" t="s">
        <v>264</v>
      </c>
      <c r="C2260" s="1422" t="s">
        <v>1692</v>
      </c>
      <c r="D2260" s="1269" t="s">
        <v>1235</v>
      </c>
      <c r="E2260" s="1424">
        <v>217864</v>
      </c>
      <c r="F2260" s="1443">
        <v>3</v>
      </c>
      <c r="G2260" s="859">
        <v>7192163</v>
      </c>
      <c r="H2260" s="860">
        <v>7209044</v>
      </c>
      <c r="I2260" s="861"/>
      <c r="J2260" s="862"/>
      <c r="K2260" s="859"/>
      <c r="L2260" s="863"/>
      <c r="M2260" s="859">
        <v>48466547</v>
      </c>
      <c r="N2260" s="859">
        <v>693027</v>
      </c>
      <c r="O2260" s="752">
        <f t="shared" si="298"/>
        <v>49159574</v>
      </c>
      <c r="P2260" s="862">
        <v>48466547</v>
      </c>
      <c r="Q2260" s="860">
        <v>693027</v>
      </c>
      <c r="R2260" s="753">
        <f t="shared" si="301"/>
        <v>49159574</v>
      </c>
      <c r="S2260" s="752">
        <f t="shared" si="302"/>
        <v>55658710</v>
      </c>
      <c r="T2260" s="754">
        <f t="shared" si="303"/>
        <v>55675591</v>
      </c>
      <c r="U2260" s="859"/>
      <c r="V2260" s="863"/>
      <c r="W2260" s="859"/>
      <c r="X2260" s="859"/>
      <c r="Y2260" s="755">
        <f t="shared" si="299"/>
        <v>0</v>
      </c>
      <c r="Z2260" s="864"/>
      <c r="AA2260" s="863"/>
      <c r="AB2260" s="756">
        <f t="shared" si="300"/>
        <v>0</v>
      </c>
      <c r="AC2260" s="859"/>
      <c r="AD2260" s="863"/>
      <c r="AE2260" s="859"/>
      <c r="AF2260" s="859"/>
      <c r="AG2260" s="864"/>
      <c r="AH2260" s="865"/>
      <c r="AI2260" s="757">
        <f t="shared" si="304"/>
        <v>55658710</v>
      </c>
      <c r="AJ2260" s="758">
        <f t="shared" si="305"/>
        <v>55675591</v>
      </c>
    </row>
    <row r="2261" spans="1:36" x14ac:dyDescent="0.2">
      <c r="A2261" s="1421" t="s">
        <v>146</v>
      </c>
      <c r="B2261" s="1293" t="s">
        <v>264</v>
      </c>
      <c r="C2261" s="1284" t="s">
        <v>1663</v>
      </c>
      <c r="D2261" s="1283"/>
      <c r="E2261" s="1424">
        <v>217864</v>
      </c>
      <c r="F2261" s="1443">
        <v>3</v>
      </c>
      <c r="G2261" s="859">
        <v>1718729</v>
      </c>
      <c r="H2261" s="860">
        <v>1845205</v>
      </c>
      <c r="I2261" s="861"/>
      <c r="J2261" s="862"/>
      <c r="K2261" s="859"/>
      <c r="L2261" s="863"/>
      <c r="M2261" s="859"/>
      <c r="N2261" s="859"/>
      <c r="O2261" s="752">
        <f t="shared" si="298"/>
        <v>0</v>
      </c>
      <c r="P2261" s="862"/>
      <c r="Q2261" s="860"/>
      <c r="R2261" s="753">
        <f t="shared" si="301"/>
        <v>0</v>
      </c>
      <c r="S2261" s="752">
        <f t="shared" si="302"/>
        <v>1718729</v>
      </c>
      <c r="T2261" s="754">
        <f t="shared" si="303"/>
        <v>1845205</v>
      </c>
      <c r="U2261" s="859"/>
      <c r="V2261" s="863"/>
      <c r="W2261" s="859"/>
      <c r="X2261" s="859"/>
      <c r="Y2261" s="755">
        <f t="shared" si="299"/>
        <v>0</v>
      </c>
      <c r="Z2261" s="864"/>
      <c r="AA2261" s="863"/>
      <c r="AB2261" s="756">
        <f t="shared" si="300"/>
        <v>0</v>
      </c>
      <c r="AC2261" s="859"/>
      <c r="AD2261" s="863"/>
      <c r="AE2261" s="859"/>
      <c r="AF2261" s="859"/>
      <c r="AG2261" s="864"/>
      <c r="AH2261" s="865"/>
      <c r="AI2261" s="757">
        <f t="shared" si="304"/>
        <v>1718729</v>
      </c>
      <c r="AJ2261" s="758">
        <f t="shared" si="305"/>
        <v>1845205</v>
      </c>
    </row>
    <row r="2262" spans="1:36" x14ac:dyDescent="0.2">
      <c r="A2262" s="1421" t="s">
        <v>146</v>
      </c>
      <c r="B2262" s="1293" t="s">
        <v>272</v>
      </c>
      <c r="C2262" s="1282" t="s">
        <v>970</v>
      </c>
      <c r="D2262" s="1283"/>
      <c r="E2262" s="1424">
        <v>217864</v>
      </c>
      <c r="F2262" s="1443">
        <v>3</v>
      </c>
      <c r="G2262" s="859"/>
      <c r="H2262" s="860"/>
      <c r="I2262" s="861"/>
      <c r="J2262" s="862"/>
      <c r="K2262" s="859"/>
      <c r="L2262" s="863"/>
      <c r="M2262" s="859"/>
      <c r="N2262" s="859"/>
      <c r="O2262" s="752">
        <f t="shared" si="298"/>
        <v>0</v>
      </c>
      <c r="P2262" s="862"/>
      <c r="Q2262" s="860"/>
      <c r="R2262" s="753">
        <f t="shared" si="301"/>
        <v>0</v>
      </c>
      <c r="S2262" s="752">
        <f t="shared" si="302"/>
        <v>0</v>
      </c>
      <c r="T2262" s="754">
        <f t="shared" si="303"/>
        <v>0</v>
      </c>
      <c r="U2262" s="859"/>
      <c r="V2262" s="863"/>
      <c r="W2262" s="859"/>
      <c r="X2262" s="859"/>
      <c r="Y2262" s="755">
        <f t="shared" si="299"/>
        <v>0</v>
      </c>
      <c r="Z2262" s="864"/>
      <c r="AA2262" s="863"/>
      <c r="AB2262" s="756">
        <f t="shared" si="300"/>
        <v>0</v>
      </c>
      <c r="AC2262" s="859"/>
      <c r="AD2262" s="863"/>
      <c r="AE2262" s="859"/>
      <c r="AF2262" s="859"/>
      <c r="AG2262" s="864"/>
      <c r="AH2262" s="865"/>
      <c r="AI2262" s="757">
        <f t="shared" si="304"/>
        <v>0</v>
      </c>
      <c r="AJ2262" s="758">
        <f t="shared" si="305"/>
        <v>0</v>
      </c>
    </row>
    <row r="2263" spans="1:36" x14ac:dyDescent="0.2">
      <c r="A2263" s="1421" t="s">
        <v>146</v>
      </c>
      <c r="B2263" s="1293" t="s">
        <v>272</v>
      </c>
      <c r="C2263" s="1429" t="s">
        <v>1669</v>
      </c>
      <c r="D2263" s="1430"/>
      <c r="E2263" s="1424">
        <v>217864</v>
      </c>
      <c r="F2263" s="1443">
        <v>3</v>
      </c>
      <c r="G2263" s="859"/>
      <c r="H2263" s="860"/>
      <c r="I2263" s="861">
        <v>1150610</v>
      </c>
      <c r="J2263" s="862"/>
      <c r="K2263" s="859"/>
      <c r="L2263" s="863"/>
      <c r="M2263" s="859"/>
      <c r="N2263" s="859"/>
      <c r="O2263" s="752">
        <f t="shared" si="298"/>
        <v>0</v>
      </c>
      <c r="P2263" s="862"/>
      <c r="Q2263" s="860"/>
      <c r="R2263" s="753">
        <f t="shared" si="301"/>
        <v>0</v>
      </c>
      <c r="S2263" s="752">
        <f t="shared" si="302"/>
        <v>1150610</v>
      </c>
      <c r="T2263" s="754">
        <f t="shared" si="303"/>
        <v>0</v>
      </c>
      <c r="U2263" s="859"/>
      <c r="V2263" s="863"/>
      <c r="W2263" s="859"/>
      <c r="X2263" s="859"/>
      <c r="Y2263" s="755">
        <f t="shared" si="299"/>
        <v>0</v>
      </c>
      <c r="Z2263" s="864"/>
      <c r="AA2263" s="863"/>
      <c r="AB2263" s="756">
        <f t="shared" si="300"/>
        <v>0</v>
      </c>
      <c r="AC2263" s="859"/>
      <c r="AD2263" s="863"/>
      <c r="AE2263" s="859"/>
      <c r="AF2263" s="859"/>
      <c r="AG2263" s="864"/>
      <c r="AH2263" s="865"/>
      <c r="AI2263" s="757">
        <f t="shared" si="304"/>
        <v>1150610</v>
      </c>
      <c r="AJ2263" s="758">
        <f t="shared" si="305"/>
        <v>0</v>
      </c>
    </row>
    <row r="2264" spans="1:36" x14ac:dyDescent="0.2">
      <c r="A2264" s="1421" t="s">
        <v>146</v>
      </c>
      <c r="B2264" s="1293" t="s">
        <v>272</v>
      </c>
      <c r="C2264" s="1429" t="s">
        <v>1670</v>
      </c>
      <c r="D2264" s="1430"/>
      <c r="E2264" s="1424">
        <v>217864</v>
      </c>
      <c r="F2264" s="1443">
        <v>3</v>
      </c>
      <c r="G2264" s="859"/>
      <c r="H2264" s="860"/>
      <c r="I2264" s="861"/>
      <c r="J2264" s="862">
        <v>387663</v>
      </c>
      <c r="K2264" s="859"/>
      <c r="L2264" s="863"/>
      <c r="M2264" s="859"/>
      <c r="N2264" s="859"/>
      <c r="O2264" s="752">
        <f t="shared" si="298"/>
        <v>0</v>
      </c>
      <c r="P2264" s="862"/>
      <c r="Q2264" s="860"/>
      <c r="R2264" s="753">
        <f t="shared" si="301"/>
        <v>0</v>
      </c>
      <c r="S2264" s="752">
        <f t="shared" si="302"/>
        <v>0</v>
      </c>
      <c r="T2264" s="754">
        <f t="shared" si="303"/>
        <v>387663</v>
      </c>
      <c r="U2264" s="859"/>
      <c r="V2264" s="863"/>
      <c r="W2264" s="859"/>
      <c r="X2264" s="859"/>
      <c r="Y2264" s="755">
        <f t="shared" si="299"/>
        <v>0</v>
      </c>
      <c r="Z2264" s="864"/>
      <c r="AA2264" s="863"/>
      <c r="AB2264" s="756">
        <f t="shared" si="300"/>
        <v>0</v>
      </c>
      <c r="AC2264" s="859"/>
      <c r="AD2264" s="863"/>
      <c r="AE2264" s="859"/>
      <c r="AF2264" s="859"/>
      <c r="AG2264" s="864"/>
      <c r="AH2264" s="865"/>
      <c r="AI2264" s="757">
        <f t="shared" si="304"/>
        <v>0</v>
      </c>
      <c r="AJ2264" s="758">
        <f t="shared" si="305"/>
        <v>387663</v>
      </c>
    </row>
    <row r="2265" spans="1:36" x14ac:dyDescent="0.2">
      <c r="A2265" s="1421" t="s">
        <v>146</v>
      </c>
      <c r="B2265" s="1293" t="s">
        <v>272</v>
      </c>
      <c r="C2265" s="1429" t="s">
        <v>1693</v>
      </c>
      <c r="D2265" s="1430"/>
      <c r="E2265" s="1424">
        <v>217864</v>
      </c>
      <c r="F2265" s="1443">
        <v>3</v>
      </c>
      <c r="G2265" s="859"/>
      <c r="H2265" s="860"/>
      <c r="I2265" s="861"/>
      <c r="J2265" s="862">
        <v>1500000</v>
      </c>
      <c r="K2265" s="859"/>
      <c r="L2265" s="863"/>
      <c r="M2265" s="859"/>
      <c r="N2265" s="859"/>
      <c r="O2265" s="752">
        <f t="shared" si="298"/>
        <v>0</v>
      </c>
      <c r="P2265" s="862"/>
      <c r="Q2265" s="860"/>
      <c r="R2265" s="753">
        <f t="shared" si="301"/>
        <v>0</v>
      </c>
      <c r="S2265" s="752">
        <f t="shared" si="302"/>
        <v>0</v>
      </c>
      <c r="T2265" s="754">
        <f t="shared" si="303"/>
        <v>1500000</v>
      </c>
      <c r="U2265" s="859"/>
      <c r="V2265" s="863"/>
      <c r="W2265" s="859"/>
      <c r="X2265" s="859"/>
      <c r="Y2265" s="755">
        <f t="shared" si="299"/>
        <v>0</v>
      </c>
      <c r="Z2265" s="864"/>
      <c r="AA2265" s="863"/>
      <c r="AB2265" s="756">
        <f t="shared" si="300"/>
        <v>0</v>
      </c>
      <c r="AC2265" s="859"/>
      <c r="AD2265" s="863"/>
      <c r="AE2265" s="859"/>
      <c r="AF2265" s="859"/>
      <c r="AG2265" s="864"/>
      <c r="AH2265" s="865"/>
      <c r="AI2265" s="757">
        <f t="shared" si="304"/>
        <v>0</v>
      </c>
      <c r="AJ2265" s="758">
        <f t="shared" si="305"/>
        <v>1500000</v>
      </c>
    </row>
    <row r="2266" spans="1:36" x14ac:dyDescent="0.2">
      <c r="A2266" s="1421" t="s">
        <v>146</v>
      </c>
      <c r="B2266" s="1293" t="s">
        <v>272</v>
      </c>
      <c r="C2266" s="1429" t="s">
        <v>1694</v>
      </c>
      <c r="D2266" s="1430"/>
      <c r="E2266" s="1424">
        <v>217864</v>
      </c>
      <c r="F2266" s="1443">
        <v>3</v>
      </c>
      <c r="G2266" s="859"/>
      <c r="H2266" s="860"/>
      <c r="I2266" s="861">
        <v>200000</v>
      </c>
      <c r="J2266" s="862"/>
      <c r="K2266" s="859"/>
      <c r="L2266" s="863"/>
      <c r="M2266" s="859"/>
      <c r="N2266" s="859"/>
      <c r="O2266" s="752">
        <f t="shared" si="298"/>
        <v>0</v>
      </c>
      <c r="P2266" s="862"/>
      <c r="Q2266" s="860"/>
      <c r="R2266" s="753">
        <f t="shared" si="301"/>
        <v>0</v>
      </c>
      <c r="S2266" s="752">
        <f t="shared" si="302"/>
        <v>200000</v>
      </c>
      <c r="T2266" s="754">
        <f t="shared" si="303"/>
        <v>0</v>
      </c>
      <c r="U2266" s="859"/>
      <c r="V2266" s="863"/>
      <c r="W2266" s="859"/>
      <c r="X2266" s="859"/>
      <c r="Y2266" s="755">
        <f t="shared" si="299"/>
        <v>0</v>
      </c>
      <c r="Z2266" s="864"/>
      <c r="AA2266" s="863"/>
      <c r="AB2266" s="756">
        <f t="shared" si="300"/>
        <v>0</v>
      </c>
      <c r="AC2266" s="859"/>
      <c r="AD2266" s="863"/>
      <c r="AE2266" s="859"/>
      <c r="AF2266" s="859"/>
      <c r="AG2266" s="864"/>
      <c r="AH2266" s="865"/>
      <c r="AI2266" s="757">
        <f t="shared" si="304"/>
        <v>200000</v>
      </c>
      <c r="AJ2266" s="758">
        <f t="shared" si="305"/>
        <v>0</v>
      </c>
    </row>
    <row r="2267" spans="1:36" x14ac:dyDescent="0.2">
      <c r="A2267" s="1421" t="s">
        <v>146</v>
      </c>
      <c r="B2267" s="1293" t="s">
        <v>272</v>
      </c>
      <c r="C2267" s="1284" t="s">
        <v>1671</v>
      </c>
      <c r="D2267" s="1283"/>
      <c r="E2267" s="1424">
        <v>217864</v>
      </c>
      <c r="F2267" s="1443">
        <v>3</v>
      </c>
      <c r="G2267" s="859"/>
      <c r="H2267" s="860"/>
      <c r="I2267" s="861">
        <v>10418</v>
      </c>
      <c r="J2267" s="862">
        <v>10621</v>
      </c>
      <c r="K2267" s="859"/>
      <c r="L2267" s="863"/>
      <c r="M2267" s="859"/>
      <c r="N2267" s="859"/>
      <c r="O2267" s="752">
        <f t="shared" si="298"/>
        <v>0</v>
      </c>
      <c r="P2267" s="862"/>
      <c r="Q2267" s="860"/>
      <c r="R2267" s="753">
        <f t="shared" si="301"/>
        <v>0</v>
      </c>
      <c r="S2267" s="752">
        <f t="shared" si="302"/>
        <v>10418</v>
      </c>
      <c r="T2267" s="754">
        <f t="shared" si="303"/>
        <v>10621</v>
      </c>
      <c r="U2267" s="859"/>
      <c r="V2267" s="863"/>
      <c r="W2267" s="859"/>
      <c r="X2267" s="859"/>
      <c r="Y2267" s="755">
        <f t="shared" si="299"/>
        <v>0</v>
      </c>
      <c r="Z2267" s="864"/>
      <c r="AA2267" s="863"/>
      <c r="AB2267" s="756">
        <f t="shared" si="300"/>
        <v>0</v>
      </c>
      <c r="AC2267" s="859"/>
      <c r="AD2267" s="863"/>
      <c r="AE2267" s="859"/>
      <c r="AF2267" s="859"/>
      <c r="AG2267" s="864"/>
      <c r="AH2267" s="865"/>
      <c r="AI2267" s="757">
        <f t="shared" si="304"/>
        <v>10418</v>
      </c>
      <c r="AJ2267" s="758">
        <f t="shared" si="305"/>
        <v>10621</v>
      </c>
    </row>
    <row r="2268" spans="1:36" x14ac:dyDescent="0.2">
      <c r="A2268" s="1421" t="s">
        <v>146</v>
      </c>
      <c r="B2268" s="1293" t="s">
        <v>272</v>
      </c>
      <c r="C2268" s="1284" t="s">
        <v>1687</v>
      </c>
      <c r="D2268" s="1283"/>
      <c r="E2268" s="1424">
        <v>217864</v>
      </c>
      <c r="F2268" s="1443">
        <v>3</v>
      </c>
      <c r="G2268" s="859"/>
      <c r="H2268" s="860"/>
      <c r="I2268" s="861">
        <v>414764</v>
      </c>
      <c r="J2268" s="862">
        <v>407818</v>
      </c>
      <c r="K2268" s="859"/>
      <c r="L2268" s="863"/>
      <c r="M2268" s="859"/>
      <c r="N2268" s="859"/>
      <c r="O2268" s="752">
        <f t="shared" si="298"/>
        <v>0</v>
      </c>
      <c r="P2268" s="862"/>
      <c r="Q2268" s="860"/>
      <c r="R2268" s="753">
        <f t="shared" si="301"/>
        <v>0</v>
      </c>
      <c r="S2268" s="752">
        <f t="shared" si="302"/>
        <v>414764</v>
      </c>
      <c r="T2268" s="754">
        <f t="shared" si="303"/>
        <v>407818</v>
      </c>
      <c r="U2268" s="859"/>
      <c r="V2268" s="863"/>
      <c r="W2268" s="859"/>
      <c r="X2268" s="859"/>
      <c r="Y2268" s="755">
        <f t="shared" si="299"/>
        <v>0</v>
      </c>
      <c r="Z2268" s="864"/>
      <c r="AA2268" s="863"/>
      <c r="AB2268" s="756">
        <f t="shared" si="300"/>
        <v>0</v>
      </c>
      <c r="AC2268" s="859"/>
      <c r="AD2268" s="863"/>
      <c r="AE2268" s="859"/>
      <c r="AF2268" s="859"/>
      <c r="AG2268" s="864"/>
      <c r="AH2268" s="865"/>
      <c r="AI2268" s="757">
        <f t="shared" si="304"/>
        <v>414764</v>
      </c>
      <c r="AJ2268" s="758">
        <f t="shared" si="305"/>
        <v>407818</v>
      </c>
    </row>
    <row r="2269" spans="1:36" x14ac:dyDescent="0.2">
      <c r="A2269" s="1421" t="s">
        <v>146</v>
      </c>
      <c r="B2269" s="1293" t="s">
        <v>264</v>
      </c>
      <c r="C2269" s="1422" t="s">
        <v>1695</v>
      </c>
      <c r="D2269" s="1267" t="s">
        <v>1236</v>
      </c>
      <c r="E2269" s="1424">
        <v>218724</v>
      </c>
      <c r="F2269" s="1259">
        <v>5</v>
      </c>
      <c r="G2269" s="859">
        <v>7094200</v>
      </c>
      <c r="H2269" s="860">
        <v>7114430</v>
      </c>
      <c r="I2269" s="861"/>
      <c r="J2269" s="862"/>
      <c r="K2269" s="859">
        <v>294580</v>
      </c>
      <c r="L2269" s="863">
        <v>294580</v>
      </c>
      <c r="M2269" s="859">
        <v>117894794</v>
      </c>
      <c r="N2269" s="859">
        <v>7744605</v>
      </c>
      <c r="O2269" s="752">
        <f t="shared" si="298"/>
        <v>125639399</v>
      </c>
      <c r="P2269" s="862">
        <v>117894794</v>
      </c>
      <c r="Q2269" s="860">
        <v>7744605</v>
      </c>
      <c r="R2269" s="753">
        <f t="shared" si="301"/>
        <v>125639399</v>
      </c>
      <c r="S2269" s="752">
        <f t="shared" si="302"/>
        <v>125283574</v>
      </c>
      <c r="T2269" s="754">
        <f t="shared" si="303"/>
        <v>125303804</v>
      </c>
      <c r="U2269" s="859"/>
      <c r="V2269" s="863"/>
      <c r="W2269" s="859"/>
      <c r="X2269" s="859"/>
      <c r="Y2269" s="755">
        <f t="shared" si="299"/>
        <v>0</v>
      </c>
      <c r="Z2269" s="864"/>
      <c r="AA2269" s="863"/>
      <c r="AB2269" s="756">
        <f t="shared" si="300"/>
        <v>0</v>
      </c>
      <c r="AC2269" s="859"/>
      <c r="AD2269" s="863"/>
      <c r="AE2269" s="859"/>
      <c r="AF2269" s="859"/>
      <c r="AG2269" s="864"/>
      <c r="AH2269" s="865"/>
      <c r="AI2269" s="757">
        <f t="shared" si="304"/>
        <v>125283574</v>
      </c>
      <c r="AJ2269" s="758">
        <f t="shared" si="305"/>
        <v>125303804</v>
      </c>
    </row>
    <row r="2270" spans="1:36" x14ac:dyDescent="0.2">
      <c r="A2270" s="1421" t="s">
        <v>146</v>
      </c>
      <c r="B2270" s="1293" t="s">
        <v>264</v>
      </c>
      <c r="C2270" s="1284" t="s">
        <v>1663</v>
      </c>
      <c r="D2270" s="1283"/>
      <c r="E2270" s="1432">
        <v>218724</v>
      </c>
      <c r="F2270" s="1259">
        <v>5</v>
      </c>
      <c r="G2270" s="859">
        <v>1891725</v>
      </c>
      <c r="H2270" s="860">
        <v>2001312</v>
      </c>
      <c r="I2270" s="861"/>
      <c r="J2270" s="862"/>
      <c r="K2270" s="859"/>
      <c r="L2270" s="863"/>
      <c r="M2270" s="859"/>
      <c r="N2270" s="859"/>
      <c r="O2270" s="752">
        <f t="shared" si="298"/>
        <v>0</v>
      </c>
      <c r="P2270" s="862"/>
      <c r="Q2270" s="860"/>
      <c r="R2270" s="753">
        <f t="shared" si="301"/>
        <v>0</v>
      </c>
      <c r="S2270" s="752">
        <f t="shared" si="302"/>
        <v>1891725</v>
      </c>
      <c r="T2270" s="754">
        <f t="shared" si="303"/>
        <v>2001312</v>
      </c>
      <c r="U2270" s="859"/>
      <c r="V2270" s="863"/>
      <c r="W2270" s="859"/>
      <c r="X2270" s="859"/>
      <c r="Y2270" s="755">
        <f t="shared" si="299"/>
        <v>0</v>
      </c>
      <c r="Z2270" s="864"/>
      <c r="AA2270" s="863"/>
      <c r="AB2270" s="756">
        <f t="shared" si="300"/>
        <v>0</v>
      </c>
      <c r="AC2270" s="859"/>
      <c r="AD2270" s="863"/>
      <c r="AE2270" s="859"/>
      <c r="AF2270" s="859"/>
      <c r="AG2270" s="864"/>
      <c r="AH2270" s="865"/>
      <c r="AI2270" s="757">
        <f t="shared" si="304"/>
        <v>1891725</v>
      </c>
      <c r="AJ2270" s="758">
        <f t="shared" si="305"/>
        <v>2001312</v>
      </c>
    </row>
    <row r="2271" spans="1:36" x14ac:dyDescent="0.2">
      <c r="A2271" s="1421" t="s">
        <v>146</v>
      </c>
      <c r="B2271" s="1293" t="s">
        <v>272</v>
      </c>
      <c r="C2271" s="1282" t="s">
        <v>970</v>
      </c>
      <c r="D2271" s="1283"/>
      <c r="E2271" s="1432">
        <v>218724</v>
      </c>
      <c r="F2271" s="1259">
        <v>5</v>
      </c>
      <c r="G2271" s="859"/>
      <c r="H2271" s="860"/>
      <c r="I2271" s="861"/>
      <c r="J2271" s="862"/>
      <c r="K2271" s="859"/>
      <c r="L2271" s="863"/>
      <c r="M2271" s="859"/>
      <c r="N2271" s="859"/>
      <c r="O2271" s="752">
        <f t="shared" si="298"/>
        <v>0</v>
      </c>
      <c r="P2271" s="862"/>
      <c r="Q2271" s="860"/>
      <c r="R2271" s="753">
        <f t="shared" si="301"/>
        <v>0</v>
      </c>
      <c r="S2271" s="752">
        <f t="shared" si="302"/>
        <v>0</v>
      </c>
      <c r="T2271" s="754">
        <f t="shared" si="303"/>
        <v>0</v>
      </c>
      <c r="U2271" s="859"/>
      <c r="V2271" s="863"/>
      <c r="W2271" s="859"/>
      <c r="X2271" s="859"/>
      <c r="Y2271" s="755">
        <f t="shared" si="299"/>
        <v>0</v>
      </c>
      <c r="Z2271" s="864"/>
      <c r="AA2271" s="863"/>
      <c r="AB2271" s="756">
        <f t="shared" si="300"/>
        <v>0</v>
      </c>
      <c r="AC2271" s="859"/>
      <c r="AD2271" s="863"/>
      <c r="AE2271" s="859"/>
      <c r="AF2271" s="859"/>
      <c r="AG2271" s="864"/>
      <c r="AH2271" s="865"/>
      <c r="AI2271" s="757">
        <f t="shared" si="304"/>
        <v>0</v>
      </c>
      <c r="AJ2271" s="758">
        <f t="shared" si="305"/>
        <v>0</v>
      </c>
    </row>
    <row r="2272" spans="1:36" x14ac:dyDescent="0.2">
      <c r="A2272" s="1421" t="s">
        <v>146</v>
      </c>
      <c r="B2272" s="1293" t="s">
        <v>272</v>
      </c>
      <c r="C2272" s="1429" t="s">
        <v>1678</v>
      </c>
      <c r="D2272" s="1430"/>
      <c r="E2272" s="1432">
        <v>218724</v>
      </c>
      <c r="F2272" s="1259">
        <v>5</v>
      </c>
      <c r="G2272" s="859"/>
      <c r="H2272" s="860"/>
      <c r="I2272" s="861">
        <v>417620</v>
      </c>
      <c r="J2272" s="862"/>
      <c r="K2272" s="859"/>
      <c r="L2272" s="863"/>
      <c r="M2272" s="859"/>
      <c r="N2272" s="859"/>
      <c r="O2272" s="752">
        <f t="shared" si="298"/>
        <v>0</v>
      </c>
      <c r="P2272" s="862"/>
      <c r="Q2272" s="860"/>
      <c r="R2272" s="753">
        <f t="shared" si="301"/>
        <v>0</v>
      </c>
      <c r="S2272" s="752">
        <f t="shared" si="302"/>
        <v>417620</v>
      </c>
      <c r="T2272" s="754">
        <f t="shared" si="303"/>
        <v>0</v>
      </c>
      <c r="U2272" s="859"/>
      <c r="V2272" s="863"/>
      <c r="W2272" s="859"/>
      <c r="X2272" s="859"/>
      <c r="Y2272" s="755">
        <f t="shared" si="299"/>
        <v>0</v>
      </c>
      <c r="Z2272" s="864"/>
      <c r="AA2272" s="863"/>
      <c r="AB2272" s="756">
        <f t="shared" si="300"/>
        <v>0</v>
      </c>
      <c r="AC2272" s="859"/>
      <c r="AD2272" s="863"/>
      <c r="AE2272" s="859"/>
      <c r="AF2272" s="859"/>
      <c r="AG2272" s="864"/>
      <c r="AH2272" s="865"/>
      <c r="AI2272" s="757">
        <f t="shared" si="304"/>
        <v>417620</v>
      </c>
      <c r="AJ2272" s="758">
        <f t="shared" si="305"/>
        <v>0</v>
      </c>
    </row>
    <row r="2273" spans="1:36" x14ac:dyDescent="0.2">
      <c r="A2273" s="1421" t="s">
        <v>146</v>
      </c>
      <c r="B2273" s="1293" t="s">
        <v>272</v>
      </c>
      <c r="C2273" s="1429" t="s">
        <v>1670</v>
      </c>
      <c r="D2273" s="1430"/>
      <c r="E2273" s="1432">
        <v>218724</v>
      </c>
      <c r="F2273" s="1259">
        <v>5</v>
      </c>
      <c r="G2273" s="859"/>
      <c r="H2273" s="860"/>
      <c r="I2273" s="861"/>
      <c r="J2273" s="862">
        <v>390953</v>
      </c>
      <c r="K2273" s="859"/>
      <c r="L2273" s="863"/>
      <c r="M2273" s="859"/>
      <c r="N2273" s="859"/>
      <c r="O2273" s="752">
        <f t="shared" si="298"/>
        <v>0</v>
      </c>
      <c r="P2273" s="862"/>
      <c r="Q2273" s="860"/>
      <c r="R2273" s="753">
        <f t="shared" si="301"/>
        <v>0</v>
      </c>
      <c r="S2273" s="752">
        <f t="shared" si="302"/>
        <v>0</v>
      </c>
      <c r="T2273" s="754">
        <f t="shared" si="303"/>
        <v>390953</v>
      </c>
      <c r="U2273" s="859"/>
      <c r="V2273" s="863"/>
      <c r="W2273" s="859"/>
      <c r="X2273" s="859"/>
      <c r="Y2273" s="755">
        <f t="shared" si="299"/>
        <v>0</v>
      </c>
      <c r="Z2273" s="864"/>
      <c r="AA2273" s="863"/>
      <c r="AB2273" s="756">
        <f t="shared" si="300"/>
        <v>0</v>
      </c>
      <c r="AC2273" s="859"/>
      <c r="AD2273" s="863"/>
      <c r="AE2273" s="859"/>
      <c r="AF2273" s="859"/>
      <c r="AG2273" s="864"/>
      <c r="AH2273" s="865"/>
      <c r="AI2273" s="757">
        <f t="shared" si="304"/>
        <v>0</v>
      </c>
      <c r="AJ2273" s="758">
        <f t="shared" si="305"/>
        <v>390953</v>
      </c>
    </row>
    <row r="2274" spans="1:36" x14ac:dyDescent="0.2">
      <c r="A2274" s="1421" t="s">
        <v>146</v>
      </c>
      <c r="B2274" s="1293" t="s">
        <v>272</v>
      </c>
      <c r="C2274" s="1429" t="s">
        <v>1696</v>
      </c>
      <c r="D2274" s="1430"/>
      <c r="E2274" s="1432">
        <v>218724</v>
      </c>
      <c r="F2274" s="1259">
        <v>5</v>
      </c>
      <c r="G2274" s="859"/>
      <c r="H2274" s="860"/>
      <c r="I2274" s="861">
        <v>948366</v>
      </c>
      <c r="J2274" s="862"/>
      <c r="K2274" s="859"/>
      <c r="L2274" s="863"/>
      <c r="M2274" s="859"/>
      <c r="N2274" s="859"/>
      <c r="O2274" s="752">
        <f t="shared" si="298"/>
        <v>0</v>
      </c>
      <c r="P2274" s="862"/>
      <c r="Q2274" s="860"/>
      <c r="R2274" s="753">
        <f t="shared" si="301"/>
        <v>0</v>
      </c>
      <c r="S2274" s="752">
        <f t="shared" si="302"/>
        <v>948366</v>
      </c>
      <c r="T2274" s="754">
        <f t="shared" si="303"/>
        <v>0</v>
      </c>
      <c r="U2274" s="859"/>
      <c r="V2274" s="863"/>
      <c r="W2274" s="859"/>
      <c r="X2274" s="859"/>
      <c r="Y2274" s="755">
        <f t="shared" si="299"/>
        <v>0</v>
      </c>
      <c r="Z2274" s="864"/>
      <c r="AA2274" s="863"/>
      <c r="AB2274" s="756">
        <f t="shared" si="300"/>
        <v>0</v>
      </c>
      <c r="AC2274" s="859"/>
      <c r="AD2274" s="863"/>
      <c r="AE2274" s="859"/>
      <c r="AF2274" s="859"/>
      <c r="AG2274" s="864"/>
      <c r="AH2274" s="865"/>
      <c r="AI2274" s="757">
        <f t="shared" si="304"/>
        <v>948366</v>
      </c>
      <c r="AJ2274" s="758">
        <f t="shared" si="305"/>
        <v>0</v>
      </c>
    </row>
    <row r="2275" spans="1:36" x14ac:dyDescent="0.2">
      <c r="A2275" s="1421" t="s">
        <v>146</v>
      </c>
      <c r="B2275" s="1293" t="s">
        <v>272</v>
      </c>
      <c r="C2275" s="1429" t="s">
        <v>1697</v>
      </c>
      <c r="D2275" s="1430"/>
      <c r="E2275" s="1432">
        <v>218724</v>
      </c>
      <c r="F2275" s="1259">
        <v>5</v>
      </c>
      <c r="G2275" s="859"/>
      <c r="H2275" s="860"/>
      <c r="I2275" s="861">
        <v>198000</v>
      </c>
      <c r="J2275" s="862"/>
      <c r="K2275" s="859"/>
      <c r="L2275" s="863"/>
      <c r="M2275" s="859"/>
      <c r="N2275" s="859"/>
      <c r="O2275" s="752">
        <f t="shared" si="298"/>
        <v>0</v>
      </c>
      <c r="P2275" s="862"/>
      <c r="Q2275" s="860"/>
      <c r="R2275" s="753">
        <f t="shared" si="301"/>
        <v>0</v>
      </c>
      <c r="S2275" s="752">
        <f t="shared" si="302"/>
        <v>198000</v>
      </c>
      <c r="T2275" s="754">
        <f t="shared" si="303"/>
        <v>0</v>
      </c>
      <c r="U2275" s="859"/>
      <c r="V2275" s="863"/>
      <c r="W2275" s="859"/>
      <c r="X2275" s="859"/>
      <c r="Y2275" s="755">
        <f t="shared" si="299"/>
        <v>0</v>
      </c>
      <c r="Z2275" s="864"/>
      <c r="AA2275" s="863"/>
      <c r="AB2275" s="756">
        <f t="shared" si="300"/>
        <v>0</v>
      </c>
      <c r="AC2275" s="859"/>
      <c r="AD2275" s="863"/>
      <c r="AE2275" s="859"/>
      <c r="AF2275" s="859"/>
      <c r="AG2275" s="864"/>
      <c r="AH2275" s="865"/>
      <c r="AI2275" s="757">
        <f t="shared" si="304"/>
        <v>198000</v>
      </c>
      <c r="AJ2275" s="758">
        <f t="shared" si="305"/>
        <v>0</v>
      </c>
    </row>
    <row r="2276" spans="1:36" x14ac:dyDescent="0.2">
      <c r="A2276" s="1421" t="s">
        <v>146</v>
      </c>
      <c r="B2276" s="1293" t="s">
        <v>272</v>
      </c>
      <c r="C2276" s="1284" t="s">
        <v>1671</v>
      </c>
      <c r="D2276" s="1283"/>
      <c r="E2276" s="1424">
        <v>218724</v>
      </c>
      <c r="F2276" s="1259">
        <v>5</v>
      </c>
      <c r="G2276" s="859"/>
      <c r="H2276" s="860"/>
      <c r="I2276" s="861">
        <v>5658</v>
      </c>
      <c r="J2276" s="862">
        <v>6309</v>
      </c>
      <c r="K2276" s="859"/>
      <c r="L2276" s="863"/>
      <c r="M2276" s="859"/>
      <c r="N2276" s="859"/>
      <c r="O2276" s="752">
        <f t="shared" si="298"/>
        <v>0</v>
      </c>
      <c r="P2276" s="862"/>
      <c r="Q2276" s="860"/>
      <c r="R2276" s="753">
        <f t="shared" si="301"/>
        <v>0</v>
      </c>
      <c r="S2276" s="752">
        <f t="shared" si="302"/>
        <v>5658</v>
      </c>
      <c r="T2276" s="754">
        <f t="shared" si="303"/>
        <v>6309</v>
      </c>
      <c r="U2276" s="859"/>
      <c r="V2276" s="863"/>
      <c r="W2276" s="859"/>
      <c r="X2276" s="859"/>
      <c r="Y2276" s="755">
        <f t="shared" si="299"/>
        <v>0</v>
      </c>
      <c r="Z2276" s="864"/>
      <c r="AA2276" s="863"/>
      <c r="AB2276" s="756">
        <f t="shared" si="300"/>
        <v>0</v>
      </c>
      <c r="AC2276" s="859"/>
      <c r="AD2276" s="863"/>
      <c r="AE2276" s="859"/>
      <c r="AF2276" s="859"/>
      <c r="AG2276" s="864"/>
      <c r="AH2276" s="865"/>
      <c r="AI2276" s="757">
        <f t="shared" si="304"/>
        <v>5658</v>
      </c>
      <c r="AJ2276" s="758">
        <f t="shared" si="305"/>
        <v>6309</v>
      </c>
    </row>
    <row r="2277" spans="1:36" x14ac:dyDescent="0.2">
      <c r="A2277" s="1421" t="s">
        <v>146</v>
      </c>
      <c r="B2277" s="1293" t="s">
        <v>272</v>
      </c>
      <c r="C2277" s="1284" t="s">
        <v>1687</v>
      </c>
      <c r="D2277" s="1283"/>
      <c r="E2277" s="1432">
        <v>218724</v>
      </c>
      <c r="F2277" s="1259">
        <v>5</v>
      </c>
      <c r="G2277" s="859"/>
      <c r="H2277" s="860"/>
      <c r="I2277" s="861">
        <v>752122</v>
      </c>
      <c r="J2277" s="862">
        <v>751735</v>
      </c>
      <c r="K2277" s="859"/>
      <c r="L2277" s="863"/>
      <c r="M2277" s="859"/>
      <c r="N2277" s="859"/>
      <c r="O2277" s="752">
        <f t="shared" si="298"/>
        <v>0</v>
      </c>
      <c r="P2277" s="862"/>
      <c r="Q2277" s="860"/>
      <c r="R2277" s="753">
        <f t="shared" si="301"/>
        <v>0</v>
      </c>
      <c r="S2277" s="752">
        <f t="shared" si="302"/>
        <v>752122</v>
      </c>
      <c r="T2277" s="754">
        <f t="shared" si="303"/>
        <v>751735</v>
      </c>
      <c r="U2277" s="859"/>
      <c r="V2277" s="863"/>
      <c r="W2277" s="859"/>
      <c r="X2277" s="859"/>
      <c r="Y2277" s="755">
        <f t="shared" si="299"/>
        <v>0</v>
      </c>
      <c r="Z2277" s="864"/>
      <c r="AA2277" s="863"/>
      <c r="AB2277" s="756">
        <f t="shared" si="300"/>
        <v>0</v>
      </c>
      <c r="AC2277" s="859"/>
      <c r="AD2277" s="863"/>
      <c r="AE2277" s="859"/>
      <c r="AF2277" s="859"/>
      <c r="AG2277" s="864"/>
      <c r="AH2277" s="865"/>
      <c r="AI2277" s="757">
        <f t="shared" si="304"/>
        <v>752122</v>
      </c>
      <c r="AJ2277" s="758">
        <f t="shared" si="305"/>
        <v>751735</v>
      </c>
    </row>
    <row r="2278" spans="1:36" x14ac:dyDescent="0.2">
      <c r="A2278" s="1421" t="s">
        <v>146</v>
      </c>
      <c r="B2278" s="1293" t="s">
        <v>264</v>
      </c>
      <c r="C2278" s="1422" t="s">
        <v>1698</v>
      </c>
      <c r="D2278" s="1423"/>
      <c r="E2278" s="1424">
        <v>218061</v>
      </c>
      <c r="F2278" s="1259">
        <v>5</v>
      </c>
      <c r="G2278" s="859">
        <v>8665555</v>
      </c>
      <c r="H2278" s="860">
        <v>8689055</v>
      </c>
      <c r="I2278" s="861"/>
      <c r="J2278" s="862"/>
      <c r="K2278" s="859"/>
      <c r="L2278" s="863"/>
      <c r="M2278" s="859">
        <v>33451923</v>
      </c>
      <c r="N2278" s="859">
        <v>793832</v>
      </c>
      <c r="O2278" s="752">
        <f t="shared" si="298"/>
        <v>34245755</v>
      </c>
      <c r="P2278" s="862">
        <v>33451923</v>
      </c>
      <c r="Q2278" s="860">
        <v>793832</v>
      </c>
      <c r="R2278" s="753">
        <f t="shared" si="301"/>
        <v>34245755</v>
      </c>
      <c r="S2278" s="752">
        <f t="shared" si="302"/>
        <v>42117478</v>
      </c>
      <c r="T2278" s="754">
        <f t="shared" si="303"/>
        <v>42140978</v>
      </c>
      <c r="U2278" s="859"/>
      <c r="V2278" s="863"/>
      <c r="W2278" s="859"/>
      <c r="X2278" s="859"/>
      <c r="Y2278" s="755">
        <f t="shared" si="299"/>
        <v>0</v>
      </c>
      <c r="Z2278" s="864"/>
      <c r="AA2278" s="863"/>
      <c r="AB2278" s="756">
        <f t="shared" si="300"/>
        <v>0</v>
      </c>
      <c r="AC2278" s="859"/>
      <c r="AD2278" s="863"/>
      <c r="AE2278" s="859"/>
      <c r="AF2278" s="859"/>
      <c r="AG2278" s="864"/>
      <c r="AH2278" s="865"/>
      <c r="AI2278" s="757">
        <f t="shared" si="304"/>
        <v>42117478</v>
      </c>
      <c r="AJ2278" s="758">
        <f t="shared" si="305"/>
        <v>42140978</v>
      </c>
    </row>
    <row r="2279" spans="1:36" x14ac:dyDescent="0.2">
      <c r="A2279" s="1421" t="s">
        <v>146</v>
      </c>
      <c r="B2279" s="1293" t="s">
        <v>264</v>
      </c>
      <c r="C2279" s="1284" t="s">
        <v>1663</v>
      </c>
      <c r="D2279" s="1283"/>
      <c r="E2279" s="1424">
        <v>218061</v>
      </c>
      <c r="F2279" s="1259">
        <v>5</v>
      </c>
      <c r="G2279" s="859">
        <v>2201636</v>
      </c>
      <c r="H2279" s="860">
        <v>2370144</v>
      </c>
      <c r="I2279" s="861"/>
      <c r="J2279" s="862"/>
      <c r="K2279" s="859"/>
      <c r="L2279" s="863"/>
      <c r="M2279" s="859"/>
      <c r="N2279" s="859"/>
      <c r="O2279" s="752">
        <f t="shared" si="298"/>
        <v>0</v>
      </c>
      <c r="P2279" s="862"/>
      <c r="Q2279" s="860"/>
      <c r="R2279" s="753">
        <f t="shared" si="301"/>
        <v>0</v>
      </c>
      <c r="S2279" s="752">
        <f t="shared" si="302"/>
        <v>2201636</v>
      </c>
      <c r="T2279" s="754">
        <f t="shared" si="303"/>
        <v>2370144</v>
      </c>
      <c r="U2279" s="859"/>
      <c r="V2279" s="863"/>
      <c r="W2279" s="859"/>
      <c r="X2279" s="859"/>
      <c r="Y2279" s="755">
        <f t="shared" si="299"/>
        <v>0</v>
      </c>
      <c r="Z2279" s="864"/>
      <c r="AA2279" s="863"/>
      <c r="AB2279" s="756">
        <f t="shared" si="300"/>
        <v>0</v>
      </c>
      <c r="AC2279" s="859"/>
      <c r="AD2279" s="863"/>
      <c r="AE2279" s="859"/>
      <c r="AF2279" s="859"/>
      <c r="AG2279" s="864"/>
      <c r="AH2279" s="865"/>
      <c r="AI2279" s="757">
        <f t="shared" si="304"/>
        <v>2201636</v>
      </c>
      <c r="AJ2279" s="758">
        <f t="shared" si="305"/>
        <v>2370144</v>
      </c>
    </row>
    <row r="2280" spans="1:36" x14ac:dyDescent="0.2">
      <c r="A2280" s="1421" t="s">
        <v>146</v>
      </c>
      <c r="B2280" s="1293" t="s">
        <v>266</v>
      </c>
      <c r="C2280" s="1425" t="s">
        <v>319</v>
      </c>
      <c r="D2280" s="1426"/>
      <c r="E2280" s="1424">
        <v>218061</v>
      </c>
      <c r="F2280" s="1259">
        <v>5</v>
      </c>
      <c r="G2280" s="859"/>
      <c r="H2280" s="860"/>
      <c r="I2280" s="861"/>
      <c r="J2280" s="862"/>
      <c r="K2280" s="859"/>
      <c r="L2280" s="863"/>
      <c r="M2280" s="859"/>
      <c r="N2280" s="859"/>
      <c r="O2280" s="752">
        <f t="shared" si="298"/>
        <v>0</v>
      </c>
      <c r="P2280" s="862"/>
      <c r="Q2280" s="860"/>
      <c r="R2280" s="753">
        <f t="shared" si="301"/>
        <v>0</v>
      </c>
      <c r="S2280" s="752">
        <f t="shared" si="302"/>
        <v>0</v>
      </c>
      <c r="T2280" s="754">
        <f t="shared" si="303"/>
        <v>0</v>
      </c>
      <c r="U2280" s="859"/>
      <c r="V2280" s="863"/>
      <c r="W2280" s="859"/>
      <c r="X2280" s="859"/>
      <c r="Y2280" s="755">
        <f t="shared" si="299"/>
        <v>0</v>
      </c>
      <c r="Z2280" s="864"/>
      <c r="AA2280" s="863"/>
      <c r="AB2280" s="756">
        <f t="shared" si="300"/>
        <v>0</v>
      </c>
      <c r="AC2280" s="859"/>
      <c r="AD2280" s="863"/>
      <c r="AE2280" s="859"/>
      <c r="AF2280" s="859"/>
      <c r="AG2280" s="864"/>
      <c r="AH2280" s="865"/>
      <c r="AI2280" s="757">
        <f t="shared" si="304"/>
        <v>0</v>
      </c>
      <c r="AJ2280" s="758">
        <f t="shared" si="305"/>
        <v>0</v>
      </c>
    </row>
    <row r="2281" spans="1:36" x14ac:dyDescent="0.2">
      <c r="A2281" s="1421" t="s">
        <v>146</v>
      </c>
      <c r="B2281" s="1293" t="s">
        <v>271</v>
      </c>
      <c r="C2281" s="1425" t="s">
        <v>309</v>
      </c>
      <c r="D2281" s="1426"/>
      <c r="E2281" s="1424">
        <v>218061</v>
      </c>
      <c r="F2281" s="1259">
        <v>5</v>
      </c>
      <c r="G2281" s="859"/>
      <c r="H2281" s="860"/>
      <c r="I2281" s="861"/>
      <c r="J2281" s="862"/>
      <c r="K2281" s="859"/>
      <c r="L2281" s="863"/>
      <c r="M2281" s="859"/>
      <c r="N2281" s="859"/>
      <c r="O2281" s="752">
        <f t="shared" si="298"/>
        <v>0</v>
      </c>
      <c r="P2281" s="862"/>
      <c r="Q2281" s="860"/>
      <c r="R2281" s="753">
        <f t="shared" si="301"/>
        <v>0</v>
      </c>
      <c r="S2281" s="752">
        <f t="shared" si="302"/>
        <v>0</v>
      </c>
      <c r="T2281" s="754">
        <f t="shared" si="303"/>
        <v>0</v>
      </c>
      <c r="U2281" s="859"/>
      <c r="V2281" s="863"/>
      <c r="W2281" s="859"/>
      <c r="X2281" s="859"/>
      <c r="Y2281" s="755">
        <f t="shared" si="299"/>
        <v>0</v>
      </c>
      <c r="Z2281" s="864"/>
      <c r="AA2281" s="863"/>
      <c r="AB2281" s="756">
        <f t="shared" si="300"/>
        <v>0</v>
      </c>
      <c r="AC2281" s="859"/>
      <c r="AD2281" s="863"/>
      <c r="AE2281" s="859"/>
      <c r="AF2281" s="859"/>
      <c r="AG2281" s="864"/>
      <c r="AH2281" s="865"/>
      <c r="AI2281" s="757">
        <f t="shared" si="304"/>
        <v>0</v>
      </c>
      <c r="AJ2281" s="758">
        <f t="shared" si="305"/>
        <v>0</v>
      </c>
    </row>
    <row r="2282" spans="1:36" x14ac:dyDescent="0.2">
      <c r="A2282" s="1421" t="s">
        <v>146</v>
      </c>
      <c r="B2282" s="1293" t="s">
        <v>272</v>
      </c>
      <c r="C2282" s="1282" t="s">
        <v>970</v>
      </c>
      <c r="D2282" s="1283"/>
      <c r="E2282" s="1424">
        <v>218061</v>
      </c>
      <c r="F2282" s="1259">
        <v>5</v>
      </c>
      <c r="G2282" s="859"/>
      <c r="H2282" s="860"/>
      <c r="I2282" s="861"/>
      <c r="J2282" s="862"/>
      <c r="K2282" s="859"/>
      <c r="L2282" s="863"/>
      <c r="M2282" s="859"/>
      <c r="N2282" s="859"/>
      <c r="O2282" s="752">
        <f t="shared" si="298"/>
        <v>0</v>
      </c>
      <c r="P2282" s="862"/>
      <c r="Q2282" s="860"/>
      <c r="R2282" s="753">
        <f t="shared" si="301"/>
        <v>0</v>
      </c>
      <c r="S2282" s="752">
        <f t="shared" si="302"/>
        <v>0</v>
      </c>
      <c r="T2282" s="754">
        <f t="shared" si="303"/>
        <v>0</v>
      </c>
      <c r="U2282" s="859"/>
      <c r="V2282" s="863"/>
      <c r="W2282" s="859"/>
      <c r="X2282" s="859"/>
      <c r="Y2282" s="755">
        <f t="shared" si="299"/>
        <v>0</v>
      </c>
      <c r="Z2282" s="864"/>
      <c r="AA2282" s="863"/>
      <c r="AB2282" s="756">
        <f t="shared" si="300"/>
        <v>0</v>
      </c>
      <c r="AC2282" s="859"/>
      <c r="AD2282" s="863"/>
      <c r="AE2282" s="859"/>
      <c r="AF2282" s="859"/>
      <c r="AG2282" s="864"/>
      <c r="AH2282" s="865"/>
      <c r="AI2282" s="757">
        <f t="shared" si="304"/>
        <v>0</v>
      </c>
      <c r="AJ2282" s="758">
        <f t="shared" si="305"/>
        <v>0</v>
      </c>
    </row>
    <row r="2283" spans="1:36" x14ac:dyDescent="0.2">
      <c r="A2283" s="1421" t="s">
        <v>146</v>
      </c>
      <c r="B2283" s="1293" t="s">
        <v>272</v>
      </c>
      <c r="C2283" s="1429" t="s">
        <v>1669</v>
      </c>
      <c r="D2283" s="1430"/>
      <c r="E2283" s="1424">
        <v>218061</v>
      </c>
      <c r="F2283" s="1259">
        <v>5</v>
      </c>
      <c r="G2283" s="859"/>
      <c r="H2283" s="860"/>
      <c r="I2283" s="861">
        <v>1643547</v>
      </c>
      <c r="J2283" s="862"/>
      <c r="K2283" s="859"/>
      <c r="L2283" s="863"/>
      <c r="M2283" s="859"/>
      <c r="N2283" s="859"/>
      <c r="O2283" s="752">
        <f t="shared" si="298"/>
        <v>0</v>
      </c>
      <c r="P2283" s="862"/>
      <c r="Q2283" s="860"/>
      <c r="R2283" s="753">
        <f t="shared" si="301"/>
        <v>0</v>
      </c>
      <c r="S2283" s="752">
        <f t="shared" si="302"/>
        <v>1643547</v>
      </c>
      <c r="T2283" s="754">
        <f t="shared" si="303"/>
        <v>0</v>
      </c>
      <c r="U2283" s="859"/>
      <c r="V2283" s="863"/>
      <c r="W2283" s="859"/>
      <c r="X2283" s="859"/>
      <c r="Y2283" s="755">
        <f t="shared" si="299"/>
        <v>0</v>
      </c>
      <c r="Z2283" s="864"/>
      <c r="AA2283" s="863"/>
      <c r="AB2283" s="756">
        <f t="shared" si="300"/>
        <v>0</v>
      </c>
      <c r="AC2283" s="859"/>
      <c r="AD2283" s="863"/>
      <c r="AE2283" s="859"/>
      <c r="AF2283" s="859"/>
      <c r="AG2283" s="864"/>
      <c r="AH2283" s="865"/>
      <c r="AI2283" s="757">
        <f t="shared" si="304"/>
        <v>1643547</v>
      </c>
      <c r="AJ2283" s="758">
        <f t="shared" si="305"/>
        <v>0</v>
      </c>
    </row>
    <row r="2284" spans="1:36" x14ac:dyDescent="0.2">
      <c r="A2284" s="1421" t="s">
        <v>146</v>
      </c>
      <c r="B2284" s="1293" t="s">
        <v>272</v>
      </c>
      <c r="C2284" s="1429" t="s">
        <v>1670</v>
      </c>
      <c r="D2284" s="1430"/>
      <c r="E2284" s="1424">
        <v>218061</v>
      </c>
      <c r="F2284" s="1259">
        <v>5</v>
      </c>
      <c r="G2284" s="859"/>
      <c r="H2284" s="860"/>
      <c r="I2284" s="861"/>
      <c r="J2284" s="862">
        <v>494624</v>
      </c>
      <c r="K2284" s="859"/>
      <c r="L2284" s="863"/>
      <c r="M2284" s="859"/>
      <c r="N2284" s="859"/>
      <c r="O2284" s="752">
        <f t="shared" si="298"/>
        <v>0</v>
      </c>
      <c r="P2284" s="862"/>
      <c r="Q2284" s="860"/>
      <c r="R2284" s="753">
        <f t="shared" si="301"/>
        <v>0</v>
      </c>
      <c r="S2284" s="752">
        <f t="shared" si="302"/>
        <v>0</v>
      </c>
      <c r="T2284" s="754">
        <f t="shared" si="303"/>
        <v>494624</v>
      </c>
      <c r="U2284" s="859"/>
      <c r="V2284" s="863"/>
      <c r="W2284" s="859"/>
      <c r="X2284" s="859"/>
      <c r="Y2284" s="755">
        <f t="shared" si="299"/>
        <v>0</v>
      </c>
      <c r="Z2284" s="864"/>
      <c r="AA2284" s="863"/>
      <c r="AB2284" s="756">
        <f t="shared" si="300"/>
        <v>0</v>
      </c>
      <c r="AC2284" s="859"/>
      <c r="AD2284" s="863"/>
      <c r="AE2284" s="859"/>
      <c r="AF2284" s="859"/>
      <c r="AG2284" s="864"/>
      <c r="AH2284" s="865"/>
      <c r="AI2284" s="757">
        <f t="shared" si="304"/>
        <v>0</v>
      </c>
      <c r="AJ2284" s="758">
        <f t="shared" si="305"/>
        <v>494624</v>
      </c>
    </row>
    <row r="2285" spans="1:36" x14ac:dyDescent="0.2">
      <c r="A2285" s="1421" t="s">
        <v>146</v>
      </c>
      <c r="B2285" s="1293" t="s">
        <v>272</v>
      </c>
      <c r="C2285" s="1429" t="s">
        <v>1699</v>
      </c>
      <c r="D2285" s="1430"/>
      <c r="E2285" s="1424">
        <v>218061</v>
      </c>
      <c r="F2285" s="1259">
        <v>5</v>
      </c>
      <c r="G2285" s="859"/>
      <c r="H2285" s="860"/>
      <c r="I2285" s="861">
        <v>600000</v>
      </c>
      <c r="J2285" s="862">
        <v>500000</v>
      </c>
      <c r="K2285" s="859"/>
      <c r="L2285" s="863"/>
      <c r="M2285" s="859"/>
      <c r="N2285" s="859"/>
      <c r="O2285" s="752">
        <f t="shared" si="298"/>
        <v>0</v>
      </c>
      <c r="P2285" s="862"/>
      <c r="Q2285" s="860"/>
      <c r="R2285" s="753">
        <f t="shared" si="301"/>
        <v>0</v>
      </c>
      <c r="S2285" s="752">
        <f t="shared" si="302"/>
        <v>600000</v>
      </c>
      <c r="T2285" s="754">
        <f t="shared" si="303"/>
        <v>500000</v>
      </c>
      <c r="U2285" s="859"/>
      <c r="V2285" s="863"/>
      <c r="W2285" s="859"/>
      <c r="X2285" s="859"/>
      <c r="Y2285" s="755">
        <f t="shared" si="299"/>
        <v>0</v>
      </c>
      <c r="Z2285" s="864"/>
      <c r="AA2285" s="863"/>
      <c r="AB2285" s="756">
        <f t="shared" si="300"/>
        <v>0</v>
      </c>
      <c r="AC2285" s="859"/>
      <c r="AD2285" s="863"/>
      <c r="AE2285" s="859"/>
      <c r="AF2285" s="859"/>
      <c r="AG2285" s="864"/>
      <c r="AH2285" s="865"/>
      <c r="AI2285" s="757">
        <f t="shared" si="304"/>
        <v>600000</v>
      </c>
      <c r="AJ2285" s="758">
        <f t="shared" si="305"/>
        <v>500000</v>
      </c>
    </row>
    <row r="2286" spans="1:36" x14ac:dyDescent="0.2">
      <c r="A2286" s="1421" t="s">
        <v>146</v>
      </c>
      <c r="B2286" s="1293" t="s">
        <v>272</v>
      </c>
      <c r="C2286" s="1429" t="s">
        <v>1700</v>
      </c>
      <c r="D2286" s="1430"/>
      <c r="E2286" s="1424">
        <v>218061</v>
      </c>
      <c r="F2286" s="1259">
        <v>5</v>
      </c>
      <c r="G2286" s="859"/>
      <c r="H2286" s="860"/>
      <c r="I2286" s="861"/>
      <c r="J2286" s="862">
        <v>400000</v>
      </c>
      <c r="K2286" s="859"/>
      <c r="L2286" s="863"/>
      <c r="M2286" s="859"/>
      <c r="N2286" s="859"/>
      <c r="O2286" s="752">
        <f t="shared" si="298"/>
        <v>0</v>
      </c>
      <c r="P2286" s="862"/>
      <c r="Q2286" s="860"/>
      <c r="R2286" s="753">
        <f t="shared" si="301"/>
        <v>0</v>
      </c>
      <c r="S2286" s="752">
        <f t="shared" si="302"/>
        <v>0</v>
      </c>
      <c r="T2286" s="754">
        <f t="shared" si="303"/>
        <v>400000</v>
      </c>
      <c r="U2286" s="859"/>
      <c r="V2286" s="863"/>
      <c r="W2286" s="859"/>
      <c r="X2286" s="859"/>
      <c r="Y2286" s="755">
        <f t="shared" si="299"/>
        <v>0</v>
      </c>
      <c r="Z2286" s="864"/>
      <c r="AA2286" s="863"/>
      <c r="AB2286" s="756">
        <f t="shared" si="300"/>
        <v>0</v>
      </c>
      <c r="AC2286" s="859"/>
      <c r="AD2286" s="863"/>
      <c r="AE2286" s="859"/>
      <c r="AF2286" s="859"/>
      <c r="AG2286" s="864"/>
      <c r="AH2286" s="865"/>
      <c r="AI2286" s="757">
        <f t="shared" si="304"/>
        <v>0</v>
      </c>
      <c r="AJ2286" s="758">
        <f t="shared" si="305"/>
        <v>400000</v>
      </c>
    </row>
    <row r="2287" spans="1:36" x14ac:dyDescent="0.2">
      <c r="A2287" s="1421" t="s">
        <v>146</v>
      </c>
      <c r="B2287" s="1293" t="s">
        <v>272</v>
      </c>
      <c r="C2287" s="1284" t="s">
        <v>1671</v>
      </c>
      <c r="D2287" s="1283"/>
      <c r="E2287" s="1424">
        <v>218061</v>
      </c>
      <c r="F2287" s="1259">
        <v>5</v>
      </c>
      <c r="G2287" s="859"/>
      <c r="H2287" s="860"/>
      <c r="I2287" s="861">
        <v>4676</v>
      </c>
      <c r="J2287" s="862">
        <v>4509</v>
      </c>
      <c r="K2287" s="859"/>
      <c r="L2287" s="863"/>
      <c r="M2287" s="859"/>
      <c r="N2287" s="859"/>
      <c r="O2287" s="752">
        <f t="shared" si="298"/>
        <v>0</v>
      </c>
      <c r="P2287" s="862"/>
      <c r="Q2287" s="860"/>
      <c r="R2287" s="753">
        <f t="shared" si="301"/>
        <v>0</v>
      </c>
      <c r="S2287" s="752">
        <f t="shared" si="302"/>
        <v>4676</v>
      </c>
      <c r="T2287" s="754">
        <f t="shared" si="303"/>
        <v>4509</v>
      </c>
      <c r="U2287" s="859"/>
      <c r="V2287" s="863"/>
      <c r="W2287" s="859"/>
      <c r="X2287" s="859"/>
      <c r="Y2287" s="755">
        <f t="shared" si="299"/>
        <v>0</v>
      </c>
      <c r="Z2287" s="864"/>
      <c r="AA2287" s="863"/>
      <c r="AB2287" s="756">
        <f t="shared" si="300"/>
        <v>0</v>
      </c>
      <c r="AC2287" s="859"/>
      <c r="AD2287" s="863"/>
      <c r="AE2287" s="859"/>
      <c r="AF2287" s="859"/>
      <c r="AG2287" s="864"/>
      <c r="AH2287" s="865"/>
      <c r="AI2287" s="757">
        <f t="shared" si="304"/>
        <v>4676</v>
      </c>
      <c r="AJ2287" s="758">
        <f t="shared" si="305"/>
        <v>4509</v>
      </c>
    </row>
    <row r="2288" spans="1:36" x14ac:dyDescent="0.2">
      <c r="A2288" s="1421" t="s">
        <v>146</v>
      </c>
      <c r="B2288" s="1293" t="s">
        <v>272</v>
      </c>
      <c r="C2288" s="1284" t="s">
        <v>1687</v>
      </c>
      <c r="D2288" s="1283"/>
      <c r="E2288" s="1424">
        <v>218061</v>
      </c>
      <c r="F2288" s="1259">
        <v>5</v>
      </c>
      <c r="G2288" s="859"/>
      <c r="H2288" s="860"/>
      <c r="I2288" s="861">
        <v>423006</v>
      </c>
      <c r="J2288" s="862">
        <v>407279</v>
      </c>
      <c r="K2288" s="859"/>
      <c r="L2288" s="863"/>
      <c r="M2288" s="859"/>
      <c r="N2288" s="859"/>
      <c r="O2288" s="752">
        <f t="shared" si="298"/>
        <v>0</v>
      </c>
      <c r="P2288" s="862"/>
      <c r="Q2288" s="860"/>
      <c r="R2288" s="753">
        <f t="shared" si="301"/>
        <v>0</v>
      </c>
      <c r="S2288" s="752">
        <f t="shared" si="302"/>
        <v>423006</v>
      </c>
      <c r="T2288" s="754">
        <f t="shared" si="303"/>
        <v>407279</v>
      </c>
      <c r="U2288" s="859"/>
      <c r="V2288" s="863"/>
      <c r="W2288" s="859"/>
      <c r="X2288" s="859"/>
      <c r="Y2288" s="755">
        <f t="shared" si="299"/>
        <v>0</v>
      </c>
      <c r="Z2288" s="864"/>
      <c r="AA2288" s="863"/>
      <c r="AB2288" s="756">
        <f t="shared" si="300"/>
        <v>0</v>
      </c>
      <c r="AC2288" s="859"/>
      <c r="AD2288" s="863"/>
      <c r="AE2288" s="859"/>
      <c r="AF2288" s="859"/>
      <c r="AG2288" s="864"/>
      <c r="AH2288" s="865"/>
      <c r="AI2288" s="757">
        <f t="shared" si="304"/>
        <v>423006</v>
      </c>
      <c r="AJ2288" s="758">
        <f t="shared" si="305"/>
        <v>407279</v>
      </c>
    </row>
    <row r="2289" spans="1:36" x14ac:dyDescent="0.2">
      <c r="A2289" s="1421" t="s">
        <v>146</v>
      </c>
      <c r="B2289" s="1293" t="s">
        <v>264</v>
      </c>
      <c r="C2289" s="1422" t="s">
        <v>1701</v>
      </c>
      <c r="D2289" s="1423"/>
      <c r="E2289" s="1424">
        <v>218733</v>
      </c>
      <c r="F2289" s="1259">
        <v>5</v>
      </c>
      <c r="G2289" s="859">
        <v>9012510</v>
      </c>
      <c r="H2289" s="860">
        <v>9032510</v>
      </c>
      <c r="I2289" s="861"/>
      <c r="J2289" s="860"/>
      <c r="K2289" s="859"/>
      <c r="L2289" s="863"/>
      <c r="M2289" s="859">
        <v>38551019</v>
      </c>
      <c r="N2289" s="859">
        <v>3043501</v>
      </c>
      <c r="O2289" s="752">
        <f t="shared" si="298"/>
        <v>41594520</v>
      </c>
      <c r="P2289" s="862">
        <v>38551019</v>
      </c>
      <c r="Q2289" s="860">
        <v>3043501</v>
      </c>
      <c r="R2289" s="753">
        <f t="shared" si="301"/>
        <v>41594520</v>
      </c>
      <c r="S2289" s="752">
        <f t="shared" si="302"/>
        <v>47563529</v>
      </c>
      <c r="T2289" s="754">
        <f t="shared" si="303"/>
        <v>47583529</v>
      </c>
      <c r="U2289" s="859"/>
      <c r="V2289" s="863"/>
      <c r="W2289" s="859"/>
      <c r="X2289" s="859"/>
      <c r="Y2289" s="755">
        <f t="shared" si="299"/>
        <v>0</v>
      </c>
      <c r="Z2289" s="864"/>
      <c r="AA2289" s="863"/>
      <c r="AB2289" s="756">
        <f t="shared" si="300"/>
        <v>0</v>
      </c>
      <c r="AC2289" s="859"/>
      <c r="AD2289" s="863"/>
      <c r="AE2289" s="859"/>
      <c r="AF2289" s="859"/>
      <c r="AG2289" s="864"/>
      <c r="AH2289" s="865"/>
      <c r="AI2289" s="757">
        <f t="shared" si="304"/>
        <v>47563529</v>
      </c>
      <c r="AJ2289" s="758">
        <f t="shared" si="305"/>
        <v>47583529</v>
      </c>
    </row>
    <row r="2290" spans="1:36" x14ac:dyDescent="0.2">
      <c r="A2290" s="1421" t="s">
        <v>146</v>
      </c>
      <c r="B2290" s="1293" t="s">
        <v>264</v>
      </c>
      <c r="C2290" s="1284" t="s">
        <v>1663</v>
      </c>
      <c r="D2290" s="1283"/>
      <c r="E2290" s="1424">
        <v>218733</v>
      </c>
      <c r="F2290" s="1259">
        <v>5</v>
      </c>
      <c r="G2290" s="859">
        <v>2901394</v>
      </c>
      <c r="H2290" s="860">
        <v>3079047</v>
      </c>
      <c r="I2290" s="861"/>
      <c r="J2290" s="862"/>
      <c r="K2290" s="859"/>
      <c r="L2290" s="863"/>
      <c r="M2290" s="859"/>
      <c r="N2290" s="859"/>
      <c r="O2290" s="752">
        <f t="shared" si="298"/>
        <v>0</v>
      </c>
      <c r="P2290" s="862"/>
      <c r="Q2290" s="860"/>
      <c r="R2290" s="753">
        <f t="shared" si="301"/>
        <v>0</v>
      </c>
      <c r="S2290" s="752">
        <f t="shared" si="302"/>
        <v>2901394</v>
      </c>
      <c r="T2290" s="754">
        <f t="shared" si="303"/>
        <v>3079047</v>
      </c>
      <c r="U2290" s="859"/>
      <c r="V2290" s="863"/>
      <c r="W2290" s="859"/>
      <c r="X2290" s="859"/>
      <c r="Y2290" s="755">
        <f t="shared" si="299"/>
        <v>0</v>
      </c>
      <c r="Z2290" s="864"/>
      <c r="AA2290" s="863"/>
      <c r="AB2290" s="756">
        <f t="shared" si="300"/>
        <v>0</v>
      </c>
      <c r="AC2290" s="859"/>
      <c r="AD2290" s="863"/>
      <c r="AE2290" s="859"/>
      <c r="AF2290" s="859"/>
      <c r="AG2290" s="864"/>
      <c r="AH2290" s="865"/>
      <c r="AI2290" s="757">
        <f t="shared" si="304"/>
        <v>2901394</v>
      </c>
      <c r="AJ2290" s="758">
        <f t="shared" si="305"/>
        <v>3079047</v>
      </c>
    </row>
    <row r="2291" spans="1:36" x14ac:dyDescent="0.2">
      <c r="A2291" s="1421" t="s">
        <v>146</v>
      </c>
      <c r="B2291" s="1293" t="s">
        <v>266</v>
      </c>
      <c r="C2291" s="1425" t="s">
        <v>319</v>
      </c>
      <c r="D2291" s="1426"/>
      <c r="E2291" s="1424">
        <v>218733</v>
      </c>
      <c r="F2291" s="1259">
        <v>5</v>
      </c>
      <c r="G2291" s="859"/>
      <c r="H2291" s="860"/>
      <c r="I2291" s="861"/>
      <c r="J2291" s="862"/>
      <c r="K2291" s="859"/>
      <c r="L2291" s="863"/>
      <c r="M2291" s="859"/>
      <c r="N2291" s="859"/>
      <c r="O2291" s="752">
        <f t="shared" si="298"/>
        <v>0</v>
      </c>
      <c r="P2291" s="862"/>
      <c r="Q2291" s="860"/>
      <c r="R2291" s="753">
        <f t="shared" si="301"/>
        <v>0</v>
      </c>
      <c r="S2291" s="752">
        <f t="shared" si="302"/>
        <v>0</v>
      </c>
      <c r="T2291" s="754">
        <f t="shared" si="303"/>
        <v>0</v>
      </c>
      <c r="U2291" s="859"/>
      <c r="V2291" s="863"/>
      <c r="W2291" s="859"/>
      <c r="X2291" s="859"/>
      <c r="Y2291" s="755">
        <f t="shared" si="299"/>
        <v>0</v>
      </c>
      <c r="Z2291" s="864"/>
      <c r="AA2291" s="863"/>
      <c r="AB2291" s="756">
        <f t="shared" si="300"/>
        <v>0</v>
      </c>
      <c r="AC2291" s="859"/>
      <c r="AD2291" s="863"/>
      <c r="AE2291" s="859"/>
      <c r="AF2291" s="859"/>
      <c r="AG2291" s="864"/>
      <c r="AH2291" s="865"/>
      <c r="AI2291" s="757">
        <f t="shared" si="304"/>
        <v>0</v>
      </c>
      <c r="AJ2291" s="758">
        <f t="shared" si="305"/>
        <v>0</v>
      </c>
    </row>
    <row r="2292" spans="1:36" x14ac:dyDescent="0.2">
      <c r="A2292" s="1421" t="s">
        <v>146</v>
      </c>
      <c r="B2292" s="1293" t="s">
        <v>268</v>
      </c>
      <c r="C2292" s="1284" t="s">
        <v>1702</v>
      </c>
      <c r="D2292" s="1283"/>
      <c r="E2292" s="1424">
        <v>218733</v>
      </c>
      <c r="F2292" s="1259">
        <v>5</v>
      </c>
      <c r="G2292" s="859"/>
      <c r="H2292" s="860"/>
      <c r="I2292" s="861"/>
      <c r="J2292" s="862"/>
      <c r="K2292" s="859"/>
      <c r="L2292" s="863"/>
      <c r="M2292" s="859"/>
      <c r="N2292" s="859"/>
      <c r="O2292" s="752">
        <f t="shared" si="298"/>
        <v>0</v>
      </c>
      <c r="P2292" s="862"/>
      <c r="Q2292" s="860"/>
      <c r="R2292" s="753">
        <f t="shared" si="301"/>
        <v>0</v>
      </c>
      <c r="S2292" s="752">
        <f t="shared" si="302"/>
        <v>0</v>
      </c>
      <c r="T2292" s="754">
        <f t="shared" si="303"/>
        <v>0</v>
      </c>
      <c r="U2292" s="859"/>
      <c r="V2292" s="863"/>
      <c r="W2292" s="859"/>
      <c r="X2292" s="859"/>
      <c r="Y2292" s="755">
        <f t="shared" si="299"/>
        <v>0</v>
      </c>
      <c r="Z2292" s="864"/>
      <c r="AA2292" s="863"/>
      <c r="AB2292" s="756">
        <f t="shared" si="300"/>
        <v>0</v>
      </c>
      <c r="AC2292" s="859"/>
      <c r="AD2292" s="863"/>
      <c r="AE2292" s="859"/>
      <c r="AF2292" s="859"/>
      <c r="AG2292" s="864"/>
      <c r="AH2292" s="865"/>
      <c r="AI2292" s="757">
        <f t="shared" si="304"/>
        <v>0</v>
      </c>
      <c r="AJ2292" s="758">
        <f t="shared" si="305"/>
        <v>0</v>
      </c>
    </row>
    <row r="2293" spans="1:36" x14ac:dyDescent="0.2">
      <c r="A2293" s="1421" t="s">
        <v>146</v>
      </c>
      <c r="B2293" s="1293" t="s">
        <v>271</v>
      </c>
      <c r="C2293" s="1425" t="s">
        <v>309</v>
      </c>
      <c r="D2293" s="1426"/>
      <c r="E2293" s="1424">
        <v>218733</v>
      </c>
      <c r="F2293" s="1259">
        <v>5</v>
      </c>
      <c r="G2293" s="859"/>
      <c r="H2293" s="860"/>
      <c r="I2293" s="861"/>
      <c r="J2293" s="862"/>
      <c r="K2293" s="859"/>
      <c r="L2293" s="863"/>
      <c r="M2293" s="859"/>
      <c r="N2293" s="859"/>
      <c r="O2293" s="752">
        <f t="shared" si="298"/>
        <v>0</v>
      </c>
      <c r="P2293" s="862"/>
      <c r="Q2293" s="860"/>
      <c r="R2293" s="753">
        <f t="shared" si="301"/>
        <v>0</v>
      </c>
      <c r="S2293" s="752">
        <f t="shared" si="302"/>
        <v>0</v>
      </c>
      <c r="T2293" s="754">
        <f t="shared" si="303"/>
        <v>0</v>
      </c>
      <c r="U2293" s="859"/>
      <c r="V2293" s="863"/>
      <c r="W2293" s="859"/>
      <c r="X2293" s="859"/>
      <c r="Y2293" s="755">
        <f t="shared" si="299"/>
        <v>0</v>
      </c>
      <c r="Z2293" s="864"/>
      <c r="AA2293" s="863"/>
      <c r="AB2293" s="756">
        <f t="shared" si="300"/>
        <v>0</v>
      </c>
      <c r="AC2293" s="859"/>
      <c r="AD2293" s="863"/>
      <c r="AE2293" s="859"/>
      <c r="AF2293" s="859"/>
      <c r="AG2293" s="864"/>
      <c r="AH2293" s="865"/>
      <c r="AI2293" s="757">
        <f t="shared" si="304"/>
        <v>0</v>
      </c>
      <c r="AJ2293" s="758">
        <f t="shared" si="305"/>
        <v>0</v>
      </c>
    </row>
    <row r="2294" spans="1:36" x14ac:dyDescent="0.2">
      <c r="A2294" s="1421" t="s">
        <v>146</v>
      </c>
      <c r="B2294" s="1293" t="s">
        <v>272</v>
      </c>
      <c r="C2294" s="1282" t="s">
        <v>970</v>
      </c>
      <c r="D2294" s="1283"/>
      <c r="E2294" s="1424">
        <v>218733</v>
      </c>
      <c r="F2294" s="1259">
        <v>5</v>
      </c>
      <c r="G2294" s="859"/>
      <c r="H2294" s="860"/>
      <c r="I2294" s="861"/>
      <c r="J2294" s="862"/>
      <c r="K2294" s="859"/>
      <c r="L2294" s="863"/>
      <c r="M2294" s="859"/>
      <c r="N2294" s="859"/>
      <c r="O2294" s="752">
        <f t="shared" si="298"/>
        <v>0</v>
      </c>
      <c r="P2294" s="862"/>
      <c r="Q2294" s="860"/>
      <c r="R2294" s="753">
        <f t="shared" si="301"/>
        <v>0</v>
      </c>
      <c r="S2294" s="752">
        <f t="shared" si="302"/>
        <v>0</v>
      </c>
      <c r="T2294" s="754">
        <f t="shared" si="303"/>
        <v>0</v>
      </c>
      <c r="U2294" s="859"/>
      <c r="V2294" s="863"/>
      <c r="W2294" s="859"/>
      <c r="X2294" s="859"/>
      <c r="Y2294" s="755">
        <f t="shared" si="299"/>
        <v>0</v>
      </c>
      <c r="Z2294" s="864"/>
      <c r="AA2294" s="863"/>
      <c r="AB2294" s="756">
        <f t="shared" si="300"/>
        <v>0</v>
      </c>
      <c r="AC2294" s="859"/>
      <c r="AD2294" s="863"/>
      <c r="AE2294" s="859"/>
      <c r="AF2294" s="859"/>
      <c r="AG2294" s="864"/>
      <c r="AH2294" s="865"/>
      <c r="AI2294" s="757">
        <f t="shared" si="304"/>
        <v>0</v>
      </c>
      <c r="AJ2294" s="758">
        <f t="shared" si="305"/>
        <v>0</v>
      </c>
    </row>
    <row r="2295" spans="1:36" x14ac:dyDescent="0.2">
      <c r="A2295" s="1421" t="s">
        <v>146</v>
      </c>
      <c r="B2295" s="1293" t="s">
        <v>272</v>
      </c>
      <c r="C2295" s="1429" t="s">
        <v>1669</v>
      </c>
      <c r="D2295" s="1430"/>
      <c r="E2295" s="1424">
        <v>218733</v>
      </c>
      <c r="F2295" s="1259">
        <v>5</v>
      </c>
      <c r="G2295" s="859"/>
      <c r="H2295" s="860"/>
      <c r="I2295" s="861">
        <v>1809059</v>
      </c>
      <c r="J2295" s="862"/>
      <c r="K2295" s="859"/>
      <c r="L2295" s="863"/>
      <c r="M2295" s="859"/>
      <c r="N2295" s="859"/>
      <c r="O2295" s="752">
        <f t="shared" si="298"/>
        <v>0</v>
      </c>
      <c r="P2295" s="862"/>
      <c r="Q2295" s="860"/>
      <c r="R2295" s="753">
        <f t="shared" si="301"/>
        <v>0</v>
      </c>
      <c r="S2295" s="752">
        <f t="shared" si="302"/>
        <v>1809059</v>
      </c>
      <c r="T2295" s="754">
        <f t="shared" si="303"/>
        <v>0</v>
      </c>
      <c r="U2295" s="859"/>
      <c r="V2295" s="863"/>
      <c r="W2295" s="859"/>
      <c r="X2295" s="859"/>
      <c r="Y2295" s="755">
        <f t="shared" si="299"/>
        <v>0</v>
      </c>
      <c r="Z2295" s="864"/>
      <c r="AA2295" s="863"/>
      <c r="AB2295" s="756">
        <f t="shared" si="300"/>
        <v>0</v>
      </c>
      <c r="AC2295" s="859"/>
      <c r="AD2295" s="863"/>
      <c r="AE2295" s="859"/>
      <c r="AF2295" s="859"/>
      <c r="AG2295" s="864"/>
      <c r="AH2295" s="865"/>
      <c r="AI2295" s="757">
        <f t="shared" si="304"/>
        <v>1809059</v>
      </c>
      <c r="AJ2295" s="758">
        <f t="shared" si="305"/>
        <v>0</v>
      </c>
    </row>
    <row r="2296" spans="1:36" x14ac:dyDescent="0.2">
      <c r="A2296" s="1421" t="s">
        <v>146</v>
      </c>
      <c r="B2296" s="1293" t="s">
        <v>272</v>
      </c>
      <c r="C2296" s="1429" t="s">
        <v>1670</v>
      </c>
      <c r="D2296" s="1430"/>
      <c r="E2296" s="1424">
        <v>218733</v>
      </c>
      <c r="F2296" s="1259">
        <v>5</v>
      </c>
      <c r="G2296" s="859"/>
      <c r="H2296" s="860"/>
      <c r="I2296" s="861"/>
      <c r="J2296" s="862">
        <v>518277</v>
      </c>
      <c r="K2296" s="859"/>
      <c r="L2296" s="863"/>
      <c r="M2296" s="859"/>
      <c r="N2296" s="859"/>
      <c r="O2296" s="752">
        <f t="shared" si="298"/>
        <v>0</v>
      </c>
      <c r="P2296" s="862"/>
      <c r="Q2296" s="860"/>
      <c r="R2296" s="753">
        <f t="shared" si="301"/>
        <v>0</v>
      </c>
      <c r="S2296" s="752">
        <f t="shared" si="302"/>
        <v>0</v>
      </c>
      <c r="T2296" s="754">
        <f t="shared" si="303"/>
        <v>518277</v>
      </c>
      <c r="U2296" s="859"/>
      <c r="V2296" s="863"/>
      <c r="W2296" s="859"/>
      <c r="X2296" s="859"/>
      <c r="Y2296" s="755">
        <f t="shared" si="299"/>
        <v>0</v>
      </c>
      <c r="Z2296" s="864"/>
      <c r="AA2296" s="863"/>
      <c r="AB2296" s="756">
        <f t="shared" si="300"/>
        <v>0</v>
      </c>
      <c r="AC2296" s="859"/>
      <c r="AD2296" s="863"/>
      <c r="AE2296" s="859"/>
      <c r="AF2296" s="859"/>
      <c r="AG2296" s="864"/>
      <c r="AH2296" s="865"/>
      <c r="AI2296" s="757">
        <f t="shared" si="304"/>
        <v>0</v>
      </c>
      <c r="AJ2296" s="758">
        <f t="shared" si="305"/>
        <v>518277</v>
      </c>
    </row>
    <row r="2297" spans="1:36" x14ac:dyDescent="0.2">
      <c r="A2297" s="1421" t="s">
        <v>146</v>
      </c>
      <c r="B2297" s="1293" t="s">
        <v>272</v>
      </c>
      <c r="C2297" s="1284" t="s">
        <v>1671</v>
      </c>
      <c r="D2297" s="1283"/>
      <c r="E2297" s="1424">
        <v>218733</v>
      </c>
      <c r="F2297" s="1259">
        <v>5</v>
      </c>
      <c r="G2297" s="859"/>
      <c r="H2297" s="860"/>
      <c r="I2297" s="861">
        <v>1898</v>
      </c>
      <c r="J2297" s="862">
        <v>1793</v>
      </c>
      <c r="K2297" s="859"/>
      <c r="L2297" s="863"/>
      <c r="M2297" s="859"/>
      <c r="N2297" s="859"/>
      <c r="O2297" s="752">
        <f t="shared" si="298"/>
        <v>0</v>
      </c>
      <c r="P2297" s="862"/>
      <c r="Q2297" s="860"/>
      <c r="R2297" s="753">
        <f t="shared" si="301"/>
        <v>0</v>
      </c>
      <c r="S2297" s="752">
        <f t="shared" si="302"/>
        <v>1898</v>
      </c>
      <c r="T2297" s="754">
        <f t="shared" si="303"/>
        <v>1793</v>
      </c>
      <c r="U2297" s="859"/>
      <c r="V2297" s="863"/>
      <c r="W2297" s="859"/>
      <c r="X2297" s="859"/>
      <c r="Y2297" s="755">
        <f t="shared" si="299"/>
        <v>0</v>
      </c>
      <c r="Z2297" s="864"/>
      <c r="AA2297" s="863"/>
      <c r="AB2297" s="756">
        <f t="shared" si="300"/>
        <v>0</v>
      </c>
      <c r="AC2297" s="859"/>
      <c r="AD2297" s="863"/>
      <c r="AE2297" s="859"/>
      <c r="AF2297" s="859"/>
      <c r="AG2297" s="864"/>
      <c r="AH2297" s="865"/>
      <c r="AI2297" s="757">
        <f t="shared" si="304"/>
        <v>1898</v>
      </c>
      <c r="AJ2297" s="758">
        <f t="shared" si="305"/>
        <v>1793</v>
      </c>
    </row>
    <row r="2298" spans="1:36" x14ac:dyDescent="0.2">
      <c r="A2298" s="1421" t="s">
        <v>146</v>
      </c>
      <c r="B2298" s="1293" t="s">
        <v>272</v>
      </c>
      <c r="C2298" s="1284" t="s">
        <v>1703</v>
      </c>
      <c r="D2298" s="1283"/>
      <c r="E2298" s="1424">
        <v>218733</v>
      </c>
      <c r="F2298" s="1259">
        <v>5</v>
      </c>
      <c r="G2298" s="859"/>
      <c r="H2298" s="860"/>
      <c r="I2298" s="861">
        <v>279504</v>
      </c>
      <c r="J2298" s="862">
        <v>279504</v>
      </c>
      <c r="K2298" s="859"/>
      <c r="L2298" s="863"/>
      <c r="M2298" s="859"/>
      <c r="N2298" s="859"/>
      <c r="O2298" s="752">
        <f t="shared" si="298"/>
        <v>0</v>
      </c>
      <c r="P2298" s="862"/>
      <c r="Q2298" s="860"/>
      <c r="R2298" s="753">
        <f t="shared" si="301"/>
        <v>0</v>
      </c>
      <c r="S2298" s="752">
        <f t="shared" si="302"/>
        <v>279504</v>
      </c>
      <c r="T2298" s="754">
        <f t="shared" si="303"/>
        <v>279504</v>
      </c>
      <c r="U2298" s="859"/>
      <c r="V2298" s="863"/>
      <c r="W2298" s="859"/>
      <c r="X2298" s="859"/>
      <c r="Y2298" s="755">
        <f t="shared" si="299"/>
        <v>0</v>
      </c>
      <c r="Z2298" s="864"/>
      <c r="AA2298" s="863"/>
      <c r="AB2298" s="756">
        <f t="shared" si="300"/>
        <v>0</v>
      </c>
      <c r="AC2298" s="859"/>
      <c r="AD2298" s="863"/>
      <c r="AE2298" s="859"/>
      <c r="AF2298" s="859"/>
      <c r="AG2298" s="864"/>
      <c r="AH2298" s="865"/>
      <c r="AI2298" s="757">
        <f t="shared" si="304"/>
        <v>279504</v>
      </c>
      <c r="AJ2298" s="758">
        <f t="shared" si="305"/>
        <v>279504</v>
      </c>
    </row>
    <row r="2299" spans="1:36" x14ac:dyDescent="0.2">
      <c r="A2299" s="1421" t="s">
        <v>146</v>
      </c>
      <c r="B2299" s="1293" t="s">
        <v>272</v>
      </c>
      <c r="C2299" s="1429" t="s">
        <v>1704</v>
      </c>
      <c r="D2299" s="1430"/>
      <c r="E2299" s="1424">
        <v>218733</v>
      </c>
      <c r="F2299" s="1259">
        <v>5</v>
      </c>
      <c r="G2299" s="859"/>
      <c r="H2299" s="860"/>
      <c r="I2299" s="861"/>
      <c r="J2299" s="862">
        <v>346000</v>
      </c>
      <c r="K2299" s="859"/>
      <c r="L2299" s="863"/>
      <c r="M2299" s="859"/>
      <c r="N2299" s="859"/>
      <c r="O2299" s="752">
        <f t="shared" si="298"/>
        <v>0</v>
      </c>
      <c r="P2299" s="862"/>
      <c r="Q2299" s="860"/>
      <c r="R2299" s="753">
        <f t="shared" si="301"/>
        <v>0</v>
      </c>
      <c r="S2299" s="752">
        <f t="shared" si="302"/>
        <v>0</v>
      </c>
      <c r="T2299" s="754">
        <f t="shared" si="303"/>
        <v>346000</v>
      </c>
      <c r="U2299" s="859"/>
      <c r="V2299" s="863"/>
      <c r="W2299" s="859"/>
      <c r="X2299" s="859"/>
      <c r="Y2299" s="755">
        <f t="shared" si="299"/>
        <v>0</v>
      </c>
      <c r="Z2299" s="864"/>
      <c r="AA2299" s="863"/>
      <c r="AB2299" s="756">
        <f t="shared" si="300"/>
        <v>0</v>
      </c>
      <c r="AC2299" s="859"/>
      <c r="AD2299" s="863"/>
      <c r="AE2299" s="859"/>
      <c r="AF2299" s="859"/>
      <c r="AG2299" s="864"/>
      <c r="AH2299" s="865"/>
      <c r="AI2299" s="757">
        <f t="shared" si="304"/>
        <v>0</v>
      </c>
      <c r="AJ2299" s="758">
        <f t="shared" si="305"/>
        <v>346000</v>
      </c>
    </row>
    <row r="2300" spans="1:36" x14ac:dyDescent="0.2">
      <c r="A2300" s="1421" t="s">
        <v>146</v>
      </c>
      <c r="B2300" s="1293" t="s">
        <v>272</v>
      </c>
      <c r="C2300" s="1284" t="s">
        <v>1705</v>
      </c>
      <c r="D2300" s="1283"/>
      <c r="E2300" s="1424">
        <v>218733</v>
      </c>
      <c r="F2300" s="1259">
        <v>5</v>
      </c>
      <c r="G2300" s="859"/>
      <c r="H2300" s="860"/>
      <c r="I2300" s="861"/>
      <c r="J2300" s="862"/>
      <c r="K2300" s="859"/>
      <c r="L2300" s="863"/>
      <c r="M2300" s="859"/>
      <c r="N2300" s="859"/>
      <c r="O2300" s="752">
        <f t="shared" si="298"/>
        <v>0</v>
      </c>
      <c r="P2300" s="862"/>
      <c r="Q2300" s="860"/>
      <c r="R2300" s="753">
        <f t="shared" si="301"/>
        <v>0</v>
      </c>
      <c r="S2300" s="752">
        <f t="shared" si="302"/>
        <v>0</v>
      </c>
      <c r="T2300" s="754">
        <f t="shared" si="303"/>
        <v>0</v>
      </c>
      <c r="U2300" s="859"/>
      <c r="V2300" s="863"/>
      <c r="W2300" s="859"/>
      <c r="X2300" s="859"/>
      <c r="Y2300" s="755">
        <f t="shared" si="299"/>
        <v>0</v>
      </c>
      <c r="Z2300" s="864"/>
      <c r="AA2300" s="863"/>
      <c r="AB2300" s="756">
        <f t="shared" si="300"/>
        <v>0</v>
      </c>
      <c r="AC2300" s="859"/>
      <c r="AD2300" s="863"/>
      <c r="AE2300" s="859"/>
      <c r="AF2300" s="859"/>
      <c r="AG2300" s="864"/>
      <c r="AH2300" s="865"/>
      <c r="AI2300" s="757">
        <f t="shared" si="304"/>
        <v>0</v>
      </c>
      <c r="AJ2300" s="758">
        <f t="shared" si="305"/>
        <v>0</v>
      </c>
    </row>
    <row r="2301" spans="1:36" x14ac:dyDescent="0.2">
      <c r="A2301" s="1421" t="s">
        <v>146</v>
      </c>
      <c r="B2301" s="1293" t="s">
        <v>272</v>
      </c>
      <c r="C2301" s="1284" t="s">
        <v>1706</v>
      </c>
      <c r="D2301" s="1283"/>
      <c r="E2301" s="1424">
        <v>218733</v>
      </c>
      <c r="F2301" s="1259">
        <v>5</v>
      </c>
      <c r="G2301" s="859"/>
      <c r="H2301" s="860"/>
      <c r="I2301" s="861"/>
      <c r="J2301" s="862"/>
      <c r="K2301" s="859"/>
      <c r="L2301" s="863"/>
      <c r="M2301" s="859"/>
      <c r="N2301" s="859"/>
      <c r="O2301" s="752">
        <f t="shared" si="298"/>
        <v>0</v>
      </c>
      <c r="P2301" s="862"/>
      <c r="Q2301" s="860"/>
      <c r="R2301" s="753">
        <f t="shared" si="301"/>
        <v>0</v>
      </c>
      <c r="S2301" s="752">
        <f t="shared" si="302"/>
        <v>0</v>
      </c>
      <c r="T2301" s="754">
        <f t="shared" si="303"/>
        <v>0</v>
      </c>
      <c r="U2301" s="859"/>
      <c r="V2301" s="863"/>
      <c r="W2301" s="859"/>
      <c r="X2301" s="859"/>
      <c r="Y2301" s="755">
        <f t="shared" si="299"/>
        <v>0</v>
      </c>
      <c r="Z2301" s="864"/>
      <c r="AA2301" s="863"/>
      <c r="AB2301" s="756">
        <f t="shared" si="300"/>
        <v>0</v>
      </c>
      <c r="AC2301" s="859"/>
      <c r="AD2301" s="863"/>
      <c r="AE2301" s="859"/>
      <c r="AF2301" s="859"/>
      <c r="AG2301" s="864"/>
      <c r="AH2301" s="865"/>
      <c r="AI2301" s="757">
        <f t="shared" si="304"/>
        <v>0</v>
      </c>
      <c r="AJ2301" s="758">
        <f t="shared" si="305"/>
        <v>0</v>
      </c>
    </row>
    <row r="2302" spans="1:36" x14ac:dyDescent="0.2">
      <c r="A2302" s="1421" t="s">
        <v>146</v>
      </c>
      <c r="B2302" s="1293" t="s">
        <v>272</v>
      </c>
      <c r="C2302" s="1284" t="s">
        <v>1707</v>
      </c>
      <c r="D2302" s="1283"/>
      <c r="E2302" s="1424">
        <v>218733</v>
      </c>
      <c r="F2302" s="1259">
        <v>5</v>
      </c>
      <c r="G2302" s="859"/>
      <c r="H2302" s="860"/>
      <c r="I2302" s="861">
        <v>87905</v>
      </c>
      <c r="J2302" s="862">
        <v>87924</v>
      </c>
      <c r="K2302" s="859"/>
      <c r="L2302" s="863"/>
      <c r="M2302" s="859"/>
      <c r="N2302" s="859"/>
      <c r="O2302" s="752">
        <f t="shared" si="298"/>
        <v>0</v>
      </c>
      <c r="P2302" s="862"/>
      <c r="Q2302" s="860"/>
      <c r="R2302" s="753">
        <f t="shared" si="301"/>
        <v>0</v>
      </c>
      <c r="S2302" s="752">
        <f t="shared" si="302"/>
        <v>87905</v>
      </c>
      <c r="T2302" s="754">
        <f t="shared" si="303"/>
        <v>87924</v>
      </c>
      <c r="U2302" s="859"/>
      <c r="V2302" s="863"/>
      <c r="W2302" s="859"/>
      <c r="X2302" s="859"/>
      <c r="Y2302" s="755">
        <f t="shared" si="299"/>
        <v>0</v>
      </c>
      <c r="Z2302" s="864"/>
      <c r="AA2302" s="863"/>
      <c r="AB2302" s="756">
        <f t="shared" si="300"/>
        <v>0</v>
      </c>
      <c r="AC2302" s="859"/>
      <c r="AD2302" s="863"/>
      <c r="AE2302" s="859"/>
      <c r="AF2302" s="859"/>
      <c r="AG2302" s="864"/>
      <c r="AH2302" s="865"/>
      <c r="AI2302" s="757">
        <f t="shared" si="304"/>
        <v>87905</v>
      </c>
      <c r="AJ2302" s="758">
        <f t="shared" si="305"/>
        <v>87924</v>
      </c>
    </row>
    <row r="2303" spans="1:36" x14ac:dyDescent="0.2">
      <c r="A2303" s="1421" t="s">
        <v>146</v>
      </c>
      <c r="B2303" s="1293" t="s">
        <v>272</v>
      </c>
      <c r="C2303" s="1284" t="s">
        <v>1708</v>
      </c>
      <c r="D2303" s="1283"/>
      <c r="E2303" s="1424">
        <v>218733</v>
      </c>
      <c r="F2303" s="1259">
        <v>5</v>
      </c>
      <c r="G2303" s="859"/>
      <c r="H2303" s="860"/>
      <c r="I2303" s="861">
        <v>2500000</v>
      </c>
      <c r="J2303" s="862">
        <v>2500000</v>
      </c>
      <c r="K2303" s="859"/>
      <c r="L2303" s="863"/>
      <c r="M2303" s="859"/>
      <c r="N2303" s="859"/>
      <c r="O2303" s="752">
        <f t="shared" si="298"/>
        <v>0</v>
      </c>
      <c r="P2303" s="862"/>
      <c r="Q2303" s="860"/>
      <c r="R2303" s="753">
        <f t="shared" si="301"/>
        <v>0</v>
      </c>
      <c r="S2303" s="752">
        <f t="shared" si="302"/>
        <v>2500000</v>
      </c>
      <c r="T2303" s="754">
        <f t="shared" si="303"/>
        <v>2500000</v>
      </c>
      <c r="U2303" s="859"/>
      <c r="V2303" s="863"/>
      <c r="W2303" s="859"/>
      <c r="X2303" s="859"/>
      <c r="Y2303" s="755">
        <f t="shared" si="299"/>
        <v>0</v>
      </c>
      <c r="Z2303" s="864"/>
      <c r="AA2303" s="863"/>
      <c r="AB2303" s="756">
        <f t="shared" si="300"/>
        <v>0</v>
      </c>
      <c r="AC2303" s="859"/>
      <c r="AD2303" s="863"/>
      <c r="AE2303" s="859"/>
      <c r="AF2303" s="859"/>
      <c r="AG2303" s="864"/>
      <c r="AH2303" s="865"/>
      <c r="AI2303" s="757">
        <f t="shared" si="304"/>
        <v>2500000</v>
      </c>
      <c r="AJ2303" s="758">
        <f t="shared" si="305"/>
        <v>2500000</v>
      </c>
    </row>
    <row r="2304" spans="1:36" x14ac:dyDescent="0.2">
      <c r="A2304" s="1421" t="s">
        <v>146</v>
      </c>
      <c r="B2304" s="1293" t="s">
        <v>272</v>
      </c>
      <c r="C2304" s="1284" t="s">
        <v>1709</v>
      </c>
      <c r="D2304" s="1283"/>
      <c r="E2304" s="1424">
        <v>218733</v>
      </c>
      <c r="F2304" s="1259">
        <v>5</v>
      </c>
      <c r="G2304" s="859"/>
      <c r="H2304" s="860"/>
      <c r="I2304" s="861">
        <v>500000</v>
      </c>
      <c r="J2304" s="862">
        <v>497256</v>
      </c>
      <c r="K2304" s="859"/>
      <c r="L2304" s="863"/>
      <c r="M2304" s="859"/>
      <c r="N2304" s="859"/>
      <c r="O2304" s="752">
        <f t="shared" si="298"/>
        <v>0</v>
      </c>
      <c r="P2304" s="862"/>
      <c r="Q2304" s="860"/>
      <c r="R2304" s="753">
        <f t="shared" si="301"/>
        <v>0</v>
      </c>
      <c r="S2304" s="752">
        <f t="shared" si="302"/>
        <v>500000</v>
      </c>
      <c r="T2304" s="754">
        <f t="shared" si="303"/>
        <v>497256</v>
      </c>
      <c r="U2304" s="859"/>
      <c r="V2304" s="863"/>
      <c r="W2304" s="859"/>
      <c r="X2304" s="859"/>
      <c r="Y2304" s="755">
        <f t="shared" si="299"/>
        <v>0</v>
      </c>
      <c r="Z2304" s="864"/>
      <c r="AA2304" s="863"/>
      <c r="AB2304" s="756">
        <f t="shared" si="300"/>
        <v>0</v>
      </c>
      <c r="AC2304" s="859"/>
      <c r="AD2304" s="863"/>
      <c r="AE2304" s="859"/>
      <c r="AF2304" s="859"/>
      <c r="AG2304" s="864"/>
      <c r="AH2304" s="865"/>
      <c r="AI2304" s="757">
        <f t="shared" si="304"/>
        <v>500000</v>
      </c>
      <c r="AJ2304" s="758">
        <f t="shared" si="305"/>
        <v>497256</v>
      </c>
    </row>
    <row r="2305" spans="1:36" x14ac:dyDescent="0.2">
      <c r="A2305" s="1421" t="s">
        <v>146</v>
      </c>
      <c r="B2305" s="1293" t="s">
        <v>272</v>
      </c>
      <c r="C2305" s="1284" t="s">
        <v>1687</v>
      </c>
      <c r="D2305" s="1283"/>
      <c r="E2305" s="1424">
        <v>218733</v>
      </c>
      <c r="F2305" s="1259">
        <v>5</v>
      </c>
      <c r="G2305" s="859"/>
      <c r="H2305" s="860"/>
      <c r="I2305" s="861">
        <v>457429</v>
      </c>
      <c r="J2305" s="862">
        <v>422737</v>
      </c>
      <c r="K2305" s="859"/>
      <c r="L2305" s="863"/>
      <c r="M2305" s="859"/>
      <c r="N2305" s="859"/>
      <c r="O2305" s="752">
        <f t="shared" si="298"/>
        <v>0</v>
      </c>
      <c r="P2305" s="862"/>
      <c r="Q2305" s="860"/>
      <c r="R2305" s="753">
        <f t="shared" si="301"/>
        <v>0</v>
      </c>
      <c r="S2305" s="752">
        <f t="shared" si="302"/>
        <v>457429</v>
      </c>
      <c r="T2305" s="754">
        <f t="shared" si="303"/>
        <v>422737</v>
      </c>
      <c r="U2305" s="859"/>
      <c r="V2305" s="863"/>
      <c r="W2305" s="859"/>
      <c r="X2305" s="859"/>
      <c r="Y2305" s="755">
        <f t="shared" si="299"/>
        <v>0</v>
      </c>
      <c r="Z2305" s="864"/>
      <c r="AA2305" s="863"/>
      <c r="AB2305" s="756">
        <f t="shared" si="300"/>
        <v>0</v>
      </c>
      <c r="AC2305" s="859"/>
      <c r="AD2305" s="863"/>
      <c r="AE2305" s="859"/>
      <c r="AF2305" s="859"/>
      <c r="AG2305" s="864"/>
      <c r="AH2305" s="865"/>
      <c r="AI2305" s="757">
        <f t="shared" si="304"/>
        <v>457429</v>
      </c>
      <c r="AJ2305" s="758">
        <f t="shared" si="305"/>
        <v>422737</v>
      </c>
    </row>
    <row r="2306" spans="1:36" x14ac:dyDescent="0.2">
      <c r="A2306" s="1421" t="s">
        <v>146</v>
      </c>
      <c r="B2306" s="1293" t="s">
        <v>264</v>
      </c>
      <c r="C2306" s="1268" t="s">
        <v>1710</v>
      </c>
      <c r="D2306" s="1267"/>
      <c r="E2306" s="1265">
        <v>218229</v>
      </c>
      <c r="F2306" s="1259">
        <v>6</v>
      </c>
      <c r="G2306" s="859">
        <v>4703621</v>
      </c>
      <c r="H2306" s="860">
        <v>4728621</v>
      </c>
      <c r="I2306" s="861"/>
      <c r="J2306" s="862"/>
      <c r="K2306" s="859"/>
      <c r="L2306" s="863"/>
      <c r="M2306" s="859">
        <v>29478319</v>
      </c>
      <c r="N2306" s="859">
        <v>1355328</v>
      </c>
      <c r="O2306" s="752">
        <f t="shared" si="298"/>
        <v>30833647</v>
      </c>
      <c r="P2306" s="862">
        <v>29478319</v>
      </c>
      <c r="Q2306" s="860">
        <v>1355328</v>
      </c>
      <c r="R2306" s="753">
        <f t="shared" si="301"/>
        <v>30833647</v>
      </c>
      <c r="S2306" s="752">
        <f t="shared" si="302"/>
        <v>34181940</v>
      </c>
      <c r="T2306" s="754">
        <f t="shared" si="303"/>
        <v>34206940</v>
      </c>
      <c r="U2306" s="859"/>
      <c r="V2306" s="863"/>
      <c r="W2306" s="859"/>
      <c r="X2306" s="859"/>
      <c r="Y2306" s="755">
        <f t="shared" si="299"/>
        <v>0</v>
      </c>
      <c r="Z2306" s="864"/>
      <c r="AA2306" s="863"/>
      <c r="AB2306" s="756">
        <f t="shared" si="300"/>
        <v>0</v>
      </c>
      <c r="AC2306" s="859"/>
      <c r="AD2306" s="863"/>
      <c r="AE2306" s="859"/>
      <c r="AF2306" s="859"/>
      <c r="AG2306" s="864"/>
      <c r="AH2306" s="865"/>
      <c r="AI2306" s="757">
        <f t="shared" si="304"/>
        <v>34181940</v>
      </c>
      <c r="AJ2306" s="758">
        <f t="shared" si="305"/>
        <v>34206940</v>
      </c>
    </row>
    <row r="2307" spans="1:36" x14ac:dyDescent="0.2">
      <c r="A2307" s="1421" t="s">
        <v>146</v>
      </c>
      <c r="B2307" s="1293" t="s">
        <v>264</v>
      </c>
      <c r="C2307" s="1284" t="s">
        <v>1663</v>
      </c>
      <c r="D2307" s="1283"/>
      <c r="E2307" s="1424">
        <v>218229</v>
      </c>
      <c r="F2307" s="1259">
        <v>6</v>
      </c>
      <c r="G2307" s="859">
        <v>1415506</v>
      </c>
      <c r="H2307" s="860">
        <v>1504011</v>
      </c>
      <c r="I2307" s="861"/>
      <c r="J2307" s="862"/>
      <c r="K2307" s="859"/>
      <c r="L2307" s="863"/>
      <c r="M2307" s="859"/>
      <c r="N2307" s="859"/>
      <c r="O2307" s="752">
        <f t="shared" si="298"/>
        <v>0</v>
      </c>
      <c r="P2307" s="862"/>
      <c r="Q2307" s="860"/>
      <c r="R2307" s="753">
        <f t="shared" si="301"/>
        <v>0</v>
      </c>
      <c r="S2307" s="752">
        <f t="shared" si="302"/>
        <v>1415506</v>
      </c>
      <c r="T2307" s="754">
        <f t="shared" si="303"/>
        <v>1504011</v>
      </c>
      <c r="U2307" s="859"/>
      <c r="V2307" s="863"/>
      <c r="W2307" s="859"/>
      <c r="X2307" s="859"/>
      <c r="Y2307" s="755">
        <f t="shared" si="299"/>
        <v>0</v>
      </c>
      <c r="Z2307" s="864"/>
      <c r="AA2307" s="863"/>
      <c r="AB2307" s="756">
        <f t="shared" si="300"/>
        <v>0</v>
      </c>
      <c r="AC2307" s="859"/>
      <c r="AD2307" s="863"/>
      <c r="AE2307" s="859"/>
      <c r="AF2307" s="859"/>
      <c r="AG2307" s="864"/>
      <c r="AH2307" s="865"/>
      <c r="AI2307" s="757">
        <f t="shared" si="304"/>
        <v>1415506</v>
      </c>
      <c r="AJ2307" s="758">
        <f t="shared" si="305"/>
        <v>1504011</v>
      </c>
    </row>
    <row r="2308" spans="1:36" x14ac:dyDescent="0.2">
      <c r="A2308" s="1421" t="s">
        <v>146</v>
      </c>
      <c r="B2308" s="1293" t="s">
        <v>272</v>
      </c>
      <c r="C2308" s="1282" t="s">
        <v>970</v>
      </c>
      <c r="D2308" s="1283"/>
      <c r="E2308" s="1424">
        <v>218229</v>
      </c>
      <c r="F2308" s="1259">
        <v>6</v>
      </c>
      <c r="G2308" s="859"/>
      <c r="H2308" s="860"/>
      <c r="I2308" s="861"/>
      <c r="J2308" s="862"/>
      <c r="K2308" s="859"/>
      <c r="L2308" s="863"/>
      <c r="M2308" s="859"/>
      <c r="N2308" s="859"/>
      <c r="O2308" s="752">
        <f t="shared" si="298"/>
        <v>0</v>
      </c>
      <c r="P2308" s="862"/>
      <c r="Q2308" s="860"/>
      <c r="R2308" s="753">
        <f t="shared" si="301"/>
        <v>0</v>
      </c>
      <c r="S2308" s="752">
        <f t="shared" si="302"/>
        <v>0</v>
      </c>
      <c r="T2308" s="754">
        <f t="shared" si="303"/>
        <v>0</v>
      </c>
      <c r="U2308" s="859"/>
      <c r="V2308" s="863"/>
      <c r="W2308" s="859"/>
      <c r="X2308" s="859"/>
      <c r="Y2308" s="755">
        <f t="shared" si="299"/>
        <v>0</v>
      </c>
      <c r="Z2308" s="864"/>
      <c r="AA2308" s="863"/>
      <c r="AB2308" s="756">
        <f t="shared" si="300"/>
        <v>0</v>
      </c>
      <c r="AC2308" s="859"/>
      <c r="AD2308" s="863"/>
      <c r="AE2308" s="859"/>
      <c r="AF2308" s="859"/>
      <c r="AG2308" s="864"/>
      <c r="AH2308" s="865"/>
      <c r="AI2308" s="757">
        <f t="shared" si="304"/>
        <v>0</v>
      </c>
      <c r="AJ2308" s="758">
        <f t="shared" si="305"/>
        <v>0</v>
      </c>
    </row>
    <row r="2309" spans="1:36" x14ac:dyDescent="0.2">
      <c r="A2309" s="1421" t="s">
        <v>146</v>
      </c>
      <c r="B2309" s="1293" t="s">
        <v>272</v>
      </c>
      <c r="C2309" s="1429" t="s">
        <v>1669</v>
      </c>
      <c r="D2309" s="1430"/>
      <c r="E2309" s="1424">
        <v>218229</v>
      </c>
      <c r="F2309" s="1259">
        <v>6</v>
      </c>
      <c r="G2309" s="859"/>
      <c r="H2309" s="860"/>
      <c r="I2309" s="861">
        <v>931072</v>
      </c>
      <c r="J2309" s="862"/>
      <c r="K2309" s="859"/>
      <c r="L2309" s="863"/>
      <c r="M2309" s="859"/>
      <c r="N2309" s="859"/>
      <c r="O2309" s="752">
        <f t="shared" si="298"/>
        <v>0</v>
      </c>
      <c r="P2309" s="862"/>
      <c r="Q2309" s="860"/>
      <c r="R2309" s="753">
        <f t="shared" si="301"/>
        <v>0</v>
      </c>
      <c r="S2309" s="752">
        <f t="shared" si="302"/>
        <v>931072</v>
      </c>
      <c r="T2309" s="754">
        <f t="shared" si="303"/>
        <v>0</v>
      </c>
      <c r="U2309" s="859"/>
      <c r="V2309" s="863"/>
      <c r="W2309" s="859"/>
      <c r="X2309" s="859"/>
      <c r="Y2309" s="755">
        <f t="shared" si="299"/>
        <v>0</v>
      </c>
      <c r="Z2309" s="864"/>
      <c r="AA2309" s="863"/>
      <c r="AB2309" s="756">
        <f t="shared" si="300"/>
        <v>0</v>
      </c>
      <c r="AC2309" s="859"/>
      <c r="AD2309" s="863"/>
      <c r="AE2309" s="859"/>
      <c r="AF2309" s="859"/>
      <c r="AG2309" s="864"/>
      <c r="AH2309" s="865"/>
      <c r="AI2309" s="757">
        <f t="shared" si="304"/>
        <v>931072</v>
      </c>
      <c r="AJ2309" s="758">
        <f t="shared" si="305"/>
        <v>0</v>
      </c>
    </row>
    <row r="2310" spans="1:36" x14ac:dyDescent="0.2">
      <c r="A2310" s="1421" t="s">
        <v>146</v>
      </c>
      <c r="B2310" s="1293" t="s">
        <v>272</v>
      </c>
      <c r="C2310" s="1429" t="s">
        <v>1670</v>
      </c>
      <c r="D2310" s="1430"/>
      <c r="E2310" s="1424">
        <v>218229</v>
      </c>
      <c r="F2310" s="1259">
        <v>6</v>
      </c>
      <c r="G2310" s="859"/>
      <c r="H2310" s="860"/>
      <c r="I2310" s="861"/>
      <c r="J2310" s="862">
        <v>266807</v>
      </c>
      <c r="K2310" s="859"/>
      <c r="L2310" s="863"/>
      <c r="M2310" s="859"/>
      <c r="N2310" s="859"/>
      <c r="O2310" s="752">
        <f t="shared" si="298"/>
        <v>0</v>
      </c>
      <c r="P2310" s="862"/>
      <c r="Q2310" s="860"/>
      <c r="R2310" s="753">
        <f t="shared" si="301"/>
        <v>0</v>
      </c>
      <c r="S2310" s="752">
        <f t="shared" si="302"/>
        <v>0</v>
      </c>
      <c r="T2310" s="754">
        <f t="shared" si="303"/>
        <v>266807</v>
      </c>
      <c r="U2310" s="859"/>
      <c r="V2310" s="863"/>
      <c r="W2310" s="859"/>
      <c r="X2310" s="859"/>
      <c r="Y2310" s="755">
        <f t="shared" si="299"/>
        <v>0</v>
      </c>
      <c r="Z2310" s="864"/>
      <c r="AA2310" s="863"/>
      <c r="AB2310" s="756">
        <f t="shared" si="300"/>
        <v>0</v>
      </c>
      <c r="AC2310" s="859"/>
      <c r="AD2310" s="863"/>
      <c r="AE2310" s="859"/>
      <c r="AF2310" s="859"/>
      <c r="AG2310" s="864"/>
      <c r="AH2310" s="865"/>
      <c r="AI2310" s="757">
        <f t="shared" si="304"/>
        <v>0</v>
      </c>
      <c r="AJ2310" s="758">
        <f t="shared" si="305"/>
        <v>266807</v>
      </c>
    </row>
    <row r="2311" spans="1:36" x14ac:dyDescent="0.2">
      <c r="A2311" s="1421" t="s">
        <v>146</v>
      </c>
      <c r="B2311" s="1293" t="s">
        <v>272</v>
      </c>
      <c r="C2311" s="1429" t="s">
        <v>1711</v>
      </c>
      <c r="D2311" s="1430"/>
      <c r="E2311" s="1424">
        <v>218229</v>
      </c>
      <c r="F2311" s="1259">
        <v>6</v>
      </c>
      <c r="G2311" s="859"/>
      <c r="H2311" s="860"/>
      <c r="I2311" s="861"/>
      <c r="J2311" s="862">
        <v>750000</v>
      </c>
      <c r="K2311" s="859"/>
      <c r="L2311" s="863"/>
      <c r="M2311" s="859"/>
      <c r="N2311" s="859"/>
      <c r="O2311" s="752">
        <f t="shared" si="298"/>
        <v>0</v>
      </c>
      <c r="P2311" s="862"/>
      <c r="Q2311" s="860"/>
      <c r="R2311" s="753">
        <f t="shared" si="301"/>
        <v>0</v>
      </c>
      <c r="S2311" s="752">
        <f t="shared" si="302"/>
        <v>0</v>
      </c>
      <c r="T2311" s="754">
        <f t="shared" si="303"/>
        <v>750000</v>
      </c>
      <c r="U2311" s="859"/>
      <c r="V2311" s="863"/>
      <c r="W2311" s="859"/>
      <c r="X2311" s="859"/>
      <c r="Y2311" s="755">
        <f t="shared" si="299"/>
        <v>0</v>
      </c>
      <c r="Z2311" s="864"/>
      <c r="AA2311" s="863"/>
      <c r="AB2311" s="756">
        <f t="shared" si="300"/>
        <v>0</v>
      </c>
      <c r="AC2311" s="859"/>
      <c r="AD2311" s="863"/>
      <c r="AE2311" s="859"/>
      <c r="AF2311" s="859"/>
      <c r="AG2311" s="864"/>
      <c r="AH2311" s="865"/>
      <c r="AI2311" s="757">
        <f t="shared" si="304"/>
        <v>0</v>
      </c>
      <c r="AJ2311" s="758">
        <f t="shared" si="305"/>
        <v>750000</v>
      </c>
    </row>
    <row r="2312" spans="1:36" x14ac:dyDescent="0.2">
      <c r="A2312" s="1421" t="s">
        <v>146</v>
      </c>
      <c r="B2312" s="1293" t="s">
        <v>272</v>
      </c>
      <c r="C2312" s="1284" t="s">
        <v>1671</v>
      </c>
      <c r="D2312" s="1283"/>
      <c r="E2312" s="1424">
        <v>218229</v>
      </c>
      <c r="F2312" s="1259">
        <v>6</v>
      </c>
      <c r="G2312" s="859"/>
      <c r="H2312" s="860"/>
      <c r="I2312" s="861">
        <v>3549</v>
      </c>
      <c r="J2312" s="862"/>
      <c r="K2312" s="859"/>
      <c r="L2312" s="863"/>
      <c r="M2312" s="859"/>
      <c r="N2312" s="859"/>
      <c r="O2312" s="752">
        <f t="shared" si="298"/>
        <v>0</v>
      </c>
      <c r="P2312" s="862"/>
      <c r="Q2312" s="860"/>
      <c r="R2312" s="753">
        <f t="shared" si="301"/>
        <v>0</v>
      </c>
      <c r="S2312" s="752">
        <f t="shared" si="302"/>
        <v>3549</v>
      </c>
      <c r="T2312" s="754">
        <f t="shared" si="303"/>
        <v>0</v>
      </c>
      <c r="U2312" s="859"/>
      <c r="V2312" s="863"/>
      <c r="W2312" s="859"/>
      <c r="X2312" s="859"/>
      <c r="Y2312" s="755">
        <f t="shared" si="299"/>
        <v>0</v>
      </c>
      <c r="Z2312" s="864"/>
      <c r="AA2312" s="863"/>
      <c r="AB2312" s="756">
        <f t="shared" si="300"/>
        <v>0</v>
      </c>
      <c r="AC2312" s="859"/>
      <c r="AD2312" s="863"/>
      <c r="AE2312" s="859"/>
      <c r="AF2312" s="859"/>
      <c r="AG2312" s="864"/>
      <c r="AH2312" s="865"/>
      <c r="AI2312" s="757">
        <f t="shared" si="304"/>
        <v>3549</v>
      </c>
      <c r="AJ2312" s="758">
        <f t="shared" si="305"/>
        <v>0</v>
      </c>
    </row>
    <row r="2313" spans="1:36" x14ac:dyDescent="0.2">
      <c r="A2313" s="1421" t="s">
        <v>146</v>
      </c>
      <c r="B2313" s="1293" t="s">
        <v>272</v>
      </c>
      <c r="C2313" s="1284" t="s">
        <v>1687</v>
      </c>
      <c r="D2313" s="1283"/>
      <c r="E2313" s="1424">
        <v>218229</v>
      </c>
      <c r="F2313" s="1259">
        <v>6</v>
      </c>
      <c r="G2313" s="859"/>
      <c r="H2313" s="860"/>
      <c r="I2313" s="861">
        <v>371124</v>
      </c>
      <c r="J2313" s="862">
        <v>364199</v>
      </c>
      <c r="K2313" s="859"/>
      <c r="L2313" s="863"/>
      <c r="M2313" s="859"/>
      <c r="N2313" s="859"/>
      <c r="O2313" s="752">
        <f t="shared" si="298"/>
        <v>0</v>
      </c>
      <c r="P2313" s="862"/>
      <c r="Q2313" s="860"/>
      <c r="R2313" s="753">
        <f t="shared" si="301"/>
        <v>0</v>
      </c>
      <c r="S2313" s="752">
        <f t="shared" si="302"/>
        <v>371124</v>
      </c>
      <c r="T2313" s="754">
        <f t="shared" si="303"/>
        <v>364199</v>
      </c>
      <c r="U2313" s="859"/>
      <c r="V2313" s="863"/>
      <c r="W2313" s="859"/>
      <c r="X2313" s="859"/>
      <c r="Y2313" s="755">
        <f t="shared" si="299"/>
        <v>0</v>
      </c>
      <c r="Z2313" s="864"/>
      <c r="AA2313" s="863"/>
      <c r="AB2313" s="756">
        <f t="shared" si="300"/>
        <v>0</v>
      </c>
      <c r="AC2313" s="859"/>
      <c r="AD2313" s="863"/>
      <c r="AE2313" s="859"/>
      <c r="AF2313" s="859"/>
      <c r="AG2313" s="864"/>
      <c r="AH2313" s="865"/>
      <c r="AI2313" s="757">
        <f t="shared" si="304"/>
        <v>371124</v>
      </c>
      <c r="AJ2313" s="758">
        <f t="shared" si="305"/>
        <v>364199</v>
      </c>
    </row>
    <row r="2314" spans="1:36" x14ac:dyDescent="0.2">
      <c r="A2314" s="1421" t="s">
        <v>146</v>
      </c>
      <c r="B2314" s="1293" t="s">
        <v>264</v>
      </c>
      <c r="C2314" s="1422" t="s">
        <v>1712</v>
      </c>
      <c r="D2314" s="1423"/>
      <c r="E2314" s="1424">
        <v>218645</v>
      </c>
      <c r="F2314" s="1259">
        <v>6</v>
      </c>
      <c r="G2314" s="859">
        <v>4997592</v>
      </c>
      <c r="H2314" s="860">
        <v>4997592</v>
      </c>
      <c r="I2314" s="861"/>
      <c r="J2314" s="862"/>
      <c r="K2314" s="859"/>
      <c r="L2314" s="863"/>
      <c r="M2314" s="859">
        <v>27062961</v>
      </c>
      <c r="N2314" s="859">
        <v>1291751</v>
      </c>
      <c r="O2314" s="752">
        <f t="shared" si="298"/>
        <v>28354712</v>
      </c>
      <c r="P2314" s="862">
        <v>27062961</v>
      </c>
      <c r="Q2314" s="860">
        <v>1291751</v>
      </c>
      <c r="R2314" s="753">
        <f t="shared" si="301"/>
        <v>28354712</v>
      </c>
      <c r="S2314" s="752">
        <f t="shared" si="302"/>
        <v>32060553</v>
      </c>
      <c r="T2314" s="754">
        <f t="shared" si="303"/>
        <v>32060553</v>
      </c>
      <c r="U2314" s="859"/>
      <c r="V2314" s="863"/>
      <c r="W2314" s="859"/>
      <c r="X2314" s="859"/>
      <c r="Y2314" s="755">
        <f t="shared" si="299"/>
        <v>0</v>
      </c>
      <c r="Z2314" s="864"/>
      <c r="AA2314" s="863"/>
      <c r="AB2314" s="756">
        <f t="shared" si="300"/>
        <v>0</v>
      </c>
      <c r="AC2314" s="859"/>
      <c r="AD2314" s="863"/>
      <c r="AE2314" s="859"/>
      <c r="AF2314" s="859"/>
      <c r="AG2314" s="864"/>
      <c r="AH2314" s="865"/>
      <c r="AI2314" s="757">
        <f t="shared" si="304"/>
        <v>32060553</v>
      </c>
      <c r="AJ2314" s="758">
        <f t="shared" si="305"/>
        <v>32060553</v>
      </c>
    </row>
    <row r="2315" spans="1:36" x14ac:dyDescent="0.2">
      <c r="A2315" s="1421" t="s">
        <v>146</v>
      </c>
      <c r="B2315" s="1293" t="s">
        <v>264</v>
      </c>
      <c r="C2315" s="1284" t="s">
        <v>1663</v>
      </c>
      <c r="D2315" s="1283"/>
      <c r="E2315" s="1424">
        <v>218645</v>
      </c>
      <c r="F2315" s="1259">
        <v>6</v>
      </c>
      <c r="G2315" s="859">
        <v>1225703</v>
      </c>
      <c r="H2315" s="860">
        <v>1315210</v>
      </c>
      <c r="I2315" s="861"/>
      <c r="J2315" s="862"/>
      <c r="K2315" s="859"/>
      <c r="L2315" s="863"/>
      <c r="M2315" s="859"/>
      <c r="N2315" s="859"/>
      <c r="O2315" s="752">
        <f t="shared" ref="O2315:O2378" si="306">SUM(M2315:N2315)</f>
        <v>0</v>
      </c>
      <c r="P2315" s="862"/>
      <c r="Q2315" s="860"/>
      <c r="R2315" s="753">
        <f t="shared" si="301"/>
        <v>0</v>
      </c>
      <c r="S2315" s="752">
        <f t="shared" si="302"/>
        <v>1225703</v>
      </c>
      <c r="T2315" s="754">
        <f t="shared" si="303"/>
        <v>1315210</v>
      </c>
      <c r="U2315" s="859"/>
      <c r="V2315" s="863"/>
      <c r="W2315" s="859"/>
      <c r="X2315" s="859"/>
      <c r="Y2315" s="755">
        <f t="shared" ref="Y2315:Y2378" si="307">SUM(W2315:X2315)</f>
        <v>0</v>
      </c>
      <c r="Z2315" s="864"/>
      <c r="AA2315" s="863"/>
      <c r="AB2315" s="756">
        <f t="shared" ref="AB2315:AB2378" si="308">SUM(Z2315:AA2315)</f>
        <v>0</v>
      </c>
      <c r="AC2315" s="859"/>
      <c r="AD2315" s="863"/>
      <c r="AE2315" s="859"/>
      <c r="AF2315" s="859"/>
      <c r="AG2315" s="864"/>
      <c r="AH2315" s="865"/>
      <c r="AI2315" s="757">
        <f t="shared" si="304"/>
        <v>1225703</v>
      </c>
      <c r="AJ2315" s="758">
        <f t="shared" si="305"/>
        <v>1315210</v>
      </c>
    </row>
    <row r="2316" spans="1:36" x14ac:dyDescent="0.2">
      <c r="A2316" s="1421" t="s">
        <v>146</v>
      </c>
      <c r="B2316" s="1293" t="s">
        <v>272</v>
      </c>
      <c r="C2316" s="1282" t="s">
        <v>970</v>
      </c>
      <c r="D2316" s="1283"/>
      <c r="E2316" s="1424">
        <v>218645</v>
      </c>
      <c r="F2316" s="1259">
        <v>6</v>
      </c>
      <c r="G2316" s="859"/>
      <c r="H2316" s="860"/>
      <c r="I2316" s="861"/>
      <c r="J2316" s="862"/>
      <c r="K2316" s="859"/>
      <c r="L2316" s="863"/>
      <c r="M2316" s="859"/>
      <c r="N2316" s="859"/>
      <c r="O2316" s="752">
        <f t="shared" si="306"/>
        <v>0</v>
      </c>
      <c r="P2316" s="862"/>
      <c r="Q2316" s="860"/>
      <c r="R2316" s="753">
        <f t="shared" ref="R2316:R2379" si="309">SUM(P2316:Q2316)</f>
        <v>0</v>
      </c>
      <c r="S2316" s="752">
        <f t="shared" ref="S2316:S2379" si="310">SUM(G2316,I2316,K2316,M2316)</f>
        <v>0</v>
      </c>
      <c r="T2316" s="754">
        <f t="shared" ref="T2316:T2379" si="311">SUM(H2316,J2316,L2316,P2316)</f>
        <v>0</v>
      </c>
      <c r="U2316" s="859"/>
      <c r="V2316" s="863"/>
      <c r="W2316" s="859"/>
      <c r="X2316" s="859"/>
      <c r="Y2316" s="755">
        <f t="shared" si="307"/>
        <v>0</v>
      </c>
      <c r="Z2316" s="864"/>
      <c r="AA2316" s="863"/>
      <c r="AB2316" s="756">
        <f t="shared" si="308"/>
        <v>0</v>
      </c>
      <c r="AC2316" s="859"/>
      <c r="AD2316" s="863"/>
      <c r="AE2316" s="859"/>
      <c r="AF2316" s="859"/>
      <c r="AG2316" s="864"/>
      <c r="AH2316" s="865"/>
      <c r="AI2316" s="757">
        <f t="shared" ref="AI2316:AI2379" si="312">SUM(S2316,U2316,W2316,AC2316,AE2316)</f>
        <v>0</v>
      </c>
      <c r="AJ2316" s="758">
        <f t="shared" ref="AJ2316:AJ2379" si="313">SUM(T2316,V2316,Z2316,AD2316,AG2316)</f>
        <v>0</v>
      </c>
    </row>
    <row r="2317" spans="1:36" x14ac:dyDescent="0.2">
      <c r="A2317" s="1421" t="s">
        <v>146</v>
      </c>
      <c r="B2317" s="1293" t="s">
        <v>272</v>
      </c>
      <c r="C2317" s="1429" t="s">
        <v>1669</v>
      </c>
      <c r="D2317" s="1430"/>
      <c r="E2317" s="1424">
        <v>218645</v>
      </c>
      <c r="F2317" s="1259">
        <v>6</v>
      </c>
      <c r="G2317" s="859"/>
      <c r="H2317" s="860"/>
      <c r="I2317" s="861">
        <v>841761</v>
      </c>
      <c r="J2317" s="862"/>
      <c r="K2317" s="859"/>
      <c r="L2317" s="863"/>
      <c r="M2317" s="859"/>
      <c r="N2317" s="859"/>
      <c r="O2317" s="752">
        <f t="shared" si="306"/>
        <v>0</v>
      </c>
      <c r="P2317" s="862"/>
      <c r="Q2317" s="860"/>
      <c r="R2317" s="753">
        <f t="shared" si="309"/>
        <v>0</v>
      </c>
      <c r="S2317" s="752">
        <f t="shared" si="310"/>
        <v>841761</v>
      </c>
      <c r="T2317" s="754">
        <f t="shared" si="311"/>
        <v>0</v>
      </c>
      <c r="U2317" s="859"/>
      <c r="V2317" s="863"/>
      <c r="W2317" s="859"/>
      <c r="X2317" s="859"/>
      <c r="Y2317" s="755">
        <f t="shared" si="307"/>
        <v>0</v>
      </c>
      <c r="Z2317" s="864"/>
      <c r="AA2317" s="863"/>
      <c r="AB2317" s="756">
        <f t="shared" si="308"/>
        <v>0</v>
      </c>
      <c r="AC2317" s="859"/>
      <c r="AD2317" s="863"/>
      <c r="AE2317" s="859"/>
      <c r="AF2317" s="859"/>
      <c r="AG2317" s="864"/>
      <c r="AH2317" s="865"/>
      <c r="AI2317" s="757">
        <f t="shared" si="312"/>
        <v>841761</v>
      </c>
      <c r="AJ2317" s="758">
        <f t="shared" si="313"/>
        <v>0</v>
      </c>
    </row>
    <row r="2318" spans="1:36" x14ac:dyDescent="0.2">
      <c r="A2318" s="1421" t="s">
        <v>146</v>
      </c>
      <c r="B2318" s="1293" t="s">
        <v>272</v>
      </c>
      <c r="C2318" s="1429" t="s">
        <v>1713</v>
      </c>
      <c r="D2318" s="1430"/>
      <c r="E2318" s="1424">
        <v>218645</v>
      </c>
      <c r="F2318" s="1259">
        <v>6</v>
      </c>
      <c r="G2318" s="859"/>
      <c r="H2318" s="860"/>
      <c r="I2318" s="861"/>
      <c r="J2318" s="862">
        <v>250000</v>
      </c>
      <c r="K2318" s="859"/>
      <c r="L2318" s="863"/>
      <c r="M2318" s="859"/>
      <c r="N2318" s="859"/>
      <c r="O2318" s="752">
        <f t="shared" si="306"/>
        <v>0</v>
      </c>
      <c r="P2318" s="862"/>
      <c r="Q2318" s="860"/>
      <c r="R2318" s="753">
        <f t="shared" si="309"/>
        <v>0</v>
      </c>
      <c r="S2318" s="752">
        <f t="shared" si="310"/>
        <v>0</v>
      </c>
      <c r="T2318" s="754">
        <f t="shared" si="311"/>
        <v>250000</v>
      </c>
      <c r="U2318" s="859"/>
      <c r="V2318" s="863"/>
      <c r="W2318" s="859"/>
      <c r="X2318" s="859"/>
      <c r="Y2318" s="755">
        <f t="shared" si="307"/>
        <v>0</v>
      </c>
      <c r="Z2318" s="864"/>
      <c r="AA2318" s="863"/>
      <c r="AB2318" s="756">
        <f t="shared" si="308"/>
        <v>0</v>
      </c>
      <c r="AC2318" s="859"/>
      <c r="AD2318" s="863"/>
      <c r="AE2318" s="859"/>
      <c r="AF2318" s="859"/>
      <c r="AG2318" s="864"/>
      <c r="AH2318" s="865"/>
      <c r="AI2318" s="757">
        <f t="shared" si="312"/>
        <v>0</v>
      </c>
      <c r="AJ2318" s="758">
        <f t="shared" si="313"/>
        <v>250000</v>
      </c>
    </row>
    <row r="2319" spans="1:36" x14ac:dyDescent="0.2">
      <c r="A2319" s="1421" t="s">
        <v>146</v>
      </c>
      <c r="B2319" s="1293" t="s">
        <v>272</v>
      </c>
      <c r="C2319" s="1429" t="s">
        <v>1714</v>
      </c>
      <c r="D2319" s="1430"/>
      <c r="E2319" s="1424">
        <v>218645</v>
      </c>
      <c r="F2319" s="1259">
        <v>6</v>
      </c>
      <c r="G2319" s="859"/>
      <c r="H2319" s="860"/>
      <c r="I2319" s="861"/>
      <c r="J2319" s="862">
        <v>474500</v>
      </c>
      <c r="K2319" s="859"/>
      <c r="L2319" s="863"/>
      <c r="M2319" s="859"/>
      <c r="N2319" s="859"/>
      <c r="O2319" s="752">
        <f t="shared" si="306"/>
        <v>0</v>
      </c>
      <c r="P2319" s="862"/>
      <c r="Q2319" s="860"/>
      <c r="R2319" s="753">
        <f t="shared" si="309"/>
        <v>0</v>
      </c>
      <c r="S2319" s="752">
        <f t="shared" si="310"/>
        <v>0</v>
      </c>
      <c r="T2319" s="754">
        <f t="shared" si="311"/>
        <v>474500</v>
      </c>
      <c r="U2319" s="859"/>
      <c r="V2319" s="863"/>
      <c r="W2319" s="859"/>
      <c r="X2319" s="859"/>
      <c r="Y2319" s="755">
        <f t="shared" si="307"/>
        <v>0</v>
      </c>
      <c r="Z2319" s="864"/>
      <c r="AA2319" s="863"/>
      <c r="AB2319" s="756">
        <f t="shared" si="308"/>
        <v>0</v>
      </c>
      <c r="AC2319" s="859"/>
      <c r="AD2319" s="863"/>
      <c r="AE2319" s="859"/>
      <c r="AF2319" s="859"/>
      <c r="AG2319" s="864"/>
      <c r="AH2319" s="865"/>
      <c r="AI2319" s="757">
        <f t="shared" si="312"/>
        <v>0</v>
      </c>
      <c r="AJ2319" s="758">
        <f t="shared" si="313"/>
        <v>474500</v>
      </c>
    </row>
    <row r="2320" spans="1:36" x14ac:dyDescent="0.2">
      <c r="A2320" s="1421" t="s">
        <v>146</v>
      </c>
      <c r="B2320" s="1293" t="s">
        <v>272</v>
      </c>
      <c r="C2320" s="1429" t="s">
        <v>1715</v>
      </c>
      <c r="D2320" s="1430"/>
      <c r="E2320" s="1424">
        <v>218645</v>
      </c>
      <c r="F2320" s="1259">
        <v>6</v>
      </c>
      <c r="G2320" s="859"/>
      <c r="H2320" s="860"/>
      <c r="I2320" s="861"/>
      <c r="J2320" s="862">
        <v>575000</v>
      </c>
      <c r="K2320" s="859"/>
      <c r="L2320" s="863"/>
      <c r="M2320" s="859"/>
      <c r="N2320" s="859"/>
      <c r="O2320" s="752">
        <f t="shared" si="306"/>
        <v>0</v>
      </c>
      <c r="P2320" s="862"/>
      <c r="Q2320" s="860"/>
      <c r="R2320" s="753">
        <f t="shared" si="309"/>
        <v>0</v>
      </c>
      <c r="S2320" s="752">
        <f t="shared" si="310"/>
        <v>0</v>
      </c>
      <c r="T2320" s="754">
        <f t="shared" si="311"/>
        <v>575000</v>
      </c>
      <c r="U2320" s="859"/>
      <c r="V2320" s="863"/>
      <c r="W2320" s="859"/>
      <c r="X2320" s="859"/>
      <c r="Y2320" s="755">
        <f t="shared" si="307"/>
        <v>0</v>
      </c>
      <c r="Z2320" s="864"/>
      <c r="AA2320" s="863"/>
      <c r="AB2320" s="756">
        <f t="shared" si="308"/>
        <v>0</v>
      </c>
      <c r="AC2320" s="859"/>
      <c r="AD2320" s="863"/>
      <c r="AE2320" s="859"/>
      <c r="AF2320" s="859"/>
      <c r="AG2320" s="864"/>
      <c r="AH2320" s="865"/>
      <c r="AI2320" s="757">
        <f t="shared" si="312"/>
        <v>0</v>
      </c>
      <c r="AJ2320" s="758">
        <f t="shared" si="313"/>
        <v>575000</v>
      </c>
    </row>
    <row r="2321" spans="1:36" x14ac:dyDescent="0.2">
      <c r="A2321" s="1421" t="s">
        <v>146</v>
      </c>
      <c r="B2321" s="1293" t="s">
        <v>272</v>
      </c>
      <c r="C2321" s="1429" t="s">
        <v>1670</v>
      </c>
      <c r="D2321" s="1430"/>
      <c r="E2321" s="1424">
        <v>218645</v>
      </c>
      <c r="F2321" s="1259">
        <v>6</v>
      </c>
      <c r="G2321" s="859"/>
      <c r="H2321" s="860"/>
      <c r="I2321" s="861"/>
      <c r="J2321" s="862">
        <v>270221</v>
      </c>
      <c r="K2321" s="859"/>
      <c r="L2321" s="863"/>
      <c r="M2321" s="859"/>
      <c r="N2321" s="859"/>
      <c r="O2321" s="752">
        <f t="shared" si="306"/>
        <v>0</v>
      </c>
      <c r="P2321" s="862"/>
      <c r="Q2321" s="860"/>
      <c r="R2321" s="753">
        <f t="shared" si="309"/>
        <v>0</v>
      </c>
      <c r="S2321" s="752">
        <f t="shared" si="310"/>
        <v>0</v>
      </c>
      <c r="T2321" s="754">
        <f t="shared" si="311"/>
        <v>270221</v>
      </c>
      <c r="U2321" s="859"/>
      <c r="V2321" s="863"/>
      <c r="W2321" s="859"/>
      <c r="X2321" s="859"/>
      <c r="Y2321" s="755">
        <f t="shared" si="307"/>
        <v>0</v>
      </c>
      <c r="Z2321" s="864"/>
      <c r="AA2321" s="863"/>
      <c r="AB2321" s="756">
        <f t="shared" si="308"/>
        <v>0</v>
      </c>
      <c r="AC2321" s="859"/>
      <c r="AD2321" s="863"/>
      <c r="AE2321" s="859"/>
      <c r="AF2321" s="859"/>
      <c r="AG2321" s="864"/>
      <c r="AH2321" s="865"/>
      <c r="AI2321" s="757">
        <f t="shared" si="312"/>
        <v>0</v>
      </c>
      <c r="AJ2321" s="758">
        <f t="shared" si="313"/>
        <v>270221</v>
      </c>
    </row>
    <row r="2322" spans="1:36" x14ac:dyDescent="0.2">
      <c r="A2322" s="1421" t="s">
        <v>146</v>
      </c>
      <c r="B2322" s="1293" t="s">
        <v>272</v>
      </c>
      <c r="C2322" s="1284" t="s">
        <v>1671</v>
      </c>
      <c r="D2322" s="1283"/>
      <c r="E2322" s="1424">
        <v>218645</v>
      </c>
      <c r="F2322" s="1259">
        <v>6</v>
      </c>
      <c r="G2322" s="859"/>
      <c r="H2322" s="860"/>
      <c r="I2322" s="861">
        <v>4223</v>
      </c>
      <c r="J2322" s="862">
        <v>4148</v>
      </c>
      <c r="K2322" s="859"/>
      <c r="L2322" s="863"/>
      <c r="M2322" s="859"/>
      <c r="N2322" s="859"/>
      <c r="O2322" s="752">
        <f t="shared" si="306"/>
        <v>0</v>
      </c>
      <c r="P2322" s="862"/>
      <c r="Q2322" s="860"/>
      <c r="R2322" s="753">
        <f t="shared" si="309"/>
        <v>0</v>
      </c>
      <c r="S2322" s="752">
        <f t="shared" si="310"/>
        <v>4223</v>
      </c>
      <c r="T2322" s="754">
        <f t="shared" si="311"/>
        <v>4148</v>
      </c>
      <c r="U2322" s="859"/>
      <c r="V2322" s="863"/>
      <c r="W2322" s="859"/>
      <c r="X2322" s="859"/>
      <c r="Y2322" s="755">
        <f t="shared" si="307"/>
        <v>0</v>
      </c>
      <c r="Z2322" s="864"/>
      <c r="AA2322" s="863"/>
      <c r="AB2322" s="756">
        <f t="shared" si="308"/>
        <v>0</v>
      </c>
      <c r="AC2322" s="859"/>
      <c r="AD2322" s="863"/>
      <c r="AE2322" s="859"/>
      <c r="AF2322" s="859"/>
      <c r="AG2322" s="864"/>
      <c r="AH2322" s="865"/>
      <c r="AI2322" s="757">
        <f t="shared" si="312"/>
        <v>4223</v>
      </c>
      <c r="AJ2322" s="758">
        <f t="shared" si="313"/>
        <v>4148</v>
      </c>
    </row>
    <row r="2323" spans="1:36" x14ac:dyDescent="0.2">
      <c r="A2323" s="1421" t="s">
        <v>146</v>
      </c>
      <c r="B2323" s="1293" t="s">
        <v>272</v>
      </c>
      <c r="C2323" s="1284" t="s">
        <v>1687</v>
      </c>
      <c r="D2323" s="1283"/>
      <c r="E2323" s="1424">
        <v>218645</v>
      </c>
      <c r="F2323" s="1259">
        <v>6</v>
      </c>
      <c r="G2323" s="859"/>
      <c r="H2323" s="860"/>
      <c r="I2323" s="861">
        <v>367680</v>
      </c>
      <c r="J2323" s="862">
        <v>357395</v>
      </c>
      <c r="K2323" s="859"/>
      <c r="L2323" s="863"/>
      <c r="M2323" s="859"/>
      <c r="N2323" s="859"/>
      <c r="O2323" s="752">
        <f t="shared" si="306"/>
        <v>0</v>
      </c>
      <c r="P2323" s="862"/>
      <c r="Q2323" s="860"/>
      <c r="R2323" s="753">
        <f t="shared" si="309"/>
        <v>0</v>
      </c>
      <c r="S2323" s="752">
        <f t="shared" si="310"/>
        <v>367680</v>
      </c>
      <c r="T2323" s="754">
        <f t="shared" si="311"/>
        <v>357395</v>
      </c>
      <c r="U2323" s="859"/>
      <c r="V2323" s="863"/>
      <c r="W2323" s="859"/>
      <c r="X2323" s="859"/>
      <c r="Y2323" s="755">
        <f t="shared" si="307"/>
        <v>0</v>
      </c>
      <c r="Z2323" s="864"/>
      <c r="AA2323" s="863"/>
      <c r="AB2323" s="756">
        <f t="shared" si="308"/>
        <v>0</v>
      </c>
      <c r="AC2323" s="859"/>
      <c r="AD2323" s="863"/>
      <c r="AE2323" s="859"/>
      <c r="AF2323" s="859"/>
      <c r="AG2323" s="864"/>
      <c r="AH2323" s="865"/>
      <c r="AI2323" s="757">
        <f t="shared" si="312"/>
        <v>367680</v>
      </c>
      <c r="AJ2323" s="758">
        <f t="shared" si="313"/>
        <v>357395</v>
      </c>
    </row>
    <row r="2324" spans="1:36" x14ac:dyDescent="0.2">
      <c r="A2324" s="1421" t="s">
        <v>146</v>
      </c>
      <c r="B2324" s="1293" t="s">
        <v>264</v>
      </c>
      <c r="C2324" s="1271" t="s">
        <v>1716</v>
      </c>
      <c r="D2324" s="1272"/>
      <c r="E2324" s="1265">
        <v>218654</v>
      </c>
      <c r="F2324" s="1259">
        <v>6</v>
      </c>
      <c r="G2324" s="859">
        <v>1145720</v>
      </c>
      <c r="H2324" s="860">
        <v>1145720</v>
      </c>
      <c r="I2324" s="861"/>
      <c r="J2324" s="862"/>
      <c r="K2324" s="859"/>
      <c r="L2324" s="863"/>
      <c r="M2324" s="859">
        <v>15790298</v>
      </c>
      <c r="N2324" s="859">
        <v>232278</v>
      </c>
      <c r="O2324" s="752">
        <f t="shared" si="306"/>
        <v>16022576</v>
      </c>
      <c r="P2324" s="862">
        <v>15790298</v>
      </c>
      <c r="Q2324" s="860">
        <v>232278</v>
      </c>
      <c r="R2324" s="753">
        <f t="shared" si="309"/>
        <v>16022576</v>
      </c>
      <c r="S2324" s="752">
        <f t="shared" si="310"/>
        <v>16936018</v>
      </c>
      <c r="T2324" s="754">
        <f t="shared" si="311"/>
        <v>16936018</v>
      </c>
      <c r="U2324" s="859"/>
      <c r="V2324" s="863"/>
      <c r="W2324" s="859"/>
      <c r="X2324" s="859"/>
      <c r="Y2324" s="755">
        <f t="shared" si="307"/>
        <v>0</v>
      </c>
      <c r="Z2324" s="864"/>
      <c r="AA2324" s="863"/>
      <c r="AB2324" s="756">
        <f t="shared" si="308"/>
        <v>0</v>
      </c>
      <c r="AC2324" s="859"/>
      <c r="AD2324" s="863"/>
      <c r="AE2324" s="859"/>
      <c r="AF2324" s="859"/>
      <c r="AG2324" s="864"/>
      <c r="AH2324" s="865"/>
      <c r="AI2324" s="757">
        <f t="shared" si="312"/>
        <v>16936018</v>
      </c>
      <c r="AJ2324" s="758">
        <f t="shared" si="313"/>
        <v>16936018</v>
      </c>
    </row>
    <row r="2325" spans="1:36" x14ac:dyDescent="0.2">
      <c r="A2325" s="1421" t="s">
        <v>146</v>
      </c>
      <c r="B2325" s="1293" t="s">
        <v>264</v>
      </c>
      <c r="C2325" s="1284" t="s">
        <v>1663</v>
      </c>
      <c r="D2325" s="1283"/>
      <c r="E2325" s="1424">
        <v>218654</v>
      </c>
      <c r="F2325" s="1259">
        <v>6</v>
      </c>
      <c r="G2325" s="859">
        <v>280447</v>
      </c>
      <c r="H2325" s="860">
        <v>302775</v>
      </c>
      <c r="I2325" s="861"/>
      <c r="J2325" s="862"/>
      <c r="K2325" s="859"/>
      <c r="L2325" s="863"/>
      <c r="M2325" s="859"/>
      <c r="N2325" s="859"/>
      <c r="O2325" s="752">
        <f t="shared" si="306"/>
        <v>0</v>
      </c>
      <c r="P2325" s="862"/>
      <c r="Q2325" s="860"/>
      <c r="R2325" s="753">
        <f t="shared" si="309"/>
        <v>0</v>
      </c>
      <c r="S2325" s="752">
        <f t="shared" si="310"/>
        <v>280447</v>
      </c>
      <c r="T2325" s="754">
        <f t="shared" si="311"/>
        <v>302775</v>
      </c>
      <c r="U2325" s="859"/>
      <c r="V2325" s="863"/>
      <c r="W2325" s="859"/>
      <c r="X2325" s="859"/>
      <c r="Y2325" s="755">
        <f t="shared" si="307"/>
        <v>0</v>
      </c>
      <c r="Z2325" s="864"/>
      <c r="AA2325" s="863"/>
      <c r="AB2325" s="756">
        <f t="shared" si="308"/>
        <v>0</v>
      </c>
      <c r="AC2325" s="859"/>
      <c r="AD2325" s="863"/>
      <c r="AE2325" s="859"/>
      <c r="AF2325" s="859"/>
      <c r="AG2325" s="864"/>
      <c r="AH2325" s="865"/>
      <c r="AI2325" s="757">
        <f t="shared" si="312"/>
        <v>280447</v>
      </c>
      <c r="AJ2325" s="758">
        <f t="shared" si="313"/>
        <v>302775</v>
      </c>
    </row>
    <row r="2326" spans="1:36" x14ac:dyDescent="0.2">
      <c r="A2326" s="1421" t="s">
        <v>146</v>
      </c>
      <c r="B2326" s="1293" t="s">
        <v>266</v>
      </c>
      <c r="C2326" s="1425" t="s">
        <v>319</v>
      </c>
      <c r="D2326" s="1426"/>
      <c r="E2326" s="1424">
        <v>218654</v>
      </c>
      <c r="F2326" s="1259">
        <v>6</v>
      </c>
      <c r="G2326" s="859"/>
      <c r="H2326" s="860"/>
      <c r="I2326" s="861"/>
      <c r="J2326" s="862"/>
      <c r="K2326" s="859"/>
      <c r="L2326" s="863"/>
      <c r="M2326" s="859"/>
      <c r="N2326" s="859"/>
      <c r="O2326" s="752">
        <f t="shared" si="306"/>
        <v>0</v>
      </c>
      <c r="P2326" s="862"/>
      <c r="Q2326" s="860"/>
      <c r="R2326" s="753">
        <f t="shared" si="309"/>
        <v>0</v>
      </c>
      <c r="S2326" s="752">
        <f t="shared" si="310"/>
        <v>0</v>
      </c>
      <c r="T2326" s="754">
        <f t="shared" si="311"/>
        <v>0</v>
      </c>
      <c r="U2326" s="859"/>
      <c r="V2326" s="863"/>
      <c r="W2326" s="859"/>
      <c r="X2326" s="859"/>
      <c r="Y2326" s="755">
        <f t="shared" si="307"/>
        <v>0</v>
      </c>
      <c r="Z2326" s="864"/>
      <c r="AA2326" s="863"/>
      <c r="AB2326" s="756">
        <f t="shared" si="308"/>
        <v>0</v>
      </c>
      <c r="AC2326" s="859"/>
      <c r="AD2326" s="863"/>
      <c r="AE2326" s="859"/>
      <c r="AF2326" s="859"/>
      <c r="AG2326" s="864"/>
      <c r="AH2326" s="865"/>
      <c r="AI2326" s="757">
        <f t="shared" si="312"/>
        <v>0</v>
      </c>
      <c r="AJ2326" s="758">
        <f t="shared" si="313"/>
        <v>0</v>
      </c>
    </row>
    <row r="2327" spans="1:36" x14ac:dyDescent="0.2">
      <c r="A2327" s="1421" t="s">
        <v>146</v>
      </c>
      <c r="B2327" s="1293" t="s">
        <v>272</v>
      </c>
      <c r="C2327" s="1282" t="s">
        <v>970</v>
      </c>
      <c r="D2327" s="1283"/>
      <c r="E2327" s="1424">
        <v>218654</v>
      </c>
      <c r="F2327" s="1259">
        <v>6</v>
      </c>
      <c r="G2327" s="859"/>
      <c r="H2327" s="860"/>
      <c r="I2327" s="861"/>
      <c r="J2327" s="862"/>
      <c r="K2327" s="859"/>
      <c r="L2327" s="863"/>
      <c r="M2327" s="859"/>
      <c r="N2327" s="859"/>
      <c r="O2327" s="752">
        <f t="shared" si="306"/>
        <v>0</v>
      </c>
      <c r="P2327" s="862"/>
      <c r="Q2327" s="860"/>
      <c r="R2327" s="753">
        <f t="shared" si="309"/>
        <v>0</v>
      </c>
      <c r="S2327" s="752">
        <f t="shared" si="310"/>
        <v>0</v>
      </c>
      <c r="T2327" s="754">
        <f t="shared" si="311"/>
        <v>0</v>
      </c>
      <c r="U2327" s="859"/>
      <c r="V2327" s="863"/>
      <c r="W2327" s="859"/>
      <c r="X2327" s="859"/>
      <c r="Y2327" s="755">
        <f t="shared" si="307"/>
        <v>0</v>
      </c>
      <c r="Z2327" s="864"/>
      <c r="AA2327" s="863"/>
      <c r="AB2327" s="756">
        <f t="shared" si="308"/>
        <v>0</v>
      </c>
      <c r="AC2327" s="859"/>
      <c r="AD2327" s="863"/>
      <c r="AE2327" s="859"/>
      <c r="AF2327" s="859"/>
      <c r="AG2327" s="864"/>
      <c r="AH2327" s="865"/>
      <c r="AI2327" s="757">
        <f t="shared" si="312"/>
        <v>0</v>
      </c>
      <c r="AJ2327" s="758">
        <f t="shared" si="313"/>
        <v>0</v>
      </c>
    </row>
    <row r="2328" spans="1:36" x14ac:dyDescent="0.2">
      <c r="A2328" s="1421" t="s">
        <v>146</v>
      </c>
      <c r="B2328" s="1293" t="s">
        <v>272</v>
      </c>
      <c r="C2328" s="1429" t="s">
        <v>1669</v>
      </c>
      <c r="D2328" s="1430"/>
      <c r="E2328" s="1424">
        <v>218654</v>
      </c>
      <c r="F2328" s="1259">
        <v>6</v>
      </c>
      <c r="G2328" s="859"/>
      <c r="H2328" s="860"/>
      <c r="I2328" s="861">
        <v>393353</v>
      </c>
      <c r="J2328" s="862"/>
      <c r="K2328" s="859"/>
      <c r="L2328" s="863"/>
      <c r="M2328" s="859"/>
      <c r="N2328" s="859"/>
      <c r="O2328" s="752">
        <f t="shared" si="306"/>
        <v>0</v>
      </c>
      <c r="P2328" s="862"/>
      <c r="Q2328" s="860"/>
      <c r="R2328" s="753">
        <f t="shared" si="309"/>
        <v>0</v>
      </c>
      <c r="S2328" s="752">
        <f t="shared" si="310"/>
        <v>393353</v>
      </c>
      <c r="T2328" s="754">
        <f t="shared" si="311"/>
        <v>0</v>
      </c>
      <c r="U2328" s="859"/>
      <c r="V2328" s="863"/>
      <c r="W2328" s="859"/>
      <c r="X2328" s="859"/>
      <c r="Y2328" s="755">
        <f t="shared" si="307"/>
        <v>0</v>
      </c>
      <c r="Z2328" s="864"/>
      <c r="AA2328" s="863"/>
      <c r="AB2328" s="756">
        <f t="shared" si="308"/>
        <v>0</v>
      </c>
      <c r="AC2328" s="859"/>
      <c r="AD2328" s="863"/>
      <c r="AE2328" s="859"/>
      <c r="AF2328" s="859"/>
      <c r="AG2328" s="864"/>
      <c r="AH2328" s="865"/>
      <c r="AI2328" s="757">
        <f t="shared" si="312"/>
        <v>393353</v>
      </c>
      <c r="AJ2328" s="758">
        <f t="shared" si="313"/>
        <v>0</v>
      </c>
    </row>
    <row r="2329" spans="1:36" x14ac:dyDescent="0.2">
      <c r="A2329" s="1421" t="s">
        <v>146</v>
      </c>
      <c r="B2329" s="1293" t="s">
        <v>272</v>
      </c>
      <c r="C2329" s="1429" t="s">
        <v>1689</v>
      </c>
      <c r="D2329" s="1430"/>
      <c r="E2329" s="1424">
        <v>218654</v>
      </c>
      <c r="F2329" s="1259">
        <v>6</v>
      </c>
      <c r="G2329" s="859"/>
      <c r="H2329" s="860"/>
      <c r="I2329" s="861"/>
      <c r="J2329" s="862">
        <v>1200000</v>
      </c>
      <c r="K2329" s="859"/>
      <c r="L2329" s="863"/>
      <c r="M2329" s="859"/>
      <c r="N2329" s="859"/>
      <c r="O2329" s="752">
        <f t="shared" si="306"/>
        <v>0</v>
      </c>
      <c r="P2329" s="862"/>
      <c r="Q2329" s="860"/>
      <c r="R2329" s="753">
        <f t="shared" si="309"/>
        <v>0</v>
      </c>
      <c r="S2329" s="752">
        <f t="shared" si="310"/>
        <v>0</v>
      </c>
      <c r="T2329" s="754">
        <f t="shared" si="311"/>
        <v>1200000</v>
      </c>
      <c r="U2329" s="859"/>
      <c r="V2329" s="863"/>
      <c r="W2329" s="859"/>
      <c r="X2329" s="859"/>
      <c r="Y2329" s="755">
        <f t="shared" si="307"/>
        <v>0</v>
      </c>
      <c r="Z2329" s="864"/>
      <c r="AA2329" s="863"/>
      <c r="AB2329" s="756">
        <f t="shared" si="308"/>
        <v>0</v>
      </c>
      <c r="AC2329" s="859"/>
      <c r="AD2329" s="863"/>
      <c r="AE2329" s="859"/>
      <c r="AF2329" s="859"/>
      <c r="AG2329" s="864"/>
      <c r="AH2329" s="865"/>
      <c r="AI2329" s="757">
        <f t="shared" si="312"/>
        <v>0</v>
      </c>
      <c r="AJ2329" s="758">
        <f t="shared" si="313"/>
        <v>1200000</v>
      </c>
    </row>
    <row r="2330" spans="1:36" x14ac:dyDescent="0.2">
      <c r="A2330" s="1421" t="s">
        <v>146</v>
      </c>
      <c r="B2330" s="1293" t="s">
        <v>272</v>
      </c>
      <c r="C2330" s="1429" t="s">
        <v>1717</v>
      </c>
      <c r="D2330" s="1430"/>
      <c r="E2330" s="1424">
        <v>218654</v>
      </c>
      <c r="F2330" s="1259">
        <v>6</v>
      </c>
      <c r="G2330" s="859"/>
      <c r="H2330" s="860"/>
      <c r="I2330" s="861"/>
      <c r="J2330" s="862">
        <v>459500</v>
      </c>
      <c r="K2330" s="859"/>
      <c r="L2330" s="863"/>
      <c r="M2330" s="859"/>
      <c r="N2330" s="859"/>
      <c r="O2330" s="752">
        <f t="shared" si="306"/>
        <v>0</v>
      </c>
      <c r="P2330" s="862"/>
      <c r="Q2330" s="860"/>
      <c r="R2330" s="753">
        <f t="shared" si="309"/>
        <v>0</v>
      </c>
      <c r="S2330" s="752">
        <f t="shared" si="310"/>
        <v>0</v>
      </c>
      <c r="T2330" s="754">
        <f t="shared" si="311"/>
        <v>459500</v>
      </c>
      <c r="U2330" s="859"/>
      <c r="V2330" s="863"/>
      <c r="W2330" s="859"/>
      <c r="X2330" s="859"/>
      <c r="Y2330" s="755">
        <f t="shared" si="307"/>
        <v>0</v>
      </c>
      <c r="Z2330" s="864"/>
      <c r="AA2330" s="863"/>
      <c r="AB2330" s="756">
        <f t="shared" si="308"/>
        <v>0</v>
      </c>
      <c r="AC2330" s="859"/>
      <c r="AD2330" s="863"/>
      <c r="AE2330" s="859"/>
      <c r="AF2330" s="859"/>
      <c r="AG2330" s="864"/>
      <c r="AH2330" s="865"/>
      <c r="AI2330" s="757">
        <f t="shared" si="312"/>
        <v>0</v>
      </c>
      <c r="AJ2330" s="758">
        <f t="shared" si="313"/>
        <v>459500</v>
      </c>
    </row>
    <row r="2331" spans="1:36" x14ac:dyDescent="0.2">
      <c r="A2331" s="1421" t="s">
        <v>146</v>
      </c>
      <c r="B2331" s="1293" t="s">
        <v>272</v>
      </c>
      <c r="C2331" s="1429" t="s">
        <v>1670</v>
      </c>
      <c r="D2331" s="1430"/>
      <c r="E2331" s="1424">
        <v>218654</v>
      </c>
      <c r="F2331" s="1259">
        <v>6</v>
      </c>
      <c r="G2331" s="859"/>
      <c r="H2331" s="860"/>
      <c r="I2331" s="861"/>
      <c r="J2331" s="862">
        <v>61899</v>
      </c>
      <c r="K2331" s="859"/>
      <c r="L2331" s="863"/>
      <c r="M2331" s="859"/>
      <c r="N2331" s="859"/>
      <c r="O2331" s="752">
        <f t="shared" si="306"/>
        <v>0</v>
      </c>
      <c r="P2331" s="862"/>
      <c r="Q2331" s="860"/>
      <c r="R2331" s="753">
        <f t="shared" si="309"/>
        <v>0</v>
      </c>
      <c r="S2331" s="752">
        <f t="shared" si="310"/>
        <v>0</v>
      </c>
      <c r="T2331" s="754">
        <f t="shared" si="311"/>
        <v>61899</v>
      </c>
      <c r="U2331" s="859"/>
      <c r="V2331" s="863"/>
      <c r="W2331" s="859"/>
      <c r="X2331" s="859"/>
      <c r="Y2331" s="755">
        <f t="shared" si="307"/>
        <v>0</v>
      </c>
      <c r="Z2331" s="864"/>
      <c r="AA2331" s="863"/>
      <c r="AB2331" s="756">
        <f t="shared" si="308"/>
        <v>0</v>
      </c>
      <c r="AC2331" s="859"/>
      <c r="AD2331" s="863"/>
      <c r="AE2331" s="859"/>
      <c r="AF2331" s="859"/>
      <c r="AG2331" s="864"/>
      <c r="AH2331" s="865"/>
      <c r="AI2331" s="757">
        <f t="shared" si="312"/>
        <v>0</v>
      </c>
      <c r="AJ2331" s="758">
        <f t="shared" si="313"/>
        <v>61899</v>
      </c>
    </row>
    <row r="2332" spans="1:36" x14ac:dyDescent="0.2">
      <c r="A2332" s="1421" t="s">
        <v>146</v>
      </c>
      <c r="B2332" s="1293" t="s">
        <v>272</v>
      </c>
      <c r="C2332" s="1284" t="s">
        <v>1671</v>
      </c>
      <c r="D2332" s="1283"/>
      <c r="E2332" s="1424">
        <v>218654</v>
      </c>
      <c r="F2332" s="1259">
        <v>6</v>
      </c>
      <c r="G2332" s="859"/>
      <c r="H2332" s="860"/>
      <c r="I2332" s="861">
        <v>1157</v>
      </c>
      <c r="J2332" s="862">
        <v>1054</v>
      </c>
      <c r="K2332" s="859"/>
      <c r="L2332" s="863"/>
      <c r="M2332" s="859"/>
      <c r="N2332" s="859"/>
      <c r="O2332" s="752">
        <f t="shared" si="306"/>
        <v>0</v>
      </c>
      <c r="P2332" s="862"/>
      <c r="Q2332" s="860"/>
      <c r="R2332" s="753">
        <f t="shared" si="309"/>
        <v>0</v>
      </c>
      <c r="S2332" s="752">
        <f t="shared" si="310"/>
        <v>1157</v>
      </c>
      <c r="T2332" s="754">
        <f t="shared" si="311"/>
        <v>1054</v>
      </c>
      <c r="U2332" s="859"/>
      <c r="V2332" s="863"/>
      <c r="W2332" s="859"/>
      <c r="X2332" s="859"/>
      <c r="Y2332" s="755">
        <f t="shared" si="307"/>
        <v>0</v>
      </c>
      <c r="Z2332" s="864"/>
      <c r="AA2332" s="863"/>
      <c r="AB2332" s="756">
        <f t="shared" si="308"/>
        <v>0</v>
      </c>
      <c r="AC2332" s="859"/>
      <c r="AD2332" s="863"/>
      <c r="AE2332" s="859"/>
      <c r="AF2332" s="859"/>
      <c r="AG2332" s="864"/>
      <c r="AH2332" s="865"/>
      <c r="AI2332" s="757">
        <f t="shared" si="312"/>
        <v>1157</v>
      </c>
      <c r="AJ2332" s="758">
        <f t="shared" si="313"/>
        <v>1054</v>
      </c>
    </row>
    <row r="2333" spans="1:36" x14ac:dyDescent="0.2">
      <c r="A2333" s="1421" t="s">
        <v>146</v>
      </c>
      <c r="B2333" s="1293" t="s">
        <v>272</v>
      </c>
      <c r="C2333" s="1284" t="s">
        <v>1687</v>
      </c>
      <c r="D2333" s="1283"/>
      <c r="E2333" s="1424">
        <v>218654</v>
      </c>
      <c r="F2333" s="1259">
        <v>6</v>
      </c>
      <c r="G2333" s="859"/>
      <c r="H2333" s="860"/>
      <c r="I2333" s="861">
        <v>283218</v>
      </c>
      <c r="J2333" s="862">
        <v>275291</v>
      </c>
      <c r="K2333" s="859"/>
      <c r="L2333" s="863"/>
      <c r="M2333" s="859"/>
      <c r="N2333" s="859"/>
      <c r="O2333" s="752">
        <f t="shared" si="306"/>
        <v>0</v>
      </c>
      <c r="P2333" s="862"/>
      <c r="Q2333" s="860"/>
      <c r="R2333" s="753">
        <f t="shared" si="309"/>
        <v>0</v>
      </c>
      <c r="S2333" s="752">
        <f t="shared" si="310"/>
        <v>283218</v>
      </c>
      <c r="T2333" s="754">
        <f t="shared" si="311"/>
        <v>275291</v>
      </c>
      <c r="U2333" s="859"/>
      <c r="V2333" s="863"/>
      <c r="W2333" s="859"/>
      <c r="X2333" s="859"/>
      <c r="Y2333" s="755">
        <f t="shared" si="307"/>
        <v>0</v>
      </c>
      <c r="Z2333" s="864"/>
      <c r="AA2333" s="863"/>
      <c r="AB2333" s="756">
        <f t="shared" si="308"/>
        <v>0</v>
      </c>
      <c r="AC2333" s="859"/>
      <c r="AD2333" s="863"/>
      <c r="AE2333" s="859"/>
      <c r="AF2333" s="859"/>
      <c r="AG2333" s="864"/>
      <c r="AH2333" s="865"/>
      <c r="AI2333" s="757">
        <f t="shared" si="312"/>
        <v>283218</v>
      </c>
      <c r="AJ2333" s="758">
        <f t="shared" si="313"/>
        <v>275291</v>
      </c>
    </row>
    <row r="2334" spans="1:36" x14ac:dyDescent="0.2">
      <c r="A2334" s="1421" t="s">
        <v>146</v>
      </c>
      <c r="B2334" s="1293" t="s">
        <v>264</v>
      </c>
      <c r="C2334" s="1422" t="s">
        <v>1718</v>
      </c>
      <c r="D2334" s="1423"/>
      <c r="E2334" s="1424">
        <v>218742</v>
      </c>
      <c r="F2334" s="1259">
        <v>6</v>
      </c>
      <c r="G2334" s="859">
        <v>6572977</v>
      </c>
      <c r="H2334" s="860">
        <v>6583977</v>
      </c>
      <c r="I2334" s="861"/>
      <c r="J2334" s="862"/>
      <c r="K2334" s="859"/>
      <c r="L2334" s="863"/>
      <c r="M2334" s="859">
        <v>49757749</v>
      </c>
      <c r="N2334" s="859">
        <v>2629987</v>
      </c>
      <c r="O2334" s="752">
        <f t="shared" si="306"/>
        <v>52387736</v>
      </c>
      <c r="P2334" s="862">
        <v>49757749</v>
      </c>
      <c r="Q2334" s="860">
        <v>2629987</v>
      </c>
      <c r="R2334" s="753">
        <f t="shared" si="309"/>
        <v>52387736</v>
      </c>
      <c r="S2334" s="752">
        <f t="shared" si="310"/>
        <v>56330726</v>
      </c>
      <c r="T2334" s="754">
        <f t="shared" si="311"/>
        <v>56341726</v>
      </c>
      <c r="U2334" s="859"/>
      <c r="V2334" s="863"/>
      <c r="W2334" s="859"/>
      <c r="X2334" s="859"/>
      <c r="Y2334" s="755">
        <f t="shared" si="307"/>
        <v>0</v>
      </c>
      <c r="Z2334" s="864"/>
      <c r="AA2334" s="863"/>
      <c r="AB2334" s="756">
        <f t="shared" si="308"/>
        <v>0</v>
      </c>
      <c r="AC2334" s="859"/>
      <c r="AD2334" s="863"/>
      <c r="AE2334" s="859"/>
      <c r="AF2334" s="859"/>
      <c r="AG2334" s="864"/>
      <c r="AH2334" s="865"/>
      <c r="AI2334" s="757">
        <f t="shared" si="312"/>
        <v>56330726</v>
      </c>
      <c r="AJ2334" s="758">
        <f t="shared" si="313"/>
        <v>56341726</v>
      </c>
    </row>
    <row r="2335" spans="1:36" x14ac:dyDescent="0.2">
      <c r="A2335" s="1421" t="s">
        <v>146</v>
      </c>
      <c r="B2335" s="1293" t="s">
        <v>264</v>
      </c>
      <c r="C2335" s="1284" t="s">
        <v>1663</v>
      </c>
      <c r="D2335" s="1283"/>
      <c r="E2335" s="1424">
        <v>218742</v>
      </c>
      <c r="F2335" s="1259">
        <v>6</v>
      </c>
      <c r="G2335" s="859">
        <v>1605188</v>
      </c>
      <c r="H2335" s="860">
        <v>1718636</v>
      </c>
      <c r="I2335" s="861"/>
      <c r="J2335" s="862"/>
      <c r="K2335" s="859"/>
      <c r="L2335" s="863"/>
      <c r="M2335" s="859"/>
      <c r="N2335" s="859"/>
      <c r="O2335" s="752">
        <f t="shared" si="306"/>
        <v>0</v>
      </c>
      <c r="P2335" s="862"/>
      <c r="Q2335" s="860"/>
      <c r="R2335" s="753">
        <f t="shared" si="309"/>
        <v>0</v>
      </c>
      <c r="S2335" s="752">
        <f t="shared" si="310"/>
        <v>1605188</v>
      </c>
      <c r="T2335" s="754">
        <f t="shared" si="311"/>
        <v>1718636</v>
      </c>
      <c r="U2335" s="859"/>
      <c r="V2335" s="863"/>
      <c r="W2335" s="859"/>
      <c r="X2335" s="859"/>
      <c r="Y2335" s="755">
        <f t="shared" si="307"/>
        <v>0</v>
      </c>
      <c r="Z2335" s="864"/>
      <c r="AA2335" s="863"/>
      <c r="AB2335" s="756">
        <f t="shared" si="308"/>
        <v>0</v>
      </c>
      <c r="AC2335" s="859"/>
      <c r="AD2335" s="863"/>
      <c r="AE2335" s="859"/>
      <c r="AF2335" s="859"/>
      <c r="AG2335" s="864"/>
      <c r="AH2335" s="865"/>
      <c r="AI2335" s="757">
        <f t="shared" si="312"/>
        <v>1605188</v>
      </c>
      <c r="AJ2335" s="758">
        <f t="shared" si="313"/>
        <v>1718636</v>
      </c>
    </row>
    <row r="2336" spans="1:36" x14ac:dyDescent="0.2">
      <c r="A2336" s="1421" t="s">
        <v>146</v>
      </c>
      <c r="B2336" s="1293" t="s">
        <v>272</v>
      </c>
      <c r="C2336" s="1282" t="s">
        <v>970</v>
      </c>
      <c r="D2336" s="1283"/>
      <c r="E2336" s="1424">
        <v>218742</v>
      </c>
      <c r="F2336" s="1259">
        <v>6</v>
      </c>
      <c r="G2336" s="859"/>
      <c r="H2336" s="860"/>
      <c r="I2336" s="861"/>
      <c r="J2336" s="862"/>
      <c r="K2336" s="859"/>
      <c r="L2336" s="863"/>
      <c r="M2336" s="859"/>
      <c r="N2336" s="859"/>
      <c r="O2336" s="752">
        <f t="shared" si="306"/>
        <v>0</v>
      </c>
      <c r="P2336" s="862"/>
      <c r="Q2336" s="860"/>
      <c r="R2336" s="753">
        <f t="shared" si="309"/>
        <v>0</v>
      </c>
      <c r="S2336" s="752">
        <f t="shared" si="310"/>
        <v>0</v>
      </c>
      <c r="T2336" s="754">
        <f t="shared" si="311"/>
        <v>0</v>
      </c>
      <c r="U2336" s="859"/>
      <c r="V2336" s="863"/>
      <c r="W2336" s="859"/>
      <c r="X2336" s="859"/>
      <c r="Y2336" s="755">
        <f t="shared" si="307"/>
        <v>0</v>
      </c>
      <c r="Z2336" s="864"/>
      <c r="AA2336" s="863"/>
      <c r="AB2336" s="756">
        <f t="shared" si="308"/>
        <v>0</v>
      </c>
      <c r="AC2336" s="859"/>
      <c r="AD2336" s="863"/>
      <c r="AE2336" s="859"/>
      <c r="AF2336" s="859"/>
      <c r="AG2336" s="864"/>
      <c r="AH2336" s="865"/>
      <c r="AI2336" s="757">
        <f t="shared" si="312"/>
        <v>0</v>
      </c>
      <c r="AJ2336" s="758">
        <f t="shared" si="313"/>
        <v>0</v>
      </c>
    </row>
    <row r="2337" spans="1:36" x14ac:dyDescent="0.2">
      <c r="A2337" s="1421" t="s">
        <v>146</v>
      </c>
      <c r="B2337" s="1293" t="s">
        <v>272</v>
      </c>
      <c r="C2337" s="1429" t="s">
        <v>1669</v>
      </c>
      <c r="D2337" s="1430"/>
      <c r="E2337" s="1424">
        <v>218742</v>
      </c>
      <c r="F2337" s="1259">
        <v>6</v>
      </c>
      <c r="G2337" s="859"/>
      <c r="H2337" s="860"/>
      <c r="I2337" s="861">
        <v>1108261</v>
      </c>
      <c r="J2337" s="862"/>
      <c r="K2337" s="859"/>
      <c r="L2337" s="863"/>
      <c r="M2337" s="859"/>
      <c r="N2337" s="859"/>
      <c r="O2337" s="752">
        <f t="shared" si="306"/>
        <v>0</v>
      </c>
      <c r="P2337" s="862"/>
      <c r="Q2337" s="860"/>
      <c r="R2337" s="753">
        <f t="shared" si="309"/>
        <v>0</v>
      </c>
      <c r="S2337" s="752">
        <f t="shared" si="310"/>
        <v>1108261</v>
      </c>
      <c r="T2337" s="754">
        <f t="shared" si="311"/>
        <v>0</v>
      </c>
      <c r="U2337" s="859"/>
      <c r="V2337" s="863"/>
      <c r="W2337" s="859"/>
      <c r="X2337" s="859"/>
      <c r="Y2337" s="755">
        <f t="shared" si="307"/>
        <v>0</v>
      </c>
      <c r="Z2337" s="864"/>
      <c r="AA2337" s="863"/>
      <c r="AB2337" s="756">
        <f t="shared" si="308"/>
        <v>0</v>
      </c>
      <c r="AC2337" s="859"/>
      <c r="AD2337" s="863"/>
      <c r="AE2337" s="859"/>
      <c r="AF2337" s="859"/>
      <c r="AG2337" s="864"/>
      <c r="AH2337" s="865"/>
      <c r="AI2337" s="757">
        <f t="shared" si="312"/>
        <v>1108261</v>
      </c>
      <c r="AJ2337" s="758">
        <f t="shared" si="313"/>
        <v>0</v>
      </c>
    </row>
    <row r="2338" spans="1:36" x14ac:dyDescent="0.2">
      <c r="A2338" s="1421" t="s">
        <v>146</v>
      </c>
      <c r="B2338" s="1293" t="s">
        <v>272</v>
      </c>
      <c r="C2338" s="1429" t="s">
        <v>1713</v>
      </c>
      <c r="D2338" s="1430"/>
      <c r="E2338" s="1424">
        <v>218742</v>
      </c>
      <c r="F2338" s="1259">
        <v>6</v>
      </c>
      <c r="G2338" s="859"/>
      <c r="H2338" s="860"/>
      <c r="I2338" s="861"/>
      <c r="J2338" s="862">
        <v>848200</v>
      </c>
      <c r="K2338" s="859"/>
      <c r="L2338" s="863"/>
      <c r="M2338" s="859"/>
      <c r="N2338" s="859"/>
      <c r="O2338" s="752">
        <f t="shared" si="306"/>
        <v>0</v>
      </c>
      <c r="P2338" s="862"/>
      <c r="Q2338" s="860"/>
      <c r="R2338" s="753">
        <f t="shared" si="309"/>
        <v>0</v>
      </c>
      <c r="S2338" s="752">
        <f t="shared" si="310"/>
        <v>0</v>
      </c>
      <c r="T2338" s="754">
        <f t="shared" si="311"/>
        <v>848200</v>
      </c>
      <c r="U2338" s="859"/>
      <c r="V2338" s="863"/>
      <c r="W2338" s="859"/>
      <c r="X2338" s="859"/>
      <c r="Y2338" s="755">
        <f t="shared" si="307"/>
        <v>0</v>
      </c>
      <c r="Z2338" s="864"/>
      <c r="AA2338" s="863"/>
      <c r="AB2338" s="756">
        <f t="shared" si="308"/>
        <v>0</v>
      </c>
      <c r="AC2338" s="859"/>
      <c r="AD2338" s="863"/>
      <c r="AE2338" s="859"/>
      <c r="AF2338" s="859"/>
      <c r="AG2338" s="864"/>
      <c r="AH2338" s="865"/>
      <c r="AI2338" s="757">
        <f t="shared" si="312"/>
        <v>0</v>
      </c>
      <c r="AJ2338" s="758">
        <f t="shared" si="313"/>
        <v>848200</v>
      </c>
    </row>
    <row r="2339" spans="1:36" x14ac:dyDescent="0.2">
      <c r="A2339" s="1421" t="s">
        <v>146</v>
      </c>
      <c r="B2339" s="1293" t="s">
        <v>272</v>
      </c>
      <c r="C2339" s="1429" t="s">
        <v>1717</v>
      </c>
      <c r="D2339" s="1430"/>
      <c r="E2339" s="1424">
        <v>218742</v>
      </c>
      <c r="F2339" s="1259">
        <v>6</v>
      </c>
      <c r="G2339" s="859"/>
      <c r="H2339" s="860"/>
      <c r="I2339" s="861"/>
      <c r="J2339" s="862">
        <v>723500</v>
      </c>
      <c r="K2339" s="859"/>
      <c r="L2339" s="863"/>
      <c r="M2339" s="859"/>
      <c r="N2339" s="859"/>
      <c r="O2339" s="752">
        <f t="shared" si="306"/>
        <v>0</v>
      </c>
      <c r="P2339" s="862"/>
      <c r="Q2339" s="860"/>
      <c r="R2339" s="753">
        <f t="shared" si="309"/>
        <v>0</v>
      </c>
      <c r="S2339" s="752">
        <f t="shared" si="310"/>
        <v>0</v>
      </c>
      <c r="T2339" s="754">
        <f t="shared" si="311"/>
        <v>723500</v>
      </c>
      <c r="U2339" s="859"/>
      <c r="V2339" s="863"/>
      <c r="W2339" s="859"/>
      <c r="X2339" s="859"/>
      <c r="Y2339" s="755">
        <f t="shared" si="307"/>
        <v>0</v>
      </c>
      <c r="Z2339" s="864"/>
      <c r="AA2339" s="863"/>
      <c r="AB2339" s="756">
        <f t="shared" si="308"/>
        <v>0</v>
      </c>
      <c r="AC2339" s="859"/>
      <c r="AD2339" s="863"/>
      <c r="AE2339" s="859"/>
      <c r="AF2339" s="859"/>
      <c r="AG2339" s="864"/>
      <c r="AH2339" s="865"/>
      <c r="AI2339" s="757">
        <f t="shared" si="312"/>
        <v>0</v>
      </c>
      <c r="AJ2339" s="758">
        <f t="shared" si="313"/>
        <v>723500</v>
      </c>
    </row>
    <row r="2340" spans="1:36" x14ac:dyDescent="0.2">
      <c r="A2340" s="1421" t="s">
        <v>146</v>
      </c>
      <c r="B2340" s="1293" t="s">
        <v>272</v>
      </c>
      <c r="C2340" s="1429" t="s">
        <v>1670</v>
      </c>
      <c r="D2340" s="1430"/>
      <c r="E2340" s="1424">
        <v>218742</v>
      </c>
      <c r="F2340" s="1259">
        <v>6</v>
      </c>
      <c r="G2340" s="859"/>
      <c r="H2340" s="860"/>
      <c r="I2340" s="861"/>
      <c r="J2340" s="862">
        <v>355543</v>
      </c>
      <c r="K2340" s="859"/>
      <c r="L2340" s="863"/>
      <c r="M2340" s="859"/>
      <c r="N2340" s="859"/>
      <c r="O2340" s="752">
        <f t="shared" si="306"/>
        <v>0</v>
      </c>
      <c r="P2340" s="862"/>
      <c r="Q2340" s="860"/>
      <c r="R2340" s="753">
        <f t="shared" si="309"/>
        <v>0</v>
      </c>
      <c r="S2340" s="752">
        <f t="shared" si="310"/>
        <v>0</v>
      </c>
      <c r="T2340" s="754">
        <f t="shared" si="311"/>
        <v>355543</v>
      </c>
      <c r="U2340" s="859"/>
      <c r="V2340" s="863"/>
      <c r="W2340" s="859"/>
      <c r="X2340" s="859"/>
      <c r="Y2340" s="755">
        <f t="shared" si="307"/>
        <v>0</v>
      </c>
      <c r="Z2340" s="864"/>
      <c r="AA2340" s="863"/>
      <c r="AB2340" s="756">
        <f t="shared" si="308"/>
        <v>0</v>
      </c>
      <c r="AC2340" s="859"/>
      <c r="AD2340" s="863"/>
      <c r="AE2340" s="859"/>
      <c r="AF2340" s="859"/>
      <c r="AG2340" s="864"/>
      <c r="AH2340" s="865"/>
      <c r="AI2340" s="757">
        <f t="shared" si="312"/>
        <v>0</v>
      </c>
      <c r="AJ2340" s="758">
        <f t="shared" si="313"/>
        <v>355543</v>
      </c>
    </row>
    <row r="2341" spans="1:36" x14ac:dyDescent="0.2">
      <c r="A2341" s="1421" t="s">
        <v>146</v>
      </c>
      <c r="B2341" s="1293" t="s">
        <v>272</v>
      </c>
      <c r="C2341" s="1284" t="s">
        <v>1671</v>
      </c>
      <c r="D2341" s="1283"/>
      <c r="E2341" s="1424">
        <v>218742</v>
      </c>
      <c r="F2341" s="1259">
        <v>6</v>
      </c>
      <c r="G2341" s="859"/>
      <c r="H2341" s="860"/>
      <c r="I2341" s="861">
        <v>1095</v>
      </c>
      <c r="J2341" s="862">
        <v>2719</v>
      </c>
      <c r="K2341" s="859"/>
      <c r="L2341" s="863"/>
      <c r="M2341" s="859"/>
      <c r="N2341" s="859"/>
      <c r="O2341" s="752">
        <f t="shared" si="306"/>
        <v>0</v>
      </c>
      <c r="P2341" s="862"/>
      <c r="Q2341" s="860"/>
      <c r="R2341" s="753">
        <f t="shared" si="309"/>
        <v>0</v>
      </c>
      <c r="S2341" s="752">
        <f t="shared" si="310"/>
        <v>1095</v>
      </c>
      <c r="T2341" s="754">
        <f t="shared" si="311"/>
        <v>2719</v>
      </c>
      <c r="U2341" s="859"/>
      <c r="V2341" s="863"/>
      <c r="W2341" s="859"/>
      <c r="X2341" s="859"/>
      <c r="Y2341" s="755">
        <f t="shared" si="307"/>
        <v>0</v>
      </c>
      <c r="Z2341" s="864"/>
      <c r="AA2341" s="863"/>
      <c r="AB2341" s="756">
        <f t="shared" si="308"/>
        <v>0</v>
      </c>
      <c r="AC2341" s="859"/>
      <c r="AD2341" s="863"/>
      <c r="AE2341" s="859"/>
      <c r="AF2341" s="859"/>
      <c r="AG2341" s="864"/>
      <c r="AH2341" s="865"/>
      <c r="AI2341" s="757">
        <f t="shared" si="312"/>
        <v>1095</v>
      </c>
      <c r="AJ2341" s="758">
        <f t="shared" si="313"/>
        <v>2719</v>
      </c>
    </row>
    <row r="2342" spans="1:36" x14ac:dyDescent="0.2">
      <c r="A2342" s="1421" t="s">
        <v>146</v>
      </c>
      <c r="B2342" s="1293" t="s">
        <v>272</v>
      </c>
      <c r="C2342" s="1284" t="s">
        <v>1687</v>
      </c>
      <c r="D2342" s="1283"/>
      <c r="E2342" s="1424">
        <v>218742</v>
      </c>
      <c r="F2342" s="1259">
        <v>6</v>
      </c>
      <c r="G2342" s="859"/>
      <c r="H2342" s="860"/>
      <c r="I2342" s="861">
        <v>513871</v>
      </c>
      <c r="J2342" s="862">
        <v>498796</v>
      </c>
      <c r="K2342" s="859"/>
      <c r="L2342" s="863"/>
      <c r="M2342" s="859"/>
      <c r="N2342" s="859"/>
      <c r="O2342" s="752">
        <f t="shared" si="306"/>
        <v>0</v>
      </c>
      <c r="P2342" s="862"/>
      <c r="Q2342" s="860"/>
      <c r="R2342" s="753">
        <f t="shared" si="309"/>
        <v>0</v>
      </c>
      <c r="S2342" s="752">
        <f t="shared" si="310"/>
        <v>513871</v>
      </c>
      <c r="T2342" s="754">
        <f t="shared" si="311"/>
        <v>498796</v>
      </c>
      <c r="U2342" s="859"/>
      <c r="V2342" s="863"/>
      <c r="W2342" s="859"/>
      <c r="X2342" s="859"/>
      <c r="Y2342" s="755">
        <f t="shared" si="307"/>
        <v>0</v>
      </c>
      <c r="Z2342" s="864"/>
      <c r="AA2342" s="863"/>
      <c r="AB2342" s="756">
        <f t="shared" si="308"/>
        <v>0</v>
      </c>
      <c r="AC2342" s="859"/>
      <c r="AD2342" s="863"/>
      <c r="AE2342" s="859"/>
      <c r="AF2342" s="859"/>
      <c r="AG2342" s="864"/>
      <c r="AH2342" s="865"/>
      <c r="AI2342" s="757">
        <f t="shared" si="312"/>
        <v>513871</v>
      </c>
      <c r="AJ2342" s="758">
        <f t="shared" si="313"/>
        <v>498796</v>
      </c>
    </row>
    <row r="2343" spans="1:36" x14ac:dyDescent="0.2">
      <c r="A2343" s="1421" t="s">
        <v>146</v>
      </c>
      <c r="B2343" s="1293" t="s">
        <v>264</v>
      </c>
      <c r="C2343" s="1277" t="s">
        <v>1733</v>
      </c>
      <c r="D2343" s="1278" t="s">
        <v>1125</v>
      </c>
      <c r="E2343" s="1424">
        <v>218025</v>
      </c>
      <c r="F2343" s="1445">
        <v>8</v>
      </c>
      <c r="G2343" s="859">
        <v>5840329</v>
      </c>
      <c r="H2343" s="860">
        <v>5933996</v>
      </c>
      <c r="I2343" s="861"/>
      <c r="J2343" s="862"/>
      <c r="K2343" s="859">
        <v>4885289</v>
      </c>
      <c r="L2343" s="863">
        <v>4885289</v>
      </c>
      <c r="M2343" s="859">
        <v>18637289</v>
      </c>
      <c r="N2343" s="859">
        <v>2954915</v>
      </c>
      <c r="O2343" s="752">
        <f t="shared" si="306"/>
        <v>21592204</v>
      </c>
      <c r="P2343" s="862">
        <v>18637289</v>
      </c>
      <c r="Q2343" s="860">
        <v>2954915</v>
      </c>
      <c r="R2343" s="753">
        <f t="shared" si="309"/>
        <v>21592204</v>
      </c>
      <c r="S2343" s="752">
        <f t="shared" si="310"/>
        <v>29362907</v>
      </c>
      <c r="T2343" s="754">
        <f t="shared" si="311"/>
        <v>29456574</v>
      </c>
      <c r="U2343" s="859"/>
      <c r="V2343" s="863"/>
      <c r="W2343" s="859"/>
      <c r="X2343" s="859"/>
      <c r="Y2343" s="755">
        <f t="shared" si="307"/>
        <v>0</v>
      </c>
      <c r="Z2343" s="864"/>
      <c r="AA2343" s="863"/>
      <c r="AB2343" s="756">
        <f t="shared" si="308"/>
        <v>0</v>
      </c>
      <c r="AC2343" s="859"/>
      <c r="AD2343" s="863"/>
      <c r="AE2343" s="859"/>
      <c r="AF2343" s="859"/>
      <c r="AG2343" s="864"/>
      <c r="AH2343" s="865"/>
      <c r="AI2343" s="757">
        <f t="shared" si="312"/>
        <v>29362907</v>
      </c>
      <c r="AJ2343" s="758">
        <f t="shared" si="313"/>
        <v>29456574</v>
      </c>
    </row>
    <row r="2344" spans="1:36" x14ac:dyDescent="0.2">
      <c r="A2344" s="1421" t="s">
        <v>146</v>
      </c>
      <c r="B2344" s="1293" t="s">
        <v>272</v>
      </c>
      <c r="C2344" s="1282" t="s">
        <v>970</v>
      </c>
      <c r="D2344" s="1283"/>
      <c r="E2344" s="1424">
        <v>218025</v>
      </c>
      <c r="F2344" s="1445">
        <v>8</v>
      </c>
      <c r="G2344" s="859"/>
      <c r="H2344" s="860"/>
      <c r="I2344" s="861"/>
      <c r="J2344" s="862"/>
      <c r="K2344" s="859"/>
      <c r="L2344" s="863"/>
      <c r="M2344" s="859"/>
      <c r="N2344" s="859"/>
      <c r="O2344" s="752">
        <f t="shared" si="306"/>
        <v>0</v>
      </c>
      <c r="P2344" s="862"/>
      <c r="Q2344" s="860"/>
      <c r="R2344" s="753">
        <f t="shared" si="309"/>
        <v>0</v>
      </c>
      <c r="S2344" s="752">
        <f t="shared" si="310"/>
        <v>0</v>
      </c>
      <c r="T2344" s="754">
        <f t="shared" si="311"/>
        <v>0</v>
      </c>
      <c r="U2344" s="859"/>
      <c r="V2344" s="863"/>
      <c r="W2344" s="859"/>
      <c r="X2344" s="859"/>
      <c r="Y2344" s="755">
        <f t="shared" si="307"/>
        <v>0</v>
      </c>
      <c r="Z2344" s="864"/>
      <c r="AA2344" s="863"/>
      <c r="AB2344" s="756">
        <f t="shared" si="308"/>
        <v>0</v>
      </c>
      <c r="AC2344" s="859"/>
      <c r="AD2344" s="863"/>
      <c r="AE2344" s="859"/>
      <c r="AF2344" s="859"/>
      <c r="AG2344" s="864"/>
      <c r="AH2344" s="865"/>
      <c r="AI2344" s="757">
        <f t="shared" si="312"/>
        <v>0</v>
      </c>
      <c r="AJ2344" s="758">
        <f t="shared" si="313"/>
        <v>0</v>
      </c>
    </row>
    <row r="2345" spans="1:36" x14ac:dyDescent="0.2">
      <c r="A2345" s="1421" t="s">
        <v>146</v>
      </c>
      <c r="B2345" s="1293" t="s">
        <v>272</v>
      </c>
      <c r="C2345" s="1429" t="s">
        <v>1671</v>
      </c>
      <c r="D2345" s="1430"/>
      <c r="E2345" s="1424">
        <v>218025</v>
      </c>
      <c r="F2345" s="1445">
        <v>8</v>
      </c>
      <c r="G2345" s="859"/>
      <c r="H2345" s="860"/>
      <c r="I2345" s="861">
        <v>203</v>
      </c>
      <c r="J2345" s="862">
        <v>168</v>
      </c>
      <c r="K2345" s="859"/>
      <c r="L2345" s="863"/>
      <c r="M2345" s="859"/>
      <c r="N2345" s="859"/>
      <c r="O2345" s="752">
        <f t="shared" si="306"/>
        <v>0</v>
      </c>
      <c r="P2345" s="862"/>
      <c r="Q2345" s="860"/>
      <c r="R2345" s="753">
        <f t="shared" si="309"/>
        <v>0</v>
      </c>
      <c r="S2345" s="752">
        <f t="shared" si="310"/>
        <v>203</v>
      </c>
      <c r="T2345" s="754">
        <f t="shared" si="311"/>
        <v>168</v>
      </c>
      <c r="U2345" s="859"/>
      <c r="V2345" s="863"/>
      <c r="W2345" s="859"/>
      <c r="X2345" s="859"/>
      <c r="Y2345" s="755">
        <f t="shared" si="307"/>
        <v>0</v>
      </c>
      <c r="Z2345" s="864"/>
      <c r="AA2345" s="863"/>
      <c r="AB2345" s="756">
        <f t="shared" si="308"/>
        <v>0</v>
      </c>
      <c r="AC2345" s="859"/>
      <c r="AD2345" s="863"/>
      <c r="AE2345" s="859"/>
      <c r="AF2345" s="859"/>
      <c r="AG2345" s="864"/>
      <c r="AH2345" s="865"/>
      <c r="AI2345" s="757">
        <f t="shared" si="312"/>
        <v>203</v>
      </c>
      <c r="AJ2345" s="758">
        <f t="shared" si="313"/>
        <v>168</v>
      </c>
    </row>
    <row r="2346" spans="1:36" x14ac:dyDescent="0.2">
      <c r="A2346" s="1421" t="s">
        <v>146</v>
      </c>
      <c r="B2346" s="1293" t="s">
        <v>272</v>
      </c>
      <c r="C2346" s="1429" t="s">
        <v>1689</v>
      </c>
      <c r="D2346" s="1430"/>
      <c r="E2346" s="1424">
        <v>218025</v>
      </c>
      <c r="F2346" s="1445">
        <v>8</v>
      </c>
      <c r="G2346" s="859"/>
      <c r="H2346" s="860"/>
      <c r="I2346" s="861"/>
      <c r="J2346" s="862">
        <v>75771</v>
      </c>
      <c r="K2346" s="859"/>
      <c r="L2346" s="863"/>
      <c r="M2346" s="859"/>
      <c r="N2346" s="859"/>
      <c r="O2346" s="752">
        <f t="shared" si="306"/>
        <v>0</v>
      </c>
      <c r="P2346" s="862"/>
      <c r="Q2346" s="860"/>
      <c r="R2346" s="753">
        <f t="shared" si="309"/>
        <v>0</v>
      </c>
      <c r="S2346" s="752">
        <f t="shared" si="310"/>
        <v>0</v>
      </c>
      <c r="T2346" s="754">
        <f t="shared" si="311"/>
        <v>75771</v>
      </c>
      <c r="U2346" s="859"/>
      <c r="V2346" s="863"/>
      <c r="W2346" s="859"/>
      <c r="X2346" s="859"/>
      <c r="Y2346" s="755">
        <f t="shared" si="307"/>
        <v>0</v>
      </c>
      <c r="Z2346" s="864"/>
      <c r="AA2346" s="863"/>
      <c r="AB2346" s="756">
        <f t="shared" si="308"/>
        <v>0</v>
      </c>
      <c r="AC2346" s="859"/>
      <c r="AD2346" s="863"/>
      <c r="AE2346" s="859"/>
      <c r="AF2346" s="859"/>
      <c r="AG2346" s="864"/>
      <c r="AH2346" s="865"/>
      <c r="AI2346" s="757">
        <f t="shared" si="312"/>
        <v>0</v>
      </c>
      <c r="AJ2346" s="758">
        <f t="shared" si="313"/>
        <v>75771</v>
      </c>
    </row>
    <row r="2347" spans="1:36" x14ac:dyDescent="0.2">
      <c r="A2347" s="1421" t="s">
        <v>146</v>
      </c>
      <c r="B2347" s="1293" t="s">
        <v>272</v>
      </c>
      <c r="C2347" s="1429" t="s">
        <v>1720</v>
      </c>
      <c r="D2347" s="1430"/>
      <c r="E2347" s="1424">
        <v>218025</v>
      </c>
      <c r="F2347" s="1445">
        <v>8</v>
      </c>
      <c r="G2347" s="859"/>
      <c r="H2347" s="860"/>
      <c r="I2347" s="861"/>
      <c r="J2347" s="862">
        <v>22374</v>
      </c>
      <c r="K2347" s="859"/>
      <c r="L2347" s="863"/>
      <c r="M2347" s="859"/>
      <c r="N2347" s="859"/>
      <c r="O2347" s="752">
        <f t="shared" si="306"/>
        <v>0</v>
      </c>
      <c r="P2347" s="862"/>
      <c r="Q2347" s="860"/>
      <c r="R2347" s="753">
        <f t="shared" si="309"/>
        <v>0</v>
      </c>
      <c r="S2347" s="752">
        <f t="shared" si="310"/>
        <v>0</v>
      </c>
      <c r="T2347" s="754">
        <f t="shared" si="311"/>
        <v>22374</v>
      </c>
      <c r="U2347" s="859"/>
      <c r="V2347" s="863"/>
      <c r="W2347" s="859"/>
      <c r="X2347" s="859"/>
      <c r="Y2347" s="755">
        <f t="shared" si="307"/>
        <v>0</v>
      </c>
      <c r="Z2347" s="864"/>
      <c r="AA2347" s="863"/>
      <c r="AB2347" s="756">
        <f t="shared" si="308"/>
        <v>0</v>
      </c>
      <c r="AC2347" s="859"/>
      <c r="AD2347" s="863"/>
      <c r="AE2347" s="859"/>
      <c r="AF2347" s="859"/>
      <c r="AG2347" s="864"/>
      <c r="AH2347" s="865"/>
      <c r="AI2347" s="757">
        <f t="shared" si="312"/>
        <v>0</v>
      </c>
      <c r="AJ2347" s="758">
        <f t="shared" si="313"/>
        <v>22374</v>
      </c>
    </row>
    <row r="2348" spans="1:36" x14ac:dyDescent="0.2">
      <c r="A2348" s="1421" t="s">
        <v>146</v>
      </c>
      <c r="B2348" s="1293" t="s">
        <v>272</v>
      </c>
      <c r="C2348" s="1429" t="s">
        <v>1721</v>
      </c>
      <c r="D2348" s="1430"/>
      <c r="E2348" s="1424">
        <v>218025</v>
      </c>
      <c r="F2348" s="1445">
        <v>8</v>
      </c>
      <c r="G2348" s="859"/>
      <c r="H2348" s="860"/>
      <c r="I2348" s="861">
        <v>410847</v>
      </c>
      <c r="J2348" s="862"/>
      <c r="K2348" s="859"/>
      <c r="L2348" s="863"/>
      <c r="M2348" s="859"/>
      <c r="N2348" s="859"/>
      <c r="O2348" s="752">
        <f t="shared" si="306"/>
        <v>0</v>
      </c>
      <c r="P2348" s="862"/>
      <c r="Q2348" s="860"/>
      <c r="R2348" s="753">
        <f t="shared" si="309"/>
        <v>0</v>
      </c>
      <c r="S2348" s="752">
        <f t="shared" si="310"/>
        <v>410847</v>
      </c>
      <c r="T2348" s="754">
        <f t="shared" si="311"/>
        <v>0</v>
      </c>
      <c r="U2348" s="859"/>
      <c r="V2348" s="863"/>
      <c r="W2348" s="859"/>
      <c r="X2348" s="859"/>
      <c r="Y2348" s="755">
        <f t="shared" si="307"/>
        <v>0</v>
      </c>
      <c r="Z2348" s="864"/>
      <c r="AA2348" s="863"/>
      <c r="AB2348" s="756">
        <f t="shared" si="308"/>
        <v>0</v>
      </c>
      <c r="AC2348" s="859"/>
      <c r="AD2348" s="863"/>
      <c r="AE2348" s="859"/>
      <c r="AF2348" s="859"/>
      <c r="AG2348" s="864"/>
      <c r="AH2348" s="865"/>
      <c r="AI2348" s="757">
        <f t="shared" si="312"/>
        <v>410847</v>
      </c>
      <c r="AJ2348" s="758">
        <f t="shared" si="313"/>
        <v>0</v>
      </c>
    </row>
    <row r="2349" spans="1:36" x14ac:dyDescent="0.2">
      <c r="A2349" s="1421" t="s">
        <v>146</v>
      </c>
      <c r="B2349" s="1293" t="s">
        <v>272</v>
      </c>
      <c r="C2349" s="1284" t="s">
        <v>1734</v>
      </c>
      <c r="D2349" s="1283"/>
      <c r="E2349" s="1424">
        <v>218025</v>
      </c>
      <c r="F2349" s="1445">
        <v>8</v>
      </c>
      <c r="G2349" s="859"/>
      <c r="H2349" s="860"/>
      <c r="I2349" s="861">
        <v>1209088</v>
      </c>
      <c r="J2349" s="862">
        <v>1209088</v>
      </c>
      <c r="K2349" s="859"/>
      <c r="L2349" s="863"/>
      <c r="M2349" s="859"/>
      <c r="N2349" s="859"/>
      <c r="O2349" s="752">
        <f t="shared" si="306"/>
        <v>0</v>
      </c>
      <c r="P2349" s="862"/>
      <c r="Q2349" s="860"/>
      <c r="R2349" s="753">
        <f t="shared" si="309"/>
        <v>0</v>
      </c>
      <c r="S2349" s="752">
        <f t="shared" si="310"/>
        <v>1209088</v>
      </c>
      <c r="T2349" s="754">
        <f t="shared" si="311"/>
        <v>1209088</v>
      </c>
      <c r="U2349" s="859"/>
      <c r="V2349" s="863"/>
      <c r="W2349" s="859"/>
      <c r="X2349" s="859"/>
      <c r="Y2349" s="755">
        <f t="shared" si="307"/>
        <v>0</v>
      </c>
      <c r="Z2349" s="864"/>
      <c r="AA2349" s="863"/>
      <c r="AB2349" s="756">
        <f t="shared" si="308"/>
        <v>0</v>
      </c>
      <c r="AC2349" s="859"/>
      <c r="AD2349" s="863"/>
      <c r="AE2349" s="859"/>
      <c r="AF2349" s="859"/>
      <c r="AG2349" s="864"/>
      <c r="AH2349" s="865"/>
      <c r="AI2349" s="757">
        <f t="shared" si="312"/>
        <v>1209088</v>
      </c>
      <c r="AJ2349" s="758">
        <f t="shared" si="313"/>
        <v>1209088</v>
      </c>
    </row>
    <row r="2350" spans="1:36" x14ac:dyDescent="0.2">
      <c r="A2350" s="1421" t="s">
        <v>146</v>
      </c>
      <c r="B2350" s="1293" t="s">
        <v>272</v>
      </c>
      <c r="C2350" s="1284" t="s">
        <v>1722</v>
      </c>
      <c r="D2350" s="1283"/>
      <c r="E2350" s="1424">
        <v>218025</v>
      </c>
      <c r="F2350" s="1445">
        <v>8</v>
      </c>
      <c r="G2350" s="859"/>
      <c r="H2350" s="860"/>
      <c r="I2350" s="861">
        <v>37784</v>
      </c>
      <c r="J2350" s="862">
        <v>37784</v>
      </c>
      <c r="K2350" s="859"/>
      <c r="L2350" s="863"/>
      <c r="M2350" s="859"/>
      <c r="N2350" s="859"/>
      <c r="O2350" s="752">
        <f t="shared" si="306"/>
        <v>0</v>
      </c>
      <c r="P2350" s="862"/>
      <c r="Q2350" s="860"/>
      <c r="R2350" s="753">
        <f t="shared" si="309"/>
        <v>0</v>
      </c>
      <c r="S2350" s="752">
        <f t="shared" si="310"/>
        <v>37784</v>
      </c>
      <c r="T2350" s="754">
        <f t="shared" si="311"/>
        <v>37784</v>
      </c>
      <c r="U2350" s="859"/>
      <c r="V2350" s="863"/>
      <c r="W2350" s="859"/>
      <c r="X2350" s="859"/>
      <c r="Y2350" s="755">
        <f t="shared" si="307"/>
        <v>0</v>
      </c>
      <c r="Z2350" s="864"/>
      <c r="AA2350" s="863"/>
      <c r="AB2350" s="756">
        <f t="shared" si="308"/>
        <v>0</v>
      </c>
      <c r="AC2350" s="859"/>
      <c r="AD2350" s="863"/>
      <c r="AE2350" s="859"/>
      <c r="AF2350" s="859"/>
      <c r="AG2350" s="864"/>
      <c r="AH2350" s="865"/>
      <c r="AI2350" s="757">
        <f t="shared" si="312"/>
        <v>37784</v>
      </c>
      <c r="AJ2350" s="758">
        <f t="shared" si="313"/>
        <v>37784</v>
      </c>
    </row>
    <row r="2351" spans="1:36" x14ac:dyDescent="0.2">
      <c r="A2351" s="1421" t="s">
        <v>146</v>
      </c>
      <c r="B2351" s="1293" t="s">
        <v>272</v>
      </c>
      <c r="C2351" s="1284" t="s">
        <v>1687</v>
      </c>
      <c r="D2351" s="1283"/>
      <c r="E2351" s="1424">
        <v>218025</v>
      </c>
      <c r="F2351" s="1445">
        <v>8</v>
      </c>
      <c r="G2351" s="859"/>
      <c r="H2351" s="860"/>
      <c r="I2351" s="861">
        <v>218489</v>
      </c>
      <c r="J2351" s="862">
        <v>228366</v>
      </c>
      <c r="K2351" s="859"/>
      <c r="L2351" s="863"/>
      <c r="M2351" s="859"/>
      <c r="N2351" s="859"/>
      <c r="O2351" s="752">
        <f t="shared" si="306"/>
        <v>0</v>
      </c>
      <c r="P2351" s="862"/>
      <c r="Q2351" s="860"/>
      <c r="R2351" s="753">
        <f t="shared" si="309"/>
        <v>0</v>
      </c>
      <c r="S2351" s="752">
        <f t="shared" si="310"/>
        <v>218489</v>
      </c>
      <c r="T2351" s="754">
        <f t="shared" si="311"/>
        <v>228366</v>
      </c>
      <c r="U2351" s="859"/>
      <c r="V2351" s="863"/>
      <c r="W2351" s="859"/>
      <c r="X2351" s="859"/>
      <c r="Y2351" s="755">
        <f t="shared" si="307"/>
        <v>0</v>
      </c>
      <c r="Z2351" s="864"/>
      <c r="AA2351" s="863"/>
      <c r="AB2351" s="756">
        <f t="shared" si="308"/>
        <v>0</v>
      </c>
      <c r="AC2351" s="859"/>
      <c r="AD2351" s="863"/>
      <c r="AE2351" s="859"/>
      <c r="AF2351" s="859"/>
      <c r="AG2351" s="864"/>
      <c r="AH2351" s="865"/>
      <c r="AI2351" s="757">
        <f t="shared" si="312"/>
        <v>218489</v>
      </c>
      <c r="AJ2351" s="758">
        <f t="shared" si="313"/>
        <v>228366</v>
      </c>
    </row>
    <row r="2352" spans="1:36" x14ac:dyDescent="0.2">
      <c r="A2352" s="1421" t="s">
        <v>146</v>
      </c>
      <c r="B2352" s="1293" t="s">
        <v>264</v>
      </c>
      <c r="C2352" s="1422" t="s">
        <v>1719</v>
      </c>
      <c r="D2352" s="1423"/>
      <c r="E2352" s="1424">
        <v>218113</v>
      </c>
      <c r="F2352" s="1259">
        <v>8</v>
      </c>
      <c r="G2352" s="859">
        <v>15441535</v>
      </c>
      <c r="H2352" s="860">
        <v>15688160</v>
      </c>
      <c r="I2352" s="861"/>
      <c r="J2352" s="862"/>
      <c r="K2352" s="859">
        <v>10515010</v>
      </c>
      <c r="L2352" s="863">
        <v>10515010</v>
      </c>
      <c r="M2352" s="859">
        <v>71435431</v>
      </c>
      <c r="N2352" s="859">
        <v>2455927</v>
      </c>
      <c r="O2352" s="752">
        <f t="shared" si="306"/>
        <v>73891358</v>
      </c>
      <c r="P2352" s="862">
        <v>71435431</v>
      </c>
      <c r="Q2352" s="860">
        <v>2455927</v>
      </c>
      <c r="R2352" s="753">
        <f t="shared" si="309"/>
        <v>73891358</v>
      </c>
      <c r="S2352" s="752">
        <f t="shared" si="310"/>
        <v>97391976</v>
      </c>
      <c r="T2352" s="754">
        <f t="shared" si="311"/>
        <v>97638601</v>
      </c>
      <c r="U2352" s="859"/>
      <c r="V2352" s="863"/>
      <c r="W2352" s="859"/>
      <c r="X2352" s="859"/>
      <c r="Y2352" s="755">
        <f t="shared" si="307"/>
        <v>0</v>
      </c>
      <c r="Z2352" s="864"/>
      <c r="AA2352" s="863"/>
      <c r="AB2352" s="756">
        <f t="shared" si="308"/>
        <v>0</v>
      </c>
      <c r="AC2352" s="859"/>
      <c r="AD2352" s="863"/>
      <c r="AE2352" s="859"/>
      <c r="AF2352" s="859"/>
      <c r="AG2352" s="864"/>
      <c r="AH2352" s="865"/>
      <c r="AI2352" s="757">
        <f t="shared" si="312"/>
        <v>97391976</v>
      </c>
      <c r="AJ2352" s="758">
        <f t="shared" si="313"/>
        <v>97638601</v>
      </c>
    </row>
    <row r="2353" spans="1:36" x14ac:dyDescent="0.2">
      <c r="A2353" s="1421" t="s">
        <v>146</v>
      </c>
      <c r="B2353" s="1293" t="s">
        <v>272</v>
      </c>
      <c r="C2353" s="1282" t="s">
        <v>970</v>
      </c>
      <c r="D2353" s="1283"/>
      <c r="E2353" s="1424">
        <v>218113</v>
      </c>
      <c r="F2353" s="1259">
        <v>8</v>
      </c>
      <c r="G2353" s="859"/>
      <c r="H2353" s="860"/>
      <c r="I2353" s="861"/>
      <c r="J2353" s="862"/>
      <c r="K2353" s="859"/>
      <c r="L2353" s="863"/>
      <c r="M2353" s="859"/>
      <c r="N2353" s="859"/>
      <c r="O2353" s="752">
        <f t="shared" si="306"/>
        <v>0</v>
      </c>
      <c r="P2353" s="862"/>
      <c r="Q2353" s="860"/>
      <c r="R2353" s="753">
        <f t="shared" si="309"/>
        <v>0</v>
      </c>
      <c r="S2353" s="752">
        <f t="shared" si="310"/>
        <v>0</v>
      </c>
      <c r="T2353" s="754">
        <f t="shared" si="311"/>
        <v>0</v>
      </c>
      <c r="U2353" s="859"/>
      <c r="V2353" s="863"/>
      <c r="W2353" s="859"/>
      <c r="X2353" s="859"/>
      <c r="Y2353" s="755">
        <f t="shared" si="307"/>
        <v>0</v>
      </c>
      <c r="Z2353" s="864"/>
      <c r="AA2353" s="863"/>
      <c r="AB2353" s="756">
        <f t="shared" si="308"/>
        <v>0</v>
      </c>
      <c r="AC2353" s="859"/>
      <c r="AD2353" s="863"/>
      <c r="AE2353" s="859"/>
      <c r="AF2353" s="859"/>
      <c r="AG2353" s="864"/>
      <c r="AH2353" s="865"/>
      <c r="AI2353" s="757">
        <f t="shared" si="312"/>
        <v>0</v>
      </c>
      <c r="AJ2353" s="758">
        <f t="shared" si="313"/>
        <v>0</v>
      </c>
    </row>
    <row r="2354" spans="1:36" x14ac:dyDescent="0.2">
      <c r="A2354" s="1421" t="s">
        <v>146</v>
      </c>
      <c r="B2354" s="1293" t="s">
        <v>272</v>
      </c>
      <c r="C2354" s="1429" t="s">
        <v>1671</v>
      </c>
      <c r="D2354" s="1430"/>
      <c r="E2354" s="1424">
        <v>218113</v>
      </c>
      <c r="F2354" s="1259">
        <v>8</v>
      </c>
      <c r="G2354" s="859"/>
      <c r="H2354" s="860"/>
      <c r="I2354" s="861">
        <v>1765</v>
      </c>
      <c r="J2354" s="862">
        <v>1927</v>
      </c>
      <c r="K2354" s="859"/>
      <c r="L2354" s="863"/>
      <c r="M2354" s="859"/>
      <c r="N2354" s="859"/>
      <c r="O2354" s="752">
        <f t="shared" si="306"/>
        <v>0</v>
      </c>
      <c r="P2354" s="862"/>
      <c r="Q2354" s="860"/>
      <c r="R2354" s="753">
        <f t="shared" si="309"/>
        <v>0</v>
      </c>
      <c r="S2354" s="752">
        <f t="shared" si="310"/>
        <v>1765</v>
      </c>
      <c r="T2354" s="754">
        <f t="shared" si="311"/>
        <v>1927</v>
      </c>
      <c r="U2354" s="859"/>
      <c r="V2354" s="863"/>
      <c r="W2354" s="859"/>
      <c r="X2354" s="859"/>
      <c r="Y2354" s="755">
        <f t="shared" si="307"/>
        <v>0</v>
      </c>
      <c r="Z2354" s="864"/>
      <c r="AA2354" s="863"/>
      <c r="AB2354" s="756">
        <f t="shared" si="308"/>
        <v>0</v>
      </c>
      <c r="AC2354" s="859"/>
      <c r="AD2354" s="863"/>
      <c r="AE2354" s="859"/>
      <c r="AF2354" s="859"/>
      <c r="AG2354" s="864"/>
      <c r="AH2354" s="865"/>
      <c r="AI2354" s="757">
        <f t="shared" si="312"/>
        <v>1765</v>
      </c>
      <c r="AJ2354" s="758">
        <f t="shared" si="313"/>
        <v>1927</v>
      </c>
    </row>
    <row r="2355" spans="1:36" x14ac:dyDescent="0.2">
      <c r="A2355" s="1421" t="s">
        <v>146</v>
      </c>
      <c r="B2355" s="1293" t="s">
        <v>272</v>
      </c>
      <c r="C2355" s="1429" t="s">
        <v>1689</v>
      </c>
      <c r="D2355" s="1430"/>
      <c r="E2355" s="1424">
        <v>218113</v>
      </c>
      <c r="F2355" s="1259">
        <v>8</v>
      </c>
      <c r="G2355" s="859"/>
      <c r="H2355" s="860"/>
      <c r="I2355" s="861"/>
      <c r="J2355" s="862">
        <v>193782</v>
      </c>
      <c r="K2355" s="859"/>
      <c r="L2355" s="863"/>
      <c r="M2355" s="859"/>
      <c r="N2355" s="859"/>
      <c r="O2355" s="752">
        <f t="shared" si="306"/>
        <v>0</v>
      </c>
      <c r="P2355" s="862"/>
      <c r="Q2355" s="860"/>
      <c r="R2355" s="753">
        <f t="shared" si="309"/>
        <v>0</v>
      </c>
      <c r="S2355" s="752">
        <f t="shared" si="310"/>
        <v>0</v>
      </c>
      <c r="T2355" s="754">
        <f t="shared" si="311"/>
        <v>193782</v>
      </c>
      <c r="U2355" s="859"/>
      <c r="V2355" s="863"/>
      <c r="W2355" s="859"/>
      <c r="X2355" s="859"/>
      <c r="Y2355" s="755">
        <f t="shared" si="307"/>
        <v>0</v>
      </c>
      <c r="Z2355" s="864"/>
      <c r="AA2355" s="863"/>
      <c r="AB2355" s="756">
        <f t="shared" si="308"/>
        <v>0</v>
      </c>
      <c r="AC2355" s="859"/>
      <c r="AD2355" s="863"/>
      <c r="AE2355" s="859"/>
      <c r="AF2355" s="859"/>
      <c r="AG2355" s="864"/>
      <c r="AH2355" s="865"/>
      <c r="AI2355" s="757">
        <f t="shared" si="312"/>
        <v>0</v>
      </c>
      <c r="AJ2355" s="758">
        <f t="shared" si="313"/>
        <v>193782</v>
      </c>
    </row>
    <row r="2356" spans="1:36" x14ac:dyDescent="0.2">
      <c r="A2356" s="1421" t="s">
        <v>146</v>
      </c>
      <c r="B2356" s="1293" t="s">
        <v>272</v>
      </c>
      <c r="C2356" s="1429" t="s">
        <v>1720</v>
      </c>
      <c r="D2356" s="1430"/>
      <c r="E2356" s="1424">
        <v>218113</v>
      </c>
      <c r="F2356" s="1259">
        <v>8</v>
      </c>
      <c r="G2356" s="859"/>
      <c r="H2356" s="860"/>
      <c r="I2356" s="861"/>
      <c r="J2356" s="862">
        <v>54586</v>
      </c>
      <c r="K2356" s="859"/>
      <c r="L2356" s="863"/>
      <c r="M2356" s="859"/>
      <c r="N2356" s="859"/>
      <c r="O2356" s="752">
        <f t="shared" si="306"/>
        <v>0</v>
      </c>
      <c r="P2356" s="862"/>
      <c r="Q2356" s="860"/>
      <c r="R2356" s="753">
        <f t="shared" si="309"/>
        <v>0</v>
      </c>
      <c r="S2356" s="752">
        <f t="shared" si="310"/>
        <v>0</v>
      </c>
      <c r="T2356" s="754">
        <f t="shared" si="311"/>
        <v>54586</v>
      </c>
      <c r="U2356" s="859"/>
      <c r="V2356" s="863"/>
      <c r="W2356" s="859"/>
      <c r="X2356" s="859"/>
      <c r="Y2356" s="755">
        <f t="shared" si="307"/>
        <v>0</v>
      </c>
      <c r="Z2356" s="864"/>
      <c r="AA2356" s="863"/>
      <c r="AB2356" s="756">
        <f t="shared" si="308"/>
        <v>0</v>
      </c>
      <c r="AC2356" s="859"/>
      <c r="AD2356" s="863"/>
      <c r="AE2356" s="859"/>
      <c r="AF2356" s="859"/>
      <c r="AG2356" s="864"/>
      <c r="AH2356" s="865"/>
      <c r="AI2356" s="757">
        <f t="shared" si="312"/>
        <v>0</v>
      </c>
      <c r="AJ2356" s="758">
        <f t="shared" si="313"/>
        <v>54586</v>
      </c>
    </row>
    <row r="2357" spans="1:36" x14ac:dyDescent="0.2">
      <c r="A2357" s="1421" t="s">
        <v>146</v>
      </c>
      <c r="B2357" s="1293" t="s">
        <v>272</v>
      </c>
      <c r="C2357" s="1429" t="s">
        <v>1721</v>
      </c>
      <c r="D2357" s="1430"/>
      <c r="E2357" s="1424">
        <v>218113</v>
      </c>
      <c r="F2357" s="1259">
        <v>8</v>
      </c>
      <c r="G2357" s="859"/>
      <c r="H2357" s="860"/>
      <c r="I2357" s="861">
        <v>882812</v>
      </c>
      <c r="J2357" s="862"/>
      <c r="K2357" s="859"/>
      <c r="L2357" s="863"/>
      <c r="M2357" s="859"/>
      <c r="N2357" s="859"/>
      <c r="O2357" s="752">
        <f t="shared" si="306"/>
        <v>0</v>
      </c>
      <c r="P2357" s="862"/>
      <c r="Q2357" s="860"/>
      <c r="R2357" s="753">
        <f t="shared" si="309"/>
        <v>0</v>
      </c>
      <c r="S2357" s="752">
        <f t="shared" si="310"/>
        <v>882812</v>
      </c>
      <c r="T2357" s="754">
        <f t="shared" si="311"/>
        <v>0</v>
      </c>
      <c r="U2357" s="859"/>
      <c r="V2357" s="863"/>
      <c r="W2357" s="859"/>
      <c r="X2357" s="859"/>
      <c r="Y2357" s="755">
        <f t="shared" si="307"/>
        <v>0</v>
      </c>
      <c r="Z2357" s="864"/>
      <c r="AA2357" s="863"/>
      <c r="AB2357" s="756">
        <f t="shared" si="308"/>
        <v>0</v>
      </c>
      <c r="AC2357" s="859"/>
      <c r="AD2357" s="863"/>
      <c r="AE2357" s="859"/>
      <c r="AF2357" s="859"/>
      <c r="AG2357" s="864"/>
      <c r="AH2357" s="865"/>
      <c r="AI2357" s="757">
        <f t="shared" si="312"/>
        <v>882812</v>
      </c>
      <c r="AJ2357" s="758">
        <f t="shared" si="313"/>
        <v>0</v>
      </c>
    </row>
    <row r="2358" spans="1:36" x14ac:dyDescent="0.2">
      <c r="A2358" s="1421" t="s">
        <v>146</v>
      </c>
      <c r="B2358" s="1293" t="s">
        <v>272</v>
      </c>
      <c r="C2358" s="1284" t="s">
        <v>1722</v>
      </c>
      <c r="D2358" s="1283"/>
      <c r="E2358" s="1424">
        <v>218113</v>
      </c>
      <c r="F2358" s="1259">
        <v>8</v>
      </c>
      <c r="G2358" s="859"/>
      <c r="H2358" s="860"/>
      <c r="I2358" s="861">
        <v>37784</v>
      </c>
      <c r="J2358" s="862">
        <v>37784</v>
      </c>
      <c r="K2358" s="859"/>
      <c r="L2358" s="863"/>
      <c r="M2358" s="859"/>
      <c r="N2358" s="859"/>
      <c r="O2358" s="752">
        <f t="shared" si="306"/>
        <v>0</v>
      </c>
      <c r="P2358" s="862"/>
      <c r="Q2358" s="860"/>
      <c r="R2358" s="753">
        <f t="shared" si="309"/>
        <v>0</v>
      </c>
      <c r="S2358" s="752">
        <f t="shared" si="310"/>
        <v>37784</v>
      </c>
      <c r="T2358" s="754">
        <f t="shared" si="311"/>
        <v>37784</v>
      </c>
      <c r="U2358" s="859"/>
      <c r="V2358" s="863"/>
      <c r="W2358" s="859"/>
      <c r="X2358" s="859"/>
      <c r="Y2358" s="755">
        <f t="shared" si="307"/>
        <v>0</v>
      </c>
      <c r="Z2358" s="864"/>
      <c r="AA2358" s="863"/>
      <c r="AB2358" s="756">
        <f t="shared" si="308"/>
        <v>0</v>
      </c>
      <c r="AC2358" s="859"/>
      <c r="AD2358" s="863"/>
      <c r="AE2358" s="859"/>
      <c r="AF2358" s="859"/>
      <c r="AG2358" s="864"/>
      <c r="AH2358" s="865"/>
      <c r="AI2358" s="757">
        <f t="shared" si="312"/>
        <v>37784</v>
      </c>
      <c r="AJ2358" s="758">
        <f t="shared" si="313"/>
        <v>37784</v>
      </c>
    </row>
    <row r="2359" spans="1:36" x14ac:dyDescent="0.2">
      <c r="A2359" s="1421" t="s">
        <v>146</v>
      </c>
      <c r="B2359" s="1293" t="s">
        <v>272</v>
      </c>
      <c r="C2359" s="1284" t="s">
        <v>1687</v>
      </c>
      <c r="D2359" s="1283"/>
      <c r="E2359" s="1424">
        <v>218113</v>
      </c>
      <c r="F2359" s="1259">
        <v>8</v>
      </c>
      <c r="G2359" s="859"/>
      <c r="H2359" s="860"/>
      <c r="I2359" s="861">
        <v>578045</v>
      </c>
      <c r="J2359" s="862">
        <v>603749</v>
      </c>
      <c r="K2359" s="859"/>
      <c r="L2359" s="863"/>
      <c r="M2359" s="859"/>
      <c r="N2359" s="859"/>
      <c r="O2359" s="752">
        <f t="shared" si="306"/>
        <v>0</v>
      </c>
      <c r="P2359" s="862"/>
      <c r="Q2359" s="860"/>
      <c r="R2359" s="753">
        <f t="shared" si="309"/>
        <v>0</v>
      </c>
      <c r="S2359" s="752">
        <f t="shared" si="310"/>
        <v>578045</v>
      </c>
      <c r="T2359" s="754">
        <f t="shared" si="311"/>
        <v>603749</v>
      </c>
      <c r="U2359" s="859"/>
      <c r="V2359" s="863"/>
      <c r="W2359" s="859"/>
      <c r="X2359" s="859"/>
      <c r="Y2359" s="755">
        <f t="shared" si="307"/>
        <v>0</v>
      </c>
      <c r="Z2359" s="864"/>
      <c r="AA2359" s="863"/>
      <c r="AB2359" s="756">
        <f t="shared" si="308"/>
        <v>0</v>
      </c>
      <c r="AC2359" s="859"/>
      <c r="AD2359" s="863"/>
      <c r="AE2359" s="859"/>
      <c r="AF2359" s="859"/>
      <c r="AG2359" s="864"/>
      <c r="AH2359" s="865"/>
      <c r="AI2359" s="757">
        <f t="shared" si="312"/>
        <v>578045</v>
      </c>
      <c r="AJ2359" s="758">
        <f t="shared" si="313"/>
        <v>603749</v>
      </c>
    </row>
    <row r="2360" spans="1:36" x14ac:dyDescent="0.2">
      <c r="A2360" s="1421" t="s">
        <v>146</v>
      </c>
      <c r="B2360" s="1293" t="s">
        <v>264</v>
      </c>
      <c r="C2360" s="1277" t="s">
        <v>1723</v>
      </c>
      <c r="D2360" s="1433"/>
      <c r="E2360" s="1434">
        <v>218140</v>
      </c>
      <c r="F2360" s="1444">
        <v>8</v>
      </c>
      <c r="G2360" s="859">
        <v>6923404</v>
      </c>
      <c r="H2360" s="860">
        <v>7030895</v>
      </c>
      <c r="I2360" s="861"/>
      <c r="J2360" s="862"/>
      <c r="K2360" s="859">
        <v>3811000</v>
      </c>
      <c r="L2360" s="863">
        <v>3811000</v>
      </c>
      <c r="M2360" s="859">
        <v>27623364</v>
      </c>
      <c r="N2360" s="859">
        <v>0</v>
      </c>
      <c r="O2360" s="752">
        <f t="shared" si="306"/>
        <v>27623364</v>
      </c>
      <c r="P2360" s="862">
        <v>27623364</v>
      </c>
      <c r="Q2360" s="860">
        <v>0</v>
      </c>
      <c r="R2360" s="753">
        <f t="shared" si="309"/>
        <v>27623364</v>
      </c>
      <c r="S2360" s="752">
        <f t="shared" si="310"/>
        <v>38357768</v>
      </c>
      <c r="T2360" s="754">
        <f t="shared" si="311"/>
        <v>38465259</v>
      </c>
      <c r="U2360" s="859"/>
      <c r="V2360" s="863"/>
      <c r="W2360" s="859"/>
      <c r="X2360" s="859"/>
      <c r="Y2360" s="755">
        <f t="shared" si="307"/>
        <v>0</v>
      </c>
      <c r="Z2360" s="864"/>
      <c r="AA2360" s="863"/>
      <c r="AB2360" s="756">
        <f t="shared" si="308"/>
        <v>0</v>
      </c>
      <c r="AC2360" s="859"/>
      <c r="AD2360" s="863"/>
      <c r="AE2360" s="859"/>
      <c r="AF2360" s="859"/>
      <c r="AG2360" s="864"/>
      <c r="AH2360" s="865"/>
      <c r="AI2360" s="757">
        <f t="shared" si="312"/>
        <v>38357768</v>
      </c>
      <c r="AJ2360" s="758">
        <f t="shared" si="313"/>
        <v>38465259</v>
      </c>
    </row>
    <row r="2361" spans="1:36" x14ac:dyDescent="0.2">
      <c r="A2361" s="1421" t="s">
        <v>146</v>
      </c>
      <c r="B2361" s="1293" t="s">
        <v>272</v>
      </c>
      <c r="C2361" s="1282" t="s">
        <v>970</v>
      </c>
      <c r="D2361" s="1283"/>
      <c r="E2361" s="1424">
        <v>218140</v>
      </c>
      <c r="F2361" s="1444">
        <v>8</v>
      </c>
      <c r="G2361" s="859"/>
      <c r="H2361" s="860"/>
      <c r="I2361" s="861"/>
      <c r="J2361" s="862"/>
      <c r="K2361" s="859"/>
      <c r="L2361" s="863"/>
      <c r="M2361" s="859"/>
      <c r="N2361" s="859"/>
      <c r="O2361" s="752">
        <f t="shared" si="306"/>
        <v>0</v>
      </c>
      <c r="P2361" s="862"/>
      <c r="Q2361" s="860"/>
      <c r="R2361" s="753">
        <f t="shared" si="309"/>
        <v>0</v>
      </c>
      <c r="S2361" s="752">
        <f t="shared" si="310"/>
        <v>0</v>
      </c>
      <c r="T2361" s="754">
        <f t="shared" si="311"/>
        <v>0</v>
      </c>
      <c r="U2361" s="859"/>
      <c r="V2361" s="863"/>
      <c r="W2361" s="859"/>
      <c r="X2361" s="859"/>
      <c r="Y2361" s="755">
        <f t="shared" si="307"/>
        <v>0</v>
      </c>
      <c r="Z2361" s="864"/>
      <c r="AA2361" s="863"/>
      <c r="AB2361" s="756">
        <f t="shared" si="308"/>
        <v>0</v>
      </c>
      <c r="AC2361" s="859"/>
      <c r="AD2361" s="863"/>
      <c r="AE2361" s="859"/>
      <c r="AF2361" s="859"/>
      <c r="AG2361" s="864"/>
      <c r="AH2361" s="865"/>
      <c r="AI2361" s="757">
        <f t="shared" si="312"/>
        <v>0</v>
      </c>
      <c r="AJ2361" s="758">
        <f t="shared" si="313"/>
        <v>0</v>
      </c>
    </row>
    <row r="2362" spans="1:36" x14ac:dyDescent="0.2">
      <c r="A2362" s="1421" t="s">
        <v>146</v>
      </c>
      <c r="B2362" s="1293" t="s">
        <v>272</v>
      </c>
      <c r="C2362" s="1429" t="s">
        <v>1671</v>
      </c>
      <c r="D2362" s="1430"/>
      <c r="E2362" s="1424">
        <v>218140</v>
      </c>
      <c r="F2362" s="1444">
        <v>8</v>
      </c>
      <c r="G2362" s="859"/>
      <c r="H2362" s="860"/>
      <c r="I2362" s="861">
        <v>46</v>
      </c>
      <c r="J2362" s="862">
        <v>26</v>
      </c>
      <c r="K2362" s="859"/>
      <c r="L2362" s="863"/>
      <c r="M2362" s="859"/>
      <c r="N2362" s="859"/>
      <c r="O2362" s="752">
        <f t="shared" si="306"/>
        <v>0</v>
      </c>
      <c r="P2362" s="862"/>
      <c r="Q2362" s="860"/>
      <c r="R2362" s="753">
        <f t="shared" si="309"/>
        <v>0</v>
      </c>
      <c r="S2362" s="752">
        <f t="shared" si="310"/>
        <v>46</v>
      </c>
      <c r="T2362" s="754">
        <f t="shared" si="311"/>
        <v>26</v>
      </c>
      <c r="U2362" s="859"/>
      <c r="V2362" s="863"/>
      <c r="W2362" s="859"/>
      <c r="X2362" s="859"/>
      <c r="Y2362" s="755">
        <f t="shared" si="307"/>
        <v>0</v>
      </c>
      <c r="Z2362" s="864"/>
      <c r="AA2362" s="863"/>
      <c r="AB2362" s="756">
        <f t="shared" si="308"/>
        <v>0</v>
      </c>
      <c r="AC2362" s="859"/>
      <c r="AD2362" s="863"/>
      <c r="AE2362" s="859"/>
      <c r="AF2362" s="859"/>
      <c r="AG2362" s="864"/>
      <c r="AH2362" s="865"/>
      <c r="AI2362" s="757">
        <f t="shared" si="312"/>
        <v>46</v>
      </c>
      <c r="AJ2362" s="758">
        <f t="shared" si="313"/>
        <v>26</v>
      </c>
    </row>
    <row r="2363" spans="1:36" x14ac:dyDescent="0.2">
      <c r="A2363" s="1421" t="s">
        <v>146</v>
      </c>
      <c r="B2363" s="1293" t="s">
        <v>272</v>
      </c>
      <c r="C2363" s="1429" t="s">
        <v>1689</v>
      </c>
      <c r="D2363" s="1430"/>
      <c r="E2363" s="1424">
        <v>218140</v>
      </c>
      <c r="F2363" s="1444">
        <v>8</v>
      </c>
      <c r="G2363" s="859"/>
      <c r="H2363" s="860"/>
      <c r="I2363" s="861"/>
      <c r="J2363" s="862">
        <v>135154</v>
      </c>
      <c r="K2363" s="859"/>
      <c r="L2363" s="863"/>
      <c r="M2363" s="859"/>
      <c r="N2363" s="859"/>
      <c r="O2363" s="752">
        <f t="shared" si="306"/>
        <v>0</v>
      </c>
      <c r="P2363" s="862"/>
      <c r="Q2363" s="860"/>
      <c r="R2363" s="753">
        <f t="shared" si="309"/>
        <v>0</v>
      </c>
      <c r="S2363" s="752">
        <f t="shared" si="310"/>
        <v>0</v>
      </c>
      <c r="T2363" s="754">
        <f t="shared" si="311"/>
        <v>135154</v>
      </c>
      <c r="U2363" s="859"/>
      <c r="V2363" s="863"/>
      <c r="W2363" s="859"/>
      <c r="X2363" s="859"/>
      <c r="Y2363" s="755">
        <f t="shared" si="307"/>
        <v>0</v>
      </c>
      <c r="Z2363" s="864"/>
      <c r="AA2363" s="863"/>
      <c r="AB2363" s="756">
        <f t="shared" si="308"/>
        <v>0</v>
      </c>
      <c r="AC2363" s="859"/>
      <c r="AD2363" s="863"/>
      <c r="AE2363" s="859"/>
      <c r="AF2363" s="859"/>
      <c r="AG2363" s="864"/>
      <c r="AH2363" s="865"/>
      <c r="AI2363" s="757">
        <f t="shared" si="312"/>
        <v>0</v>
      </c>
      <c r="AJ2363" s="758">
        <f t="shared" si="313"/>
        <v>135154</v>
      </c>
    </row>
    <row r="2364" spans="1:36" x14ac:dyDescent="0.2">
      <c r="A2364" s="1421" t="s">
        <v>146</v>
      </c>
      <c r="B2364" s="1293" t="s">
        <v>272</v>
      </c>
      <c r="C2364" s="1429" t="s">
        <v>1720</v>
      </c>
      <c r="D2364" s="1430"/>
      <c r="E2364" s="1424">
        <v>218140</v>
      </c>
      <c r="F2364" s="1444">
        <v>8</v>
      </c>
      <c r="G2364" s="859"/>
      <c r="H2364" s="860"/>
      <c r="I2364" s="861"/>
      <c r="J2364" s="862">
        <v>17790</v>
      </c>
      <c r="K2364" s="859"/>
      <c r="L2364" s="863"/>
      <c r="M2364" s="859"/>
      <c r="N2364" s="859"/>
      <c r="O2364" s="752">
        <f t="shared" si="306"/>
        <v>0</v>
      </c>
      <c r="P2364" s="862"/>
      <c r="Q2364" s="860"/>
      <c r="R2364" s="753">
        <f t="shared" si="309"/>
        <v>0</v>
      </c>
      <c r="S2364" s="752">
        <f t="shared" si="310"/>
        <v>0</v>
      </c>
      <c r="T2364" s="754">
        <f t="shared" si="311"/>
        <v>17790</v>
      </c>
      <c r="U2364" s="859"/>
      <c r="V2364" s="863"/>
      <c r="W2364" s="859"/>
      <c r="X2364" s="859"/>
      <c r="Y2364" s="755">
        <f t="shared" si="307"/>
        <v>0</v>
      </c>
      <c r="Z2364" s="864"/>
      <c r="AA2364" s="863"/>
      <c r="AB2364" s="756">
        <f t="shared" si="308"/>
        <v>0</v>
      </c>
      <c r="AC2364" s="859"/>
      <c r="AD2364" s="863"/>
      <c r="AE2364" s="859"/>
      <c r="AF2364" s="859"/>
      <c r="AG2364" s="864"/>
      <c r="AH2364" s="865"/>
      <c r="AI2364" s="757">
        <f t="shared" si="312"/>
        <v>0</v>
      </c>
      <c r="AJ2364" s="758">
        <f t="shared" si="313"/>
        <v>17790</v>
      </c>
    </row>
    <row r="2365" spans="1:36" x14ac:dyDescent="0.2">
      <c r="A2365" s="1421" t="s">
        <v>146</v>
      </c>
      <c r="B2365" s="1293" t="s">
        <v>272</v>
      </c>
      <c r="C2365" s="1429" t="s">
        <v>1721</v>
      </c>
      <c r="D2365" s="1430"/>
      <c r="E2365" s="1424">
        <v>218140</v>
      </c>
      <c r="F2365" s="1444">
        <v>8</v>
      </c>
      <c r="G2365" s="859"/>
      <c r="H2365" s="860"/>
      <c r="I2365" s="861">
        <v>360320</v>
      </c>
      <c r="J2365" s="862"/>
      <c r="K2365" s="859"/>
      <c r="L2365" s="863"/>
      <c r="M2365" s="859"/>
      <c r="N2365" s="859"/>
      <c r="O2365" s="752">
        <f t="shared" si="306"/>
        <v>0</v>
      </c>
      <c r="P2365" s="862"/>
      <c r="Q2365" s="860"/>
      <c r="R2365" s="753">
        <f t="shared" si="309"/>
        <v>0</v>
      </c>
      <c r="S2365" s="752">
        <f t="shared" si="310"/>
        <v>360320</v>
      </c>
      <c r="T2365" s="754">
        <f t="shared" si="311"/>
        <v>0</v>
      </c>
      <c r="U2365" s="859"/>
      <c r="V2365" s="863"/>
      <c r="W2365" s="859"/>
      <c r="X2365" s="859"/>
      <c r="Y2365" s="755">
        <f t="shared" si="307"/>
        <v>0</v>
      </c>
      <c r="Z2365" s="864"/>
      <c r="AA2365" s="863"/>
      <c r="AB2365" s="756">
        <f t="shared" si="308"/>
        <v>0</v>
      </c>
      <c r="AC2365" s="859"/>
      <c r="AD2365" s="863"/>
      <c r="AE2365" s="859"/>
      <c r="AF2365" s="859"/>
      <c r="AG2365" s="864"/>
      <c r="AH2365" s="865"/>
      <c r="AI2365" s="757">
        <f t="shared" si="312"/>
        <v>360320</v>
      </c>
      <c r="AJ2365" s="758">
        <f t="shared" si="313"/>
        <v>0</v>
      </c>
    </row>
    <row r="2366" spans="1:36" x14ac:dyDescent="0.2">
      <c r="A2366" s="1421" t="s">
        <v>146</v>
      </c>
      <c r="B2366" s="1293" t="s">
        <v>272</v>
      </c>
      <c r="C2366" s="1429" t="s">
        <v>1724</v>
      </c>
      <c r="D2366" s="1430"/>
      <c r="E2366" s="1424">
        <v>218140</v>
      </c>
      <c r="F2366" s="1444">
        <v>8</v>
      </c>
      <c r="G2366" s="859"/>
      <c r="H2366" s="860"/>
      <c r="I2366" s="861">
        <v>200000</v>
      </c>
      <c r="J2366" s="862"/>
      <c r="K2366" s="859"/>
      <c r="L2366" s="863"/>
      <c r="M2366" s="859"/>
      <c r="N2366" s="859"/>
      <c r="O2366" s="752">
        <f t="shared" si="306"/>
        <v>0</v>
      </c>
      <c r="P2366" s="862"/>
      <c r="Q2366" s="860"/>
      <c r="R2366" s="753">
        <f t="shared" si="309"/>
        <v>0</v>
      </c>
      <c r="S2366" s="752">
        <f t="shared" si="310"/>
        <v>200000</v>
      </c>
      <c r="T2366" s="754">
        <f t="shared" si="311"/>
        <v>0</v>
      </c>
      <c r="U2366" s="859"/>
      <c r="V2366" s="863"/>
      <c r="W2366" s="859"/>
      <c r="X2366" s="859"/>
      <c r="Y2366" s="755">
        <f t="shared" si="307"/>
        <v>0</v>
      </c>
      <c r="Z2366" s="864"/>
      <c r="AA2366" s="863"/>
      <c r="AB2366" s="756">
        <f t="shared" si="308"/>
        <v>0</v>
      </c>
      <c r="AC2366" s="859"/>
      <c r="AD2366" s="863"/>
      <c r="AE2366" s="859"/>
      <c r="AF2366" s="859"/>
      <c r="AG2366" s="864"/>
      <c r="AH2366" s="865"/>
      <c r="AI2366" s="757">
        <f t="shared" si="312"/>
        <v>200000</v>
      </c>
      <c r="AJ2366" s="758">
        <f t="shared" si="313"/>
        <v>0</v>
      </c>
    </row>
    <row r="2367" spans="1:36" x14ac:dyDescent="0.2">
      <c r="A2367" s="1421" t="s">
        <v>146</v>
      </c>
      <c r="B2367" s="1293" t="s">
        <v>272</v>
      </c>
      <c r="C2367" s="1284" t="s">
        <v>1722</v>
      </c>
      <c r="D2367" s="1283"/>
      <c r="E2367" s="1424">
        <v>218140</v>
      </c>
      <c r="F2367" s="1444">
        <v>8</v>
      </c>
      <c r="G2367" s="859"/>
      <c r="H2367" s="860"/>
      <c r="I2367" s="861">
        <v>37784</v>
      </c>
      <c r="J2367" s="862">
        <v>37784</v>
      </c>
      <c r="K2367" s="859"/>
      <c r="L2367" s="863"/>
      <c r="M2367" s="859"/>
      <c r="N2367" s="859"/>
      <c r="O2367" s="752">
        <f t="shared" si="306"/>
        <v>0</v>
      </c>
      <c r="P2367" s="862"/>
      <c r="Q2367" s="860"/>
      <c r="R2367" s="753">
        <f t="shared" si="309"/>
        <v>0</v>
      </c>
      <c r="S2367" s="752">
        <f t="shared" si="310"/>
        <v>37784</v>
      </c>
      <c r="T2367" s="754">
        <f t="shared" si="311"/>
        <v>37784</v>
      </c>
      <c r="U2367" s="859"/>
      <c r="V2367" s="863"/>
      <c r="W2367" s="859"/>
      <c r="X2367" s="859"/>
      <c r="Y2367" s="755">
        <f t="shared" si="307"/>
        <v>0</v>
      </c>
      <c r="Z2367" s="864"/>
      <c r="AA2367" s="863"/>
      <c r="AB2367" s="756">
        <f t="shared" si="308"/>
        <v>0</v>
      </c>
      <c r="AC2367" s="859"/>
      <c r="AD2367" s="863"/>
      <c r="AE2367" s="859"/>
      <c r="AF2367" s="859"/>
      <c r="AG2367" s="864"/>
      <c r="AH2367" s="865"/>
      <c r="AI2367" s="757">
        <f t="shared" si="312"/>
        <v>37784</v>
      </c>
      <c r="AJ2367" s="758">
        <f t="shared" si="313"/>
        <v>37784</v>
      </c>
    </row>
    <row r="2368" spans="1:36" x14ac:dyDescent="0.2">
      <c r="A2368" s="1421" t="s">
        <v>146</v>
      </c>
      <c r="B2368" s="1293" t="s">
        <v>272</v>
      </c>
      <c r="C2368" s="1284" t="s">
        <v>1687</v>
      </c>
      <c r="D2368" s="1283"/>
      <c r="E2368" s="1424">
        <v>218140</v>
      </c>
      <c r="F2368" s="1444">
        <v>8</v>
      </c>
      <c r="G2368" s="859"/>
      <c r="H2368" s="860"/>
      <c r="I2368" s="861">
        <v>258934</v>
      </c>
      <c r="J2368" s="862">
        <v>270579</v>
      </c>
      <c r="K2368" s="859"/>
      <c r="L2368" s="863"/>
      <c r="M2368" s="859"/>
      <c r="N2368" s="859"/>
      <c r="O2368" s="752">
        <f t="shared" si="306"/>
        <v>0</v>
      </c>
      <c r="P2368" s="862"/>
      <c r="Q2368" s="860"/>
      <c r="R2368" s="753">
        <f t="shared" si="309"/>
        <v>0</v>
      </c>
      <c r="S2368" s="752">
        <f t="shared" si="310"/>
        <v>258934</v>
      </c>
      <c r="T2368" s="754">
        <f t="shared" si="311"/>
        <v>270579</v>
      </c>
      <c r="U2368" s="859"/>
      <c r="V2368" s="863"/>
      <c r="W2368" s="859"/>
      <c r="X2368" s="859"/>
      <c r="Y2368" s="755">
        <f t="shared" si="307"/>
        <v>0</v>
      </c>
      <c r="Z2368" s="864"/>
      <c r="AA2368" s="863"/>
      <c r="AB2368" s="756">
        <f t="shared" si="308"/>
        <v>0</v>
      </c>
      <c r="AC2368" s="859"/>
      <c r="AD2368" s="863"/>
      <c r="AE2368" s="859"/>
      <c r="AF2368" s="859"/>
      <c r="AG2368" s="864"/>
      <c r="AH2368" s="865"/>
      <c r="AI2368" s="757">
        <f t="shared" si="312"/>
        <v>258934</v>
      </c>
      <c r="AJ2368" s="758">
        <f t="shared" si="313"/>
        <v>270579</v>
      </c>
    </row>
    <row r="2369" spans="1:36" x14ac:dyDescent="0.2">
      <c r="A2369" s="1421" t="s">
        <v>146</v>
      </c>
      <c r="B2369" s="1293" t="s">
        <v>264</v>
      </c>
      <c r="C2369" s="1422" t="s">
        <v>1725</v>
      </c>
      <c r="D2369" s="1423"/>
      <c r="E2369" s="1424">
        <v>218353</v>
      </c>
      <c r="F2369" s="1259">
        <v>8</v>
      </c>
      <c r="G2369" s="859">
        <v>12939485</v>
      </c>
      <c r="H2369" s="860">
        <v>13162580</v>
      </c>
      <c r="I2369" s="861"/>
      <c r="J2369" s="862"/>
      <c r="K2369" s="859">
        <v>8691390</v>
      </c>
      <c r="L2369" s="863">
        <v>8691390</v>
      </c>
      <c r="M2369" s="859">
        <v>52752098</v>
      </c>
      <c r="N2369" s="859">
        <v>1888035</v>
      </c>
      <c r="O2369" s="752">
        <f t="shared" si="306"/>
        <v>54640133</v>
      </c>
      <c r="P2369" s="862">
        <v>52752098</v>
      </c>
      <c r="Q2369" s="860">
        <v>1888035</v>
      </c>
      <c r="R2369" s="753">
        <f t="shared" si="309"/>
        <v>54640133</v>
      </c>
      <c r="S2369" s="752">
        <f t="shared" si="310"/>
        <v>74382973</v>
      </c>
      <c r="T2369" s="754">
        <f t="shared" si="311"/>
        <v>74606068</v>
      </c>
      <c r="U2369" s="859"/>
      <c r="V2369" s="863"/>
      <c r="W2369" s="859"/>
      <c r="X2369" s="859"/>
      <c r="Y2369" s="755">
        <f t="shared" si="307"/>
        <v>0</v>
      </c>
      <c r="Z2369" s="864"/>
      <c r="AA2369" s="863"/>
      <c r="AB2369" s="756">
        <f t="shared" si="308"/>
        <v>0</v>
      </c>
      <c r="AC2369" s="859"/>
      <c r="AD2369" s="863"/>
      <c r="AE2369" s="859"/>
      <c r="AF2369" s="859"/>
      <c r="AG2369" s="864"/>
      <c r="AH2369" s="865"/>
      <c r="AI2369" s="757">
        <f t="shared" si="312"/>
        <v>74382973</v>
      </c>
      <c r="AJ2369" s="758">
        <f t="shared" si="313"/>
        <v>74606068</v>
      </c>
    </row>
    <row r="2370" spans="1:36" x14ac:dyDescent="0.2">
      <c r="A2370" s="1421" t="s">
        <v>146</v>
      </c>
      <c r="B2370" s="1293" t="s">
        <v>272</v>
      </c>
      <c r="C2370" s="1282" t="s">
        <v>970</v>
      </c>
      <c r="D2370" s="1283"/>
      <c r="E2370" s="1424">
        <v>218353</v>
      </c>
      <c r="F2370" s="1259">
        <v>8</v>
      </c>
      <c r="G2370" s="859"/>
      <c r="H2370" s="860"/>
      <c r="I2370" s="861"/>
      <c r="J2370" s="862"/>
      <c r="K2370" s="859"/>
      <c r="L2370" s="863"/>
      <c r="M2370" s="859"/>
      <c r="N2370" s="859"/>
      <c r="O2370" s="752">
        <f t="shared" si="306"/>
        <v>0</v>
      </c>
      <c r="P2370" s="1435"/>
      <c r="Q2370" s="1436"/>
      <c r="R2370" s="753">
        <f t="shared" si="309"/>
        <v>0</v>
      </c>
      <c r="S2370" s="752">
        <f t="shared" si="310"/>
        <v>0</v>
      </c>
      <c r="T2370" s="754">
        <f t="shared" si="311"/>
        <v>0</v>
      </c>
      <c r="U2370" s="859"/>
      <c r="V2370" s="863"/>
      <c r="W2370" s="859"/>
      <c r="X2370" s="859"/>
      <c r="Y2370" s="755">
        <f t="shared" si="307"/>
        <v>0</v>
      </c>
      <c r="Z2370" s="864"/>
      <c r="AA2370" s="863"/>
      <c r="AB2370" s="756">
        <f t="shared" si="308"/>
        <v>0</v>
      </c>
      <c r="AC2370" s="859"/>
      <c r="AD2370" s="863"/>
      <c r="AE2370" s="859"/>
      <c r="AF2370" s="859"/>
      <c r="AG2370" s="864"/>
      <c r="AH2370" s="865"/>
      <c r="AI2370" s="757">
        <f t="shared" si="312"/>
        <v>0</v>
      </c>
      <c r="AJ2370" s="758">
        <f t="shared" si="313"/>
        <v>0</v>
      </c>
    </row>
    <row r="2371" spans="1:36" x14ac:dyDescent="0.2">
      <c r="A2371" s="1421" t="s">
        <v>146</v>
      </c>
      <c r="B2371" s="1293" t="s">
        <v>272</v>
      </c>
      <c r="C2371" s="1429" t="s">
        <v>1671</v>
      </c>
      <c r="D2371" s="1430"/>
      <c r="E2371" s="1424">
        <v>218353</v>
      </c>
      <c r="F2371" s="1259">
        <v>8</v>
      </c>
      <c r="G2371" s="859"/>
      <c r="H2371" s="860"/>
      <c r="I2371" s="861">
        <v>650</v>
      </c>
      <c r="J2371" s="862">
        <v>602</v>
      </c>
      <c r="K2371" s="859"/>
      <c r="L2371" s="863"/>
      <c r="M2371" s="859"/>
      <c r="N2371" s="859"/>
      <c r="O2371" s="752">
        <f t="shared" si="306"/>
        <v>0</v>
      </c>
      <c r="P2371" s="1435"/>
      <c r="Q2371" s="1436"/>
      <c r="R2371" s="753">
        <f t="shared" si="309"/>
        <v>0</v>
      </c>
      <c r="S2371" s="752">
        <f t="shared" si="310"/>
        <v>650</v>
      </c>
      <c r="T2371" s="754">
        <f t="shared" si="311"/>
        <v>602</v>
      </c>
      <c r="U2371" s="859"/>
      <c r="V2371" s="863"/>
      <c r="W2371" s="859"/>
      <c r="X2371" s="859"/>
      <c r="Y2371" s="755">
        <f t="shared" si="307"/>
        <v>0</v>
      </c>
      <c r="Z2371" s="864"/>
      <c r="AA2371" s="863"/>
      <c r="AB2371" s="756">
        <f t="shared" si="308"/>
        <v>0</v>
      </c>
      <c r="AC2371" s="859"/>
      <c r="AD2371" s="863"/>
      <c r="AE2371" s="859"/>
      <c r="AF2371" s="859"/>
      <c r="AG2371" s="864"/>
      <c r="AH2371" s="865"/>
      <c r="AI2371" s="757">
        <f t="shared" si="312"/>
        <v>650</v>
      </c>
      <c r="AJ2371" s="758">
        <f t="shared" si="313"/>
        <v>602</v>
      </c>
    </row>
    <row r="2372" spans="1:36" x14ac:dyDescent="0.2">
      <c r="A2372" s="1421" t="s">
        <v>146</v>
      </c>
      <c r="B2372" s="1293" t="s">
        <v>272</v>
      </c>
      <c r="C2372" s="1429" t="s">
        <v>1689</v>
      </c>
      <c r="D2372" s="1430"/>
      <c r="E2372" s="1424">
        <v>218353</v>
      </c>
      <c r="F2372" s="1259">
        <v>8</v>
      </c>
      <c r="G2372" s="859"/>
      <c r="H2372" s="860"/>
      <c r="I2372" s="861"/>
      <c r="J2372" s="862">
        <v>176540</v>
      </c>
      <c r="K2372" s="859"/>
      <c r="L2372" s="863"/>
      <c r="M2372" s="859"/>
      <c r="N2372" s="859"/>
      <c r="O2372" s="752">
        <f t="shared" si="306"/>
        <v>0</v>
      </c>
      <c r="P2372" s="862"/>
      <c r="Q2372" s="860"/>
      <c r="R2372" s="753">
        <f t="shared" si="309"/>
        <v>0</v>
      </c>
      <c r="S2372" s="752">
        <f t="shared" si="310"/>
        <v>0</v>
      </c>
      <c r="T2372" s="754">
        <f t="shared" si="311"/>
        <v>176540</v>
      </c>
      <c r="U2372" s="859"/>
      <c r="V2372" s="863"/>
      <c r="W2372" s="859"/>
      <c r="X2372" s="859"/>
      <c r="Y2372" s="755">
        <f t="shared" si="307"/>
        <v>0</v>
      </c>
      <c r="Z2372" s="864"/>
      <c r="AA2372" s="863"/>
      <c r="AB2372" s="756">
        <f t="shared" si="308"/>
        <v>0</v>
      </c>
      <c r="AC2372" s="859"/>
      <c r="AD2372" s="863"/>
      <c r="AE2372" s="859"/>
      <c r="AF2372" s="859"/>
      <c r="AG2372" s="864"/>
      <c r="AH2372" s="865"/>
      <c r="AI2372" s="757">
        <f t="shared" si="312"/>
        <v>0</v>
      </c>
      <c r="AJ2372" s="758">
        <f t="shared" si="313"/>
        <v>176540</v>
      </c>
    </row>
    <row r="2373" spans="1:36" x14ac:dyDescent="0.2">
      <c r="A2373" s="1421" t="s">
        <v>146</v>
      </c>
      <c r="B2373" s="1293" t="s">
        <v>272</v>
      </c>
      <c r="C2373" s="1429" t="s">
        <v>1720</v>
      </c>
      <c r="D2373" s="1430"/>
      <c r="E2373" s="1424">
        <v>218353</v>
      </c>
      <c r="F2373" s="1259">
        <v>8</v>
      </c>
      <c r="G2373" s="859"/>
      <c r="H2373" s="860"/>
      <c r="I2373" s="861"/>
      <c r="J2373" s="862">
        <v>51948</v>
      </c>
      <c r="K2373" s="859"/>
      <c r="L2373" s="863"/>
      <c r="M2373" s="859"/>
      <c r="N2373" s="859"/>
      <c r="O2373" s="752">
        <f t="shared" si="306"/>
        <v>0</v>
      </c>
      <c r="P2373" s="862"/>
      <c r="Q2373" s="860"/>
      <c r="R2373" s="753">
        <f t="shared" si="309"/>
        <v>0</v>
      </c>
      <c r="S2373" s="752">
        <f t="shared" si="310"/>
        <v>0</v>
      </c>
      <c r="T2373" s="754">
        <f t="shared" si="311"/>
        <v>51948</v>
      </c>
      <c r="U2373" s="859"/>
      <c r="V2373" s="863"/>
      <c r="W2373" s="859"/>
      <c r="X2373" s="859"/>
      <c r="Y2373" s="755">
        <f t="shared" si="307"/>
        <v>0</v>
      </c>
      <c r="Z2373" s="864"/>
      <c r="AA2373" s="863"/>
      <c r="AB2373" s="756">
        <f t="shared" si="308"/>
        <v>0</v>
      </c>
      <c r="AC2373" s="859"/>
      <c r="AD2373" s="863"/>
      <c r="AE2373" s="859"/>
      <c r="AF2373" s="859"/>
      <c r="AG2373" s="864"/>
      <c r="AH2373" s="865"/>
      <c r="AI2373" s="757">
        <f t="shared" si="312"/>
        <v>0</v>
      </c>
      <c r="AJ2373" s="758">
        <f t="shared" si="313"/>
        <v>51948</v>
      </c>
    </row>
    <row r="2374" spans="1:36" x14ac:dyDescent="0.2">
      <c r="A2374" s="1421" t="s">
        <v>146</v>
      </c>
      <c r="B2374" s="1293" t="s">
        <v>272</v>
      </c>
      <c r="C2374" s="1429" t="s">
        <v>1721</v>
      </c>
      <c r="D2374" s="1430"/>
      <c r="E2374" s="1424">
        <v>218353</v>
      </c>
      <c r="F2374" s="1259">
        <v>8</v>
      </c>
      <c r="G2374" s="859"/>
      <c r="H2374" s="860"/>
      <c r="I2374" s="861">
        <v>537494</v>
      </c>
      <c r="J2374" s="862"/>
      <c r="K2374" s="859"/>
      <c r="L2374" s="863"/>
      <c r="M2374" s="859"/>
      <c r="N2374" s="859"/>
      <c r="O2374" s="752">
        <f t="shared" si="306"/>
        <v>0</v>
      </c>
      <c r="P2374" s="1435"/>
      <c r="Q2374" s="1436"/>
      <c r="R2374" s="753">
        <f t="shared" si="309"/>
        <v>0</v>
      </c>
      <c r="S2374" s="752">
        <f t="shared" si="310"/>
        <v>537494</v>
      </c>
      <c r="T2374" s="754">
        <f t="shared" si="311"/>
        <v>0</v>
      </c>
      <c r="U2374" s="859"/>
      <c r="V2374" s="863"/>
      <c r="W2374" s="859"/>
      <c r="X2374" s="859"/>
      <c r="Y2374" s="755">
        <f t="shared" si="307"/>
        <v>0</v>
      </c>
      <c r="Z2374" s="864"/>
      <c r="AA2374" s="863"/>
      <c r="AB2374" s="756">
        <f t="shared" si="308"/>
        <v>0</v>
      </c>
      <c r="AC2374" s="859"/>
      <c r="AD2374" s="863"/>
      <c r="AE2374" s="859"/>
      <c r="AF2374" s="859"/>
      <c r="AG2374" s="864"/>
      <c r="AH2374" s="865"/>
      <c r="AI2374" s="757">
        <f t="shared" si="312"/>
        <v>537494</v>
      </c>
      <c r="AJ2374" s="758">
        <f t="shared" si="313"/>
        <v>0</v>
      </c>
    </row>
    <row r="2375" spans="1:36" x14ac:dyDescent="0.2">
      <c r="A2375" s="1421" t="s">
        <v>146</v>
      </c>
      <c r="B2375" s="1293" t="s">
        <v>272</v>
      </c>
      <c r="C2375" s="1284" t="s">
        <v>1726</v>
      </c>
      <c r="D2375" s="1283"/>
      <c r="E2375" s="1424">
        <v>218353</v>
      </c>
      <c r="F2375" s="1259">
        <v>8</v>
      </c>
      <c r="G2375" s="859"/>
      <c r="H2375" s="860"/>
      <c r="I2375" s="861">
        <v>370943</v>
      </c>
      <c r="J2375" s="862">
        <v>370943</v>
      </c>
      <c r="K2375" s="859"/>
      <c r="L2375" s="863"/>
      <c r="M2375" s="859"/>
      <c r="N2375" s="859"/>
      <c r="O2375" s="752">
        <f t="shared" si="306"/>
        <v>0</v>
      </c>
      <c r="P2375" s="862"/>
      <c r="Q2375" s="860"/>
      <c r="R2375" s="753">
        <f t="shared" si="309"/>
        <v>0</v>
      </c>
      <c r="S2375" s="752">
        <f t="shared" si="310"/>
        <v>370943</v>
      </c>
      <c r="T2375" s="754">
        <f t="shared" si="311"/>
        <v>370943</v>
      </c>
      <c r="U2375" s="859"/>
      <c r="V2375" s="863"/>
      <c r="W2375" s="859"/>
      <c r="X2375" s="859"/>
      <c r="Y2375" s="755">
        <f t="shared" si="307"/>
        <v>0</v>
      </c>
      <c r="Z2375" s="864"/>
      <c r="AA2375" s="863"/>
      <c r="AB2375" s="756">
        <f t="shared" si="308"/>
        <v>0</v>
      </c>
      <c r="AC2375" s="859"/>
      <c r="AD2375" s="863"/>
      <c r="AE2375" s="859"/>
      <c r="AF2375" s="859"/>
      <c r="AG2375" s="864"/>
      <c r="AH2375" s="865"/>
      <c r="AI2375" s="757">
        <f t="shared" si="312"/>
        <v>370943</v>
      </c>
      <c r="AJ2375" s="758">
        <f t="shared" si="313"/>
        <v>370943</v>
      </c>
    </row>
    <row r="2376" spans="1:36" x14ac:dyDescent="0.2">
      <c r="A2376" s="1421" t="s">
        <v>146</v>
      </c>
      <c r="B2376" s="1293" t="s">
        <v>272</v>
      </c>
      <c r="C2376" s="1284" t="s">
        <v>1722</v>
      </c>
      <c r="D2376" s="1283"/>
      <c r="E2376" s="1424">
        <v>218353</v>
      </c>
      <c r="F2376" s="1259">
        <v>8</v>
      </c>
      <c r="G2376" s="859"/>
      <c r="H2376" s="860"/>
      <c r="I2376" s="861">
        <v>37784</v>
      </c>
      <c r="J2376" s="862">
        <v>37784</v>
      </c>
      <c r="K2376" s="859"/>
      <c r="L2376" s="863"/>
      <c r="M2376" s="859"/>
      <c r="N2376" s="859"/>
      <c r="O2376" s="752">
        <f t="shared" si="306"/>
        <v>0</v>
      </c>
      <c r="P2376" s="862"/>
      <c r="Q2376" s="860"/>
      <c r="R2376" s="753">
        <f t="shared" si="309"/>
        <v>0</v>
      </c>
      <c r="S2376" s="752">
        <f t="shared" si="310"/>
        <v>37784</v>
      </c>
      <c r="T2376" s="754">
        <f t="shared" si="311"/>
        <v>37784</v>
      </c>
      <c r="U2376" s="859"/>
      <c r="V2376" s="863"/>
      <c r="W2376" s="859"/>
      <c r="X2376" s="859"/>
      <c r="Y2376" s="755">
        <f t="shared" si="307"/>
        <v>0</v>
      </c>
      <c r="Z2376" s="864"/>
      <c r="AA2376" s="863"/>
      <c r="AB2376" s="756">
        <f t="shared" si="308"/>
        <v>0</v>
      </c>
      <c r="AC2376" s="859"/>
      <c r="AD2376" s="863"/>
      <c r="AE2376" s="859"/>
      <c r="AF2376" s="859"/>
      <c r="AG2376" s="864"/>
      <c r="AH2376" s="865"/>
      <c r="AI2376" s="757">
        <f t="shared" si="312"/>
        <v>37784</v>
      </c>
      <c r="AJ2376" s="758">
        <f t="shared" si="313"/>
        <v>37784</v>
      </c>
    </row>
    <row r="2377" spans="1:36" x14ac:dyDescent="0.2">
      <c r="A2377" s="1421" t="s">
        <v>146</v>
      </c>
      <c r="B2377" s="1293" t="s">
        <v>272</v>
      </c>
      <c r="C2377" s="1284" t="s">
        <v>1687</v>
      </c>
      <c r="D2377" s="1283"/>
      <c r="E2377" s="1424">
        <v>218353</v>
      </c>
      <c r="F2377" s="1259">
        <v>8</v>
      </c>
      <c r="G2377" s="859"/>
      <c r="H2377" s="860"/>
      <c r="I2377" s="861">
        <v>483151</v>
      </c>
      <c r="J2377" s="862">
        <v>506553</v>
      </c>
      <c r="K2377" s="859"/>
      <c r="L2377" s="863"/>
      <c r="M2377" s="859"/>
      <c r="N2377" s="859"/>
      <c r="O2377" s="752">
        <f t="shared" si="306"/>
        <v>0</v>
      </c>
      <c r="P2377" s="862"/>
      <c r="Q2377" s="860"/>
      <c r="R2377" s="753">
        <f t="shared" si="309"/>
        <v>0</v>
      </c>
      <c r="S2377" s="752">
        <f t="shared" si="310"/>
        <v>483151</v>
      </c>
      <c r="T2377" s="754">
        <f t="shared" si="311"/>
        <v>506553</v>
      </c>
      <c r="U2377" s="859"/>
      <c r="V2377" s="863"/>
      <c r="W2377" s="859"/>
      <c r="X2377" s="859"/>
      <c r="Y2377" s="755">
        <f t="shared" si="307"/>
        <v>0</v>
      </c>
      <c r="Z2377" s="864"/>
      <c r="AA2377" s="863"/>
      <c r="AB2377" s="756">
        <f t="shared" si="308"/>
        <v>0</v>
      </c>
      <c r="AC2377" s="859"/>
      <c r="AD2377" s="863"/>
      <c r="AE2377" s="859"/>
      <c r="AF2377" s="859"/>
      <c r="AG2377" s="864"/>
      <c r="AH2377" s="865"/>
      <c r="AI2377" s="757">
        <f t="shared" si="312"/>
        <v>483151</v>
      </c>
      <c r="AJ2377" s="758">
        <f t="shared" si="313"/>
        <v>506553</v>
      </c>
    </row>
    <row r="2378" spans="1:36" x14ac:dyDescent="0.2">
      <c r="A2378" s="1421" t="s">
        <v>146</v>
      </c>
      <c r="B2378" s="1293" t="s">
        <v>272</v>
      </c>
      <c r="C2378" s="1429" t="s">
        <v>1727</v>
      </c>
      <c r="D2378" s="1430"/>
      <c r="E2378" s="1424">
        <v>218353</v>
      </c>
      <c r="F2378" s="1259">
        <v>8</v>
      </c>
      <c r="G2378" s="859"/>
      <c r="H2378" s="860"/>
      <c r="I2378" s="861"/>
      <c r="J2378" s="862">
        <v>1500000</v>
      </c>
      <c r="K2378" s="859"/>
      <c r="L2378" s="863"/>
      <c r="M2378" s="859"/>
      <c r="N2378" s="859"/>
      <c r="O2378" s="752">
        <f t="shared" si="306"/>
        <v>0</v>
      </c>
      <c r="P2378" s="862"/>
      <c r="Q2378" s="860"/>
      <c r="R2378" s="753">
        <f t="shared" si="309"/>
        <v>0</v>
      </c>
      <c r="S2378" s="752">
        <f t="shared" si="310"/>
        <v>0</v>
      </c>
      <c r="T2378" s="754">
        <f t="shared" si="311"/>
        <v>1500000</v>
      </c>
      <c r="U2378" s="859"/>
      <c r="V2378" s="863"/>
      <c r="W2378" s="859"/>
      <c r="X2378" s="859"/>
      <c r="Y2378" s="755">
        <f t="shared" si="307"/>
        <v>0</v>
      </c>
      <c r="Z2378" s="864"/>
      <c r="AA2378" s="863"/>
      <c r="AB2378" s="756">
        <f t="shared" si="308"/>
        <v>0</v>
      </c>
      <c r="AC2378" s="859"/>
      <c r="AD2378" s="863"/>
      <c r="AE2378" s="859"/>
      <c r="AF2378" s="859"/>
      <c r="AG2378" s="864"/>
      <c r="AH2378" s="865"/>
      <c r="AI2378" s="757">
        <f t="shared" si="312"/>
        <v>0</v>
      </c>
      <c r="AJ2378" s="758">
        <f t="shared" si="313"/>
        <v>1500000</v>
      </c>
    </row>
    <row r="2379" spans="1:36" x14ac:dyDescent="0.2">
      <c r="A2379" s="1421" t="s">
        <v>146</v>
      </c>
      <c r="B2379" s="1293" t="s">
        <v>264</v>
      </c>
      <c r="C2379" s="1277" t="s">
        <v>1736</v>
      </c>
      <c r="D2379" s="1433"/>
      <c r="E2379" s="1424">
        <v>218520</v>
      </c>
      <c r="F2379" s="1445">
        <v>8</v>
      </c>
      <c r="G2379" s="859">
        <v>6370397</v>
      </c>
      <c r="H2379" s="860">
        <v>6441348</v>
      </c>
      <c r="I2379" s="861"/>
      <c r="J2379" s="862"/>
      <c r="K2379" s="859">
        <v>1968467</v>
      </c>
      <c r="L2379" s="863">
        <v>1968467</v>
      </c>
      <c r="M2379" s="859">
        <v>23200921</v>
      </c>
      <c r="N2379" s="859">
        <v>0</v>
      </c>
      <c r="O2379" s="752">
        <f t="shared" ref="O2379:O2442" si="314">SUM(M2379:N2379)</f>
        <v>23200921</v>
      </c>
      <c r="P2379" s="862">
        <v>23200921</v>
      </c>
      <c r="Q2379" s="860">
        <v>0</v>
      </c>
      <c r="R2379" s="753">
        <f t="shared" si="309"/>
        <v>23200921</v>
      </c>
      <c r="S2379" s="752">
        <f t="shared" si="310"/>
        <v>31539785</v>
      </c>
      <c r="T2379" s="754">
        <f t="shared" si="311"/>
        <v>31610736</v>
      </c>
      <c r="U2379" s="859"/>
      <c r="V2379" s="863"/>
      <c r="W2379" s="859"/>
      <c r="X2379" s="859"/>
      <c r="Y2379" s="755">
        <f t="shared" ref="Y2379:Y2442" si="315">SUM(W2379:X2379)</f>
        <v>0</v>
      </c>
      <c r="Z2379" s="864"/>
      <c r="AA2379" s="863"/>
      <c r="AB2379" s="756">
        <f t="shared" ref="AB2379:AB2442" si="316">SUM(Z2379:AA2379)</f>
        <v>0</v>
      </c>
      <c r="AC2379" s="859"/>
      <c r="AD2379" s="863"/>
      <c r="AE2379" s="859"/>
      <c r="AF2379" s="859"/>
      <c r="AG2379" s="864"/>
      <c r="AH2379" s="865"/>
      <c r="AI2379" s="757">
        <f t="shared" si="312"/>
        <v>31539785</v>
      </c>
      <c r="AJ2379" s="758">
        <f t="shared" si="313"/>
        <v>31610736</v>
      </c>
    </row>
    <row r="2380" spans="1:36" x14ac:dyDescent="0.2">
      <c r="A2380" s="1421" t="s">
        <v>146</v>
      </c>
      <c r="B2380" s="1293" t="s">
        <v>272</v>
      </c>
      <c r="C2380" s="1282" t="s">
        <v>970</v>
      </c>
      <c r="D2380" s="1283"/>
      <c r="E2380" s="1424">
        <v>218520</v>
      </c>
      <c r="F2380" s="1445">
        <v>8</v>
      </c>
      <c r="G2380" s="859"/>
      <c r="H2380" s="860"/>
      <c r="I2380" s="861"/>
      <c r="J2380" s="862"/>
      <c r="K2380" s="859"/>
      <c r="L2380" s="863"/>
      <c r="M2380" s="859"/>
      <c r="N2380" s="859"/>
      <c r="O2380" s="752">
        <f t="shared" si="314"/>
        <v>0</v>
      </c>
      <c r="P2380" s="862"/>
      <c r="Q2380" s="860"/>
      <c r="R2380" s="753">
        <f t="shared" ref="R2380:R2443" si="317">SUM(P2380:Q2380)</f>
        <v>0</v>
      </c>
      <c r="S2380" s="752">
        <f t="shared" ref="S2380:S2443" si="318">SUM(G2380,I2380,K2380,M2380)</f>
        <v>0</v>
      </c>
      <c r="T2380" s="754">
        <f t="shared" ref="T2380:T2443" si="319">SUM(H2380,J2380,L2380,P2380)</f>
        <v>0</v>
      </c>
      <c r="U2380" s="859"/>
      <c r="V2380" s="863"/>
      <c r="W2380" s="859"/>
      <c r="X2380" s="859"/>
      <c r="Y2380" s="755">
        <f t="shared" si="315"/>
        <v>0</v>
      </c>
      <c r="Z2380" s="864"/>
      <c r="AA2380" s="863"/>
      <c r="AB2380" s="756">
        <f t="shared" si="316"/>
        <v>0</v>
      </c>
      <c r="AC2380" s="859"/>
      <c r="AD2380" s="863"/>
      <c r="AE2380" s="859"/>
      <c r="AF2380" s="859"/>
      <c r="AG2380" s="864"/>
      <c r="AH2380" s="865"/>
      <c r="AI2380" s="757">
        <f t="shared" ref="AI2380:AI2443" si="320">SUM(S2380,U2380,W2380,AC2380,AE2380)</f>
        <v>0</v>
      </c>
      <c r="AJ2380" s="758">
        <f t="shared" ref="AJ2380:AJ2443" si="321">SUM(T2380,V2380,Z2380,AD2380,AG2380)</f>
        <v>0</v>
      </c>
    </row>
    <row r="2381" spans="1:36" x14ac:dyDescent="0.2">
      <c r="A2381" s="1421" t="s">
        <v>146</v>
      </c>
      <c r="B2381" s="1293" t="s">
        <v>272</v>
      </c>
      <c r="C2381" s="1429" t="s">
        <v>1671</v>
      </c>
      <c r="D2381" s="1430"/>
      <c r="E2381" s="1424">
        <v>218520</v>
      </c>
      <c r="F2381" s="1445">
        <v>8</v>
      </c>
      <c r="G2381" s="859"/>
      <c r="H2381" s="860"/>
      <c r="I2381" s="861">
        <v>159</v>
      </c>
      <c r="J2381" s="862">
        <v>164</v>
      </c>
      <c r="K2381" s="859"/>
      <c r="L2381" s="863"/>
      <c r="M2381" s="859"/>
      <c r="N2381" s="859"/>
      <c r="O2381" s="752">
        <f t="shared" si="314"/>
        <v>0</v>
      </c>
      <c r="P2381" s="862"/>
      <c r="Q2381" s="860"/>
      <c r="R2381" s="753">
        <f t="shared" si="317"/>
        <v>0</v>
      </c>
      <c r="S2381" s="752">
        <f t="shared" si="318"/>
        <v>159</v>
      </c>
      <c r="T2381" s="754">
        <f t="shared" si="319"/>
        <v>164</v>
      </c>
      <c r="U2381" s="859"/>
      <c r="V2381" s="863"/>
      <c r="W2381" s="859"/>
      <c r="X2381" s="859"/>
      <c r="Y2381" s="755">
        <f t="shared" si="315"/>
        <v>0</v>
      </c>
      <c r="Z2381" s="864"/>
      <c r="AA2381" s="863"/>
      <c r="AB2381" s="756">
        <f t="shared" si="316"/>
        <v>0</v>
      </c>
      <c r="AC2381" s="859"/>
      <c r="AD2381" s="863"/>
      <c r="AE2381" s="859"/>
      <c r="AF2381" s="859"/>
      <c r="AG2381" s="864"/>
      <c r="AH2381" s="865"/>
      <c r="AI2381" s="757">
        <f t="shared" si="320"/>
        <v>159</v>
      </c>
      <c r="AJ2381" s="758">
        <f t="shared" si="321"/>
        <v>164</v>
      </c>
    </row>
    <row r="2382" spans="1:36" x14ac:dyDescent="0.2">
      <c r="A2382" s="1421" t="s">
        <v>146</v>
      </c>
      <c r="B2382" s="1293" t="s">
        <v>272</v>
      </c>
      <c r="C2382" s="1429" t="s">
        <v>1689</v>
      </c>
      <c r="D2382" s="1430"/>
      <c r="E2382" s="1424">
        <v>218520</v>
      </c>
      <c r="F2382" s="1445">
        <v>8</v>
      </c>
      <c r="G2382" s="859"/>
      <c r="H2382" s="860"/>
      <c r="I2382" s="861"/>
      <c r="J2382" s="862">
        <v>122709</v>
      </c>
      <c r="K2382" s="859"/>
      <c r="L2382" s="863"/>
      <c r="M2382" s="859"/>
      <c r="N2382" s="859"/>
      <c r="O2382" s="752">
        <f t="shared" si="314"/>
        <v>0</v>
      </c>
      <c r="P2382" s="862"/>
      <c r="Q2382" s="860"/>
      <c r="R2382" s="753">
        <f t="shared" si="317"/>
        <v>0</v>
      </c>
      <c r="S2382" s="752">
        <f t="shared" si="318"/>
        <v>0</v>
      </c>
      <c r="T2382" s="754">
        <f t="shared" si="319"/>
        <v>122709</v>
      </c>
      <c r="U2382" s="859"/>
      <c r="V2382" s="863"/>
      <c r="W2382" s="859"/>
      <c r="X2382" s="859"/>
      <c r="Y2382" s="755">
        <f t="shared" si="315"/>
        <v>0</v>
      </c>
      <c r="Z2382" s="864"/>
      <c r="AA2382" s="863"/>
      <c r="AB2382" s="756">
        <f t="shared" si="316"/>
        <v>0</v>
      </c>
      <c r="AC2382" s="859"/>
      <c r="AD2382" s="863"/>
      <c r="AE2382" s="859"/>
      <c r="AF2382" s="859"/>
      <c r="AG2382" s="864"/>
      <c r="AH2382" s="865"/>
      <c r="AI2382" s="757">
        <f t="shared" si="320"/>
        <v>0</v>
      </c>
      <c r="AJ2382" s="758">
        <f t="shared" si="321"/>
        <v>122709</v>
      </c>
    </row>
    <row r="2383" spans="1:36" x14ac:dyDescent="0.2">
      <c r="A2383" s="1421" t="s">
        <v>146</v>
      </c>
      <c r="B2383" s="1293" t="s">
        <v>272</v>
      </c>
      <c r="C2383" s="1429" t="s">
        <v>1720</v>
      </c>
      <c r="D2383" s="1430"/>
      <c r="E2383" s="1424">
        <v>218520</v>
      </c>
      <c r="F2383" s="1445">
        <v>8</v>
      </c>
      <c r="G2383" s="859"/>
      <c r="H2383" s="860"/>
      <c r="I2383" s="861"/>
      <c r="J2383" s="862">
        <v>39557</v>
      </c>
      <c r="K2383" s="859"/>
      <c r="L2383" s="863"/>
      <c r="M2383" s="859"/>
      <c r="N2383" s="859"/>
      <c r="O2383" s="752">
        <f t="shared" si="314"/>
        <v>0</v>
      </c>
      <c r="P2383" s="862"/>
      <c r="Q2383" s="860"/>
      <c r="R2383" s="753">
        <f t="shared" si="317"/>
        <v>0</v>
      </c>
      <c r="S2383" s="752">
        <f t="shared" si="318"/>
        <v>0</v>
      </c>
      <c r="T2383" s="754">
        <f t="shared" si="319"/>
        <v>39557</v>
      </c>
      <c r="U2383" s="859"/>
      <c r="V2383" s="863"/>
      <c r="W2383" s="859"/>
      <c r="X2383" s="859"/>
      <c r="Y2383" s="755">
        <f t="shared" si="315"/>
        <v>0</v>
      </c>
      <c r="Z2383" s="864"/>
      <c r="AA2383" s="863"/>
      <c r="AB2383" s="756">
        <f t="shared" si="316"/>
        <v>0</v>
      </c>
      <c r="AC2383" s="859"/>
      <c r="AD2383" s="863"/>
      <c r="AE2383" s="859"/>
      <c r="AF2383" s="859"/>
      <c r="AG2383" s="864"/>
      <c r="AH2383" s="865"/>
      <c r="AI2383" s="757">
        <f t="shared" si="320"/>
        <v>0</v>
      </c>
      <c r="AJ2383" s="758">
        <f t="shared" si="321"/>
        <v>39557</v>
      </c>
    </row>
    <row r="2384" spans="1:36" x14ac:dyDescent="0.2">
      <c r="A2384" s="1421" t="s">
        <v>146</v>
      </c>
      <c r="B2384" s="1293" t="s">
        <v>272</v>
      </c>
      <c r="C2384" s="1429" t="s">
        <v>1721</v>
      </c>
      <c r="D2384" s="1430"/>
      <c r="E2384" s="1424">
        <v>218520</v>
      </c>
      <c r="F2384" s="1445">
        <v>8</v>
      </c>
      <c r="G2384" s="859"/>
      <c r="H2384" s="860"/>
      <c r="I2384" s="861">
        <v>325835</v>
      </c>
      <c r="J2384" s="862"/>
      <c r="K2384" s="859"/>
      <c r="L2384" s="863"/>
      <c r="M2384" s="859"/>
      <c r="N2384" s="859"/>
      <c r="O2384" s="752">
        <f t="shared" si="314"/>
        <v>0</v>
      </c>
      <c r="P2384" s="862"/>
      <c r="Q2384" s="860"/>
      <c r="R2384" s="753">
        <f t="shared" si="317"/>
        <v>0</v>
      </c>
      <c r="S2384" s="752">
        <f t="shared" si="318"/>
        <v>325835</v>
      </c>
      <c r="T2384" s="754">
        <f t="shared" si="319"/>
        <v>0</v>
      </c>
      <c r="U2384" s="859"/>
      <c r="V2384" s="863"/>
      <c r="W2384" s="859"/>
      <c r="X2384" s="859"/>
      <c r="Y2384" s="755">
        <f t="shared" si="315"/>
        <v>0</v>
      </c>
      <c r="Z2384" s="864"/>
      <c r="AA2384" s="863"/>
      <c r="AB2384" s="756">
        <f t="shared" si="316"/>
        <v>0</v>
      </c>
      <c r="AC2384" s="859"/>
      <c r="AD2384" s="863"/>
      <c r="AE2384" s="859"/>
      <c r="AF2384" s="859"/>
      <c r="AG2384" s="864"/>
      <c r="AH2384" s="865"/>
      <c r="AI2384" s="757">
        <f t="shared" si="320"/>
        <v>325835</v>
      </c>
      <c r="AJ2384" s="758">
        <f t="shared" si="321"/>
        <v>0</v>
      </c>
    </row>
    <row r="2385" spans="1:36" x14ac:dyDescent="0.2">
      <c r="A2385" s="1421" t="s">
        <v>146</v>
      </c>
      <c r="B2385" s="1293" t="s">
        <v>272</v>
      </c>
      <c r="C2385" s="1284" t="s">
        <v>1722</v>
      </c>
      <c r="D2385" s="1283"/>
      <c r="E2385" s="1424">
        <v>218520</v>
      </c>
      <c r="F2385" s="1445">
        <v>8</v>
      </c>
      <c r="G2385" s="859"/>
      <c r="H2385" s="860"/>
      <c r="I2385" s="861">
        <v>37784</v>
      </c>
      <c r="J2385" s="862">
        <v>37784</v>
      </c>
      <c r="K2385" s="859"/>
      <c r="L2385" s="863"/>
      <c r="M2385" s="859"/>
      <c r="N2385" s="859"/>
      <c r="O2385" s="752">
        <f t="shared" si="314"/>
        <v>0</v>
      </c>
      <c r="P2385" s="862"/>
      <c r="Q2385" s="860"/>
      <c r="R2385" s="753">
        <f t="shared" si="317"/>
        <v>0</v>
      </c>
      <c r="S2385" s="752">
        <f t="shared" si="318"/>
        <v>37784</v>
      </c>
      <c r="T2385" s="754">
        <f t="shared" si="319"/>
        <v>37784</v>
      </c>
      <c r="U2385" s="859"/>
      <c r="V2385" s="863"/>
      <c r="W2385" s="859"/>
      <c r="X2385" s="859"/>
      <c r="Y2385" s="755">
        <f t="shared" si="315"/>
        <v>0</v>
      </c>
      <c r="Z2385" s="864"/>
      <c r="AA2385" s="863"/>
      <c r="AB2385" s="756">
        <f t="shared" si="316"/>
        <v>0</v>
      </c>
      <c r="AC2385" s="859"/>
      <c r="AD2385" s="863"/>
      <c r="AE2385" s="859"/>
      <c r="AF2385" s="859"/>
      <c r="AG2385" s="864"/>
      <c r="AH2385" s="865"/>
      <c r="AI2385" s="757">
        <f t="shared" si="320"/>
        <v>37784</v>
      </c>
      <c r="AJ2385" s="758">
        <f t="shared" si="321"/>
        <v>37784</v>
      </c>
    </row>
    <row r="2386" spans="1:36" x14ac:dyDescent="0.2">
      <c r="A2386" s="1421" t="s">
        <v>146</v>
      </c>
      <c r="B2386" s="1293" t="s">
        <v>272</v>
      </c>
      <c r="C2386" s="1284" t="s">
        <v>1687</v>
      </c>
      <c r="D2386" s="1283"/>
      <c r="E2386" s="1424">
        <v>218520</v>
      </c>
      <c r="F2386" s="1445">
        <v>8</v>
      </c>
      <c r="G2386" s="859"/>
      <c r="H2386" s="860"/>
      <c r="I2386" s="861">
        <v>237342</v>
      </c>
      <c r="J2386" s="862">
        <v>247891</v>
      </c>
      <c r="K2386" s="859"/>
      <c r="L2386" s="863"/>
      <c r="M2386" s="859"/>
      <c r="N2386" s="859"/>
      <c r="O2386" s="752">
        <f t="shared" si="314"/>
        <v>0</v>
      </c>
      <c r="P2386" s="862"/>
      <c r="Q2386" s="860"/>
      <c r="R2386" s="753">
        <f t="shared" si="317"/>
        <v>0</v>
      </c>
      <c r="S2386" s="752">
        <f t="shared" si="318"/>
        <v>237342</v>
      </c>
      <c r="T2386" s="754">
        <f t="shared" si="319"/>
        <v>247891</v>
      </c>
      <c r="U2386" s="859"/>
      <c r="V2386" s="863"/>
      <c r="W2386" s="859"/>
      <c r="X2386" s="859"/>
      <c r="Y2386" s="755">
        <f t="shared" si="315"/>
        <v>0</v>
      </c>
      <c r="Z2386" s="864"/>
      <c r="AA2386" s="863"/>
      <c r="AB2386" s="756">
        <f t="shared" si="316"/>
        <v>0</v>
      </c>
      <c r="AC2386" s="859"/>
      <c r="AD2386" s="863"/>
      <c r="AE2386" s="859"/>
      <c r="AF2386" s="859"/>
      <c r="AG2386" s="864"/>
      <c r="AH2386" s="865"/>
      <c r="AI2386" s="757">
        <f t="shared" si="320"/>
        <v>237342</v>
      </c>
      <c r="AJ2386" s="758">
        <f t="shared" si="321"/>
        <v>247891</v>
      </c>
    </row>
    <row r="2387" spans="1:36" x14ac:dyDescent="0.2">
      <c r="A2387" s="1421" t="s">
        <v>146</v>
      </c>
      <c r="B2387" s="1293" t="s">
        <v>264</v>
      </c>
      <c r="C2387" s="1277" t="s">
        <v>1728</v>
      </c>
      <c r="D2387" s="1433"/>
      <c r="E2387" s="1434">
        <v>218885</v>
      </c>
      <c r="F2387" s="1444">
        <v>8</v>
      </c>
      <c r="G2387" s="859">
        <v>6513225</v>
      </c>
      <c r="H2387" s="860">
        <v>6653649</v>
      </c>
      <c r="I2387" s="861"/>
      <c r="J2387" s="862"/>
      <c r="K2387" s="859">
        <v>2889507</v>
      </c>
      <c r="L2387" s="863">
        <v>2889507</v>
      </c>
      <c r="M2387" s="859">
        <v>26715261</v>
      </c>
      <c r="N2387" s="859">
        <v>1322896</v>
      </c>
      <c r="O2387" s="752">
        <f t="shared" si="314"/>
        <v>28038157</v>
      </c>
      <c r="P2387" s="862">
        <v>26715261</v>
      </c>
      <c r="Q2387" s="860">
        <v>1322896</v>
      </c>
      <c r="R2387" s="753">
        <f t="shared" si="317"/>
        <v>28038157</v>
      </c>
      <c r="S2387" s="752">
        <f t="shared" si="318"/>
        <v>36117993</v>
      </c>
      <c r="T2387" s="754">
        <f t="shared" si="319"/>
        <v>36258417</v>
      </c>
      <c r="U2387" s="859"/>
      <c r="V2387" s="863"/>
      <c r="W2387" s="859"/>
      <c r="X2387" s="859"/>
      <c r="Y2387" s="755">
        <f t="shared" si="315"/>
        <v>0</v>
      </c>
      <c r="Z2387" s="864"/>
      <c r="AA2387" s="863"/>
      <c r="AB2387" s="756">
        <f t="shared" si="316"/>
        <v>0</v>
      </c>
      <c r="AC2387" s="859"/>
      <c r="AD2387" s="863"/>
      <c r="AE2387" s="859"/>
      <c r="AF2387" s="859"/>
      <c r="AG2387" s="864"/>
      <c r="AH2387" s="865"/>
      <c r="AI2387" s="757">
        <f t="shared" si="320"/>
        <v>36117993</v>
      </c>
      <c r="AJ2387" s="758">
        <f t="shared" si="321"/>
        <v>36258417</v>
      </c>
    </row>
    <row r="2388" spans="1:36" x14ac:dyDescent="0.2">
      <c r="A2388" s="1421" t="s">
        <v>146</v>
      </c>
      <c r="B2388" s="1293" t="s">
        <v>272</v>
      </c>
      <c r="C2388" s="1282" t="s">
        <v>970</v>
      </c>
      <c r="D2388" s="1283"/>
      <c r="E2388" s="1424">
        <v>218885</v>
      </c>
      <c r="F2388" s="1444">
        <v>8</v>
      </c>
      <c r="G2388" s="859"/>
      <c r="H2388" s="860"/>
      <c r="I2388" s="861"/>
      <c r="J2388" s="862"/>
      <c r="K2388" s="859"/>
      <c r="L2388" s="863"/>
      <c r="M2388" s="859"/>
      <c r="N2388" s="859"/>
      <c r="O2388" s="752">
        <f t="shared" si="314"/>
        <v>0</v>
      </c>
      <c r="P2388" s="862"/>
      <c r="Q2388" s="860"/>
      <c r="R2388" s="753">
        <f t="shared" si="317"/>
        <v>0</v>
      </c>
      <c r="S2388" s="752">
        <f t="shared" si="318"/>
        <v>0</v>
      </c>
      <c r="T2388" s="754">
        <f t="shared" si="319"/>
        <v>0</v>
      </c>
      <c r="U2388" s="859"/>
      <c r="V2388" s="863"/>
      <c r="W2388" s="859"/>
      <c r="X2388" s="859"/>
      <c r="Y2388" s="755">
        <f t="shared" si="315"/>
        <v>0</v>
      </c>
      <c r="Z2388" s="864"/>
      <c r="AA2388" s="863"/>
      <c r="AB2388" s="756">
        <f t="shared" si="316"/>
        <v>0</v>
      </c>
      <c r="AC2388" s="859"/>
      <c r="AD2388" s="863"/>
      <c r="AE2388" s="859"/>
      <c r="AF2388" s="859"/>
      <c r="AG2388" s="864"/>
      <c r="AH2388" s="865"/>
      <c r="AI2388" s="757">
        <f t="shared" si="320"/>
        <v>0</v>
      </c>
      <c r="AJ2388" s="758">
        <f t="shared" si="321"/>
        <v>0</v>
      </c>
    </row>
    <row r="2389" spans="1:36" x14ac:dyDescent="0.2">
      <c r="A2389" s="1421" t="s">
        <v>146</v>
      </c>
      <c r="B2389" s="1293" t="s">
        <v>272</v>
      </c>
      <c r="C2389" s="1429" t="s">
        <v>1671</v>
      </c>
      <c r="D2389" s="1430"/>
      <c r="E2389" s="1424">
        <v>218885</v>
      </c>
      <c r="F2389" s="1444">
        <v>8</v>
      </c>
      <c r="G2389" s="859"/>
      <c r="H2389" s="860"/>
      <c r="I2389" s="861">
        <v>2611</v>
      </c>
      <c r="J2389" s="862">
        <v>2685</v>
      </c>
      <c r="K2389" s="859"/>
      <c r="L2389" s="863"/>
      <c r="M2389" s="859"/>
      <c r="N2389" s="859"/>
      <c r="O2389" s="752">
        <f t="shared" si="314"/>
        <v>0</v>
      </c>
      <c r="P2389" s="862"/>
      <c r="Q2389" s="860"/>
      <c r="R2389" s="753">
        <f t="shared" si="317"/>
        <v>0</v>
      </c>
      <c r="S2389" s="752">
        <f t="shared" si="318"/>
        <v>2611</v>
      </c>
      <c r="T2389" s="754">
        <f t="shared" si="319"/>
        <v>2685</v>
      </c>
      <c r="U2389" s="859"/>
      <c r="V2389" s="863"/>
      <c r="W2389" s="859"/>
      <c r="X2389" s="859"/>
      <c r="Y2389" s="755">
        <f t="shared" si="315"/>
        <v>0</v>
      </c>
      <c r="Z2389" s="864"/>
      <c r="AA2389" s="863"/>
      <c r="AB2389" s="756">
        <f t="shared" si="316"/>
        <v>0</v>
      </c>
      <c r="AC2389" s="859"/>
      <c r="AD2389" s="863"/>
      <c r="AE2389" s="859"/>
      <c r="AF2389" s="859"/>
      <c r="AG2389" s="864"/>
      <c r="AH2389" s="865"/>
      <c r="AI2389" s="757">
        <f t="shared" si="320"/>
        <v>2611</v>
      </c>
      <c r="AJ2389" s="758">
        <f t="shared" si="321"/>
        <v>2685</v>
      </c>
    </row>
    <row r="2390" spans="1:36" x14ac:dyDescent="0.2">
      <c r="A2390" s="1421" t="s">
        <v>146</v>
      </c>
      <c r="B2390" s="1293" t="s">
        <v>272</v>
      </c>
      <c r="C2390" s="1429" t="s">
        <v>1689</v>
      </c>
      <c r="D2390" s="1430"/>
      <c r="E2390" s="1424">
        <v>218885</v>
      </c>
      <c r="F2390" s="1444">
        <v>8</v>
      </c>
      <c r="G2390" s="859"/>
      <c r="H2390" s="860"/>
      <c r="I2390" s="861"/>
      <c r="J2390" s="862">
        <v>100665</v>
      </c>
      <c r="K2390" s="859"/>
      <c r="L2390" s="863"/>
      <c r="M2390" s="859"/>
      <c r="N2390" s="859"/>
      <c r="O2390" s="752">
        <f t="shared" si="314"/>
        <v>0</v>
      </c>
      <c r="P2390" s="862"/>
      <c r="Q2390" s="860"/>
      <c r="R2390" s="753">
        <f t="shared" si="317"/>
        <v>0</v>
      </c>
      <c r="S2390" s="752">
        <f t="shared" si="318"/>
        <v>0</v>
      </c>
      <c r="T2390" s="754">
        <f t="shared" si="319"/>
        <v>100665</v>
      </c>
      <c r="U2390" s="859"/>
      <c r="V2390" s="863"/>
      <c r="W2390" s="859"/>
      <c r="X2390" s="859"/>
      <c r="Y2390" s="755">
        <f t="shared" si="315"/>
        <v>0</v>
      </c>
      <c r="Z2390" s="864"/>
      <c r="AA2390" s="863"/>
      <c r="AB2390" s="756">
        <f t="shared" si="316"/>
        <v>0</v>
      </c>
      <c r="AC2390" s="859"/>
      <c r="AD2390" s="863"/>
      <c r="AE2390" s="859"/>
      <c r="AF2390" s="859"/>
      <c r="AG2390" s="864"/>
      <c r="AH2390" s="865"/>
      <c r="AI2390" s="757">
        <f t="shared" si="320"/>
        <v>0</v>
      </c>
      <c r="AJ2390" s="758">
        <f t="shared" si="321"/>
        <v>100665</v>
      </c>
    </row>
    <row r="2391" spans="1:36" x14ac:dyDescent="0.2">
      <c r="A2391" s="1421" t="s">
        <v>146</v>
      </c>
      <c r="B2391" s="1293" t="s">
        <v>272</v>
      </c>
      <c r="C2391" s="1429" t="s">
        <v>1720</v>
      </c>
      <c r="D2391" s="1430"/>
      <c r="E2391" s="1424">
        <v>218885</v>
      </c>
      <c r="F2391" s="1444">
        <v>8</v>
      </c>
      <c r="G2391" s="859"/>
      <c r="H2391" s="860"/>
      <c r="I2391" s="861"/>
      <c r="J2391" s="862">
        <v>29903</v>
      </c>
      <c r="K2391" s="859"/>
      <c r="L2391" s="863"/>
      <c r="M2391" s="859"/>
      <c r="N2391" s="859"/>
      <c r="O2391" s="752">
        <f t="shared" si="314"/>
        <v>0</v>
      </c>
      <c r="P2391" s="862"/>
      <c r="Q2391" s="860"/>
      <c r="R2391" s="753">
        <f t="shared" si="317"/>
        <v>0</v>
      </c>
      <c r="S2391" s="752">
        <f t="shared" si="318"/>
        <v>0</v>
      </c>
      <c r="T2391" s="754">
        <f t="shared" si="319"/>
        <v>29903</v>
      </c>
      <c r="U2391" s="859"/>
      <c r="V2391" s="863"/>
      <c r="W2391" s="859"/>
      <c r="X2391" s="859"/>
      <c r="Y2391" s="755">
        <f t="shared" si="315"/>
        <v>0</v>
      </c>
      <c r="Z2391" s="864"/>
      <c r="AA2391" s="863"/>
      <c r="AB2391" s="756">
        <f t="shared" si="316"/>
        <v>0</v>
      </c>
      <c r="AC2391" s="859"/>
      <c r="AD2391" s="863"/>
      <c r="AE2391" s="859"/>
      <c r="AF2391" s="859"/>
      <c r="AG2391" s="864"/>
      <c r="AH2391" s="865"/>
      <c r="AI2391" s="757">
        <f t="shared" si="320"/>
        <v>0</v>
      </c>
      <c r="AJ2391" s="758">
        <f t="shared" si="321"/>
        <v>29903</v>
      </c>
    </row>
    <row r="2392" spans="1:36" x14ac:dyDescent="0.2">
      <c r="A2392" s="1421" t="s">
        <v>146</v>
      </c>
      <c r="B2392" s="1293" t="s">
        <v>272</v>
      </c>
      <c r="C2392" s="1429" t="s">
        <v>1721</v>
      </c>
      <c r="D2392" s="1430"/>
      <c r="E2392" s="1424">
        <v>218885</v>
      </c>
      <c r="F2392" s="1444">
        <v>8</v>
      </c>
      <c r="G2392" s="859"/>
      <c r="H2392" s="860"/>
      <c r="I2392" s="861">
        <v>290809</v>
      </c>
      <c r="J2392" s="862"/>
      <c r="K2392" s="859"/>
      <c r="L2392" s="863"/>
      <c r="M2392" s="859"/>
      <c r="N2392" s="859"/>
      <c r="O2392" s="752">
        <f t="shared" si="314"/>
        <v>0</v>
      </c>
      <c r="P2392" s="862"/>
      <c r="Q2392" s="860"/>
      <c r="R2392" s="753">
        <f t="shared" si="317"/>
        <v>0</v>
      </c>
      <c r="S2392" s="752">
        <f t="shared" si="318"/>
        <v>290809</v>
      </c>
      <c r="T2392" s="754">
        <f t="shared" si="319"/>
        <v>0</v>
      </c>
      <c r="U2392" s="859"/>
      <c r="V2392" s="863"/>
      <c r="W2392" s="859"/>
      <c r="X2392" s="859"/>
      <c r="Y2392" s="755">
        <f t="shared" si="315"/>
        <v>0</v>
      </c>
      <c r="Z2392" s="864"/>
      <c r="AA2392" s="863"/>
      <c r="AB2392" s="756">
        <f t="shared" si="316"/>
        <v>0</v>
      </c>
      <c r="AC2392" s="859"/>
      <c r="AD2392" s="863"/>
      <c r="AE2392" s="859"/>
      <c r="AF2392" s="859"/>
      <c r="AG2392" s="864"/>
      <c r="AH2392" s="865"/>
      <c r="AI2392" s="757">
        <f t="shared" si="320"/>
        <v>290809</v>
      </c>
      <c r="AJ2392" s="758">
        <f t="shared" si="321"/>
        <v>0</v>
      </c>
    </row>
    <row r="2393" spans="1:36" x14ac:dyDescent="0.2">
      <c r="A2393" s="1421" t="s">
        <v>146</v>
      </c>
      <c r="B2393" s="1293" t="s">
        <v>272</v>
      </c>
      <c r="C2393" s="1429" t="s">
        <v>1724</v>
      </c>
      <c r="D2393" s="1430"/>
      <c r="E2393" s="1424">
        <v>218885</v>
      </c>
      <c r="F2393" s="1444">
        <v>8</v>
      </c>
      <c r="G2393" s="859"/>
      <c r="H2393" s="860"/>
      <c r="I2393" s="861">
        <v>500000</v>
      </c>
      <c r="J2393" s="862"/>
      <c r="K2393" s="859"/>
      <c r="L2393" s="863"/>
      <c r="M2393" s="859"/>
      <c r="N2393" s="859"/>
      <c r="O2393" s="752">
        <f t="shared" si="314"/>
        <v>0</v>
      </c>
      <c r="P2393" s="862"/>
      <c r="Q2393" s="860"/>
      <c r="R2393" s="753">
        <f t="shared" si="317"/>
        <v>0</v>
      </c>
      <c r="S2393" s="752">
        <f t="shared" si="318"/>
        <v>500000</v>
      </c>
      <c r="T2393" s="754">
        <f t="shared" si="319"/>
        <v>0</v>
      </c>
      <c r="U2393" s="859"/>
      <c r="V2393" s="863"/>
      <c r="W2393" s="859"/>
      <c r="X2393" s="859"/>
      <c r="Y2393" s="755">
        <f t="shared" si="315"/>
        <v>0</v>
      </c>
      <c r="Z2393" s="864"/>
      <c r="AA2393" s="863"/>
      <c r="AB2393" s="756">
        <f t="shared" si="316"/>
        <v>0</v>
      </c>
      <c r="AC2393" s="859"/>
      <c r="AD2393" s="863"/>
      <c r="AE2393" s="859"/>
      <c r="AF2393" s="859"/>
      <c r="AG2393" s="864"/>
      <c r="AH2393" s="865"/>
      <c r="AI2393" s="757">
        <f t="shared" si="320"/>
        <v>500000</v>
      </c>
      <c r="AJ2393" s="758">
        <f t="shared" si="321"/>
        <v>0</v>
      </c>
    </row>
    <row r="2394" spans="1:36" x14ac:dyDescent="0.2">
      <c r="A2394" s="1421" t="s">
        <v>146</v>
      </c>
      <c r="B2394" s="1293" t="s">
        <v>272</v>
      </c>
      <c r="C2394" s="1284" t="s">
        <v>1722</v>
      </c>
      <c r="D2394" s="1283"/>
      <c r="E2394" s="1424">
        <v>218885</v>
      </c>
      <c r="F2394" s="1444">
        <v>8</v>
      </c>
      <c r="G2394" s="859"/>
      <c r="H2394" s="860"/>
      <c r="I2394" s="861">
        <v>37784</v>
      </c>
      <c r="J2394" s="862">
        <v>37784</v>
      </c>
      <c r="K2394" s="859"/>
      <c r="L2394" s="863"/>
      <c r="M2394" s="859"/>
      <c r="N2394" s="859"/>
      <c r="O2394" s="752">
        <f t="shared" si="314"/>
        <v>0</v>
      </c>
      <c r="P2394" s="862"/>
      <c r="Q2394" s="860"/>
      <c r="R2394" s="753">
        <f t="shared" si="317"/>
        <v>0</v>
      </c>
      <c r="S2394" s="752">
        <f t="shared" si="318"/>
        <v>37784</v>
      </c>
      <c r="T2394" s="754">
        <f t="shared" si="319"/>
        <v>37784</v>
      </c>
      <c r="U2394" s="859"/>
      <c r="V2394" s="863"/>
      <c r="W2394" s="859"/>
      <c r="X2394" s="859"/>
      <c r="Y2394" s="755">
        <f t="shared" si="315"/>
        <v>0</v>
      </c>
      <c r="Z2394" s="864"/>
      <c r="AA2394" s="863"/>
      <c r="AB2394" s="756">
        <f t="shared" si="316"/>
        <v>0</v>
      </c>
      <c r="AC2394" s="859"/>
      <c r="AD2394" s="863"/>
      <c r="AE2394" s="859"/>
      <c r="AF2394" s="859"/>
      <c r="AG2394" s="864"/>
      <c r="AH2394" s="865"/>
      <c r="AI2394" s="757">
        <f t="shared" si="320"/>
        <v>37784</v>
      </c>
      <c r="AJ2394" s="758">
        <f t="shared" si="321"/>
        <v>37784</v>
      </c>
    </row>
    <row r="2395" spans="1:36" x14ac:dyDescent="0.2">
      <c r="A2395" s="1421" t="s">
        <v>146</v>
      </c>
      <c r="B2395" s="1293" t="s">
        <v>272</v>
      </c>
      <c r="C2395" s="1284" t="s">
        <v>1687</v>
      </c>
      <c r="D2395" s="1283"/>
      <c r="E2395" s="1424">
        <v>218885</v>
      </c>
      <c r="F2395" s="1444">
        <v>8</v>
      </c>
      <c r="G2395" s="859"/>
      <c r="H2395" s="860"/>
      <c r="I2395" s="861">
        <v>245141</v>
      </c>
      <c r="J2395" s="862">
        <v>256061</v>
      </c>
      <c r="K2395" s="859"/>
      <c r="L2395" s="863"/>
      <c r="M2395" s="859"/>
      <c r="N2395" s="859"/>
      <c r="O2395" s="752">
        <f t="shared" si="314"/>
        <v>0</v>
      </c>
      <c r="P2395" s="862"/>
      <c r="Q2395" s="860"/>
      <c r="R2395" s="753">
        <f t="shared" si="317"/>
        <v>0</v>
      </c>
      <c r="S2395" s="752">
        <f t="shared" si="318"/>
        <v>245141</v>
      </c>
      <c r="T2395" s="754">
        <f t="shared" si="319"/>
        <v>256061</v>
      </c>
      <c r="U2395" s="859"/>
      <c r="V2395" s="863"/>
      <c r="W2395" s="859"/>
      <c r="X2395" s="859"/>
      <c r="Y2395" s="755">
        <f t="shared" si="315"/>
        <v>0</v>
      </c>
      <c r="Z2395" s="864"/>
      <c r="AA2395" s="863"/>
      <c r="AB2395" s="756">
        <f t="shared" si="316"/>
        <v>0</v>
      </c>
      <c r="AC2395" s="859"/>
      <c r="AD2395" s="863"/>
      <c r="AE2395" s="859"/>
      <c r="AF2395" s="859"/>
      <c r="AG2395" s="864"/>
      <c r="AH2395" s="865"/>
      <c r="AI2395" s="757">
        <f t="shared" si="320"/>
        <v>245141</v>
      </c>
      <c r="AJ2395" s="758">
        <f t="shared" si="321"/>
        <v>256061</v>
      </c>
    </row>
    <row r="2396" spans="1:36" x14ac:dyDescent="0.2">
      <c r="A2396" s="1421" t="s">
        <v>146</v>
      </c>
      <c r="B2396" s="1293" t="s">
        <v>264</v>
      </c>
      <c r="C2396" s="1422" t="s">
        <v>1729</v>
      </c>
      <c r="D2396" s="1423"/>
      <c r="E2396" s="1424">
        <v>218894</v>
      </c>
      <c r="F2396" s="1259">
        <v>8</v>
      </c>
      <c r="G2396" s="859">
        <v>13922375</v>
      </c>
      <c r="H2396" s="860">
        <v>14169950</v>
      </c>
      <c r="I2396" s="861"/>
      <c r="J2396" s="862"/>
      <c r="K2396" s="859">
        <v>10268017</v>
      </c>
      <c r="L2396" s="863">
        <v>10268017</v>
      </c>
      <c r="M2396" s="859">
        <v>59574410</v>
      </c>
      <c r="N2396" s="859">
        <v>5050922</v>
      </c>
      <c r="O2396" s="752">
        <f t="shared" si="314"/>
        <v>64625332</v>
      </c>
      <c r="P2396" s="862">
        <v>59574410</v>
      </c>
      <c r="Q2396" s="860">
        <v>5050922</v>
      </c>
      <c r="R2396" s="753">
        <f t="shared" si="317"/>
        <v>64625332</v>
      </c>
      <c r="S2396" s="752">
        <f t="shared" si="318"/>
        <v>83764802</v>
      </c>
      <c r="T2396" s="754">
        <f t="shared" si="319"/>
        <v>84012377</v>
      </c>
      <c r="U2396" s="859"/>
      <c r="V2396" s="863"/>
      <c r="W2396" s="859"/>
      <c r="X2396" s="859"/>
      <c r="Y2396" s="755">
        <f t="shared" si="315"/>
        <v>0</v>
      </c>
      <c r="Z2396" s="864"/>
      <c r="AA2396" s="863"/>
      <c r="AB2396" s="756">
        <f t="shared" si="316"/>
        <v>0</v>
      </c>
      <c r="AC2396" s="859"/>
      <c r="AD2396" s="863"/>
      <c r="AE2396" s="859"/>
      <c r="AF2396" s="859"/>
      <c r="AG2396" s="864"/>
      <c r="AH2396" s="865"/>
      <c r="AI2396" s="757">
        <f t="shared" si="320"/>
        <v>83764802</v>
      </c>
      <c r="AJ2396" s="758">
        <f t="shared" si="321"/>
        <v>84012377</v>
      </c>
    </row>
    <row r="2397" spans="1:36" x14ac:dyDescent="0.2">
      <c r="A2397" s="1421" t="s">
        <v>146</v>
      </c>
      <c r="B2397" s="1293" t="s">
        <v>272</v>
      </c>
      <c r="C2397" s="1282" t="s">
        <v>970</v>
      </c>
      <c r="D2397" s="1283"/>
      <c r="E2397" s="1424">
        <v>218894</v>
      </c>
      <c r="F2397" s="1259">
        <v>8</v>
      </c>
      <c r="G2397" s="859"/>
      <c r="H2397" s="860"/>
      <c r="I2397" s="861"/>
      <c r="J2397" s="862"/>
      <c r="K2397" s="859"/>
      <c r="L2397" s="863"/>
      <c r="M2397" s="859"/>
      <c r="N2397" s="859"/>
      <c r="O2397" s="752">
        <f t="shared" si="314"/>
        <v>0</v>
      </c>
      <c r="P2397" s="862"/>
      <c r="Q2397" s="860"/>
      <c r="R2397" s="753">
        <f t="shared" si="317"/>
        <v>0</v>
      </c>
      <c r="S2397" s="752">
        <f t="shared" si="318"/>
        <v>0</v>
      </c>
      <c r="T2397" s="754">
        <f t="shared" si="319"/>
        <v>0</v>
      </c>
      <c r="U2397" s="859"/>
      <c r="V2397" s="863"/>
      <c r="W2397" s="859"/>
      <c r="X2397" s="859"/>
      <c r="Y2397" s="755">
        <f t="shared" si="315"/>
        <v>0</v>
      </c>
      <c r="Z2397" s="864"/>
      <c r="AA2397" s="863"/>
      <c r="AB2397" s="756">
        <f t="shared" si="316"/>
        <v>0</v>
      </c>
      <c r="AC2397" s="859"/>
      <c r="AD2397" s="863"/>
      <c r="AE2397" s="859"/>
      <c r="AF2397" s="859"/>
      <c r="AG2397" s="864"/>
      <c r="AH2397" s="865"/>
      <c r="AI2397" s="757">
        <f t="shared" si="320"/>
        <v>0</v>
      </c>
      <c r="AJ2397" s="758">
        <f t="shared" si="321"/>
        <v>0</v>
      </c>
    </row>
    <row r="2398" spans="1:36" x14ac:dyDescent="0.2">
      <c r="A2398" s="1421" t="s">
        <v>146</v>
      </c>
      <c r="B2398" s="1293" t="s">
        <v>272</v>
      </c>
      <c r="C2398" s="1429" t="s">
        <v>1671</v>
      </c>
      <c r="D2398" s="1430"/>
      <c r="E2398" s="1424">
        <v>218894</v>
      </c>
      <c r="F2398" s="1259">
        <v>8</v>
      </c>
      <c r="G2398" s="859"/>
      <c r="H2398" s="860"/>
      <c r="I2398" s="861">
        <v>559</v>
      </c>
      <c r="J2398" s="862">
        <v>599</v>
      </c>
      <c r="K2398" s="859"/>
      <c r="L2398" s="863"/>
      <c r="M2398" s="859"/>
      <c r="N2398" s="859"/>
      <c r="O2398" s="752">
        <f t="shared" si="314"/>
        <v>0</v>
      </c>
      <c r="P2398" s="862"/>
      <c r="Q2398" s="860"/>
      <c r="R2398" s="753">
        <f t="shared" si="317"/>
        <v>0</v>
      </c>
      <c r="S2398" s="752">
        <f t="shared" si="318"/>
        <v>559</v>
      </c>
      <c r="T2398" s="754">
        <f t="shared" si="319"/>
        <v>599</v>
      </c>
      <c r="U2398" s="859"/>
      <c r="V2398" s="863"/>
      <c r="W2398" s="859"/>
      <c r="X2398" s="859"/>
      <c r="Y2398" s="755">
        <f t="shared" si="315"/>
        <v>0</v>
      </c>
      <c r="Z2398" s="864"/>
      <c r="AA2398" s="863"/>
      <c r="AB2398" s="756">
        <f t="shared" si="316"/>
        <v>0</v>
      </c>
      <c r="AC2398" s="859"/>
      <c r="AD2398" s="863"/>
      <c r="AE2398" s="859"/>
      <c r="AF2398" s="859"/>
      <c r="AG2398" s="864"/>
      <c r="AH2398" s="865"/>
      <c r="AI2398" s="757">
        <f t="shared" si="320"/>
        <v>559</v>
      </c>
      <c r="AJ2398" s="758">
        <f t="shared" si="321"/>
        <v>599</v>
      </c>
    </row>
    <row r="2399" spans="1:36" x14ac:dyDescent="0.2">
      <c r="A2399" s="1421" t="s">
        <v>146</v>
      </c>
      <c r="B2399" s="1293" t="s">
        <v>272</v>
      </c>
      <c r="C2399" s="1429" t="s">
        <v>1689</v>
      </c>
      <c r="D2399" s="1430"/>
      <c r="E2399" s="1424">
        <v>218894</v>
      </c>
      <c r="F2399" s="1259">
        <v>8</v>
      </c>
      <c r="G2399" s="859"/>
      <c r="H2399" s="860"/>
      <c r="I2399" s="861"/>
      <c r="J2399" s="862">
        <v>258899</v>
      </c>
      <c r="K2399" s="859"/>
      <c r="L2399" s="863"/>
      <c r="M2399" s="859"/>
      <c r="N2399" s="859"/>
      <c r="O2399" s="752">
        <f t="shared" si="314"/>
        <v>0</v>
      </c>
      <c r="P2399" s="862"/>
      <c r="Q2399" s="860"/>
      <c r="R2399" s="753">
        <f t="shared" si="317"/>
        <v>0</v>
      </c>
      <c r="S2399" s="752">
        <f t="shared" si="318"/>
        <v>0</v>
      </c>
      <c r="T2399" s="754">
        <f t="shared" si="319"/>
        <v>258899</v>
      </c>
      <c r="U2399" s="859"/>
      <c r="V2399" s="863"/>
      <c r="W2399" s="859"/>
      <c r="X2399" s="859"/>
      <c r="Y2399" s="755">
        <f t="shared" si="315"/>
        <v>0</v>
      </c>
      <c r="Z2399" s="864"/>
      <c r="AA2399" s="863"/>
      <c r="AB2399" s="756">
        <f t="shared" si="316"/>
        <v>0</v>
      </c>
      <c r="AC2399" s="859"/>
      <c r="AD2399" s="863"/>
      <c r="AE2399" s="859"/>
      <c r="AF2399" s="859"/>
      <c r="AG2399" s="864"/>
      <c r="AH2399" s="865"/>
      <c r="AI2399" s="757">
        <f t="shared" si="320"/>
        <v>0</v>
      </c>
      <c r="AJ2399" s="758">
        <f t="shared" si="321"/>
        <v>258899</v>
      </c>
    </row>
    <row r="2400" spans="1:36" x14ac:dyDescent="0.2">
      <c r="A2400" s="1421" t="s">
        <v>146</v>
      </c>
      <c r="B2400" s="1293" t="s">
        <v>272</v>
      </c>
      <c r="C2400" s="1429" t="s">
        <v>1720</v>
      </c>
      <c r="D2400" s="1430"/>
      <c r="E2400" s="1424">
        <v>218894</v>
      </c>
      <c r="F2400" s="1259">
        <v>8</v>
      </c>
      <c r="G2400" s="859"/>
      <c r="H2400" s="860"/>
      <c r="I2400" s="861"/>
      <c r="J2400" s="862">
        <v>37643</v>
      </c>
      <c r="K2400" s="859"/>
      <c r="L2400" s="863"/>
      <c r="M2400" s="859"/>
      <c r="N2400" s="859"/>
      <c r="O2400" s="752">
        <f t="shared" si="314"/>
        <v>0</v>
      </c>
      <c r="P2400" s="862"/>
      <c r="Q2400" s="860"/>
      <c r="R2400" s="753">
        <f t="shared" si="317"/>
        <v>0</v>
      </c>
      <c r="S2400" s="752">
        <f t="shared" si="318"/>
        <v>0</v>
      </c>
      <c r="T2400" s="754">
        <f t="shared" si="319"/>
        <v>37643</v>
      </c>
      <c r="U2400" s="859"/>
      <c r="V2400" s="863"/>
      <c r="W2400" s="859"/>
      <c r="X2400" s="859"/>
      <c r="Y2400" s="755">
        <f t="shared" si="315"/>
        <v>0</v>
      </c>
      <c r="Z2400" s="864"/>
      <c r="AA2400" s="863"/>
      <c r="AB2400" s="756">
        <f t="shared" si="316"/>
        <v>0</v>
      </c>
      <c r="AC2400" s="859"/>
      <c r="AD2400" s="863"/>
      <c r="AE2400" s="859"/>
      <c r="AF2400" s="859"/>
      <c r="AG2400" s="864"/>
      <c r="AH2400" s="865"/>
      <c r="AI2400" s="757">
        <f t="shared" si="320"/>
        <v>0</v>
      </c>
      <c r="AJ2400" s="758">
        <f t="shared" si="321"/>
        <v>37643</v>
      </c>
    </row>
    <row r="2401" spans="1:36" x14ac:dyDescent="0.2">
      <c r="A2401" s="1421" t="s">
        <v>146</v>
      </c>
      <c r="B2401" s="1293" t="s">
        <v>272</v>
      </c>
      <c r="C2401" s="1429" t="s">
        <v>1721</v>
      </c>
      <c r="D2401" s="1430"/>
      <c r="E2401" s="1424">
        <v>218894</v>
      </c>
      <c r="F2401" s="1259">
        <v>8</v>
      </c>
      <c r="G2401" s="859"/>
      <c r="H2401" s="860"/>
      <c r="I2401" s="861">
        <v>636739</v>
      </c>
      <c r="J2401" s="862"/>
      <c r="K2401" s="859"/>
      <c r="L2401" s="863"/>
      <c r="M2401" s="859"/>
      <c r="N2401" s="859"/>
      <c r="O2401" s="752">
        <f t="shared" si="314"/>
        <v>0</v>
      </c>
      <c r="P2401" s="862"/>
      <c r="Q2401" s="860"/>
      <c r="R2401" s="753">
        <f t="shared" si="317"/>
        <v>0</v>
      </c>
      <c r="S2401" s="752">
        <f t="shared" si="318"/>
        <v>636739</v>
      </c>
      <c r="T2401" s="754">
        <f t="shared" si="319"/>
        <v>0</v>
      </c>
      <c r="U2401" s="859"/>
      <c r="V2401" s="863"/>
      <c r="W2401" s="859"/>
      <c r="X2401" s="859"/>
      <c r="Y2401" s="755">
        <f t="shared" si="315"/>
        <v>0</v>
      </c>
      <c r="Z2401" s="864"/>
      <c r="AA2401" s="863"/>
      <c r="AB2401" s="756">
        <f t="shared" si="316"/>
        <v>0</v>
      </c>
      <c r="AC2401" s="859"/>
      <c r="AD2401" s="863"/>
      <c r="AE2401" s="859"/>
      <c r="AF2401" s="859"/>
      <c r="AG2401" s="864"/>
      <c r="AH2401" s="865"/>
      <c r="AI2401" s="757">
        <f t="shared" si="320"/>
        <v>636739</v>
      </c>
      <c r="AJ2401" s="758">
        <f t="shared" si="321"/>
        <v>0</v>
      </c>
    </row>
    <row r="2402" spans="1:36" x14ac:dyDescent="0.2">
      <c r="A2402" s="1421" t="s">
        <v>146</v>
      </c>
      <c r="B2402" s="1293" t="s">
        <v>272</v>
      </c>
      <c r="C2402" s="1429" t="s">
        <v>1724</v>
      </c>
      <c r="D2402" s="1430"/>
      <c r="E2402" s="1424">
        <v>218894</v>
      </c>
      <c r="F2402" s="1259">
        <v>8</v>
      </c>
      <c r="G2402" s="859"/>
      <c r="H2402" s="860"/>
      <c r="I2402" s="861">
        <v>500000</v>
      </c>
      <c r="J2402" s="862"/>
      <c r="K2402" s="859"/>
      <c r="L2402" s="863"/>
      <c r="M2402" s="859"/>
      <c r="N2402" s="859"/>
      <c r="O2402" s="752">
        <f t="shared" si="314"/>
        <v>0</v>
      </c>
      <c r="P2402" s="862"/>
      <c r="Q2402" s="860"/>
      <c r="R2402" s="753">
        <f t="shared" si="317"/>
        <v>0</v>
      </c>
      <c r="S2402" s="752">
        <f t="shared" si="318"/>
        <v>500000</v>
      </c>
      <c r="T2402" s="754">
        <f t="shared" si="319"/>
        <v>0</v>
      </c>
      <c r="U2402" s="859"/>
      <c r="V2402" s="863"/>
      <c r="W2402" s="859"/>
      <c r="X2402" s="859"/>
      <c r="Y2402" s="755">
        <f t="shared" si="315"/>
        <v>0</v>
      </c>
      <c r="Z2402" s="864"/>
      <c r="AA2402" s="863"/>
      <c r="AB2402" s="756">
        <f t="shared" si="316"/>
        <v>0</v>
      </c>
      <c r="AC2402" s="859"/>
      <c r="AD2402" s="863"/>
      <c r="AE2402" s="859"/>
      <c r="AF2402" s="859"/>
      <c r="AG2402" s="864"/>
      <c r="AH2402" s="865"/>
      <c r="AI2402" s="757">
        <f t="shared" si="320"/>
        <v>500000</v>
      </c>
      <c r="AJ2402" s="758">
        <f t="shared" si="321"/>
        <v>0</v>
      </c>
    </row>
    <row r="2403" spans="1:36" x14ac:dyDescent="0.2">
      <c r="A2403" s="1421" t="s">
        <v>146</v>
      </c>
      <c r="B2403" s="1293" t="s">
        <v>272</v>
      </c>
      <c r="C2403" s="1284" t="s">
        <v>1730</v>
      </c>
      <c r="D2403" s="1283"/>
      <c r="E2403" s="1424">
        <v>218894</v>
      </c>
      <c r="F2403" s="1259">
        <v>8</v>
      </c>
      <c r="G2403" s="859"/>
      <c r="H2403" s="860"/>
      <c r="I2403" s="861">
        <v>468522</v>
      </c>
      <c r="J2403" s="862">
        <v>468522</v>
      </c>
      <c r="K2403" s="859"/>
      <c r="L2403" s="863"/>
      <c r="M2403" s="859"/>
      <c r="N2403" s="859"/>
      <c r="O2403" s="752">
        <f t="shared" si="314"/>
        <v>0</v>
      </c>
      <c r="P2403" s="862"/>
      <c r="Q2403" s="860"/>
      <c r="R2403" s="753">
        <f t="shared" si="317"/>
        <v>0</v>
      </c>
      <c r="S2403" s="752">
        <f t="shared" si="318"/>
        <v>468522</v>
      </c>
      <c r="T2403" s="754">
        <f t="shared" si="319"/>
        <v>468522</v>
      </c>
      <c r="U2403" s="859"/>
      <c r="V2403" s="863"/>
      <c r="W2403" s="859"/>
      <c r="X2403" s="859"/>
      <c r="Y2403" s="755">
        <f t="shared" si="315"/>
        <v>0</v>
      </c>
      <c r="Z2403" s="864"/>
      <c r="AA2403" s="863"/>
      <c r="AB2403" s="756">
        <f t="shared" si="316"/>
        <v>0</v>
      </c>
      <c r="AC2403" s="859"/>
      <c r="AD2403" s="863"/>
      <c r="AE2403" s="859"/>
      <c r="AF2403" s="859"/>
      <c r="AG2403" s="864"/>
      <c r="AH2403" s="865"/>
      <c r="AI2403" s="757">
        <f t="shared" si="320"/>
        <v>468522</v>
      </c>
      <c r="AJ2403" s="758">
        <f t="shared" si="321"/>
        <v>468522</v>
      </c>
    </row>
    <row r="2404" spans="1:36" x14ac:dyDescent="0.2">
      <c r="A2404" s="1421" t="s">
        <v>146</v>
      </c>
      <c r="B2404" s="1293" t="s">
        <v>272</v>
      </c>
      <c r="C2404" s="1284" t="s">
        <v>1722</v>
      </c>
      <c r="D2404" s="1283"/>
      <c r="E2404" s="1424">
        <v>218894</v>
      </c>
      <c r="F2404" s="1259">
        <v>8</v>
      </c>
      <c r="G2404" s="859"/>
      <c r="H2404" s="860"/>
      <c r="I2404" s="861">
        <v>37784</v>
      </c>
      <c r="J2404" s="862">
        <v>37784</v>
      </c>
      <c r="K2404" s="859"/>
      <c r="L2404" s="863"/>
      <c r="M2404" s="859"/>
      <c r="N2404" s="859"/>
      <c r="O2404" s="752">
        <f t="shared" si="314"/>
        <v>0</v>
      </c>
      <c r="P2404" s="862"/>
      <c r="Q2404" s="860"/>
      <c r="R2404" s="753">
        <f t="shared" si="317"/>
        <v>0</v>
      </c>
      <c r="S2404" s="752">
        <f t="shared" si="318"/>
        <v>37784</v>
      </c>
      <c r="T2404" s="754">
        <f t="shared" si="319"/>
        <v>37784</v>
      </c>
      <c r="U2404" s="859"/>
      <c r="V2404" s="863"/>
      <c r="W2404" s="859"/>
      <c r="X2404" s="859"/>
      <c r="Y2404" s="755">
        <f t="shared" si="315"/>
        <v>0</v>
      </c>
      <c r="Z2404" s="864"/>
      <c r="AA2404" s="863"/>
      <c r="AB2404" s="756">
        <f t="shared" si="316"/>
        <v>0</v>
      </c>
      <c r="AC2404" s="859"/>
      <c r="AD2404" s="863"/>
      <c r="AE2404" s="859"/>
      <c r="AF2404" s="859"/>
      <c r="AG2404" s="864"/>
      <c r="AH2404" s="865"/>
      <c r="AI2404" s="757">
        <f t="shared" si="320"/>
        <v>37784</v>
      </c>
      <c r="AJ2404" s="758">
        <f t="shared" si="321"/>
        <v>37784</v>
      </c>
    </row>
    <row r="2405" spans="1:36" x14ac:dyDescent="0.2">
      <c r="A2405" s="1421" t="s">
        <v>146</v>
      </c>
      <c r="B2405" s="1293" t="s">
        <v>272</v>
      </c>
      <c r="C2405" s="1284" t="s">
        <v>1687</v>
      </c>
      <c r="D2405" s="1283"/>
      <c r="E2405" s="1424">
        <v>218894</v>
      </c>
      <c r="F2405" s="1259">
        <v>8</v>
      </c>
      <c r="G2405" s="859"/>
      <c r="H2405" s="860"/>
      <c r="I2405" s="861">
        <v>520536</v>
      </c>
      <c r="J2405" s="862">
        <v>545321</v>
      </c>
      <c r="K2405" s="859"/>
      <c r="L2405" s="863"/>
      <c r="M2405" s="859"/>
      <c r="N2405" s="859"/>
      <c r="O2405" s="752">
        <f t="shared" si="314"/>
        <v>0</v>
      </c>
      <c r="P2405" s="862"/>
      <c r="Q2405" s="860"/>
      <c r="R2405" s="753">
        <f t="shared" si="317"/>
        <v>0</v>
      </c>
      <c r="S2405" s="752">
        <f t="shared" si="318"/>
        <v>520536</v>
      </c>
      <c r="T2405" s="754">
        <f t="shared" si="319"/>
        <v>545321</v>
      </c>
      <c r="U2405" s="859"/>
      <c r="V2405" s="863"/>
      <c r="W2405" s="859"/>
      <c r="X2405" s="859"/>
      <c r="Y2405" s="755">
        <f t="shared" si="315"/>
        <v>0</v>
      </c>
      <c r="Z2405" s="864"/>
      <c r="AA2405" s="863"/>
      <c r="AB2405" s="756">
        <f t="shared" si="316"/>
        <v>0</v>
      </c>
      <c r="AC2405" s="859"/>
      <c r="AD2405" s="863"/>
      <c r="AE2405" s="859"/>
      <c r="AF2405" s="859"/>
      <c r="AG2405" s="864"/>
      <c r="AH2405" s="865"/>
      <c r="AI2405" s="757">
        <f t="shared" si="320"/>
        <v>520536</v>
      </c>
      <c r="AJ2405" s="758">
        <f t="shared" si="321"/>
        <v>545321</v>
      </c>
    </row>
    <row r="2406" spans="1:36" x14ac:dyDescent="0.2">
      <c r="A2406" s="1421" t="s">
        <v>146</v>
      </c>
      <c r="B2406" s="1293" t="s">
        <v>264</v>
      </c>
      <c r="C2406" s="1422" t="s">
        <v>1731</v>
      </c>
      <c r="D2406" s="1423"/>
      <c r="E2406" s="1424">
        <v>217615</v>
      </c>
      <c r="F2406" s="1259">
        <v>9</v>
      </c>
      <c r="G2406" s="859">
        <v>3632599</v>
      </c>
      <c r="H2406" s="860">
        <v>3686643</v>
      </c>
      <c r="I2406" s="861"/>
      <c r="J2406" s="862"/>
      <c r="K2406" s="859">
        <v>1878420</v>
      </c>
      <c r="L2406" s="863">
        <v>1878420</v>
      </c>
      <c r="M2406" s="859">
        <v>10765812</v>
      </c>
      <c r="N2406" s="859">
        <v>561626</v>
      </c>
      <c r="O2406" s="752">
        <f t="shared" si="314"/>
        <v>11327438</v>
      </c>
      <c r="P2406" s="862">
        <v>10765812</v>
      </c>
      <c r="Q2406" s="860">
        <v>561626</v>
      </c>
      <c r="R2406" s="753">
        <f t="shared" si="317"/>
        <v>11327438</v>
      </c>
      <c r="S2406" s="752">
        <f t="shared" si="318"/>
        <v>16276831</v>
      </c>
      <c r="T2406" s="754">
        <f t="shared" si="319"/>
        <v>16330875</v>
      </c>
      <c r="U2406" s="859"/>
      <c r="V2406" s="863"/>
      <c r="W2406" s="859"/>
      <c r="X2406" s="859"/>
      <c r="Y2406" s="755">
        <f t="shared" si="315"/>
        <v>0</v>
      </c>
      <c r="Z2406" s="864"/>
      <c r="AA2406" s="863"/>
      <c r="AB2406" s="756">
        <f t="shared" si="316"/>
        <v>0</v>
      </c>
      <c r="AC2406" s="859"/>
      <c r="AD2406" s="863"/>
      <c r="AE2406" s="859"/>
      <c r="AF2406" s="859"/>
      <c r="AG2406" s="864"/>
      <c r="AH2406" s="865"/>
      <c r="AI2406" s="757">
        <f t="shared" si="320"/>
        <v>16276831</v>
      </c>
      <c r="AJ2406" s="758">
        <f t="shared" si="321"/>
        <v>16330875</v>
      </c>
    </row>
    <row r="2407" spans="1:36" x14ac:dyDescent="0.2">
      <c r="A2407" s="1421" t="s">
        <v>146</v>
      </c>
      <c r="B2407" s="1293" t="s">
        <v>272</v>
      </c>
      <c r="C2407" s="1282" t="s">
        <v>970</v>
      </c>
      <c r="D2407" s="1283"/>
      <c r="E2407" s="1424">
        <v>217615</v>
      </c>
      <c r="F2407" s="1259">
        <v>9</v>
      </c>
      <c r="G2407" s="859"/>
      <c r="H2407" s="860"/>
      <c r="I2407" s="861"/>
      <c r="J2407" s="862"/>
      <c r="K2407" s="859"/>
      <c r="L2407" s="863"/>
      <c r="M2407" s="859"/>
      <c r="N2407" s="859"/>
      <c r="O2407" s="752">
        <f t="shared" si="314"/>
        <v>0</v>
      </c>
      <c r="P2407" s="862"/>
      <c r="Q2407" s="860"/>
      <c r="R2407" s="753">
        <f t="shared" si="317"/>
        <v>0</v>
      </c>
      <c r="S2407" s="752">
        <f t="shared" si="318"/>
        <v>0</v>
      </c>
      <c r="T2407" s="754">
        <f t="shared" si="319"/>
        <v>0</v>
      </c>
      <c r="U2407" s="859"/>
      <c r="V2407" s="863"/>
      <c r="W2407" s="859"/>
      <c r="X2407" s="859"/>
      <c r="Y2407" s="755">
        <f t="shared" si="315"/>
        <v>0</v>
      </c>
      <c r="Z2407" s="864"/>
      <c r="AA2407" s="863"/>
      <c r="AB2407" s="756">
        <f t="shared" si="316"/>
        <v>0</v>
      </c>
      <c r="AC2407" s="859"/>
      <c r="AD2407" s="863"/>
      <c r="AE2407" s="859"/>
      <c r="AF2407" s="859"/>
      <c r="AG2407" s="864"/>
      <c r="AH2407" s="865"/>
      <c r="AI2407" s="757">
        <f t="shared" si="320"/>
        <v>0</v>
      </c>
      <c r="AJ2407" s="758">
        <f t="shared" si="321"/>
        <v>0</v>
      </c>
    </row>
    <row r="2408" spans="1:36" x14ac:dyDescent="0.2">
      <c r="A2408" s="1421" t="s">
        <v>146</v>
      </c>
      <c r="B2408" s="1293" t="s">
        <v>272</v>
      </c>
      <c r="C2408" s="1429" t="s">
        <v>1671</v>
      </c>
      <c r="D2408" s="1430"/>
      <c r="E2408" s="1424">
        <v>217615</v>
      </c>
      <c r="F2408" s="1259">
        <v>9</v>
      </c>
      <c r="G2408" s="859"/>
      <c r="H2408" s="860"/>
      <c r="I2408" s="861">
        <v>748</v>
      </c>
      <c r="J2408" s="862">
        <v>735</v>
      </c>
      <c r="K2408" s="859"/>
      <c r="L2408" s="863"/>
      <c r="M2408" s="859"/>
      <c r="N2408" s="859"/>
      <c r="O2408" s="752">
        <f t="shared" si="314"/>
        <v>0</v>
      </c>
      <c r="P2408" s="862"/>
      <c r="Q2408" s="860"/>
      <c r="R2408" s="753">
        <f t="shared" si="317"/>
        <v>0</v>
      </c>
      <c r="S2408" s="752">
        <f t="shared" si="318"/>
        <v>748</v>
      </c>
      <c r="T2408" s="754">
        <f t="shared" si="319"/>
        <v>735</v>
      </c>
      <c r="U2408" s="859"/>
      <c r="V2408" s="863"/>
      <c r="W2408" s="859"/>
      <c r="X2408" s="859"/>
      <c r="Y2408" s="755">
        <f t="shared" si="315"/>
        <v>0</v>
      </c>
      <c r="Z2408" s="864"/>
      <c r="AA2408" s="863"/>
      <c r="AB2408" s="756">
        <f t="shared" si="316"/>
        <v>0</v>
      </c>
      <c r="AC2408" s="859"/>
      <c r="AD2408" s="863"/>
      <c r="AE2408" s="859"/>
      <c r="AF2408" s="859"/>
      <c r="AG2408" s="864"/>
      <c r="AH2408" s="865"/>
      <c r="AI2408" s="757">
        <f t="shared" si="320"/>
        <v>748</v>
      </c>
      <c r="AJ2408" s="758">
        <f t="shared" si="321"/>
        <v>735</v>
      </c>
    </row>
    <row r="2409" spans="1:36" x14ac:dyDescent="0.2">
      <c r="A2409" s="1421" t="s">
        <v>146</v>
      </c>
      <c r="B2409" s="1293" t="s">
        <v>272</v>
      </c>
      <c r="C2409" s="1429" t="s">
        <v>1689</v>
      </c>
      <c r="D2409" s="1430"/>
      <c r="E2409" s="1424">
        <v>217615</v>
      </c>
      <c r="F2409" s="1259">
        <v>9</v>
      </c>
      <c r="G2409" s="859"/>
      <c r="H2409" s="860"/>
      <c r="I2409" s="861"/>
      <c r="J2409" s="862">
        <v>96324</v>
      </c>
      <c r="K2409" s="859"/>
      <c r="L2409" s="863"/>
      <c r="M2409" s="859"/>
      <c r="N2409" s="859"/>
      <c r="O2409" s="752">
        <f t="shared" si="314"/>
        <v>0</v>
      </c>
      <c r="P2409" s="862"/>
      <c r="Q2409" s="860"/>
      <c r="R2409" s="753">
        <f t="shared" si="317"/>
        <v>0</v>
      </c>
      <c r="S2409" s="752">
        <f t="shared" si="318"/>
        <v>0</v>
      </c>
      <c r="T2409" s="754">
        <f t="shared" si="319"/>
        <v>96324</v>
      </c>
      <c r="U2409" s="859"/>
      <c r="V2409" s="863"/>
      <c r="W2409" s="859"/>
      <c r="X2409" s="859"/>
      <c r="Y2409" s="755">
        <f t="shared" si="315"/>
        <v>0</v>
      </c>
      <c r="Z2409" s="864"/>
      <c r="AA2409" s="863"/>
      <c r="AB2409" s="756">
        <f t="shared" si="316"/>
        <v>0</v>
      </c>
      <c r="AC2409" s="859"/>
      <c r="AD2409" s="863"/>
      <c r="AE2409" s="859"/>
      <c r="AF2409" s="859"/>
      <c r="AG2409" s="864"/>
      <c r="AH2409" s="865"/>
      <c r="AI2409" s="757">
        <f t="shared" si="320"/>
        <v>0</v>
      </c>
      <c r="AJ2409" s="758">
        <f t="shared" si="321"/>
        <v>96324</v>
      </c>
    </row>
    <row r="2410" spans="1:36" x14ac:dyDescent="0.2">
      <c r="A2410" s="1421" t="s">
        <v>146</v>
      </c>
      <c r="B2410" s="1293" t="s">
        <v>272</v>
      </c>
      <c r="C2410" s="1429" t="s">
        <v>1720</v>
      </c>
      <c r="D2410" s="1430"/>
      <c r="E2410" s="1424">
        <v>217615</v>
      </c>
      <c r="F2410" s="1259">
        <v>9</v>
      </c>
      <c r="G2410" s="859"/>
      <c r="H2410" s="860"/>
      <c r="I2410" s="861"/>
      <c r="J2410" s="862">
        <v>9618</v>
      </c>
      <c r="K2410" s="859"/>
      <c r="L2410" s="863"/>
      <c r="M2410" s="859"/>
      <c r="N2410" s="859"/>
      <c r="O2410" s="752">
        <f t="shared" si="314"/>
        <v>0</v>
      </c>
      <c r="P2410" s="862"/>
      <c r="Q2410" s="860"/>
      <c r="R2410" s="753">
        <f t="shared" si="317"/>
        <v>0</v>
      </c>
      <c r="S2410" s="752">
        <f t="shared" si="318"/>
        <v>0</v>
      </c>
      <c r="T2410" s="754">
        <f t="shared" si="319"/>
        <v>9618</v>
      </c>
      <c r="U2410" s="859"/>
      <c r="V2410" s="863"/>
      <c r="W2410" s="859"/>
      <c r="X2410" s="859"/>
      <c r="Y2410" s="755">
        <f t="shared" si="315"/>
        <v>0</v>
      </c>
      <c r="Z2410" s="864"/>
      <c r="AA2410" s="863"/>
      <c r="AB2410" s="756">
        <f t="shared" si="316"/>
        <v>0</v>
      </c>
      <c r="AC2410" s="859"/>
      <c r="AD2410" s="863"/>
      <c r="AE2410" s="859"/>
      <c r="AF2410" s="859"/>
      <c r="AG2410" s="864"/>
      <c r="AH2410" s="865"/>
      <c r="AI2410" s="757">
        <f t="shared" si="320"/>
        <v>0</v>
      </c>
      <c r="AJ2410" s="758">
        <f t="shared" si="321"/>
        <v>9618</v>
      </c>
    </row>
    <row r="2411" spans="1:36" x14ac:dyDescent="0.2">
      <c r="A2411" s="1421" t="s">
        <v>146</v>
      </c>
      <c r="B2411" s="1293" t="s">
        <v>272</v>
      </c>
      <c r="C2411" s="1429" t="s">
        <v>1721</v>
      </c>
      <c r="D2411" s="1430"/>
      <c r="E2411" s="1424">
        <v>217615</v>
      </c>
      <c r="F2411" s="1259">
        <v>9</v>
      </c>
      <c r="G2411" s="859"/>
      <c r="H2411" s="860"/>
      <c r="I2411" s="861">
        <v>201943</v>
      </c>
      <c r="J2411" s="862"/>
      <c r="K2411" s="859"/>
      <c r="L2411" s="863"/>
      <c r="M2411" s="859"/>
      <c r="N2411" s="859"/>
      <c r="O2411" s="752">
        <f t="shared" si="314"/>
        <v>0</v>
      </c>
      <c r="P2411" s="862"/>
      <c r="Q2411" s="860"/>
      <c r="R2411" s="753">
        <f t="shared" si="317"/>
        <v>0</v>
      </c>
      <c r="S2411" s="752">
        <f t="shared" si="318"/>
        <v>201943</v>
      </c>
      <c r="T2411" s="754">
        <f t="shared" si="319"/>
        <v>0</v>
      </c>
      <c r="U2411" s="859"/>
      <c r="V2411" s="863"/>
      <c r="W2411" s="859"/>
      <c r="X2411" s="859"/>
      <c r="Y2411" s="755">
        <f t="shared" si="315"/>
        <v>0</v>
      </c>
      <c r="Z2411" s="864"/>
      <c r="AA2411" s="863"/>
      <c r="AB2411" s="756">
        <f t="shared" si="316"/>
        <v>0</v>
      </c>
      <c r="AC2411" s="859"/>
      <c r="AD2411" s="863"/>
      <c r="AE2411" s="859"/>
      <c r="AF2411" s="859"/>
      <c r="AG2411" s="864"/>
      <c r="AH2411" s="865"/>
      <c r="AI2411" s="757">
        <f t="shared" si="320"/>
        <v>201943</v>
      </c>
      <c r="AJ2411" s="758">
        <f t="shared" si="321"/>
        <v>0</v>
      </c>
    </row>
    <row r="2412" spans="1:36" x14ac:dyDescent="0.2">
      <c r="A2412" s="1421" t="s">
        <v>146</v>
      </c>
      <c r="B2412" s="1293" t="s">
        <v>272</v>
      </c>
      <c r="C2412" s="1429" t="s">
        <v>1724</v>
      </c>
      <c r="D2412" s="1430"/>
      <c r="E2412" s="1424">
        <v>217615</v>
      </c>
      <c r="F2412" s="1259">
        <v>9</v>
      </c>
      <c r="G2412" s="859"/>
      <c r="H2412" s="860"/>
      <c r="I2412" s="861">
        <v>2445000</v>
      </c>
      <c r="J2412" s="862"/>
      <c r="K2412" s="859"/>
      <c r="L2412" s="863"/>
      <c r="M2412" s="859"/>
      <c r="N2412" s="859"/>
      <c r="O2412" s="752">
        <f t="shared" si="314"/>
        <v>0</v>
      </c>
      <c r="P2412" s="862"/>
      <c r="Q2412" s="860"/>
      <c r="R2412" s="753">
        <f t="shared" si="317"/>
        <v>0</v>
      </c>
      <c r="S2412" s="752">
        <f t="shared" si="318"/>
        <v>2445000</v>
      </c>
      <c r="T2412" s="754">
        <f t="shared" si="319"/>
        <v>0</v>
      </c>
      <c r="U2412" s="859"/>
      <c r="V2412" s="863"/>
      <c r="W2412" s="859"/>
      <c r="X2412" s="859"/>
      <c r="Y2412" s="755">
        <f t="shared" si="315"/>
        <v>0</v>
      </c>
      <c r="Z2412" s="864"/>
      <c r="AA2412" s="863"/>
      <c r="AB2412" s="756">
        <f t="shared" si="316"/>
        <v>0</v>
      </c>
      <c r="AC2412" s="859"/>
      <c r="AD2412" s="863"/>
      <c r="AE2412" s="859"/>
      <c r="AF2412" s="859"/>
      <c r="AG2412" s="864"/>
      <c r="AH2412" s="865"/>
      <c r="AI2412" s="757">
        <f t="shared" si="320"/>
        <v>2445000</v>
      </c>
      <c r="AJ2412" s="758">
        <f t="shared" si="321"/>
        <v>0</v>
      </c>
    </row>
    <row r="2413" spans="1:36" x14ac:dyDescent="0.2">
      <c r="A2413" s="1421" t="s">
        <v>146</v>
      </c>
      <c r="B2413" s="1293" t="s">
        <v>272</v>
      </c>
      <c r="C2413" s="1284" t="s">
        <v>1722</v>
      </c>
      <c r="D2413" s="1283"/>
      <c r="E2413" s="1424">
        <v>217615</v>
      </c>
      <c r="F2413" s="1259">
        <v>9</v>
      </c>
      <c r="G2413" s="859"/>
      <c r="H2413" s="860"/>
      <c r="I2413" s="861">
        <v>37784</v>
      </c>
      <c r="J2413" s="862">
        <v>37784</v>
      </c>
      <c r="K2413" s="859"/>
      <c r="L2413" s="863"/>
      <c r="M2413" s="859"/>
      <c r="N2413" s="859"/>
      <c r="O2413" s="752">
        <f t="shared" si="314"/>
        <v>0</v>
      </c>
      <c r="P2413" s="862"/>
      <c r="Q2413" s="860"/>
      <c r="R2413" s="753">
        <f t="shared" si="317"/>
        <v>0</v>
      </c>
      <c r="S2413" s="752">
        <f t="shared" si="318"/>
        <v>37784</v>
      </c>
      <c r="T2413" s="754">
        <f t="shared" si="319"/>
        <v>37784</v>
      </c>
      <c r="U2413" s="859"/>
      <c r="V2413" s="863"/>
      <c r="W2413" s="859"/>
      <c r="X2413" s="859"/>
      <c r="Y2413" s="755">
        <f t="shared" si="315"/>
        <v>0</v>
      </c>
      <c r="Z2413" s="864"/>
      <c r="AA2413" s="863"/>
      <c r="AB2413" s="756">
        <f t="shared" si="316"/>
        <v>0</v>
      </c>
      <c r="AC2413" s="859"/>
      <c r="AD2413" s="863"/>
      <c r="AE2413" s="859"/>
      <c r="AF2413" s="859"/>
      <c r="AG2413" s="864"/>
      <c r="AH2413" s="865"/>
      <c r="AI2413" s="757">
        <f t="shared" si="320"/>
        <v>37784</v>
      </c>
      <c r="AJ2413" s="758">
        <f t="shared" si="321"/>
        <v>37784</v>
      </c>
    </row>
    <row r="2414" spans="1:36" x14ac:dyDescent="0.2">
      <c r="A2414" s="1421" t="s">
        <v>146</v>
      </c>
      <c r="B2414" s="1293" t="s">
        <v>272</v>
      </c>
      <c r="C2414" s="1284" t="s">
        <v>1687</v>
      </c>
      <c r="D2414" s="1283"/>
      <c r="E2414" s="1424">
        <v>217615</v>
      </c>
      <c r="F2414" s="1259">
        <v>9</v>
      </c>
      <c r="G2414" s="859"/>
      <c r="H2414" s="860"/>
      <c r="I2414" s="861">
        <v>135825</v>
      </c>
      <c r="J2414" s="862">
        <v>141878</v>
      </c>
      <c r="K2414" s="859"/>
      <c r="L2414" s="863"/>
      <c r="M2414" s="859"/>
      <c r="N2414" s="859"/>
      <c r="O2414" s="752">
        <f t="shared" si="314"/>
        <v>0</v>
      </c>
      <c r="P2414" s="862"/>
      <c r="Q2414" s="860"/>
      <c r="R2414" s="753">
        <f t="shared" si="317"/>
        <v>0</v>
      </c>
      <c r="S2414" s="752">
        <f t="shared" si="318"/>
        <v>135825</v>
      </c>
      <c r="T2414" s="754">
        <f t="shared" si="319"/>
        <v>141878</v>
      </c>
      <c r="U2414" s="859"/>
      <c r="V2414" s="863"/>
      <c r="W2414" s="859"/>
      <c r="X2414" s="859"/>
      <c r="Y2414" s="755">
        <f t="shared" si="315"/>
        <v>0</v>
      </c>
      <c r="Z2414" s="864"/>
      <c r="AA2414" s="863"/>
      <c r="AB2414" s="756">
        <f t="shared" si="316"/>
        <v>0</v>
      </c>
      <c r="AC2414" s="859"/>
      <c r="AD2414" s="863"/>
      <c r="AE2414" s="859"/>
      <c r="AF2414" s="859"/>
      <c r="AG2414" s="864"/>
      <c r="AH2414" s="865"/>
      <c r="AI2414" s="757">
        <f t="shared" si="320"/>
        <v>135825</v>
      </c>
      <c r="AJ2414" s="758">
        <f t="shared" si="321"/>
        <v>141878</v>
      </c>
    </row>
    <row r="2415" spans="1:36" x14ac:dyDescent="0.2">
      <c r="A2415" s="1421" t="s">
        <v>146</v>
      </c>
      <c r="B2415" s="1293" t="s">
        <v>264</v>
      </c>
      <c r="C2415" s="1422" t="s">
        <v>1732</v>
      </c>
      <c r="D2415" s="1423"/>
      <c r="E2415" s="1424">
        <v>218858</v>
      </c>
      <c r="F2415" s="1259">
        <v>9</v>
      </c>
      <c r="G2415" s="859">
        <v>3863388</v>
      </c>
      <c r="H2415" s="860">
        <v>3911593</v>
      </c>
      <c r="I2415" s="861"/>
      <c r="J2415" s="862"/>
      <c r="K2415" s="859">
        <v>2218907</v>
      </c>
      <c r="L2415" s="863">
        <v>2218907</v>
      </c>
      <c r="M2415" s="859">
        <v>12755061</v>
      </c>
      <c r="N2415" s="859">
        <v>3311474</v>
      </c>
      <c r="O2415" s="752">
        <f t="shared" si="314"/>
        <v>16066535</v>
      </c>
      <c r="P2415" s="862">
        <v>12755061</v>
      </c>
      <c r="Q2415" s="860">
        <v>3311474</v>
      </c>
      <c r="R2415" s="753">
        <f t="shared" si="317"/>
        <v>16066535</v>
      </c>
      <c r="S2415" s="752">
        <f t="shared" si="318"/>
        <v>18837356</v>
      </c>
      <c r="T2415" s="754">
        <f t="shared" si="319"/>
        <v>18885561</v>
      </c>
      <c r="U2415" s="859"/>
      <c r="V2415" s="863"/>
      <c r="W2415" s="859"/>
      <c r="X2415" s="859"/>
      <c r="Y2415" s="755">
        <f t="shared" si="315"/>
        <v>0</v>
      </c>
      <c r="Z2415" s="864"/>
      <c r="AA2415" s="863"/>
      <c r="AB2415" s="756">
        <f t="shared" si="316"/>
        <v>0</v>
      </c>
      <c r="AC2415" s="859"/>
      <c r="AD2415" s="863"/>
      <c r="AE2415" s="859"/>
      <c r="AF2415" s="859"/>
      <c r="AG2415" s="864"/>
      <c r="AH2415" s="865"/>
      <c r="AI2415" s="757">
        <f t="shared" si="320"/>
        <v>18837356</v>
      </c>
      <c r="AJ2415" s="758">
        <f t="shared" si="321"/>
        <v>18885561</v>
      </c>
    </row>
    <row r="2416" spans="1:36" x14ac:dyDescent="0.2">
      <c r="A2416" s="1421" t="s">
        <v>146</v>
      </c>
      <c r="B2416" s="1293" t="s">
        <v>272</v>
      </c>
      <c r="C2416" s="1282" t="s">
        <v>970</v>
      </c>
      <c r="D2416" s="1283"/>
      <c r="E2416" s="1424">
        <v>218858</v>
      </c>
      <c r="F2416" s="1259">
        <v>9</v>
      </c>
      <c r="G2416" s="859"/>
      <c r="H2416" s="860"/>
      <c r="I2416" s="861"/>
      <c r="J2416" s="862"/>
      <c r="K2416" s="859"/>
      <c r="L2416" s="863"/>
      <c r="M2416" s="859"/>
      <c r="N2416" s="859"/>
      <c r="O2416" s="752">
        <f t="shared" si="314"/>
        <v>0</v>
      </c>
      <c r="P2416" s="862"/>
      <c r="Q2416" s="860"/>
      <c r="R2416" s="753">
        <f t="shared" si="317"/>
        <v>0</v>
      </c>
      <c r="S2416" s="752">
        <f t="shared" si="318"/>
        <v>0</v>
      </c>
      <c r="T2416" s="754">
        <f t="shared" si="319"/>
        <v>0</v>
      </c>
      <c r="U2416" s="859"/>
      <c r="V2416" s="863"/>
      <c r="W2416" s="859"/>
      <c r="X2416" s="859"/>
      <c r="Y2416" s="755">
        <f t="shared" si="315"/>
        <v>0</v>
      </c>
      <c r="Z2416" s="864"/>
      <c r="AA2416" s="863"/>
      <c r="AB2416" s="756">
        <f t="shared" si="316"/>
        <v>0</v>
      </c>
      <c r="AC2416" s="859"/>
      <c r="AD2416" s="863"/>
      <c r="AE2416" s="859"/>
      <c r="AF2416" s="859"/>
      <c r="AG2416" s="864"/>
      <c r="AH2416" s="865"/>
      <c r="AI2416" s="757">
        <f t="shared" si="320"/>
        <v>0</v>
      </c>
      <c r="AJ2416" s="758">
        <f t="shared" si="321"/>
        <v>0</v>
      </c>
    </row>
    <row r="2417" spans="1:36" x14ac:dyDescent="0.2">
      <c r="A2417" s="1421" t="s">
        <v>146</v>
      </c>
      <c r="B2417" s="1293" t="s">
        <v>272</v>
      </c>
      <c r="C2417" s="1429" t="s">
        <v>1671</v>
      </c>
      <c r="D2417" s="1430"/>
      <c r="E2417" s="1424">
        <v>218858</v>
      </c>
      <c r="F2417" s="1259">
        <v>9</v>
      </c>
      <c r="G2417" s="859"/>
      <c r="H2417" s="860"/>
      <c r="I2417" s="861">
        <v>52</v>
      </c>
      <c r="J2417" s="862">
        <v>53</v>
      </c>
      <c r="K2417" s="859"/>
      <c r="L2417" s="863"/>
      <c r="M2417" s="859"/>
      <c r="N2417" s="859"/>
      <c r="O2417" s="752">
        <f t="shared" si="314"/>
        <v>0</v>
      </c>
      <c r="P2417" s="862"/>
      <c r="Q2417" s="860"/>
      <c r="R2417" s="753">
        <f t="shared" si="317"/>
        <v>0</v>
      </c>
      <c r="S2417" s="752">
        <f t="shared" si="318"/>
        <v>52</v>
      </c>
      <c r="T2417" s="754">
        <f t="shared" si="319"/>
        <v>53</v>
      </c>
      <c r="U2417" s="859"/>
      <c r="V2417" s="863"/>
      <c r="W2417" s="859"/>
      <c r="X2417" s="859"/>
      <c r="Y2417" s="755">
        <f t="shared" si="315"/>
        <v>0</v>
      </c>
      <c r="Z2417" s="864"/>
      <c r="AA2417" s="863"/>
      <c r="AB2417" s="756">
        <f t="shared" si="316"/>
        <v>0</v>
      </c>
      <c r="AC2417" s="859"/>
      <c r="AD2417" s="863"/>
      <c r="AE2417" s="859"/>
      <c r="AF2417" s="859"/>
      <c r="AG2417" s="864"/>
      <c r="AH2417" s="865"/>
      <c r="AI2417" s="757">
        <f t="shared" si="320"/>
        <v>52</v>
      </c>
      <c r="AJ2417" s="758">
        <f t="shared" si="321"/>
        <v>53</v>
      </c>
    </row>
    <row r="2418" spans="1:36" x14ac:dyDescent="0.2">
      <c r="A2418" s="1421" t="s">
        <v>146</v>
      </c>
      <c r="B2418" s="1293" t="s">
        <v>272</v>
      </c>
      <c r="C2418" s="1429" t="s">
        <v>1689</v>
      </c>
      <c r="D2418" s="1430"/>
      <c r="E2418" s="1424">
        <v>218858</v>
      </c>
      <c r="F2418" s="1259">
        <v>9</v>
      </c>
      <c r="G2418" s="859"/>
      <c r="H2418" s="860"/>
      <c r="I2418" s="861"/>
      <c r="J2418" s="862">
        <v>88256</v>
      </c>
      <c r="K2418" s="859"/>
      <c r="L2418" s="863"/>
      <c r="M2418" s="859"/>
      <c r="N2418" s="859"/>
      <c r="O2418" s="752">
        <f t="shared" si="314"/>
        <v>0</v>
      </c>
      <c r="P2418" s="862"/>
      <c r="Q2418" s="860"/>
      <c r="R2418" s="753">
        <f t="shared" si="317"/>
        <v>0</v>
      </c>
      <c r="S2418" s="752">
        <f t="shared" si="318"/>
        <v>0</v>
      </c>
      <c r="T2418" s="754">
        <f t="shared" si="319"/>
        <v>88256</v>
      </c>
      <c r="U2418" s="859"/>
      <c r="V2418" s="863"/>
      <c r="W2418" s="859"/>
      <c r="X2418" s="859"/>
      <c r="Y2418" s="755">
        <f t="shared" si="315"/>
        <v>0</v>
      </c>
      <c r="Z2418" s="864"/>
      <c r="AA2418" s="863"/>
      <c r="AB2418" s="756">
        <f t="shared" si="316"/>
        <v>0</v>
      </c>
      <c r="AC2418" s="859"/>
      <c r="AD2418" s="863"/>
      <c r="AE2418" s="859"/>
      <c r="AF2418" s="859"/>
      <c r="AG2418" s="864"/>
      <c r="AH2418" s="865"/>
      <c r="AI2418" s="757">
        <f t="shared" si="320"/>
        <v>0</v>
      </c>
      <c r="AJ2418" s="758">
        <f t="shared" si="321"/>
        <v>88256</v>
      </c>
    </row>
    <row r="2419" spans="1:36" x14ac:dyDescent="0.2">
      <c r="A2419" s="1421" t="s">
        <v>146</v>
      </c>
      <c r="B2419" s="1293" t="s">
        <v>272</v>
      </c>
      <c r="C2419" s="1429" t="s">
        <v>1720</v>
      </c>
      <c r="D2419" s="1430"/>
      <c r="E2419" s="1424">
        <v>218858</v>
      </c>
      <c r="F2419" s="1259">
        <v>9</v>
      </c>
      <c r="G2419" s="859"/>
      <c r="H2419" s="860"/>
      <c r="I2419" s="861"/>
      <c r="J2419" s="862">
        <v>18794</v>
      </c>
      <c r="K2419" s="859"/>
      <c r="L2419" s="863"/>
      <c r="M2419" s="859"/>
      <c r="N2419" s="859"/>
      <c r="O2419" s="752">
        <f t="shared" si="314"/>
        <v>0</v>
      </c>
      <c r="P2419" s="862"/>
      <c r="Q2419" s="860"/>
      <c r="R2419" s="753">
        <f t="shared" si="317"/>
        <v>0</v>
      </c>
      <c r="S2419" s="752">
        <f t="shared" si="318"/>
        <v>0</v>
      </c>
      <c r="T2419" s="754">
        <f t="shared" si="319"/>
        <v>18794</v>
      </c>
      <c r="U2419" s="859"/>
      <c r="V2419" s="863"/>
      <c r="W2419" s="859"/>
      <c r="X2419" s="859"/>
      <c r="Y2419" s="755">
        <f t="shared" si="315"/>
        <v>0</v>
      </c>
      <c r="Z2419" s="864"/>
      <c r="AA2419" s="863"/>
      <c r="AB2419" s="756">
        <f t="shared" si="316"/>
        <v>0</v>
      </c>
      <c r="AC2419" s="859"/>
      <c r="AD2419" s="863"/>
      <c r="AE2419" s="859"/>
      <c r="AF2419" s="859"/>
      <c r="AG2419" s="864"/>
      <c r="AH2419" s="865"/>
      <c r="AI2419" s="757">
        <f t="shared" si="320"/>
        <v>0</v>
      </c>
      <c r="AJ2419" s="758">
        <f t="shared" si="321"/>
        <v>18794</v>
      </c>
    </row>
    <row r="2420" spans="1:36" x14ac:dyDescent="0.2">
      <c r="A2420" s="1421" t="s">
        <v>146</v>
      </c>
      <c r="B2420" s="1293" t="s">
        <v>272</v>
      </c>
      <c r="C2420" s="1429" t="s">
        <v>1721</v>
      </c>
      <c r="D2420" s="1430"/>
      <c r="E2420" s="1424">
        <v>218858</v>
      </c>
      <c r="F2420" s="1259">
        <v>9</v>
      </c>
      <c r="G2420" s="859"/>
      <c r="H2420" s="860"/>
      <c r="I2420" s="861">
        <v>241455</v>
      </c>
      <c r="J2420" s="862"/>
      <c r="K2420" s="859"/>
      <c r="L2420" s="863"/>
      <c r="M2420" s="859"/>
      <c r="N2420" s="859"/>
      <c r="O2420" s="752">
        <f t="shared" si="314"/>
        <v>0</v>
      </c>
      <c r="P2420" s="862"/>
      <c r="Q2420" s="860"/>
      <c r="R2420" s="753">
        <f t="shared" si="317"/>
        <v>0</v>
      </c>
      <c r="S2420" s="752">
        <f t="shared" si="318"/>
        <v>241455</v>
      </c>
      <c r="T2420" s="754">
        <f t="shared" si="319"/>
        <v>0</v>
      </c>
      <c r="U2420" s="859"/>
      <c r="V2420" s="863"/>
      <c r="W2420" s="859"/>
      <c r="X2420" s="859"/>
      <c r="Y2420" s="755">
        <f t="shared" si="315"/>
        <v>0</v>
      </c>
      <c r="Z2420" s="864"/>
      <c r="AA2420" s="863"/>
      <c r="AB2420" s="756">
        <f t="shared" si="316"/>
        <v>0</v>
      </c>
      <c r="AC2420" s="859"/>
      <c r="AD2420" s="863"/>
      <c r="AE2420" s="859"/>
      <c r="AF2420" s="859"/>
      <c r="AG2420" s="864"/>
      <c r="AH2420" s="865"/>
      <c r="AI2420" s="757">
        <f t="shared" si="320"/>
        <v>241455</v>
      </c>
      <c r="AJ2420" s="758">
        <f t="shared" si="321"/>
        <v>0</v>
      </c>
    </row>
    <row r="2421" spans="1:36" x14ac:dyDescent="0.2">
      <c r="A2421" s="1421" t="s">
        <v>146</v>
      </c>
      <c r="B2421" s="1293" t="s">
        <v>272</v>
      </c>
      <c r="C2421" s="1429" t="s">
        <v>1724</v>
      </c>
      <c r="D2421" s="1430"/>
      <c r="E2421" s="1424">
        <v>218858</v>
      </c>
      <c r="F2421" s="1259">
        <v>9</v>
      </c>
      <c r="G2421" s="859"/>
      <c r="H2421" s="860"/>
      <c r="I2421" s="861">
        <v>3900000</v>
      </c>
      <c r="J2421" s="862"/>
      <c r="K2421" s="859"/>
      <c r="L2421" s="863"/>
      <c r="M2421" s="859"/>
      <c r="N2421" s="859"/>
      <c r="O2421" s="752">
        <f t="shared" si="314"/>
        <v>0</v>
      </c>
      <c r="P2421" s="862"/>
      <c r="Q2421" s="860"/>
      <c r="R2421" s="753">
        <f t="shared" si="317"/>
        <v>0</v>
      </c>
      <c r="S2421" s="752">
        <f t="shared" si="318"/>
        <v>3900000</v>
      </c>
      <c r="T2421" s="754">
        <f t="shared" si="319"/>
        <v>0</v>
      </c>
      <c r="U2421" s="859"/>
      <c r="V2421" s="863"/>
      <c r="W2421" s="859"/>
      <c r="X2421" s="859"/>
      <c r="Y2421" s="755">
        <f t="shared" si="315"/>
        <v>0</v>
      </c>
      <c r="Z2421" s="864"/>
      <c r="AA2421" s="863"/>
      <c r="AB2421" s="756">
        <f t="shared" si="316"/>
        <v>0</v>
      </c>
      <c r="AC2421" s="859"/>
      <c r="AD2421" s="863"/>
      <c r="AE2421" s="859"/>
      <c r="AF2421" s="859"/>
      <c r="AG2421" s="864"/>
      <c r="AH2421" s="865"/>
      <c r="AI2421" s="757">
        <f t="shared" si="320"/>
        <v>3900000</v>
      </c>
      <c r="AJ2421" s="758">
        <f t="shared" si="321"/>
        <v>0</v>
      </c>
    </row>
    <row r="2422" spans="1:36" x14ac:dyDescent="0.2">
      <c r="A2422" s="1421" t="s">
        <v>146</v>
      </c>
      <c r="B2422" s="1293" t="s">
        <v>272</v>
      </c>
      <c r="C2422" s="1284" t="s">
        <v>1722</v>
      </c>
      <c r="D2422" s="1283"/>
      <c r="E2422" s="1424">
        <v>218858</v>
      </c>
      <c r="F2422" s="1259">
        <v>9</v>
      </c>
      <c r="G2422" s="859"/>
      <c r="H2422" s="860"/>
      <c r="I2422" s="861">
        <v>37784</v>
      </c>
      <c r="J2422" s="862">
        <v>37784</v>
      </c>
      <c r="K2422" s="859"/>
      <c r="L2422" s="863"/>
      <c r="M2422" s="859"/>
      <c r="N2422" s="859"/>
      <c r="O2422" s="752">
        <f t="shared" si="314"/>
        <v>0</v>
      </c>
      <c r="P2422" s="862"/>
      <c r="Q2422" s="860"/>
      <c r="R2422" s="753">
        <f t="shared" si="317"/>
        <v>0</v>
      </c>
      <c r="S2422" s="752">
        <f t="shared" si="318"/>
        <v>37784</v>
      </c>
      <c r="T2422" s="754">
        <f t="shared" si="319"/>
        <v>37784</v>
      </c>
      <c r="U2422" s="859"/>
      <c r="V2422" s="863"/>
      <c r="W2422" s="859"/>
      <c r="X2422" s="859"/>
      <c r="Y2422" s="755">
        <f t="shared" si="315"/>
        <v>0</v>
      </c>
      <c r="Z2422" s="864"/>
      <c r="AA2422" s="863"/>
      <c r="AB2422" s="756">
        <f t="shared" si="316"/>
        <v>0</v>
      </c>
      <c r="AC2422" s="859"/>
      <c r="AD2422" s="863"/>
      <c r="AE2422" s="859"/>
      <c r="AF2422" s="859"/>
      <c r="AG2422" s="864"/>
      <c r="AH2422" s="865"/>
      <c r="AI2422" s="757">
        <f t="shared" si="320"/>
        <v>37784</v>
      </c>
      <c r="AJ2422" s="758">
        <f t="shared" si="321"/>
        <v>37784</v>
      </c>
    </row>
    <row r="2423" spans="1:36" x14ac:dyDescent="0.2">
      <c r="A2423" s="1421" t="s">
        <v>146</v>
      </c>
      <c r="B2423" s="1293" t="s">
        <v>272</v>
      </c>
      <c r="C2423" s="1284" t="s">
        <v>1687</v>
      </c>
      <c r="D2423" s="1283"/>
      <c r="E2423" s="1424">
        <v>218858</v>
      </c>
      <c r="F2423" s="1259">
        <v>9</v>
      </c>
      <c r="G2423" s="859"/>
      <c r="H2423" s="860"/>
      <c r="I2423" s="861">
        <v>144133</v>
      </c>
      <c r="J2423" s="862">
        <v>150535</v>
      </c>
      <c r="K2423" s="859"/>
      <c r="L2423" s="863"/>
      <c r="M2423" s="859"/>
      <c r="N2423" s="859"/>
      <c r="O2423" s="752">
        <f t="shared" si="314"/>
        <v>0</v>
      </c>
      <c r="P2423" s="862"/>
      <c r="Q2423" s="860"/>
      <c r="R2423" s="753">
        <f t="shared" si="317"/>
        <v>0</v>
      </c>
      <c r="S2423" s="752">
        <f t="shared" si="318"/>
        <v>144133</v>
      </c>
      <c r="T2423" s="754">
        <f t="shared" si="319"/>
        <v>150535</v>
      </c>
      <c r="U2423" s="859"/>
      <c r="V2423" s="863"/>
      <c r="W2423" s="859"/>
      <c r="X2423" s="859"/>
      <c r="Y2423" s="755">
        <f t="shared" si="315"/>
        <v>0</v>
      </c>
      <c r="Z2423" s="864"/>
      <c r="AA2423" s="863"/>
      <c r="AB2423" s="756">
        <f t="shared" si="316"/>
        <v>0</v>
      </c>
      <c r="AC2423" s="859"/>
      <c r="AD2423" s="863"/>
      <c r="AE2423" s="859"/>
      <c r="AF2423" s="859"/>
      <c r="AG2423" s="864"/>
      <c r="AH2423" s="865"/>
      <c r="AI2423" s="757">
        <f t="shared" si="320"/>
        <v>144133</v>
      </c>
      <c r="AJ2423" s="758">
        <f t="shared" si="321"/>
        <v>150535</v>
      </c>
    </row>
    <row r="2424" spans="1:36" x14ac:dyDescent="0.2">
      <c r="A2424" s="1421" t="s">
        <v>146</v>
      </c>
      <c r="B2424" s="1293" t="s">
        <v>264</v>
      </c>
      <c r="C2424" s="1422" t="s">
        <v>1735</v>
      </c>
      <c r="D2424" s="1423"/>
      <c r="E2424" s="1424">
        <v>218487</v>
      </c>
      <c r="F2424" s="1259">
        <v>9</v>
      </c>
      <c r="G2424" s="859">
        <v>3807018</v>
      </c>
      <c r="H2424" s="860">
        <v>3867437</v>
      </c>
      <c r="I2424" s="861"/>
      <c r="J2424" s="862"/>
      <c r="K2424" s="859">
        <v>1374948</v>
      </c>
      <c r="L2424" s="863">
        <v>1374948</v>
      </c>
      <c r="M2424" s="859">
        <v>10792664</v>
      </c>
      <c r="N2424" s="859">
        <v>0</v>
      </c>
      <c r="O2424" s="752">
        <f t="shared" si="314"/>
        <v>10792664</v>
      </c>
      <c r="P2424" s="862">
        <v>10792664</v>
      </c>
      <c r="Q2424" s="860">
        <v>0</v>
      </c>
      <c r="R2424" s="753">
        <f t="shared" si="317"/>
        <v>10792664</v>
      </c>
      <c r="S2424" s="752">
        <f t="shared" si="318"/>
        <v>15974630</v>
      </c>
      <c r="T2424" s="754">
        <f t="shared" si="319"/>
        <v>16035049</v>
      </c>
      <c r="U2424" s="859"/>
      <c r="V2424" s="863"/>
      <c r="W2424" s="859"/>
      <c r="X2424" s="859"/>
      <c r="Y2424" s="755">
        <f t="shared" si="315"/>
        <v>0</v>
      </c>
      <c r="Z2424" s="864"/>
      <c r="AA2424" s="863"/>
      <c r="AB2424" s="756">
        <f t="shared" si="316"/>
        <v>0</v>
      </c>
      <c r="AC2424" s="859"/>
      <c r="AD2424" s="863"/>
      <c r="AE2424" s="859"/>
      <c r="AF2424" s="859"/>
      <c r="AG2424" s="864"/>
      <c r="AH2424" s="865"/>
      <c r="AI2424" s="757">
        <f t="shared" si="320"/>
        <v>15974630</v>
      </c>
      <c r="AJ2424" s="758">
        <f t="shared" si="321"/>
        <v>16035049</v>
      </c>
    </row>
    <row r="2425" spans="1:36" x14ac:dyDescent="0.2">
      <c r="A2425" s="1421" t="s">
        <v>146</v>
      </c>
      <c r="B2425" s="1293" t="s">
        <v>272</v>
      </c>
      <c r="C2425" s="1282" t="s">
        <v>970</v>
      </c>
      <c r="D2425" s="1283"/>
      <c r="E2425" s="1424">
        <v>218487</v>
      </c>
      <c r="F2425" s="1259">
        <v>9</v>
      </c>
      <c r="G2425" s="859"/>
      <c r="H2425" s="860"/>
      <c r="I2425" s="861"/>
      <c r="J2425" s="862"/>
      <c r="K2425" s="859"/>
      <c r="L2425" s="863"/>
      <c r="M2425" s="859"/>
      <c r="N2425" s="859"/>
      <c r="O2425" s="752">
        <f t="shared" si="314"/>
        <v>0</v>
      </c>
      <c r="P2425" s="862"/>
      <c r="Q2425" s="860"/>
      <c r="R2425" s="753">
        <f t="shared" si="317"/>
        <v>0</v>
      </c>
      <c r="S2425" s="752">
        <f t="shared" si="318"/>
        <v>0</v>
      </c>
      <c r="T2425" s="754">
        <f t="shared" si="319"/>
        <v>0</v>
      </c>
      <c r="U2425" s="859"/>
      <c r="V2425" s="863"/>
      <c r="W2425" s="859"/>
      <c r="X2425" s="859"/>
      <c r="Y2425" s="755">
        <f t="shared" si="315"/>
        <v>0</v>
      </c>
      <c r="Z2425" s="864"/>
      <c r="AA2425" s="863"/>
      <c r="AB2425" s="756">
        <f t="shared" si="316"/>
        <v>0</v>
      </c>
      <c r="AC2425" s="859"/>
      <c r="AD2425" s="863"/>
      <c r="AE2425" s="859"/>
      <c r="AF2425" s="859"/>
      <c r="AG2425" s="864"/>
      <c r="AH2425" s="865"/>
      <c r="AI2425" s="757">
        <f t="shared" si="320"/>
        <v>0</v>
      </c>
      <c r="AJ2425" s="758">
        <f t="shared" si="321"/>
        <v>0</v>
      </c>
    </row>
    <row r="2426" spans="1:36" x14ac:dyDescent="0.2">
      <c r="A2426" s="1421" t="s">
        <v>146</v>
      </c>
      <c r="B2426" s="1293" t="s">
        <v>272</v>
      </c>
      <c r="C2426" s="1429" t="s">
        <v>1671</v>
      </c>
      <c r="D2426" s="1430"/>
      <c r="E2426" s="1424">
        <v>218487</v>
      </c>
      <c r="F2426" s="1259">
        <v>9</v>
      </c>
      <c r="G2426" s="859"/>
      <c r="H2426" s="860"/>
      <c r="I2426" s="861">
        <v>67</v>
      </c>
      <c r="J2426" s="862">
        <v>63</v>
      </c>
      <c r="K2426" s="859"/>
      <c r="L2426" s="863"/>
      <c r="M2426" s="859"/>
      <c r="N2426" s="859"/>
      <c r="O2426" s="752">
        <f t="shared" si="314"/>
        <v>0</v>
      </c>
      <c r="P2426" s="862"/>
      <c r="Q2426" s="860"/>
      <c r="R2426" s="753">
        <f t="shared" si="317"/>
        <v>0</v>
      </c>
      <c r="S2426" s="752">
        <f t="shared" si="318"/>
        <v>67</v>
      </c>
      <c r="T2426" s="754">
        <f t="shared" si="319"/>
        <v>63</v>
      </c>
      <c r="U2426" s="859"/>
      <c r="V2426" s="863"/>
      <c r="W2426" s="859"/>
      <c r="X2426" s="859"/>
      <c r="Y2426" s="755">
        <f t="shared" si="315"/>
        <v>0</v>
      </c>
      <c r="Z2426" s="864"/>
      <c r="AA2426" s="863"/>
      <c r="AB2426" s="756">
        <f t="shared" si="316"/>
        <v>0</v>
      </c>
      <c r="AC2426" s="859"/>
      <c r="AD2426" s="863"/>
      <c r="AE2426" s="859"/>
      <c r="AF2426" s="859"/>
      <c r="AG2426" s="864"/>
      <c r="AH2426" s="865"/>
      <c r="AI2426" s="757">
        <f t="shared" si="320"/>
        <v>67</v>
      </c>
      <c r="AJ2426" s="758">
        <f t="shared" si="321"/>
        <v>63</v>
      </c>
    </row>
    <row r="2427" spans="1:36" x14ac:dyDescent="0.2">
      <c r="A2427" s="1421" t="s">
        <v>146</v>
      </c>
      <c r="B2427" s="1293" t="s">
        <v>272</v>
      </c>
      <c r="C2427" s="1429" t="s">
        <v>1689</v>
      </c>
      <c r="D2427" s="1430"/>
      <c r="E2427" s="1424">
        <v>218487</v>
      </c>
      <c r="F2427" s="1259">
        <v>9</v>
      </c>
      <c r="G2427" s="859"/>
      <c r="H2427" s="860"/>
      <c r="I2427" s="861"/>
      <c r="J2427" s="862">
        <v>63643</v>
      </c>
      <c r="K2427" s="859"/>
      <c r="L2427" s="863"/>
      <c r="M2427" s="859"/>
      <c r="N2427" s="859"/>
      <c r="O2427" s="752">
        <f t="shared" si="314"/>
        <v>0</v>
      </c>
      <c r="P2427" s="862"/>
      <c r="Q2427" s="860"/>
      <c r="R2427" s="753">
        <f t="shared" si="317"/>
        <v>0</v>
      </c>
      <c r="S2427" s="752">
        <f t="shared" si="318"/>
        <v>0</v>
      </c>
      <c r="T2427" s="754">
        <f t="shared" si="319"/>
        <v>63643</v>
      </c>
      <c r="U2427" s="859"/>
      <c r="V2427" s="863"/>
      <c r="W2427" s="859"/>
      <c r="X2427" s="859"/>
      <c r="Y2427" s="755">
        <f t="shared" si="315"/>
        <v>0</v>
      </c>
      <c r="Z2427" s="864"/>
      <c r="AA2427" s="863"/>
      <c r="AB2427" s="756">
        <f t="shared" si="316"/>
        <v>0</v>
      </c>
      <c r="AC2427" s="859"/>
      <c r="AD2427" s="863"/>
      <c r="AE2427" s="859"/>
      <c r="AF2427" s="859"/>
      <c r="AG2427" s="864"/>
      <c r="AH2427" s="865"/>
      <c r="AI2427" s="757">
        <f t="shared" si="320"/>
        <v>0</v>
      </c>
      <c r="AJ2427" s="758">
        <f t="shared" si="321"/>
        <v>63643</v>
      </c>
    </row>
    <row r="2428" spans="1:36" x14ac:dyDescent="0.2">
      <c r="A2428" s="1421" t="s">
        <v>146</v>
      </c>
      <c r="B2428" s="1293" t="s">
        <v>272</v>
      </c>
      <c r="C2428" s="1429" t="s">
        <v>1720</v>
      </c>
      <c r="D2428" s="1430"/>
      <c r="E2428" s="1424">
        <v>218487</v>
      </c>
      <c r="F2428" s="1259">
        <v>9</v>
      </c>
      <c r="G2428" s="859"/>
      <c r="H2428" s="860"/>
      <c r="I2428" s="861"/>
      <c r="J2428" s="862">
        <v>17672</v>
      </c>
      <c r="K2428" s="859"/>
      <c r="L2428" s="863"/>
      <c r="M2428" s="859"/>
      <c r="N2428" s="859"/>
      <c r="O2428" s="752">
        <f t="shared" si="314"/>
        <v>0</v>
      </c>
      <c r="P2428" s="862"/>
      <c r="Q2428" s="860"/>
      <c r="R2428" s="753">
        <f t="shared" si="317"/>
        <v>0</v>
      </c>
      <c r="S2428" s="752">
        <f t="shared" si="318"/>
        <v>0</v>
      </c>
      <c r="T2428" s="754">
        <f t="shared" si="319"/>
        <v>17672</v>
      </c>
      <c r="U2428" s="859"/>
      <c r="V2428" s="863"/>
      <c r="W2428" s="859"/>
      <c r="X2428" s="859"/>
      <c r="Y2428" s="755">
        <f t="shared" si="315"/>
        <v>0</v>
      </c>
      <c r="Z2428" s="864"/>
      <c r="AA2428" s="863"/>
      <c r="AB2428" s="756">
        <f t="shared" si="316"/>
        <v>0</v>
      </c>
      <c r="AC2428" s="859"/>
      <c r="AD2428" s="863"/>
      <c r="AE2428" s="859"/>
      <c r="AF2428" s="859"/>
      <c r="AG2428" s="864"/>
      <c r="AH2428" s="865"/>
      <c r="AI2428" s="757">
        <f t="shared" si="320"/>
        <v>0</v>
      </c>
      <c r="AJ2428" s="758">
        <f t="shared" si="321"/>
        <v>17672</v>
      </c>
    </row>
    <row r="2429" spans="1:36" x14ac:dyDescent="0.2">
      <c r="A2429" s="1421" t="s">
        <v>146</v>
      </c>
      <c r="B2429" s="1293" t="s">
        <v>272</v>
      </c>
      <c r="C2429" s="1429" t="s">
        <v>1721</v>
      </c>
      <c r="D2429" s="1430"/>
      <c r="E2429" s="1424">
        <v>218487</v>
      </c>
      <c r="F2429" s="1259">
        <v>9</v>
      </c>
      <c r="G2429" s="859"/>
      <c r="H2429" s="860"/>
      <c r="I2429" s="861">
        <v>164322</v>
      </c>
      <c r="J2429" s="862"/>
      <c r="K2429" s="859"/>
      <c r="L2429" s="863"/>
      <c r="M2429" s="859"/>
      <c r="N2429" s="859"/>
      <c r="O2429" s="752">
        <f t="shared" si="314"/>
        <v>0</v>
      </c>
      <c r="P2429" s="862"/>
      <c r="Q2429" s="860"/>
      <c r="R2429" s="753">
        <f t="shared" si="317"/>
        <v>0</v>
      </c>
      <c r="S2429" s="752">
        <f t="shared" si="318"/>
        <v>164322</v>
      </c>
      <c r="T2429" s="754">
        <f t="shared" si="319"/>
        <v>0</v>
      </c>
      <c r="U2429" s="859"/>
      <c r="V2429" s="863"/>
      <c r="W2429" s="859"/>
      <c r="X2429" s="859"/>
      <c r="Y2429" s="755">
        <f t="shared" si="315"/>
        <v>0</v>
      </c>
      <c r="Z2429" s="864"/>
      <c r="AA2429" s="863"/>
      <c r="AB2429" s="756">
        <f t="shared" si="316"/>
        <v>0</v>
      </c>
      <c r="AC2429" s="859"/>
      <c r="AD2429" s="863"/>
      <c r="AE2429" s="859"/>
      <c r="AF2429" s="859"/>
      <c r="AG2429" s="864"/>
      <c r="AH2429" s="865"/>
      <c r="AI2429" s="757">
        <f t="shared" si="320"/>
        <v>164322</v>
      </c>
      <c r="AJ2429" s="758">
        <f t="shared" si="321"/>
        <v>0</v>
      </c>
    </row>
    <row r="2430" spans="1:36" x14ac:dyDescent="0.2">
      <c r="A2430" s="1421" t="s">
        <v>146</v>
      </c>
      <c r="B2430" s="1293" t="s">
        <v>272</v>
      </c>
      <c r="C2430" s="1429" t="s">
        <v>1724</v>
      </c>
      <c r="D2430" s="1430"/>
      <c r="E2430" s="1424">
        <v>218487</v>
      </c>
      <c r="F2430" s="1259">
        <v>9</v>
      </c>
      <c r="G2430" s="859"/>
      <c r="H2430" s="860"/>
      <c r="I2430" s="861">
        <v>500000</v>
      </c>
      <c r="J2430" s="862"/>
      <c r="K2430" s="859"/>
      <c r="L2430" s="863"/>
      <c r="M2430" s="859"/>
      <c r="N2430" s="859"/>
      <c r="O2430" s="752">
        <f t="shared" si="314"/>
        <v>0</v>
      </c>
      <c r="P2430" s="862"/>
      <c r="Q2430" s="860"/>
      <c r="R2430" s="753">
        <f t="shared" si="317"/>
        <v>0</v>
      </c>
      <c r="S2430" s="752">
        <f t="shared" si="318"/>
        <v>500000</v>
      </c>
      <c r="T2430" s="754">
        <f t="shared" si="319"/>
        <v>0</v>
      </c>
      <c r="U2430" s="859"/>
      <c r="V2430" s="863"/>
      <c r="W2430" s="859"/>
      <c r="X2430" s="859"/>
      <c r="Y2430" s="755">
        <f t="shared" si="315"/>
        <v>0</v>
      </c>
      <c r="Z2430" s="864"/>
      <c r="AA2430" s="863"/>
      <c r="AB2430" s="756">
        <f t="shared" si="316"/>
        <v>0</v>
      </c>
      <c r="AC2430" s="859"/>
      <c r="AD2430" s="863"/>
      <c r="AE2430" s="859"/>
      <c r="AF2430" s="859"/>
      <c r="AG2430" s="864"/>
      <c r="AH2430" s="865"/>
      <c r="AI2430" s="757">
        <f t="shared" si="320"/>
        <v>500000</v>
      </c>
      <c r="AJ2430" s="758">
        <f t="shared" si="321"/>
        <v>0</v>
      </c>
    </row>
    <row r="2431" spans="1:36" x14ac:dyDescent="0.2">
      <c r="A2431" s="1421" t="s">
        <v>146</v>
      </c>
      <c r="B2431" s="1293" t="s">
        <v>272</v>
      </c>
      <c r="C2431" s="1284" t="s">
        <v>1722</v>
      </c>
      <c r="D2431" s="1283"/>
      <c r="E2431" s="1424">
        <v>218487</v>
      </c>
      <c r="F2431" s="1259">
        <v>9</v>
      </c>
      <c r="G2431" s="859"/>
      <c r="H2431" s="860"/>
      <c r="I2431" s="861">
        <v>37784</v>
      </c>
      <c r="J2431" s="862">
        <v>37784</v>
      </c>
      <c r="K2431" s="859"/>
      <c r="L2431" s="863"/>
      <c r="M2431" s="859"/>
      <c r="N2431" s="859"/>
      <c r="O2431" s="752">
        <f t="shared" si="314"/>
        <v>0</v>
      </c>
      <c r="P2431" s="862"/>
      <c r="Q2431" s="860"/>
      <c r="R2431" s="753">
        <f t="shared" si="317"/>
        <v>0</v>
      </c>
      <c r="S2431" s="752">
        <f t="shared" si="318"/>
        <v>37784</v>
      </c>
      <c r="T2431" s="754">
        <f t="shared" si="319"/>
        <v>37784</v>
      </c>
      <c r="U2431" s="859"/>
      <c r="V2431" s="863"/>
      <c r="W2431" s="859"/>
      <c r="X2431" s="859"/>
      <c r="Y2431" s="755">
        <f t="shared" si="315"/>
        <v>0</v>
      </c>
      <c r="Z2431" s="864"/>
      <c r="AA2431" s="863"/>
      <c r="AB2431" s="756">
        <f t="shared" si="316"/>
        <v>0</v>
      </c>
      <c r="AC2431" s="859"/>
      <c r="AD2431" s="863"/>
      <c r="AE2431" s="859"/>
      <c r="AF2431" s="859"/>
      <c r="AG2431" s="864"/>
      <c r="AH2431" s="865"/>
      <c r="AI2431" s="757">
        <f t="shared" si="320"/>
        <v>37784</v>
      </c>
      <c r="AJ2431" s="758">
        <f t="shared" si="321"/>
        <v>37784</v>
      </c>
    </row>
    <row r="2432" spans="1:36" x14ac:dyDescent="0.2">
      <c r="A2432" s="1421" t="s">
        <v>146</v>
      </c>
      <c r="B2432" s="1293" t="s">
        <v>272</v>
      </c>
      <c r="C2432" s="1284" t="s">
        <v>1687</v>
      </c>
      <c r="D2432" s="1283"/>
      <c r="E2432" s="1424">
        <v>218487</v>
      </c>
      <c r="F2432" s="1259">
        <v>9</v>
      </c>
      <c r="G2432" s="859"/>
      <c r="H2432" s="860"/>
      <c r="I2432" s="861">
        <v>142062</v>
      </c>
      <c r="J2432" s="862">
        <v>148836</v>
      </c>
      <c r="K2432" s="859"/>
      <c r="L2432" s="863"/>
      <c r="M2432" s="859"/>
      <c r="N2432" s="859"/>
      <c r="O2432" s="752">
        <f t="shared" si="314"/>
        <v>0</v>
      </c>
      <c r="P2432" s="862"/>
      <c r="Q2432" s="860"/>
      <c r="R2432" s="753">
        <f t="shared" si="317"/>
        <v>0</v>
      </c>
      <c r="S2432" s="752">
        <f t="shared" si="318"/>
        <v>142062</v>
      </c>
      <c r="T2432" s="754">
        <f t="shared" si="319"/>
        <v>148836</v>
      </c>
      <c r="U2432" s="859"/>
      <c r="V2432" s="863"/>
      <c r="W2432" s="859"/>
      <c r="X2432" s="859"/>
      <c r="Y2432" s="755">
        <f t="shared" si="315"/>
        <v>0</v>
      </c>
      <c r="Z2432" s="864"/>
      <c r="AA2432" s="863"/>
      <c r="AB2432" s="756">
        <f t="shared" si="316"/>
        <v>0</v>
      </c>
      <c r="AC2432" s="859"/>
      <c r="AD2432" s="863"/>
      <c r="AE2432" s="859"/>
      <c r="AF2432" s="859"/>
      <c r="AG2432" s="864"/>
      <c r="AH2432" s="865"/>
      <c r="AI2432" s="757">
        <f t="shared" si="320"/>
        <v>142062</v>
      </c>
      <c r="AJ2432" s="758">
        <f t="shared" si="321"/>
        <v>148836</v>
      </c>
    </row>
    <row r="2433" spans="1:36" x14ac:dyDescent="0.2">
      <c r="A2433" s="1421" t="s">
        <v>146</v>
      </c>
      <c r="B2433" s="1293" t="s">
        <v>264</v>
      </c>
      <c r="C2433" s="1277" t="s">
        <v>1737</v>
      </c>
      <c r="D2433" s="1278"/>
      <c r="E2433" s="1424">
        <v>218830</v>
      </c>
      <c r="F2433" s="1259">
        <v>9</v>
      </c>
      <c r="G2433" s="859">
        <v>5974976</v>
      </c>
      <c r="H2433" s="860">
        <v>6079404</v>
      </c>
      <c r="I2433" s="861"/>
      <c r="J2433" s="862"/>
      <c r="K2433" s="859">
        <v>5182712</v>
      </c>
      <c r="L2433" s="863">
        <v>5182712</v>
      </c>
      <c r="M2433" s="859">
        <v>21990221</v>
      </c>
      <c r="N2433" s="859">
        <v>1653653</v>
      </c>
      <c r="O2433" s="752">
        <f t="shared" si="314"/>
        <v>23643874</v>
      </c>
      <c r="P2433" s="862">
        <v>21990221</v>
      </c>
      <c r="Q2433" s="860">
        <v>1653653</v>
      </c>
      <c r="R2433" s="753">
        <f t="shared" si="317"/>
        <v>23643874</v>
      </c>
      <c r="S2433" s="752">
        <f t="shared" si="318"/>
        <v>33147909</v>
      </c>
      <c r="T2433" s="754">
        <f t="shared" si="319"/>
        <v>33252337</v>
      </c>
      <c r="U2433" s="859"/>
      <c r="V2433" s="863"/>
      <c r="W2433" s="859"/>
      <c r="X2433" s="859"/>
      <c r="Y2433" s="755">
        <f t="shared" si="315"/>
        <v>0</v>
      </c>
      <c r="Z2433" s="864"/>
      <c r="AA2433" s="863"/>
      <c r="AB2433" s="756">
        <f t="shared" si="316"/>
        <v>0</v>
      </c>
      <c r="AC2433" s="859"/>
      <c r="AD2433" s="863"/>
      <c r="AE2433" s="859"/>
      <c r="AF2433" s="859"/>
      <c r="AG2433" s="864"/>
      <c r="AH2433" s="865"/>
      <c r="AI2433" s="757">
        <f t="shared" si="320"/>
        <v>33147909</v>
      </c>
      <c r="AJ2433" s="758">
        <f t="shared" si="321"/>
        <v>33252337</v>
      </c>
    </row>
    <row r="2434" spans="1:36" x14ac:dyDescent="0.2">
      <c r="A2434" s="1421" t="s">
        <v>146</v>
      </c>
      <c r="B2434" s="1293" t="s">
        <v>272</v>
      </c>
      <c r="C2434" s="1282" t="s">
        <v>970</v>
      </c>
      <c r="D2434" s="1283"/>
      <c r="E2434" s="1424">
        <v>218830</v>
      </c>
      <c r="F2434" s="1259">
        <v>9</v>
      </c>
      <c r="G2434" s="859"/>
      <c r="H2434" s="860"/>
      <c r="I2434" s="861"/>
      <c r="J2434" s="862"/>
      <c r="K2434" s="859"/>
      <c r="L2434" s="863"/>
      <c r="M2434" s="859"/>
      <c r="N2434" s="859"/>
      <c r="O2434" s="752">
        <f t="shared" si="314"/>
        <v>0</v>
      </c>
      <c r="P2434" s="862"/>
      <c r="Q2434" s="860"/>
      <c r="R2434" s="753">
        <f t="shared" si="317"/>
        <v>0</v>
      </c>
      <c r="S2434" s="752">
        <f t="shared" si="318"/>
        <v>0</v>
      </c>
      <c r="T2434" s="754">
        <f t="shared" si="319"/>
        <v>0</v>
      </c>
      <c r="U2434" s="859"/>
      <c r="V2434" s="863"/>
      <c r="W2434" s="859"/>
      <c r="X2434" s="859"/>
      <c r="Y2434" s="755">
        <f t="shared" si="315"/>
        <v>0</v>
      </c>
      <c r="Z2434" s="864"/>
      <c r="AA2434" s="863"/>
      <c r="AB2434" s="756">
        <f t="shared" si="316"/>
        <v>0</v>
      </c>
      <c r="AC2434" s="859"/>
      <c r="AD2434" s="863"/>
      <c r="AE2434" s="859"/>
      <c r="AF2434" s="859"/>
      <c r="AG2434" s="864"/>
      <c r="AH2434" s="865"/>
      <c r="AI2434" s="757">
        <f t="shared" si="320"/>
        <v>0</v>
      </c>
      <c r="AJ2434" s="758">
        <f t="shared" si="321"/>
        <v>0</v>
      </c>
    </row>
    <row r="2435" spans="1:36" x14ac:dyDescent="0.2">
      <c r="A2435" s="1421" t="s">
        <v>146</v>
      </c>
      <c r="B2435" s="1293" t="s">
        <v>272</v>
      </c>
      <c r="C2435" s="1429" t="s">
        <v>1671</v>
      </c>
      <c r="D2435" s="1430"/>
      <c r="E2435" s="1424">
        <v>218830</v>
      </c>
      <c r="F2435" s="1259">
        <v>9</v>
      </c>
      <c r="G2435" s="859"/>
      <c r="H2435" s="860"/>
      <c r="I2435" s="861">
        <v>281</v>
      </c>
      <c r="J2435" s="862">
        <v>2521</v>
      </c>
      <c r="K2435" s="859"/>
      <c r="L2435" s="863"/>
      <c r="M2435" s="859"/>
      <c r="N2435" s="859"/>
      <c r="O2435" s="752">
        <f t="shared" si="314"/>
        <v>0</v>
      </c>
      <c r="P2435" s="862"/>
      <c r="Q2435" s="860"/>
      <c r="R2435" s="753">
        <f t="shared" si="317"/>
        <v>0</v>
      </c>
      <c r="S2435" s="752">
        <f t="shared" si="318"/>
        <v>281</v>
      </c>
      <c r="T2435" s="754">
        <f t="shared" si="319"/>
        <v>2521</v>
      </c>
      <c r="U2435" s="859"/>
      <c r="V2435" s="863"/>
      <c r="W2435" s="859"/>
      <c r="X2435" s="859"/>
      <c r="Y2435" s="755">
        <f t="shared" si="315"/>
        <v>0</v>
      </c>
      <c r="Z2435" s="864"/>
      <c r="AA2435" s="863"/>
      <c r="AB2435" s="756">
        <f t="shared" si="316"/>
        <v>0</v>
      </c>
      <c r="AC2435" s="859"/>
      <c r="AD2435" s="863"/>
      <c r="AE2435" s="859"/>
      <c r="AF2435" s="859"/>
      <c r="AG2435" s="864"/>
      <c r="AH2435" s="865"/>
      <c r="AI2435" s="757">
        <f t="shared" si="320"/>
        <v>281</v>
      </c>
      <c r="AJ2435" s="758">
        <f t="shared" si="321"/>
        <v>2521</v>
      </c>
    </row>
    <row r="2436" spans="1:36" x14ac:dyDescent="0.2">
      <c r="A2436" s="1421" t="s">
        <v>146</v>
      </c>
      <c r="B2436" s="1293" t="s">
        <v>272</v>
      </c>
      <c r="C2436" s="1429" t="s">
        <v>1689</v>
      </c>
      <c r="D2436" s="1430"/>
      <c r="E2436" s="1424">
        <v>218830</v>
      </c>
      <c r="F2436" s="1259">
        <v>9</v>
      </c>
      <c r="G2436" s="859"/>
      <c r="H2436" s="860"/>
      <c r="I2436" s="861"/>
      <c r="J2436" s="862">
        <v>82714</v>
      </c>
      <c r="K2436" s="859"/>
      <c r="L2436" s="863"/>
      <c r="M2436" s="859"/>
      <c r="N2436" s="859"/>
      <c r="O2436" s="752">
        <f t="shared" si="314"/>
        <v>0</v>
      </c>
      <c r="P2436" s="862"/>
      <c r="Q2436" s="860"/>
      <c r="R2436" s="753">
        <f t="shared" si="317"/>
        <v>0</v>
      </c>
      <c r="S2436" s="752">
        <f t="shared" si="318"/>
        <v>0</v>
      </c>
      <c r="T2436" s="754">
        <f t="shared" si="319"/>
        <v>82714</v>
      </c>
      <c r="U2436" s="859"/>
      <c r="V2436" s="863"/>
      <c r="W2436" s="859"/>
      <c r="X2436" s="859"/>
      <c r="Y2436" s="755">
        <f t="shared" si="315"/>
        <v>0</v>
      </c>
      <c r="Z2436" s="864"/>
      <c r="AA2436" s="863"/>
      <c r="AB2436" s="756">
        <f t="shared" si="316"/>
        <v>0</v>
      </c>
      <c r="AC2436" s="859"/>
      <c r="AD2436" s="863"/>
      <c r="AE2436" s="859"/>
      <c r="AF2436" s="859"/>
      <c r="AG2436" s="864"/>
      <c r="AH2436" s="865"/>
      <c r="AI2436" s="757">
        <f t="shared" si="320"/>
        <v>0</v>
      </c>
      <c r="AJ2436" s="758">
        <f t="shared" si="321"/>
        <v>82714</v>
      </c>
    </row>
    <row r="2437" spans="1:36" x14ac:dyDescent="0.2">
      <c r="A2437" s="1421" t="s">
        <v>146</v>
      </c>
      <c r="B2437" s="1293" t="s">
        <v>272</v>
      </c>
      <c r="C2437" s="1429" t="s">
        <v>1721</v>
      </c>
      <c r="D2437" s="1430"/>
      <c r="E2437" s="1424">
        <v>218830</v>
      </c>
      <c r="F2437" s="1259">
        <v>9</v>
      </c>
      <c r="G2437" s="859"/>
      <c r="H2437" s="860"/>
      <c r="I2437" s="861">
        <v>416957</v>
      </c>
      <c r="J2437" s="862"/>
      <c r="K2437" s="859"/>
      <c r="L2437" s="863"/>
      <c r="M2437" s="859"/>
      <c r="N2437" s="859"/>
      <c r="O2437" s="752">
        <f t="shared" si="314"/>
        <v>0</v>
      </c>
      <c r="P2437" s="862"/>
      <c r="Q2437" s="860"/>
      <c r="R2437" s="753">
        <f t="shared" si="317"/>
        <v>0</v>
      </c>
      <c r="S2437" s="752">
        <f t="shared" si="318"/>
        <v>416957</v>
      </c>
      <c r="T2437" s="754">
        <f t="shared" si="319"/>
        <v>0</v>
      </c>
      <c r="U2437" s="859"/>
      <c r="V2437" s="863"/>
      <c r="W2437" s="859"/>
      <c r="X2437" s="859"/>
      <c r="Y2437" s="755">
        <f t="shared" si="315"/>
        <v>0</v>
      </c>
      <c r="Z2437" s="864"/>
      <c r="AA2437" s="863"/>
      <c r="AB2437" s="756">
        <f t="shared" si="316"/>
        <v>0</v>
      </c>
      <c r="AC2437" s="859"/>
      <c r="AD2437" s="863"/>
      <c r="AE2437" s="859"/>
      <c r="AF2437" s="859"/>
      <c r="AG2437" s="864"/>
      <c r="AH2437" s="865"/>
      <c r="AI2437" s="757">
        <f t="shared" si="320"/>
        <v>416957</v>
      </c>
      <c r="AJ2437" s="758">
        <f t="shared" si="321"/>
        <v>0</v>
      </c>
    </row>
    <row r="2438" spans="1:36" x14ac:dyDescent="0.2">
      <c r="A2438" s="1421" t="s">
        <v>146</v>
      </c>
      <c r="B2438" s="1293" t="s">
        <v>272</v>
      </c>
      <c r="C2438" s="1429" t="s">
        <v>1724</v>
      </c>
      <c r="D2438" s="1430"/>
      <c r="E2438" s="1424">
        <v>218830</v>
      </c>
      <c r="F2438" s="1259">
        <v>9</v>
      </c>
      <c r="G2438" s="859"/>
      <c r="H2438" s="860"/>
      <c r="I2438" s="861">
        <v>3500000</v>
      </c>
      <c r="J2438" s="862"/>
      <c r="K2438" s="859"/>
      <c r="L2438" s="863"/>
      <c r="M2438" s="859"/>
      <c r="N2438" s="859"/>
      <c r="O2438" s="752">
        <f t="shared" si="314"/>
        <v>0</v>
      </c>
      <c r="P2438" s="862"/>
      <c r="Q2438" s="860"/>
      <c r="R2438" s="753">
        <f t="shared" si="317"/>
        <v>0</v>
      </c>
      <c r="S2438" s="752">
        <f t="shared" si="318"/>
        <v>3500000</v>
      </c>
      <c r="T2438" s="754">
        <f t="shared" si="319"/>
        <v>0</v>
      </c>
      <c r="U2438" s="859"/>
      <c r="V2438" s="863"/>
      <c r="W2438" s="859"/>
      <c r="X2438" s="859"/>
      <c r="Y2438" s="755">
        <f t="shared" si="315"/>
        <v>0</v>
      </c>
      <c r="Z2438" s="864"/>
      <c r="AA2438" s="863"/>
      <c r="AB2438" s="756">
        <f t="shared" si="316"/>
        <v>0</v>
      </c>
      <c r="AC2438" s="859"/>
      <c r="AD2438" s="863"/>
      <c r="AE2438" s="859"/>
      <c r="AF2438" s="859"/>
      <c r="AG2438" s="864"/>
      <c r="AH2438" s="865"/>
      <c r="AI2438" s="757">
        <f t="shared" si="320"/>
        <v>3500000</v>
      </c>
      <c r="AJ2438" s="758">
        <f t="shared" si="321"/>
        <v>0</v>
      </c>
    </row>
    <row r="2439" spans="1:36" x14ac:dyDescent="0.2">
      <c r="A2439" s="1421" t="s">
        <v>146</v>
      </c>
      <c r="B2439" s="1293" t="s">
        <v>272</v>
      </c>
      <c r="C2439" s="1429" t="s">
        <v>1738</v>
      </c>
      <c r="D2439" s="1430"/>
      <c r="E2439" s="1424">
        <v>218830</v>
      </c>
      <c r="F2439" s="1259">
        <v>9</v>
      </c>
      <c r="G2439" s="859"/>
      <c r="H2439" s="860"/>
      <c r="I2439" s="861"/>
      <c r="J2439" s="862">
        <v>840000</v>
      </c>
      <c r="K2439" s="859"/>
      <c r="L2439" s="863"/>
      <c r="M2439" s="859"/>
      <c r="N2439" s="859"/>
      <c r="O2439" s="752">
        <f t="shared" si="314"/>
        <v>0</v>
      </c>
      <c r="P2439" s="862"/>
      <c r="Q2439" s="860"/>
      <c r="R2439" s="753">
        <f t="shared" si="317"/>
        <v>0</v>
      </c>
      <c r="S2439" s="752">
        <f t="shared" si="318"/>
        <v>0</v>
      </c>
      <c r="T2439" s="754">
        <f t="shared" si="319"/>
        <v>840000</v>
      </c>
      <c r="U2439" s="859"/>
      <c r="V2439" s="863"/>
      <c r="W2439" s="859"/>
      <c r="X2439" s="859"/>
      <c r="Y2439" s="755">
        <f t="shared" si="315"/>
        <v>0</v>
      </c>
      <c r="Z2439" s="864"/>
      <c r="AA2439" s="863"/>
      <c r="AB2439" s="756">
        <f t="shared" si="316"/>
        <v>0</v>
      </c>
      <c r="AC2439" s="859"/>
      <c r="AD2439" s="863"/>
      <c r="AE2439" s="859"/>
      <c r="AF2439" s="859"/>
      <c r="AG2439" s="864"/>
      <c r="AH2439" s="865"/>
      <c r="AI2439" s="757">
        <f t="shared" si="320"/>
        <v>0</v>
      </c>
      <c r="AJ2439" s="758">
        <f t="shared" si="321"/>
        <v>840000</v>
      </c>
    </row>
    <row r="2440" spans="1:36" x14ac:dyDescent="0.2">
      <c r="A2440" s="1421" t="s">
        <v>146</v>
      </c>
      <c r="B2440" s="1293" t="s">
        <v>272</v>
      </c>
      <c r="C2440" s="1284" t="s">
        <v>1739</v>
      </c>
      <c r="D2440" s="1283"/>
      <c r="E2440" s="1424">
        <v>218830</v>
      </c>
      <c r="F2440" s="1259">
        <v>9</v>
      </c>
      <c r="G2440" s="859"/>
      <c r="H2440" s="860"/>
      <c r="I2440" s="861">
        <v>906816</v>
      </c>
      <c r="J2440" s="862">
        <v>906816</v>
      </c>
      <c r="K2440" s="859"/>
      <c r="L2440" s="863"/>
      <c r="M2440" s="859"/>
      <c r="N2440" s="859"/>
      <c r="O2440" s="752">
        <f t="shared" si="314"/>
        <v>0</v>
      </c>
      <c r="P2440" s="862"/>
      <c r="Q2440" s="860"/>
      <c r="R2440" s="753">
        <f t="shared" si="317"/>
        <v>0</v>
      </c>
      <c r="S2440" s="752">
        <f t="shared" si="318"/>
        <v>906816</v>
      </c>
      <c r="T2440" s="754">
        <f t="shared" si="319"/>
        <v>906816</v>
      </c>
      <c r="U2440" s="859"/>
      <c r="V2440" s="863"/>
      <c r="W2440" s="859"/>
      <c r="X2440" s="859"/>
      <c r="Y2440" s="755">
        <f t="shared" si="315"/>
        <v>0</v>
      </c>
      <c r="Z2440" s="864"/>
      <c r="AA2440" s="863"/>
      <c r="AB2440" s="756">
        <f t="shared" si="316"/>
        <v>0</v>
      </c>
      <c r="AC2440" s="859"/>
      <c r="AD2440" s="863"/>
      <c r="AE2440" s="859"/>
      <c r="AF2440" s="859"/>
      <c r="AG2440" s="864"/>
      <c r="AH2440" s="865"/>
      <c r="AI2440" s="757">
        <f t="shared" si="320"/>
        <v>906816</v>
      </c>
      <c r="AJ2440" s="758">
        <f t="shared" si="321"/>
        <v>906816</v>
      </c>
    </row>
    <row r="2441" spans="1:36" x14ac:dyDescent="0.2">
      <c r="A2441" s="1421" t="s">
        <v>146</v>
      </c>
      <c r="B2441" s="1293" t="s">
        <v>272</v>
      </c>
      <c r="C2441" s="1284" t="s">
        <v>1722</v>
      </c>
      <c r="D2441" s="1283"/>
      <c r="E2441" s="1424">
        <v>218830</v>
      </c>
      <c r="F2441" s="1259">
        <v>9</v>
      </c>
      <c r="G2441" s="859"/>
      <c r="H2441" s="860"/>
      <c r="I2441" s="861">
        <v>37784</v>
      </c>
      <c r="J2441" s="862">
        <v>37784</v>
      </c>
      <c r="K2441" s="859"/>
      <c r="L2441" s="863"/>
      <c r="M2441" s="859"/>
      <c r="N2441" s="859"/>
      <c r="O2441" s="752">
        <f t="shared" si="314"/>
        <v>0</v>
      </c>
      <c r="P2441" s="862"/>
      <c r="Q2441" s="860"/>
      <c r="R2441" s="753">
        <f t="shared" si="317"/>
        <v>0</v>
      </c>
      <c r="S2441" s="752">
        <f t="shared" si="318"/>
        <v>37784</v>
      </c>
      <c r="T2441" s="754">
        <f t="shared" si="319"/>
        <v>37784</v>
      </c>
      <c r="U2441" s="859"/>
      <c r="V2441" s="863"/>
      <c r="W2441" s="859"/>
      <c r="X2441" s="859"/>
      <c r="Y2441" s="755">
        <f t="shared" si="315"/>
        <v>0</v>
      </c>
      <c r="Z2441" s="864"/>
      <c r="AA2441" s="863"/>
      <c r="AB2441" s="756">
        <f t="shared" si="316"/>
        <v>0</v>
      </c>
      <c r="AC2441" s="859"/>
      <c r="AD2441" s="863"/>
      <c r="AE2441" s="859"/>
      <c r="AF2441" s="859"/>
      <c r="AG2441" s="864"/>
      <c r="AH2441" s="865"/>
      <c r="AI2441" s="757">
        <f t="shared" si="320"/>
        <v>37784</v>
      </c>
      <c r="AJ2441" s="758">
        <f t="shared" si="321"/>
        <v>37784</v>
      </c>
    </row>
    <row r="2442" spans="1:36" x14ac:dyDescent="0.2">
      <c r="A2442" s="1421" t="s">
        <v>146</v>
      </c>
      <c r="B2442" s="1293" t="s">
        <v>272</v>
      </c>
      <c r="C2442" s="1284" t="s">
        <v>1687</v>
      </c>
      <c r="D2442" s="1283"/>
      <c r="E2442" s="1424">
        <v>218830</v>
      </c>
      <c r="F2442" s="1259">
        <v>9</v>
      </c>
      <c r="G2442" s="859"/>
      <c r="H2442" s="860"/>
      <c r="I2442" s="861">
        <v>224001</v>
      </c>
      <c r="J2442" s="862">
        <v>233962</v>
      </c>
      <c r="K2442" s="859"/>
      <c r="L2442" s="863"/>
      <c r="M2442" s="859"/>
      <c r="N2442" s="859"/>
      <c r="O2442" s="752">
        <f t="shared" si="314"/>
        <v>0</v>
      </c>
      <c r="P2442" s="862"/>
      <c r="Q2442" s="860"/>
      <c r="R2442" s="753">
        <f t="shared" si="317"/>
        <v>0</v>
      </c>
      <c r="S2442" s="752">
        <f t="shared" si="318"/>
        <v>224001</v>
      </c>
      <c r="T2442" s="754">
        <f t="shared" si="319"/>
        <v>233962</v>
      </c>
      <c r="U2442" s="859"/>
      <c r="V2442" s="863"/>
      <c r="W2442" s="859"/>
      <c r="X2442" s="859"/>
      <c r="Y2442" s="755">
        <f t="shared" si="315"/>
        <v>0</v>
      </c>
      <c r="Z2442" s="864"/>
      <c r="AA2442" s="863"/>
      <c r="AB2442" s="756">
        <f t="shared" si="316"/>
        <v>0</v>
      </c>
      <c r="AC2442" s="859"/>
      <c r="AD2442" s="863"/>
      <c r="AE2442" s="859"/>
      <c r="AF2442" s="859"/>
      <c r="AG2442" s="864"/>
      <c r="AH2442" s="865"/>
      <c r="AI2442" s="757">
        <f t="shared" si="320"/>
        <v>224001</v>
      </c>
      <c r="AJ2442" s="758">
        <f t="shared" si="321"/>
        <v>233962</v>
      </c>
    </row>
    <row r="2443" spans="1:36" x14ac:dyDescent="0.2">
      <c r="A2443" s="1421" t="s">
        <v>146</v>
      </c>
      <c r="B2443" s="1293" t="s">
        <v>264</v>
      </c>
      <c r="C2443" s="1277" t="s">
        <v>1740</v>
      </c>
      <c r="D2443" s="1278"/>
      <c r="E2443" s="1424">
        <v>218991</v>
      </c>
      <c r="F2443" s="1259">
        <v>9</v>
      </c>
      <c r="G2443" s="859">
        <v>5608367</v>
      </c>
      <c r="H2443" s="860">
        <v>5698246</v>
      </c>
      <c r="I2443" s="861"/>
      <c r="J2443" s="862"/>
      <c r="K2443" s="859">
        <v>4357480</v>
      </c>
      <c r="L2443" s="863">
        <v>4357480</v>
      </c>
      <c r="M2443" s="859">
        <v>20148398</v>
      </c>
      <c r="N2443" s="859">
        <v>0</v>
      </c>
      <c r="O2443" s="752">
        <f t="shared" ref="O2443:O2506" si="322">SUM(M2443:N2443)</f>
        <v>20148398</v>
      </c>
      <c r="P2443" s="862">
        <v>20148398</v>
      </c>
      <c r="Q2443" s="860">
        <v>0</v>
      </c>
      <c r="R2443" s="753">
        <f t="shared" si="317"/>
        <v>20148398</v>
      </c>
      <c r="S2443" s="752">
        <f t="shared" si="318"/>
        <v>30114245</v>
      </c>
      <c r="T2443" s="754">
        <f t="shared" si="319"/>
        <v>30204124</v>
      </c>
      <c r="U2443" s="859"/>
      <c r="V2443" s="863"/>
      <c r="W2443" s="859"/>
      <c r="X2443" s="859"/>
      <c r="Y2443" s="755">
        <f t="shared" ref="Y2443:Y2506" si="323">SUM(W2443:X2443)</f>
        <v>0</v>
      </c>
      <c r="Z2443" s="864"/>
      <c r="AA2443" s="863"/>
      <c r="AB2443" s="756">
        <f t="shared" ref="AB2443:AB2506" si="324">SUM(Z2443:AA2443)</f>
        <v>0</v>
      </c>
      <c r="AC2443" s="859"/>
      <c r="AD2443" s="863"/>
      <c r="AE2443" s="859"/>
      <c r="AF2443" s="859"/>
      <c r="AG2443" s="864"/>
      <c r="AH2443" s="865"/>
      <c r="AI2443" s="757">
        <f t="shared" si="320"/>
        <v>30114245</v>
      </c>
      <c r="AJ2443" s="758">
        <f t="shared" si="321"/>
        <v>30204124</v>
      </c>
    </row>
    <row r="2444" spans="1:36" x14ac:dyDescent="0.2">
      <c r="A2444" s="1421" t="s">
        <v>146</v>
      </c>
      <c r="B2444" s="1293" t="s">
        <v>272</v>
      </c>
      <c r="C2444" s="1282" t="s">
        <v>970</v>
      </c>
      <c r="D2444" s="1283"/>
      <c r="E2444" s="1424">
        <v>218991</v>
      </c>
      <c r="F2444" s="1259">
        <v>9</v>
      </c>
      <c r="G2444" s="859"/>
      <c r="H2444" s="860"/>
      <c r="I2444" s="861"/>
      <c r="J2444" s="862"/>
      <c r="K2444" s="859"/>
      <c r="L2444" s="863"/>
      <c r="M2444" s="859"/>
      <c r="N2444" s="859"/>
      <c r="O2444" s="752">
        <f t="shared" si="322"/>
        <v>0</v>
      </c>
      <c r="P2444" s="862"/>
      <c r="Q2444" s="860"/>
      <c r="R2444" s="753">
        <f t="shared" ref="R2444:R2507" si="325">SUM(P2444:Q2444)</f>
        <v>0</v>
      </c>
      <c r="S2444" s="752">
        <f t="shared" ref="S2444:S2507" si="326">SUM(G2444,I2444,K2444,M2444)</f>
        <v>0</v>
      </c>
      <c r="T2444" s="754">
        <f t="shared" ref="T2444:T2507" si="327">SUM(H2444,J2444,L2444,P2444)</f>
        <v>0</v>
      </c>
      <c r="U2444" s="859"/>
      <c r="V2444" s="863"/>
      <c r="W2444" s="859"/>
      <c r="X2444" s="859"/>
      <c r="Y2444" s="755">
        <f t="shared" si="323"/>
        <v>0</v>
      </c>
      <c r="Z2444" s="864"/>
      <c r="AA2444" s="863"/>
      <c r="AB2444" s="756">
        <f t="shared" si="324"/>
        <v>0</v>
      </c>
      <c r="AC2444" s="859"/>
      <c r="AD2444" s="863"/>
      <c r="AE2444" s="859"/>
      <c r="AF2444" s="859"/>
      <c r="AG2444" s="864"/>
      <c r="AH2444" s="865"/>
      <c r="AI2444" s="757">
        <f t="shared" ref="AI2444:AI2507" si="328">SUM(S2444,U2444,W2444,AC2444,AE2444)</f>
        <v>0</v>
      </c>
      <c r="AJ2444" s="758">
        <f t="shared" ref="AJ2444:AJ2507" si="329">SUM(T2444,V2444,Z2444,AD2444,AG2444)</f>
        <v>0</v>
      </c>
    </row>
    <row r="2445" spans="1:36" x14ac:dyDescent="0.2">
      <c r="A2445" s="1421" t="s">
        <v>146</v>
      </c>
      <c r="B2445" s="1293" t="s">
        <v>272</v>
      </c>
      <c r="C2445" s="1429" t="s">
        <v>1671</v>
      </c>
      <c r="D2445" s="1430"/>
      <c r="E2445" s="1424">
        <v>218991</v>
      </c>
      <c r="F2445" s="1259">
        <v>9</v>
      </c>
      <c r="G2445" s="859"/>
      <c r="H2445" s="860"/>
      <c r="I2445" s="861">
        <v>558</v>
      </c>
      <c r="J2445" s="862">
        <v>500</v>
      </c>
      <c r="K2445" s="859"/>
      <c r="L2445" s="863"/>
      <c r="M2445" s="859"/>
      <c r="N2445" s="859"/>
      <c r="O2445" s="752">
        <f t="shared" si="322"/>
        <v>0</v>
      </c>
      <c r="P2445" s="862"/>
      <c r="Q2445" s="860"/>
      <c r="R2445" s="753">
        <f t="shared" si="325"/>
        <v>0</v>
      </c>
      <c r="S2445" s="752">
        <f t="shared" si="326"/>
        <v>558</v>
      </c>
      <c r="T2445" s="754">
        <f t="shared" si="327"/>
        <v>500</v>
      </c>
      <c r="U2445" s="859"/>
      <c r="V2445" s="863"/>
      <c r="W2445" s="859"/>
      <c r="X2445" s="859"/>
      <c r="Y2445" s="755">
        <f t="shared" si="323"/>
        <v>0</v>
      </c>
      <c r="Z2445" s="864"/>
      <c r="AA2445" s="863"/>
      <c r="AB2445" s="756">
        <f t="shared" si="324"/>
        <v>0</v>
      </c>
      <c r="AC2445" s="859"/>
      <c r="AD2445" s="863"/>
      <c r="AE2445" s="859"/>
      <c r="AF2445" s="859"/>
      <c r="AG2445" s="864"/>
      <c r="AH2445" s="865"/>
      <c r="AI2445" s="757">
        <f t="shared" si="328"/>
        <v>558</v>
      </c>
      <c r="AJ2445" s="758">
        <f t="shared" si="329"/>
        <v>500</v>
      </c>
    </row>
    <row r="2446" spans="1:36" x14ac:dyDescent="0.2">
      <c r="A2446" s="1421" t="s">
        <v>146</v>
      </c>
      <c r="B2446" s="1293" t="s">
        <v>272</v>
      </c>
      <c r="C2446" s="1429" t="s">
        <v>1689</v>
      </c>
      <c r="D2446" s="1430"/>
      <c r="E2446" s="1424">
        <v>218991</v>
      </c>
      <c r="F2446" s="1259">
        <v>9</v>
      </c>
      <c r="G2446" s="859"/>
      <c r="H2446" s="860"/>
      <c r="I2446" s="861"/>
      <c r="J2446" s="862">
        <v>119539</v>
      </c>
      <c r="K2446" s="859"/>
      <c r="L2446" s="863"/>
      <c r="M2446" s="859"/>
      <c r="N2446" s="859"/>
      <c r="O2446" s="752">
        <f t="shared" si="322"/>
        <v>0</v>
      </c>
      <c r="P2446" s="862"/>
      <c r="Q2446" s="860"/>
      <c r="R2446" s="753">
        <f t="shared" si="325"/>
        <v>0</v>
      </c>
      <c r="S2446" s="752">
        <f t="shared" si="326"/>
        <v>0</v>
      </c>
      <c r="T2446" s="754">
        <f t="shared" si="327"/>
        <v>119539</v>
      </c>
      <c r="U2446" s="859"/>
      <c r="V2446" s="863"/>
      <c r="W2446" s="859"/>
      <c r="X2446" s="859"/>
      <c r="Y2446" s="755">
        <f t="shared" si="323"/>
        <v>0</v>
      </c>
      <c r="Z2446" s="864"/>
      <c r="AA2446" s="863"/>
      <c r="AB2446" s="756">
        <f t="shared" si="324"/>
        <v>0</v>
      </c>
      <c r="AC2446" s="859"/>
      <c r="AD2446" s="863"/>
      <c r="AE2446" s="859"/>
      <c r="AF2446" s="859"/>
      <c r="AG2446" s="864"/>
      <c r="AH2446" s="865"/>
      <c r="AI2446" s="757">
        <f t="shared" si="328"/>
        <v>0</v>
      </c>
      <c r="AJ2446" s="758">
        <f t="shared" si="329"/>
        <v>119539</v>
      </c>
    </row>
    <row r="2447" spans="1:36" x14ac:dyDescent="0.2">
      <c r="A2447" s="1421" t="s">
        <v>146</v>
      </c>
      <c r="B2447" s="1293" t="s">
        <v>272</v>
      </c>
      <c r="C2447" s="1429" t="s">
        <v>1720</v>
      </c>
      <c r="D2447" s="1430"/>
      <c r="E2447" s="1424">
        <v>218991</v>
      </c>
      <c r="F2447" s="1259">
        <v>9</v>
      </c>
      <c r="G2447" s="859"/>
      <c r="H2447" s="860"/>
      <c r="I2447" s="861"/>
      <c r="J2447" s="862">
        <v>7538</v>
      </c>
      <c r="K2447" s="859"/>
      <c r="L2447" s="863"/>
      <c r="M2447" s="859"/>
      <c r="N2447" s="859"/>
      <c r="O2447" s="752">
        <f t="shared" si="322"/>
        <v>0</v>
      </c>
      <c r="P2447" s="862"/>
      <c r="Q2447" s="860"/>
      <c r="R2447" s="753">
        <f t="shared" si="325"/>
        <v>0</v>
      </c>
      <c r="S2447" s="752">
        <f t="shared" si="326"/>
        <v>0</v>
      </c>
      <c r="T2447" s="754">
        <f t="shared" si="327"/>
        <v>7538</v>
      </c>
      <c r="U2447" s="859"/>
      <c r="V2447" s="863"/>
      <c r="W2447" s="859"/>
      <c r="X2447" s="859"/>
      <c r="Y2447" s="755">
        <f t="shared" si="323"/>
        <v>0</v>
      </c>
      <c r="Z2447" s="864"/>
      <c r="AA2447" s="863"/>
      <c r="AB2447" s="756">
        <f t="shared" si="324"/>
        <v>0</v>
      </c>
      <c r="AC2447" s="859"/>
      <c r="AD2447" s="863"/>
      <c r="AE2447" s="859"/>
      <c r="AF2447" s="859"/>
      <c r="AG2447" s="864"/>
      <c r="AH2447" s="865"/>
      <c r="AI2447" s="757">
        <f t="shared" si="328"/>
        <v>0</v>
      </c>
      <c r="AJ2447" s="758">
        <f t="shared" si="329"/>
        <v>7538</v>
      </c>
    </row>
    <row r="2448" spans="1:36" x14ac:dyDescent="0.2">
      <c r="A2448" s="1421" t="s">
        <v>146</v>
      </c>
      <c r="B2448" s="1293" t="s">
        <v>272</v>
      </c>
      <c r="C2448" s="1429" t="s">
        <v>1721</v>
      </c>
      <c r="D2448" s="1430"/>
      <c r="E2448" s="1424">
        <v>218991</v>
      </c>
      <c r="F2448" s="1259">
        <v>9</v>
      </c>
      <c r="G2448" s="859"/>
      <c r="H2448" s="860"/>
      <c r="I2448" s="861">
        <v>288882</v>
      </c>
      <c r="J2448" s="862"/>
      <c r="K2448" s="859"/>
      <c r="L2448" s="863"/>
      <c r="M2448" s="859"/>
      <c r="N2448" s="859"/>
      <c r="O2448" s="752">
        <f t="shared" si="322"/>
        <v>0</v>
      </c>
      <c r="P2448" s="862"/>
      <c r="Q2448" s="860"/>
      <c r="R2448" s="753">
        <f t="shared" si="325"/>
        <v>0</v>
      </c>
      <c r="S2448" s="752">
        <f t="shared" si="326"/>
        <v>288882</v>
      </c>
      <c r="T2448" s="754">
        <f t="shared" si="327"/>
        <v>0</v>
      </c>
      <c r="U2448" s="859"/>
      <c r="V2448" s="863"/>
      <c r="W2448" s="859"/>
      <c r="X2448" s="859"/>
      <c r="Y2448" s="755">
        <f t="shared" si="323"/>
        <v>0</v>
      </c>
      <c r="Z2448" s="864"/>
      <c r="AA2448" s="863"/>
      <c r="AB2448" s="756">
        <f t="shared" si="324"/>
        <v>0</v>
      </c>
      <c r="AC2448" s="859"/>
      <c r="AD2448" s="863"/>
      <c r="AE2448" s="859"/>
      <c r="AF2448" s="859"/>
      <c r="AG2448" s="864"/>
      <c r="AH2448" s="865"/>
      <c r="AI2448" s="757">
        <f t="shared" si="328"/>
        <v>288882</v>
      </c>
      <c r="AJ2448" s="758">
        <f t="shared" si="329"/>
        <v>0</v>
      </c>
    </row>
    <row r="2449" spans="1:36" x14ac:dyDescent="0.2">
      <c r="A2449" s="1421" t="s">
        <v>146</v>
      </c>
      <c r="B2449" s="1293" t="s">
        <v>272</v>
      </c>
      <c r="C2449" s="1284" t="s">
        <v>1722</v>
      </c>
      <c r="D2449" s="1283"/>
      <c r="E2449" s="1424">
        <v>218991</v>
      </c>
      <c r="F2449" s="1259">
        <v>9</v>
      </c>
      <c r="G2449" s="859"/>
      <c r="H2449" s="860"/>
      <c r="I2449" s="861">
        <v>37784</v>
      </c>
      <c r="J2449" s="862">
        <v>37784</v>
      </c>
      <c r="K2449" s="859"/>
      <c r="L2449" s="863"/>
      <c r="M2449" s="859"/>
      <c r="N2449" s="859"/>
      <c r="O2449" s="752">
        <f t="shared" si="322"/>
        <v>0</v>
      </c>
      <c r="P2449" s="862"/>
      <c r="Q2449" s="860"/>
      <c r="R2449" s="753">
        <f t="shared" si="325"/>
        <v>0</v>
      </c>
      <c r="S2449" s="752">
        <f t="shared" si="326"/>
        <v>37784</v>
      </c>
      <c r="T2449" s="754">
        <f t="shared" si="327"/>
        <v>37784</v>
      </c>
      <c r="U2449" s="859"/>
      <c r="V2449" s="863"/>
      <c r="W2449" s="859"/>
      <c r="X2449" s="859"/>
      <c r="Y2449" s="755">
        <f t="shared" si="323"/>
        <v>0</v>
      </c>
      <c r="Z2449" s="864"/>
      <c r="AA2449" s="863"/>
      <c r="AB2449" s="756">
        <f t="shared" si="324"/>
        <v>0</v>
      </c>
      <c r="AC2449" s="859"/>
      <c r="AD2449" s="863"/>
      <c r="AE2449" s="859"/>
      <c r="AF2449" s="859"/>
      <c r="AG2449" s="864"/>
      <c r="AH2449" s="865"/>
      <c r="AI2449" s="757">
        <f t="shared" si="328"/>
        <v>37784</v>
      </c>
      <c r="AJ2449" s="758">
        <f t="shared" si="329"/>
        <v>37784</v>
      </c>
    </row>
    <row r="2450" spans="1:36" x14ac:dyDescent="0.2">
      <c r="A2450" s="1421" t="s">
        <v>146</v>
      </c>
      <c r="B2450" s="1293" t="s">
        <v>272</v>
      </c>
      <c r="C2450" s="1284" t="s">
        <v>1687</v>
      </c>
      <c r="D2450" s="1283"/>
      <c r="E2450" s="1424">
        <v>218991</v>
      </c>
      <c r="F2450" s="1259">
        <v>9</v>
      </c>
      <c r="G2450" s="859"/>
      <c r="H2450" s="860"/>
      <c r="I2450" s="861">
        <v>209974</v>
      </c>
      <c r="J2450" s="862">
        <v>219293</v>
      </c>
      <c r="K2450" s="859"/>
      <c r="L2450" s="863"/>
      <c r="M2450" s="859"/>
      <c r="N2450" s="859"/>
      <c r="O2450" s="752">
        <f t="shared" si="322"/>
        <v>0</v>
      </c>
      <c r="P2450" s="862"/>
      <c r="Q2450" s="860"/>
      <c r="R2450" s="753">
        <f t="shared" si="325"/>
        <v>0</v>
      </c>
      <c r="S2450" s="752">
        <f t="shared" si="326"/>
        <v>209974</v>
      </c>
      <c r="T2450" s="754">
        <f t="shared" si="327"/>
        <v>219293</v>
      </c>
      <c r="U2450" s="859"/>
      <c r="V2450" s="863"/>
      <c r="W2450" s="859"/>
      <c r="X2450" s="859"/>
      <c r="Y2450" s="755">
        <f t="shared" si="323"/>
        <v>0</v>
      </c>
      <c r="Z2450" s="864"/>
      <c r="AA2450" s="863"/>
      <c r="AB2450" s="756">
        <f t="shared" si="324"/>
        <v>0</v>
      </c>
      <c r="AC2450" s="859"/>
      <c r="AD2450" s="863"/>
      <c r="AE2450" s="859"/>
      <c r="AF2450" s="859"/>
      <c r="AG2450" s="864"/>
      <c r="AH2450" s="865"/>
      <c r="AI2450" s="757">
        <f t="shared" si="328"/>
        <v>209974</v>
      </c>
      <c r="AJ2450" s="758">
        <f t="shared" si="329"/>
        <v>219293</v>
      </c>
    </row>
    <row r="2451" spans="1:36" x14ac:dyDescent="0.2">
      <c r="A2451" s="1421" t="s">
        <v>146</v>
      </c>
      <c r="B2451" s="1293" t="s">
        <v>264</v>
      </c>
      <c r="C2451" s="1422" t="s">
        <v>1741</v>
      </c>
      <c r="D2451" s="1437"/>
      <c r="E2451" s="1424">
        <v>217989</v>
      </c>
      <c r="F2451" s="1259">
        <v>10</v>
      </c>
      <c r="G2451" s="859">
        <v>2241916</v>
      </c>
      <c r="H2451" s="860">
        <v>2116371</v>
      </c>
      <c r="I2451" s="861"/>
      <c r="J2451" s="862"/>
      <c r="K2451" s="859">
        <v>5500</v>
      </c>
      <c r="L2451" s="863">
        <v>5500</v>
      </c>
      <c r="M2451" s="859">
        <v>5329131</v>
      </c>
      <c r="N2451" s="859">
        <v>0</v>
      </c>
      <c r="O2451" s="752">
        <f t="shared" si="322"/>
        <v>5329131</v>
      </c>
      <c r="P2451" s="862">
        <v>5329131</v>
      </c>
      <c r="Q2451" s="860">
        <v>0</v>
      </c>
      <c r="R2451" s="753">
        <f t="shared" si="325"/>
        <v>5329131</v>
      </c>
      <c r="S2451" s="752">
        <f t="shared" si="326"/>
        <v>7576547</v>
      </c>
      <c r="T2451" s="754">
        <f t="shared" si="327"/>
        <v>7451002</v>
      </c>
      <c r="U2451" s="859"/>
      <c r="V2451" s="863"/>
      <c r="W2451" s="859"/>
      <c r="X2451" s="859"/>
      <c r="Y2451" s="755">
        <f t="shared" si="323"/>
        <v>0</v>
      </c>
      <c r="Z2451" s="864"/>
      <c r="AA2451" s="863"/>
      <c r="AB2451" s="756">
        <f t="shared" si="324"/>
        <v>0</v>
      </c>
      <c r="AC2451" s="859"/>
      <c r="AD2451" s="863"/>
      <c r="AE2451" s="859"/>
      <c r="AF2451" s="859"/>
      <c r="AG2451" s="864"/>
      <c r="AH2451" s="865"/>
      <c r="AI2451" s="757">
        <f t="shared" si="328"/>
        <v>7576547</v>
      </c>
      <c r="AJ2451" s="758">
        <f t="shared" si="329"/>
        <v>7451002</v>
      </c>
    </row>
    <row r="2452" spans="1:36" x14ac:dyDescent="0.2">
      <c r="A2452" s="1421" t="s">
        <v>146</v>
      </c>
      <c r="B2452" s="1293" t="s">
        <v>272</v>
      </c>
      <c r="C2452" s="1282" t="s">
        <v>970</v>
      </c>
      <c r="D2452" s="1283"/>
      <c r="E2452" s="1424">
        <v>217989</v>
      </c>
      <c r="F2452" s="1259">
        <v>10</v>
      </c>
      <c r="G2452" s="859"/>
      <c r="H2452" s="860"/>
      <c r="I2452" s="861"/>
      <c r="J2452" s="862"/>
      <c r="K2452" s="859"/>
      <c r="L2452" s="863"/>
      <c r="M2452" s="859"/>
      <c r="N2452" s="859"/>
      <c r="O2452" s="752">
        <f t="shared" si="322"/>
        <v>0</v>
      </c>
      <c r="P2452" s="862"/>
      <c r="Q2452" s="860"/>
      <c r="R2452" s="753">
        <f t="shared" si="325"/>
        <v>0</v>
      </c>
      <c r="S2452" s="752">
        <f t="shared" si="326"/>
        <v>0</v>
      </c>
      <c r="T2452" s="754">
        <f t="shared" si="327"/>
        <v>0</v>
      </c>
      <c r="U2452" s="859"/>
      <c r="V2452" s="863"/>
      <c r="W2452" s="859"/>
      <c r="X2452" s="859"/>
      <c r="Y2452" s="755">
        <f t="shared" si="323"/>
        <v>0</v>
      </c>
      <c r="Z2452" s="864"/>
      <c r="AA2452" s="863"/>
      <c r="AB2452" s="756">
        <f t="shared" si="324"/>
        <v>0</v>
      </c>
      <c r="AC2452" s="859"/>
      <c r="AD2452" s="863"/>
      <c r="AE2452" s="859"/>
      <c r="AF2452" s="859"/>
      <c r="AG2452" s="864"/>
      <c r="AH2452" s="865"/>
      <c r="AI2452" s="757">
        <f t="shared" si="328"/>
        <v>0</v>
      </c>
      <c r="AJ2452" s="758">
        <f t="shared" si="329"/>
        <v>0</v>
      </c>
    </row>
    <row r="2453" spans="1:36" x14ac:dyDescent="0.2">
      <c r="A2453" s="1421" t="s">
        <v>146</v>
      </c>
      <c r="B2453" s="1293" t="s">
        <v>272</v>
      </c>
      <c r="C2453" s="1429" t="s">
        <v>1721</v>
      </c>
      <c r="D2453" s="1430"/>
      <c r="E2453" s="1424">
        <v>217989</v>
      </c>
      <c r="F2453" s="1259">
        <v>10</v>
      </c>
      <c r="G2453" s="859"/>
      <c r="H2453" s="860"/>
      <c r="I2453" s="861">
        <v>154403</v>
      </c>
      <c r="J2453" s="862"/>
      <c r="K2453" s="859"/>
      <c r="L2453" s="863"/>
      <c r="M2453" s="859"/>
      <c r="N2453" s="859"/>
      <c r="O2453" s="752">
        <f t="shared" si="322"/>
        <v>0</v>
      </c>
      <c r="P2453" s="862"/>
      <c r="Q2453" s="860"/>
      <c r="R2453" s="753">
        <f t="shared" si="325"/>
        <v>0</v>
      </c>
      <c r="S2453" s="752">
        <f t="shared" si="326"/>
        <v>154403</v>
      </c>
      <c r="T2453" s="754">
        <f t="shared" si="327"/>
        <v>0</v>
      </c>
      <c r="U2453" s="859"/>
      <c r="V2453" s="863"/>
      <c r="W2453" s="859"/>
      <c r="X2453" s="859"/>
      <c r="Y2453" s="755">
        <f t="shared" si="323"/>
        <v>0</v>
      </c>
      <c r="Z2453" s="864"/>
      <c r="AA2453" s="863"/>
      <c r="AB2453" s="756">
        <f t="shared" si="324"/>
        <v>0</v>
      </c>
      <c r="AC2453" s="859"/>
      <c r="AD2453" s="863"/>
      <c r="AE2453" s="859"/>
      <c r="AF2453" s="859"/>
      <c r="AG2453" s="864"/>
      <c r="AH2453" s="865"/>
      <c r="AI2453" s="757">
        <f t="shared" si="328"/>
        <v>154403</v>
      </c>
      <c r="AJ2453" s="758">
        <f t="shared" si="329"/>
        <v>0</v>
      </c>
    </row>
    <row r="2454" spans="1:36" x14ac:dyDescent="0.2">
      <c r="A2454" s="1421" t="s">
        <v>146</v>
      </c>
      <c r="B2454" s="1293" t="s">
        <v>272</v>
      </c>
      <c r="C2454" s="1429" t="s">
        <v>1689</v>
      </c>
      <c r="D2454" s="1430"/>
      <c r="E2454" s="1424">
        <v>217989</v>
      </c>
      <c r="F2454" s="1259">
        <v>10</v>
      </c>
      <c r="G2454" s="859"/>
      <c r="H2454" s="860"/>
      <c r="I2454" s="861"/>
      <c r="J2454" s="862">
        <v>39477</v>
      </c>
      <c r="K2454" s="859"/>
      <c r="L2454" s="863"/>
      <c r="M2454" s="859"/>
      <c r="N2454" s="859"/>
      <c r="O2454" s="752">
        <f t="shared" si="322"/>
        <v>0</v>
      </c>
      <c r="P2454" s="862"/>
      <c r="Q2454" s="860"/>
      <c r="R2454" s="753">
        <f t="shared" si="325"/>
        <v>0</v>
      </c>
      <c r="S2454" s="752">
        <f t="shared" si="326"/>
        <v>0</v>
      </c>
      <c r="T2454" s="754">
        <f t="shared" si="327"/>
        <v>39477</v>
      </c>
      <c r="U2454" s="859"/>
      <c r="V2454" s="863"/>
      <c r="W2454" s="859"/>
      <c r="X2454" s="859"/>
      <c r="Y2454" s="755">
        <f t="shared" si="323"/>
        <v>0</v>
      </c>
      <c r="Z2454" s="864"/>
      <c r="AA2454" s="863"/>
      <c r="AB2454" s="756">
        <f t="shared" si="324"/>
        <v>0</v>
      </c>
      <c r="AC2454" s="859"/>
      <c r="AD2454" s="863"/>
      <c r="AE2454" s="859"/>
      <c r="AF2454" s="859"/>
      <c r="AG2454" s="864"/>
      <c r="AH2454" s="865"/>
      <c r="AI2454" s="757">
        <f t="shared" si="328"/>
        <v>0</v>
      </c>
      <c r="AJ2454" s="758">
        <f t="shared" si="329"/>
        <v>39477</v>
      </c>
    </row>
    <row r="2455" spans="1:36" x14ac:dyDescent="0.2">
      <c r="A2455" s="1421" t="s">
        <v>146</v>
      </c>
      <c r="B2455" s="1293" t="s">
        <v>272</v>
      </c>
      <c r="C2455" s="1429" t="s">
        <v>1742</v>
      </c>
      <c r="D2455" s="1430"/>
      <c r="E2455" s="1424">
        <v>217989</v>
      </c>
      <c r="F2455" s="1259">
        <v>10</v>
      </c>
      <c r="G2455" s="859"/>
      <c r="H2455" s="860"/>
      <c r="I2455" s="861"/>
      <c r="J2455" s="862">
        <v>435750</v>
      </c>
      <c r="K2455" s="859"/>
      <c r="L2455" s="863"/>
      <c r="M2455" s="859"/>
      <c r="N2455" s="859"/>
      <c r="O2455" s="752">
        <f t="shared" si="322"/>
        <v>0</v>
      </c>
      <c r="P2455" s="862"/>
      <c r="Q2455" s="860"/>
      <c r="R2455" s="753">
        <f t="shared" si="325"/>
        <v>0</v>
      </c>
      <c r="S2455" s="752">
        <f t="shared" si="326"/>
        <v>0</v>
      </c>
      <c r="T2455" s="754">
        <f t="shared" si="327"/>
        <v>435750</v>
      </c>
      <c r="U2455" s="859"/>
      <c r="V2455" s="863"/>
      <c r="W2455" s="859"/>
      <c r="X2455" s="859"/>
      <c r="Y2455" s="755">
        <f t="shared" si="323"/>
        <v>0</v>
      </c>
      <c r="Z2455" s="864"/>
      <c r="AA2455" s="863"/>
      <c r="AB2455" s="756">
        <f t="shared" si="324"/>
        <v>0</v>
      </c>
      <c r="AC2455" s="859"/>
      <c r="AD2455" s="863"/>
      <c r="AE2455" s="859"/>
      <c r="AF2455" s="859"/>
      <c r="AG2455" s="864"/>
      <c r="AH2455" s="865"/>
      <c r="AI2455" s="757">
        <f t="shared" si="328"/>
        <v>0</v>
      </c>
      <c r="AJ2455" s="758">
        <f t="shared" si="329"/>
        <v>435750</v>
      </c>
    </row>
    <row r="2456" spans="1:36" x14ac:dyDescent="0.2">
      <c r="A2456" s="1421" t="s">
        <v>146</v>
      </c>
      <c r="B2456" s="1293" t="s">
        <v>272</v>
      </c>
      <c r="C2456" s="1429" t="s">
        <v>1724</v>
      </c>
      <c r="D2456" s="1430"/>
      <c r="E2456" s="1424">
        <v>217989</v>
      </c>
      <c r="F2456" s="1259">
        <v>10</v>
      </c>
      <c r="G2456" s="859"/>
      <c r="H2456" s="860"/>
      <c r="I2456" s="861">
        <v>250000</v>
      </c>
      <c r="J2456" s="862"/>
      <c r="K2456" s="859"/>
      <c r="L2456" s="863"/>
      <c r="M2456" s="859"/>
      <c r="N2456" s="859"/>
      <c r="O2456" s="752">
        <f t="shared" si="322"/>
        <v>0</v>
      </c>
      <c r="P2456" s="862"/>
      <c r="Q2456" s="860"/>
      <c r="R2456" s="753">
        <f t="shared" si="325"/>
        <v>0</v>
      </c>
      <c r="S2456" s="752">
        <f t="shared" si="326"/>
        <v>250000</v>
      </c>
      <c r="T2456" s="754">
        <f t="shared" si="327"/>
        <v>0</v>
      </c>
      <c r="U2456" s="859"/>
      <c r="V2456" s="863"/>
      <c r="W2456" s="859"/>
      <c r="X2456" s="859"/>
      <c r="Y2456" s="755">
        <f t="shared" si="323"/>
        <v>0</v>
      </c>
      <c r="Z2456" s="864"/>
      <c r="AA2456" s="863"/>
      <c r="AB2456" s="756">
        <f t="shared" si="324"/>
        <v>0</v>
      </c>
      <c r="AC2456" s="859"/>
      <c r="AD2456" s="863"/>
      <c r="AE2456" s="859"/>
      <c r="AF2456" s="859"/>
      <c r="AG2456" s="864"/>
      <c r="AH2456" s="865"/>
      <c r="AI2456" s="757">
        <f t="shared" si="328"/>
        <v>250000</v>
      </c>
      <c r="AJ2456" s="758">
        <f t="shared" si="329"/>
        <v>0</v>
      </c>
    </row>
    <row r="2457" spans="1:36" x14ac:dyDescent="0.2">
      <c r="A2457" s="1421" t="s">
        <v>146</v>
      </c>
      <c r="B2457" s="1293" t="s">
        <v>272</v>
      </c>
      <c r="C2457" s="1284" t="s">
        <v>1722</v>
      </c>
      <c r="D2457" s="1283"/>
      <c r="E2457" s="1424">
        <v>217989</v>
      </c>
      <c r="F2457" s="1259">
        <v>10</v>
      </c>
      <c r="G2457" s="859"/>
      <c r="H2457" s="860"/>
      <c r="I2457" s="861">
        <v>37784</v>
      </c>
      <c r="J2457" s="862">
        <v>37784</v>
      </c>
      <c r="K2457" s="859"/>
      <c r="L2457" s="863"/>
      <c r="M2457" s="859"/>
      <c r="N2457" s="859"/>
      <c r="O2457" s="752">
        <f t="shared" si="322"/>
        <v>0</v>
      </c>
      <c r="P2457" s="862"/>
      <c r="Q2457" s="860"/>
      <c r="R2457" s="753">
        <f t="shared" si="325"/>
        <v>0</v>
      </c>
      <c r="S2457" s="752">
        <f t="shared" si="326"/>
        <v>37784</v>
      </c>
      <c r="T2457" s="754">
        <f t="shared" si="327"/>
        <v>37784</v>
      </c>
      <c r="U2457" s="859"/>
      <c r="V2457" s="863"/>
      <c r="W2457" s="859"/>
      <c r="X2457" s="859"/>
      <c r="Y2457" s="755">
        <f t="shared" si="323"/>
        <v>0</v>
      </c>
      <c r="Z2457" s="864"/>
      <c r="AA2457" s="863"/>
      <c r="AB2457" s="756">
        <f t="shared" si="324"/>
        <v>0</v>
      </c>
      <c r="AC2457" s="859"/>
      <c r="AD2457" s="863"/>
      <c r="AE2457" s="859"/>
      <c r="AF2457" s="859"/>
      <c r="AG2457" s="864"/>
      <c r="AH2457" s="865"/>
      <c r="AI2457" s="757">
        <f t="shared" si="328"/>
        <v>37784</v>
      </c>
      <c r="AJ2457" s="758">
        <f t="shared" si="329"/>
        <v>37784</v>
      </c>
    </row>
    <row r="2458" spans="1:36" x14ac:dyDescent="0.2">
      <c r="A2458" s="1421" t="s">
        <v>146</v>
      </c>
      <c r="B2458" s="1293" t="s">
        <v>272</v>
      </c>
      <c r="C2458" s="1284" t="s">
        <v>1687</v>
      </c>
      <c r="D2458" s="1283"/>
      <c r="E2458" s="1424">
        <v>217989</v>
      </c>
      <c r="F2458" s="1259">
        <v>10</v>
      </c>
      <c r="G2458" s="859"/>
      <c r="H2458" s="860"/>
      <c r="I2458" s="861">
        <v>95295</v>
      </c>
      <c r="J2458" s="862">
        <v>93108</v>
      </c>
      <c r="K2458" s="859"/>
      <c r="L2458" s="863"/>
      <c r="M2458" s="859"/>
      <c r="N2458" s="859"/>
      <c r="O2458" s="752">
        <f t="shared" si="322"/>
        <v>0</v>
      </c>
      <c r="P2458" s="862"/>
      <c r="Q2458" s="860"/>
      <c r="R2458" s="753">
        <f t="shared" si="325"/>
        <v>0</v>
      </c>
      <c r="S2458" s="752">
        <f t="shared" si="326"/>
        <v>95295</v>
      </c>
      <c r="T2458" s="754">
        <f t="shared" si="327"/>
        <v>93108</v>
      </c>
      <c r="U2458" s="859"/>
      <c r="V2458" s="863"/>
      <c r="W2458" s="859"/>
      <c r="X2458" s="859"/>
      <c r="Y2458" s="755">
        <f t="shared" si="323"/>
        <v>0</v>
      </c>
      <c r="Z2458" s="864"/>
      <c r="AA2458" s="863"/>
      <c r="AB2458" s="756">
        <f t="shared" si="324"/>
        <v>0</v>
      </c>
      <c r="AC2458" s="859"/>
      <c r="AD2458" s="863"/>
      <c r="AE2458" s="859"/>
      <c r="AF2458" s="859"/>
      <c r="AG2458" s="864"/>
      <c r="AH2458" s="865"/>
      <c r="AI2458" s="757">
        <f t="shared" si="328"/>
        <v>95295</v>
      </c>
      <c r="AJ2458" s="758">
        <f t="shared" si="329"/>
        <v>93108</v>
      </c>
    </row>
    <row r="2459" spans="1:36" x14ac:dyDescent="0.2">
      <c r="A2459" s="1421" t="s">
        <v>146</v>
      </c>
      <c r="B2459" s="1293" t="s">
        <v>264</v>
      </c>
      <c r="C2459" s="1422" t="s">
        <v>1743</v>
      </c>
      <c r="D2459" s="1423"/>
      <c r="E2459" s="1424">
        <v>217837</v>
      </c>
      <c r="F2459" s="1259">
        <v>10</v>
      </c>
      <c r="G2459" s="859">
        <v>1675221</v>
      </c>
      <c r="H2459" s="860">
        <v>1699467</v>
      </c>
      <c r="I2459" s="861"/>
      <c r="J2459" s="862"/>
      <c r="K2459" s="859">
        <v>720680</v>
      </c>
      <c r="L2459" s="863">
        <v>720680</v>
      </c>
      <c r="M2459" s="859">
        <v>4259434</v>
      </c>
      <c r="N2459" s="859">
        <v>0</v>
      </c>
      <c r="O2459" s="752">
        <f t="shared" si="322"/>
        <v>4259434</v>
      </c>
      <c r="P2459" s="862">
        <v>4259434</v>
      </c>
      <c r="Q2459" s="860">
        <v>0</v>
      </c>
      <c r="R2459" s="753">
        <f t="shared" si="325"/>
        <v>4259434</v>
      </c>
      <c r="S2459" s="752">
        <f t="shared" si="326"/>
        <v>6655335</v>
      </c>
      <c r="T2459" s="754">
        <f t="shared" si="327"/>
        <v>6679581</v>
      </c>
      <c r="U2459" s="859"/>
      <c r="V2459" s="863"/>
      <c r="W2459" s="859"/>
      <c r="X2459" s="859"/>
      <c r="Y2459" s="755">
        <f t="shared" si="323"/>
        <v>0</v>
      </c>
      <c r="Z2459" s="864"/>
      <c r="AA2459" s="863"/>
      <c r="AB2459" s="756">
        <f t="shared" si="324"/>
        <v>0</v>
      </c>
      <c r="AC2459" s="859"/>
      <c r="AD2459" s="863"/>
      <c r="AE2459" s="859"/>
      <c r="AF2459" s="859"/>
      <c r="AG2459" s="864"/>
      <c r="AH2459" s="865"/>
      <c r="AI2459" s="757">
        <f t="shared" si="328"/>
        <v>6655335</v>
      </c>
      <c r="AJ2459" s="758">
        <f t="shared" si="329"/>
        <v>6679581</v>
      </c>
    </row>
    <row r="2460" spans="1:36" x14ac:dyDescent="0.2">
      <c r="A2460" s="1421" t="s">
        <v>146</v>
      </c>
      <c r="B2460" s="1293" t="s">
        <v>272</v>
      </c>
      <c r="C2460" s="1282" t="s">
        <v>970</v>
      </c>
      <c r="D2460" s="1283"/>
      <c r="E2460" s="1424">
        <v>217837</v>
      </c>
      <c r="F2460" s="1259">
        <v>10</v>
      </c>
      <c r="G2460" s="859"/>
      <c r="H2460" s="860"/>
      <c r="I2460" s="861"/>
      <c r="J2460" s="862"/>
      <c r="K2460" s="859"/>
      <c r="L2460" s="863"/>
      <c r="M2460" s="859"/>
      <c r="N2460" s="859"/>
      <c r="O2460" s="752">
        <f t="shared" si="322"/>
        <v>0</v>
      </c>
      <c r="P2460" s="862"/>
      <c r="Q2460" s="860"/>
      <c r="R2460" s="753">
        <f t="shared" si="325"/>
        <v>0</v>
      </c>
      <c r="S2460" s="752">
        <f t="shared" si="326"/>
        <v>0</v>
      </c>
      <c r="T2460" s="754">
        <f t="shared" si="327"/>
        <v>0</v>
      </c>
      <c r="U2460" s="859"/>
      <c r="V2460" s="863"/>
      <c r="W2460" s="859"/>
      <c r="X2460" s="859"/>
      <c r="Y2460" s="755">
        <f t="shared" si="323"/>
        <v>0</v>
      </c>
      <c r="Z2460" s="864"/>
      <c r="AA2460" s="863"/>
      <c r="AB2460" s="756">
        <f t="shared" si="324"/>
        <v>0</v>
      </c>
      <c r="AC2460" s="859"/>
      <c r="AD2460" s="863"/>
      <c r="AE2460" s="859"/>
      <c r="AF2460" s="859"/>
      <c r="AG2460" s="864"/>
      <c r="AH2460" s="865"/>
      <c r="AI2460" s="757">
        <f t="shared" si="328"/>
        <v>0</v>
      </c>
      <c r="AJ2460" s="758">
        <f t="shared" si="329"/>
        <v>0</v>
      </c>
    </row>
    <row r="2461" spans="1:36" x14ac:dyDescent="0.2">
      <c r="A2461" s="1421" t="s">
        <v>146</v>
      </c>
      <c r="B2461" s="1293" t="s">
        <v>272</v>
      </c>
      <c r="C2461" s="1429" t="s">
        <v>1671</v>
      </c>
      <c r="D2461" s="1430"/>
      <c r="E2461" s="1424">
        <v>217837</v>
      </c>
      <c r="F2461" s="1259">
        <v>10</v>
      </c>
      <c r="G2461" s="859"/>
      <c r="H2461" s="860"/>
      <c r="I2461" s="861">
        <v>13</v>
      </c>
      <c r="J2461" s="862">
        <v>12</v>
      </c>
      <c r="K2461" s="859"/>
      <c r="L2461" s="863"/>
      <c r="M2461" s="859"/>
      <c r="N2461" s="859"/>
      <c r="O2461" s="752">
        <f t="shared" si="322"/>
        <v>0</v>
      </c>
      <c r="P2461" s="862"/>
      <c r="Q2461" s="860"/>
      <c r="R2461" s="753">
        <f t="shared" si="325"/>
        <v>0</v>
      </c>
      <c r="S2461" s="752">
        <f t="shared" si="326"/>
        <v>13</v>
      </c>
      <c r="T2461" s="754">
        <f t="shared" si="327"/>
        <v>12</v>
      </c>
      <c r="U2461" s="859"/>
      <c r="V2461" s="863"/>
      <c r="W2461" s="859"/>
      <c r="X2461" s="859"/>
      <c r="Y2461" s="755">
        <f t="shared" si="323"/>
        <v>0</v>
      </c>
      <c r="Z2461" s="864"/>
      <c r="AA2461" s="863"/>
      <c r="AB2461" s="756">
        <f t="shared" si="324"/>
        <v>0</v>
      </c>
      <c r="AC2461" s="859"/>
      <c r="AD2461" s="863"/>
      <c r="AE2461" s="859"/>
      <c r="AF2461" s="859"/>
      <c r="AG2461" s="864"/>
      <c r="AH2461" s="865"/>
      <c r="AI2461" s="757">
        <f t="shared" si="328"/>
        <v>13</v>
      </c>
      <c r="AJ2461" s="758">
        <f t="shared" si="329"/>
        <v>12</v>
      </c>
    </row>
    <row r="2462" spans="1:36" x14ac:dyDescent="0.2">
      <c r="A2462" s="1421" t="s">
        <v>146</v>
      </c>
      <c r="B2462" s="1293" t="s">
        <v>272</v>
      </c>
      <c r="C2462" s="1429" t="s">
        <v>1689</v>
      </c>
      <c r="D2462" s="1430"/>
      <c r="E2462" s="1424">
        <v>217837</v>
      </c>
      <c r="F2462" s="1259">
        <v>10</v>
      </c>
      <c r="G2462" s="859"/>
      <c r="H2462" s="860"/>
      <c r="I2462" s="861"/>
      <c r="J2462" s="862">
        <v>78412</v>
      </c>
      <c r="K2462" s="859"/>
      <c r="L2462" s="863"/>
      <c r="M2462" s="859"/>
      <c r="N2462" s="859"/>
      <c r="O2462" s="752">
        <f t="shared" si="322"/>
        <v>0</v>
      </c>
      <c r="P2462" s="862"/>
      <c r="Q2462" s="860"/>
      <c r="R2462" s="753">
        <f t="shared" si="325"/>
        <v>0</v>
      </c>
      <c r="S2462" s="752">
        <f t="shared" si="326"/>
        <v>0</v>
      </c>
      <c r="T2462" s="754">
        <f t="shared" si="327"/>
        <v>78412</v>
      </c>
      <c r="U2462" s="859"/>
      <c r="V2462" s="863"/>
      <c r="W2462" s="859"/>
      <c r="X2462" s="859"/>
      <c r="Y2462" s="755">
        <f t="shared" si="323"/>
        <v>0</v>
      </c>
      <c r="Z2462" s="864"/>
      <c r="AA2462" s="863"/>
      <c r="AB2462" s="756">
        <f t="shared" si="324"/>
        <v>0</v>
      </c>
      <c r="AC2462" s="859"/>
      <c r="AD2462" s="863"/>
      <c r="AE2462" s="859"/>
      <c r="AF2462" s="859"/>
      <c r="AG2462" s="864"/>
      <c r="AH2462" s="865"/>
      <c r="AI2462" s="757">
        <f t="shared" si="328"/>
        <v>0</v>
      </c>
      <c r="AJ2462" s="758">
        <f t="shared" si="329"/>
        <v>78412</v>
      </c>
    </row>
    <row r="2463" spans="1:36" x14ac:dyDescent="0.2">
      <c r="A2463" s="1421" t="s">
        <v>146</v>
      </c>
      <c r="B2463" s="1293" t="s">
        <v>272</v>
      </c>
      <c r="C2463" s="1429" t="s">
        <v>1721</v>
      </c>
      <c r="D2463" s="1430"/>
      <c r="E2463" s="1424">
        <v>217837</v>
      </c>
      <c r="F2463" s="1259">
        <v>10</v>
      </c>
      <c r="G2463" s="859"/>
      <c r="H2463" s="860"/>
      <c r="I2463" s="861">
        <v>98699</v>
      </c>
      <c r="J2463" s="862"/>
      <c r="K2463" s="859"/>
      <c r="L2463" s="863"/>
      <c r="M2463" s="859"/>
      <c r="N2463" s="859"/>
      <c r="O2463" s="752">
        <f t="shared" si="322"/>
        <v>0</v>
      </c>
      <c r="P2463" s="862"/>
      <c r="Q2463" s="860"/>
      <c r="R2463" s="753">
        <f t="shared" si="325"/>
        <v>0</v>
      </c>
      <c r="S2463" s="752">
        <f t="shared" si="326"/>
        <v>98699</v>
      </c>
      <c r="T2463" s="754">
        <f t="shared" si="327"/>
        <v>0</v>
      </c>
      <c r="U2463" s="859"/>
      <c r="V2463" s="863"/>
      <c r="W2463" s="859"/>
      <c r="X2463" s="859"/>
      <c r="Y2463" s="755">
        <f t="shared" si="323"/>
        <v>0</v>
      </c>
      <c r="Z2463" s="864"/>
      <c r="AA2463" s="863"/>
      <c r="AB2463" s="756">
        <f t="shared" si="324"/>
        <v>0</v>
      </c>
      <c r="AC2463" s="859"/>
      <c r="AD2463" s="863"/>
      <c r="AE2463" s="859"/>
      <c r="AF2463" s="859"/>
      <c r="AG2463" s="864"/>
      <c r="AH2463" s="865"/>
      <c r="AI2463" s="757">
        <f t="shared" si="328"/>
        <v>98699</v>
      </c>
      <c r="AJ2463" s="758">
        <f t="shared" si="329"/>
        <v>0</v>
      </c>
    </row>
    <row r="2464" spans="1:36" x14ac:dyDescent="0.2">
      <c r="A2464" s="1421" t="s">
        <v>146</v>
      </c>
      <c r="B2464" s="1293" t="s">
        <v>272</v>
      </c>
      <c r="C2464" s="1284" t="s">
        <v>1722</v>
      </c>
      <c r="D2464" s="1283"/>
      <c r="E2464" s="1424">
        <v>217837</v>
      </c>
      <c r="F2464" s="1259">
        <v>10</v>
      </c>
      <c r="G2464" s="859"/>
      <c r="H2464" s="860"/>
      <c r="I2464" s="861">
        <v>37784</v>
      </c>
      <c r="J2464" s="862">
        <v>37784</v>
      </c>
      <c r="K2464" s="859"/>
      <c r="L2464" s="863"/>
      <c r="M2464" s="859"/>
      <c r="N2464" s="859"/>
      <c r="O2464" s="752">
        <f t="shared" si="322"/>
        <v>0</v>
      </c>
      <c r="P2464" s="862"/>
      <c r="Q2464" s="860"/>
      <c r="R2464" s="753">
        <f t="shared" si="325"/>
        <v>0</v>
      </c>
      <c r="S2464" s="752">
        <f t="shared" si="326"/>
        <v>37784</v>
      </c>
      <c r="T2464" s="754">
        <f t="shared" si="327"/>
        <v>37784</v>
      </c>
      <c r="U2464" s="859"/>
      <c r="V2464" s="863"/>
      <c r="W2464" s="859"/>
      <c r="X2464" s="859"/>
      <c r="Y2464" s="755">
        <f t="shared" si="323"/>
        <v>0</v>
      </c>
      <c r="Z2464" s="864"/>
      <c r="AA2464" s="863"/>
      <c r="AB2464" s="756">
        <f t="shared" si="324"/>
        <v>0</v>
      </c>
      <c r="AC2464" s="859"/>
      <c r="AD2464" s="863"/>
      <c r="AE2464" s="859"/>
      <c r="AF2464" s="859"/>
      <c r="AG2464" s="864"/>
      <c r="AH2464" s="865"/>
      <c r="AI2464" s="757">
        <f t="shared" si="328"/>
        <v>37784</v>
      </c>
      <c r="AJ2464" s="758">
        <f t="shared" si="329"/>
        <v>37784</v>
      </c>
    </row>
    <row r="2465" spans="1:36" x14ac:dyDescent="0.2">
      <c r="A2465" s="1421" t="s">
        <v>146</v>
      </c>
      <c r="B2465" s="1293" t="s">
        <v>272</v>
      </c>
      <c r="C2465" s="1284" t="s">
        <v>1687</v>
      </c>
      <c r="D2465" s="1283"/>
      <c r="E2465" s="1424">
        <v>217837</v>
      </c>
      <c r="F2465" s="1259">
        <v>10</v>
      </c>
      <c r="G2465" s="859"/>
      <c r="H2465" s="860"/>
      <c r="I2465" s="861">
        <v>95295</v>
      </c>
      <c r="J2465" s="862">
        <v>93108</v>
      </c>
      <c r="K2465" s="859"/>
      <c r="L2465" s="863"/>
      <c r="M2465" s="859"/>
      <c r="N2465" s="859"/>
      <c r="O2465" s="752">
        <f t="shared" si="322"/>
        <v>0</v>
      </c>
      <c r="P2465" s="862"/>
      <c r="Q2465" s="860"/>
      <c r="R2465" s="753">
        <f t="shared" si="325"/>
        <v>0</v>
      </c>
      <c r="S2465" s="752">
        <f t="shared" si="326"/>
        <v>95295</v>
      </c>
      <c r="T2465" s="754">
        <f t="shared" si="327"/>
        <v>93108</v>
      </c>
      <c r="U2465" s="859"/>
      <c r="V2465" s="863"/>
      <c r="W2465" s="859"/>
      <c r="X2465" s="859"/>
      <c r="Y2465" s="755">
        <f t="shared" si="323"/>
        <v>0</v>
      </c>
      <c r="Z2465" s="864"/>
      <c r="AA2465" s="863"/>
      <c r="AB2465" s="756">
        <f t="shared" si="324"/>
        <v>0</v>
      </c>
      <c r="AC2465" s="859"/>
      <c r="AD2465" s="863"/>
      <c r="AE2465" s="859"/>
      <c r="AF2465" s="859"/>
      <c r="AG2465" s="864"/>
      <c r="AH2465" s="865"/>
      <c r="AI2465" s="757">
        <f t="shared" si="328"/>
        <v>95295</v>
      </c>
      <c r="AJ2465" s="758">
        <f t="shared" si="329"/>
        <v>93108</v>
      </c>
    </row>
    <row r="2466" spans="1:36" x14ac:dyDescent="0.2">
      <c r="A2466" s="1421" t="s">
        <v>146</v>
      </c>
      <c r="B2466" s="1293" t="s">
        <v>264</v>
      </c>
      <c r="C2466" s="1422" t="s">
        <v>1744</v>
      </c>
      <c r="D2466" s="1437"/>
      <c r="E2466" s="1424">
        <v>217712</v>
      </c>
      <c r="F2466" s="1259">
        <v>10</v>
      </c>
      <c r="G2466" s="859">
        <v>2769043</v>
      </c>
      <c r="H2466" s="860">
        <v>2651049</v>
      </c>
      <c r="I2466" s="861"/>
      <c r="J2466" s="862"/>
      <c r="K2466" s="859">
        <v>2069000</v>
      </c>
      <c r="L2466" s="863">
        <v>2069000</v>
      </c>
      <c r="M2466" s="859">
        <v>8350846</v>
      </c>
      <c r="N2466" s="859">
        <v>95238</v>
      </c>
      <c r="O2466" s="752">
        <f t="shared" si="322"/>
        <v>8446084</v>
      </c>
      <c r="P2466" s="862">
        <v>8350846</v>
      </c>
      <c r="Q2466" s="860">
        <v>95238</v>
      </c>
      <c r="R2466" s="753">
        <f t="shared" si="325"/>
        <v>8446084</v>
      </c>
      <c r="S2466" s="752">
        <f t="shared" si="326"/>
        <v>13188889</v>
      </c>
      <c r="T2466" s="754">
        <f t="shared" si="327"/>
        <v>13070895</v>
      </c>
      <c r="U2466" s="859"/>
      <c r="V2466" s="863"/>
      <c r="W2466" s="859"/>
      <c r="X2466" s="859"/>
      <c r="Y2466" s="755">
        <f t="shared" si="323"/>
        <v>0</v>
      </c>
      <c r="Z2466" s="864"/>
      <c r="AA2466" s="863"/>
      <c r="AB2466" s="756">
        <f t="shared" si="324"/>
        <v>0</v>
      </c>
      <c r="AC2466" s="859"/>
      <c r="AD2466" s="863"/>
      <c r="AE2466" s="859"/>
      <c r="AF2466" s="859"/>
      <c r="AG2466" s="864"/>
      <c r="AH2466" s="865"/>
      <c r="AI2466" s="757">
        <f t="shared" si="328"/>
        <v>13188889</v>
      </c>
      <c r="AJ2466" s="758">
        <f t="shared" si="329"/>
        <v>13070895</v>
      </c>
    </row>
    <row r="2467" spans="1:36" x14ac:dyDescent="0.2">
      <c r="A2467" s="1421" t="s">
        <v>146</v>
      </c>
      <c r="B2467" s="1293" t="s">
        <v>272</v>
      </c>
      <c r="C2467" s="1282" t="s">
        <v>970</v>
      </c>
      <c r="D2467" s="1283"/>
      <c r="E2467" s="1424">
        <v>217712</v>
      </c>
      <c r="F2467" s="1259">
        <v>10</v>
      </c>
      <c r="G2467" s="859"/>
      <c r="H2467" s="860"/>
      <c r="I2467" s="861"/>
      <c r="J2467" s="862"/>
      <c r="K2467" s="859"/>
      <c r="L2467" s="863"/>
      <c r="M2467" s="859"/>
      <c r="N2467" s="859"/>
      <c r="O2467" s="752">
        <f t="shared" si="322"/>
        <v>0</v>
      </c>
      <c r="P2467" s="862"/>
      <c r="Q2467" s="860"/>
      <c r="R2467" s="753">
        <f t="shared" si="325"/>
        <v>0</v>
      </c>
      <c r="S2467" s="752">
        <f t="shared" si="326"/>
        <v>0</v>
      </c>
      <c r="T2467" s="754">
        <f t="shared" si="327"/>
        <v>0</v>
      </c>
      <c r="U2467" s="859"/>
      <c r="V2467" s="863"/>
      <c r="W2467" s="859"/>
      <c r="X2467" s="859"/>
      <c r="Y2467" s="755">
        <f t="shared" si="323"/>
        <v>0</v>
      </c>
      <c r="Z2467" s="864"/>
      <c r="AA2467" s="863"/>
      <c r="AB2467" s="756">
        <f t="shared" si="324"/>
        <v>0</v>
      </c>
      <c r="AC2467" s="859"/>
      <c r="AD2467" s="863"/>
      <c r="AE2467" s="859"/>
      <c r="AF2467" s="859"/>
      <c r="AG2467" s="864"/>
      <c r="AH2467" s="865"/>
      <c r="AI2467" s="757">
        <f t="shared" si="328"/>
        <v>0</v>
      </c>
      <c r="AJ2467" s="758">
        <f t="shared" si="329"/>
        <v>0</v>
      </c>
    </row>
    <row r="2468" spans="1:36" x14ac:dyDescent="0.2">
      <c r="A2468" s="1421" t="s">
        <v>146</v>
      </c>
      <c r="B2468" s="1293" t="s">
        <v>272</v>
      </c>
      <c r="C2468" s="1429" t="s">
        <v>1671</v>
      </c>
      <c r="D2468" s="1430"/>
      <c r="E2468" s="1424">
        <v>217712</v>
      </c>
      <c r="F2468" s="1259">
        <v>10</v>
      </c>
      <c r="G2468" s="859"/>
      <c r="H2468" s="860"/>
      <c r="I2468" s="861">
        <v>278</v>
      </c>
      <c r="J2468" s="862">
        <v>169</v>
      </c>
      <c r="K2468" s="859"/>
      <c r="L2468" s="863"/>
      <c r="M2468" s="859"/>
      <c r="N2468" s="859"/>
      <c r="O2468" s="752">
        <f t="shared" si="322"/>
        <v>0</v>
      </c>
      <c r="P2468" s="862"/>
      <c r="Q2468" s="860"/>
      <c r="R2468" s="753">
        <f t="shared" si="325"/>
        <v>0</v>
      </c>
      <c r="S2468" s="752">
        <f t="shared" si="326"/>
        <v>278</v>
      </c>
      <c r="T2468" s="754">
        <f t="shared" si="327"/>
        <v>169</v>
      </c>
      <c r="U2468" s="859"/>
      <c r="V2468" s="863"/>
      <c r="W2468" s="859"/>
      <c r="X2468" s="859"/>
      <c r="Y2468" s="755">
        <f t="shared" si="323"/>
        <v>0</v>
      </c>
      <c r="Z2468" s="864"/>
      <c r="AA2468" s="863"/>
      <c r="AB2468" s="756">
        <f t="shared" si="324"/>
        <v>0</v>
      </c>
      <c r="AC2468" s="859"/>
      <c r="AD2468" s="863"/>
      <c r="AE2468" s="859"/>
      <c r="AF2468" s="859"/>
      <c r="AG2468" s="864"/>
      <c r="AH2468" s="865"/>
      <c r="AI2468" s="757">
        <f t="shared" si="328"/>
        <v>278</v>
      </c>
      <c r="AJ2468" s="758">
        <f t="shared" si="329"/>
        <v>169</v>
      </c>
    </row>
    <row r="2469" spans="1:36" x14ac:dyDescent="0.2">
      <c r="A2469" s="1421" t="s">
        <v>146</v>
      </c>
      <c r="B2469" s="1293" t="s">
        <v>272</v>
      </c>
      <c r="C2469" s="1429" t="s">
        <v>1689</v>
      </c>
      <c r="D2469" s="1430"/>
      <c r="E2469" s="1424">
        <v>217712</v>
      </c>
      <c r="F2469" s="1259">
        <v>10</v>
      </c>
      <c r="G2469" s="859"/>
      <c r="H2469" s="860"/>
      <c r="I2469" s="861"/>
      <c r="J2469" s="862">
        <v>71446</v>
      </c>
      <c r="K2469" s="859"/>
      <c r="L2469" s="863"/>
      <c r="M2469" s="859"/>
      <c r="N2469" s="859"/>
      <c r="O2469" s="752">
        <f t="shared" si="322"/>
        <v>0</v>
      </c>
      <c r="P2469" s="862"/>
      <c r="Q2469" s="860"/>
      <c r="R2469" s="753">
        <f t="shared" si="325"/>
        <v>0</v>
      </c>
      <c r="S2469" s="752">
        <f t="shared" si="326"/>
        <v>0</v>
      </c>
      <c r="T2469" s="754">
        <f t="shared" si="327"/>
        <v>71446</v>
      </c>
      <c r="U2469" s="859"/>
      <c r="V2469" s="863"/>
      <c r="W2469" s="859"/>
      <c r="X2469" s="859"/>
      <c r="Y2469" s="755">
        <f t="shared" si="323"/>
        <v>0</v>
      </c>
      <c r="Z2469" s="864"/>
      <c r="AA2469" s="863"/>
      <c r="AB2469" s="756">
        <f t="shared" si="324"/>
        <v>0</v>
      </c>
      <c r="AC2469" s="859"/>
      <c r="AD2469" s="863"/>
      <c r="AE2469" s="859"/>
      <c r="AF2469" s="859"/>
      <c r="AG2469" s="864"/>
      <c r="AH2469" s="865"/>
      <c r="AI2469" s="757">
        <f t="shared" si="328"/>
        <v>0</v>
      </c>
      <c r="AJ2469" s="758">
        <f t="shared" si="329"/>
        <v>71446</v>
      </c>
    </row>
    <row r="2470" spans="1:36" x14ac:dyDescent="0.2">
      <c r="A2470" s="1421" t="s">
        <v>146</v>
      </c>
      <c r="B2470" s="1293" t="s">
        <v>272</v>
      </c>
      <c r="C2470" s="1429" t="s">
        <v>1720</v>
      </c>
      <c r="D2470" s="1430"/>
      <c r="E2470" s="1424">
        <v>217712</v>
      </c>
      <c r="F2470" s="1259">
        <v>10</v>
      </c>
      <c r="G2470" s="859"/>
      <c r="H2470" s="860"/>
      <c r="I2470" s="861"/>
      <c r="J2470" s="862">
        <v>15089</v>
      </c>
      <c r="K2470" s="859"/>
      <c r="L2470" s="863"/>
      <c r="M2470" s="859"/>
      <c r="N2470" s="859"/>
      <c r="O2470" s="752">
        <f t="shared" si="322"/>
        <v>0</v>
      </c>
      <c r="P2470" s="862"/>
      <c r="Q2470" s="860"/>
      <c r="R2470" s="753">
        <f t="shared" si="325"/>
        <v>0</v>
      </c>
      <c r="S2470" s="752">
        <f t="shared" si="326"/>
        <v>0</v>
      </c>
      <c r="T2470" s="754">
        <f t="shared" si="327"/>
        <v>15089</v>
      </c>
      <c r="U2470" s="859"/>
      <c r="V2470" s="863"/>
      <c r="W2470" s="859"/>
      <c r="X2470" s="859"/>
      <c r="Y2470" s="755">
        <f t="shared" si="323"/>
        <v>0</v>
      </c>
      <c r="Z2470" s="864"/>
      <c r="AA2470" s="863"/>
      <c r="AB2470" s="756">
        <f t="shared" si="324"/>
        <v>0</v>
      </c>
      <c r="AC2470" s="859"/>
      <c r="AD2470" s="863"/>
      <c r="AE2470" s="859"/>
      <c r="AF2470" s="859"/>
      <c r="AG2470" s="864"/>
      <c r="AH2470" s="865"/>
      <c r="AI2470" s="757">
        <f t="shared" si="328"/>
        <v>0</v>
      </c>
      <c r="AJ2470" s="758">
        <f t="shared" si="329"/>
        <v>15089</v>
      </c>
    </row>
    <row r="2471" spans="1:36" x14ac:dyDescent="0.2">
      <c r="A2471" s="1421" t="s">
        <v>146</v>
      </c>
      <c r="B2471" s="1293" t="s">
        <v>272</v>
      </c>
      <c r="C2471" s="1429" t="s">
        <v>1745</v>
      </c>
      <c r="D2471" s="1430"/>
      <c r="E2471" s="1424">
        <v>217712</v>
      </c>
      <c r="F2471" s="1259">
        <v>10</v>
      </c>
      <c r="G2471" s="859"/>
      <c r="H2471" s="860"/>
      <c r="I2471" s="861"/>
      <c r="J2471" s="862">
        <v>318000</v>
      </c>
      <c r="K2471" s="859"/>
      <c r="L2471" s="863"/>
      <c r="M2471" s="859"/>
      <c r="N2471" s="859"/>
      <c r="O2471" s="752">
        <f t="shared" si="322"/>
        <v>0</v>
      </c>
      <c r="P2471" s="862"/>
      <c r="Q2471" s="860"/>
      <c r="R2471" s="753">
        <f t="shared" si="325"/>
        <v>0</v>
      </c>
      <c r="S2471" s="752">
        <f t="shared" si="326"/>
        <v>0</v>
      </c>
      <c r="T2471" s="754">
        <f t="shared" si="327"/>
        <v>318000</v>
      </c>
      <c r="U2471" s="859"/>
      <c r="V2471" s="863"/>
      <c r="W2471" s="859"/>
      <c r="X2471" s="859"/>
      <c r="Y2471" s="755">
        <f t="shared" si="323"/>
        <v>0</v>
      </c>
      <c r="Z2471" s="864"/>
      <c r="AA2471" s="863"/>
      <c r="AB2471" s="756">
        <f t="shared" si="324"/>
        <v>0</v>
      </c>
      <c r="AC2471" s="859"/>
      <c r="AD2471" s="863"/>
      <c r="AE2471" s="859"/>
      <c r="AF2471" s="859"/>
      <c r="AG2471" s="864"/>
      <c r="AH2471" s="865"/>
      <c r="AI2471" s="757">
        <f t="shared" si="328"/>
        <v>0</v>
      </c>
      <c r="AJ2471" s="758">
        <f t="shared" si="329"/>
        <v>318000</v>
      </c>
    </row>
    <row r="2472" spans="1:36" x14ac:dyDescent="0.2">
      <c r="A2472" s="1421" t="s">
        <v>146</v>
      </c>
      <c r="B2472" s="1293" t="s">
        <v>272</v>
      </c>
      <c r="C2472" s="1429" t="s">
        <v>1721</v>
      </c>
      <c r="D2472" s="1430"/>
      <c r="E2472" s="1424">
        <v>217712</v>
      </c>
      <c r="F2472" s="1259">
        <v>10</v>
      </c>
      <c r="G2472" s="859"/>
      <c r="H2472" s="860"/>
      <c r="I2472" s="861">
        <v>156613</v>
      </c>
      <c r="J2472" s="862"/>
      <c r="K2472" s="859"/>
      <c r="L2472" s="863"/>
      <c r="M2472" s="859"/>
      <c r="N2472" s="859"/>
      <c r="O2472" s="752">
        <f t="shared" si="322"/>
        <v>0</v>
      </c>
      <c r="P2472" s="862"/>
      <c r="Q2472" s="860"/>
      <c r="R2472" s="753">
        <f t="shared" si="325"/>
        <v>0</v>
      </c>
      <c r="S2472" s="752">
        <f t="shared" si="326"/>
        <v>156613</v>
      </c>
      <c r="T2472" s="754">
        <f t="shared" si="327"/>
        <v>0</v>
      </c>
      <c r="U2472" s="859"/>
      <c r="V2472" s="863"/>
      <c r="W2472" s="859"/>
      <c r="X2472" s="859"/>
      <c r="Y2472" s="755">
        <f t="shared" si="323"/>
        <v>0</v>
      </c>
      <c r="Z2472" s="864"/>
      <c r="AA2472" s="863"/>
      <c r="AB2472" s="756">
        <f t="shared" si="324"/>
        <v>0</v>
      </c>
      <c r="AC2472" s="859"/>
      <c r="AD2472" s="863"/>
      <c r="AE2472" s="859"/>
      <c r="AF2472" s="859"/>
      <c r="AG2472" s="864"/>
      <c r="AH2472" s="865"/>
      <c r="AI2472" s="757">
        <f t="shared" si="328"/>
        <v>156613</v>
      </c>
      <c r="AJ2472" s="758">
        <f t="shared" si="329"/>
        <v>0</v>
      </c>
    </row>
    <row r="2473" spans="1:36" x14ac:dyDescent="0.2">
      <c r="A2473" s="1421" t="s">
        <v>146</v>
      </c>
      <c r="B2473" s="1293" t="s">
        <v>272</v>
      </c>
      <c r="C2473" s="1429" t="s">
        <v>1724</v>
      </c>
      <c r="D2473" s="1430"/>
      <c r="E2473" s="1424">
        <v>217712</v>
      </c>
      <c r="F2473" s="1259">
        <v>10</v>
      </c>
      <c r="G2473" s="859"/>
      <c r="H2473" s="860"/>
      <c r="I2473" s="861">
        <v>200000</v>
      </c>
      <c r="J2473" s="862"/>
      <c r="K2473" s="859"/>
      <c r="L2473" s="863"/>
      <c r="M2473" s="859"/>
      <c r="N2473" s="859"/>
      <c r="O2473" s="752">
        <f t="shared" si="322"/>
        <v>0</v>
      </c>
      <c r="P2473" s="862"/>
      <c r="Q2473" s="860"/>
      <c r="R2473" s="753">
        <f t="shared" si="325"/>
        <v>0</v>
      </c>
      <c r="S2473" s="752">
        <f t="shared" si="326"/>
        <v>200000</v>
      </c>
      <c r="T2473" s="754">
        <f t="shared" si="327"/>
        <v>0</v>
      </c>
      <c r="U2473" s="859"/>
      <c r="V2473" s="863"/>
      <c r="W2473" s="859"/>
      <c r="X2473" s="859"/>
      <c r="Y2473" s="755">
        <f t="shared" si="323"/>
        <v>0</v>
      </c>
      <c r="Z2473" s="864"/>
      <c r="AA2473" s="863"/>
      <c r="AB2473" s="756">
        <f t="shared" si="324"/>
        <v>0</v>
      </c>
      <c r="AC2473" s="859"/>
      <c r="AD2473" s="863"/>
      <c r="AE2473" s="859"/>
      <c r="AF2473" s="859"/>
      <c r="AG2473" s="864"/>
      <c r="AH2473" s="865"/>
      <c r="AI2473" s="757">
        <f t="shared" si="328"/>
        <v>200000</v>
      </c>
      <c r="AJ2473" s="758">
        <f t="shared" si="329"/>
        <v>0</v>
      </c>
    </row>
    <row r="2474" spans="1:36" x14ac:dyDescent="0.2">
      <c r="A2474" s="1421" t="s">
        <v>146</v>
      </c>
      <c r="B2474" s="1293" t="s">
        <v>272</v>
      </c>
      <c r="C2474" s="1284" t="s">
        <v>1722</v>
      </c>
      <c r="D2474" s="1283"/>
      <c r="E2474" s="1424">
        <v>217712</v>
      </c>
      <c r="F2474" s="1259">
        <v>10</v>
      </c>
      <c r="G2474" s="859"/>
      <c r="H2474" s="860"/>
      <c r="I2474" s="861">
        <v>37784</v>
      </c>
      <c r="J2474" s="862">
        <v>37784</v>
      </c>
      <c r="K2474" s="859"/>
      <c r="L2474" s="863"/>
      <c r="M2474" s="859"/>
      <c r="N2474" s="859"/>
      <c r="O2474" s="752">
        <f t="shared" si="322"/>
        <v>0</v>
      </c>
      <c r="P2474" s="862"/>
      <c r="Q2474" s="860"/>
      <c r="R2474" s="753">
        <f t="shared" si="325"/>
        <v>0</v>
      </c>
      <c r="S2474" s="752">
        <f t="shared" si="326"/>
        <v>37784</v>
      </c>
      <c r="T2474" s="754">
        <f t="shared" si="327"/>
        <v>37784</v>
      </c>
      <c r="U2474" s="859"/>
      <c r="V2474" s="863"/>
      <c r="W2474" s="859"/>
      <c r="X2474" s="859"/>
      <c r="Y2474" s="755">
        <f t="shared" si="323"/>
        <v>0</v>
      </c>
      <c r="Z2474" s="864"/>
      <c r="AA2474" s="863"/>
      <c r="AB2474" s="756">
        <f t="shared" si="324"/>
        <v>0</v>
      </c>
      <c r="AC2474" s="859"/>
      <c r="AD2474" s="863"/>
      <c r="AE2474" s="859"/>
      <c r="AF2474" s="859"/>
      <c r="AG2474" s="864"/>
      <c r="AH2474" s="865"/>
      <c r="AI2474" s="757">
        <f t="shared" si="328"/>
        <v>37784</v>
      </c>
      <c r="AJ2474" s="758">
        <f t="shared" si="329"/>
        <v>37784</v>
      </c>
    </row>
    <row r="2475" spans="1:36" x14ac:dyDescent="0.2">
      <c r="A2475" s="1421" t="s">
        <v>146</v>
      </c>
      <c r="B2475" s="1293" t="s">
        <v>272</v>
      </c>
      <c r="C2475" s="1284" t="s">
        <v>1687</v>
      </c>
      <c r="D2475" s="1283"/>
      <c r="E2475" s="1424">
        <v>217712</v>
      </c>
      <c r="F2475" s="1259">
        <v>10</v>
      </c>
      <c r="G2475" s="859"/>
      <c r="H2475" s="860"/>
      <c r="I2475" s="861">
        <v>103245</v>
      </c>
      <c r="J2475" s="862">
        <v>102024</v>
      </c>
      <c r="K2475" s="859"/>
      <c r="L2475" s="863"/>
      <c r="M2475" s="859"/>
      <c r="N2475" s="859"/>
      <c r="O2475" s="752">
        <f t="shared" si="322"/>
        <v>0</v>
      </c>
      <c r="P2475" s="1435"/>
      <c r="Q2475" s="1436"/>
      <c r="R2475" s="753">
        <f t="shared" si="325"/>
        <v>0</v>
      </c>
      <c r="S2475" s="752">
        <f t="shared" si="326"/>
        <v>103245</v>
      </c>
      <c r="T2475" s="754">
        <f t="shared" si="327"/>
        <v>102024</v>
      </c>
      <c r="U2475" s="859"/>
      <c r="V2475" s="863"/>
      <c r="W2475" s="859"/>
      <c r="X2475" s="859"/>
      <c r="Y2475" s="755">
        <f t="shared" si="323"/>
        <v>0</v>
      </c>
      <c r="Z2475" s="864"/>
      <c r="AA2475" s="863"/>
      <c r="AB2475" s="756">
        <f t="shared" si="324"/>
        <v>0</v>
      </c>
      <c r="AC2475" s="859"/>
      <c r="AD2475" s="863"/>
      <c r="AE2475" s="859"/>
      <c r="AF2475" s="859"/>
      <c r="AG2475" s="864"/>
      <c r="AH2475" s="865"/>
      <c r="AI2475" s="757">
        <f t="shared" si="328"/>
        <v>103245</v>
      </c>
      <c r="AJ2475" s="758">
        <f t="shared" si="329"/>
        <v>102024</v>
      </c>
    </row>
    <row r="2476" spans="1:36" x14ac:dyDescent="0.2">
      <c r="A2476" s="1421" t="s">
        <v>146</v>
      </c>
      <c r="B2476" s="1293" t="s">
        <v>264</v>
      </c>
      <c r="C2476" s="1422" t="s">
        <v>1746</v>
      </c>
      <c r="D2476" s="1423"/>
      <c r="E2476" s="1424">
        <v>218672</v>
      </c>
      <c r="F2476" s="1259">
        <v>10</v>
      </c>
      <c r="G2476" s="859">
        <v>1244208</v>
      </c>
      <c r="H2476" s="860">
        <v>1244208</v>
      </c>
      <c r="I2476" s="861"/>
      <c r="J2476" s="862"/>
      <c r="K2476" s="859"/>
      <c r="L2476" s="863"/>
      <c r="M2476" s="859">
        <v>8102126</v>
      </c>
      <c r="N2476" s="859">
        <v>20644</v>
      </c>
      <c r="O2476" s="752">
        <f t="shared" si="322"/>
        <v>8122770</v>
      </c>
      <c r="P2476" s="1435">
        <v>8102126</v>
      </c>
      <c r="Q2476" s="1436">
        <v>20644</v>
      </c>
      <c r="R2476" s="753">
        <f t="shared" si="325"/>
        <v>8122770</v>
      </c>
      <c r="S2476" s="752">
        <f t="shared" si="326"/>
        <v>9346334</v>
      </c>
      <c r="T2476" s="754">
        <f t="shared" si="327"/>
        <v>9346334</v>
      </c>
      <c r="U2476" s="859"/>
      <c r="V2476" s="863"/>
      <c r="W2476" s="859"/>
      <c r="X2476" s="859"/>
      <c r="Y2476" s="755">
        <f t="shared" si="323"/>
        <v>0</v>
      </c>
      <c r="Z2476" s="864"/>
      <c r="AA2476" s="863"/>
      <c r="AB2476" s="756">
        <f t="shared" si="324"/>
        <v>0</v>
      </c>
      <c r="AC2476" s="859"/>
      <c r="AD2476" s="863"/>
      <c r="AE2476" s="859"/>
      <c r="AF2476" s="859"/>
      <c r="AG2476" s="864"/>
      <c r="AH2476" s="865"/>
      <c r="AI2476" s="757">
        <f t="shared" si="328"/>
        <v>9346334</v>
      </c>
      <c r="AJ2476" s="758">
        <f t="shared" si="329"/>
        <v>9346334</v>
      </c>
    </row>
    <row r="2477" spans="1:36" x14ac:dyDescent="0.2">
      <c r="A2477" s="1421" t="s">
        <v>146</v>
      </c>
      <c r="B2477" s="1293" t="s">
        <v>264</v>
      </c>
      <c r="C2477" s="1284" t="s">
        <v>1663</v>
      </c>
      <c r="D2477" s="1283"/>
      <c r="E2477" s="1424">
        <v>218672</v>
      </c>
      <c r="F2477" s="1259">
        <v>10</v>
      </c>
      <c r="G2477" s="859">
        <v>296526</v>
      </c>
      <c r="H2477" s="860">
        <v>314446</v>
      </c>
      <c r="I2477" s="861"/>
      <c r="J2477" s="862"/>
      <c r="K2477" s="859"/>
      <c r="L2477" s="863"/>
      <c r="M2477" s="859"/>
      <c r="N2477" s="859"/>
      <c r="O2477" s="752">
        <f t="shared" si="322"/>
        <v>0</v>
      </c>
      <c r="P2477" s="1435"/>
      <c r="Q2477" s="1436"/>
      <c r="R2477" s="753">
        <f t="shared" si="325"/>
        <v>0</v>
      </c>
      <c r="S2477" s="752">
        <f t="shared" si="326"/>
        <v>296526</v>
      </c>
      <c r="T2477" s="754">
        <f t="shared" si="327"/>
        <v>314446</v>
      </c>
      <c r="U2477" s="859"/>
      <c r="V2477" s="863"/>
      <c r="W2477" s="859"/>
      <c r="X2477" s="859"/>
      <c r="Y2477" s="755">
        <f t="shared" si="323"/>
        <v>0</v>
      </c>
      <c r="Z2477" s="864"/>
      <c r="AA2477" s="863"/>
      <c r="AB2477" s="756">
        <f t="shared" si="324"/>
        <v>0</v>
      </c>
      <c r="AC2477" s="859"/>
      <c r="AD2477" s="863"/>
      <c r="AE2477" s="859"/>
      <c r="AF2477" s="859"/>
      <c r="AG2477" s="864"/>
      <c r="AH2477" s="865"/>
      <c r="AI2477" s="757">
        <f t="shared" si="328"/>
        <v>296526</v>
      </c>
      <c r="AJ2477" s="758">
        <f t="shared" si="329"/>
        <v>314446</v>
      </c>
    </row>
    <row r="2478" spans="1:36" x14ac:dyDescent="0.2">
      <c r="A2478" s="1421" t="s">
        <v>146</v>
      </c>
      <c r="B2478" s="1293" t="s">
        <v>272</v>
      </c>
      <c r="C2478" s="1282" t="s">
        <v>970</v>
      </c>
      <c r="D2478" s="1283"/>
      <c r="E2478" s="1424">
        <v>218672</v>
      </c>
      <c r="F2478" s="1259">
        <v>10</v>
      </c>
      <c r="G2478" s="859"/>
      <c r="H2478" s="860"/>
      <c r="I2478" s="861"/>
      <c r="J2478" s="862"/>
      <c r="K2478" s="859"/>
      <c r="L2478" s="863"/>
      <c r="M2478" s="859"/>
      <c r="N2478" s="859"/>
      <c r="O2478" s="752">
        <f t="shared" si="322"/>
        <v>0</v>
      </c>
      <c r="P2478" s="1435"/>
      <c r="Q2478" s="1436"/>
      <c r="R2478" s="753">
        <f t="shared" si="325"/>
        <v>0</v>
      </c>
      <c r="S2478" s="752">
        <f t="shared" si="326"/>
        <v>0</v>
      </c>
      <c r="T2478" s="754">
        <f t="shared" si="327"/>
        <v>0</v>
      </c>
      <c r="U2478" s="859"/>
      <c r="V2478" s="863"/>
      <c r="W2478" s="859"/>
      <c r="X2478" s="859"/>
      <c r="Y2478" s="755">
        <f t="shared" si="323"/>
        <v>0</v>
      </c>
      <c r="Z2478" s="864"/>
      <c r="AA2478" s="863"/>
      <c r="AB2478" s="756">
        <f t="shared" si="324"/>
        <v>0</v>
      </c>
      <c r="AC2478" s="859"/>
      <c r="AD2478" s="863"/>
      <c r="AE2478" s="859"/>
      <c r="AF2478" s="859"/>
      <c r="AG2478" s="864"/>
      <c r="AH2478" s="865"/>
      <c r="AI2478" s="757">
        <f t="shared" si="328"/>
        <v>0</v>
      </c>
      <c r="AJ2478" s="758">
        <f t="shared" si="329"/>
        <v>0</v>
      </c>
    </row>
    <row r="2479" spans="1:36" x14ac:dyDescent="0.2">
      <c r="A2479" s="1421" t="s">
        <v>146</v>
      </c>
      <c r="B2479" s="1293" t="s">
        <v>272</v>
      </c>
      <c r="C2479" s="1429" t="s">
        <v>1747</v>
      </c>
      <c r="D2479" s="1430"/>
      <c r="E2479" s="1424">
        <v>218672</v>
      </c>
      <c r="F2479" s="1259">
        <v>10</v>
      </c>
      <c r="G2479" s="859"/>
      <c r="H2479" s="860"/>
      <c r="I2479" s="861">
        <v>208697</v>
      </c>
      <c r="J2479" s="862">
        <v>400000</v>
      </c>
      <c r="K2479" s="859"/>
      <c r="L2479" s="863"/>
      <c r="M2479" s="859"/>
      <c r="N2479" s="859"/>
      <c r="O2479" s="752">
        <f t="shared" si="322"/>
        <v>0</v>
      </c>
      <c r="P2479" s="1435"/>
      <c r="Q2479" s="1436"/>
      <c r="R2479" s="753">
        <f t="shared" si="325"/>
        <v>0</v>
      </c>
      <c r="S2479" s="752">
        <f t="shared" si="326"/>
        <v>208697</v>
      </c>
      <c r="T2479" s="754">
        <f t="shared" si="327"/>
        <v>400000</v>
      </c>
      <c r="U2479" s="859"/>
      <c r="V2479" s="863"/>
      <c r="W2479" s="859"/>
      <c r="X2479" s="859"/>
      <c r="Y2479" s="755">
        <f t="shared" si="323"/>
        <v>0</v>
      </c>
      <c r="Z2479" s="864"/>
      <c r="AA2479" s="863"/>
      <c r="AB2479" s="756">
        <f t="shared" si="324"/>
        <v>0</v>
      </c>
      <c r="AC2479" s="859"/>
      <c r="AD2479" s="863"/>
      <c r="AE2479" s="859"/>
      <c r="AF2479" s="859"/>
      <c r="AG2479" s="864"/>
      <c r="AH2479" s="865"/>
      <c r="AI2479" s="757">
        <f t="shared" si="328"/>
        <v>208697</v>
      </c>
      <c r="AJ2479" s="758">
        <f t="shared" si="329"/>
        <v>400000</v>
      </c>
    </row>
    <row r="2480" spans="1:36" x14ac:dyDescent="0.2">
      <c r="A2480" s="1421" t="s">
        <v>146</v>
      </c>
      <c r="B2480" s="1293" t="s">
        <v>272</v>
      </c>
      <c r="C2480" s="1429" t="s">
        <v>1748</v>
      </c>
      <c r="D2480" s="1430"/>
      <c r="E2480" s="1424">
        <v>218672</v>
      </c>
      <c r="F2480" s="1259">
        <v>10</v>
      </c>
      <c r="G2480" s="859"/>
      <c r="H2480" s="860"/>
      <c r="I2480" s="861"/>
      <c r="J2480" s="862">
        <v>148400</v>
      </c>
      <c r="K2480" s="859"/>
      <c r="L2480" s="863"/>
      <c r="M2480" s="859"/>
      <c r="N2480" s="859"/>
      <c r="O2480" s="752">
        <f t="shared" si="322"/>
        <v>0</v>
      </c>
      <c r="P2480" s="1435"/>
      <c r="Q2480" s="1436"/>
      <c r="R2480" s="753">
        <f t="shared" si="325"/>
        <v>0</v>
      </c>
      <c r="S2480" s="752">
        <f t="shared" si="326"/>
        <v>0</v>
      </c>
      <c r="T2480" s="754">
        <f t="shared" si="327"/>
        <v>148400</v>
      </c>
      <c r="U2480" s="859"/>
      <c r="V2480" s="863"/>
      <c r="W2480" s="859"/>
      <c r="X2480" s="859"/>
      <c r="Y2480" s="755">
        <f t="shared" si="323"/>
        <v>0</v>
      </c>
      <c r="Z2480" s="864"/>
      <c r="AA2480" s="863"/>
      <c r="AB2480" s="756">
        <f t="shared" si="324"/>
        <v>0</v>
      </c>
      <c r="AC2480" s="859"/>
      <c r="AD2480" s="863"/>
      <c r="AE2480" s="859"/>
      <c r="AF2480" s="859"/>
      <c r="AG2480" s="864"/>
      <c r="AH2480" s="865"/>
      <c r="AI2480" s="757">
        <f t="shared" si="328"/>
        <v>0</v>
      </c>
      <c r="AJ2480" s="758">
        <f t="shared" si="329"/>
        <v>148400</v>
      </c>
    </row>
    <row r="2481" spans="1:36" x14ac:dyDescent="0.2">
      <c r="A2481" s="1421" t="s">
        <v>146</v>
      </c>
      <c r="B2481" s="1293" t="s">
        <v>272</v>
      </c>
      <c r="C2481" s="1429" t="s">
        <v>1717</v>
      </c>
      <c r="D2481" s="1430"/>
      <c r="E2481" s="1424">
        <v>218672</v>
      </c>
      <c r="F2481" s="1259">
        <v>10</v>
      </c>
      <c r="G2481" s="859"/>
      <c r="H2481" s="860"/>
      <c r="I2481" s="861"/>
      <c r="J2481" s="862">
        <v>148500</v>
      </c>
      <c r="K2481" s="859"/>
      <c r="L2481" s="863"/>
      <c r="M2481" s="859"/>
      <c r="N2481" s="859"/>
      <c r="O2481" s="752">
        <f t="shared" si="322"/>
        <v>0</v>
      </c>
      <c r="P2481" s="1435"/>
      <c r="Q2481" s="1436"/>
      <c r="R2481" s="753">
        <f t="shared" si="325"/>
        <v>0</v>
      </c>
      <c r="S2481" s="752">
        <f t="shared" si="326"/>
        <v>0</v>
      </c>
      <c r="T2481" s="754">
        <f t="shared" si="327"/>
        <v>148500</v>
      </c>
      <c r="U2481" s="859"/>
      <c r="V2481" s="863"/>
      <c r="W2481" s="859"/>
      <c r="X2481" s="859"/>
      <c r="Y2481" s="755">
        <f t="shared" si="323"/>
        <v>0</v>
      </c>
      <c r="Z2481" s="864"/>
      <c r="AA2481" s="863"/>
      <c r="AB2481" s="756">
        <f t="shared" si="324"/>
        <v>0</v>
      </c>
      <c r="AC2481" s="859"/>
      <c r="AD2481" s="863"/>
      <c r="AE2481" s="859"/>
      <c r="AF2481" s="859"/>
      <c r="AG2481" s="864"/>
      <c r="AH2481" s="865"/>
      <c r="AI2481" s="757">
        <f t="shared" si="328"/>
        <v>0</v>
      </c>
      <c r="AJ2481" s="758">
        <f t="shared" si="329"/>
        <v>148500</v>
      </c>
    </row>
    <row r="2482" spans="1:36" x14ac:dyDescent="0.2">
      <c r="A2482" s="1421" t="s">
        <v>146</v>
      </c>
      <c r="B2482" s="1293" t="s">
        <v>272</v>
      </c>
      <c r="C2482" s="1429" t="s">
        <v>1670</v>
      </c>
      <c r="D2482" s="1430"/>
      <c r="E2482" s="1424">
        <v>218672</v>
      </c>
      <c r="F2482" s="1259">
        <v>10</v>
      </c>
      <c r="G2482" s="859"/>
      <c r="H2482" s="860"/>
      <c r="I2482" s="861"/>
      <c r="J2482" s="862">
        <v>66878</v>
      </c>
      <c r="K2482" s="859"/>
      <c r="L2482" s="863"/>
      <c r="M2482" s="859"/>
      <c r="N2482" s="859"/>
      <c r="O2482" s="752">
        <f t="shared" si="322"/>
        <v>0</v>
      </c>
      <c r="P2482" s="1435"/>
      <c r="Q2482" s="1436"/>
      <c r="R2482" s="753">
        <f t="shared" si="325"/>
        <v>0</v>
      </c>
      <c r="S2482" s="752">
        <f t="shared" si="326"/>
        <v>0</v>
      </c>
      <c r="T2482" s="754">
        <f t="shared" si="327"/>
        <v>66878</v>
      </c>
      <c r="U2482" s="859"/>
      <c r="V2482" s="863"/>
      <c r="W2482" s="859"/>
      <c r="X2482" s="859"/>
      <c r="Y2482" s="755">
        <f t="shared" si="323"/>
        <v>0</v>
      </c>
      <c r="Z2482" s="864"/>
      <c r="AA2482" s="863"/>
      <c r="AB2482" s="756">
        <f t="shared" si="324"/>
        <v>0</v>
      </c>
      <c r="AC2482" s="859"/>
      <c r="AD2482" s="863"/>
      <c r="AE2482" s="859"/>
      <c r="AF2482" s="859"/>
      <c r="AG2482" s="864"/>
      <c r="AH2482" s="865"/>
      <c r="AI2482" s="757">
        <f t="shared" si="328"/>
        <v>0</v>
      </c>
      <c r="AJ2482" s="758">
        <f t="shared" si="329"/>
        <v>66878</v>
      </c>
    </row>
    <row r="2483" spans="1:36" x14ac:dyDescent="0.2">
      <c r="A2483" s="1421" t="s">
        <v>146</v>
      </c>
      <c r="B2483" s="1293" t="s">
        <v>272</v>
      </c>
      <c r="C2483" s="1284" t="s">
        <v>1671</v>
      </c>
      <c r="D2483" s="1283"/>
      <c r="E2483" s="1424">
        <v>218672</v>
      </c>
      <c r="F2483" s="1259">
        <v>10</v>
      </c>
      <c r="G2483" s="859"/>
      <c r="H2483" s="860"/>
      <c r="I2483" s="861">
        <v>4223</v>
      </c>
      <c r="J2483" s="862">
        <v>3817</v>
      </c>
      <c r="K2483" s="859"/>
      <c r="L2483" s="863"/>
      <c r="M2483" s="859"/>
      <c r="N2483" s="859"/>
      <c r="O2483" s="752">
        <f t="shared" si="322"/>
        <v>0</v>
      </c>
      <c r="P2483" s="1435"/>
      <c r="Q2483" s="1436"/>
      <c r="R2483" s="753">
        <f t="shared" si="325"/>
        <v>0</v>
      </c>
      <c r="S2483" s="752">
        <f t="shared" si="326"/>
        <v>4223</v>
      </c>
      <c r="T2483" s="754">
        <f t="shared" si="327"/>
        <v>3817</v>
      </c>
      <c r="U2483" s="859"/>
      <c r="V2483" s="863"/>
      <c r="W2483" s="859"/>
      <c r="X2483" s="859"/>
      <c r="Y2483" s="755">
        <f t="shared" si="323"/>
        <v>0</v>
      </c>
      <c r="Z2483" s="864"/>
      <c r="AA2483" s="863"/>
      <c r="AB2483" s="756">
        <f t="shared" si="324"/>
        <v>0</v>
      </c>
      <c r="AC2483" s="859"/>
      <c r="AD2483" s="863"/>
      <c r="AE2483" s="859"/>
      <c r="AF2483" s="859"/>
      <c r="AG2483" s="864"/>
      <c r="AH2483" s="865"/>
      <c r="AI2483" s="757">
        <f t="shared" si="328"/>
        <v>4223</v>
      </c>
      <c r="AJ2483" s="758">
        <f t="shared" si="329"/>
        <v>3817</v>
      </c>
    </row>
    <row r="2484" spans="1:36" x14ac:dyDescent="0.2">
      <c r="A2484" s="1421" t="s">
        <v>146</v>
      </c>
      <c r="B2484" s="1293" t="s">
        <v>272</v>
      </c>
      <c r="C2484" s="1284" t="s">
        <v>1687</v>
      </c>
      <c r="D2484" s="1283"/>
      <c r="E2484" s="1424">
        <v>218672</v>
      </c>
      <c r="F2484" s="1259">
        <v>10</v>
      </c>
      <c r="G2484" s="859"/>
      <c r="H2484" s="860"/>
      <c r="I2484" s="861">
        <v>102102</v>
      </c>
      <c r="J2484" s="862">
        <v>99759</v>
      </c>
      <c r="K2484" s="859"/>
      <c r="L2484" s="863"/>
      <c r="M2484" s="859"/>
      <c r="N2484" s="859"/>
      <c r="O2484" s="752">
        <f t="shared" si="322"/>
        <v>0</v>
      </c>
      <c r="P2484" s="1435"/>
      <c r="Q2484" s="1436"/>
      <c r="R2484" s="753">
        <f t="shared" si="325"/>
        <v>0</v>
      </c>
      <c r="S2484" s="752">
        <f t="shared" si="326"/>
        <v>102102</v>
      </c>
      <c r="T2484" s="754">
        <f t="shared" si="327"/>
        <v>99759</v>
      </c>
      <c r="U2484" s="859"/>
      <c r="V2484" s="863"/>
      <c r="W2484" s="859"/>
      <c r="X2484" s="859"/>
      <c r="Y2484" s="755">
        <f t="shared" si="323"/>
        <v>0</v>
      </c>
      <c r="Z2484" s="864"/>
      <c r="AA2484" s="863"/>
      <c r="AB2484" s="756">
        <f t="shared" si="324"/>
        <v>0</v>
      </c>
      <c r="AC2484" s="859"/>
      <c r="AD2484" s="863"/>
      <c r="AE2484" s="859"/>
      <c r="AF2484" s="859"/>
      <c r="AG2484" s="864"/>
      <c r="AH2484" s="865"/>
      <c r="AI2484" s="757">
        <f t="shared" si="328"/>
        <v>102102</v>
      </c>
      <c r="AJ2484" s="758">
        <f t="shared" si="329"/>
        <v>99759</v>
      </c>
    </row>
    <row r="2485" spans="1:36" x14ac:dyDescent="0.2">
      <c r="A2485" s="1421" t="s">
        <v>146</v>
      </c>
      <c r="B2485" s="1293" t="s">
        <v>264</v>
      </c>
      <c r="C2485" s="1422" t="s">
        <v>1749</v>
      </c>
      <c r="D2485" s="1423"/>
      <c r="E2485" s="1424">
        <v>218681</v>
      </c>
      <c r="F2485" s="1259">
        <v>10</v>
      </c>
      <c r="G2485" s="859">
        <v>974631</v>
      </c>
      <c r="H2485" s="860">
        <v>974631</v>
      </c>
      <c r="I2485" s="861"/>
      <c r="J2485" s="862"/>
      <c r="K2485" s="859"/>
      <c r="L2485" s="863"/>
      <c r="M2485" s="859">
        <v>5686068</v>
      </c>
      <c r="N2485" s="859">
        <v>40156</v>
      </c>
      <c r="O2485" s="752">
        <f t="shared" si="322"/>
        <v>5726224</v>
      </c>
      <c r="P2485" s="1435">
        <v>5686068</v>
      </c>
      <c r="Q2485" s="1436">
        <v>40156</v>
      </c>
      <c r="R2485" s="753">
        <f t="shared" si="325"/>
        <v>5726224</v>
      </c>
      <c r="S2485" s="752">
        <f t="shared" si="326"/>
        <v>6660699</v>
      </c>
      <c r="T2485" s="754">
        <f t="shared" si="327"/>
        <v>6660699</v>
      </c>
      <c r="U2485" s="859"/>
      <c r="V2485" s="863"/>
      <c r="W2485" s="859"/>
      <c r="X2485" s="859"/>
      <c r="Y2485" s="755">
        <f t="shared" si="323"/>
        <v>0</v>
      </c>
      <c r="Z2485" s="864"/>
      <c r="AA2485" s="863"/>
      <c r="AB2485" s="756">
        <f t="shared" si="324"/>
        <v>0</v>
      </c>
      <c r="AC2485" s="859"/>
      <c r="AD2485" s="863"/>
      <c r="AE2485" s="859"/>
      <c r="AF2485" s="859"/>
      <c r="AG2485" s="864"/>
      <c r="AH2485" s="865"/>
      <c r="AI2485" s="757">
        <f t="shared" si="328"/>
        <v>6660699</v>
      </c>
      <c r="AJ2485" s="758">
        <f t="shared" si="329"/>
        <v>6660699</v>
      </c>
    </row>
    <row r="2486" spans="1:36" x14ac:dyDescent="0.2">
      <c r="A2486" s="1421" t="s">
        <v>146</v>
      </c>
      <c r="B2486" s="1293" t="s">
        <v>264</v>
      </c>
      <c r="C2486" s="1284" t="s">
        <v>1663</v>
      </c>
      <c r="D2486" s="1283"/>
      <c r="E2486" s="1424">
        <v>218681</v>
      </c>
      <c r="F2486" s="1259">
        <v>10</v>
      </c>
      <c r="G2486" s="859">
        <v>233366</v>
      </c>
      <c r="H2486" s="860">
        <v>248511</v>
      </c>
      <c r="I2486" s="861"/>
      <c r="J2486" s="862"/>
      <c r="K2486" s="859"/>
      <c r="L2486" s="863"/>
      <c r="M2486" s="859"/>
      <c r="N2486" s="859"/>
      <c r="O2486" s="752">
        <f t="shared" si="322"/>
        <v>0</v>
      </c>
      <c r="P2486" s="1435"/>
      <c r="Q2486" s="1436"/>
      <c r="R2486" s="753">
        <f t="shared" si="325"/>
        <v>0</v>
      </c>
      <c r="S2486" s="752">
        <f t="shared" si="326"/>
        <v>233366</v>
      </c>
      <c r="T2486" s="754">
        <f t="shared" si="327"/>
        <v>248511</v>
      </c>
      <c r="U2486" s="859"/>
      <c r="V2486" s="863"/>
      <c r="W2486" s="859"/>
      <c r="X2486" s="859"/>
      <c r="Y2486" s="755">
        <f t="shared" si="323"/>
        <v>0</v>
      </c>
      <c r="Z2486" s="864"/>
      <c r="AA2486" s="863"/>
      <c r="AB2486" s="756">
        <f t="shared" si="324"/>
        <v>0</v>
      </c>
      <c r="AC2486" s="859"/>
      <c r="AD2486" s="863"/>
      <c r="AE2486" s="859"/>
      <c r="AF2486" s="859"/>
      <c r="AG2486" s="864"/>
      <c r="AH2486" s="865"/>
      <c r="AI2486" s="757">
        <f t="shared" si="328"/>
        <v>233366</v>
      </c>
      <c r="AJ2486" s="758">
        <f t="shared" si="329"/>
        <v>248511</v>
      </c>
    </row>
    <row r="2487" spans="1:36" x14ac:dyDescent="0.2">
      <c r="A2487" s="1421" t="s">
        <v>146</v>
      </c>
      <c r="B2487" s="1293" t="s">
        <v>266</v>
      </c>
      <c r="C2487" s="1282" t="s">
        <v>319</v>
      </c>
      <c r="D2487" s="1283"/>
      <c r="E2487" s="1424">
        <v>218681</v>
      </c>
      <c r="F2487" s="1259">
        <v>10</v>
      </c>
      <c r="G2487" s="859"/>
      <c r="H2487" s="860"/>
      <c r="I2487" s="861"/>
      <c r="J2487" s="862"/>
      <c r="K2487" s="859"/>
      <c r="L2487" s="863"/>
      <c r="M2487" s="859"/>
      <c r="N2487" s="859"/>
      <c r="O2487" s="752">
        <f t="shared" si="322"/>
        <v>0</v>
      </c>
      <c r="P2487" s="1435"/>
      <c r="Q2487" s="1436"/>
      <c r="R2487" s="753">
        <f t="shared" si="325"/>
        <v>0</v>
      </c>
      <c r="S2487" s="752">
        <f t="shared" si="326"/>
        <v>0</v>
      </c>
      <c r="T2487" s="754">
        <f t="shared" si="327"/>
        <v>0</v>
      </c>
      <c r="U2487" s="859"/>
      <c r="V2487" s="863"/>
      <c r="W2487" s="859"/>
      <c r="X2487" s="859"/>
      <c r="Y2487" s="755">
        <f t="shared" si="323"/>
        <v>0</v>
      </c>
      <c r="Z2487" s="864"/>
      <c r="AA2487" s="863"/>
      <c r="AB2487" s="756">
        <f t="shared" si="324"/>
        <v>0</v>
      </c>
      <c r="AC2487" s="859"/>
      <c r="AD2487" s="863"/>
      <c r="AE2487" s="859"/>
      <c r="AF2487" s="859"/>
      <c r="AG2487" s="864"/>
      <c r="AH2487" s="865"/>
      <c r="AI2487" s="757">
        <f t="shared" si="328"/>
        <v>0</v>
      </c>
      <c r="AJ2487" s="758">
        <f t="shared" si="329"/>
        <v>0</v>
      </c>
    </row>
    <row r="2488" spans="1:36" x14ac:dyDescent="0.2">
      <c r="A2488" s="1421" t="s">
        <v>146</v>
      </c>
      <c r="B2488" s="1293" t="s">
        <v>266</v>
      </c>
      <c r="C2488" s="1284" t="s">
        <v>1750</v>
      </c>
      <c r="D2488" s="1283"/>
      <c r="E2488" s="1424">
        <v>218681</v>
      </c>
      <c r="F2488" s="1259">
        <v>10</v>
      </c>
      <c r="G2488" s="859"/>
      <c r="H2488" s="860"/>
      <c r="I2488" s="861">
        <v>100460</v>
      </c>
      <c r="J2488" s="862">
        <v>100460</v>
      </c>
      <c r="K2488" s="859"/>
      <c r="L2488" s="863"/>
      <c r="M2488" s="859"/>
      <c r="N2488" s="859"/>
      <c r="O2488" s="752">
        <f t="shared" si="322"/>
        <v>0</v>
      </c>
      <c r="P2488" s="1435"/>
      <c r="Q2488" s="1436"/>
      <c r="R2488" s="753">
        <f t="shared" si="325"/>
        <v>0</v>
      </c>
      <c r="S2488" s="752">
        <f t="shared" si="326"/>
        <v>100460</v>
      </c>
      <c r="T2488" s="754">
        <f t="shared" si="327"/>
        <v>100460</v>
      </c>
      <c r="U2488" s="859"/>
      <c r="V2488" s="863"/>
      <c r="W2488" s="859"/>
      <c r="X2488" s="859"/>
      <c r="Y2488" s="755">
        <f t="shared" si="323"/>
        <v>0</v>
      </c>
      <c r="Z2488" s="864"/>
      <c r="AA2488" s="863"/>
      <c r="AB2488" s="756">
        <f t="shared" si="324"/>
        <v>0</v>
      </c>
      <c r="AC2488" s="859"/>
      <c r="AD2488" s="863"/>
      <c r="AE2488" s="859"/>
      <c r="AF2488" s="859"/>
      <c r="AG2488" s="864"/>
      <c r="AH2488" s="865"/>
      <c r="AI2488" s="757">
        <f t="shared" si="328"/>
        <v>100460</v>
      </c>
      <c r="AJ2488" s="758">
        <f t="shared" si="329"/>
        <v>100460</v>
      </c>
    </row>
    <row r="2489" spans="1:36" x14ac:dyDescent="0.2">
      <c r="A2489" s="1421" t="s">
        <v>146</v>
      </c>
      <c r="B2489" s="1293" t="s">
        <v>272</v>
      </c>
      <c r="C2489" s="1282" t="s">
        <v>970</v>
      </c>
      <c r="D2489" s="1283"/>
      <c r="E2489" s="1424">
        <v>218681</v>
      </c>
      <c r="F2489" s="1259">
        <v>10</v>
      </c>
      <c r="G2489" s="859"/>
      <c r="H2489" s="860"/>
      <c r="I2489" s="861"/>
      <c r="J2489" s="862"/>
      <c r="K2489" s="859"/>
      <c r="L2489" s="863"/>
      <c r="M2489" s="859"/>
      <c r="N2489" s="859"/>
      <c r="O2489" s="752">
        <f t="shared" si="322"/>
        <v>0</v>
      </c>
      <c r="P2489" s="1435"/>
      <c r="Q2489" s="1436"/>
      <c r="R2489" s="753">
        <f t="shared" si="325"/>
        <v>0</v>
      </c>
      <c r="S2489" s="752">
        <f t="shared" si="326"/>
        <v>0</v>
      </c>
      <c r="T2489" s="754">
        <f t="shared" si="327"/>
        <v>0</v>
      </c>
      <c r="U2489" s="859"/>
      <c r="V2489" s="863"/>
      <c r="W2489" s="859"/>
      <c r="X2489" s="859"/>
      <c r="Y2489" s="755">
        <f t="shared" si="323"/>
        <v>0</v>
      </c>
      <c r="Z2489" s="864"/>
      <c r="AA2489" s="863"/>
      <c r="AB2489" s="756">
        <f t="shared" si="324"/>
        <v>0</v>
      </c>
      <c r="AC2489" s="859"/>
      <c r="AD2489" s="863"/>
      <c r="AE2489" s="859"/>
      <c r="AF2489" s="859"/>
      <c r="AG2489" s="864"/>
      <c r="AH2489" s="865"/>
      <c r="AI2489" s="757">
        <f t="shared" si="328"/>
        <v>0</v>
      </c>
      <c r="AJ2489" s="758">
        <f t="shared" si="329"/>
        <v>0</v>
      </c>
    </row>
    <row r="2490" spans="1:36" x14ac:dyDescent="0.2">
      <c r="A2490" s="1421" t="s">
        <v>146</v>
      </c>
      <c r="B2490" s="1293" t="s">
        <v>272</v>
      </c>
      <c r="C2490" s="1429" t="s">
        <v>1669</v>
      </c>
      <c r="D2490" s="1430"/>
      <c r="E2490" s="1424">
        <v>218681</v>
      </c>
      <c r="F2490" s="1259">
        <v>10</v>
      </c>
      <c r="G2490" s="859"/>
      <c r="H2490" s="860"/>
      <c r="I2490" s="861">
        <v>377806</v>
      </c>
      <c r="J2490" s="862"/>
      <c r="K2490" s="859"/>
      <c r="L2490" s="863"/>
      <c r="M2490" s="859"/>
      <c r="N2490" s="859"/>
      <c r="O2490" s="752">
        <f t="shared" si="322"/>
        <v>0</v>
      </c>
      <c r="P2490" s="1435"/>
      <c r="Q2490" s="1436"/>
      <c r="R2490" s="753">
        <f t="shared" si="325"/>
        <v>0</v>
      </c>
      <c r="S2490" s="752">
        <f t="shared" si="326"/>
        <v>377806</v>
      </c>
      <c r="T2490" s="754">
        <f t="shared" si="327"/>
        <v>0</v>
      </c>
      <c r="U2490" s="859"/>
      <c r="V2490" s="863"/>
      <c r="W2490" s="859"/>
      <c r="X2490" s="859"/>
      <c r="Y2490" s="755">
        <f t="shared" si="323"/>
        <v>0</v>
      </c>
      <c r="Z2490" s="864"/>
      <c r="AA2490" s="863"/>
      <c r="AB2490" s="756">
        <f t="shared" si="324"/>
        <v>0</v>
      </c>
      <c r="AC2490" s="859"/>
      <c r="AD2490" s="863"/>
      <c r="AE2490" s="859"/>
      <c r="AF2490" s="859"/>
      <c r="AG2490" s="864"/>
      <c r="AH2490" s="865"/>
      <c r="AI2490" s="757">
        <f t="shared" si="328"/>
        <v>377806</v>
      </c>
      <c r="AJ2490" s="758">
        <f t="shared" si="329"/>
        <v>0</v>
      </c>
    </row>
    <row r="2491" spans="1:36" x14ac:dyDescent="0.2">
      <c r="A2491" s="1421" t="s">
        <v>146</v>
      </c>
      <c r="B2491" s="1293" t="s">
        <v>272</v>
      </c>
      <c r="C2491" s="1429" t="s">
        <v>1748</v>
      </c>
      <c r="D2491" s="1430"/>
      <c r="E2491" s="1424">
        <v>218681</v>
      </c>
      <c r="F2491" s="1259">
        <v>10</v>
      </c>
      <c r="G2491" s="859"/>
      <c r="H2491" s="860"/>
      <c r="I2491" s="861"/>
      <c r="J2491" s="862">
        <v>118720</v>
      </c>
      <c r="K2491" s="859"/>
      <c r="L2491" s="863"/>
      <c r="M2491" s="859"/>
      <c r="N2491" s="859"/>
      <c r="O2491" s="752">
        <f t="shared" si="322"/>
        <v>0</v>
      </c>
      <c r="P2491" s="1435"/>
      <c r="Q2491" s="1436"/>
      <c r="R2491" s="753">
        <f t="shared" si="325"/>
        <v>0</v>
      </c>
      <c r="S2491" s="752">
        <f t="shared" si="326"/>
        <v>0</v>
      </c>
      <c r="T2491" s="754">
        <f t="shared" si="327"/>
        <v>118720</v>
      </c>
      <c r="U2491" s="859"/>
      <c r="V2491" s="863"/>
      <c r="W2491" s="859"/>
      <c r="X2491" s="859"/>
      <c r="Y2491" s="755">
        <f t="shared" si="323"/>
        <v>0</v>
      </c>
      <c r="Z2491" s="864"/>
      <c r="AA2491" s="863"/>
      <c r="AB2491" s="756">
        <f t="shared" si="324"/>
        <v>0</v>
      </c>
      <c r="AC2491" s="859"/>
      <c r="AD2491" s="863"/>
      <c r="AE2491" s="859"/>
      <c r="AF2491" s="859"/>
      <c r="AG2491" s="864"/>
      <c r="AH2491" s="865"/>
      <c r="AI2491" s="757">
        <f t="shared" si="328"/>
        <v>0</v>
      </c>
      <c r="AJ2491" s="758">
        <f t="shared" si="329"/>
        <v>118720</v>
      </c>
    </row>
    <row r="2492" spans="1:36" x14ac:dyDescent="0.2">
      <c r="A2492" s="1421" t="s">
        <v>146</v>
      </c>
      <c r="B2492" s="1293" t="s">
        <v>272</v>
      </c>
      <c r="C2492" s="1429" t="s">
        <v>1717</v>
      </c>
      <c r="D2492" s="1430"/>
      <c r="E2492" s="1424">
        <v>218681</v>
      </c>
      <c r="F2492" s="1259">
        <v>10</v>
      </c>
      <c r="G2492" s="859"/>
      <c r="H2492" s="860"/>
      <c r="I2492" s="861"/>
      <c r="J2492" s="862">
        <v>148500</v>
      </c>
      <c r="K2492" s="859"/>
      <c r="L2492" s="863"/>
      <c r="M2492" s="859"/>
      <c r="N2492" s="859"/>
      <c r="O2492" s="752">
        <f t="shared" si="322"/>
        <v>0</v>
      </c>
      <c r="P2492" s="1435"/>
      <c r="Q2492" s="1436"/>
      <c r="R2492" s="753">
        <f t="shared" si="325"/>
        <v>0</v>
      </c>
      <c r="S2492" s="752">
        <f t="shared" si="326"/>
        <v>0</v>
      </c>
      <c r="T2492" s="754">
        <f t="shared" si="327"/>
        <v>148500</v>
      </c>
      <c r="U2492" s="859"/>
      <c r="V2492" s="863"/>
      <c r="W2492" s="859"/>
      <c r="X2492" s="859"/>
      <c r="Y2492" s="755">
        <f t="shared" si="323"/>
        <v>0</v>
      </c>
      <c r="Z2492" s="864"/>
      <c r="AA2492" s="863"/>
      <c r="AB2492" s="756">
        <f t="shared" si="324"/>
        <v>0</v>
      </c>
      <c r="AC2492" s="859"/>
      <c r="AD2492" s="863"/>
      <c r="AE2492" s="859"/>
      <c r="AF2492" s="859"/>
      <c r="AG2492" s="864"/>
      <c r="AH2492" s="865"/>
      <c r="AI2492" s="757">
        <f t="shared" si="328"/>
        <v>0</v>
      </c>
      <c r="AJ2492" s="758">
        <f t="shared" si="329"/>
        <v>148500</v>
      </c>
    </row>
    <row r="2493" spans="1:36" x14ac:dyDescent="0.2">
      <c r="A2493" s="1421" t="s">
        <v>146</v>
      </c>
      <c r="B2493" s="1293" t="s">
        <v>272</v>
      </c>
      <c r="C2493" s="1429" t="s">
        <v>1670</v>
      </c>
      <c r="D2493" s="1430"/>
      <c r="E2493" s="1424">
        <v>218681</v>
      </c>
      <c r="F2493" s="1259">
        <v>10</v>
      </c>
      <c r="G2493" s="859"/>
      <c r="H2493" s="860"/>
      <c r="I2493" s="861"/>
      <c r="J2493" s="862">
        <v>56797</v>
      </c>
      <c r="K2493" s="859"/>
      <c r="L2493" s="863"/>
      <c r="M2493" s="859"/>
      <c r="N2493" s="859"/>
      <c r="O2493" s="752">
        <f t="shared" si="322"/>
        <v>0</v>
      </c>
      <c r="P2493" s="1435"/>
      <c r="Q2493" s="1436"/>
      <c r="R2493" s="753">
        <f t="shared" si="325"/>
        <v>0</v>
      </c>
      <c r="S2493" s="752">
        <f t="shared" si="326"/>
        <v>0</v>
      </c>
      <c r="T2493" s="754">
        <f t="shared" si="327"/>
        <v>56797</v>
      </c>
      <c r="U2493" s="859"/>
      <c r="V2493" s="863"/>
      <c r="W2493" s="859"/>
      <c r="X2493" s="859"/>
      <c r="Y2493" s="755">
        <f t="shared" si="323"/>
        <v>0</v>
      </c>
      <c r="Z2493" s="864"/>
      <c r="AA2493" s="863"/>
      <c r="AB2493" s="756">
        <f t="shared" si="324"/>
        <v>0</v>
      </c>
      <c r="AC2493" s="859"/>
      <c r="AD2493" s="863"/>
      <c r="AE2493" s="859"/>
      <c r="AF2493" s="859"/>
      <c r="AG2493" s="864"/>
      <c r="AH2493" s="865"/>
      <c r="AI2493" s="757">
        <f t="shared" si="328"/>
        <v>0</v>
      </c>
      <c r="AJ2493" s="758">
        <f t="shared" si="329"/>
        <v>56797</v>
      </c>
    </row>
    <row r="2494" spans="1:36" x14ac:dyDescent="0.2">
      <c r="A2494" s="1421" t="s">
        <v>146</v>
      </c>
      <c r="B2494" s="1293" t="s">
        <v>272</v>
      </c>
      <c r="C2494" s="1284" t="s">
        <v>1671</v>
      </c>
      <c r="D2494" s="1283"/>
      <c r="E2494" s="1424">
        <v>218681</v>
      </c>
      <c r="F2494" s="1259">
        <v>10</v>
      </c>
      <c r="G2494" s="859"/>
      <c r="H2494" s="860"/>
      <c r="I2494" s="861">
        <v>227</v>
      </c>
      <c r="J2494" s="862">
        <v>247</v>
      </c>
      <c r="K2494" s="859"/>
      <c r="L2494" s="863"/>
      <c r="M2494" s="859"/>
      <c r="N2494" s="859"/>
      <c r="O2494" s="752">
        <f t="shared" si="322"/>
        <v>0</v>
      </c>
      <c r="P2494" s="1435"/>
      <c r="Q2494" s="1436"/>
      <c r="R2494" s="753">
        <f t="shared" si="325"/>
        <v>0</v>
      </c>
      <c r="S2494" s="752">
        <f t="shared" si="326"/>
        <v>227</v>
      </c>
      <c r="T2494" s="754">
        <f t="shared" si="327"/>
        <v>247</v>
      </c>
      <c r="U2494" s="859"/>
      <c r="V2494" s="863"/>
      <c r="W2494" s="859"/>
      <c r="X2494" s="859"/>
      <c r="Y2494" s="755">
        <f t="shared" si="323"/>
        <v>0</v>
      </c>
      <c r="Z2494" s="864"/>
      <c r="AA2494" s="863"/>
      <c r="AB2494" s="756">
        <f t="shared" si="324"/>
        <v>0</v>
      </c>
      <c r="AC2494" s="859"/>
      <c r="AD2494" s="863"/>
      <c r="AE2494" s="859"/>
      <c r="AF2494" s="859"/>
      <c r="AG2494" s="864"/>
      <c r="AH2494" s="865"/>
      <c r="AI2494" s="757">
        <f t="shared" si="328"/>
        <v>227</v>
      </c>
      <c r="AJ2494" s="758">
        <f t="shared" si="329"/>
        <v>247</v>
      </c>
    </row>
    <row r="2495" spans="1:36" x14ac:dyDescent="0.2">
      <c r="A2495" s="1421" t="s">
        <v>146</v>
      </c>
      <c r="B2495" s="1293" t="s">
        <v>272</v>
      </c>
      <c r="C2495" s="1284" t="s">
        <v>1687</v>
      </c>
      <c r="D2495" s="1283"/>
      <c r="E2495" s="1424">
        <v>218681</v>
      </c>
      <c r="F2495" s="1259">
        <v>10</v>
      </c>
      <c r="G2495" s="859"/>
      <c r="H2495" s="860"/>
      <c r="I2495" s="861">
        <v>102102</v>
      </c>
      <c r="J2495" s="862">
        <v>99759</v>
      </c>
      <c r="K2495" s="859"/>
      <c r="L2495" s="863"/>
      <c r="M2495" s="859"/>
      <c r="N2495" s="859"/>
      <c r="O2495" s="752">
        <f t="shared" si="322"/>
        <v>0</v>
      </c>
      <c r="P2495" s="1435"/>
      <c r="Q2495" s="1436"/>
      <c r="R2495" s="753">
        <f t="shared" si="325"/>
        <v>0</v>
      </c>
      <c r="S2495" s="752">
        <f t="shared" si="326"/>
        <v>102102</v>
      </c>
      <c r="T2495" s="754">
        <f t="shared" si="327"/>
        <v>99759</v>
      </c>
      <c r="U2495" s="859"/>
      <c r="V2495" s="863"/>
      <c r="W2495" s="859"/>
      <c r="X2495" s="859"/>
      <c r="Y2495" s="755">
        <f t="shared" si="323"/>
        <v>0</v>
      </c>
      <c r="Z2495" s="864"/>
      <c r="AA2495" s="863"/>
      <c r="AB2495" s="756">
        <f t="shared" si="324"/>
        <v>0</v>
      </c>
      <c r="AC2495" s="859"/>
      <c r="AD2495" s="863"/>
      <c r="AE2495" s="859"/>
      <c r="AF2495" s="859"/>
      <c r="AG2495" s="864"/>
      <c r="AH2495" s="865"/>
      <c r="AI2495" s="757">
        <f t="shared" si="328"/>
        <v>102102</v>
      </c>
      <c r="AJ2495" s="758">
        <f t="shared" si="329"/>
        <v>99759</v>
      </c>
    </row>
    <row r="2496" spans="1:36" x14ac:dyDescent="0.2">
      <c r="A2496" s="1421" t="s">
        <v>146</v>
      </c>
      <c r="B2496" s="1293" t="s">
        <v>264</v>
      </c>
      <c r="C2496" s="1422" t="s">
        <v>1751</v>
      </c>
      <c r="D2496" s="1423"/>
      <c r="E2496" s="1424">
        <v>218690</v>
      </c>
      <c r="F2496" s="1259">
        <v>10</v>
      </c>
      <c r="G2496" s="859">
        <v>1954444</v>
      </c>
      <c r="H2496" s="860">
        <v>1954444</v>
      </c>
      <c r="I2496" s="861"/>
      <c r="J2496" s="862"/>
      <c r="K2496" s="859"/>
      <c r="L2496" s="863"/>
      <c r="M2496" s="859">
        <v>4618168</v>
      </c>
      <c r="N2496" s="859">
        <v>57686</v>
      </c>
      <c r="O2496" s="752">
        <f t="shared" si="322"/>
        <v>4675854</v>
      </c>
      <c r="P2496" s="1435">
        <v>4618168</v>
      </c>
      <c r="Q2496" s="1436">
        <v>57686</v>
      </c>
      <c r="R2496" s="753">
        <f t="shared" si="325"/>
        <v>4675854</v>
      </c>
      <c r="S2496" s="752">
        <f t="shared" si="326"/>
        <v>6572612</v>
      </c>
      <c r="T2496" s="754">
        <f t="shared" si="327"/>
        <v>6572612</v>
      </c>
      <c r="U2496" s="859"/>
      <c r="V2496" s="863"/>
      <c r="W2496" s="859"/>
      <c r="X2496" s="859"/>
      <c r="Y2496" s="755">
        <f t="shared" si="323"/>
        <v>0</v>
      </c>
      <c r="Z2496" s="864"/>
      <c r="AA2496" s="863"/>
      <c r="AB2496" s="756">
        <f t="shared" si="324"/>
        <v>0</v>
      </c>
      <c r="AC2496" s="859"/>
      <c r="AD2496" s="863"/>
      <c r="AE2496" s="859"/>
      <c r="AF2496" s="859"/>
      <c r="AG2496" s="864"/>
      <c r="AH2496" s="865"/>
      <c r="AI2496" s="757">
        <f t="shared" si="328"/>
        <v>6572612</v>
      </c>
      <c r="AJ2496" s="758">
        <f t="shared" si="329"/>
        <v>6572612</v>
      </c>
    </row>
    <row r="2497" spans="1:36" x14ac:dyDescent="0.2">
      <c r="A2497" s="1421" t="s">
        <v>146</v>
      </c>
      <c r="B2497" s="1293" t="s">
        <v>264</v>
      </c>
      <c r="C2497" s="1284" t="s">
        <v>1663</v>
      </c>
      <c r="D2497" s="1283"/>
      <c r="E2497" s="1424">
        <v>218690</v>
      </c>
      <c r="F2497" s="1259">
        <v>10</v>
      </c>
      <c r="G2497" s="859">
        <v>492333</v>
      </c>
      <c r="H2497" s="860">
        <v>525276</v>
      </c>
      <c r="I2497" s="861"/>
      <c r="J2497" s="862"/>
      <c r="K2497" s="859"/>
      <c r="L2497" s="863"/>
      <c r="M2497" s="859"/>
      <c r="N2497" s="859"/>
      <c r="O2497" s="752">
        <f t="shared" si="322"/>
        <v>0</v>
      </c>
      <c r="P2497" s="1435"/>
      <c r="Q2497" s="1436"/>
      <c r="R2497" s="753">
        <f t="shared" si="325"/>
        <v>0</v>
      </c>
      <c r="S2497" s="752">
        <f t="shared" si="326"/>
        <v>492333</v>
      </c>
      <c r="T2497" s="754">
        <f t="shared" si="327"/>
        <v>525276</v>
      </c>
      <c r="U2497" s="859"/>
      <c r="V2497" s="863"/>
      <c r="W2497" s="859"/>
      <c r="X2497" s="859"/>
      <c r="Y2497" s="755">
        <f t="shared" si="323"/>
        <v>0</v>
      </c>
      <c r="Z2497" s="864"/>
      <c r="AA2497" s="863"/>
      <c r="AB2497" s="756">
        <f t="shared" si="324"/>
        <v>0</v>
      </c>
      <c r="AC2497" s="859"/>
      <c r="AD2497" s="863"/>
      <c r="AE2497" s="859"/>
      <c r="AF2497" s="859"/>
      <c r="AG2497" s="864"/>
      <c r="AH2497" s="865"/>
      <c r="AI2497" s="757">
        <f t="shared" si="328"/>
        <v>492333</v>
      </c>
      <c r="AJ2497" s="758">
        <f t="shared" si="329"/>
        <v>525276</v>
      </c>
    </row>
    <row r="2498" spans="1:36" x14ac:dyDescent="0.2">
      <c r="A2498" s="1421" t="s">
        <v>146</v>
      </c>
      <c r="B2498" s="1293" t="s">
        <v>272</v>
      </c>
      <c r="C2498" s="1282" t="s">
        <v>970</v>
      </c>
      <c r="D2498" s="1283"/>
      <c r="E2498" s="1424">
        <v>218690</v>
      </c>
      <c r="F2498" s="1259">
        <v>10</v>
      </c>
      <c r="G2498" s="859"/>
      <c r="H2498" s="860"/>
      <c r="I2498" s="861"/>
      <c r="J2498" s="862"/>
      <c r="K2498" s="859"/>
      <c r="L2498" s="863"/>
      <c r="M2498" s="859"/>
      <c r="N2498" s="859"/>
      <c r="O2498" s="752">
        <f t="shared" si="322"/>
        <v>0</v>
      </c>
      <c r="P2498" s="1435"/>
      <c r="Q2498" s="1436"/>
      <c r="R2498" s="753">
        <f t="shared" si="325"/>
        <v>0</v>
      </c>
      <c r="S2498" s="752">
        <f t="shared" si="326"/>
        <v>0</v>
      </c>
      <c r="T2498" s="754">
        <f t="shared" si="327"/>
        <v>0</v>
      </c>
      <c r="U2498" s="859"/>
      <c r="V2498" s="863"/>
      <c r="W2498" s="859"/>
      <c r="X2498" s="859"/>
      <c r="Y2498" s="755">
        <f t="shared" si="323"/>
        <v>0</v>
      </c>
      <c r="Z2498" s="864"/>
      <c r="AA2498" s="863"/>
      <c r="AB2498" s="756">
        <f t="shared" si="324"/>
        <v>0</v>
      </c>
      <c r="AC2498" s="859"/>
      <c r="AD2498" s="863"/>
      <c r="AE2498" s="859"/>
      <c r="AF2498" s="859"/>
      <c r="AG2498" s="864"/>
      <c r="AH2498" s="865"/>
      <c r="AI2498" s="757">
        <f t="shared" si="328"/>
        <v>0</v>
      </c>
      <c r="AJ2498" s="758">
        <f t="shared" si="329"/>
        <v>0</v>
      </c>
    </row>
    <row r="2499" spans="1:36" x14ac:dyDescent="0.2">
      <c r="A2499" s="1421" t="s">
        <v>146</v>
      </c>
      <c r="B2499" s="1293" t="s">
        <v>272</v>
      </c>
      <c r="C2499" s="1429" t="s">
        <v>1669</v>
      </c>
      <c r="D2499" s="1430"/>
      <c r="E2499" s="1424">
        <v>218690</v>
      </c>
      <c r="F2499" s="1259">
        <v>10</v>
      </c>
      <c r="G2499" s="859"/>
      <c r="H2499" s="860"/>
      <c r="I2499" s="861">
        <v>481157</v>
      </c>
      <c r="J2499" s="862"/>
      <c r="K2499" s="859"/>
      <c r="L2499" s="863"/>
      <c r="M2499" s="859"/>
      <c r="N2499" s="859"/>
      <c r="O2499" s="752">
        <f t="shared" si="322"/>
        <v>0</v>
      </c>
      <c r="P2499" s="1435"/>
      <c r="Q2499" s="1436"/>
      <c r="R2499" s="753">
        <f t="shared" si="325"/>
        <v>0</v>
      </c>
      <c r="S2499" s="752">
        <f t="shared" si="326"/>
        <v>481157</v>
      </c>
      <c r="T2499" s="754">
        <f t="shared" si="327"/>
        <v>0</v>
      </c>
      <c r="U2499" s="859"/>
      <c r="V2499" s="863"/>
      <c r="W2499" s="859"/>
      <c r="X2499" s="859"/>
      <c r="Y2499" s="755">
        <f t="shared" si="323"/>
        <v>0</v>
      </c>
      <c r="Z2499" s="864"/>
      <c r="AA2499" s="863"/>
      <c r="AB2499" s="756">
        <f t="shared" si="324"/>
        <v>0</v>
      </c>
      <c r="AC2499" s="859"/>
      <c r="AD2499" s="863"/>
      <c r="AE2499" s="859"/>
      <c r="AF2499" s="859"/>
      <c r="AG2499" s="864"/>
      <c r="AH2499" s="865"/>
      <c r="AI2499" s="757">
        <f t="shared" si="328"/>
        <v>481157</v>
      </c>
      <c r="AJ2499" s="758">
        <f t="shared" si="329"/>
        <v>0</v>
      </c>
    </row>
    <row r="2500" spans="1:36" x14ac:dyDescent="0.2">
      <c r="A2500" s="1421" t="s">
        <v>146</v>
      </c>
      <c r="B2500" s="1293" t="s">
        <v>272</v>
      </c>
      <c r="C2500" s="1429" t="s">
        <v>1748</v>
      </c>
      <c r="D2500" s="1430"/>
      <c r="E2500" s="1424">
        <v>218690</v>
      </c>
      <c r="F2500" s="1259">
        <v>10</v>
      </c>
      <c r="G2500" s="859"/>
      <c r="H2500" s="860"/>
      <c r="I2500" s="861"/>
      <c r="J2500" s="862">
        <v>176270</v>
      </c>
      <c r="K2500" s="859"/>
      <c r="L2500" s="863"/>
      <c r="M2500" s="859"/>
      <c r="N2500" s="859"/>
      <c r="O2500" s="752">
        <f t="shared" si="322"/>
        <v>0</v>
      </c>
      <c r="P2500" s="1435"/>
      <c r="Q2500" s="1436"/>
      <c r="R2500" s="753">
        <f t="shared" si="325"/>
        <v>0</v>
      </c>
      <c r="S2500" s="752">
        <f t="shared" si="326"/>
        <v>0</v>
      </c>
      <c r="T2500" s="754">
        <f t="shared" si="327"/>
        <v>176270</v>
      </c>
      <c r="U2500" s="859"/>
      <c r="V2500" s="863"/>
      <c r="W2500" s="859"/>
      <c r="X2500" s="859"/>
      <c r="Y2500" s="755">
        <f t="shared" si="323"/>
        <v>0</v>
      </c>
      <c r="Z2500" s="864"/>
      <c r="AA2500" s="863"/>
      <c r="AB2500" s="756">
        <f t="shared" si="324"/>
        <v>0</v>
      </c>
      <c r="AC2500" s="859"/>
      <c r="AD2500" s="863"/>
      <c r="AE2500" s="859"/>
      <c r="AF2500" s="859"/>
      <c r="AG2500" s="864"/>
      <c r="AH2500" s="865"/>
      <c r="AI2500" s="757">
        <f t="shared" si="328"/>
        <v>0</v>
      </c>
      <c r="AJ2500" s="758">
        <f t="shared" si="329"/>
        <v>176270</v>
      </c>
    </row>
    <row r="2501" spans="1:36" x14ac:dyDescent="0.2">
      <c r="A2501" s="1421" t="s">
        <v>146</v>
      </c>
      <c r="B2501" s="1293" t="s">
        <v>272</v>
      </c>
      <c r="C2501" s="1429" t="s">
        <v>1717</v>
      </c>
      <c r="D2501" s="1430"/>
      <c r="E2501" s="1424">
        <v>218690</v>
      </c>
      <c r="F2501" s="1259">
        <v>10</v>
      </c>
      <c r="G2501" s="859"/>
      <c r="H2501" s="860"/>
      <c r="I2501" s="861"/>
      <c r="J2501" s="862">
        <v>148500</v>
      </c>
      <c r="K2501" s="859"/>
      <c r="L2501" s="863"/>
      <c r="M2501" s="859"/>
      <c r="N2501" s="859"/>
      <c r="O2501" s="752">
        <f t="shared" si="322"/>
        <v>0</v>
      </c>
      <c r="P2501" s="1435"/>
      <c r="Q2501" s="1436"/>
      <c r="R2501" s="753">
        <f t="shared" si="325"/>
        <v>0</v>
      </c>
      <c r="S2501" s="752">
        <f t="shared" si="326"/>
        <v>0</v>
      </c>
      <c r="T2501" s="754">
        <f t="shared" si="327"/>
        <v>148500</v>
      </c>
      <c r="U2501" s="859"/>
      <c r="V2501" s="863"/>
      <c r="W2501" s="859"/>
      <c r="X2501" s="859"/>
      <c r="Y2501" s="755">
        <f t="shared" si="323"/>
        <v>0</v>
      </c>
      <c r="Z2501" s="864"/>
      <c r="AA2501" s="863"/>
      <c r="AB2501" s="756">
        <f t="shared" si="324"/>
        <v>0</v>
      </c>
      <c r="AC2501" s="859"/>
      <c r="AD2501" s="863"/>
      <c r="AE2501" s="859"/>
      <c r="AF2501" s="859"/>
      <c r="AG2501" s="864"/>
      <c r="AH2501" s="865"/>
      <c r="AI2501" s="757">
        <f t="shared" si="328"/>
        <v>0</v>
      </c>
      <c r="AJ2501" s="758">
        <f t="shared" si="329"/>
        <v>148500</v>
      </c>
    </row>
    <row r="2502" spans="1:36" x14ac:dyDescent="0.2">
      <c r="A2502" s="1421" t="s">
        <v>146</v>
      </c>
      <c r="B2502" s="1293" t="s">
        <v>272</v>
      </c>
      <c r="C2502" s="1429" t="s">
        <v>1670</v>
      </c>
      <c r="D2502" s="1430"/>
      <c r="E2502" s="1424">
        <v>218690</v>
      </c>
      <c r="F2502" s="1259">
        <v>10</v>
      </c>
      <c r="G2502" s="859"/>
      <c r="H2502" s="860"/>
      <c r="I2502" s="861"/>
      <c r="J2502" s="862">
        <v>106232</v>
      </c>
      <c r="K2502" s="859"/>
      <c r="L2502" s="863"/>
      <c r="M2502" s="859"/>
      <c r="N2502" s="859"/>
      <c r="O2502" s="752">
        <f t="shared" si="322"/>
        <v>0</v>
      </c>
      <c r="P2502" s="1435"/>
      <c r="Q2502" s="1436"/>
      <c r="R2502" s="753">
        <f t="shared" si="325"/>
        <v>0</v>
      </c>
      <c r="S2502" s="752">
        <f t="shared" si="326"/>
        <v>0</v>
      </c>
      <c r="T2502" s="754">
        <f t="shared" si="327"/>
        <v>106232</v>
      </c>
      <c r="U2502" s="859"/>
      <c r="V2502" s="863"/>
      <c r="W2502" s="859"/>
      <c r="X2502" s="859"/>
      <c r="Y2502" s="755">
        <f t="shared" si="323"/>
        <v>0</v>
      </c>
      <c r="Z2502" s="864"/>
      <c r="AA2502" s="863"/>
      <c r="AB2502" s="756">
        <f t="shared" si="324"/>
        <v>0</v>
      </c>
      <c r="AC2502" s="859"/>
      <c r="AD2502" s="863"/>
      <c r="AE2502" s="859"/>
      <c r="AF2502" s="859"/>
      <c r="AG2502" s="864"/>
      <c r="AH2502" s="865"/>
      <c r="AI2502" s="757">
        <f t="shared" si="328"/>
        <v>0</v>
      </c>
      <c r="AJ2502" s="758">
        <f t="shared" si="329"/>
        <v>106232</v>
      </c>
    </row>
    <row r="2503" spans="1:36" x14ac:dyDescent="0.2">
      <c r="A2503" s="1421" t="s">
        <v>146</v>
      </c>
      <c r="B2503" s="1293" t="s">
        <v>272</v>
      </c>
      <c r="C2503" s="1284" t="s">
        <v>1671</v>
      </c>
      <c r="D2503" s="1283"/>
      <c r="E2503" s="1424">
        <v>218690</v>
      </c>
      <c r="F2503" s="1259">
        <v>10</v>
      </c>
      <c r="G2503" s="859"/>
      <c r="H2503" s="860"/>
      <c r="I2503" s="861">
        <v>881</v>
      </c>
      <c r="J2503" s="862">
        <v>792</v>
      </c>
      <c r="K2503" s="859"/>
      <c r="L2503" s="863"/>
      <c r="M2503" s="859"/>
      <c r="N2503" s="859"/>
      <c r="O2503" s="752">
        <f t="shared" si="322"/>
        <v>0</v>
      </c>
      <c r="P2503" s="1435"/>
      <c r="Q2503" s="1436"/>
      <c r="R2503" s="753">
        <f t="shared" si="325"/>
        <v>0</v>
      </c>
      <c r="S2503" s="752">
        <f t="shared" si="326"/>
        <v>881</v>
      </c>
      <c r="T2503" s="754">
        <f t="shared" si="327"/>
        <v>792</v>
      </c>
      <c r="U2503" s="859"/>
      <c r="V2503" s="863"/>
      <c r="W2503" s="859"/>
      <c r="X2503" s="859"/>
      <c r="Y2503" s="755">
        <f t="shared" si="323"/>
        <v>0</v>
      </c>
      <c r="Z2503" s="864"/>
      <c r="AA2503" s="863"/>
      <c r="AB2503" s="756">
        <f t="shared" si="324"/>
        <v>0</v>
      </c>
      <c r="AC2503" s="859"/>
      <c r="AD2503" s="863"/>
      <c r="AE2503" s="859"/>
      <c r="AF2503" s="859"/>
      <c r="AG2503" s="864"/>
      <c r="AH2503" s="865"/>
      <c r="AI2503" s="757">
        <f t="shared" si="328"/>
        <v>881</v>
      </c>
      <c r="AJ2503" s="758">
        <f t="shared" si="329"/>
        <v>792</v>
      </c>
    </row>
    <row r="2504" spans="1:36" x14ac:dyDescent="0.2">
      <c r="A2504" s="1421" t="s">
        <v>146</v>
      </c>
      <c r="B2504" s="1293" t="s">
        <v>272</v>
      </c>
      <c r="C2504" s="1284" t="s">
        <v>1687</v>
      </c>
      <c r="D2504" s="1283"/>
      <c r="E2504" s="1424">
        <v>218690</v>
      </c>
      <c r="F2504" s="1259">
        <v>10</v>
      </c>
      <c r="G2504" s="859"/>
      <c r="H2504" s="860"/>
      <c r="I2504" s="861">
        <v>102102</v>
      </c>
      <c r="J2504" s="862">
        <v>99759</v>
      </c>
      <c r="K2504" s="859"/>
      <c r="L2504" s="863"/>
      <c r="M2504" s="859"/>
      <c r="N2504" s="859"/>
      <c r="O2504" s="752">
        <f t="shared" si="322"/>
        <v>0</v>
      </c>
      <c r="P2504" s="1435"/>
      <c r="Q2504" s="1436"/>
      <c r="R2504" s="753">
        <f t="shared" si="325"/>
        <v>0</v>
      </c>
      <c r="S2504" s="752">
        <f t="shared" si="326"/>
        <v>102102</v>
      </c>
      <c r="T2504" s="754">
        <f t="shared" si="327"/>
        <v>99759</v>
      </c>
      <c r="U2504" s="859"/>
      <c r="V2504" s="863"/>
      <c r="W2504" s="859"/>
      <c r="X2504" s="859"/>
      <c r="Y2504" s="755">
        <f t="shared" si="323"/>
        <v>0</v>
      </c>
      <c r="Z2504" s="864"/>
      <c r="AA2504" s="863"/>
      <c r="AB2504" s="756">
        <f t="shared" si="324"/>
        <v>0</v>
      </c>
      <c r="AC2504" s="859"/>
      <c r="AD2504" s="863"/>
      <c r="AE2504" s="859"/>
      <c r="AF2504" s="859"/>
      <c r="AG2504" s="864"/>
      <c r="AH2504" s="865"/>
      <c r="AI2504" s="757">
        <f t="shared" si="328"/>
        <v>102102</v>
      </c>
      <c r="AJ2504" s="758">
        <f t="shared" si="329"/>
        <v>99759</v>
      </c>
    </row>
    <row r="2505" spans="1:36" x14ac:dyDescent="0.2">
      <c r="A2505" s="1421" t="s">
        <v>146</v>
      </c>
      <c r="B2505" s="1293" t="s">
        <v>264</v>
      </c>
      <c r="C2505" s="1422" t="s">
        <v>1752</v>
      </c>
      <c r="D2505" s="1423"/>
      <c r="E2505" s="1424">
        <v>218706</v>
      </c>
      <c r="F2505" s="1259">
        <v>10</v>
      </c>
      <c r="G2505" s="859">
        <v>487317</v>
      </c>
      <c r="H2505" s="860">
        <v>487317</v>
      </c>
      <c r="I2505" s="861"/>
      <c r="J2505" s="862"/>
      <c r="K2505" s="859"/>
      <c r="L2505" s="863"/>
      <c r="M2505" s="859">
        <v>2365634</v>
      </c>
      <c r="N2505" s="859">
        <v>23361</v>
      </c>
      <c r="O2505" s="752">
        <f t="shared" si="322"/>
        <v>2388995</v>
      </c>
      <c r="P2505" s="1435">
        <v>2365634</v>
      </c>
      <c r="Q2505" s="1436">
        <v>23361</v>
      </c>
      <c r="R2505" s="753">
        <f t="shared" si="325"/>
        <v>2388995</v>
      </c>
      <c r="S2505" s="752">
        <f t="shared" si="326"/>
        <v>2852951</v>
      </c>
      <c r="T2505" s="754">
        <f t="shared" si="327"/>
        <v>2852951</v>
      </c>
      <c r="U2505" s="859"/>
      <c r="V2505" s="863"/>
      <c r="W2505" s="859"/>
      <c r="X2505" s="859"/>
      <c r="Y2505" s="755">
        <f t="shared" si="323"/>
        <v>0</v>
      </c>
      <c r="Z2505" s="864"/>
      <c r="AA2505" s="863"/>
      <c r="AB2505" s="756">
        <f t="shared" si="324"/>
        <v>0</v>
      </c>
      <c r="AC2505" s="859"/>
      <c r="AD2505" s="863"/>
      <c r="AE2505" s="859"/>
      <c r="AF2505" s="859"/>
      <c r="AG2505" s="864"/>
      <c r="AH2505" s="865"/>
      <c r="AI2505" s="757">
        <f t="shared" si="328"/>
        <v>2852951</v>
      </c>
      <c r="AJ2505" s="758">
        <f t="shared" si="329"/>
        <v>2852951</v>
      </c>
    </row>
    <row r="2506" spans="1:36" x14ac:dyDescent="0.2">
      <c r="A2506" s="1421" t="s">
        <v>146</v>
      </c>
      <c r="B2506" s="1293" t="s">
        <v>264</v>
      </c>
      <c r="C2506" s="1284" t="s">
        <v>1663</v>
      </c>
      <c r="D2506" s="1283"/>
      <c r="E2506" s="1424">
        <v>218706</v>
      </c>
      <c r="F2506" s="1259">
        <v>10</v>
      </c>
      <c r="G2506" s="859">
        <v>112435</v>
      </c>
      <c r="H2506" s="860">
        <v>121815</v>
      </c>
      <c r="I2506" s="861"/>
      <c r="J2506" s="862"/>
      <c r="K2506" s="859"/>
      <c r="L2506" s="863"/>
      <c r="M2506" s="859"/>
      <c r="N2506" s="859"/>
      <c r="O2506" s="752">
        <f t="shared" si="322"/>
        <v>0</v>
      </c>
      <c r="P2506" s="1435"/>
      <c r="Q2506" s="1436"/>
      <c r="R2506" s="753">
        <f t="shared" si="325"/>
        <v>0</v>
      </c>
      <c r="S2506" s="752">
        <f t="shared" si="326"/>
        <v>112435</v>
      </c>
      <c r="T2506" s="754">
        <f t="shared" si="327"/>
        <v>121815</v>
      </c>
      <c r="U2506" s="859"/>
      <c r="V2506" s="863"/>
      <c r="W2506" s="859"/>
      <c r="X2506" s="859"/>
      <c r="Y2506" s="755">
        <f t="shared" si="323"/>
        <v>0</v>
      </c>
      <c r="Z2506" s="864"/>
      <c r="AA2506" s="863"/>
      <c r="AB2506" s="756">
        <f t="shared" si="324"/>
        <v>0</v>
      </c>
      <c r="AC2506" s="859"/>
      <c r="AD2506" s="863"/>
      <c r="AE2506" s="859"/>
      <c r="AF2506" s="859"/>
      <c r="AG2506" s="864"/>
      <c r="AH2506" s="865"/>
      <c r="AI2506" s="757">
        <f t="shared" si="328"/>
        <v>112435</v>
      </c>
      <c r="AJ2506" s="758">
        <f t="shared" si="329"/>
        <v>121815</v>
      </c>
    </row>
    <row r="2507" spans="1:36" x14ac:dyDescent="0.2">
      <c r="A2507" s="1421" t="s">
        <v>146</v>
      </c>
      <c r="B2507" s="1293" t="s">
        <v>272</v>
      </c>
      <c r="C2507" s="1282" t="s">
        <v>970</v>
      </c>
      <c r="D2507" s="1283"/>
      <c r="E2507" s="1424">
        <v>218706</v>
      </c>
      <c r="F2507" s="1259">
        <v>10</v>
      </c>
      <c r="G2507" s="859"/>
      <c r="H2507" s="860"/>
      <c r="I2507" s="861"/>
      <c r="J2507" s="862"/>
      <c r="K2507" s="859"/>
      <c r="L2507" s="863"/>
      <c r="M2507" s="859"/>
      <c r="N2507" s="859"/>
      <c r="O2507" s="752">
        <f t="shared" ref="O2507:O2570" si="330">SUM(M2507:N2507)</f>
        <v>0</v>
      </c>
      <c r="P2507" s="1435"/>
      <c r="Q2507" s="1436"/>
      <c r="R2507" s="753">
        <f t="shared" si="325"/>
        <v>0</v>
      </c>
      <c r="S2507" s="752">
        <f t="shared" si="326"/>
        <v>0</v>
      </c>
      <c r="T2507" s="754">
        <f t="shared" si="327"/>
        <v>0</v>
      </c>
      <c r="U2507" s="859"/>
      <c r="V2507" s="863"/>
      <c r="W2507" s="859"/>
      <c r="X2507" s="859"/>
      <c r="Y2507" s="755">
        <f t="shared" ref="Y2507:Y2570" si="331">SUM(W2507:X2507)</f>
        <v>0</v>
      </c>
      <c r="Z2507" s="864"/>
      <c r="AA2507" s="863"/>
      <c r="AB2507" s="756">
        <f t="shared" ref="AB2507:AB2570" si="332">SUM(Z2507:AA2507)</f>
        <v>0</v>
      </c>
      <c r="AC2507" s="859"/>
      <c r="AD2507" s="863"/>
      <c r="AE2507" s="859"/>
      <c r="AF2507" s="859"/>
      <c r="AG2507" s="864"/>
      <c r="AH2507" s="865"/>
      <c r="AI2507" s="757">
        <f t="shared" si="328"/>
        <v>0</v>
      </c>
      <c r="AJ2507" s="758">
        <f t="shared" si="329"/>
        <v>0</v>
      </c>
    </row>
    <row r="2508" spans="1:36" x14ac:dyDescent="0.2">
      <c r="A2508" s="1421" t="s">
        <v>146</v>
      </c>
      <c r="B2508" s="1293" t="s">
        <v>272</v>
      </c>
      <c r="C2508" s="1429" t="s">
        <v>1669</v>
      </c>
      <c r="D2508" s="1430"/>
      <c r="E2508" s="1424">
        <v>218706</v>
      </c>
      <c r="F2508" s="1259">
        <v>10</v>
      </c>
      <c r="G2508" s="859"/>
      <c r="H2508" s="860"/>
      <c r="I2508" s="861">
        <v>81001</v>
      </c>
      <c r="J2508" s="862"/>
      <c r="K2508" s="859"/>
      <c r="L2508" s="863"/>
      <c r="M2508" s="859"/>
      <c r="N2508" s="859"/>
      <c r="O2508" s="752">
        <f t="shared" si="330"/>
        <v>0</v>
      </c>
      <c r="P2508" s="1435"/>
      <c r="Q2508" s="1436"/>
      <c r="R2508" s="753">
        <f t="shared" ref="R2508:R2571" si="333">SUM(P2508:Q2508)</f>
        <v>0</v>
      </c>
      <c r="S2508" s="752">
        <f t="shared" ref="S2508:S2571" si="334">SUM(G2508,I2508,K2508,M2508)</f>
        <v>81001</v>
      </c>
      <c r="T2508" s="754">
        <f t="shared" ref="T2508:T2571" si="335">SUM(H2508,J2508,L2508,P2508)</f>
        <v>0</v>
      </c>
      <c r="U2508" s="859"/>
      <c r="V2508" s="863"/>
      <c r="W2508" s="859"/>
      <c r="X2508" s="859"/>
      <c r="Y2508" s="755">
        <f t="shared" si="331"/>
        <v>0</v>
      </c>
      <c r="Z2508" s="864"/>
      <c r="AA2508" s="863"/>
      <c r="AB2508" s="756">
        <f t="shared" si="332"/>
        <v>0</v>
      </c>
      <c r="AC2508" s="859"/>
      <c r="AD2508" s="863"/>
      <c r="AE2508" s="859"/>
      <c r="AF2508" s="859"/>
      <c r="AG2508" s="864"/>
      <c r="AH2508" s="865"/>
      <c r="AI2508" s="757">
        <f t="shared" ref="AI2508:AI2571" si="336">SUM(S2508,U2508,W2508,AC2508,AE2508)</f>
        <v>81001</v>
      </c>
      <c r="AJ2508" s="758">
        <f t="shared" ref="AJ2508:AJ2571" si="337">SUM(T2508,V2508,Z2508,AD2508,AG2508)</f>
        <v>0</v>
      </c>
    </row>
    <row r="2509" spans="1:36" x14ac:dyDescent="0.2">
      <c r="A2509" s="1421" t="s">
        <v>146</v>
      </c>
      <c r="B2509" s="1293" t="s">
        <v>272</v>
      </c>
      <c r="C2509" s="1429" t="s">
        <v>1748</v>
      </c>
      <c r="D2509" s="1430"/>
      <c r="E2509" s="1424">
        <v>218706</v>
      </c>
      <c r="F2509" s="1259">
        <v>10</v>
      </c>
      <c r="G2509" s="859"/>
      <c r="H2509" s="860"/>
      <c r="I2509" s="861"/>
      <c r="J2509" s="862">
        <v>59360</v>
      </c>
      <c r="K2509" s="859"/>
      <c r="L2509" s="863"/>
      <c r="M2509" s="859"/>
      <c r="N2509" s="859"/>
      <c r="O2509" s="752">
        <f t="shared" si="330"/>
        <v>0</v>
      </c>
      <c r="P2509" s="1435"/>
      <c r="Q2509" s="1436"/>
      <c r="R2509" s="753">
        <f t="shared" si="333"/>
        <v>0</v>
      </c>
      <c r="S2509" s="752">
        <f t="shared" si="334"/>
        <v>0</v>
      </c>
      <c r="T2509" s="754">
        <f t="shared" si="335"/>
        <v>59360</v>
      </c>
      <c r="U2509" s="859"/>
      <c r="V2509" s="863"/>
      <c r="W2509" s="859"/>
      <c r="X2509" s="859"/>
      <c r="Y2509" s="755">
        <f t="shared" si="331"/>
        <v>0</v>
      </c>
      <c r="Z2509" s="864"/>
      <c r="AA2509" s="863"/>
      <c r="AB2509" s="756">
        <f t="shared" si="332"/>
        <v>0</v>
      </c>
      <c r="AC2509" s="859"/>
      <c r="AD2509" s="863"/>
      <c r="AE2509" s="859"/>
      <c r="AF2509" s="859"/>
      <c r="AG2509" s="864"/>
      <c r="AH2509" s="865"/>
      <c r="AI2509" s="757">
        <f t="shared" si="336"/>
        <v>0</v>
      </c>
      <c r="AJ2509" s="758">
        <f t="shared" si="337"/>
        <v>59360</v>
      </c>
    </row>
    <row r="2510" spans="1:36" x14ac:dyDescent="0.2">
      <c r="A2510" s="1421" t="s">
        <v>146</v>
      </c>
      <c r="B2510" s="1293" t="s">
        <v>272</v>
      </c>
      <c r="C2510" s="1429" t="s">
        <v>1717</v>
      </c>
      <c r="D2510" s="1430"/>
      <c r="E2510" s="1424">
        <v>218706</v>
      </c>
      <c r="F2510" s="1259">
        <v>10</v>
      </c>
      <c r="G2510" s="859"/>
      <c r="H2510" s="860"/>
      <c r="I2510" s="861"/>
      <c r="J2510" s="862">
        <v>148500</v>
      </c>
      <c r="K2510" s="859"/>
      <c r="L2510" s="863"/>
      <c r="M2510" s="859"/>
      <c r="N2510" s="859"/>
      <c r="O2510" s="752">
        <f t="shared" si="330"/>
        <v>0</v>
      </c>
      <c r="P2510" s="1435"/>
      <c r="Q2510" s="1436"/>
      <c r="R2510" s="753">
        <f t="shared" si="333"/>
        <v>0</v>
      </c>
      <c r="S2510" s="752">
        <f t="shared" si="334"/>
        <v>0</v>
      </c>
      <c r="T2510" s="754">
        <f t="shared" si="335"/>
        <v>148500</v>
      </c>
      <c r="U2510" s="859"/>
      <c r="V2510" s="863"/>
      <c r="W2510" s="859"/>
      <c r="X2510" s="859"/>
      <c r="Y2510" s="755">
        <f t="shared" si="331"/>
        <v>0</v>
      </c>
      <c r="Z2510" s="864"/>
      <c r="AA2510" s="863"/>
      <c r="AB2510" s="756">
        <f t="shared" si="332"/>
        <v>0</v>
      </c>
      <c r="AC2510" s="859"/>
      <c r="AD2510" s="863"/>
      <c r="AE2510" s="859"/>
      <c r="AF2510" s="859"/>
      <c r="AG2510" s="864"/>
      <c r="AH2510" s="865"/>
      <c r="AI2510" s="757">
        <f t="shared" si="336"/>
        <v>0</v>
      </c>
      <c r="AJ2510" s="758">
        <f t="shared" si="337"/>
        <v>148500</v>
      </c>
    </row>
    <row r="2511" spans="1:36" x14ac:dyDescent="0.2">
      <c r="A2511" s="1421" t="s">
        <v>146</v>
      </c>
      <c r="B2511" s="1293" t="s">
        <v>272</v>
      </c>
      <c r="C2511" s="1429" t="s">
        <v>1670</v>
      </c>
      <c r="D2511" s="1430"/>
      <c r="E2511" s="1424">
        <v>218706</v>
      </c>
      <c r="F2511" s="1259">
        <v>10</v>
      </c>
      <c r="G2511" s="859"/>
      <c r="H2511" s="860"/>
      <c r="I2511" s="861"/>
      <c r="J2511" s="862">
        <v>26047</v>
      </c>
      <c r="K2511" s="859"/>
      <c r="L2511" s="863"/>
      <c r="M2511" s="859"/>
      <c r="N2511" s="859"/>
      <c r="O2511" s="752">
        <f t="shared" si="330"/>
        <v>0</v>
      </c>
      <c r="P2511" s="1435"/>
      <c r="Q2511" s="1436"/>
      <c r="R2511" s="753">
        <f t="shared" si="333"/>
        <v>0</v>
      </c>
      <c r="S2511" s="752">
        <f t="shared" si="334"/>
        <v>0</v>
      </c>
      <c r="T2511" s="754">
        <f t="shared" si="335"/>
        <v>26047</v>
      </c>
      <c r="U2511" s="859"/>
      <c r="V2511" s="863"/>
      <c r="W2511" s="859"/>
      <c r="X2511" s="859"/>
      <c r="Y2511" s="755">
        <f t="shared" si="331"/>
        <v>0</v>
      </c>
      <c r="Z2511" s="864"/>
      <c r="AA2511" s="863"/>
      <c r="AB2511" s="756">
        <f t="shared" si="332"/>
        <v>0</v>
      </c>
      <c r="AC2511" s="859"/>
      <c r="AD2511" s="863"/>
      <c r="AE2511" s="859"/>
      <c r="AF2511" s="859"/>
      <c r="AG2511" s="864"/>
      <c r="AH2511" s="865"/>
      <c r="AI2511" s="757">
        <f t="shared" si="336"/>
        <v>0</v>
      </c>
      <c r="AJ2511" s="758">
        <f t="shared" si="337"/>
        <v>26047</v>
      </c>
    </row>
    <row r="2512" spans="1:36" x14ac:dyDescent="0.2">
      <c r="A2512" s="1421" t="s">
        <v>146</v>
      </c>
      <c r="B2512" s="1293" t="s">
        <v>272</v>
      </c>
      <c r="C2512" s="1284" t="s">
        <v>1671</v>
      </c>
      <c r="D2512" s="1283"/>
      <c r="E2512" s="1424">
        <v>218706</v>
      </c>
      <c r="F2512" s="1259">
        <v>10</v>
      </c>
      <c r="G2512" s="859"/>
      <c r="H2512" s="860"/>
      <c r="I2512" s="861">
        <v>277</v>
      </c>
      <c r="J2512" s="862">
        <v>248</v>
      </c>
      <c r="K2512" s="859"/>
      <c r="L2512" s="863"/>
      <c r="M2512" s="859"/>
      <c r="N2512" s="859"/>
      <c r="O2512" s="752">
        <f t="shared" si="330"/>
        <v>0</v>
      </c>
      <c r="P2512" s="1435"/>
      <c r="Q2512" s="1436"/>
      <c r="R2512" s="753">
        <f t="shared" si="333"/>
        <v>0</v>
      </c>
      <c r="S2512" s="752">
        <f t="shared" si="334"/>
        <v>277</v>
      </c>
      <c r="T2512" s="754">
        <f t="shared" si="335"/>
        <v>248</v>
      </c>
      <c r="U2512" s="859"/>
      <c r="V2512" s="863"/>
      <c r="W2512" s="859"/>
      <c r="X2512" s="859"/>
      <c r="Y2512" s="755">
        <f t="shared" si="331"/>
        <v>0</v>
      </c>
      <c r="Z2512" s="864"/>
      <c r="AA2512" s="863"/>
      <c r="AB2512" s="756">
        <f t="shared" si="332"/>
        <v>0</v>
      </c>
      <c r="AC2512" s="859"/>
      <c r="AD2512" s="863"/>
      <c r="AE2512" s="859"/>
      <c r="AF2512" s="859"/>
      <c r="AG2512" s="864"/>
      <c r="AH2512" s="865"/>
      <c r="AI2512" s="757">
        <f t="shared" si="336"/>
        <v>277</v>
      </c>
      <c r="AJ2512" s="758">
        <f t="shared" si="337"/>
        <v>248</v>
      </c>
    </row>
    <row r="2513" spans="1:36" x14ac:dyDescent="0.2">
      <c r="A2513" s="1421" t="s">
        <v>146</v>
      </c>
      <c r="B2513" s="1293" t="s">
        <v>272</v>
      </c>
      <c r="C2513" s="1284" t="s">
        <v>1687</v>
      </c>
      <c r="D2513" s="1283"/>
      <c r="E2513" s="1424">
        <v>218706</v>
      </c>
      <c r="F2513" s="1259">
        <v>10</v>
      </c>
      <c r="G2513" s="859"/>
      <c r="H2513" s="860"/>
      <c r="I2513" s="861">
        <v>102102</v>
      </c>
      <c r="J2513" s="862">
        <v>99759</v>
      </c>
      <c r="K2513" s="859"/>
      <c r="L2513" s="863"/>
      <c r="M2513" s="859"/>
      <c r="N2513" s="859"/>
      <c r="O2513" s="752">
        <f t="shared" si="330"/>
        <v>0</v>
      </c>
      <c r="P2513" s="1435"/>
      <c r="Q2513" s="1436"/>
      <c r="R2513" s="753">
        <f t="shared" si="333"/>
        <v>0</v>
      </c>
      <c r="S2513" s="752">
        <f t="shared" si="334"/>
        <v>102102</v>
      </c>
      <c r="T2513" s="754">
        <f t="shared" si="335"/>
        <v>99759</v>
      </c>
      <c r="U2513" s="859"/>
      <c r="V2513" s="863"/>
      <c r="W2513" s="859"/>
      <c r="X2513" s="859"/>
      <c r="Y2513" s="755">
        <f t="shared" si="331"/>
        <v>0</v>
      </c>
      <c r="Z2513" s="864"/>
      <c r="AA2513" s="863"/>
      <c r="AB2513" s="756">
        <f t="shared" si="332"/>
        <v>0</v>
      </c>
      <c r="AC2513" s="859"/>
      <c r="AD2513" s="863"/>
      <c r="AE2513" s="859"/>
      <c r="AF2513" s="859"/>
      <c r="AG2513" s="864"/>
      <c r="AH2513" s="865"/>
      <c r="AI2513" s="757">
        <f t="shared" si="336"/>
        <v>102102</v>
      </c>
      <c r="AJ2513" s="758">
        <f t="shared" si="337"/>
        <v>99759</v>
      </c>
    </row>
    <row r="2514" spans="1:36" x14ac:dyDescent="0.2">
      <c r="A2514" s="1421" t="s">
        <v>146</v>
      </c>
      <c r="B2514" s="1293" t="s">
        <v>264</v>
      </c>
      <c r="C2514" s="1422" t="s">
        <v>1753</v>
      </c>
      <c r="D2514" s="1423"/>
      <c r="E2514" s="1424">
        <v>218955</v>
      </c>
      <c r="F2514" s="1259">
        <v>10</v>
      </c>
      <c r="G2514" s="859">
        <v>1371689</v>
      </c>
      <c r="H2514" s="860">
        <v>1308221</v>
      </c>
      <c r="I2514" s="861"/>
      <c r="J2514" s="862"/>
      <c r="K2514" s="859">
        <v>976932</v>
      </c>
      <c r="L2514" s="863">
        <v>976932</v>
      </c>
      <c r="M2514" s="859">
        <v>2120862</v>
      </c>
      <c r="N2514" s="859">
        <v>0</v>
      </c>
      <c r="O2514" s="752">
        <f t="shared" si="330"/>
        <v>2120862</v>
      </c>
      <c r="P2514" s="1435">
        <v>2120862</v>
      </c>
      <c r="Q2514" s="1436">
        <v>0</v>
      </c>
      <c r="R2514" s="753">
        <f t="shared" si="333"/>
        <v>2120862</v>
      </c>
      <c r="S2514" s="752">
        <f t="shared" si="334"/>
        <v>4469483</v>
      </c>
      <c r="T2514" s="754">
        <f t="shared" si="335"/>
        <v>4406015</v>
      </c>
      <c r="U2514" s="859"/>
      <c r="V2514" s="863"/>
      <c r="W2514" s="859"/>
      <c r="X2514" s="859"/>
      <c r="Y2514" s="755">
        <f t="shared" si="331"/>
        <v>0</v>
      </c>
      <c r="Z2514" s="864"/>
      <c r="AA2514" s="863"/>
      <c r="AB2514" s="756">
        <f t="shared" si="332"/>
        <v>0</v>
      </c>
      <c r="AC2514" s="859"/>
      <c r="AD2514" s="863"/>
      <c r="AE2514" s="859"/>
      <c r="AF2514" s="859"/>
      <c r="AG2514" s="864"/>
      <c r="AH2514" s="865"/>
      <c r="AI2514" s="757">
        <f t="shared" si="336"/>
        <v>4469483</v>
      </c>
      <c r="AJ2514" s="758">
        <f t="shared" si="337"/>
        <v>4406015</v>
      </c>
    </row>
    <row r="2515" spans="1:36" x14ac:dyDescent="0.2">
      <c r="A2515" s="1421" t="s">
        <v>146</v>
      </c>
      <c r="B2515" s="1293" t="s">
        <v>272</v>
      </c>
      <c r="C2515" s="1282" t="s">
        <v>970</v>
      </c>
      <c r="D2515" s="1283"/>
      <c r="E2515" s="1424">
        <v>218955</v>
      </c>
      <c r="F2515" s="1259">
        <v>10</v>
      </c>
      <c r="G2515" s="859"/>
      <c r="H2515" s="860"/>
      <c r="I2515" s="861"/>
      <c r="J2515" s="862"/>
      <c r="K2515" s="859"/>
      <c r="L2515" s="863"/>
      <c r="M2515" s="859"/>
      <c r="N2515" s="859"/>
      <c r="O2515" s="752">
        <f t="shared" si="330"/>
        <v>0</v>
      </c>
      <c r="P2515" s="862"/>
      <c r="Q2515" s="860"/>
      <c r="R2515" s="753">
        <f t="shared" si="333"/>
        <v>0</v>
      </c>
      <c r="S2515" s="752">
        <f t="shared" si="334"/>
        <v>0</v>
      </c>
      <c r="T2515" s="754">
        <f t="shared" si="335"/>
        <v>0</v>
      </c>
      <c r="U2515" s="859"/>
      <c r="V2515" s="863"/>
      <c r="W2515" s="859"/>
      <c r="X2515" s="859"/>
      <c r="Y2515" s="755">
        <f t="shared" si="331"/>
        <v>0</v>
      </c>
      <c r="Z2515" s="864"/>
      <c r="AA2515" s="863"/>
      <c r="AB2515" s="756">
        <f t="shared" si="332"/>
        <v>0</v>
      </c>
      <c r="AC2515" s="859"/>
      <c r="AD2515" s="863"/>
      <c r="AE2515" s="859"/>
      <c r="AF2515" s="859"/>
      <c r="AG2515" s="864"/>
      <c r="AH2515" s="865"/>
      <c r="AI2515" s="757">
        <f t="shared" si="336"/>
        <v>0</v>
      </c>
      <c r="AJ2515" s="758">
        <f t="shared" si="337"/>
        <v>0</v>
      </c>
    </row>
    <row r="2516" spans="1:36" x14ac:dyDescent="0.2">
      <c r="A2516" s="1421" t="s">
        <v>146</v>
      </c>
      <c r="B2516" s="1293" t="s">
        <v>272</v>
      </c>
      <c r="C2516" s="1429" t="s">
        <v>1671</v>
      </c>
      <c r="D2516" s="1430"/>
      <c r="E2516" s="1424">
        <v>218955</v>
      </c>
      <c r="F2516" s="1259">
        <v>10</v>
      </c>
      <c r="G2516" s="859"/>
      <c r="H2516" s="860"/>
      <c r="I2516" s="861">
        <v>2</v>
      </c>
      <c r="J2516" s="862">
        <v>2</v>
      </c>
      <c r="K2516" s="859"/>
      <c r="L2516" s="863"/>
      <c r="M2516" s="859"/>
      <c r="N2516" s="859"/>
      <c r="O2516" s="752">
        <f t="shared" si="330"/>
        <v>0</v>
      </c>
      <c r="P2516" s="862"/>
      <c r="Q2516" s="860"/>
      <c r="R2516" s="753">
        <f t="shared" si="333"/>
        <v>0</v>
      </c>
      <c r="S2516" s="752">
        <f t="shared" si="334"/>
        <v>2</v>
      </c>
      <c r="T2516" s="754">
        <f t="shared" si="335"/>
        <v>2</v>
      </c>
      <c r="U2516" s="859"/>
      <c r="V2516" s="863"/>
      <c r="W2516" s="859"/>
      <c r="X2516" s="859"/>
      <c r="Y2516" s="755">
        <f t="shared" si="331"/>
        <v>0</v>
      </c>
      <c r="Z2516" s="864"/>
      <c r="AA2516" s="863"/>
      <c r="AB2516" s="756">
        <f t="shared" si="332"/>
        <v>0</v>
      </c>
      <c r="AC2516" s="859"/>
      <c r="AD2516" s="863"/>
      <c r="AE2516" s="859"/>
      <c r="AF2516" s="859"/>
      <c r="AG2516" s="864"/>
      <c r="AH2516" s="865"/>
      <c r="AI2516" s="757">
        <f t="shared" si="336"/>
        <v>2</v>
      </c>
      <c r="AJ2516" s="758">
        <f t="shared" si="337"/>
        <v>2</v>
      </c>
    </row>
    <row r="2517" spans="1:36" x14ac:dyDescent="0.2">
      <c r="A2517" s="1421" t="s">
        <v>146</v>
      </c>
      <c r="B2517" s="1293" t="s">
        <v>272</v>
      </c>
      <c r="C2517" s="1429" t="s">
        <v>1689</v>
      </c>
      <c r="D2517" s="1430"/>
      <c r="E2517" s="1424">
        <v>218955</v>
      </c>
      <c r="F2517" s="1259">
        <v>10</v>
      </c>
      <c r="G2517" s="859"/>
      <c r="H2517" s="860"/>
      <c r="I2517" s="861"/>
      <c r="J2517" s="862">
        <v>46669</v>
      </c>
      <c r="K2517" s="859"/>
      <c r="L2517" s="863"/>
      <c r="M2517" s="859"/>
      <c r="N2517" s="859"/>
      <c r="O2517" s="752">
        <f t="shared" si="330"/>
        <v>0</v>
      </c>
      <c r="P2517" s="862"/>
      <c r="Q2517" s="860"/>
      <c r="R2517" s="753">
        <f t="shared" si="333"/>
        <v>0</v>
      </c>
      <c r="S2517" s="752">
        <f t="shared" si="334"/>
        <v>0</v>
      </c>
      <c r="T2517" s="754">
        <f t="shared" si="335"/>
        <v>46669</v>
      </c>
      <c r="U2517" s="859"/>
      <c r="V2517" s="863"/>
      <c r="W2517" s="859"/>
      <c r="X2517" s="859"/>
      <c r="Y2517" s="755">
        <f t="shared" si="331"/>
        <v>0</v>
      </c>
      <c r="Z2517" s="864"/>
      <c r="AA2517" s="863"/>
      <c r="AB2517" s="756">
        <f t="shared" si="332"/>
        <v>0</v>
      </c>
      <c r="AC2517" s="859"/>
      <c r="AD2517" s="863"/>
      <c r="AE2517" s="859"/>
      <c r="AF2517" s="859"/>
      <c r="AG2517" s="864"/>
      <c r="AH2517" s="865"/>
      <c r="AI2517" s="757">
        <f t="shared" si="336"/>
        <v>0</v>
      </c>
      <c r="AJ2517" s="758">
        <f t="shared" si="337"/>
        <v>46669</v>
      </c>
    </row>
    <row r="2518" spans="1:36" x14ac:dyDescent="0.2">
      <c r="A2518" s="1421" t="s">
        <v>146</v>
      </c>
      <c r="B2518" s="1293" t="s">
        <v>272</v>
      </c>
      <c r="C2518" s="1429" t="s">
        <v>1721</v>
      </c>
      <c r="D2518" s="1430"/>
      <c r="E2518" s="1424">
        <v>218955</v>
      </c>
      <c r="F2518" s="1259">
        <v>10</v>
      </c>
      <c r="G2518" s="859"/>
      <c r="H2518" s="860"/>
      <c r="I2518" s="861">
        <v>66555</v>
      </c>
      <c r="J2518" s="862"/>
      <c r="K2518" s="859"/>
      <c r="L2518" s="863"/>
      <c r="M2518" s="859"/>
      <c r="N2518" s="859"/>
      <c r="O2518" s="752">
        <f t="shared" si="330"/>
        <v>0</v>
      </c>
      <c r="P2518" s="862"/>
      <c r="Q2518" s="860"/>
      <c r="R2518" s="753">
        <f t="shared" si="333"/>
        <v>0</v>
      </c>
      <c r="S2518" s="752">
        <f t="shared" si="334"/>
        <v>66555</v>
      </c>
      <c r="T2518" s="754">
        <f t="shared" si="335"/>
        <v>0</v>
      </c>
      <c r="U2518" s="859"/>
      <c r="V2518" s="863"/>
      <c r="W2518" s="859"/>
      <c r="X2518" s="859"/>
      <c r="Y2518" s="755">
        <f t="shared" si="331"/>
        <v>0</v>
      </c>
      <c r="Z2518" s="864"/>
      <c r="AA2518" s="863"/>
      <c r="AB2518" s="756">
        <f t="shared" si="332"/>
        <v>0</v>
      </c>
      <c r="AC2518" s="859"/>
      <c r="AD2518" s="863"/>
      <c r="AE2518" s="859"/>
      <c r="AF2518" s="859"/>
      <c r="AG2518" s="864"/>
      <c r="AH2518" s="865"/>
      <c r="AI2518" s="757">
        <f t="shared" si="336"/>
        <v>66555</v>
      </c>
      <c r="AJ2518" s="758">
        <f t="shared" si="337"/>
        <v>0</v>
      </c>
    </row>
    <row r="2519" spans="1:36" x14ac:dyDescent="0.2">
      <c r="A2519" s="1421" t="s">
        <v>146</v>
      </c>
      <c r="B2519" s="1293" t="s">
        <v>272</v>
      </c>
      <c r="C2519" s="1284" t="s">
        <v>1722</v>
      </c>
      <c r="D2519" s="1283"/>
      <c r="E2519" s="1424">
        <v>218955</v>
      </c>
      <c r="F2519" s="1259">
        <v>10</v>
      </c>
      <c r="G2519" s="859"/>
      <c r="H2519" s="860"/>
      <c r="I2519" s="861">
        <v>37784</v>
      </c>
      <c r="J2519" s="862">
        <v>37785</v>
      </c>
      <c r="K2519" s="859"/>
      <c r="L2519" s="863"/>
      <c r="M2519" s="859"/>
      <c r="N2519" s="859"/>
      <c r="O2519" s="752">
        <f t="shared" si="330"/>
        <v>0</v>
      </c>
      <c r="P2519" s="862"/>
      <c r="Q2519" s="860"/>
      <c r="R2519" s="753">
        <f t="shared" si="333"/>
        <v>0</v>
      </c>
      <c r="S2519" s="752">
        <f t="shared" si="334"/>
        <v>37784</v>
      </c>
      <c r="T2519" s="754">
        <f t="shared" si="335"/>
        <v>37785</v>
      </c>
      <c r="U2519" s="859"/>
      <c r="V2519" s="863"/>
      <c r="W2519" s="859"/>
      <c r="X2519" s="859"/>
      <c r="Y2519" s="755">
        <f t="shared" si="331"/>
        <v>0</v>
      </c>
      <c r="Z2519" s="864"/>
      <c r="AA2519" s="863"/>
      <c r="AB2519" s="756">
        <f t="shared" si="332"/>
        <v>0</v>
      </c>
      <c r="AC2519" s="859"/>
      <c r="AD2519" s="863"/>
      <c r="AE2519" s="859"/>
      <c r="AF2519" s="859"/>
      <c r="AG2519" s="864"/>
      <c r="AH2519" s="865"/>
      <c r="AI2519" s="757">
        <f t="shared" si="336"/>
        <v>37784</v>
      </c>
      <c r="AJ2519" s="758">
        <f t="shared" si="337"/>
        <v>37785</v>
      </c>
    </row>
    <row r="2520" spans="1:36" x14ac:dyDescent="0.2">
      <c r="A2520" s="1421" t="s">
        <v>146</v>
      </c>
      <c r="B2520" s="1293" t="s">
        <v>272</v>
      </c>
      <c r="C2520" s="1284" t="s">
        <v>1687</v>
      </c>
      <c r="D2520" s="1283"/>
      <c r="E2520" s="1424">
        <v>218955</v>
      </c>
      <c r="F2520" s="1259">
        <v>10</v>
      </c>
      <c r="G2520" s="859"/>
      <c r="H2520" s="860"/>
      <c r="I2520" s="861">
        <v>95295</v>
      </c>
      <c r="J2520" s="862">
        <v>93108</v>
      </c>
      <c r="K2520" s="859"/>
      <c r="L2520" s="863"/>
      <c r="M2520" s="859"/>
      <c r="N2520" s="859"/>
      <c r="O2520" s="752">
        <f t="shared" si="330"/>
        <v>0</v>
      </c>
      <c r="P2520" s="862"/>
      <c r="Q2520" s="860"/>
      <c r="R2520" s="753">
        <f t="shared" si="333"/>
        <v>0</v>
      </c>
      <c r="S2520" s="752">
        <f t="shared" si="334"/>
        <v>95295</v>
      </c>
      <c r="T2520" s="754">
        <f t="shared" si="335"/>
        <v>93108</v>
      </c>
      <c r="U2520" s="859"/>
      <c r="V2520" s="863"/>
      <c r="W2520" s="859"/>
      <c r="X2520" s="859"/>
      <c r="Y2520" s="755">
        <f t="shared" si="331"/>
        <v>0</v>
      </c>
      <c r="Z2520" s="864"/>
      <c r="AA2520" s="863"/>
      <c r="AB2520" s="756">
        <f t="shared" si="332"/>
        <v>0</v>
      </c>
      <c r="AC2520" s="859"/>
      <c r="AD2520" s="863"/>
      <c r="AE2520" s="859"/>
      <c r="AF2520" s="859"/>
      <c r="AG2520" s="864"/>
      <c r="AH2520" s="865"/>
      <c r="AI2520" s="757">
        <f t="shared" si="336"/>
        <v>95295</v>
      </c>
      <c r="AJ2520" s="758">
        <f t="shared" si="337"/>
        <v>93108</v>
      </c>
    </row>
    <row r="2521" spans="1:36" x14ac:dyDescent="0.2">
      <c r="A2521" s="1421" t="s">
        <v>146</v>
      </c>
      <c r="B2521" s="1293" t="s">
        <v>301</v>
      </c>
      <c r="C2521" s="1422" t="s">
        <v>1754</v>
      </c>
      <c r="D2521" s="1423"/>
      <c r="E2521" s="1424">
        <v>218335</v>
      </c>
      <c r="F2521" s="1259">
        <v>15</v>
      </c>
      <c r="G2521" s="859"/>
      <c r="H2521" s="860"/>
      <c r="I2521" s="861"/>
      <c r="J2521" s="862"/>
      <c r="K2521" s="859"/>
      <c r="L2521" s="863"/>
      <c r="M2521" s="859"/>
      <c r="N2521" s="859"/>
      <c r="O2521" s="752">
        <f t="shared" si="330"/>
        <v>0</v>
      </c>
      <c r="P2521" s="862"/>
      <c r="Q2521" s="860"/>
      <c r="R2521" s="753">
        <f t="shared" si="333"/>
        <v>0</v>
      </c>
      <c r="S2521" s="752">
        <f t="shared" si="334"/>
        <v>0</v>
      </c>
      <c r="T2521" s="754">
        <f t="shared" si="335"/>
        <v>0</v>
      </c>
      <c r="U2521" s="859"/>
      <c r="V2521" s="863"/>
      <c r="W2521" s="859"/>
      <c r="X2521" s="859"/>
      <c r="Y2521" s="755">
        <f t="shared" si="331"/>
        <v>0</v>
      </c>
      <c r="Z2521" s="864"/>
      <c r="AA2521" s="863"/>
      <c r="AB2521" s="756">
        <f t="shared" si="332"/>
        <v>0</v>
      </c>
      <c r="AC2521" s="859">
        <v>41266046</v>
      </c>
      <c r="AD2521" s="863">
        <v>41346426</v>
      </c>
      <c r="AE2521" s="1438">
        <v>79747119</v>
      </c>
      <c r="AF2521" s="1438">
        <v>6923568</v>
      </c>
      <c r="AG2521" s="864"/>
      <c r="AH2521" s="865"/>
      <c r="AI2521" s="757">
        <f t="shared" si="336"/>
        <v>121013165</v>
      </c>
      <c r="AJ2521" s="758">
        <f t="shared" si="337"/>
        <v>41346426</v>
      </c>
    </row>
    <row r="2522" spans="1:36" x14ac:dyDescent="0.2">
      <c r="A2522" s="1421" t="s">
        <v>146</v>
      </c>
      <c r="B2522" s="1293" t="s">
        <v>301</v>
      </c>
      <c r="C2522" s="1284" t="s">
        <v>1663</v>
      </c>
      <c r="D2522" s="1283"/>
      <c r="E2522" s="1424">
        <v>218335</v>
      </c>
      <c r="F2522" s="1259">
        <v>15</v>
      </c>
      <c r="G2522" s="859"/>
      <c r="H2522" s="860"/>
      <c r="I2522" s="861"/>
      <c r="J2522" s="862"/>
      <c r="K2522" s="859"/>
      <c r="L2522" s="863"/>
      <c r="M2522" s="859"/>
      <c r="N2522" s="859"/>
      <c r="O2522" s="752">
        <f t="shared" si="330"/>
        <v>0</v>
      </c>
      <c r="P2522" s="862"/>
      <c r="Q2522" s="860"/>
      <c r="R2522" s="753">
        <f t="shared" si="333"/>
        <v>0</v>
      </c>
      <c r="S2522" s="752">
        <f t="shared" si="334"/>
        <v>0</v>
      </c>
      <c r="T2522" s="754">
        <f t="shared" si="335"/>
        <v>0</v>
      </c>
      <c r="U2522" s="859"/>
      <c r="V2522" s="863"/>
      <c r="W2522" s="859"/>
      <c r="X2522" s="859"/>
      <c r="Y2522" s="755">
        <f t="shared" si="331"/>
        <v>0</v>
      </c>
      <c r="Z2522" s="864"/>
      <c r="AA2522" s="863"/>
      <c r="AB2522" s="756">
        <f t="shared" si="332"/>
        <v>0</v>
      </c>
      <c r="AC2522" s="859">
        <v>12274811</v>
      </c>
      <c r="AD2522" s="863">
        <v>13060732</v>
      </c>
      <c r="AE2522" s="859"/>
      <c r="AF2522" s="859"/>
      <c r="AG2522" s="864"/>
      <c r="AH2522" s="865"/>
      <c r="AI2522" s="757">
        <f t="shared" si="336"/>
        <v>12274811</v>
      </c>
      <c r="AJ2522" s="758">
        <f t="shared" si="337"/>
        <v>13060732</v>
      </c>
    </row>
    <row r="2523" spans="1:36" x14ac:dyDescent="0.2">
      <c r="A2523" s="1421" t="s">
        <v>146</v>
      </c>
      <c r="B2523" s="1293" t="s">
        <v>272</v>
      </c>
      <c r="C2523" s="1429" t="s">
        <v>1669</v>
      </c>
      <c r="D2523" s="1430"/>
      <c r="E2523" s="1424">
        <v>218335</v>
      </c>
      <c r="F2523" s="1259">
        <v>15</v>
      </c>
      <c r="G2523" s="859"/>
      <c r="H2523" s="860"/>
      <c r="I2523" s="861"/>
      <c r="J2523" s="862"/>
      <c r="K2523" s="859"/>
      <c r="L2523" s="863"/>
      <c r="M2523" s="859"/>
      <c r="N2523" s="859"/>
      <c r="O2523" s="752">
        <f t="shared" si="330"/>
        <v>0</v>
      </c>
      <c r="P2523" s="862"/>
      <c r="Q2523" s="860"/>
      <c r="R2523" s="753">
        <f t="shared" si="333"/>
        <v>0</v>
      </c>
      <c r="S2523" s="752">
        <f t="shared" si="334"/>
        <v>0</v>
      </c>
      <c r="T2523" s="754">
        <f t="shared" si="335"/>
        <v>0</v>
      </c>
      <c r="U2523" s="859"/>
      <c r="V2523" s="863"/>
      <c r="W2523" s="859"/>
      <c r="X2523" s="859"/>
      <c r="Y2523" s="755">
        <f t="shared" si="331"/>
        <v>0</v>
      </c>
      <c r="Z2523" s="864"/>
      <c r="AA2523" s="863"/>
      <c r="AB2523" s="756">
        <f t="shared" si="332"/>
        <v>0</v>
      </c>
      <c r="AC2523" s="859">
        <v>5710334</v>
      </c>
      <c r="AD2523" s="863"/>
      <c r="AE2523" s="859"/>
      <c r="AF2523" s="859"/>
      <c r="AG2523" s="864"/>
      <c r="AH2523" s="865"/>
      <c r="AI2523" s="757">
        <f t="shared" si="336"/>
        <v>5710334</v>
      </c>
      <c r="AJ2523" s="758">
        <f t="shared" si="337"/>
        <v>0</v>
      </c>
    </row>
    <row r="2524" spans="1:36" x14ac:dyDescent="0.2">
      <c r="A2524" s="1421" t="s">
        <v>146</v>
      </c>
      <c r="B2524" s="1293" t="s">
        <v>272</v>
      </c>
      <c r="C2524" s="1429" t="s">
        <v>1670</v>
      </c>
      <c r="D2524" s="1430"/>
      <c r="E2524" s="1424">
        <v>218335</v>
      </c>
      <c r="F2524" s="1259">
        <v>15</v>
      </c>
      <c r="G2524" s="859"/>
      <c r="H2524" s="860"/>
      <c r="I2524" s="861"/>
      <c r="J2524" s="862"/>
      <c r="K2524" s="859"/>
      <c r="L2524" s="863"/>
      <c r="M2524" s="859"/>
      <c r="N2524" s="859"/>
      <c r="O2524" s="752">
        <f t="shared" si="330"/>
        <v>0</v>
      </c>
      <c r="P2524" s="862"/>
      <c r="Q2524" s="860"/>
      <c r="R2524" s="753">
        <f t="shared" si="333"/>
        <v>0</v>
      </c>
      <c r="S2524" s="752">
        <f t="shared" si="334"/>
        <v>0</v>
      </c>
      <c r="T2524" s="754">
        <f t="shared" si="335"/>
        <v>0</v>
      </c>
      <c r="U2524" s="859"/>
      <c r="V2524" s="863"/>
      <c r="W2524" s="859"/>
      <c r="X2524" s="859"/>
      <c r="Y2524" s="755">
        <f t="shared" si="331"/>
        <v>0</v>
      </c>
      <c r="Z2524" s="864"/>
      <c r="AA2524" s="863"/>
      <c r="AB2524" s="756">
        <f t="shared" si="332"/>
        <v>0</v>
      </c>
      <c r="AC2524" s="859"/>
      <c r="AD2524" s="863">
        <v>2351936</v>
      </c>
      <c r="AE2524" s="859"/>
      <c r="AF2524" s="859"/>
      <c r="AG2524" s="864"/>
      <c r="AH2524" s="865"/>
      <c r="AI2524" s="757">
        <f t="shared" si="336"/>
        <v>0</v>
      </c>
      <c r="AJ2524" s="758">
        <f t="shared" si="337"/>
        <v>2351936</v>
      </c>
    </row>
    <row r="2525" spans="1:36" x14ac:dyDescent="0.2">
      <c r="A2525" s="1421" t="s">
        <v>146</v>
      </c>
      <c r="B2525" s="1293" t="s">
        <v>301</v>
      </c>
      <c r="C2525" s="1284" t="s">
        <v>1671</v>
      </c>
      <c r="D2525" s="1283"/>
      <c r="E2525" s="1424">
        <v>218335</v>
      </c>
      <c r="F2525" s="1259">
        <v>15</v>
      </c>
      <c r="G2525" s="859"/>
      <c r="H2525" s="860"/>
      <c r="I2525" s="861"/>
      <c r="J2525" s="862"/>
      <c r="K2525" s="859"/>
      <c r="L2525" s="863"/>
      <c r="M2525" s="859"/>
      <c r="N2525" s="859"/>
      <c r="O2525" s="752">
        <f t="shared" si="330"/>
        <v>0</v>
      </c>
      <c r="P2525" s="862"/>
      <c r="Q2525" s="860"/>
      <c r="R2525" s="753">
        <f t="shared" si="333"/>
        <v>0</v>
      </c>
      <c r="S2525" s="752">
        <f t="shared" si="334"/>
        <v>0</v>
      </c>
      <c r="T2525" s="754">
        <f t="shared" si="335"/>
        <v>0</v>
      </c>
      <c r="U2525" s="859"/>
      <c r="V2525" s="863"/>
      <c r="W2525" s="859"/>
      <c r="X2525" s="859"/>
      <c r="Y2525" s="755">
        <f t="shared" si="331"/>
        <v>0</v>
      </c>
      <c r="Z2525" s="864"/>
      <c r="AA2525" s="863"/>
      <c r="AB2525" s="756">
        <f t="shared" si="332"/>
        <v>0</v>
      </c>
      <c r="AC2525" s="859">
        <v>38802</v>
      </c>
      <c r="AD2525" s="863">
        <v>41541</v>
      </c>
      <c r="AE2525" s="859"/>
      <c r="AF2525" s="859"/>
      <c r="AG2525" s="864"/>
      <c r="AH2525" s="865"/>
      <c r="AI2525" s="757">
        <f t="shared" si="336"/>
        <v>38802</v>
      </c>
      <c r="AJ2525" s="758">
        <f t="shared" si="337"/>
        <v>41541</v>
      </c>
    </row>
    <row r="2526" spans="1:36" x14ac:dyDescent="0.2">
      <c r="A2526" s="1421" t="s">
        <v>146</v>
      </c>
      <c r="B2526" s="1293" t="s">
        <v>301</v>
      </c>
      <c r="C2526" s="1284" t="s">
        <v>1755</v>
      </c>
      <c r="D2526" s="1283"/>
      <c r="E2526" s="1424">
        <v>218335</v>
      </c>
      <c r="F2526" s="1259">
        <v>15</v>
      </c>
      <c r="G2526" s="859"/>
      <c r="H2526" s="860"/>
      <c r="I2526" s="861"/>
      <c r="J2526" s="862"/>
      <c r="K2526" s="859"/>
      <c r="L2526" s="863"/>
      <c r="M2526" s="859"/>
      <c r="N2526" s="859"/>
      <c r="O2526" s="752">
        <f t="shared" si="330"/>
        <v>0</v>
      </c>
      <c r="P2526" s="862"/>
      <c r="Q2526" s="860"/>
      <c r="R2526" s="753">
        <f t="shared" si="333"/>
        <v>0</v>
      </c>
      <c r="S2526" s="752">
        <f t="shared" si="334"/>
        <v>0</v>
      </c>
      <c r="T2526" s="754">
        <f t="shared" si="335"/>
        <v>0</v>
      </c>
      <c r="U2526" s="859"/>
      <c r="V2526" s="863"/>
      <c r="W2526" s="859"/>
      <c r="X2526" s="859"/>
      <c r="Y2526" s="755">
        <f t="shared" si="331"/>
        <v>0</v>
      </c>
      <c r="Z2526" s="864"/>
      <c r="AA2526" s="863"/>
      <c r="AB2526" s="756">
        <f t="shared" si="332"/>
        <v>0</v>
      </c>
      <c r="AC2526" s="859">
        <v>240433</v>
      </c>
      <c r="AD2526" s="863">
        <v>240433</v>
      </c>
      <c r="AE2526" s="859"/>
      <c r="AF2526" s="859"/>
      <c r="AG2526" s="864"/>
      <c r="AH2526" s="865"/>
      <c r="AI2526" s="757">
        <f t="shared" si="336"/>
        <v>240433</v>
      </c>
      <c r="AJ2526" s="758">
        <f t="shared" si="337"/>
        <v>240433</v>
      </c>
    </row>
    <row r="2527" spans="1:36" x14ac:dyDescent="0.2">
      <c r="A2527" s="1421" t="s">
        <v>146</v>
      </c>
      <c r="B2527" s="1293" t="s">
        <v>301</v>
      </c>
      <c r="C2527" s="1284" t="s">
        <v>1756</v>
      </c>
      <c r="D2527" s="1283"/>
      <c r="E2527" s="1424">
        <v>218335</v>
      </c>
      <c r="F2527" s="1259">
        <v>15</v>
      </c>
      <c r="G2527" s="859"/>
      <c r="H2527" s="860"/>
      <c r="I2527" s="861"/>
      <c r="J2527" s="862"/>
      <c r="K2527" s="859"/>
      <c r="L2527" s="863"/>
      <c r="M2527" s="859"/>
      <c r="N2527" s="859"/>
      <c r="O2527" s="752">
        <f t="shared" si="330"/>
        <v>0</v>
      </c>
      <c r="P2527" s="862"/>
      <c r="Q2527" s="860"/>
      <c r="R2527" s="753">
        <f t="shared" si="333"/>
        <v>0</v>
      </c>
      <c r="S2527" s="752">
        <f t="shared" si="334"/>
        <v>0</v>
      </c>
      <c r="T2527" s="754">
        <f t="shared" si="335"/>
        <v>0</v>
      </c>
      <c r="U2527" s="859"/>
      <c r="V2527" s="863"/>
      <c r="W2527" s="859"/>
      <c r="X2527" s="859"/>
      <c r="Y2527" s="755">
        <f t="shared" si="331"/>
        <v>0</v>
      </c>
      <c r="Z2527" s="864"/>
      <c r="AA2527" s="863"/>
      <c r="AB2527" s="756">
        <f t="shared" si="332"/>
        <v>0</v>
      </c>
      <c r="AC2527" s="859">
        <v>123470</v>
      </c>
      <c r="AD2527" s="863">
        <v>123470</v>
      </c>
      <c r="AE2527" s="859"/>
      <c r="AF2527" s="859"/>
      <c r="AG2527" s="864"/>
      <c r="AH2527" s="865"/>
      <c r="AI2527" s="757">
        <f t="shared" si="336"/>
        <v>123470</v>
      </c>
      <c r="AJ2527" s="758">
        <f t="shared" si="337"/>
        <v>123470</v>
      </c>
    </row>
    <row r="2528" spans="1:36" x14ac:dyDescent="0.2">
      <c r="A2528" s="1421" t="s">
        <v>146</v>
      </c>
      <c r="B2528" s="1293" t="s">
        <v>301</v>
      </c>
      <c r="C2528" s="1284" t="s">
        <v>1757</v>
      </c>
      <c r="D2528" s="1283"/>
      <c r="E2528" s="1424">
        <v>218335</v>
      </c>
      <c r="F2528" s="1259">
        <v>15</v>
      </c>
      <c r="G2528" s="859"/>
      <c r="H2528" s="860"/>
      <c r="I2528" s="861"/>
      <c r="J2528" s="862"/>
      <c r="K2528" s="859"/>
      <c r="L2528" s="863"/>
      <c r="M2528" s="859"/>
      <c r="N2528" s="859"/>
      <c r="O2528" s="752">
        <f t="shared" si="330"/>
        <v>0</v>
      </c>
      <c r="P2528" s="862"/>
      <c r="Q2528" s="860"/>
      <c r="R2528" s="753">
        <f t="shared" si="333"/>
        <v>0</v>
      </c>
      <c r="S2528" s="752">
        <f t="shared" si="334"/>
        <v>0</v>
      </c>
      <c r="T2528" s="754">
        <f t="shared" si="335"/>
        <v>0</v>
      </c>
      <c r="U2528" s="859"/>
      <c r="V2528" s="863"/>
      <c r="W2528" s="859"/>
      <c r="X2528" s="859"/>
      <c r="Y2528" s="755">
        <f t="shared" si="331"/>
        <v>0</v>
      </c>
      <c r="Z2528" s="864"/>
      <c r="AA2528" s="863"/>
      <c r="AB2528" s="756">
        <f t="shared" si="332"/>
        <v>0</v>
      </c>
      <c r="AC2528" s="859">
        <v>176101</v>
      </c>
      <c r="AD2528" s="863">
        <v>176101</v>
      </c>
      <c r="AE2528" s="859"/>
      <c r="AF2528" s="859"/>
      <c r="AG2528" s="864"/>
      <c r="AH2528" s="865"/>
      <c r="AI2528" s="757">
        <f t="shared" si="336"/>
        <v>176101</v>
      </c>
      <c r="AJ2528" s="758">
        <f t="shared" si="337"/>
        <v>176101</v>
      </c>
    </row>
    <row r="2529" spans="1:36" x14ac:dyDescent="0.2">
      <c r="A2529" s="1421" t="s">
        <v>146</v>
      </c>
      <c r="B2529" s="1293" t="s">
        <v>301</v>
      </c>
      <c r="C2529" s="1284" t="s">
        <v>1758</v>
      </c>
      <c r="D2529" s="1283"/>
      <c r="E2529" s="1424">
        <v>218335</v>
      </c>
      <c r="F2529" s="1259">
        <v>15</v>
      </c>
      <c r="G2529" s="859"/>
      <c r="H2529" s="860"/>
      <c r="I2529" s="861"/>
      <c r="J2529" s="862"/>
      <c r="K2529" s="859"/>
      <c r="L2529" s="863"/>
      <c r="M2529" s="859"/>
      <c r="N2529" s="859"/>
      <c r="O2529" s="752">
        <f t="shared" si="330"/>
        <v>0</v>
      </c>
      <c r="P2529" s="862"/>
      <c r="Q2529" s="860"/>
      <c r="R2529" s="753">
        <f t="shared" si="333"/>
        <v>0</v>
      </c>
      <c r="S2529" s="752">
        <f t="shared" si="334"/>
        <v>0</v>
      </c>
      <c r="T2529" s="754">
        <f t="shared" si="335"/>
        <v>0</v>
      </c>
      <c r="U2529" s="859"/>
      <c r="V2529" s="863"/>
      <c r="W2529" s="859"/>
      <c r="X2529" s="859"/>
      <c r="Y2529" s="755">
        <f t="shared" si="331"/>
        <v>0</v>
      </c>
      <c r="Z2529" s="864"/>
      <c r="AA2529" s="863"/>
      <c r="AB2529" s="756">
        <f t="shared" si="332"/>
        <v>0</v>
      </c>
      <c r="AC2529" s="859">
        <v>3922744</v>
      </c>
      <c r="AD2529" s="863">
        <v>3922744</v>
      </c>
      <c r="AE2529" s="859"/>
      <c r="AF2529" s="859"/>
      <c r="AG2529" s="864"/>
      <c r="AH2529" s="865"/>
      <c r="AI2529" s="757">
        <f t="shared" si="336"/>
        <v>3922744</v>
      </c>
      <c r="AJ2529" s="758">
        <f t="shared" si="337"/>
        <v>3922744</v>
      </c>
    </row>
    <row r="2530" spans="1:36" x14ac:dyDescent="0.2">
      <c r="A2530" s="1421" t="s">
        <v>146</v>
      </c>
      <c r="B2530" s="1293" t="s">
        <v>301</v>
      </c>
      <c r="C2530" s="1284" t="s">
        <v>1759</v>
      </c>
      <c r="D2530" s="1283"/>
      <c r="E2530" s="1424">
        <v>218335</v>
      </c>
      <c r="F2530" s="1259">
        <v>15</v>
      </c>
      <c r="G2530" s="859"/>
      <c r="H2530" s="860"/>
      <c r="I2530" s="861"/>
      <c r="J2530" s="862"/>
      <c r="K2530" s="859"/>
      <c r="L2530" s="863"/>
      <c r="M2530" s="859"/>
      <c r="N2530" s="859"/>
      <c r="O2530" s="752">
        <f t="shared" si="330"/>
        <v>0</v>
      </c>
      <c r="P2530" s="862"/>
      <c r="Q2530" s="860"/>
      <c r="R2530" s="753">
        <f t="shared" si="333"/>
        <v>0</v>
      </c>
      <c r="S2530" s="752">
        <f t="shared" si="334"/>
        <v>0</v>
      </c>
      <c r="T2530" s="754">
        <f t="shared" si="335"/>
        <v>0</v>
      </c>
      <c r="U2530" s="859"/>
      <c r="V2530" s="863"/>
      <c r="W2530" s="859"/>
      <c r="X2530" s="859"/>
      <c r="Y2530" s="755">
        <f t="shared" si="331"/>
        <v>0</v>
      </c>
      <c r="Z2530" s="864"/>
      <c r="AA2530" s="863"/>
      <c r="AB2530" s="756">
        <f t="shared" si="332"/>
        <v>0</v>
      </c>
      <c r="AC2530" s="859">
        <v>1050045</v>
      </c>
      <c r="AD2530" s="863">
        <v>1087885</v>
      </c>
      <c r="AE2530" s="859"/>
      <c r="AF2530" s="859"/>
      <c r="AG2530" s="864"/>
      <c r="AH2530" s="865"/>
      <c r="AI2530" s="757">
        <f t="shared" si="336"/>
        <v>1050045</v>
      </c>
      <c r="AJ2530" s="758">
        <f t="shared" si="337"/>
        <v>1087885</v>
      </c>
    </row>
    <row r="2531" spans="1:36" x14ac:dyDescent="0.2">
      <c r="A2531" s="1421" t="s">
        <v>146</v>
      </c>
      <c r="B2531" s="1293" t="s">
        <v>301</v>
      </c>
      <c r="C2531" s="1284" t="s">
        <v>1760</v>
      </c>
      <c r="D2531" s="1283"/>
      <c r="E2531" s="1424">
        <v>218335</v>
      </c>
      <c r="F2531" s="1259">
        <v>15</v>
      </c>
      <c r="G2531" s="859"/>
      <c r="H2531" s="860"/>
      <c r="I2531" s="861"/>
      <c r="J2531" s="862"/>
      <c r="K2531" s="859"/>
      <c r="L2531" s="863"/>
      <c r="M2531" s="859"/>
      <c r="N2531" s="859"/>
      <c r="O2531" s="752">
        <f t="shared" si="330"/>
        <v>0</v>
      </c>
      <c r="P2531" s="862"/>
      <c r="Q2531" s="860"/>
      <c r="R2531" s="753">
        <f t="shared" si="333"/>
        <v>0</v>
      </c>
      <c r="S2531" s="752">
        <f t="shared" si="334"/>
        <v>0</v>
      </c>
      <c r="T2531" s="754">
        <f t="shared" si="335"/>
        <v>0</v>
      </c>
      <c r="U2531" s="859"/>
      <c r="V2531" s="863"/>
      <c r="W2531" s="859"/>
      <c r="X2531" s="859"/>
      <c r="Y2531" s="755">
        <f t="shared" si="331"/>
        <v>0</v>
      </c>
      <c r="Z2531" s="864"/>
      <c r="AA2531" s="863"/>
      <c r="AB2531" s="756">
        <f t="shared" si="332"/>
        <v>0</v>
      </c>
      <c r="AC2531" s="859">
        <v>3692360</v>
      </c>
      <c r="AD2531" s="863">
        <v>3692360</v>
      </c>
      <c r="AE2531" s="859"/>
      <c r="AF2531" s="859"/>
      <c r="AG2531" s="864"/>
      <c r="AH2531" s="865"/>
      <c r="AI2531" s="757">
        <f t="shared" si="336"/>
        <v>3692360</v>
      </c>
      <c r="AJ2531" s="758">
        <f t="shared" si="337"/>
        <v>3692360</v>
      </c>
    </row>
    <row r="2532" spans="1:36" x14ac:dyDescent="0.2">
      <c r="A2532" s="1421" t="s">
        <v>146</v>
      </c>
      <c r="B2532" s="1293" t="s">
        <v>301</v>
      </c>
      <c r="C2532" s="1429" t="s">
        <v>1761</v>
      </c>
      <c r="D2532" s="1430"/>
      <c r="E2532" s="1424">
        <v>218335</v>
      </c>
      <c r="F2532" s="1259">
        <v>15</v>
      </c>
      <c r="G2532" s="859"/>
      <c r="H2532" s="860"/>
      <c r="I2532" s="861"/>
      <c r="J2532" s="862"/>
      <c r="K2532" s="859"/>
      <c r="L2532" s="863"/>
      <c r="M2532" s="859"/>
      <c r="N2532" s="859"/>
      <c r="O2532" s="752">
        <f t="shared" si="330"/>
        <v>0</v>
      </c>
      <c r="P2532" s="862"/>
      <c r="Q2532" s="860"/>
      <c r="R2532" s="753">
        <f t="shared" si="333"/>
        <v>0</v>
      </c>
      <c r="S2532" s="752">
        <f t="shared" si="334"/>
        <v>0</v>
      </c>
      <c r="T2532" s="754">
        <f t="shared" si="335"/>
        <v>0</v>
      </c>
      <c r="U2532" s="859"/>
      <c r="V2532" s="863"/>
      <c r="W2532" s="859"/>
      <c r="X2532" s="859"/>
      <c r="Y2532" s="755">
        <f t="shared" si="331"/>
        <v>0</v>
      </c>
      <c r="Z2532" s="864"/>
      <c r="AA2532" s="863"/>
      <c r="AB2532" s="756">
        <f t="shared" si="332"/>
        <v>0</v>
      </c>
      <c r="AC2532" s="859"/>
      <c r="AD2532" s="863">
        <v>400000</v>
      </c>
      <c r="AE2532" s="859"/>
      <c r="AF2532" s="859"/>
      <c r="AG2532" s="864"/>
      <c r="AH2532" s="865"/>
      <c r="AI2532" s="757">
        <f t="shared" si="336"/>
        <v>0</v>
      </c>
      <c r="AJ2532" s="758">
        <f t="shared" si="337"/>
        <v>400000</v>
      </c>
    </row>
    <row r="2533" spans="1:36" x14ac:dyDescent="0.2">
      <c r="A2533" s="1421" t="s">
        <v>146</v>
      </c>
      <c r="B2533" s="1293" t="s">
        <v>301</v>
      </c>
      <c r="C2533" s="1284" t="s">
        <v>1762</v>
      </c>
      <c r="D2533" s="1283"/>
      <c r="E2533" s="1424">
        <v>218335</v>
      </c>
      <c r="F2533" s="1259">
        <v>15</v>
      </c>
      <c r="G2533" s="859"/>
      <c r="H2533" s="860"/>
      <c r="I2533" s="861"/>
      <c r="J2533" s="862"/>
      <c r="K2533" s="859"/>
      <c r="L2533" s="863"/>
      <c r="M2533" s="859"/>
      <c r="N2533" s="859"/>
      <c r="O2533" s="752">
        <f t="shared" si="330"/>
        <v>0</v>
      </c>
      <c r="P2533" s="862"/>
      <c r="Q2533" s="860"/>
      <c r="R2533" s="753">
        <f t="shared" si="333"/>
        <v>0</v>
      </c>
      <c r="S2533" s="752">
        <f t="shared" si="334"/>
        <v>0</v>
      </c>
      <c r="T2533" s="754">
        <f t="shared" si="335"/>
        <v>0</v>
      </c>
      <c r="U2533" s="859"/>
      <c r="V2533" s="863"/>
      <c r="W2533" s="859"/>
      <c r="X2533" s="859"/>
      <c r="Y2533" s="755">
        <f t="shared" si="331"/>
        <v>0</v>
      </c>
      <c r="Z2533" s="864"/>
      <c r="AA2533" s="863"/>
      <c r="AB2533" s="756">
        <f t="shared" si="332"/>
        <v>0</v>
      </c>
      <c r="AC2533" s="859">
        <v>500000</v>
      </c>
      <c r="AD2533" s="863">
        <v>500000</v>
      </c>
      <c r="AE2533" s="859"/>
      <c r="AF2533" s="859"/>
      <c r="AG2533" s="864"/>
      <c r="AH2533" s="865"/>
      <c r="AI2533" s="757">
        <f t="shared" si="336"/>
        <v>500000</v>
      </c>
      <c r="AJ2533" s="758">
        <f t="shared" si="337"/>
        <v>500000</v>
      </c>
    </row>
    <row r="2534" spans="1:36" x14ac:dyDescent="0.2">
      <c r="A2534" s="1421" t="s">
        <v>146</v>
      </c>
      <c r="B2534" s="1293" t="s">
        <v>301</v>
      </c>
      <c r="C2534" s="1284" t="s">
        <v>1763</v>
      </c>
      <c r="D2534" s="1283"/>
      <c r="E2534" s="1424">
        <v>218335</v>
      </c>
      <c r="F2534" s="1259">
        <v>15</v>
      </c>
      <c r="G2534" s="859"/>
      <c r="H2534" s="860"/>
      <c r="I2534" s="861"/>
      <c r="J2534" s="862"/>
      <c r="K2534" s="859"/>
      <c r="L2534" s="863"/>
      <c r="M2534" s="859"/>
      <c r="N2534" s="859"/>
      <c r="O2534" s="752">
        <f t="shared" si="330"/>
        <v>0</v>
      </c>
      <c r="P2534" s="862"/>
      <c r="Q2534" s="860"/>
      <c r="R2534" s="753">
        <f t="shared" si="333"/>
        <v>0</v>
      </c>
      <c r="S2534" s="752">
        <f t="shared" si="334"/>
        <v>0</v>
      </c>
      <c r="T2534" s="754">
        <f t="shared" si="335"/>
        <v>0</v>
      </c>
      <c r="U2534" s="859"/>
      <c r="V2534" s="863"/>
      <c r="W2534" s="859"/>
      <c r="X2534" s="859"/>
      <c r="Y2534" s="755">
        <f t="shared" si="331"/>
        <v>0</v>
      </c>
      <c r="Z2534" s="864"/>
      <c r="AA2534" s="863"/>
      <c r="AB2534" s="756">
        <f t="shared" si="332"/>
        <v>0</v>
      </c>
      <c r="AC2534" s="859">
        <v>20000</v>
      </c>
      <c r="AD2534" s="863">
        <v>20000</v>
      </c>
      <c r="AE2534" s="859"/>
      <c r="AF2534" s="859"/>
      <c r="AG2534" s="864"/>
      <c r="AH2534" s="865"/>
      <c r="AI2534" s="757">
        <f t="shared" si="336"/>
        <v>20000</v>
      </c>
      <c r="AJ2534" s="758">
        <f t="shared" si="337"/>
        <v>20000</v>
      </c>
    </row>
    <row r="2535" spans="1:36" x14ac:dyDescent="0.2">
      <c r="A2535" s="1421" t="s">
        <v>146</v>
      </c>
      <c r="B2535" s="1293" t="s">
        <v>303</v>
      </c>
      <c r="C2535" s="1439" t="s">
        <v>919</v>
      </c>
      <c r="D2535" s="1295"/>
      <c r="E2535" s="1258"/>
      <c r="F2535" s="1259"/>
      <c r="G2535" s="859"/>
      <c r="H2535" s="860"/>
      <c r="I2535" s="861"/>
      <c r="J2535" s="862"/>
      <c r="K2535" s="859"/>
      <c r="L2535" s="863"/>
      <c r="M2535" s="859"/>
      <c r="N2535" s="859"/>
      <c r="O2535" s="752">
        <f t="shared" si="330"/>
        <v>0</v>
      </c>
      <c r="P2535" s="862"/>
      <c r="Q2535" s="860"/>
      <c r="R2535" s="753">
        <f t="shared" si="333"/>
        <v>0</v>
      </c>
      <c r="S2535" s="752">
        <f t="shared" si="334"/>
        <v>0</v>
      </c>
      <c r="T2535" s="754">
        <f t="shared" si="335"/>
        <v>0</v>
      </c>
      <c r="U2535" s="859"/>
      <c r="V2535" s="863"/>
      <c r="W2535" s="859"/>
      <c r="X2535" s="859"/>
      <c r="Y2535" s="755">
        <f t="shared" si="331"/>
        <v>0</v>
      </c>
      <c r="Z2535" s="864"/>
      <c r="AA2535" s="863"/>
      <c r="AB2535" s="756">
        <f t="shared" si="332"/>
        <v>0</v>
      </c>
      <c r="AC2535" s="859"/>
      <c r="AD2535" s="863"/>
      <c r="AE2535" s="859"/>
      <c r="AF2535" s="859"/>
      <c r="AG2535" s="864"/>
      <c r="AH2535" s="865"/>
      <c r="AI2535" s="757">
        <f t="shared" si="336"/>
        <v>0</v>
      </c>
      <c r="AJ2535" s="758">
        <f t="shared" si="337"/>
        <v>0</v>
      </c>
    </row>
    <row r="2536" spans="1:36" x14ac:dyDescent="0.2">
      <c r="A2536" s="1421" t="s">
        <v>146</v>
      </c>
      <c r="B2536" s="1293" t="s">
        <v>303</v>
      </c>
      <c r="C2536" s="1284" t="s">
        <v>1764</v>
      </c>
      <c r="D2536" s="1283"/>
      <c r="E2536" s="1296"/>
      <c r="F2536" s="1297"/>
      <c r="G2536" s="859"/>
      <c r="H2536" s="860"/>
      <c r="I2536" s="861">
        <v>594390</v>
      </c>
      <c r="J2536" s="862">
        <v>594390</v>
      </c>
      <c r="K2536" s="859"/>
      <c r="L2536" s="863"/>
      <c r="M2536" s="859"/>
      <c r="N2536" s="859"/>
      <c r="O2536" s="752">
        <f t="shared" si="330"/>
        <v>0</v>
      </c>
      <c r="P2536" s="862"/>
      <c r="Q2536" s="860"/>
      <c r="R2536" s="753">
        <f t="shared" si="333"/>
        <v>0</v>
      </c>
      <c r="S2536" s="752">
        <f t="shared" si="334"/>
        <v>594390</v>
      </c>
      <c r="T2536" s="754">
        <f t="shared" si="335"/>
        <v>594390</v>
      </c>
      <c r="U2536" s="859"/>
      <c r="V2536" s="863"/>
      <c r="W2536" s="859"/>
      <c r="X2536" s="859"/>
      <c r="Y2536" s="755">
        <f t="shared" si="331"/>
        <v>0</v>
      </c>
      <c r="Z2536" s="864"/>
      <c r="AA2536" s="863"/>
      <c r="AB2536" s="756">
        <f t="shared" si="332"/>
        <v>0</v>
      </c>
      <c r="AC2536" s="859"/>
      <c r="AD2536" s="863"/>
      <c r="AE2536" s="859"/>
      <c r="AF2536" s="859"/>
      <c r="AG2536" s="864"/>
      <c r="AH2536" s="865"/>
      <c r="AI2536" s="757">
        <f t="shared" si="336"/>
        <v>594390</v>
      </c>
      <c r="AJ2536" s="758">
        <f t="shared" si="337"/>
        <v>594390</v>
      </c>
    </row>
    <row r="2537" spans="1:36" x14ac:dyDescent="0.2">
      <c r="A2537" s="1421" t="s">
        <v>146</v>
      </c>
      <c r="B2537" s="1293" t="s">
        <v>303</v>
      </c>
      <c r="C2537" s="1284" t="s">
        <v>1765</v>
      </c>
      <c r="D2537" s="1283"/>
      <c r="E2537" s="1296"/>
      <c r="F2537" s="1297"/>
      <c r="G2537" s="859"/>
      <c r="H2537" s="860"/>
      <c r="I2537" s="861">
        <v>1084899</v>
      </c>
      <c r="J2537" s="862">
        <v>1084899</v>
      </c>
      <c r="K2537" s="859"/>
      <c r="L2537" s="863"/>
      <c r="M2537" s="859"/>
      <c r="N2537" s="859"/>
      <c r="O2537" s="752">
        <f t="shared" si="330"/>
        <v>0</v>
      </c>
      <c r="P2537" s="862"/>
      <c r="Q2537" s="860"/>
      <c r="R2537" s="753">
        <f t="shared" si="333"/>
        <v>0</v>
      </c>
      <c r="S2537" s="752">
        <f t="shared" si="334"/>
        <v>1084899</v>
      </c>
      <c r="T2537" s="754">
        <f t="shared" si="335"/>
        <v>1084899</v>
      </c>
      <c r="U2537" s="859"/>
      <c r="V2537" s="863"/>
      <c r="W2537" s="859"/>
      <c r="X2537" s="859"/>
      <c r="Y2537" s="755">
        <f t="shared" si="331"/>
        <v>0</v>
      </c>
      <c r="Z2537" s="864"/>
      <c r="AA2537" s="863"/>
      <c r="AB2537" s="756">
        <f t="shared" si="332"/>
        <v>0</v>
      </c>
      <c r="AC2537" s="859"/>
      <c r="AD2537" s="863"/>
      <c r="AE2537" s="859"/>
      <c r="AF2537" s="859"/>
      <c r="AG2537" s="864"/>
      <c r="AH2537" s="865"/>
      <c r="AI2537" s="757">
        <f t="shared" si="336"/>
        <v>1084899</v>
      </c>
      <c r="AJ2537" s="758">
        <f t="shared" si="337"/>
        <v>1084899</v>
      </c>
    </row>
    <row r="2538" spans="1:36" x14ac:dyDescent="0.2">
      <c r="A2538" s="1421" t="s">
        <v>146</v>
      </c>
      <c r="B2538" s="1293" t="s">
        <v>303</v>
      </c>
      <c r="C2538" s="1429" t="s">
        <v>1766</v>
      </c>
      <c r="D2538" s="1430"/>
      <c r="E2538" s="1296"/>
      <c r="F2538" s="1297"/>
      <c r="G2538" s="859"/>
      <c r="H2538" s="860"/>
      <c r="I2538" s="861"/>
      <c r="J2538" s="862">
        <v>200000</v>
      </c>
      <c r="K2538" s="859"/>
      <c r="L2538" s="863"/>
      <c r="M2538" s="859"/>
      <c r="N2538" s="859"/>
      <c r="O2538" s="752">
        <f t="shared" si="330"/>
        <v>0</v>
      </c>
      <c r="P2538" s="862"/>
      <c r="Q2538" s="860"/>
      <c r="R2538" s="753">
        <f t="shared" si="333"/>
        <v>0</v>
      </c>
      <c r="S2538" s="752">
        <f t="shared" si="334"/>
        <v>0</v>
      </c>
      <c r="T2538" s="754">
        <f t="shared" si="335"/>
        <v>200000</v>
      </c>
      <c r="U2538" s="859"/>
      <c r="V2538" s="863"/>
      <c r="W2538" s="859"/>
      <c r="X2538" s="859"/>
      <c r="Y2538" s="755">
        <f t="shared" si="331"/>
        <v>0</v>
      </c>
      <c r="Z2538" s="864"/>
      <c r="AA2538" s="863"/>
      <c r="AB2538" s="756">
        <f t="shared" si="332"/>
        <v>0</v>
      </c>
      <c r="AC2538" s="859"/>
      <c r="AD2538" s="863"/>
      <c r="AE2538" s="859"/>
      <c r="AF2538" s="859"/>
      <c r="AG2538" s="864"/>
      <c r="AH2538" s="865"/>
      <c r="AI2538" s="757">
        <f t="shared" si="336"/>
        <v>0</v>
      </c>
      <c r="AJ2538" s="758">
        <f t="shared" si="337"/>
        <v>200000</v>
      </c>
    </row>
    <row r="2539" spans="1:36" x14ac:dyDescent="0.2">
      <c r="A2539" s="1421" t="s">
        <v>146</v>
      </c>
      <c r="B2539" s="1293" t="s">
        <v>303</v>
      </c>
      <c r="C2539" s="1284" t="s">
        <v>1767</v>
      </c>
      <c r="D2539" s="1283"/>
      <c r="E2539" s="1296"/>
      <c r="F2539" s="1297"/>
      <c r="G2539" s="859"/>
      <c r="H2539" s="860"/>
      <c r="I2539" s="861">
        <v>785099</v>
      </c>
      <c r="J2539" s="862">
        <v>785099</v>
      </c>
      <c r="K2539" s="859"/>
      <c r="L2539" s="863"/>
      <c r="M2539" s="859"/>
      <c r="N2539" s="859"/>
      <c r="O2539" s="752">
        <f t="shared" si="330"/>
        <v>0</v>
      </c>
      <c r="P2539" s="862"/>
      <c r="Q2539" s="860"/>
      <c r="R2539" s="753">
        <f t="shared" si="333"/>
        <v>0</v>
      </c>
      <c r="S2539" s="752">
        <f t="shared" si="334"/>
        <v>785099</v>
      </c>
      <c r="T2539" s="754">
        <f t="shared" si="335"/>
        <v>785099</v>
      </c>
      <c r="U2539" s="859"/>
      <c r="V2539" s="863"/>
      <c r="W2539" s="859"/>
      <c r="X2539" s="859"/>
      <c r="Y2539" s="755">
        <f t="shared" si="331"/>
        <v>0</v>
      </c>
      <c r="Z2539" s="864"/>
      <c r="AA2539" s="863"/>
      <c r="AB2539" s="756">
        <f t="shared" si="332"/>
        <v>0</v>
      </c>
      <c r="AC2539" s="859"/>
      <c r="AD2539" s="863"/>
      <c r="AE2539" s="859"/>
      <c r="AF2539" s="859"/>
      <c r="AG2539" s="864"/>
      <c r="AH2539" s="865"/>
      <c r="AI2539" s="757">
        <f t="shared" si="336"/>
        <v>785099</v>
      </c>
      <c r="AJ2539" s="758">
        <f t="shared" si="337"/>
        <v>785099</v>
      </c>
    </row>
    <row r="2540" spans="1:36" x14ac:dyDescent="0.2">
      <c r="A2540" s="1421" t="s">
        <v>146</v>
      </c>
      <c r="B2540" s="1293" t="s">
        <v>303</v>
      </c>
      <c r="C2540" s="1284" t="s">
        <v>1768</v>
      </c>
      <c r="D2540" s="1283"/>
      <c r="E2540" s="1296"/>
      <c r="F2540" s="1297"/>
      <c r="G2540" s="859"/>
      <c r="H2540" s="860"/>
      <c r="I2540" s="861"/>
      <c r="J2540" s="862">
        <v>0</v>
      </c>
      <c r="K2540" s="859"/>
      <c r="L2540" s="863"/>
      <c r="M2540" s="859"/>
      <c r="N2540" s="859"/>
      <c r="O2540" s="752">
        <f t="shared" si="330"/>
        <v>0</v>
      </c>
      <c r="P2540" s="862"/>
      <c r="Q2540" s="860"/>
      <c r="R2540" s="753">
        <f t="shared" si="333"/>
        <v>0</v>
      </c>
      <c r="S2540" s="752">
        <f t="shared" si="334"/>
        <v>0</v>
      </c>
      <c r="T2540" s="754">
        <f t="shared" si="335"/>
        <v>0</v>
      </c>
      <c r="U2540" s="859"/>
      <c r="V2540" s="863"/>
      <c r="W2540" s="859"/>
      <c r="X2540" s="859"/>
      <c r="Y2540" s="755">
        <f t="shared" si="331"/>
        <v>0</v>
      </c>
      <c r="Z2540" s="864"/>
      <c r="AA2540" s="863"/>
      <c r="AB2540" s="756">
        <f t="shared" si="332"/>
        <v>0</v>
      </c>
      <c r="AC2540" s="859"/>
      <c r="AD2540" s="863"/>
      <c r="AE2540" s="859"/>
      <c r="AF2540" s="859"/>
      <c r="AG2540" s="864"/>
      <c r="AH2540" s="865"/>
      <c r="AI2540" s="757">
        <f t="shared" si="336"/>
        <v>0</v>
      </c>
      <c r="AJ2540" s="758">
        <f t="shared" si="337"/>
        <v>0</v>
      </c>
    </row>
    <row r="2541" spans="1:36" x14ac:dyDescent="0.2">
      <c r="A2541" s="1421" t="s">
        <v>146</v>
      </c>
      <c r="B2541" s="1293" t="s">
        <v>303</v>
      </c>
      <c r="C2541" s="1284" t="s">
        <v>1769</v>
      </c>
      <c r="D2541" s="1283"/>
      <c r="E2541" s="1296"/>
      <c r="F2541" s="1297"/>
      <c r="G2541" s="859"/>
      <c r="H2541" s="860"/>
      <c r="I2541" s="861"/>
      <c r="J2541" s="862">
        <v>0</v>
      </c>
      <c r="K2541" s="859"/>
      <c r="L2541" s="863"/>
      <c r="M2541" s="859"/>
      <c r="N2541" s="859"/>
      <c r="O2541" s="752">
        <f t="shared" si="330"/>
        <v>0</v>
      </c>
      <c r="P2541" s="862"/>
      <c r="Q2541" s="860"/>
      <c r="R2541" s="753">
        <f t="shared" si="333"/>
        <v>0</v>
      </c>
      <c r="S2541" s="752">
        <f t="shared" si="334"/>
        <v>0</v>
      </c>
      <c r="T2541" s="754">
        <f t="shared" si="335"/>
        <v>0</v>
      </c>
      <c r="U2541" s="859"/>
      <c r="V2541" s="863"/>
      <c r="W2541" s="859"/>
      <c r="X2541" s="859"/>
      <c r="Y2541" s="755">
        <f t="shared" si="331"/>
        <v>0</v>
      </c>
      <c r="Z2541" s="864"/>
      <c r="AA2541" s="863"/>
      <c r="AB2541" s="756">
        <f t="shared" si="332"/>
        <v>0</v>
      </c>
      <c r="AC2541" s="859"/>
      <c r="AD2541" s="863"/>
      <c r="AE2541" s="859"/>
      <c r="AF2541" s="859"/>
      <c r="AG2541" s="864"/>
      <c r="AH2541" s="865"/>
      <c r="AI2541" s="757">
        <f t="shared" si="336"/>
        <v>0</v>
      </c>
      <c r="AJ2541" s="758">
        <f t="shared" si="337"/>
        <v>0</v>
      </c>
    </row>
    <row r="2542" spans="1:36" x14ac:dyDescent="0.2">
      <c r="A2542" s="1421" t="s">
        <v>146</v>
      </c>
      <c r="B2542" s="1293" t="s">
        <v>303</v>
      </c>
      <c r="C2542" s="1284" t="s">
        <v>1770</v>
      </c>
      <c r="D2542" s="1283"/>
      <c r="E2542" s="1296"/>
      <c r="F2542" s="1297"/>
      <c r="G2542" s="859"/>
      <c r="H2542" s="860"/>
      <c r="I2542" s="861">
        <v>177201</v>
      </c>
      <c r="J2542" s="862">
        <v>177201</v>
      </c>
      <c r="K2542" s="859"/>
      <c r="L2542" s="863"/>
      <c r="M2542" s="859"/>
      <c r="N2542" s="859"/>
      <c r="O2542" s="752">
        <f t="shared" si="330"/>
        <v>0</v>
      </c>
      <c r="P2542" s="862"/>
      <c r="Q2542" s="860"/>
      <c r="R2542" s="753">
        <f t="shared" si="333"/>
        <v>0</v>
      </c>
      <c r="S2542" s="752">
        <f t="shared" si="334"/>
        <v>177201</v>
      </c>
      <c r="T2542" s="754">
        <f t="shared" si="335"/>
        <v>177201</v>
      </c>
      <c r="U2542" s="859"/>
      <c r="V2542" s="863"/>
      <c r="W2542" s="859"/>
      <c r="X2542" s="859"/>
      <c r="Y2542" s="755">
        <f t="shared" si="331"/>
        <v>0</v>
      </c>
      <c r="Z2542" s="864"/>
      <c r="AA2542" s="863"/>
      <c r="AB2542" s="756">
        <f t="shared" si="332"/>
        <v>0</v>
      </c>
      <c r="AC2542" s="859"/>
      <c r="AD2542" s="863"/>
      <c r="AE2542" s="859"/>
      <c r="AF2542" s="859"/>
      <c r="AG2542" s="864"/>
      <c r="AH2542" s="865"/>
      <c r="AI2542" s="757">
        <f t="shared" si="336"/>
        <v>177201</v>
      </c>
      <c r="AJ2542" s="758">
        <f t="shared" si="337"/>
        <v>177201</v>
      </c>
    </row>
    <row r="2543" spans="1:36" x14ac:dyDescent="0.2">
      <c r="A2543" s="1421" t="s">
        <v>146</v>
      </c>
      <c r="B2543" s="1293" t="s">
        <v>303</v>
      </c>
      <c r="C2543" s="1284" t="s">
        <v>1771</v>
      </c>
      <c r="D2543" s="1283"/>
      <c r="E2543" s="1296"/>
      <c r="F2543" s="1297"/>
      <c r="G2543" s="859"/>
      <c r="H2543" s="860"/>
      <c r="I2543" s="861">
        <v>164289</v>
      </c>
      <c r="J2543" s="862">
        <v>164289</v>
      </c>
      <c r="K2543" s="859"/>
      <c r="L2543" s="863"/>
      <c r="M2543" s="859"/>
      <c r="N2543" s="859"/>
      <c r="O2543" s="752">
        <f t="shared" si="330"/>
        <v>0</v>
      </c>
      <c r="P2543" s="862"/>
      <c r="Q2543" s="860"/>
      <c r="R2543" s="753">
        <f t="shared" si="333"/>
        <v>0</v>
      </c>
      <c r="S2543" s="752">
        <f t="shared" si="334"/>
        <v>164289</v>
      </c>
      <c r="T2543" s="754">
        <f t="shared" si="335"/>
        <v>164289</v>
      </c>
      <c r="U2543" s="859"/>
      <c r="V2543" s="863"/>
      <c r="W2543" s="859"/>
      <c r="X2543" s="859"/>
      <c r="Y2543" s="755">
        <f t="shared" si="331"/>
        <v>0</v>
      </c>
      <c r="Z2543" s="864"/>
      <c r="AA2543" s="863"/>
      <c r="AB2543" s="756">
        <f t="shared" si="332"/>
        <v>0</v>
      </c>
      <c r="AC2543" s="859"/>
      <c r="AD2543" s="863"/>
      <c r="AE2543" s="859"/>
      <c r="AF2543" s="859"/>
      <c r="AG2543" s="864"/>
      <c r="AH2543" s="865"/>
      <c r="AI2543" s="757">
        <f t="shared" si="336"/>
        <v>164289</v>
      </c>
      <c r="AJ2543" s="758">
        <f t="shared" si="337"/>
        <v>164289</v>
      </c>
    </row>
    <row r="2544" spans="1:36" x14ac:dyDescent="0.2">
      <c r="A2544" s="1421" t="s">
        <v>146</v>
      </c>
      <c r="B2544" s="1293" t="s">
        <v>303</v>
      </c>
      <c r="C2544" s="1284" t="s">
        <v>1772</v>
      </c>
      <c r="D2544" s="1283"/>
      <c r="E2544" s="1258"/>
      <c r="F2544" s="1259"/>
      <c r="G2544" s="859"/>
      <c r="H2544" s="860"/>
      <c r="I2544" s="861">
        <v>161314</v>
      </c>
      <c r="J2544" s="862">
        <v>1279330</v>
      </c>
      <c r="K2544" s="859"/>
      <c r="L2544" s="863"/>
      <c r="M2544" s="859"/>
      <c r="N2544" s="859"/>
      <c r="O2544" s="752">
        <f t="shared" si="330"/>
        <v>0</v>
      </c>
      <c r="P2544" s="862"/>
      <c r="Q2544" s="860"/>
      <c r="R2544" s="753">
        <f t="shared" si="333"/>
        <v>0</v>
      </c>
      <c r="S2544" s="752">
        <f t="shared" si="334"/>
        <v>161314</v>
      </c>
      <c r="T2544" s="754">
        <f t="shared" si="335"/>
        <v>1279330</v>
      </c>
      <c r="U2544" s="859"/>
      <c r="V2544" s="863"/>
      <c r="W2544" s="859"/>
      <c r="X2544" s="859"/>
      <c r="Y2544" s="755">
        <f t="shared" si="331"/>
        <v>0</v>
      </c>
      <c r="Z2544" s="864"/>
      <c r="AA2544" s="863"/>
      <c r="AB2544" s="756">
        <f t="shared" si="332"/>
        <v>0</v>
      </c>
      <c r="AC2544" s="859"/>
      <c r="AD2544" s="863"/>
      <c r="AE2544" s="859"/>
      <c r="AF2544" s="859"/>
      <c r="AG2544" s="864"/>
      <c r="AH2544" s="865"/>
      <c r="AI2544" s="757">
        <f t="shared" si="336"/>
        <v>161314</v>
      </c>
      <c r="AJ2544" s="758">
        <f t="shared" si="337"/>
        <v>1279330</v>
      </c>
    </row>
    <row r="2545" spans="1:36" x14ac:dyDescent="0.2">
      <c r="A2545" s="1421" t="s">
        <v>146</v>
      </c>
      <c r="B2545" s="1293" t="s">
        <v>303</v>
      </c>
      <c r="C2545" s="1284" t="s">
        <v>1773</v>
      </c>
      <c r="D2545" s="1283"/>
      <c r="E2545" s="1424"/>
      <c r="F2545" s="1259"/>
      <c r="G2545" s="859"/>
      <c r="H2545" s="860"/>
      <c r="I2545" s="861">
        <v>179178</v>
      </c>
      <c r="J2545" s="862">
        <v>179178</v>
      </c>
      <c r="K2545" s="859"/>
      <c r="L2545" s="863"/>
      <c r="M2545" s="859"/>
      <c r="N2545" s="859"/>
      <c r="O2545" s="752">
        <f t="shared" si="330"/>
        <v>0</v>
      </c>
      <c r="P2545" s="862"/>
      <c r="Q2545" s="860"/>
      <c r="R2545" s="753">
        <f t="shared" si="333"/>
        <v>0</v>
      </c>
      <c r="S2545" s="752">
        <f t="shared" si="334"/>
        <v>179178</v>
      </c>
      <c r="T2545" s="754">
        <f t="shared" si="335"/>
        <v>179178</v>
      </c>
      <c r="U2545" s="859"/>
      <c r="V2545" s="863"/>
      <c r="W2545" s="859"/>
      <c r="X2545" s="859"/>
      <c r="Y2545" s="755">
        <f t="shared" si="331"/>
        <v>0</v>
      </c>
      <c r="Z2545" s="864"/>
      <c r="AA2545" s="863"/>
      <c r="AB2545" s="756">
        <f t="shared" si="332"/>
        <v>0</v>
      </c>
      <c r="AC2545" s="859"/>
      <c r="AD2545" s="863"/>
      <c r="AE2545" s="859"/>
      <c r="AF2545" s="859"/>
      <c r="AG2545" s="864"/>
      <c r="AH2545" s="865"/>
      <c r="AI2545" s="757">
        <f t="shared" si="336"/>
        <v>179178</v>
      </c>
      <c r="AJ2545" s="758">
        <f t="shared" si="337"/>
        <v>179178</v>
      </c>
    </row>
    <row r="2546" spans="1:36" x14ac:dyDescent="0.2">
      <c r="A2546" s="1421" t="s">
        <v>146</v>
      </c>
      <c r="B2546" s="1293" t="s">
        <v>303</v>
      </c>
      <c r="C2546" s="1284" t="s">
        <v>1707</v>
      </c>
      <c r="D2546" s="1283"/>
      <c r="E2546" s="1424"/>
      <c r="F2546" s="1259"/>
      <c r="G2546" s="859"/>
      <c r="H2546" s="860"/>
      <c r="I2546" s="1440">
        <v>31395</v>
      </c>
      <c r="J2546" s="862">
        <v>31376</v>
      </c>
      <c r="K2546" s="859"/>
      <c r="L2546" s="863"/>
      <c r="M2546" s="859"/>
      <c r="N2546" s="859"/>
      <c r="O2546" s="752">
        <f t="shared" si="330"/>
        <v>0</v>
      </c>
      <c r="P2546" s="862"/>
      <c r="Q2546" s="860"/>
      <c r="R2546" s="753">
        <f t="shared" si="333"/>
        <v>0</v>
      </c>
      <c r="S2546" s="752">
        <f t="shared" si="334"/>
        <v>31395</v>
      </c>
      <c r="T2546" s="754">
        <f t="shared" si="335"/>
        <v>31376</v>
      </c>
      <c r="U2546" s="859"/>
      <c r="V2546" s="863"/>
      <c r="W2546" s="859"/>
      <c r="X2546" s="859"/>
      <c r="Y2546" s="755">
        <f t="shared" si="331"/>
        <v>0</v>
      </c>
      <c r="Z2546" s="864"/>
      <c r="AA2546" s="863"/>
      <c r="AB2546" s="756">
        <f t="shared" si="332"/>
        <v>0</v>
      </c>
      <c r="AC2546" s="859"/>
      <c r="AD2546" s="863"/>
      <c r="AE2546" s="859"/>
      <c r="AF2546" s="859"/>
      <c r="AG2546" s="864"/>
      <c r="AH2546" s="865"/>
      <c r="AI2546" s="757">
        <f t="shared" si="336"/>
        <v>31395</v>
      </c>
      <c r="AJ2546" s="758">
        <f t="shared" si="337"/>
        <v>31376</v>
      </c>
    </row>
    <row r="2547" spans="1:36" x14ac:dyDescent="0.2">
      <c r="A2547" s="1421" t="s">
        <v>146</v>
      </c>
      <c r="B2547" s="1293" t="s">
        <v>281</v>
      </c>
      <c r="C2547" s="1439" t="s">
        <v>109</v>
      </c>
      <c r="D2547" s="1295"/>
      <c r="E2547" s="1258"/>
      <c r="F2547" s="1259"/>
      <c r="G2547" s="859"/>
      <c r="H2547" s="860"/>
      <c r="I2547" s="861"/>
      <c r="J2547" s="862"/>
      <c r="K2547" s="859"/>
      <c r="L2547" s="863"/>
      <c r="M2547" s="859"/>
      <c r="N2547" s="859"/>
      <c r="O2547" s="752">
        <f t="shared" si="330"/>
        <v>0</v>
      </c>
      <c r="P2547" s="862"/>
      <c r="Q2547" s="860"/>
      <c r="R2547" s="753">
        <f t="shared" si="333"/>
        <v>0</v>
      </c>
      <c r="S2547" s="752">
        <f t="shared" si="334"/>
        <v>0</v>
      </c>
      <c r="T2547" s="754">
        <f t="shared" si="335"/>
        <v>0</v>
      </c>
      <c r="U2547" s="859"/>
      <c r="V2547" s="863"/>
      <c r="W2547" s="859"/>
      <c r="X2547" s="859"/>
      <c r="Y2547" s="755">
        <f t="shared" si="331"/>
        <v>0</v>
      </c>
      <c r="Z2547" s="864"/>
      <c r="AA2547" s="863"/>
      <c r="AB2547" s="756">
        <f t="shared" si="332"/>
        <v>0</v>
      </c>
      <c r="AC2547" s="859"/>
      <c r="AD2547" s="863"/>
      <c r="AE2547" s="859"/>
      <c r="AF2547" s="859"/>
      <c r="AG2547" s="864"/>
      <c r="AH2547" s="865"/>
      <c r="AI2547" s="757">
        <f t="shared" si="336"/>
        <v>0</v>
      </c>
      <c r="AJ2547" s="758">
        <f t="shared" si="337"/>
        <v>0</v>
      </c>
    </row>
    <row r="2548" spans="1:36" x14ac:dyDescent="0.2">
      <c r="A2548" s="1421" t="s">
        <v>146</v>
      </c>
      <c r="B2548" s="1293" t="s">
        <v>282</v>
      </c>
      <c r="C2548" s="1282" t="s">
        <v>140</v>
      </c>
      <c r="D2548" s="1283"/>
      <c r="E2548" s="1258"/>
      <c r="F2548" s="1259"/>
      <c r="G2548" s="859"/>
      <c r="H2548" s="860"/>
      <c r="I2548" s="861"/>
      <c r="J2548" s="862"/>
      <c r="K2548" s="859"/>
      <c r="L2548" s="863"/>
      <c r="M2548" s="859"/>
      <c r="N2548" s="859"/>
      <c r="O2548" s="752">
        <f t="shared" si="330"/>
        <v>0</v>
      </c>
      <c r="P2548" s="862"/>
      <c r="Q2548" s="860"/>
      <c r="R2548" s="753">
        <f t="shared" si="333"/>
        <v>0</v>
      </c>
      <c r="S2548" s="752">
        <f t="shared" si="334"/>
        <v>0</v>
      </c>
      <c r="T2548" s="754">
        <f t="shared" si="335"/>
        <v>0</v>
      </c>
      <c r="U2548" s="859"/>
      <c r="V2548" s="863"/>
      <c r="W2548" s="859"/>
      <c r="X2548" s="859"/>
      <c r="Y2548" s="755">
        <f t="shared" si="331"/>
        <v>0</v>
      </c>
      <c r="Z2548" s="864"/>
      <c r="AA2548" s="863"/>
      <c r="AB2548" s="756">
        <f t="shared" si="332"/>
        <v>0</v>
      </c>
      <c r="AC2548" s="859"/>
      <c r="AD2548" s="863"/>
      <c r="AE2548" s="859"/>
      <c r="AF2548" s="859"/>
      <c r="AG2548" s="864"/>
      <c r="AH2548" s="865"/>
      <c r="AI2548" s="757">
        <f t="shared" si="336"/>
        <v>0</v>
      </c>
      <c r="AJ2548" s="758">
        <f t="shared" si="337"/>
        <v>0</v>
      </c>
    </row>
    <row r="2549" spans="1:36" x14ac:dyDescent="0.2">
      <c r="A2549" s="1421" t="s">
        <v>146</v>
      </c>
      <c r="B2549" s="1293" t="s">
        <v>282</v>
      </c>
      <c r="C2549" s="1284" t="s">
        <v>1774</v>
      </c>
      <c r="D2549" s="1283"/>
      <c r="E2549" s="1258"/>
      <c r="F2549" s="1259"/>
      <c r="G2549" s="859"/>
      <c r="H2549" s="860"/>
      <c r="I2549" s="861"/>
      <c r="J2549" s="862"/>
      <c r="K2549" s="859"/>
      <c r="L2549" s="863"/>
      <c r="M2549" s="859"/>
      <c r="N2549" s="859"/>
      <c r="O2549" s="752">
        <f t="shared" si="330"/>
        <v>0</v>
      </c>
      <c r="P2549" s="862"/>
      <c r="Q2549" s="860"/>
      <c r="R2549" s="753">
        <f t="shared" si="333"/>
        <v>0</v>
      </c>
      <c r="S2549" s="752">
        <f t="shared" si="334"/>
        <v>0</v>
      </c>
      <c r="T2549" s="754">
        <f t="shared" si="335"/>
        <v>0</v>
      </c>
      <c r="U2549" s="859">
        <v>1939178</v>
      </c>
      <c r="V2549" s="863">
        <v>2131281</v>
      </c>
      <c r="W2549" s="859"/>
      <c r="X2549" s="859"/>
      <c r="Y2549" s="755">
        <f t="shared" si="331"/>
        <v>0</v>
      </c>
      <c r="Z2549" s="864"/>
      <c r="AA2549" s="863"/>
      <c r="AB2549" s="756">
        <f t="shared" si="332"/>
        <v>0</v>
      </c>
      <c r="AC2549" s="859"/>
      <c r="AD2549" s="863"/>
      <c r="AE2549" s="859"/>
      <c r="AF2549" s="859"/>
      <c r="AG2549" s="864"/>
      <c r="AH2549" s="865"/>
      <c r="AI2549" s="757">
        <f t="shared" si="336"/>
        <v>1939178</v>
      </c>
      <c r="AJ2549" s="758">
        <f t="shared" si="337"/>
        <v>2131281</v>
      </c>
    </row>
    <row r="2550" spans="1:36" x14ac:dyDescent="0.2">
      <c r="A2550" s="1421" t="s">
        <v>146</v>
      </c>
      <c r="B2550" s="1293" t="s">
        <v>282</v>
      </c>
      <c r="C2550" s="1284" t="s">
        <v>1775</v>
      </c>
      <c r="D2550" s="1283"/>
      <c r="E2550" s="1424"/>
      <c r="F2550" s="1259"/>
      <c r="G2550" s="859"/>
      <c r="H2550" s="860"/>
      <c r="I2550" s="861"/>
      <c r="J2550" s="862"/>
      <c r="K2550" s="859"/>
      <c r="L2550" s="863"/>
      <c r="M2550" s="859"/>
      <c r="N2550" s="859"/>
      <c r="O2550" s="752">
        <f t="shared" si="330"/>
        <v>0</v>
      </c>
      <c r="P2550" s="862"/>
      <c r="Q2550" s="860"/>
      <c r="R2550" s="753">
        <f t="shared" si="333"/>
        <v>0</v>
      </c>
      <c r="S2550" s="752">
        <f t="shared" si="334"/>
        <v>0</v>
      </c>
      <c r="T2550" s="754">
        <f t="shared" si="335"/>
        <v>0</v>
      </c>
      <c r="U2550" s="859">
        <v>1180576</v>
      </c>
      <c r="V2550" s="863">
        <v>1180576</v>
      </c>
      <c r="W2550" s="859"/>
      <c r="X2550" s="859"/>
      <c r="Y2550" s="755">
        <f t="shared" si="331"/>
        <v>0</v>
      </c>
      <c r="Z2550" s="864"/>
      <c r="AA2550" s="863"/>
      <c r="AB2550" s="756">
        <f t="shared" si="332"/>
        <v>0</v>
      </c>
      <c r="AC2550" s="859"/>
      <c r="AD2550" s="863"/>
      <c r="AE2550" s="859"/>
      <c r="AF2550" s="859"/>
      <c r="AG2550" s="864"/>
      <c r="AH2550" s="865"/>
      <c r="AI2550" s="757">
        <f t="shared" si="336"/>
        <v>1180576</v>
      </c>
      <c r="AJ2550" s="758">
        <f t="shared" si="337"/>
        <v>1180576</v>
      </c>
    </row>
    <row r="2551" spans="1:36" x14ac:dyDescent="0.2">
      <c r="A2551" s="1421" t="s">
        <v>146</v>
      </c>
      <c r="B2551" s="1293" t="s">
        <v>282</v>
      </c>
      <c r="C2551" s="1284" t="s">
        <v>1707</v>
      </c>
      <c r="D2551" s="1283"/>
      <c r="E2551" s="1424"/>
      <c r="F2551" s="1259"/>
      <c r="G2551" s="859"/>
      <c r="H2551" s="860"/>
      <c r="I2551" s="861"/>
      <c r="J2551" s="862"/>
      <c r="K2551" s="859"/>
      <c r="L2551" s="863"/>
      <c r="M2551" s="859"/>
      <c r="N2551" s="859"/>
      <c r="O2551" s="752">
        <f t="shared" si="330"/>
        <v>0</v>
      </c>
      <c r="P2551" s="862"/>
      <c r="Q2551" s="860"/>
      <c r="R2551" s="753">
        <f t="shared" si="333"/>
        <v>0</v>
      </c>
      <c r="S2551" s="752">
        <f t="shared" si="334"/>
        <v>0</v>
      </c>
      <c r="T2551" s="754">
        <f t="shared" si="335"/>
        <v>0</v>
      </c>
      <c r="U2551" s="859"/>
      <c r="V2551" s="863"/>
      <c r="W2551" s="859"/>
      <c r="X2551" s="859"/>
      <c r="Y2551" s="755">
        <f t="shared" si="331"/>
        <v>0</v>
      </c>
      <c r="Z2551" s="864"/>
      <c r="AA2551" s="863"/>
      <c r="AB2551" s="756">
        <f t="shared" si="332"/>
        <v>0</v>
      </c>
      <c r="AC2551" s="859"/>
      <c r="AD2551" s="863"/>
      <c r="AE2551" s="859"/>
      <c r="AF2551" s="859"/>
      <c r="AG2551" s="864"/>
      <c r="AH2551" s="865"/>
      <c r="AI2551" s="757">
        <f t="shared" si="336"/>
        <v>0</v>
      </c>
      <c r="AJ2551" s="758">
        <f t="shared" si="337"/>
        <v>0</v>
      </c>
    </row>
    <row r="2552" spans="1:36" x14ac:dyDescent="0.2">
      <c r="A2552" s="1421" t="s">
        <v>146</v>
      </c>
      <c r="B2552" s="1293" t="s">
        <v>282</v>
      </c>
      <c r="C2552" s="1284" t="s">
        <v>1776</v>
      </c>
      <c r="D2552" s="1283"/>
      <c r="E2552" s="1424"/>
      <c r="F2552" s="1259"/>
      <c r="G2552" s="859"/>
      <c r="H2552" s="860"/>
      <c r="I2552" s="861"/>
      <c r="J2552" s="862"/>
      <c r="K2552" s="859"/>
      <c r="L2552" s="863"/>
      <c r="M2552" s="859"/>
      <c r="N2552" s="859"/>
      <c r="O2552" s="752">
        <f t="shared" si="330"/>
        <v>0</v>
      </c>
      <c r="P2552" s="862"/>
      <c r="Q2552" s="860"/>
      <c r="R2552" s="753">
        <f t="shared" si="333"/>
        <v>0</v>
      </c>
      <c r="S2552" s="752">
        <f t="shared" si="334"/>
        <v>0</v>
      </c>
      <c r="T2552" s="754">
        <f t="shared" si="335"/>
        <v>0</v>
      </c>
      <c r="U2552" s="859"/>
      <c r="V2552" s="863"/>
      <c r="W2552" s="859"/>
      <c r="X2552" s="859"/>
      <c r="Y2552" s="755">
        <f t="shared" si="331"/>
        <v>0</v>
      </c>
      <c r="Z2552" s="864"/>
      <c r="AA2552" s="863"/>
      <c r="AB2552" s="756">
        <f t="shared" si="332"/>
        <v>0</v>
      </c>
      <c r="AC2552" s="859"/>
      <c r="AD2552" s="863"/>
      <c r="AE2552" s="859"/>
      <c r="AF2552" s="859"/>
      <c r="AG2552" s="864"/>
      <c r="AH2552" s="865"/>
      <c r="AI2552" s="757">
        <f t="shared" si="336"/>
        <v>0</v>
      </c>
      <c r="AJ2552" s="758">
        <f t="shared" si="337"/>
        <v>0</v>
      </c>
    </row>
    <row r="2553" spans="1:36" x14ac:dyDescent="0.2">
      <c r="A2553" s="1421" t="s">
        <v>146</v>
      </c>
      <c r="B2553" s="1293" t="s">
        <v>282</v>
      </c>
      <c r="C2553" s="1284" t="s">
        <v>1777</v>
      </c>
      <c r="D2553" s="1283"/>
      <c r="E2553" s="1424"/>
      <c r="F2553" s="1259"/>
      <c r="G2553" s="859"/>
      <c r="H2553" s="860"/>
      <c r="I2553" s="861"/>
      <c r="J2553" s="862"/>
      <c r="K2553" s="859"/>
      <c r="L2553" s="863"/>
      <c r="M2553" s="859"/>
      <c r="N2553" s="859"/>
      <c r="O2553" s="752">
        <f t="shared" si="330"/>
        <v>0</v>
      </c>
      <c r="P2553" s="862"/>
      <c r="Q2553" s="860"/>
      <c r="R2553" s="753">
        <f t="shared" si="333"/>
        <v>0</v>
      </c>
      <c r="S2553" s="752">
        <f t="shared" si="334"/>
        <v>0</v>
      </c>
      <c r="T2553" s="754">
        <f t="shared" si="335"/>
        <v>0</v>
      </c>
      <c r="U2553" s="859">
        <v>89968</v>
      </c>
      <c r="V2553" s="863">
        <v>89968</v>
      </c>
      <c r="W2553" s="859"/>
      <c r="X2553" s="859"/>
      <c r="Y2553" s="755">
        <f t="shared" si="331"/>
        <v>0</v>
      </c>
      <c r="Z2553" s="864"/>
      <c r="AA2553" s="863"/>
      <c r="AB2553" s="756">
        <f t="shared" si="332"/>
        <v>0</v>
      </c>
      <c r="AC2553" s="859"/>
      <c r="AD2553" s="863"/>
      <c r="AE2553" s="859"/>
      <c r="AF2553" s="859"/>
      <c r="AG2553" s="864"/>
      <c r="AH2553" s="865"/>
      <c r="AI2553" s="757">
        <f t="shared" si="336"/>
        <v>89968</v>
      </c>
      <c r="AJ2553" s="758">
        <f t="shared" si="337"/>
        <v>89968</v>
      </c>
    </row>
    <row r="2554" spans="1:36" x14ac:dyDescent="0.2">
      <c r="A2554" s="1421" t="s">
        <v>146</v>
      </c>
      <c r="B2554" s="1293" t="s">
        <v>282</v>
      </c>
      <c r="C2554" s="1284" t="s">
        <v>1778</v>
      </c>
      <c r="D2554" s="1283"/>
      <c r="E2554" s="1424"/>
      <c r="F2554" s="1259"/>
      <c r="G2554" s="859"/>
      <c r="H2554" s="860"/>
      <c r="I2554" s="861"/>
      <c r="J2554" s="862"/>
      <c r="K2554" s="859"/>
      <c r="L2554" s="863"/>
      <c r="M2554" s="859"/>
      <c r="N2554" s="859"/>
      <c r="O2554" s="752">
        <f t="shared" si="330"/>
        <v>0</v>
      </c>
      <c r="P2554" s="862"/>
      <c r="Q2554" s="860"/>
      <c r="R2554" s="753">
        <f t="shared" si="333"/>
        <v>0</v>
      </c>
      <c r="S2554" s="752">
        <f t="shared" si="334"/>
        <v>0</v>
      </c>
      <c r="T2554" s="754">
        <f t="shared" si="335"/>
        <v>0</v>
      </c>
      <c r="U2554" s="859">
        <v>260000</v>
      </c>
      <c r="V2554" s="863"/>
      <c r="W2554" s="859"/>
      <c r="X2554" s="859"/>
      <c r="Y2554" s="755">
        <f t="shared" si="331"/>
        <v>0</v>
      </c>
      <c r="Z2554" s="864"/>
      <c r="AA2554" s="863"/>
      <c r="AB2554" s="756">
        <f t="shared" si="332"/>
        <v>0</v>
      </c>
      <c r="AC2554" s="859"/>
      <c r="AD2554" s="863"/>
      <c r="AE2554" s="859"/>
      <c r="AF2554" s="859"/>
      <c r="AG2554" s="864"/>
      <c r="AH2554" s="865"/>
      <c r="AI2554" s="757">
        <f t="shared" si="336"/>
        <v>260000</v>
      </c>
      <c r="AJ2554" s="758">
        <f t="shared" si="337"/>
        <v>0</v>
      </c>
    </row>
    <row r="2555" spans="1:36" x14ac:dyDescent="0.2">
      <c r="A2555" s="1421" t="s">
        <v>146</v>
      </c>
      <c r="B2555" s="1293" t="s">
        <v>283</v>
      </c>
      <c r="C2555" s="1282" t="s">
        <v>139</v>
      </c>
      <c r="D2555" s="1283"/>
      <c r="E2555" s="1258"/>
      <c r="F2555" s="1259"/>
      <c r="G2555" s="859"/>
      <c r="H2555" s="860"/>
      <c r="I2555" s="861"/>
      <c r="J2555" s="862"/>
      <c r="K2555" s="859"/>
      <c r="L2555" s="863"/>
      <c r="M2555" s="859"/>
      <c r="N2555" s="859"/>
      <c r="O2555" s="752">
        <f t="shared" si="330"/>
        <v>0</v>
      </c>
      <c r="P2555" s="862"/>
      <c r="Q2555" s="860"/>
      <c r="R2555" s="753">
        <f t="shared" si="333"/>
        <v>0</v>
      </c>
      <c r="S2555" s="752">
        <f t="shared" si="334"/>
        <v>0</v>
      </c>
      <c r="T2555" s="754">
        <f t="shared" si="335"/>
        <v>0</v>
      </c>
      <c r="U2555" s="859"/>
      <c r="V2555" s="863"/>
      <c r="W2555" s="859"/>
      <c r="X2555" s="859"/>
      <c r="Y2555" s="755">
        <f t="shared" si="331"/>
        <v>0</v>
      </c>
      <c r="Z2555" s="864"/>
      <c r="AA2555" s="863"/>
      <c r="AB2555" s="756">
        <f t="shared" si="332"/>
        <v>0</v>
      </c>
      <c r="AC2555" s="859"/>
      <c r="AD2555" s="863"/>
      <c r="AE2555" s="859"/>
      <c r="AF2555" s="859"/>
      <c r="AG2555" s="864"/>
      <c r="AH2555" s="865"/>
      <c r="AI2555" s="757">
        <f t="shared" si="336"/>
        <v>0</v>
      </c>
      <c r="AJ2555" s="758">
        <f t="shared" si="337"/>
        <v>0</v>
      </c>
    </row>
    <row r="2556" spans="1:36" x14ac:dyDescent="0.2">
      <c r="A2556" s="1421" t="s">
        <v>146</v>
      </c>
      <c r="B2556" s="1293" t="s">
        <v>283</v>
      </c>
      <c r="C2556" s="1284" t="s">
        <v>1779</v>
      </c>
      <c r="D2556" s="1283"/>
      <c r="E2556" s="1258"/>
      <c r="F2556" s="1259"/>
      <c r="G2556" s="859"/>
      <c r="H2556" s="860"/>
      <c r="I2556" s="861"/>
      <c r="J2556" s="862"/>
      <c r="K2556" s="859"/>
      <c r="L2556" s="863"/>
      <c r="M2556" s="859"/>
      <c r="N2556" s="859"/>
      <c r="O2556" s="752">
        <f t="shared" si="330"/>
        <v>0</v>
      </c>
      <c r="P2556" s="862"/>
      <c r="Q2556" s="860"/>
      <c r="R2556" s="753">
        <f t="shared" si="333"/>
        <v>0</v>
      </c>
      <c r="S2556" s="752">
        <f t="shared" si="334"/>
        <v>0</v>
      </c>
      <c r="T2556" s="754">
        <f t="shared" si="335"/>
        <v>0</v>
      </c>
      <c r="U2556" s="859">
        <v>3151578</v>
      </c>
      <c r="V2556" s="863">
        <v>3405058</v>
      </c>
      <c r="W2556" s="859"/>
      <c r="X2556" s="859"/>
      <c r="Y2556" s="755">
        <f t="shared" si="331"/>
        <v>0</v>
      </c>
      <c r="Z2556" s="864"/>
      <c r="AA2556" s="863"/>
      <c r="AB2556" s="756">
        <f t="shared" si="332"/>
        <v>0</v>
      </c>
      <c r="AC2556" s="859"/>
      <c r="AD2556" s="863"/>
      <c r="AE2556" s="859"/>
      <c r="AF2556" s="859"/>
      <c r="AG2556" s="864"/>
      <c r="AH2556" s="865"/>
      <c r="AI2556" s="757">
        <f t="shared" si="336"/>
        <v>3151578</v>
      </c>
      <c r="AJ2556" s="758">
        <f t="shared" si="337"/>
        <v>3405058</v>
      </c>
    </row>
    <row r="2557" spans="1:36" x14ac:dyDescent="0.2">
      <c r="A2557" s="1421" t="s">
        <v>146</v>
      </c>
      <c r="B2557" s="1293" t="s">
        <v>283</v>
      </c>
      <c r="C2557" s="1284" t="s">
        <v>1780</v>
      </c>
      <c r="D2557" s="1283"/>
      <c r="E2557" s="1258"/>
      <c r="F2557" s="1259"/>
      <c r="G2557" s="859"/>
      <c r="H2557" s="860"/>
      <c r="I2557" s="861"/>
      <c r="J2557" s="862"/>
      <c r="K2557" s="859"/>
      <c r="L2557" s="863"/>
      <c r="M2557" s="859"/>
      <c r="N2557" s="859"/>
      <c r="O2557" s="752">
        <f t="shared" si="330"/>
        <v>0</v>
      </c>
      <c r="P2557" s="862"/>
      <c r="Q2557" s="860"/>
      <c r="R2557" s="753">
        <f t="shared" si="333"/>
        <v>0</v>
      </c>
      <c r="S2557" s="752">
        <f t="shared" si="334"/>
        <v>0</v>
      </c>
      <c r="T2557" s="754">
        <f t="shared" si="335"/>
        <v>0</v>
      </c>
      <c r="U2557" s="859">
        <v>1711596</v>
      </c>
      <c r="V2557" s="863">
        <v>1935408</v>
      </c>
      <c r="W2557" s="859"/>
      <c r="X2557" s="859"/>
      <c r="Y2557" s="755">
        <f t="shared" si="331"/>
        <v>0</v>
      </c>
      <c r="Z2557" s="864"/>
      <c r="AA2557" s="863"/>
      <c r="AB2557" s="756">
        <f t="shared" si="332"/>
        <v>0</v>
      </c>
      <c r="AC2557" s="859"/>
      <c r="AD2557" s="863"/>
      <c r="AE2557" s="859"/>
      <c r="AF2557" s="859"/>
      <c r="AG2557" s="864"/>
      <c r="AH2557" s="865"/>
      <c r="AI2557" s="757">
        <f t="shared" si="336"/>
        <v>1711596</v>
      </c>
      <c r="AJ2557" s="758">
        <f t="shared" si="337"/>
        <v>1935408</v>
      </c>
    </row>
    <row r="2558" spans="1:36" x14ac:dyDescent="0.2">
      <c r="A2558" s="1421" t="s">
        <v>146</v>
      </c>
      <c r="B2558" s="1293" t="s">
        <v>283</v>
      </c>
      <c r="C2558" s="1284" t="s">
        <v>1781</v>
      </c>
      <c r="D2558" s="1283"/>
      <c r="E2558" s="1258"/>
      <c r="F2558" s="1259"/>
      <c r="G2558" s="859"/>
      <c r="H2558" s="860"/>
      <c r="I2558" s="861"/>
      <c r="J2558" s="862"/>
      <c r="K2558" s="859"/>
      <c r="L2558" s="863"/>
      <c r="M2558" s="859"/>
      <c r="N2558" s="859"/>
      <c r="O2558" s="752">
        <f t="shared" si="330"/>
        <v>0</v>
      </c>
      <c r="P2558" s="862"/>
      <c r="Q2558" s="860"/>
      <c r="R2558" s="753">
        <f t="shared" si="333"/>
        <v>0</v>
      </c>
      <c r="S2558" s="752">
        <f t="shared" si="334"/>
        <v>0</v>
      </c>
      <c r="T2558" s="754">
        <f t="shared" si="335"/>
        <v>0</v>
      </c>
      <c r="U2558" s="859">
        <v>813646</v>
      </c>
      <c r="V2558" s="863"/>
      <c r="W2558" s="859"/>
      <c r="X2558" s="859"/>
      <c r="Y2558" s="755">
        <f t="shared" si="331"/>
        <v>0</v>
      </c>
      <c r="Z2558" s="864"/>
      <c r="AA2558" s="863"/>
      <c r="AB2558" s="756">
        <f t="shared" si="332"/>
        <v>0</v>
      </c>
      <c r="AC2558" s="859"/>
      <c r="AD2558" s="863"/>
      <c r="AE2558" s="859"/>
      <c r="AF2558" s="859"/>
      <c r="AG2558" s="864"/>
      <c r="AH2558" s="865"/>
      <c r="AI2558" s="757">
        <f t="shared" si="336"/>
        <v>813646</v>
      </c>
      <c r="AJ2558" s="758">
        <f t="shared" si="337"/>
        <v>0</v>
      </c>
    </row>
    <row r="2559" spans="1:36" x14ac:dyDescent="0.2">
      <c r="A2559" s="1421" t="s">
        <v>146</v>
      </c>
      <c r="B2559" s="1293" t="s">
        <v>283</v>
      </c>
      <c r="C2559" s="1429" t="s">
        <v>1782</v>
      </c>
      <c r="D2559" s="1430"/>
      <c r="E2559" s="1258"/>
      <c r="F2559" s="1259"/>
      <c r="G2559" s="859"/>
      <c r="H2559" s="860"/>
      <c r="I2559" s="861"/>
      <c r="J2559" s="862"/>
      <c r="K2559" s="859"/>
      <c r="L2559" s="863"/>
      <c r="M2559" s="859"/>
      <c r="N2559" s="859"/>
      <c r="O2559" s="752">
        <f t="shared" si="330"/>
        <v>0</v>
      </c>
      <c r="P2559" s="862"/>
      <c r="Q2559" s="860"/>
      <c r="R2559" s="753">
        <f t="shared" si="333"/>
        <v>0</v>
      </c>
      <c r="S2559" s="752">
        <f t="shared" si="334"/>
        <v>0</v>
      </c>
      <c r="T2559" s="754">
        <f t="shared" si="335"/>
        <v>0</v>
      </c>
      <c r="U2559" s="859"/>
      <c r="V2559" s="594">
        <v>3775000</v>
      </c>
      <c r="W2559" s="859"/>
      <c r="X2559" s="859"/>
      <c r="Y2559" s="755">
        <f t="shared" si="331"/>
        <v>0</v>
      </c>
      <c r="Z2559" s="864"/>
      <c r="AA2559" s="863"/>
      <c r="AB2559" s="756">
        <f t="shared" si="332"/>
        <v>0</v>
      </c>
      <c r="AC2559" s="859"/>
      <c r="AD2559" s="863"/>
      <c r="AE2559" s="859"/>
      <c r="AF2559" s="859"/>
      <c r="AG2559" s="864"/>
      <c r="AH2559" s="865"/>
      <c r="AI2559" s="757">
        <f t="shared" si="336"/>
        <v>0</v>
      </c>
      <c r="AJ2559" s="758">
        <f t="shared" si="337"/>
        <v>3775000</v>
      </c>
    </row>
    <row r="2560" spans="1:36" x14ac:dyDescent="0.2">
      <c r="A2560" s="1421" t="s">
        <v>146</v>
      </c>
      <c r="B2560" s="1293" t="s">
        <v>283</v>
      </c>
      <c r="C2560" s="1284" t="s">
        <v>1783</v>
      </c>
      <c r="D2560" s="1283"/>
      <c r="E2560" s="1258"/>
      <c r="F2560" s="1259"/>
      <c r="G2560" s="859"/>
      <c r="H2560" s="860"/>
      <c r="I2560" s="861"/>
      <c r="J2560" s="862"/>
      <c r="K2560" s="859"/>
      <c r="L2560" s="863"/>
      <c r="M2560" s="859"/>
      <c r="N2560" s="859"/>
      <c r="O2560" s="752">
        <f t="shared" si="330"/>
        <v>0</v>
      </c>
      <c r="P2560" s="862"/>
      <c r="Q2560" s="860"/>
      <c r="R2560" s="753">
        <f t="shared" si="333"/>
        <v>0</v>
      </c>
      <c r="S2560" s="752">
        <f t="shared" si="334"/>
        <v>0</v>
      </c>
      <c r="T2560" s="754">
        <f t="shared" si="335"/>
        <v>0</v>
      </c>
      <c r="U2560" s="859">
        <v>20571</v>
      </c>
      <c r="V2560" s="863"/>
      <c r="W2560" s="859"/>
      <c r="X2560" s="859"/>
      <c r="Y2560" s="755">
        <f t="shared" si="331"/>
        <v>0</v>
      </c>
      <c r="Z2560" s="864"/>
      <c r="AA2560" s="863"/>
      <c r="AB2560" s="756">
        <f t="shared" si="332"/>
        <v>0</v>
      </c>
      <c r="AC2560" s="859"/>
      <c r="AD2560" s="863"/>
      <c r="AE2560" s="859"/>
      <c r="AF2560" s="859"/>
      <c r="AG2560" s="864"/>
      <c r="AH2560" s="865"/>
      <c r="AI2560" s="757">
        <f t="shared" si="336"/>
        <v>20571</v>
      </c>
      <c r="AJ2560" s="758">
        <f t="shared" si="337"/>
        <v>0</v>
      </c>
    </row>
    <row r="2561" spans="1:36" x14ac:dyDescent="0.2">
      <c r="A2561" s="1421" t="s">
        <v>146</v>
      </c>
      <c r="B2561" s="1293" t="s">
        <v>283</v>
      </c>
      <c r="C2561" s="1284" t="s">
        <v>1784</v>
      </c>
      <c r="D2561" s="1283"/>
      <c r="E2561" s="1424"/>
      <c r="F2561" s="1259"/>
      <c r="G2561" s="859"/>
      <c r="H2561" s="860"/>
      <c r="I2561" s="861"/>
      <c r="J2561" s="862"/>
      <c r="K2561" s="859"/>
      <c r="L2561" s="863"/>
      <c r="M2561" s="859"/>
      <c r="N2561" s="859"/>
      <c r="O2561" s="752">
        <f t="shared" si="330"/>
        <v>0</v>
      </c>
      <c r="P2561" s="862"/>
      <c r="Q2561" s="860"/>
      <c r="R2561" s="753">
        <f t="shared" si="333"/>
        <v>0</v>
      </c>
      <c r="S2561" s="752">
        <f t="shared" si="334"/>
        <v>0</v>
      </c>
      <c r="T2561" s="754">
        <f t="shared" si="335"/>
        <v>0</v>
      </c>
      <c r="U2561" s="859">
        <v>1134307</v>
      </c>
      <c r="V2561" s="863">
        <v>1134307</v>
      </c>
      <c r="W2561" s="859"/>
      <c r="X2561" s="859"/>
      <c r="Y2561" s="755">
        <f t="shared" si="331"/>
        <v>0</v>
      </c>
      <c r="Z2561" s="864"/>
      <c r="AA2561" s="863"/>
      <c r="AB2561" s="756">
        <f t="shared" si="332"/>
        <v>0</v>
      </c>
      <c r="AC2561" s="859"/>
      <c r="AD2561" s="863"/>
      <c r="AE2561" s="859"/>
      <c r="AF2561" s="859"/>
      <c r="AG2561" s="864"/>
      <c r="AH2561" s="865"/>
      <c r="AI2561" s="757">
        <f t="shared" si="336"/>
        <v>1134307</v>
      </c>
      <c r="AJ2561" s="758">
        <f t="shared" si="337"/>
        <v>1134307</v>
      </c>
    </row>
    <row r="2562" spans="1:36" x14ac:dyDescent="0.2">
      <c r="A2562" s="1421" t="s">
        <v>146</v>
      </c>
      <c r="B2562" s="1293" t="s">
        <v>283</v>
      </c>
      <c r="C2562" s="1429" t="s">
        <v>1785</v>
      </c>
      <c r="D2562" s="1430"/>
      <c r="E2562" s="1424"/>
      <c r="F2562" s="1259"/>
      <c r="G2562" s="859"/>
      <c r="H2562" s="860"/>
      <c r="I2562" s="861"/>
      <c r="J2562" s="862"/>
      <c r="K2562" s="859"/>
      <c r="L2562" s="863"/>
      <c r="M2562" s="859"/>
      <c r="N2562" s="859"/>
      <c r="O2562" s="752">
        <f t="shared" si="330"/>
        <v>0</v>
      </c>
      <c r="P2562" s="862"/>
      <c r="Q2562" s="860"/>
      <c r="R2562" s="753">
        <f t="shared" si="333"/>
        <v>0</v>
      </c>
      <c r="S2562" s="752">
        <f t="shared" si="334"/>
        <v>0</v>
      </c>
      <c r="T2562" s="754">
        <f t="shared" si="335"/>
        <v>0</v>
      </c>
      <c r="U2562" s="859"/>
      <c r="V2562" s="863">
        <v>330000</v>
      </c>
      <c r="W2562" s="859"/>
      <c r="X2562" s="859"/>
      <c r="Y2562" s="755">
        <f t="shared" si="331"/>
        <v>0</v>
      </c>
      <c r="Z2562" s="864"/>
      <c r="AA2562" s="863"/>
      <c r="AB2562" s="756">
        <f t="shared" si="332"/>
        <v>0</v>
      </c>
      <c r="AC2562" s="859"/>
      <c r="AD2562" s="863"/>
      <c r="AE2562" s="859"/>
      <c r="AF2562" s="859"/>
      <c r="AG2562" s="864"/>
      <c r="AH2562" s="865"/>
      <c r="AI2562" s="757">
        <f t="shared" si="336"/>
        <v>0</v>
      </c>
      <c r="AJ2562" s="758">
        <f t="shared" si="337"/>
        <v>330000</v>
      </c>
    </row>
    <row r="2563" spans="1:36" x14ac:dyDescent="0.2">
      <c r="A2563" s="1421" t="s">
        <v>146</v>
      </c>
      <c r="B2563" s="1293" t="s">
        <v>284</v>
      </c>
      <c r="C2563" s="1284" t="s">
        <v>1786</v>
      </c>
      <c r="D2563" s="1283"/>
      <c r="E2563" s="1424"/>
      <c r="F2563" s="1259"/>
      <c r="G2563" s="859"/>
      <c r="H2563" s="860"/>
      <c r="I2563" s="861"/>
      <c r="J2563" s="862"/>
      <c r="K2563" s="859"/>
      <c r="L2563" s="863"/>
      <c r="M2563" s="859"/>
      <c r="N2563" s="859"/>
      <c r="O2563" s="752">
        <f t="shared" si="330"/>
        <v>0</v>
      </c>
      <c r="P2563" s="862"/>
      <c r="Q2563" s="860"/>
      <c r="R2563" s="753">
        <f t="shared" si="333"/>
        <v>0</v>
      </c>
      <c r="S2563" s="752">
        <f t="shared" si="334"/>
        <v>0</v>
      </c>
      <c r="T2563" s="754">
        <f t="shared" si="335"/>
        <v>0</v>
      </c>
      <c r="U2563" s="859">
        <v>1033566</v>
      </c>
      <c r="V2563" s="863">
        <v>1033566</v>
      </c>
      <c r="W2563" s="859"/>
      <c r="X2563" s="859"/>
      <c r="Y2563" s="755">
        <f t="shared" si="331"/>
        <v>0</v>
      </c>
      <c r="Z2563" s="864"/>
      <c r="AA2563" s="863"/>
      <c r="AB2563" s="756">
        <f t="shared" si="332"/>
        <v>0</v>
      </c>
      <c r="AC2563" s="859"/>
      <c r="AD2563" s="863"/>
      <c r="AE2563" s="859"/>
      <c r="AF2563" s="859"/>
      <c r="AG2563" s="864"/>
      <c r="AH2563" s="865"/>
      <c r="AI2563" s="757">
        <f t="shared" si="336"/>
        <v>1033566</v>
      </c>
      <c r="AJ2563" s="758">
        <f t="shared" si="337"/>
        <v>1033566</v>
      </c>
    </row>
    <row r="2564" spans="1:36" ht="12" customHeight="1" x14ac:dyDescent="0.2">
      <c r="A2564" s="1421" t="s">
        <v>146</v>
      </c>
      <c r="B2564" s="1293" t="s">
        <v>283</v>
      </c>
      <c r="C2564" s="1284" t="s">
        <v>1787</v>
      </c>
      <c r="D2564" s="1283"/>
      <c r="E2564" s="1424"/>
      <c r="F2564" s="1259"/>
      <c r="G2564" s="859"/>
      <c r="H2564" s="860"/>
      <c r="I2564" s="861"/>
      <c r="J2564" s="862"/>
      <c r="K2564" s="859"/>
      <c r="L2564" s="863"/>
      <c r="M2564" s="859"/>
      <c r="N2564" s="859"/>
      <c r="O2564" s="752">
        <f t="shared" si="330"/>
        <v>0</v>
      </c>
      <c r="P2564" s="862"/>
      <c r="Q2564" s="860"/>
      <c r="R2564" s="753">
        <f t="shared" si="333"/>
        <v>0</v>
      </c>
      <c r="S2564" s="752">
        <f t="shared" si="334"/>
        <v>0</v>
      </c>
      <c r="T2564" s="754">
        <f t="shared" si="335"/>
        <v>0</v>
      </c>
      <c r="U2564" s="859">
        <v>13250000</v>
      </c>
      <c r="V2564" s="863">
        <v>7538694</v>
      </c>
      <c r="W2564" s="859"/>
      <c r="X2564" s="859"/>
      <c r="Y2564" s="755">
        <f t="shared" si="331"/>
        <v>0</v>
      </c>
      <c r="Z2564" s="864"/>
      <c r="AA2564" s="863"/>
      <c r="AB2564" s="756">
        <f t="shared" si="332"/>
        <v>0</v>
      </c>
      <c r="AC2564" s="859"/>
      <c r="AD2564" s="863"/>
      <c r="AE2564" s="859"/>
      <c r="AF2564" s="859"/>
      <c r="AG2564" s="864"/>
      <c r="AH2564" s="865"/>
      <c r="AI2564" s="757">
        <f t="shared" si="336"/>
        <v>13250000</v>
      </c>
      <c r="AJ2564" s="758">
        <f t="shared" si="337"/>
        <v>7538694</v>
      </c>
    </row>
    <row r="2565" spans="1:36" ht="12" customHeight="1" x14ac:dyDescent="0.2">
      <c r="A2565" s="1421" t="s">
        <v>146</v>
      </c>
      <c r="B2565" s="1293" t="s">
        <v>284</v>
      </c>
      <c r="C2565" s="1284" t="s">
        <v>1788</v>
      </c>
      <c r="D2565" s="1283"/>
      <c r="E2565" s="1424"/>
      <c r="F2565" s="1259"/>
      <c r="G2565" s="859"/>
      <c r="H2565" s="860"/>
      <c r="I2565" s="861"/>
      <c r="J2565" s="862"/>
      <c r="K2565" s="859"/>
      <c r="L2565" s="863"/>
      <c r="M2565" s="859"/>
      <c r="N2565" s="859"/>
      <c r="O2565" s="752">
        <f t="shared" si="330"/>
        <v>0</v>
      </c>
      <c r="P2565" s="862"/>
      <c r="Q2565" s="860"/>
      <c r="R2565" s="753">
        <f t="shared" si="333"/>
        <v>0</v>
      </c>
      <c r="S2565" s="752">
        <f t="shared" si="334"/>
        <v>0</v>
      </c>
      <c r="T2565" s="754">
        <f t="shared" si="335"/>
        <v>0</v>
      </c>
      <c r="U2565" s="859">
        <v>7970379</v>
      </c>
      <c r="V2565" s="863">
        <v>7970379</v>
      </c>
      <c r="W2565" s="859"/>
      <c r="X2565" s="859"/>
      <c r="Y2565" s="755">
        <f t="shared" si="331"/>
        <v>0</v>
      </c>
      <c r="Z2565" s="864"/>
      <c r="AA2565" s="863"/>
      <c r="AB2565" s="756">
        <f t="shared" si="332"/>
        <v>0</v>
      </c>
      <c r="AC2565" s="859"/>
      <c r="AD2565" s="863"/>
      <c r="AE2565" s="859"/>
      <c r="AF2565" s="859"/>
      <c r="AG2565" s="864"/>
      <c r="AH2565" s="865"/>
      <c r="AI2565" s="757">
        <f t="shared" si="336"/>
        <v>7970379</v>
      </c>
      <c r="AJ2565" s="758">
        <f t="shared" si="337"/>
        <v>7970379</v>
      </c>
    </row>
    <row r="2566" spans="1:36" ht="12" customHeight="1" x14ac:dyDescent="0.2">
      <c r="A2566" s="1421" t="s">
        <v>146</v>
      </c>
      <c r="B2566" s="1293" t="s">
        <v>284</v>
      </c>
      <c r="C2566" s="1282" t="s">
        <v>138</v>
      </c>
      <c r="D2566" s="1283"/>
      <c r="E2566" s="1258"/>
      <c r="F2566" s="1259"/>
      <c r="G2566" s="859"/>
      <c r="H2566" s="860"/>
      <c r="I2566" s="861"/>
      <c r="J2566" s="862"/>
      <c r="K2566" s="859"/>
      <c r="L2566" s="863"/>
      <c r="M2566" s="859"/>
      <c r="N2566" s="859"/>
      <c r="O2566" s="752">
        <f t="shared" si="330"/>
        <v>0</v>
      </c>
      <c r="P2566" s="862"/>
      <c r="Q2566" s="860"/>
      <c r="R2566" s="753">
        <f t="shared" si="333"/>
        <v>0</v>
      </c>
      <c r="S2566" s="752">
        <f t="shared" si="334"/>
        <v>0</v>
      </c>
      <c r="T2566" s="754">
        <f t="shared" si="335"/>
        <v>0</v>
      </c>
      <c r="U2566" s="859"/>
      <c r="V2566" s="863"/>
      <c r="W2566" s="859"/>
      <c r="X2566" s="859"/>
      <c r="Y2566" s="755">
        <f t="shared" si="331"/>
        <v>0</v>
      </c>
      <c r="Z2566" s="864"/>
      <c r="AA2566" s="863"/>
      <c r="AB2566" s="756">
        <f t="shared" si="332"/>
        <v>0</v>
      </c>
      <c r="AC2566" s="859"/>
      <c r="AD2566" s="863"/>
      <c r="AE2566" s="859"/>
      <c r="AF2566" s="859"/>
      <c r="AG2566" s="864"/>
      <c r="AH2566" s="865"/>
      <c r="AI2566" s="757">
        <f t="shared" si="336"/>
        <v>0</v>
      </c>
      <c r="AJ2566" s="758">
        <f t="shared" si="337"/>
        <v>0</v>
      </c>
    </row>
    <row r="2567" spans="1:36" ht="12" customHeight="1" x14ac:dyDescent="0.2">
      <c r="A2567" s="1421" t="s">
        <v>146</v>
      </c>
      <c r="B2567" s="1293" t="s">
        <v>284</v>
      </c>
      <c r="C2567" s="1284" t="s">
        <v>792</v>
      </c>
      <c r="D2567" s="1283"/>
      <c r="E2567" s="1258"/>
      <c r="F2567" s="1259"/>
      <c r="G2567" s="859"/>
      <c r="H2567" s="860"/>
      <c r="I2567" s="861"/>
      <c r="J2567" s="862"/>
      <c r="K2567" s="859"/>
      <c r="L2567" s="863"/>
      <c r="M2567" s="859"/>
      <c r="N2567" s="859"/>
      <c r="O2567" s="752">
        <f t="shared" si="330"/>
        <v>0</v>
      </c>
      <c r="P2567" s="862"/>
      <c r="Q2567" s="860"/>
      <c r="R2567" s="753">
        <f t="shared" si="333"/>
        <v>0</v>
      </c>
      <c r="S2567" s="752">
        <f t="shared" si="334"/>
        <v>0</v>
      </c>
      <c r="T2567" s="754">
        <f t="shared" si="335"/>
        <v>0</v>
      </c>
      <c r="U2567" s="859">
        <v>193550</v>
      </c>
      <c r="V2567" s="863">
        <v>193500</v>
      </c>
      <c r="W2567" s="859"/>
      <c r="X2567" s="859"/>
      <c r="Y2567" s="755">
        <f t="shared" si="331"/>
        <v>0</v>
      </c>
      <c r="Z2567" s="864"/>
      <c r="AA2567" s="863"/>
      <c r="AB2567" s="756">
        <f t="shared" si="332"/>
        <v>0</v>
      </c>
      <c r="AC2567" s="859"/>
      <c r="AD2567" s="863"/>
      <c r="AE2567" s="859"/>
      <c r="AF2567" s="859"/>
      <c r="AG2567" s="864"/>
      <c r="AH2567" s="865"/>
      <c r="AI2567" s="757">
        <f t="shared" si="336"/>
        <v>193550</v>
      </c>
      <c r="AJ2567" s="758">
        <f t="shared" si="337"/>
        <v>193500</v>
      </c>
    </row>
    <row r="2568" spans="1:36" x14ac:dyDescent="0.2">
      <c r="A2568" s="1421" t="s">
        <v>146</v>
      </c>
      <c r="B2568" s="1293" t="s">
        <v>285</v>
      </c>
      <c r="C2568" s="1284" t="s">
        <v>1789</v>
      </c>
      <c r="D2568" s="1283"/>
      <c r="E2568" s="1258"/>
      <c r="F2568" s="1259"/>
      <c r="G2568" s="859"/>
      <c r="H2568" s="860"/>
      <c r="I2568" s="861"/>
      <c r="J2568" s="862"/>
      <c r="K2568" s="859"/>
      <c r="L2568" s="863"/>
      <c r="M2568" s="859"/>
      <c r="N2568" s="859"/>
      <c r="O2568" s="752">
        <f t="shared" si="330"/>
        <v>0</v>
      </c>
      <c r="P2568" s="862"/>
      <c r="Q2568" s="860"/>
      <c r="R2568" s="753">
        <f t="shared" si="333"/>
        <v>0</v>
      </c>
      <c r="S2568" s="752">
        <f t="shared" si="334"/>
        <v>0</v>
      </c>
      <c r="T2568" s="754">
        <f t="shared" si="335"/>
        <v>0</v>
      </c>
      <c r="U2568" s="859">
        <v>8000</v>
      </c>
      <c r="V2568" s="863">
        <v>8000</v>
      </c>
      <c r="W2568" s="859"/>
      <c r="X2568" s="859"/>
      <c r="Y2568" s="755">
        <f t="shared" si="331"/>
        <v>0</v>
      </c>
      <c r="Z2568" s="864"/>
      <c r="AA2568" s="863"/>
      <c r="AB2568" s="756">
        <f t="shared" si="332"/>
        <v>0</v>
      </c>
      <c r="AC2568" s="859"/>
      <c r="AD2568" s="863"/>
      <c r="AE2568" s="859"/>
      <c r="AF2568" s="859"/>
      <c r="AG2568" s="864"/>
      <c r="AH2568" s="865"/>
      <c r="AI2568" s="757">
        <f t="shared" si="336"/>
        <v>8000</v>
      </c>
      <c r="AJ2568" s="758">
        <f t="shared" si="337"/>
        <v>8000</v>
      </c>
    </row>
    <row r="2569" spans="1:36" x14ac:dyDescent="0.2">
      <c r="A2569" s="1421" t="s">
        <v>146</v>
      </c>
      <c r="B2569" s="1293" t="s">
        <v>285</v>
      </c>
      <c r="C2569" s="1282" t="s">
        <v>646</v>
      </c>
      <c r="D2569" s="1283"/>
      <c r="E2569" s="1258"/>
      <c r="F2569" s="1259"/>
      <c r="G2569" s="859"/>
      <c r="H2569" s="860"/>
      <c r="I2569" s="861"/>
      <c r="J2569" s="862"/>
      <c r="K2569" s="859"/>
      <c r="L2569" s="863"/>
      <c r="M2569" s="859"/>
      <c r="N2569" s="859"/>
      <c r="O2569" s="752">
        <f t="shared" si="330"/>
        <v>0</v>
      </c>
      <c r="P2569" s="862"/>
      <c r="Q2569" s="860"/>
      <c r="R2569" s="753">
        <f t="shared" si="333"/>
        <v>0</v>
      </c>
      <c r="S2569" s="752">
        <f t="shared" si="334"/>
        <v>0</v>
      </c>
      <c r="T2569" s="754">
        <f t="shared" si="335"/>
        <v>0</v>
      </c>
      <c r="U2569" s="859"/>
      <c r="V2569" s="863"/>
      <c r="W2569" s="859"/>
      <c r="X2569" s="859"/>
      <c r="Y2569" s="755">
        <f t="shared" si="331"/>
        <v>0</v>
      </c>
      <c r="Z2569" s="864"/>
      <c r="AA2569" s="863"/>
      <c r="AB2569" s="756">
        <f t="shared" si="332"/>
        <v>0</v>
      </c>
      <c r="AC2569" s="859"/>
      <c r="AD2569" s="863"/>
      <c r="AE2569" s="859"/>
      <c r="AF2569" s="859"/>
      <c r="AG2569" s="864"/>
      <c r="AH2569" s="865"/>
      <c r="AI2569" s="757">
        <f t="shared" si="336"/>
        <v>0</v>
      </c>
      <c r="AJ2569" s="758">
        <f t="shared" si="337"/>
        <v>0</v>
      </c>
    </row>
    <row r="2570" spans="1:36" x14ac:dyDescent="0.2">
      <c r="A2570" s="1421" t="s">
        <v>146</v>
      </c>
      <c r="B2570" s="1293" t="s">
        <v>286</v>
      </c>
      <c r="C2570" s="1439" t="s">
        <v>565</v>
      </c>
      <c r="D2570" s="1295"/>
      <c r="E2570" s="1258"/>
      <c r="F2570" s="1259"/>
      <c r="G2570" s="859"/>
      <c r="H2570" s="860"/>
      <c r="I2570" s="861"/>
      <c r="J2570" s="862"/>
      <c r="K2570" s="859"/>
      <c r="L2570" s="863"/>
      <c r="M2570" s="859"/>
      <c r="N2570" s="859"/>
      <c r="O2570" s="752">
        <f t="shared" si="330"/>
        <v>0</v>
      </c>
      <c r="P2570" s="862"/>
      <c r="Q2570" s="860"/>
      <c r="R2570" s="753">
        <f t="shared" si="333"/>
        <v>0</v>
      </c>
      <c r="S2570" s="752">
        <f t="shared" si="334"/>
        <v>0</v>
      </c>
      <c r="T2570" s="754">
        <f t="shared" si="335"/>
        <v>0</v>
      </c>
      <c r="U2570" s="859"/>
      <c r="V2570" s="863"/>
      <c r="W2570" s="859"/>
      <c r="X2570" s="859"/>
      <c r="Y2570" s="755">
        <f t="shared" si="331"/>
        <v>0</v>
      </c>
      <c r="Z2570" s="864"/>
      <c r="AA2570" s="863"/>
      <c r="AB2570" s="756">
        <f t="shared" si="332"/>
        <v>0</v>
      </c>
      <c r="AC2570" s="859"/>
      <c r="AD2570" s="863"/>
      <c r="AE2570" s="859"/>
      <c r="AF2570" s="859"/>
      <c r="AG2570" s="864"/>
      <c r="AH2570" s="865"/>
      <c r="AI2570" s="757">
        <f t="shared" si="336"/>
        <v>0</v>
      </c>
      <c r="AJ2570" s="758">
        <f t="shared" si="337"/>
        <v>0</v>
      </c>
    </row>
    <row r="2571" spans="1:36" x14ac:dyDescent="0.2">
      <c r="A2571" s="1421" t="s">
        <v>146</v>
      </c>
      <c r="B2571" s="1293" t="s">
        <v>286</v>
      </c>
      <c r="C2571" s="1284" t="s">
        <v>1790</v>
      </c>
      <c r="D2571" s="1283"/>
      <c r="E2571" s="1296"/>
      <c r="F2571" s="1297"/>
      <c r="G2571" s="859"/>
      <c r="H2571" s="860"/>
      <c r="I2571" s="861"/>
      <c r="J2571" s="862"/>
      <c r="K2571" s="859"/>
      <c r="L2571" s="863"/>
      <c r="M2571" s="859"/>
      <c r="N2571" s="859"/>
      <c r="O2571" s="752">
        <f t="shared" ref="O2571:O2634" si="338">SUM(M2571:N2571)</f>
        <v>0</v>
      </c>
      <c r="P2571" s="862"/>
      <c r="Q2571" s="860"/>
      <c r="R2571" s="753">
        <f t="shared" si="333"/>
        <v>0</v>
      </c>
      <c r="S2571" s="752">
        <f t="shared" si="334"/>
        <v>0</v>
      </c>
      <c r="T2571" s="754">
        <f t="shared" si="335"/>
        <v>0</v>
      </c>
      <c r="U2571" s="859">
        <v>3000000</v>
      </c>
      <c r="V2571" s="863">
        <v>3480797</v>
      </c>
      <c r="W2571" s="859"/>
      <c r="X2571" s="859"/>
      <c r="Y2571" s="755">
        <f t="shared" ref="Y2571:Y2634" si="339">SUM(W2571:X2571)</f>
        <v>0</v>
      </c>
      <c r="Z2571" s="864"/>
      <c r="AA2571" s="863"/>
      <c r="AB2571" s="756">
        <f t="shared" ref="AB2571:AB2634" si="340">SUM(Z2571:AA2571)</f>
        <v>0</v>
      </c>
      <c r="AC2571" s="859"/>
      <c r="AD2571" s="863"/>
      <c r="AE2571" s="859"/>
      <c r="AF2571" s="859"/>
      <c r="AG2571" s="864"/>
      <c r="AH2571" s="865"/>
      <c r="AI2571" s="757">
        <f t="shared" si="336"/>
        <v>3000000</v>
      </c>
      <c r="AJ2571" s="758">
        <f t="shared" si="337"/>
        <v>3480797</v>
      </c>
    </row>
    <row r="2572" spans="1:36" x14ac:dyDescent="0.2">
      <c r="A2572" s="1421" t="s">
        <v>146</v>
      </c>
      <c r="B2572" s="1293" t="s">
        <v>287</v>
      </c>
      <c r="C2572" s="1439" t="s">
        <v>570</v>
      </c>
      <c r="D2572" s="1295"/>
      <c r="E2572" s="1258"/>
      <c r="F2572" s="1259"/>
      <c r="G2572" s="859"/>
      <c r="H2572" s="860"/>
      <c r="I2572" s="861"/>
      <c r="J2572" s="862"/>
      <c r="K2572" s="859"/>
      <c r="L2572" s="863"/>
      <c r="M2572" s="859"/>
      <c r="N2572" s="859"/>
      <c r="O2572" s="752">
        <f t="shared" si="338"/>
        <v>0</v>
      </c>
      <c r="P2572" s="862"/>
      <c r="Q2572" s="860"/>
      <c r="R2572" s="753">
        <f t="shared" ref="R2572:R2635" si="341">SUM(P2572:Q2572)</f>
        <v>0</v>
      </c>
      <c r="S2572" s="752">
        <f t="shared" ref="S2572:S2635" si="342">SUM(G2572,I2572,K2572,M2572)</f>
        <v>0</v>
      </c>
      <c r="T2572" s="754">
        <f t="shared" ref="T2572:T2635" si="343">SUM(H2572,J2572,L2572,P2572)</f>
        <v>0</v>
      </c>
      <c r="U2572" s="859"/>
      <c r="V2572" s="863"/>
      <c r="W2572" s="859"/>
      <c r="X2572" s="859"/>
      <c r="Y2572" s="755">
        <f t="shared" si="339"/>
        <v>0</v>
      </c>
      <c r="Z2572" s="864"/>
      <c r="AA2572" s="863"/>
      <c r="AB2572" s="756">
        <f t="shared" si="340"/>
        <v>0</v>
      </c>
      <c r="AC2572" s="859"/>
      <c r="AD2572" s="863"/>
      <c r="AE2572" s="859"/>
      <c r="AF2572" s="859"/>
      <c r="AG2572" s="864"/>
      <c r="AH2572" s="865"/>
      <c r="AI2572" s="757">
        <f t="shared" ref="AI2572:AI2635" si="344">SUM(S2572,U2572,W2572,AC2572,AE2572)</f>
        <v>0</v>
      </c>
      <c r="AJ2572" s="758">
        <f t="shared" ref="AJ2572:AJ2635" si="345">SUM(T2572,V2572,Z2572,AD2572,AG2572)</f>
        <v>0</v>
      </c>
    </row>
    <row r="2573" spans="1:36" x14ac:dyDescent="0.2">
      <c r="A2573" s="1421" t="s">
        <v>146</v>
      </c>
      <c r="B2573" s="1293" t="s">
        <v>288</v>
      </c>
      <c r="C2573" s="1282" t="s">
        <v>571</v>
      </c>
      <c r="D2573" s="1283"/>
      <c r="E2573" s="1258"/>
      <c r="F2573" s="1259"/>
      <c r="G2573" s="859"/>
      <c r="H2573" s="860"/>
      <c r="I2573" s="861"/>
      <c r="J2573" s="862"/>
      <c r="K2573" s="859"/>
      <c r="L2573" s="863"/>
      <c r="M2573" s="859"/>
      <c r="N2573" s="859"/>
      <c r="O2573" s="752">
        <f t="shared" si="338"/>
        <v>0</v>
      </c>
      <c r="P2573" s="862"/>
      <c r="Q2573" s="860"/>
      <c r="R2573" s="753">
        <f t="shared" si="341"/>
        <v>0</v>
      </c>
      <c r="S2573" s="752">
        <f t="shared" si="342"/>
        <v>0</v>
      </c>
      <c r="T2573" s="754">
        <f t="shared" si="343"/>
        <v>0</v>
      </c>
      <c r="U2573" s="859"/>
      <c r="V2573" s="863"/>
      <c r="W2573" s="859"/>
      <c r="X2573" s="859"/>
      <c r="Y2573" s="755">
        <f t="shared" si="339"/>
        <v>0</v>
      </c>
      <c r="Z2573" s="864"/>
      <c r="AA2573" s="863"/>
      <c r="AB2573" s="756">
        <f t="shared" si="340"/>
        <v>0</v>
      </c>
      <c r="AC2573" s="859"/>
      <c r="AD2573" s="863"/>
      <c r="AE2573" s="859"/>
      <c r="AF2573" s="859"/>
      <c r="AG2573" s="864"/>
      <c r="AH2573" s="865"/>
      <c r="AI2573" s="757">
        <f t="shared" si="344"/>
        <v>0</v>
      </c>
      <c r="AJ2573" s="758">
        <f t="shared" si="345"/>
        <v>0</v>
      </c>
    </row>
    <row r="2574" spans="1:36" x14ac:dyDescent="0.2">
      <c r="A2574" s="1421" t="s">
        <v>146</v>
      </c>
      <c r="B2574" s="1293" t="s">
        <v>288</v>
      </c>
      <c r="C2574" s="1284" t="s">
        <v>1043</v>
      </c>
      <c r="D2574" s="1283"/>
      <c r="E2574" s="1258"/>
      <c r="F2574" s="1259"/>
      <c r="G2574" s="859"/>
      <c r="H2574" s="860"/>
      <c r="I2574" s="861"/>
      <c r="J2574" s="862"/>
      <c r="K2574" s="859"/>
      <c r="L2574" s="863"/>
      <c r="M2574" s="859"/>
      <c r="N2574" s="859"/>
      <c r="O2574" s="752">
        <f t="shared" si="338"/>
        <v>0</v>
      </c>
      <c r="P2574" s="862"/>
      <c r="Q2574" s="860"/>
      <c r="R2574" s="753">
        <f t="shared" si="341"/>
        <v>0</v>
      </c>
      <c r="S2574" s="752">
        <f t="shared" si="342"/>
        <v>0</v>
      </c>
      <c r="T2574" s="754">
        <f t="shared" si="343"/>
        <v>0</v>
      </c>
      <c r="U2574" s="859">
        <v>387000</v>
      </c>
      <c r="V2574" s="863">
        <v>399000</v>
      </c>
      <c r="W2574" s="859"/>
      <c r="X2574" s="859"/>
      <c r="Y2574" s="755">
        <f t="shared" si="339"/>
        <v>0</v>
      </c>
      <c r="Z2574" s="864"/>
      <c r="AA2574" s="863"/>
      <c r="AB2574" s="756">
        <f t="shared" si="340"/>
        <v>0</v>
      </c>
      <c r="AC2574" s="859"/>
      <c r="AD2574" s="863"/>
      <c r="AE2574" s="859"/>
      <c r="AF2574" s="859"/>
      <c r="AG2574" s="864"/>
      <c r="AH2574" s="865"/>
      <c r="AI2574" s="757">
        <f t="shared" si="344"/>
        <v>387000</v>
      </c>
      <c r="AJ2574" s="758">
        <f t="shared" si="345"/>
        <v>399000</v>
      </c>
    </row>
    <row r="2575" spans="1:36" x14ac:dyDescent="0.2">
      <c r="A2575" s="1421" t="s">
        <v>146</v>
      </c>
      <c r="B2575" s="1293" t="s">
        <v>288</v>
      </c>
      <c r="C2575" s="1284" t="s">
        <v>650</v>
      </c>
      <c r="D2575" s="1283"/>
      <c r="E2575" s="1258"/>
      <c r="F2575" s="1259"/>
      <c r="G2575" s="859"/>
      <c r="H2575" s="860"/>
      <c r="I2575" s="861"/>
      <c r="J2575" s="862"/>
      <c r="K2575" s="859"/>
      <c r="L2575" s="863"/>
      <c r="M2575" s="859"/>
      <c r="N2575" s="859"/>
      <c r="O2575" s="752">
        <f t="shared" si="338"/>
        <v>0</v>
      </c>
      <c r="P2575" s="862"/>
      <c r="Q2575" s="860"/>
      <c r="R2575" s="753">
        <f t="shared" si="341"/>
        <v>0</v>
      </c>
      <c r="S2575" s="752">
        <f t="shared" si="342"/>
        <v>0</v>
      </c>
      <c r="T2575" s="754">
        <f t="shared" si="343"/>
        <v>0</v>
      </c>
      <c r="U2575" s="859">
        <v>207200</v>
      </c>
      <c r="V2575" s="863">
        <v>214200</v>
      </c>
      <c r="W2575" s="859"/>
      <c r="X2575" s="859"/>
      <c r="Y2575" s="755">
        <f t="shared" si="339"/>
        <v>0</v>
      </c>
      <c r="Z2575" s="864"/>
      <c r="AA2575" s="863"/>
      <c r="AB2575" s="756">
        <f t="shared" si="340"/>
        <v>0</v>
      </c>
      <c r="AC2575" s="859"/>
      <c r="AD2575" s="863"/>
      <c r="AE2575" s="859"/>
      <c r="AF2575" s="859"/>
      <c r="AG2575" s="864"/>
      <c r="AH2575" s="865"/>
      <c r="AI2575" s="757">
        <f t="shared" si="344"/>
        <v>207200</v>
      </c>
      <c r="AJ2575" s="758">
        <f t="shared" si="345"/>
        <v>214200</v>
      </c>
    </row>
    <row r="2576" spans="1:36" x14ac:dyDescent="0.2">
      <c r="A2576" s="1421" t="s">
        <v>146</v>
      </c>
      <c r="B2576" s="1293" t="s">
        <v>289</v>
      </c>
      <c r="C2576" s="1282" t="s">
        <v>573</v>
      </c>
      <c r="D2576" s="1283"/>
      <c r="E2576" s="1258"/>
      <c r="F2576" s="1259"/>
      <c r="G2576" s="859"/>
      <c r="H2576" s="860"/>
      <c r="I2576" s="861"/>
      <c r="J2576" s="862"/>
      <c r="K2576" s="859"/>
      <c r="L2576" s="863"/>
      <c r="M2576" s="859"/>
      <c r="N2576" s="859"/>
      <c r="O2576" s="752">
        <f t="shared" si="338"/>
        <v>0</v>
      </c>
      <c r="P2576" s="862"/>
      <c r="Q2576" s="860"/>
      <c r="R2576" s="753">
        <f t="shared" si="341"/>
        <v>0</v>
      </c>
      <c r="S2576" s="752">
        <f t="shared" si="342"/>
        <v>0</v>
      </c>
      <c r="T2576" s="754">
        <f t="shared" si="343"/>
        <v>0</v>
      </c>
      <c r="U2576" s="859"/>
      <c r="V2576" s="863"/>
      <c r="W2576" s="859"/>
      <c r="X2576" s="859"/>
      <c r="Y2576" s="755">
        <f t="shared" si="339"/>
        <v>0</v>
      </c>
      <c r="Z2576" s="864"/>
      <c r="AA2576" s="863"/>
      <c r="AB2576" s="756">
        <f t="shared" si="340"/>
        <v>0</v>
      </c>
      <c r="AC2576" s="859"/>
      <c r="AD2576" s="863"/>
      <c r="AE2576" s="859"/>
      <c r="AF2576" s="859"/>
      <c r="AG2576" s="864"/>
      <c r="AH2576" s="865"/>
      <c r="AI2576" s="757">
        <f t="shared" si="344"/>
        <v>0</v>
      </c>
      <c r="AJ2576" s="758">
        <f t="shared" si="345"/>
        <v>0</v>
      </c>
    </row>
    <row r="2577" spans="1:36" x14ac:dyDescent="0.2">
      <c r="A2577" s="1421" t="s">
        <v>146</v>
      </c>
      <c r="B2577" s="1293" t="s">
        <v>289</v>
      </c>
      <c r="C2577" s="1284" t="s">
        <v>797</v>
      </c>
      <c r="D2577" s="1283"/>
      <c r="E2577" s="1258"/>
      <c r="F2577" s="1259"/>
      <c r="G2577" s="859"/>
      <c r="H2577" s="860"/>
      <c r="I2577" s="861"/>
      <c r="J2577" s="862"/>
      <c r="K2577" s="859"/>
      <c r="L2577" s="863"/>
      <c r="M2577" s="859"/>
      <c r="N2577" s="859"/>
      <c r="O2577" s="752">
        <f t="shared" si="338"/>
        <v>0</v>
      </c>
      <c r="P2577" s="862"/>
      <c r="Q2577" s="860"/>
      <c r="R2577" s="753">
        <f t="shared" si="341"/>
        <v>0</v>
      </c>
      <c r="S2577" s="752">
        <f t="shared" si="342"/>
        <v>0</v>
      </c>
      <c r="T2577" s="754">
        <f t="shared" si="343"/>
        <v>0</v>
      </c>
      <c r="U2577" s="859">
        <v>59200</v>
      </c>
      <c r="V2577" s="863">
        <v>99450</v>
      </c>
      <c r="W2577" s="859"/>
      <c r="X2577" s="859"/>
      <c r="Y2577" s="755">
        <f t="shared" si="339"/>
        <v>0</v>
      </c>
      <c r="Z2577" s="864"/>
      <c r="AA2577" s="863"/>
      <c r="AB2577" s="756">
        <f t="shared" si="340"/>
        <v>0</v>
      </c>
      <c r="AC2577" s="859"/>
      <c r="AD2577" s="863"/>
      <c r="AE2577" s="859"/>
      <c r="AF2577" s="859"/>
      <c r="AG2577" s="864"/>
      <c r="AH2577" s="865"/>
      <c r="AI2577" s="757">
        <f t="shared" si="344"/>
        <v>59200</v>
      </c>
      <c r="AJ2577" s="758">
        <f t="shared" si="345"/>
        <v>99450</v>
      </c>
    </row>
    <row r="2578" spans="1:36" x14ac:dyDescent="0.2">
      <c r="A2578" s="1421" t="s">
        <v>146</v>
      </c>
      <c r="B2578" s="1293" t="s">
        <v>289</v>
      </c>
      <c r="C2578" s="1284" t="s">
        <v>1044</v>
      </c>
      <c r="D2578" s="1283"/>
      <c r="E2578" s="1258"/>
      <c r="F2578" s="1259"/>
      <c r="G2578" s="859"/>
      <c r="H2578" s="860"/>
      <c r="I2578" s="861"/>
      <c r="J2578" s="862"/>
      <c r="K2578" s="859"/>
      <c r="L2578" s="863"/>
      <c r="M2578" s="859"/>
      <c r="N2578" s="859"/>
      <c r="O2578" s="752">
        <f t="shared" si="338"/>
        <v>0</v>
      </c>
      <c r="P2578" s="862"/>
      <c r="Q2578" s="860"/>
      <c r="R2578" s="753">
        <f t="shared" si="341"/>
        <v>0</v>
      </c>
      <c r="S2578" s="752">
        <f t="shared" si="342"/>
        <v>0</v>
      </c>
      <c r="T2578" s="754">
        <f t="shared" si="343"/>
        <v>0</v>
      </c>
      <c r="U2578" s="859">
        <v>1728600</v>
      </c>
      <c r="V2578" s="863">
        <v>1808800</v>
      </c>
      <c r="W2578" s="859"/>
      <c r="X2578" s="859"/>
      <c r="Y2578" s="755">
        <f t="shared" si="339"/>
        <v>0</v>
      </c>
      <c r="Z2578" s="864"/>
      <c r="AA2578" s="863"/>
      <c r="AB2578" s="756">
        <f t="shared" si="340"/>
        <v>0</v>
      </c>
      <c r="AC2578" s="859"/>
      <c r="AD2578" s="863"/>
      <c r="AE2578" s="859"/>
      <c r="AF2578" s="859"/>
      <c r="AG2578" s="864"/>
      <c r="AH2578" s="865"/>
      <c r="AI2578" s="757">
        <f t="shared" si="344"/>
        <v>1728600</v>
      </c>
      <c r="AJ2578" s="758">
        <f t="shared" si="345"/>
        <v>1808800</v>
      </c>
    </row>
    <row r="2579" spans="1:36" x14ac:dyDescent="0.2">
      <c r="A2579" s="1421" t="s">
        <v>146</v>
      </c>
      <c r="B2579" s="1293" t="s">
        <v>289</v>
      </c>
      <c r="C2579" s="1284" t="s">
        <v>654</v>
      </c>
      <c r="D2579" s="1283"/>
      <c r="E2579" s="1258"/>
      <c r="F2579" s="1259"/>
      <c r="G2579" s="859"/>
      <c r="H2579" s="860"/>
      <c r="I2579" s="861"/>
      <c r="J2579" s="862"/>
      <c r="K2579" s="859"/>
      <c r="L2579" s="863"/>
      <c r="M2579" s="859"/>
      <c r="N2579" s="859"/>
      <c r="O2579" s="752">
        <f t="shared" si="338"/>
        <v>0</v>
      </c>
      <c r="P2579" s="862"/>
      <c r="Q2579" s="860"/>
      <c r="R2579" s="753">
        <f t="shared" si="341"/>
        <v>0</v>
      </c>
      <c r="S2579" s="752">
        <f t="shared" si="342"/>
        <v>0</v>
      </c>
      <c r="T2579" s="754">
        <f t="shared" si="343"/>
        <v>0</v>
      </c>
      <c r="U2579" s="859">
        <v>516000</v>
      </c>
      <c r="V2579" s="863">
        <v>532000</v>
      </c>
      <c r="W2579" s="859"/>
      <c r="X2579" s="859"/>
      <c r="Y2579" s="755">
        <f t="shared" si="339"/>
        <v>0</v>
      </c>
      <c r="Z2579" s="864"/>
      <c r="AA2579" s="863"/>
      <c r="AB2579" s="756">
        <f t="shared" si="340"/>
        <v>0</v>
      </c>
      <c r="AC2579" s="859"/>
      <c r="AD2579" s="863"/>
      <c r="AE2579" s="859"/>
      <c r="AF2579" s="859"/>
      <c r="AG2579" s="864"/>
      <c r="AH2579" s="865"/>
      <c r="AI2579" s="757">
        <f t="shared" si="344"/>
        <v>516000</v>
      </c>
      <c r="AJ2579" s="758">
        <f t="shared" si="345"/>
        <v>532000</v>
      </c>
    </row>
    <row r="2580" spans="1:36" x14ac:dyDescent="0.2">
      <c r="A2580" s="1421" t="s">
        <v>146</v>
      </c>
      <c r="B2580" s="1293" t="s">
        <v>290</v>
      </c>
      <c r="C2580" s="1282" t="s">
        <v>137</v>
      </c>
      <c r="D2580" s="1283"/>
      <c r="E2580" s="1258"/>
      <c r="F2580" s="1259"/>
      <c r="G2580" s="859"/>
      <c r="H2580" s="860"/>
      <c r="I2580" s="861"/>
      <c r="J2580" s="862"/>
      <c r="K2580" s="859"/>
      <c r="L2580" s="863"/>
      <c r="M2580" s="859"/>
      <c r="N2580" s="859"/>
      <c r="O2580" s="752">
        <f t="shared" si="338"/>
        <v>0</v>
      </c>
      <c r="P2580" s="862"/>
      <c r="Q2580" s="860"/>
      <c r="R2580" s="753">
        <f t="shared" si="341"/>
        <v>0</v>
      </c>
      <c r="S2580" s="752">
        <f t="shared" si="342"/>
        <v>0</v>
      </c>
      <c r="T2580" s="754">
        <f t="shared" si="343"/>
        <v>0</v>
      </c>
      <c r="U2580" s="859"/>
      <c r="V2580" s="863"/>
      <c r="W2580" s="859"/>
      <c r="X2580" s="859"/>
      <c r="Y2580" s="755">
        <f t="shared" si="339"/>
        <v>0</v>
      </c>
      <c r="Z2580" s="864"/>
      <c r="AA2580" s="863"/>
      <c r="AB2580" s="756">
        <f t="shared" si="340"/>
        <v>0</v>
      </c>
      <c r="AC2580" s="859"/>
      <c r="AD2580" s="863"/>
      <c r="AE2580" s="859"/>
      <c r="AF2580" s="859"/>
      <c r="AG2580" s="864"/>
      <c r="AH2580" s="865"/>
      <c r="AI2580" s="757">
        <f t="shared" si="344"/>
        <v>0</v>
      </c>
      <c r="AJ2580" s="758">
        <f t="shared" si="345"/>
        <v>0</v>
      </c>
    </row>
    <row r="2581" spans="1:36" x14ac:dyDescent="0.2">
      <c r="A2581" s="1421" t="s">
        <v>146</v>
      </c>
      <c r="B2581" s="1293" t="s">
        <v>290</v>
      </c>
      <c r="C2581" s="1284" t="s">
        <v>1791</v>
      </c>
      <c r="D2581" s="1283"/>
      <c r="E2581" s="1424"/>
      <c r="F2581" s="1259"/>
      <c r="G2581" s="859"/>
      <c r="H2581" s="860"/>
      <c r="I2581" s="861"/>
      <c r="J2581" s="862"/>
      <c r="K2581" s="859"/>
      <c r="L2581" s="863"/>
      <c r="M2581" s="859"/>
      <c r="N2581" s="859"/>
      <c r="O2581" s="752">
        <f t="shared" si="338"/>
        <v>0</v>
      </c>
      <c r="P2581" s="862"/>
      <c r="Q2581" s="860"/>
      <c r="R2581" s="753">
        <f t="shared" si="341"/>
        <v>0</v>
      </c>
      <c r="S2581" s="752">
        <f t="shared" si="342"/>
        <v>0</v>
      </c>
      <c r="T2581" s="754">
        <f t="shared" si="343"/>
        <v>0</v>
      </c>
      <c r="U2581" s="859">
        <v>300000</v>
      </c>
      <c r="V2581" s="863">
        <v>300000</v>
      </c>
      <c r="W2581" s="859"/>
      <c r="X2581" s="859"/>
      <c r="Y2581" s="755">
        <f t="shared" si="339"/>
        <v>0</v>
      </c>
      <c r="Z2581" s="864"/>
      <c r="AA2581" s="863"/>
      <c r="AB2581" s="756">
        <f t="shared" si="340"/>
        <v>0</v>
      </c>
      <c r="AC2581" s="859"/>
      <c r="AD2581" s="863"/>
      <c r="AE2581" s="859"/>
      <c r="AF2581" s="859"/>
      <c r="AG2581" s="864"/>
      <c r="AH2581" s="865"/>
      <c r="AI2581" s="757">
        <f t="shared" si="344"/>
        <v>300000</v>
      </c>
      <c r="AJ2581" s="758">
        <f t="shared" si="345"/>
        <v>300000</v>
      </c>
    </row>
    <row r="2582" spans="1:36" x14ac:dyDescent="0.2">
      <c r="A2582" s="1421" t="s">
        <v>146</v>
      </c>
      <c r="B2582" s="1293" t="s">
        <v>290</v>
      </c>
      <c r="C2582" s="1284" t="s">
        <v>828</v>
      </c>
      <c r="D2582" s="1283"/>
      <c r="E2582" s="1424"/>
      <c r="F2582" s="1259"/>
      <c r="G2582" s="859"/>
      <c r="H2582" s="860"/>
      <c r="I2582" s="861"/>
      <c r="J2582" s="862"/>
      <c r="K2582" s="859"/>
      <c r="L2582" s="863"/>
      <c r="M2582" s="859"/>
      <c r="N2582" s="859"/>
      <c r="O2582" s="752">
        <f t="shared" si="338"/>
        <v>0</v>
      </c>
      <c r="P2582" s="862"/>
      <c r="Q2582" s="860"/>
      <c r="R2582" s="753">
        <f t="shared" si="341"/>
        <v>0</v>
      </c>
      <c r="S2582" s="752">
        <f t="shared" si="342"/>
        <v>0</v>
      </c>
      <c r="T2582" s="754">
        <f t="shared" si="343"/>
        <v>0</v>
      </c>
      <c r="U2582" s="859">
        <v>7177</v>
      </c>
      <c r="V2582" s="863">
        <v>7177</v>
      </c>
      <c r="W2582" s="859"/>
      <c r="X2582" s="859"/>
      <c r="Y2582" s="755">
        <f t="shared" si="339"/>
        <v>0</v>
      </c>
      <c r="Z2582" s="864"/>
      <c r="AA2582" s="863"/>
      <c r="AB2582" s="756">
        <f t="shared" si="340"/>
        <v>0</v>
      </c>
      <c r="AC2582" s="859"/>
      <c r="AD2582" s="863"/>
      <c r="AE2582" s="859"/>
      <c r="AF2582" s="859"/>
      <c r="AG2582" s="864"/>
      <c r="AH2582" s="865"/>
      <c r="AI2582" s="757">
        <f t="shared" si="344"/>
        <v>7177</v>
      </c>
      <c r="AJ2582" s="758">
        <f t="shared" si="345"/>
        <v>7177</v>
      </c>
    </row>
    <row r="2583" spans="1:36" x14ac:dyDescent="0.2">
      <c r="A2583" s="1421" t="s">
        <v>146</v>
      </c>
      <c r="B2583" s="1293" t="s">
        <v>291</v>
      </c>
      <c r="C2583" s="1439" t="s">
        <v>574</v>
      </c>
      <c r="D2583" s="1295"/>
      <c r="E2583" s="1258"/>
      <c r="F2583" s="1259"/>
      <c r="G2583" s="859"/>
      <c r="H2583" s="860"/>
      <c r="I2583" s="861"/>
      <c r="J2583" s="862"/>
      <c r="K2583" s="859"/>
      <c r="L2583" s="863"/>
      <c r="M2583" s="859"/>
      <c r="N2583" s="859"/>
      <c r="O2583" s="752">
        <f t="shared" si="338"/>
        <v>0</v>
      </c>
      <c r="P2583" s="862"/>
      <c r="Q2583" s="860"/>
      <c r="R2583" s="753">
        <f t="shared" si="341"/>
        <v>0</v>
      </c>
      <c r="S2583" s="752">
        <f t="shared" si="342"/>
        <v>0</v>
      </c>
      <c r="T2583" s="754">
        <f t="shared" si="343"/>
        <v>0</v>
      </c>
      <c r="U2583" s="859"/>
      <c r="V2583" s="863"/>
      <c r="W2583" s="859"/>
      <c r="X2583" s="859"/>
      <c r="Y2583" s="755">
        <f t="shared" si="339"/>
        <v>0</v>
      </c>
      <c r="Z2583" s="864"/>
      <c r="AA2583" s="863"/>
      <c r="AB2583" s="756">
        <f t="shared" si="340"/>
        <v>0</v>
      </c>
      <c r="AC2583" s="859"/>
      <c r="AD2583" s="863"/>
      <c r="AE2583" s="859"/>
      <c r="AF2583" s="859"/>
      <c r="AG2583" s="864"/>
      <c r="AH2583" s="865"/>
      <c r="AI2583" s="757">
        <f t="shared" si="344"/>
        <v>0</v>
      </c>
      <c r="AJ2583" s="758">
        <f t="shared" si="345"/>
        <v>0</v>
      </c>
    </row>
    <row r="2584" spans="1:36" x14ac:dyDescent="0.2">
      <c r="A2584" s="1421" t="s">
        <v>146</v>
      </c>
      <c r="B2584" s="1293" t="s">
        <v>292</v>
      </c>
      <c r="C2584" s="1294" t="s">
        <v>34</v>
      </c>
      <c r="D2584" s="1295"/>
      <c r="E2584" s="1258"/>
      <c r="F2584" s="1259"/>
      <c r="G2584" s="859"/>
      <c r="H2584" s="860"/>
      <c r="I2584" s="861"/>
      <c r="J2584" s="862"/>
      <c r="K2584" s="859"/>
      <c r="L2584" s="863"/>
      <c r="M2584" s="859"/>
      <c r="N2584" s="859"/>
      <c r="O2584" s="752">
        <f t="shared" si="338"/>
        <v>0</v>
      </c>
      <c r="P2584" s="862"/>
      <c r="Q2584" s="860"/>
      <c r="R2584" s="753">
        <f t="shared" si="341"/>
        <v>0</v>
      </c>
      <c r="S2584" s="752">
        <f t="shared" si="342"/>
        <v>0</v>
      </c>
      <c r="T2584" s="754">
        <f t="shared" si="343"/>
        <v>0</v>
      </c>
      <c r="U2584" s="859"/>
      <c r="V2584" s="863"/>
      <c r="W2584" s="859"/>
      <c r="X2584" s="859"/>
      <c r="Y2584" s="755">
        <f t="shared" si="339"/>
        <v>0</v>
      </c>
      <c r="Z2584" s="864"/>
      <c r="AA2584" s="863"/>
      <c r="AB2584" s="756">
        <f t="shared" si="340"/>
        <v>0</v>
      </c>
      <c r="AC2584" s="859"/>
      <c r="AD2584" s="863"/>
      <c r="AE2584" s="859"/>
      <c r="AF2584" s="859"/>
      <c r="AG2584" s="864"/>
      <c r="AH2584" s="865"/>
      <c r="AI2584" s="757">
        <f t="shared" si="344"/>
        <v>0</v>
      </c>
      <c r="AJ2584" s="758">
        <f t="shared" si="345"/>
        <v>0</v>
      </c>
    </row>
    <row r="2585" spans="1:36" x14ac:dyDescent="0.2">
      <c r="A2585" s="1421" t="s">
        <v>146</v>
      </c>
      <c r="B2585" s="1293" t="s">
        <v>292</v>
      </c>
      <c r="C2585" s="1441" t="s">
        <v>1792</v>
      </c>
      <c r="D2585" s="1283"/>
      <c r="E2585" s="1258"/>
      <c r="F2585" s="1259"/>
      <c r="G2585" s="859"/>
      <c r="H2585" s="860"/>
      <c r="I2585" s="861"/>
      <c r="J2585" s="862"/>
      <c r="K2585" s="859"/>
      <c r="L2585" s="863"/>
      <c r="M2585" s="859"/>
      <c r="N2585" s="859"/>
      <c r="O2585" s="752">
        <f t="shared" si="338"/>
        <v>0</v>
      </c>
      <c r="P2585" s="862"/>
      <c r="Q2585" s="860"/>
      <c r="R2585" s="753">
        <f t="shared" si="341"/>
        <v>0</v>
      </c>
      <c r="S2585" s="752">
        <f t="shared" si="342"/>
        <v>0</v>
      </c>
      <c r="T2585" s="754">
        <f t="shared" si="343"/>
        <v>0</v>
      </c>
      <c r="U2585" s="859"/>
      <c r="V2585" s="863"/>
      <c r="W2585" s="859"/>
      <c r="X2585" s="859"/>
      <c r="Y2585" s="755">
        <f t="shared" si="339"/>
        <v>0</v>
      </c>
      <c r="Z2585" s="864"/>
      <c r="AA2585" s="863"/>
      <c r="AB2585" s="756">
        <f t="shared" si="340"/>
        <v>0</v>
      </c>
      <c r="AC2585" s="859"/>
      <c r="AD2585" s="863"/>
      <c r="AE2585" s="859"/>
      <c r="AF2585" s="859"/>
      <c r="AG2585" s="864"/>
      <c r="AH2585" s="865"/>
      <c r="AI2585" s="757">
        <f t="shared" si="344"/>
        <v>0</v>
      </c>
      <c r="AJ2585" s="758">
        <f t="shared" si="345"/>
        <v>0</v>
      </c>
    </row>
    <row r="2586" spans="1:36" x14ac:dyDescent="0.2">
      <c r="A2586" s="1421" t="s">
        <v>146</v>
      </c>
      <c r="B2586" s="1288" t="s">
        <v>209</v>
      </c>
      <c r="C2586" s="1289" t="s">
        <v>576</v>
      </c>
      <c r="D2586" s="1290"/>
      <c r="E2586" s="1296"/>
      <c r="F2586" s="1297"/>
      <c r="G2586" s="859"/>
      <c r="H2586" s="860"/>
      <c r="I2586" s="861"/>
      <c r="J2586" s="862"/>
      <c r="K2586" s="859"/>
      <c r="L2586" s="863"/>
      <c r="M2586" s="859"/>
      <c r="N2586" s="859"/>
      <c r="O2586" s="752">
        <f t="shared" si="338"/>
        <v>0</v>
      </c>
      <c r="P2586" s="862"/>
      <c r="Q2586" s="860"/>
      <c r="R2586" s="753">
        <f t="shared" si="341"/>
        <v>0</v>
      </c>
      <c r="S2586" s="752">
        <f t="shared" si="342"/>
        <v>0</v>
      </c>
      <c r="T2586" s="754">
        <f t="shared" si="343"/>
        <v>0</v>
      </c>
      <c r="U2586" s="859"/>
      <c r="V2586" s="863"/>
      <c r="W2586" s="859"/>
      <c r="X2586" s="859"/>
      <c r="Y2586" s="755">
        <f t="shared" si="339"/>
        <v>0</v>
      </c>
      <c r="Z2586" s="864"/>
      <c r="AA2586" s="863"/>
      <c r="AB2586" s="756">
        <f t="shared" si="340"/>
        <v>0</v>
      </c>
      <c r="AC2586" s="859"/>
      <c r="AD2586" s="863"/>
      <c r="AE2586" s="859"/>
      <c r="AF2586" s="859"/>
      <c r="AG2586" s="864"/>
      <c r="AH2586" s="865"/>
      <c r="AI2586" s="757">
        <f t="shared" si="344"/>
        <v>0</v>
      </c>
      <c r="AJ2586" s="758">
        <f t="shared" si="345"/>
        <v>0</v>
      </c>
    </row>
    <row r="2587" spans="1:36" x14ac:dyDescent="0.2">
      <c r="A2587" s="1421" t="s">
        <v>146</v>
      </c>
      <c r="B2587" s="1288" t="s">
        <v>210</v>
      </c>
      <c r="C2587" s="1289" t="s">
        <v>311</v>
      </c>
      <c r="D2587" s="1290"/>
      <c r="E2587" s="1296"/>
      <c r="F2587" s="1297"/>
      <c r="G2587" s="859"/>
      <c r="H2587" s="860"/>
      <c r="I2587" s="861"/>
      <c r="J2587" s="862"/>
      <c r="K2587" s="859"/>
      <c r="L2587" s="863"/>
      <c r="M2587" s="859"/>
      <c r="N2587" s="859"/>
      <c r="O2587" s="752">
        <f t="shared" si="338"/>
        <v>0</v>
      </c>
      <c r="P2587" s="862"/>
      <c r="Q2587" s="860"/>
      <c r="R2587" s="753">
        <f t="shared" si="341"/>
        <v>0</v>
      </c>
      <c r="S2587" s="752">
        <f t="shared" si="342"/>
        <v>0</v>
      </c>
      <c r="T2587" s="754">
        <f t="shared" si="343"/>
        <v>0</v>
      </c>
      <c r="U2587" s="859"/>
      <c r="V2587" s="863"/>
      <c r="W2587" s="859"/>
      <c r="X2587" s="859"/>
      <c r="Y2587" s="755">
        <f t="shared" si="339"/>
        <v>0</v>
      </c>
      <c r="Z2587" s="864"/>
      <c r="AA2587" s="863"/>
      <c r="AB2587" s="756">
        <f t="shared" si="340"/>
        <v>0</v>
      </c>
      <c r="AC2587" s="859"/>
      <c r="AD2587" s="863"/>
      <c r="AE2587" s="859"/>
      <c r="AF2587" s="859"/>
      <c r="AG2587" s="864"/>
      <c r="AH2587" s="865"/>
      <c r="AI2587" s="757">
        <f t="shared" si="344"/>
        <v>0</v>
      </c>
      <c r="AJ2587" s="758">
        <f t="shared" si="345"/>
        <v>0</v>
      </c>
    </row>
    <row r="2588" spans="1:36" x14ac:dyDescent="0.2">
      <c r="A2588" s="1421" t="s">
        <v>146</v>
      </c>
      <c r="B2588" s="1288" t="s">
        <v>204</v>
      </c>
      <c r="C2588" s="1289" t="s">
        <v>249</v>
      </c>
      <c r="D2588" s="1290"/>
      <c r="E2588" s="1296"/>
      <c r="F2588" s="1297"/>
      <c r="G2588" s="859"/>
      <c r="H2588" s="860"/>
      <c r="I2588" s="861"/>
      <c r="J2588" s="862"/>
      <c r="K2588" s="859"/>
      <c r="L2588" s="863"/>
      <c r="M2588" s="859"/>
      <c r="N2588" s="859"/>
      <c r="O2588" s="752">
        <f t="shared" si="338"/>
        <v>0</v>
      </c>
      <c r="P2588" s="862"/>
      <c r="Q2588" s="860"/>
      <c r="R2588" s="753">
        <f t="shared" si="341"/>
        <v>0</v>
      </c>
      <c r="S2588" s="752">
        <f t="shared" si="342"/>
        <v>0</v>
      </c>
      <c r="T2588" s="754">
        <f t="shared" si="343"/>
        <v>0</v>
      </c>
      <c r="U2588" s="859">
        <v>142600786</v>
      </c>
      <c r="V2588" s="863">
        <v>141005228.13133919</v>
      </c>
      <c r="W2588" s="859"/>
      <c r="X2588" s="859"/>
      <c r="Y2588" s="755">
        <f t="shared" si="339"/>
        <v>0</v>
      </c>
      <c r="Z2588" s="864"/>
      <c r="AA2588" s="863"/>
      <c r="AB2588" s="756">
        <f t="shared" si="340"/>
        <v>0</v>
      </c>
      <c r="AC2588" s="859"/>
      <c r="AD2588" s="863"/>
      <c r="AE2588" s="859"/>
      <c r="AF2588" s="859"/>
      <c r="AG2588" s="864"/>
      <c r="AH2588" s="865"/>
      <c r="AI2588" s="757">
        <f t="shared" si="344"/>
        <v>142600786</v>
      </c>
      <c r="AJ2588" s="758">
        <f t="shared" si="345"/>
        <v>141005228.13133919</v>
      </c>
    </row>
    <row r="2589" spans="1:36" ht="13.5" customHeight="1" x14ac:dyDescent="0.2">
      <c r="A2589" s="1421" t="s">
        <v>146</v>
      </c>
      <c r="B2589" s="1288" t="s">
        <v>205</v>
      </c>
      <c r="C2589" s="1289" t="s">
        <v>577</v>
      </c>
      <c r="D2589" s="1290"/>
      <c r="E2589" s="1296"/>
      <c r="F2589" s="1297"/>
      <c r="G2589" s="859"/>
      <c r="H2589" s="860"/>
      <c r="I2589" s="861"/>
      <c r="J2589" s="862"/>
      <c r="K2589" s="859"/>
      <c r="L2589" s="863"/>
      <c r="M2589" s="859"/>
      <c r="N2589" s="859"/>
      <c r="O2589" s="752">
        <f t="shared" si="338"/>
        <v>0</v>
      </c>
      <c r="P2589" s="862"/>
      <c r="Q2589" s="860"/>
      <c r="R2589" s="753">
        <f t="shared" si="341"/>
        <v>0</v>
      </c>
      <c r="S2589" s="752">
        <f t="shared" si="342"/>
        <v>0</v>
      </c>
      <c r="T2589" s="754">
        <f t="shared" si="343"/>
        <v>0</v>
      </c>
      <c r="U2589" s="859"/>
      <c r="V2589" s="863"/>
      <c r="W2589" s="859"/>
      <c r="X2589" s="859"/>
      <c r="Y2589" s="755">
        <f t="shared" si="339"/>
        <v>0</v>
      </c>
      <c r="Z2589" s="864"/>
      <c r="AA2589" s="863"/>
      <c r="AB2589" s="756">
        <f t="shared" si="340"/>
        <v>0</v>
      </c>
      <c r="AC2589" s="859"/>
      <c r="AD2589" s="863"/>
      <c r="AE2589" s="859"/>
      <c r="AF2589" s="859"/>
      <c r="AG2589" s="864"/>
      <c r="AH2589" s="865"/>
      <c r="AI2589" s="757">
        <f t="shared" si="344"/>
        <v>0</v>
      </c>
      <c r="AJ2589" s="758">
        <f t="shared" si="345"/>
        <v>0</v>
      </c>
    </row>
    <row r="2590" spans="1:36" x14ac:dyDescent="0.2">
      <c r="A2590" s="1421" t="s">
        <v>146</v>
      </c>
      <c r="B2590" s="1288" t="s">
        <v>218</v>
      </c>
      <c r="C2590" s="1289" t="s">
        <v>311</v>
      </c>
      <c r="D2590" s="1290"/>
      <c r="E2590" s="1296"/>
      <c r="F2590" s="1297"/>
      <c r="G2590" s="859"/>
      <c r="H2590" s="860"/>
      <c r="I2590" s="861"/>
      <c r="J2590" s="862"/>
      <c r="K2590" s="859"/>
      <c r="L2590" s="863"/>
      <c r="M2590" s="859"/>
      <c r="N2590" s="859"/>
      <c r="O2590" s="752">
        <f t="shared" si="338"/>
        <v>0</v>
      </c>
      <c r="P2590" s="862"/>
      <c r="Q2590" s="860"/>
      <c r="R2590" s="753">
        <f t="shared" si="341"/>
        <v>0</v>
      </c>
      <c r="S2590" s="752">
        <f t="shared" si="342"/>
        <v>0</v>
      </c>
      <c r="T2590" s="754">
        <f t="shared" si="343"/>
        <v>0</v>
      </c>
      <c r="U2590" s="859"/>
      <c r="V2590" s="863"/>
      <c r="W2590" s="859"/>
      <c r="X2590" s="859"/>
      <c r="Y2590" s="755">
        <f t="shared" si="339"/>
        <v>0</v>
      </c>
      <c r="Z2590" s="864"/>
      <c r="AA2590" s="863"/>
      <c r="AB2590" s="756">
        <f t="shared" si="340"/>
        <v>0</v>
      </c>
      <c r="AC2590" s="859"/>
      <c r="AD2590" s="863"/>
      <c r="AE2590" s="859"/>
      <c r="AF2590" s="859"/>
      <c r="AG2590" s="864"/>
      <c r="AH2590" s="865"/>
      <c r="AI2590" s="757">
        <f t="shared" si="344"/>
        <v>0</v>
      </c>
      <c r="AJ2590" s="758">
        <f t="shared" si="345"/>
        <v>0</v>
      </c>
    </row>
    <row r="2591" spans="1:36" x14ac:dyDescent="0.2">
      <c r="A2591" s="1421" t="s">
        <v>146</v>
      </c>
      <c r="B2591" s="1288" t="s">
        <v>219</v>
      </c>
      <c r="C2591" s="1289" t="s">
        <v>249</v>
      </c>
      <c r="D2591" s="1290"/>
      <c r="E2591" s="1296"/>
      <c r="F2591" s="1297"/>
      <c r="G2591" s="859"/>
      <c r="H2591" s="860"/>
      <c r="I2591" s="861"/>
      <c r="J2591" s="862"/>
      <c r="K2591" s="859"/>
      <c r="L2591" s="863"/>
      <c r="M2591" s="859"/>
      <c r="N2591" s="859"/>
      <c r="O2591" s="752">
        <f t="shared" si="338"/>
        <v>0</v>
      </c>
      <c r="P2591" s="862"/>
      <c r="Q2591" s="860"/>
      <c r="R2591" s="753">
        <f t="shared" si="341"/>
        <v>0</v>
      </c>
      <c r="S2591" s="752">
        <f t="shared" si="342"/>
        <v>0</v>
      </c>
      <c r="T2591" s="754">
        <f t="shared" si="343"/>
        <v>0</v>
      </c>
      <c r="U2591" s="859">
        <v>29529499</v>
      </c>
      <c r="V2591" s="863">
        <v>29385056.868660793</v>
      </c>
      <c r="W2591" s="859"/>
      <c r="X2591" s="859"/>
      <c r="Y2591" s="755">
        <f t="shared" si="339"/>
        <v>0</v>
      </c>
      <c r="Z2591" s="864"/>
      <c r="AA2591" s="863"/>
      <c r="AB2591" s="756">
        <f t="shared" si="340"/>
        <v>0</v>
      </c>
      <c r="AC2591" s="859"/>
      <c r="AD2591" s="863"/>
      <c r="AE2591" s="859"/>
      <c r="AF2591" s="859"/>
      <c r="AG2591" s="864"/>
      <c r="AH2591" s="865"/>
      <c r="AI2591" s="757">
        <f t="shared" si="344"/>
        <v>29529499</v>
      </c>
      <c r="AJ2591" s="758">
        <f t="shared" si="345"/>
        <v>29385056.868660793</v>
      </c>
    </row>
    <row r="2592" spans="1:36" x14ac:dyDescent="0.2">
      <c r="A2592" s="1421" t="s">
        <v>146</v>
      </c>
      <c r="B2592" s="1293" t="s">
        <v>292</v>
      </c>
      <c r="C2592" s="1441" t="s">
        <v>1793</v>
      </c>
      <c r="D2592" s="1283"/>
      <c r="E2592" s="1258"/>
      <c r="F2592" s="1259"/>
      <c r="G2592" s="859"/>
      <c r="H2592" s="860"/>
      <c r="I2592" s="861"/>
      <c r="J2592" s="862"/>
      <c r="K2592" s="859"/>
      <c r="L2592" s="863"/>
      <c r="M2592" s="859"/>
      <c r="N2592" s="859"/>
      <c r="O2592" s="752">
        <f t="shared" si="338"/>
        <v>0</v>
      </c>
      <c r="P2592" s="862"/>
      <c r="Q2592" s="860"/>
      <c r="R2592" s="753">
        <f t="shared" si="341"/>
        <v>0</v>
      </c>
      <c r="S2592" s="752">
        <f t="shared" si="342"/>
        <v>0</v>
      </c>
      <c r="T2592" s="754">
        <f t="shared" si="343"/>
        <v>0</v>
      </c>
      <c r="U2592" s="859"/>
      <c r="V2592" s="863"/>
      <c r="W2592" s="859"/>
      <c r="X2592" s="859"/>
      <c r="Y2592" s="755">
        <f t="shared" si="339"/>
        <v>0</v>
      </c>
      <c r="Z2592" s="864"/>
      <c r="AA2592" s="863"/>
      <c r="AB2592" s="756">
        <f t="shared" si="340"/>
        <v>0</v>
      </c>
      <c r="AC2592" s="859"/>
      <c r="AD2592" s="863"/>
      <c r="AE2592" s="859"/>
      <c r="AF2592" s="859"/>
      <c r="AG2592" s="864"/>
      <c r="AH2592" s="865"/>
      <c r="AI2592" s="757">
        <f t="shared" si="344"/>
        <v>0</v>
      </c>
      <c r="AJ2592" s="758">
        <f t="shared" si="345"/>
        <v>0</v>
      </c>
    </row>
    <row r="2593" spans="1:36" x14ac:dyDescent="0.2">
      <c r="A2593" s="1421" t="s">
        <v>146</v>
      </c>
      <c r="B2593" s="1288" t="s">
        <v>209</v>
      </c>
      <c r="C2593" s="1289" t="s">
        <v>576</v>
      </c>
      <c r="D2593" s="1290"/>
      <c r="E2593" s="1296"/>
      <c r="F2593" s="1297"/>
      <c r="G2593" s="859"/>
      <c r="H2593" s="860"/>
      <c r="I2593" s="861"/>
      <c r="J2593" s="862"/>
      <c r="K2593" s="859"/>
      <c r="L2593" s="863"/>
      <c r="M2593" s="859"/>
      <c r="N2593" s="859"/>
      <c r="O2593" s="752">
        <f t="shared" si="338"/>
        <v>0</v>
      </c>
      <c r="P2593" s="862"/>
      <c r="Q2593" s="860"/>
      <c r="R2593" s="753">
        <f t="shared" si="341"/>
        <v>0</v>
      </c>
      <c r="S2593" s="752">
        <f t="shared" si="342"/>
        <v>0</v>
      </c>
      <c r="T2593" s="754">
        <f t="shared" si="343"/>
        <v>0</v>
      </c>
      <c r="U2593" s="859"/>
      <c r="V2593" s="863"/>
      <c r="W2593" s="859"/>
      <c r="X2593" s="859"/>
      <c r="Y2593" s="755">
        <f t="shared" si="339"/>
        <v>0</v>
      </c>
      <c r="Z2593" s="864"/>
      <c r="AA2593" s="863"/>
      <c r="AB2593" s="756">
        <f t="shared" si="340"/>
        <v>0</v>
      </c>
      <c r="AC2593" s="859"/>
      <c r="AD2593" s="863"/>
      <c r="AE2593" s="859"/>
      <c r="AF2593" s="859"/>
      <c r="AG2593" s="864"/>
      <c r="AH2593" s="865"/>
      <c r="AI2593" s="757">
        <f t="shared" si="344"/>
        <v>0</v>
      </c>
      <c r="AJ2593" s="758">
        <f t="shared" si="345"/>
        <v>0</v>
      </c>
    </row>
    <row r="2594" spans="1:36" x14ac:dyDescent="0.2">
      <c r="A2594" s="1421" t="s">
        <v>146</v>
      </c>
      <c r="B2594" s="1288" t="s">
        <v>210</v>
      </c>
      <c r="C2594" s="1289" t="s">
        <v>311</v>
      </c>
      <c r="D2594" s="1290"/>
      <c r="E2594" s="1296"/>
      <c r="F2594" s="1297"/>
      <c r="G2594" s="859"/>
      <c r="H2594" s="860"/>
      <c r="I2594" s="861"/>
      <c r="J2594" s="862"/>
      <c r="K2594" s="859"/>
      <c r="L2594" s="863"/>
      <c r="M2594" s="859"/>
      <c r="N2594" s="859"/>
      <c r="O2594" s="752">
        <f t="shared" si="338"/>
        <v>0</v>
      </c>
      <c r="P2594" s="862"/>
      <c r="Q2594" s="860"/>
      <c r="R2594" s="753">
        <f t="shared" si="341"/>
        <v>0</v>
      </c>
      <c r="S2594" s="752">
        <f t="shared" si="342"/>
        <v>0</v>
      </c>
      <c r="T2594" s="754">
        <f t="shared" si="343"/>
        <v>0</v>
      </c>
      <c r="U2594" s="859"/>
      <c r="V2594" s="863"/>
      <c r="W2594" s="859"/>
      <c r="X2594" s="859"/>
      <c r="Y2594" s="755">
        <f t="shared" si="339"/>
        <v>0</v>
      </c>
      <c r="Z2594" s="864"/>
      <c r="AA2594" s="863"/>
      <c r="AB2594" s="756">
        <f t="shared" si="340"/>
        <v>0</v>
      </c>
      <c r="AC2594" s="859"/>
      <c r="AD2594" s="863"/>
      <c r="AE2594" s="859"/>
      <c r="AF2594" s="859"/>
      <c r="AG2594" s="864"/>
      <c r="AH2594" s="865"/>
      <c r="AI2594" s="757">
        <f t="shared" si="344"/>
        <v>0</v>
      </c>
      <c r="AJ2594" s="758">
        <f t="shared" si="345"/>
        <v>0</v>
      </c>
    </row>
    <row r="2595" spans="1:36" x14ac:dyDescent="0.2">
      <c r="A2595" s="1421" t="s">
        <v>146</v>
      </c>
      <c r="B2595" s="1288" t="s">
        <v>204</v>
      </c>
      <c r="C2595" s="1289" t="s">
        <v>249</v>
      </c>
      <c r="D2595" s="1290"/>
      <c r="E2595" s="1296"/>
      <c r="F2595" s="1297"/>
      <c r="G2595" s="859"/>
      <c r="H2595" s="860"/>
      <c r="I2595" s="861"/>
      <c r="J2595" s="862"/>
      <c r="K2595" s="859"/>
      <c r="L2595" s="863"/>
      <c r="M2595" s="859"/>
      <c r="N2595" s="859"/>
      <c r="O2595" s="752">
        <f t="shared" si="338"/>
        <v>0</v>
      </c>
      <c r="P2595" s="862"/>
      <c r="Q2595" s="860"/>
      <c r="R2595" s="753">
        <f t="shared" si="341"/>
        <v>0</v>
      </c>
      <c r="S2595" s="752">
        <f t="shared" si="342"/>
        <v>0</v>
      </c>
      <c r="T2595" s="754">
        <f t="shared" si="343"/>
        <v>0</v>
      </c>
      <c r="U2595" s="859">
        <v>48499526</v>
      </c>
      <c r="V2595" s="863">
        <v>48418078.441039331</v>
      </c>
      <c r="W2595" s="859"/>
      <c r="X2595" s="859"/>
      <c r="Y2595" s="755">
        <f t="shared" si="339"/>
        <v>0</v>
      </c>
      <c r="Z2595" s="864"/>
      <c r="AA2595" s="863"/>
      <c r="AB2595" s="756">
        <f t="shared" si="340"/>
        <v>0</v>
      </c>
      <c r="AC2595" s="859"/>
      <c r="AD2595" s="863"/>
      <c r="AE2595" s="859"/>
      <c r="AF2595" s="859"/>
      <c r="AG2595" s="864"/>
      <c r="AH2595" s="865"/>
      <c r="AI2595" s="757">
        <f t="shared" si="344"/>
        <v>48499526</v>
      </c>
      <c r="AJ2595" s="758">
        <f t="shared" si="345"/>
        <v>48418078.441039331</v>
      </c>
    </row>
    <row r="2596" spans="1:36" x14ac:dyDescent="0.2">
      <c r="A2596" s="1421" t="s">
        <v>146</v>
      </c>
      <c r="B2596" s="1288" t="s">
        <v>205</v>
      </c>
      <c r="C2596" s="1289" t="s">
        <v>577</v>
      </c>
      <c r="D2596" s="1290"/>
      <c r="E2596" s="1296"/>
      <c r="F2596" s="1297"/>
      <c r="G2596" s="859"/>
      <c r="H2596" s="860"/>
      <c r="I2596" s="861"/>
      <c r="J2596" s="862"/>
      <c r="K2596" s="859"/>
      <c r="L2596" s="863"/>
      <c r="M2596" s="859"/>
      <c r="N2596" s="859"/>
      <c r="O2596" s="752">
        <f t="shared" si="338"/>
        <v>0</v>
      </c>
      <c r="P2596" s="862"/>
      <c r="Q2596" s="860"/>
      <c r="R2596" s="753">
        <f t="shared" si="341"/>
        <v>0</v>
      </c>
      <c r="S2596" s="752">
        <f t="shared" si="342"/>
        <v>0</v>
      </c>
      <c r="T2596" s="754">
        <f t="shared" si="343"/>
        <v>0</v>
      </c>
      <c r="U2596" s="859"/>
      <c r="V2596" s="863"/>
      <c r="W2596" s="859"/>
      <c r="X2596" s="859"/>
      <c r="Y2596" s="755">
        <f t="shared" si="339"/>
        <v>0</v>
      </c>
      <c r="Z2596" s="864"/>
      <c r="AA2596" s="863"/>
      <c r="AB2596" s="756">
        <f t="shared" si="340"/>
        <v>0</v>
      </c>
      <c r="AC2596" s="859"/>
      <c r="AD2596" s="863"/>
      <c r="AE2596" s="859"/>
      <c r="AF2596" s="859"/>
      <c r="AG2596" s="864"/>
      <c r="AH2596" s="865"/>
      <c r="AI2596" s="757">
        <f t="shared" si="344"/>
        <v>0</v>
      </c>
      <c r="AJ2596" s="758">
        <f t="shared" si="345"/>
        <v>0</v>
      </c>
    </row>
    <row r="2597" spans="1:36" x14ac:dyDescent="0.2">
      <c r="A2597" s="1421" t="s">
        <v>146</v>
      </c>
      <c r="B2597" s="1288" t="s">
        <v>218</v>
      </c>
      <c r="C2597" s="1289" t="s">
        <v>311</v>
      </c>
      <c r="D2597" s="1290"/>
      <c r="E2597" s="1296"/>
      <c r="F2597" s="1297"/>
      <c r="G2597" s="859"/>
      <c r="H2597" s="860"/>
      <c r="I2597" s="861"/>
      <c r="J2597" s="862"/>
      <c r="K2597" s="859"/>
      <c r="L2597" s="863"/>
      <c r="M2597" s="859"/>
      <c r="N2597" s="859"/>
      <c r="O2597" s="752">
        <f t="shared" si="338"/>
        <v>0</v>
      </c>
      <c r="P2597" s="862"/>
      <c r="Q2597" s="860"/>
      <c r="R2597" s="753">
        <f t="shared" si="341"/>
        <v>0</v>
      </c>
      <c r="S2597" s="752">
        <f t="shared" si="342"/>
        <v>0</v>
      </c>
      <c r="T2597" s="754">
        <f t="shared" si="343"/>
        <v>0</v>
      </c>
      <c r="U2597" s="859"/>
      <c r="V2597" s="863"/>
      <c r="W2597" s="859"/>
      <c r="X2597" s="859"/>
      <c r="Y2597" s="755">
        <f t="shared" si="339"/>
        <v>0</v>
      </c>
      <c r="Z2597" s="864"/>
      <c r="AA2597" s="863"/>
      <c r="AB2597" s="756">
        <f t="shared" si="340"/>
        <v>0</v>
      </c>
      <c r="AC2597" s="859"/>
      <c r="AD2597" s="863"/>
      <c r="AE2597" s="859"/>
      <c r="AF2597" s="859"/>
      <c r="AG2597" s="864"/>
      <c r="AH2597" s="865"/>
      <c r="AI2597" s="757">
        <f t="shared" si="344"/>
        <v>0</v>
      </c>
      <c r="AJ2597" s="758">
        <f t="shared" si="345"/>
        <v>0</v>
      </c>
    </row>
    <row r="2598" spans="1:36" x14ac:dyDescent="0.2">
      <c r="A2598" s="1421" t="s">
        <v>146</v>
      </c>
      <c r="B2598" s="1288" t="s">
        <v>219</v>
      </c>
      <c r="C2598" s="1289" t="s">
        <v>249</v>
      </c>
      <c r="D2598" s="1290"/>
      <c r="E2598" s="1296"/>
      <c r="F2598" s="1297"/>
      <c r="G2598" s="859"/>
      <c r="H2598" s="860"/>
      <c r="I2598" s="861"/>
      <c r="J2598" s="862"/>
      <c r="K2598" s="859"/>
      <c r="L2598" s="863"/>
      <c r="M2598" s="859"/>
      <c r="N2598" s="859"/>
      <c r="O2598" s="752">
        <f t="shared" si="338"/>
        <v>0</v>
      </c>
      <c r="P2598" s="862"/>
      <c r="Q2598" s="860"/>
      <c r="R2598" s="753">
        <f t="shared" si="341"/>
        <v>0</v>
      </c>
      <c r="S2598" s="752">
        <f t="shared" si="342"/>
        <v>0</v>
      </c>
      <c r="T2598" s="754">
        <f t="shared" si="343"/>
        <v>0</v>
      </c>
      <c r="U2598" s="859">
        <v>600474</v>
      </c>
      <c r="V2598" s="863">
        <v>681921.55896067037</v>
      </c>
      <c r="W2598" s="859"/>
      <c r="X2598" s="859"/>
      <c r="Y2598" s="755">
        <f t="shared" si="339"/>
        <v>0</v>
      </c>
      <c r="Z2598" s="864"/>
      <c r="AA2598" s="863"/>
      <c r="AB2598" s="756">
        <f t="shared" si="340"/>
        <v>0</v>
      </c>
      <c r="AC2598" s="859"/>
      <c r="AD2598" s="863"/>
      <c r="AE2598" s="859"/>
      <c r="AF2598" s="859"/>
      <c r="AG2598" s="864"/>
      <c r="AH2598" s="865"/>
      <c r="AI2598" s="757">
        <f t="shared" si="344"/>
        <v>600474</v>
      </c>
      <c r="AJ2598" s="758">
        <f t="shared" si="345"/>
        <v>681921.55896067037</v>
      </c>
    </row>
    <row r="2599" spans="1:36" x14ac:dyDescent="0.2">
      <c r="A2599" s="1421" t="s">
        <v>146</v>
      </c>
      <c r="B2599" s="1293" t="s">
        <v>292</v>
      </c>
      <c r="C2599" s="1441" t="s">
        <v>1794</v>
      </c>
      <c r="D2599" s="1283"/>
      <c r="E2599" s="1258"/>
      <c r="F2599" s="1259"/>
      <c r="G2599" s="859"/>
      <c r="H2599" s="860"/>
      <c r="I2599" s="861"/>
      <c r="J2599" s="862"/>
      <c r="K2599" s="859"/>
      <c r="L2599" s="863"/>
      <c r="M2599" s="859"/>
      <c r="N2599" s="859"/>
      <c r="O2599" s="752">
        <f t="shared" si="338"/>
        <v>0</v>
      </c>
      <c r="P2599" s="862"/>
      <c r="Q2599" s="860"/>
      <c r="R2599" s="753">
        <f t="shared" si="341"/>
        <v>0</v>
      </c>
      <c r="S2599" s="752">
        <f t="shared" si="342"/>
        <v>0</v>
      </c>
      <c r="T2599" s="754">
        <f t="shared" si="343"/>
        <v>0</v>
      </c>
      <c r="U2599" s="859"/>
      <c r="V2599" s="863"/>
      <c r="W2599" s="859"/>
      <c r="X2599" s="859"/>
      <c r="Y2599" s="755">
        <f t="shared" si="339"/>
        <v>0</v>
      </c>
      <c r="Z2599" s="864"/>
      <c r="AA2599" s="863"/>
      <c r="AB2599" s="756">
        <f t="shared" si="340"/>
        <v>0</v>
      </c>
      <c r="AC2599" s="859"/>
      <c r="AD2599" s="863"/>
      <c r="AE2599" s="859"/>
      <c r="AF2599" s="859"/>
      <c r="AG2599" s="864"/>
      <c r="AH2599" s="865"/>
      <c r="AI2599" s="757">
        <f t="shared" si="344"/>
        <v>0</v>
      </c>
      <c r="AJ2599" s="758">
        <f t="shared" si="345"/>
        <v>0</v>
      </c>
    </row>
    <row r="2600" spans="1:36" x14ac:dyDescent="0.2">
      <c r="A2600" s="1421" t="s">
        <v>146</v>
      </c>
      <c r="B2600" s="1288" t="s">
        <v>209</v>
      </c>
      <c r="C2600" s="1289" t="s">
        <v>576</v>
      </c>
      <c r="D2600" s="1290"/>
      <c r="E2600" s="1296"/>
      <c r="F2600" s="1297"/>
      <c r="G2600" s="859"/>
      <c r="H2600" s="860"/>
      <c r="I2600" s="861"/>
      <c r="J2600" s="862"/>
      <c r="K2600" s="859"/>
      <c r="L2600" s="863"/>
      <c r="M2600" s="859"/>
      <c r="N2600" s="859"/>
      <c r="O2600" s="752">
        <f t="shared" si="338"/>
        <v>0</v>
      </c>
      <c r="P2600" s="862"/>
      <c r="Q2600" s="860"/>
      <c r="R2600" s="753">
        <f t="shared" si="341"/>
        <v>0</v>
      </c>
      <c r="S2600" s="752">
        <f t="shared" si="342"/>
        <v>0</v>
      </c>
      <c r="T2600" s="754">
        <f t="shared" si="343"/>
        <v>0</v>
      </c>
      <c r="U2600" s="859"/>
      <c r="V2600" s="863"/>
      <c r="W2600" s="859"/>
      <c r="X2600" s="859"/>
      <c r="Y2600" s="755">
        <f t="shared" si="339"/>
        <v>0</v>
      </c>
      <c r="Z2600" s="864"/>
      <c r="AA2600" s="863"/>
      <c r="AB2600" s="756">
        <f t="shared" si="340"/>
        <v>0</v>
      </c>
      <c r="AC2600" s="859"/>
      <c r="AD2600" s="863"/>
      <c r="AE2600" s="859"/>
      <c r="AF2600" s="859"/>
      <c r="AG2600" s="864"/>
      <c r="AH2600" s="865"/>
      <c r="AI2600" s="757">
        <f t="shared" si="344"/>
        <v>0</v>
      </c>
      <c r="AJ2600" s="758">
        <f t="shared" si="345"/>
        <v>0</v>
      </c>
    </row>
    <row r="2601" spans="1:36" x14ac:dyDescent="0.2">
      <c r="A2601" s="1421" t="s">
        <v>146</v>
      </c>
      <c r="B2601" s="1288" t="s">
        <v>210</v>
      </c>
      <c r="C2601" s="1289" t="s">
        <v>311</v>
      </c>
      <c r="D2601" s="1290"/>
      <c r="E2601" s="1296"/>
      <c r="F2601" s="1297"/>
      <c r="G2601" s="859"/>
      <c r="H2601" s="860"/>
      <c r="I2601" s="861"/>
      <c r="J2601" s="862"/>
      <c r="K2601" s="859"/>
      <c r="L2601" s="863"/>
      <c r="M2601" s="859"/>
      <c r="N2601" s="859"/>
      <c r="O2601" s="752">
        <f t="shared" si="338"/>
        <v>0</v>
      </c>
      <c r="P2601" s="862"/>
      <c r="Q2601" s="860"/>
      <c r="R2601" s="753">
        <f t="shared" si="341"/>
        <v>0</v>
      </c>
      <c r="S2601" s="752">
        <f t="shared" si="342"/>
        <v>0</v>
      </c>
      <c r="T2601" s="754">
        <f t="shared" si="343"/>
        <v>0</v>
      </c>
      <c r="U2601" s="859"/>
      <c r="V2601" s="863"/>
      <c r="W2601" s="859"/>
      <c r="X2601" s="859"/>
      <c r="Y2601" s="755">
        <f t="shared" si="339"/>
        <v>0</v>
      </c>
      <c r="Z2601" s="864"/>
      <c r="AA2601" s="863"/>
      <c r="AB2601" s="756">
        <f t="shared" si="340"/>
        <v>0</v>
      </c>
      <c r="AC2601" s="859"/>
      <c r="AD2601" s="863"/>
      <c r="AE2601" s="859"/>
      <c r="AF2601" s="859"/>
      <c r="AG2601" s="864"/>
      <c r="AH2601" s="865"/>
      <c r="AI2601" s="757">
        <f t="shared" si="344"/>
        <v>0</v>
      </c>
      <c r="AJ2601" s="758">
        <f t="shared" si="345"/>
        <v>0</v>
      </c>
    </row>
    <row r="2602" spans="1:36" x14ac:dyDescent="0.2">
      <c r="A2602" s="1421" t="s">
        <v>146</v>
      </c>
      <c r="B2602" s="1288" t="s">
        <v>204</v>
      </c>
      <c r="C2602" s="1289" t="s">
        <v>249</v>
      </c>
      <c r="D2602" s="1290"/>
      <c r="E2602" s="1296"/>
      <c r="F2602" s="1297"/>
      <c r="G2602" s="859"/>
      <c r="H2602" s="860"/>
      <c r="I2602" s="861"/>
      <c r="J2602" s="862"/>
      <c r="K2602" s="859"/>
      <c r="L2602" s="863"/>
      <c r="M2602" s="859"/>
      <c r="N2602" s="859"/>
      <c r="O2602" s="752">
        <f t="shared" si="338"/>
        <v>0</v>
      </c>
      <c r="P2602" s="862"/>
      <c r="Q2602" s="860"/>
      <c r="R2602" s="753">
        <f t="shared" si="341"/>
        <v>0</v>
      </c>
      <c r="S2602" s="752">
        <f t="shared" si="342"/>
        <v>0</v>
      </c>
      <c r="T2602" s="754">
        <f t="shared" si="343"/>
        <v>0</v>
      </c>
      <c r="U2602" s="859">
        <v>39182845</v>
      </c>
      <c r="V2602" s="863">
        <v>40096810.073983558</v>
      </c>
      <c r="W2602" s="859"/>
      <c r="X2602" s="859"/>
      <c r="Y2602" s="755">
        <f t="shared" si="339"/>
        <v>0</v>
      </c>
      <c r="Z2602" s="864"/>
      <c r="AA2602" s="863"/>
      <c r="AB2602" s="756">
        <f t="shared" si="340"/>
        <v>0</v>
      </c>
      <c r="AC2602" s="859"/>
      <c r="AD2602" s="863"/>
      <c r="AE2602" s="859"/>
      <c r="AF2602" s="859"/>
      <c r="AG2602" s="864"/>
      <c r="AH2602" s="865"/>
      <c r="AI2602" s="757">
        <f t="shared" si="344"/>
        <v>39182845</v>
      </c>
      <c r="AJ2602" s="758">
        <f t="shared" si="345"/>
        <v>40096810.073983558</v>
      </c>
    </row>
    <row r="2603" spans="1:36" x14ac:dyDescent="0.2">
      <c r="A2603" s="1421" t="s">
        <v>146</v>
      </c>
      <c r="B2603" s="1288" t="s">
        <v>205</v>
      </c>
      <c r="C2603" s="1289" t="s">
        <v>577</v>
      </c>
      <c r="D2603" s="1290"/>
      <c r="E2603" s="1296"/>
      <c r="F2603" s="1297"/>
      <c r="G2603" s="859"/>
      <c r="H2603" s="860"/>
      <c r="I2603" s="861"/>
      <c r="J2603" s="862"/>
      <c r="K2603" s="859"/>
      <c r="L2603" s="863"/>
      <c r="M2603" s="859"/>
      <c r="N2603" s="859"/>
      <c r="O2603" s="752">
        <f t="shared" si="338"/>
        <v>0</v>
      </c>
      <c r="P2603" s="862"/>
      <c r="Q2603" s="860"/>
      <c r="R2603" s="753">
        <f t="shared" si="341"/>
        <v>0</v>
      </c>
      <c r="S2603" s="752">
        <f t="shared" si="342"/>
        <v>0</v>
      </c>
      <c r="T2603" s="754">
        <f t="shared" si="343"/>
        <v>0</v>
      </c>
      <c r="U2603" s="859"/>
      <c r="V2603" s="863"/>
      <c r="W2603" s="859"/>
      <c r="X2603" s="859"/>
      <c r="Y2603" s="755">
        <f t="shared" si="339"/>
        <v>0</v>
      </c>
      <c r="Z2603" s="864"/>
      <c r="AA2603" s="863"/>
      <c r="AB2603" s="756">
        <f t="shared" si="340"/>
        <v>0</v>
      </c>
      <c r="AC2603" s="859"/>
      <c r="AD2603" s="863"/>
      <c r="AE2603" s="859"/>
      <c r="AF2603" s="859"/>
      <c r="AG2603" s="864"/>
      <c r="AH2603" s="865"/>
      <c r="AI2603" s="757">
        <f t="shared" si="344"/>
        <v>0</v>
      </c>
      <c r="AJ2603" s="758">
        <f t="shared" si="345"/>
        <v>0</v>
      </c>
    </row>
    <row r="2604" spans="1:36" x14ac:dyDescent="0.2">
      <c r="A2604" s="1421" t="s">
        <v>146</v>
      </c>
      <c r="B2604" s="1288" t="s">
        <v>218</v>
      </c>
      <c r="C2604" s="1289" t="s">
        <v>311</v>
      </c>
      <c r="D2604" s="1290"/>
      <c r="E2604" s="1296"/>
      <c r="F2604" s="1297"/>
      <c r="G2604" s="859"/>
      <c r="H2604" s="860"/>
      <c r="I2604" s="861"/>
      <c r="J2604" s="862"/>
      <c r="K2604" s="859"/>
      <c r="L2604" s="863"/>
      <c r="M2604" s="859"/>
      <c r="N2604" s="859"/>
      <c r="O2604" s="752">
        <f t="shared" si="338"/>
        <v>0</v>
      </c>
      <c r="P2604" s="862"/>
      <c r="Q2604" s="860"/>
      <c r="R2604" s="753">
        <f t="shared" si="341"/>
        <v>0</v>
      </c>
      <c r="S2604" s="752">
        <f t="shared" si="342"/>
        <v>0</v>
      </c>
      <c r="T2604" s="754">
        <f t="shared" si="343"/>
        <v>0</v>
      </c>
      <c r="U2604" s="859"/>
      <c r="V2604" s="863"/>
      <c r="W2604" s="859"/>
      <c r="X2604" s="859"/>
      <c r="Y2604" s="755">
        <f t="shared" si="339"/>
        <v>0</v>
      </c>
      <c r="Z2604" s="864"/>
      <c r="AA2604" s="863"/>
      <c r="AB2604" s="756">
        <f t="shared" si="340"/>
        <v>0</v>
      </c>
      <c r="AC2604" s="859"/>
      <c r="AD2604" s="863"/>
      <c r="AE2604" s="859"/>
      <c r="AF2604" s="859"/>
      <c r="AG2604" s="864"/>
      <c r="AH2604" s="865"/>
      <c r="AI2604" s="757">
        <f t="shared" si="344"/>
        <v>0</v>
      </c>
      <c r="AJ2604" s="758">
        <f t="shared" si="345"/>
        <v>0</v>
      </c>
    </row>
    <row r="2605" spans="1:36" x14ac:dyDescent="0.2">
      <c r="A2605" s="1421" t="s">
        <v>146</v>
      </c>
      <c r="B2605" s="1288" t="s">
        <v>219</v>
      </c>
      <c r="C2605" s="1289" t="s">
        <v>249</v>
      </c>
      <c r="D2605" s="1290"/>
      <c r="E2605" s="1296"/>
      <c r="F2605" s="1297"/>
      <c r="G2605" s="859"/>
      <c r="H2605" s="860"/>
      <c r="I2605" s="861"/>
      <c r="J2605" s="862"/>
      <c r="K2605" s="859"/>
      <c r="L2605" s="863"/>
      <c r="M2605" s="859"/>
      <c r="N2605" s="859"/>
      <c r="O2605" s="752">
        <f t="shared" si="338"/>
        <v>0</v>
      </c>
      <c r="P2605" s="862"/>
      <c r="Q2605" s="860"/>
      <c r="R2605" s="753">
        <f t="shared" si="341"/>
        <v>0</v>
      </c>
      <c r="S2605" s="752">
        <f t="shared" si="342"/>
        <v>0</v>
      </c>
      <c r="T2605" s="754">
        <f t="shared" si="343"/>
        <v>0</v>
      </c>
      <c r="U2605" s="859">
        <v>10703822</v>
      </c>
      <c r="V2605" s="863">
        <v>9789856.9260164462</v>
      </c>
      <c r="W2605" s="859"/>
      <c r="X2605" s="859"/>
      <c r="Y2605" s="755">
        <f t="shared" si="339"/>
        <v>0</v>
      </c>
      <c r="Z2605" s="864"/>
      <c r="AA2605" s="863"/>
      <c r="AB2605" s="756">
        <f t="shared" si="340"/>
        <v>0</v>
      </c>
      <c r="AC2605" s="859"/>
      <c r="AD2605" s="863"/>
      <c r="AE2605" s="859"/>
      <c r="AF2605" s="859"/>
      <c r="AG2605" s="864"/>
      <c r="AH2605" s="865"/>
      <c r="AI2605" s="757">
        <f t="shared" si="344"/>
        <v>10703822</v>
      </c>
      <c r="AJ2605" s="758">
        <f t="shared" si="345"/>
        <v>9789856.9260164462</v>
      </c>
    </row>
    <row r="2606" spans="1:36" x14ac:dyDescent="0.2">
      <c r="A2606" s="1421" t="s">
        <v>146</v>
      </c>
      <c r="B2606" s="1293" t="s">
        <v>292</v>
      </c>
      <c r="C2606" s="1441" t="s">
        <v>1795</v>
      </c>
      <c r="D2606" s="1283"/>
      <c r="E2606" s="1258"/>
      <c r="F2606" s="1259"/>
      <c r="G2606" s="859"/>
      <c r="H2606" s="860"/>
      <c r="I2606" s="861"/>
      <c r="J2606" s="862"/>
      <c r="K2606" s="859"/>
      <c r="L2606" s="863"/>
      <c r="M2606" s="859"/>
      <c r="N2606" s="859"/>
      <c r="O2606" s="752">
        <f t="shared" si="338"/>
        <v>0</v>
      </c>
      <c r="P2606" s="862"/>
      <c r="Q2606" s="860"/>
      <c r="R2606" s="753">
        <f t="shared" si="341"/>
        <v>0</v>
      </c>
      <c r="S2606" s="752">
        <f t="shared" si="342"/>
        <v>0</v>
      </c>
      <c r="T2606" s="754">
        <f t="shared" si="343"/>
        <v>0</v>
      </c>
      <c r="U2606" s="859"/>
      <c r="V2606" s="863"/>
      <c r="W2606" s="859"/>
      <c r="X2606" s="859"/>
      <c r="Y2606" s="755">
        <f t="shared" si="339"/>
        <v>0</v>
      </c>
      <c r="Z2606" s="864"/>
      <c r="AA2606" s="863"/>
      <c r="AB2606" s="756">
        <f t="shared" si="340"/>
        <v>0</v>
      </c>
      <c r="AC2606" s="859"/>
      <c r="AD2606" s="863"/>
      <c r="AE2606" s="859"/>
      <c r="AF2606" s="859"/>
      <c r="AG2606" s="864"/>
      <c r="AH2606" s="865"/>
      <c r="AI2606" s="757">
        <f t="shared" si="344"/>
        <v>0</v>
      </c>
      <c r="AJ2606" s="758">
        <f t="shared" si="345"/>
        <v>0</v>
      </c>
    </row>
    <row r="2607" spans="1:36" x14ac:dyDescent="0.2">
      <c r="A2607" s="1421" t="s">
        <v>146</v>
      </c>
      <c r="B2607" s="1288" t="s">
        <v>209</v>
      </c>
      <c r="C2607" s="1289" t="s">
        <v>576</v>
      </c>
      <c r="D2607" s="1290"/>
      <c r="E2607" s="1296"/>
      <c r="F2607" s="1297"/>
      <c r="G2607" s="859"/>
      <c r="H2607" s="860"/>
      <c r="I2607" s="861"/>
      <c r="J2607" s="862"/>
      <c r="K2607" s="859"/>
      <c r="L2607" s="863"/>
      <c r="M2607" s="859"/>
      <c r="N2607" s="859"/>
      <c r="O2607" s="752">
        <f t="shared" si="338"/>
        <v>0</v>
      </c>
      <c r="P2607" s="862"/>
      <c r="Q2607" s="860"/>
      <c r="R2607" s="753">
        <f t="shared" si="341"/>
        <v>0</v>
      </c>
      <c r="S2607" s="752">
        <f t="shared" si="342"/>
        <v>0</v>
      </c>
      <c r="T2607" s="754">
        <f t="shared" si="343"/>
        <v>0</v>
      </c>
      <c r="U2607" s="859"/>
      <c r="V2607" s="863"/>
      <c r="W2607" s="859"/>
      <c r="X2607" s="859"/>
      <c r="Y2607" s="755">
        <f t="shared" si="339"/>
        <v>0</v>
      </c>
      <c r="Z2607" s="864"/>
      <c r="AA2607" s="863"/>
      <c r="AB2607" s="756">
        <f t="shared" si="340"/>
        <v>0</v>
      </c>
      <c r="AC2607" s="859"/>
      <c r="AD2607" s="863"/>
      <c r="AE2607" s="859"/>
      <c r="AF2607" s="859"/>
      <c r="AG2607" s="864"/>
      <c r="AH2607" s="865"/>
      <c r="AI2607" s="757">
        <f t="shared" si="344"/>
        <v>0</v>
      </c>
      <c r="AJ2607" s="758">
        <f t="shared" si="345"/>
        <v>0</v>
      </c>
    </row>
    <row r="2608" spans="1:36" x14ac:dyDescent="0.2">
      <c r="A2608" s="1421" t="s">
        <v>146</v>
      </c>
      <c r="B2608" s="1288" t="s">
        <v>210</v>
      </c>
      <c r="C2608" s="1289" t="s">
        <v>311</v>
      </c>
      <c r="D2608" s="1290"/>
      <c r="E2608" s="1296"/>
      <c r="F2608" s="1297"/>
      <c r="G2608" s="859"/>
      <c r="H2608" s="860"/>
      <c r="I2608" s="861"/>
      <c r="J2608" s="862"/>
      <c r="K2608" s="859"/>
      <c r="L2608" s="863"/>
      <c r="M2608" s="859"/>
      <c r="N2608" s="859"/>
      <c r="O2608" s="752">
        <f t="shared" si="338"/>
        <v>0</v>
      </c>
      <c r="P2608" s="862"/>
      <c r="Q2608" s="860"/>
      <c r="R2608" s="753">
        <f t="shared" si="341"/>
        <v>0</v>
      </c>
      <c r="S2608" s="752">
        <f t="shared" si="342"/>
        <v>0</v>
      </c>
      <c r="T2608" s="754">
        <f t="shared" si="343"/>
        <v>0</v>
      </c>
      <c r="U2608" s="859"/>
      <c r="V2608" s="863"/>
      <c r="W2608" s="859"/>
      <c r="X2608" s="859"/>
      <c r="Y2608" s="755">
        <f t="shared" si="339"/>
        <v>0</v>
      </c>
      <c r="Z2608" s="864"/>
      <c r="AA2608" s="863"/>
      <c r="AB2608" s="756">
        <f t="shared" si="340"/>
        <v>0</v>
      </c>
      <c r="AC2608" s="859"/>
      <c r="AD2608" s="863"/>
      <c r="AE2608" s="859"/>
      <c r="AF2608" s="859"/>
      <c r="AG2608" s="864"/>
      <c r="AH2608" s="865"/>
      <c r="AI2608" s="757">
        <f t="shared" si="344"/>
        <v>0</v>
      </c>
      <c r="AJ2608" s="758">
        <f t="shared" si="345"/>
        <v>0</v>
      </c>
    </row>
    <row r="2609" spans="1:36" x14ac:dyDescent="0.2">
      <c r="A2609" s="1421" t="s">
        <v>146</v>
      </c>
      <c r="B2609" s="1288" t="s">
        <v>204</v>
      </c>
      <c r="C2609" s="1289" t="s">
        <v>249</v>
      </c>
      <c r="D2609" s="1290"/>
      <c r="E2609" s="1296"/>
      <c r="F2609" s="1297"/>
      <c r="G2609" s="859"/>
      <c r="H2609" s="860"/>
      <c r="I2609" s="861"/>
      <c r="J2609" s="862"/>
      <c r="K2609" s="859"/>
      <c r="L2609" s="863"/>
      <c r="M2609" s="859"/>
      <c r="N2609" s="859"/>
      <c r="O2609" s="752">
        <f t="shared" si="338"/>
        <v>0</v>
      </c>
      <c r="P2609" s="862"/>
      <c r="Q2609" s="860"/>
      <c r="R2609" s="753">
        <f t="shared" si="341"/>
        <v>0</v>
      </c>
      <c r="S2609" s="752">
        <f t="shared" si="342"/>
        <v>0</v>
      </c>
      <c r="T2609" s="754">
        <f t="shared" si="343"/>
        <v>0</v>
      </c>
      <c r="U2609" s="859">
        <v>5885114</v>
      </c>
      <c r="V2609" s="863">
        <v>5631637.8007988781</v>
      </c>
      <c r="W2609" s="859"/>
      <c r="X2609" s="859"/>
      <c r="Y2609" s="755">
        <f t="shared" si="339"/>
        <v>0</v>
      </c>
      <c r="Z2609" s="864"/>
      <c r="AA2609" s="863"/>
      <c r="AB2609" s="756">
        <f t="shared" si="340"/>
        <v>0</v>
      </c>
      <c r="AC2609" s="859"/>
      <c r="AD2609" s="863"/>
      <c r="AE2609" s="859"/>
      <c r="AF2609" s="859"/>
      <c r="AG2609" s="864"/>
      <c r="AH2609" s="865"/>
      <c r="AI2609" s="757">
        <f t="shared" si="344"/>
        <v>5885114</v>
      </c>
      <c r="AJ2609" s="758">
        <f t="shared" si="345"/>
        <v>5631637.8007988781</v>
      </c>
    </row>
    <row r="2610" spans="1:36" x14ac:dyDescent="0.2">
      <c r="A2610" s="1421" t="s">
        <v>146</v>
      </c>
      <c r="B2610" s="1288" t="s">
        <v>205</v>
      </c>
      <c r="C2610" s="1289" t="s">
        <v>577</v>
      </c>
      <c r="D2610" s="1290"/>
      <c r="E2610" s="1296"/>
      <c r="F2610" s="1297"/>
      <c r="G2610" s="859"/>
      <c r="H2610" s="860"/>
      <c r="I2610" s="861"/>
      <c r="J2610" s="862"/>
      <c r="K2610" s="859"/>
      <c r="L2610" s="863"/>
      <c r="M2610" s="859"/>
      <c r="N2610" s="859"/>
      <c r="O2610" s="752">
        <f t="shared" si="338"/>
        <v>0</v>
      </c>
      <c r="P2610" s="862"/>
      <c r="Q2610" s="860"/>
      <c r="R2610" s="753">
        <f t="shared" si="341"/>
        <v>0</v>
      </c>
      <c r="S2610" s="752">
        <f t="shared" si="342"/>
        <v>0</v>
      </c>
      <c r="T2610" s="754">
        <f t="shared" si="343"/>
        <v>0</v>
      </c>
      <c r="U2610" s="859"/>
      <c r="V2610" s="863"/>
      <c r="W2610" s="859"/>
      <c r="X2610" s="859"/>
      <c r="Y2610" s="755">
        <f t="shared" si="339"/>
        <v>0</v>
      </c>
      <c r="Z2610" s="864"/>
      <c r="AA2610" s="863"/>
      <c r="AB2610" s="756">
        <f t="shared" si="340"/>
        <v>0</v>
      </c>
      <c r="AC2610" s="859"/>
      <c r="AD2610" s="863"/>
      <c r="AE2610" s="859"/>
      <c r="AF2610" s="859"/>
      <c r="AG2610" s="864"/>
      <c r="AH2610" s="865"/>
      <c r="AI2610" s="757">
        <f t="shared" si="344"/>
        <v>0</v>
      </c>
      <c r="AJ2610" s="758">
        <f t="shared" si="345"/>
        <v>0</v>
      </c>
    </row>
    <row r="2611" spans="1:36" x14ac:dyDescent="0.2">
      <c r="A2611" s="1421" t="s">
        <v>146</v>
      </c>
      <c r="B2611" s="1288" t="s">
        <v>218</v>
      </c>
      <c r="C2611" s="1289" t="s">
        <v>311</v>
      </c>
      <c r="D2611" s="1290"/>
      <c r="E2611" s="1296"/>
      <c r="F2611" s="1297"/>
      <c r="G2611" s="859"/>
      <c r="H2611" s="860"/>
      <c r="I2611" s="861"/>
      <c r="J2611" s="862"/>
      <c r="K2611" s="859"/>
      <c r="L2611" s="863"/>
      <c r="M2611" s="859"/>
      <c r="N2611" s="859"/>
      <c r="O2611" s="752">
        <f t="shared" si="338"/>
        <v>0</v>
      </c>
      <c r="P2611" s="862"/>
      <c r="Q2611" s="860"/>
      <c r="R2611" s="753">
        <f t="shared" si="341"/>
        <v>0</v>
      </c>
      <c r="S2611" s="752">
        <f t="shared" si="342"/>
        <v>0</v>
      </c>
      <c r="T2611" s="754">
        <f t="shared" si="343"/>
        <v>0</v>
      </c>
      <c r="U2611" s="859"/>
      <c r="V2611" s="863"/>
      <c r="W2611" s="859"/>
      <c r="X2611" s="859"/>
      <c r="Y2611" s="755">
        <f t="shared" si="339"/>
        <v>0</v>
      </c>
      <c r="Z2611" s="864"/>
      <c r="AA2611" s="863"/>
      <c r="AB2611" s="756">
        <f t="shared" si="340"/>
        <v>0</v>
      </c>
      <c r="AC2611" s="859"/>
      <c r="AD2611" s="863"/>
      <c r="AE2611" s="859"/>
      <c r="AF2611" s="859"/>
      <c r="AG2611" s="864"/>
      <c r="AH2611" s="865"/>
      <c r="AI2611" s="757">
        <f t="shared" si="344"/>
        <v>0</v>
      </c>
      <c r="AJ2611" s="758">
        <f t="shared" si="345"/>
        <v>0</v>
      </c>
    </row>
    <row r="2612" spans="1:36" x14ac:dyDescent="0.2">
      <c r="A2612" s="1421" t="s">
        <v>146</v>
      </c>
      <c r="B2612" s="1288" t="s">
        <v>219</v>
      </c>
      <c r="C2612" s="1289" t="s">
        <v>249</v>
      </c>
      <c r="D2612" s="1290"/>
      <c r="E2612" s="1296"/>
      <c r="F2612" s="1297"/>
      <c r="G2612" s="859"/>
      <c r="H2612" s="860"/>
      <c r="I2612" s="861"/>
      <c r="J2612" s="862"/>
      <c r="K2612" s="859"/>
      <c r="L2612" s="863"/>
      <c r="M2612" s="859"/>
      <c r="N2612" s="859"/>
      <c r="O2612" s="752">
        <f t="shared" si="338"/>
        <v>0</v>
      </c>
      <c r="P2612" s="862"/>
      <c r="Q2612" s="860"/>
      <c r="R2612" s="753">
        <f t="shared" si="341"/>
        <v>0</v>
      </c>
      <c r="S2612" s="752">
        <f t="shared" si="342"/>
        <v>0</v>
      </c>
      <c r="T2612" s="754">
        <f t="shared" si="343"/>
        <v>0</v>
      </c>
      <c r="U2612" s="859">
        <v>2126469</v>
      </c>
      <c r="V2612" s="863">
        <v>2379945.1992011215</v>
      </c>
      <c r="W2612" s="859"/>
      <c r="X2612" s="859"/>
      <c r="Y2612" s="755">
        <f t="shared" si="339"/>
        <v>0</v>
      </c>
      <c r="Z2612" s="864"/>
      <c r="AA2612" s="863"/>
      <c r="AB2612" s="756">
        <f t="shared" si="340"/>
        <v>0</v>
      </c>
      <c r="AC2612" s="859"/>
      <c r="AD2612" s="863"/>
      <c r="AE2612" s="859"/>
      <c r="AF2612" s="859"/>
      <c r="AG2612" s="864"/>
      <c r="AH2612" s="865"/>
      <c r="AI2612" s="757">
        <f t="shared" si="344"/>
        <v>2126469</v>
      </c>
      <c r="AJ2612" s="758">
        <f t="shared" si="345"/>
        <v>2379945.1992011215</v>
      </c>
    </row>
    <row r="2613" spans="1:36" x14ac:dyDescent="0.2">
      <c r="A2613" s="1421" t="s">
        <v>146</v>
      </c>
      <c r="B2613" s="1293" t="s">
        <v>292</v>
      </c>
      <c r="C2613" s="1441" t="s">
        <v>1796</v>
      </c>
      <c r="D2613" s="1283"/>
      <c r="E2613" s="1258"/>
      <c r="F2613" s="1259"/>
      <c r="G2613" s="859"/>
      <c r="H2613" s="860"/>
      <c r="I2613" s="861"/>
      <c r="J2613" s="862"/>
      <c r="K2613" s="859"/>
      <c r="L2613" s="863"/>
      <c r="M2613" s="859"/>
      <c r="N2613" s="859"/>
      <c r="O2613" s="752">
        <f t="shared" si="338"/>
        <v>0</v>
      </c>
      <c r="P2613" s="862"/>
      <c r="Q2613" s="860"/>
      <c r="R2613" s="753">
        <f t="shared" si="341"/>
        <v>0</v>
      </c>
      <c r="S2613" s="752">
        <f t="shared" si="342"/>
        <v>0</v>
      </c>
      <c r="T2613" s="754">
        <f t="shared" si="343"/>
        <v>0</v>
      </c>
      <c r="U2613" s="859"/>
      <c r="V2613" s="863"/>
      <c r="W2613" s="859"/>
      <c r="X2613" s="859"/>
      <c r="Y2613" s="755">
        <f t="shared" si="339"/>
        <v>0</v>
      </c>
      <c r="Z2613" s="864"/>
      <c r="AA2613" s="863"/>
      <c r="AB2613" s="756">
        <f t="shared" si="340"/>
        <v>0</v>
      </c>
      <c r="AC2613" s="859"/>
      <c r="AD2613" s="863"/>
      <c r="AE2613" s="859"/>
      <c r="AF2613" s="859"/>
      <c r="AG2613" s="864"/>
      <c r="AH2613" s="865"/>
      <c r="AI2613" s="757">
        <f t="shared" si="344"/>
        <v>0</v>
      </c>
      <c r="AJ2613" s="758">
        <f t="shared" si="345"/>
        <v>0</v>
      </c>
    </row>
    <row r="2614" spans="1:36" x14ac:dyDescent="0.2">
      <c r="A2614" s="1421" t="s">
        <v>146</v>
      </c>
      <c r="B2614" s="1288" t="s">
        <v>209</v>
      </c>
      <c r="C2614" s="1289" t="s">
        <v>576</v>
      </c>
      <c r="D2614" s="1290"/>
      <c r="E2614" s="1296"/>
      <c r="F2614" s="1297"/>
      <c r="G2614" s="859"/>
      <c r="H2614" s="860"/>
      <c r="I2614" s="861"/>
      <c r="J2614" s="862"/>
      <c r="K2614" s="859"/>
      <c r="L2614" s="863"/>
      <c r="M2614" s="859"/>
      <c r="N2614" s="859"/>
      <c r="O2614" s="752">
        <f t="shared" si="338"/>
        <v>0</v>
      </c>
      <c r="P2614" s="862"/>
      <c r="Q2614" s="860"/>
      <c r="R2614" s="753">
        <f t="shared" si="341"/>
        <v>0</v>
      </c>
      <c r="S2614" s="752">
        <f t="shared" si="342"/>
        <v>0</v>
      </c>
      <c r="T2614" s="754">
        <f t="shared" si="343"/>
        <v>0</v>
      </c>
      <c r="U2614" s="859"/>
      <c r="V2614" s="863"/>
      <c r="W2614" s="859"/>
      <c r="X2614" s="859"/>
      <c r="Y2614" s="755">
        <f t="shared" si="339"/>
        <v>0</v>
      </c>
      <c r="Z2614" s="864"/>
      <c r="AA2614" s="863"/>
      <c r="AB2614" s="756">
        <f t="shared" si="340"/>
        <v>0</v>
      </c>
      <c r="AC2614" s="859"/>
      <c r="AD2614" s="863"/>
      <c r="AE2614" s="859"/>
      <c r="AF2614" s="859"/>
      <c r="AG2614" s="864"/>
      <c r="AH2614" s="865"/>
      <c r="AI2614" s="757">
        <f t="shared" si="344"/>
        <v>0</v>
      </c>
      <c r="AJ2614" s="758">
        <f t="shared" si="345"/>
        <v>0</v>
      </c>
    </row>
    <row r="2615" spans="1:36" x14ac:dyDescent="0.2">
      <c r="A2615" s="1421" t="s">
        <v>146</v>
      </c>
      <c r="B2615" s="1288" t="s">
        <v>210</v>
      </c>
      <c r="C2615" s="1289" t="s">
        <v>311</v>
      </c>
      <c r="D2615" s="1290"/>
      <c r="E2615" s="1296"/>
      <c r="F2615" s="1297"/>
      <c r="G2615" s="859"/>
      <c r="H2615" s="860"/>
      <c r="I2615" s="861"/>
      <c r="J2615" s="862"/>
      <c r="K2615" s="859"/>
      <c r="L2615" s="863"/>
      <c r="M2615" s="859"/>
      <c r="N2615" s="859"/>
      <c r="O2615" s="752">
        <f t="shared" si="338"/>
        <v>0</v>
      </c>
      <c r="P2615" s="862"/>
      <c r="Q2615" s="860"/>
      <c r="R2615" s="753">
        <f t="shared" si="341"/>
        <v>0</v>
      </c>
      <c r="S2615" s="752">
        <f t="shared" si="342"/>
        <v>0</v>
      </c>
      <c r="T2615" s="754">
        <f t="shared" si="343"/>
        <v>0</v>
      </c>
      <c r="U2615" s="859">
        <v>22965949</v>
      </c>
      <c r="V2615" s="863">
        <v>20449021.582770318</v>
      </c>
      <c r="W2615" s="859"/>
      <c r="X2615" s="859"/>
      <c r="Y2615" s="755">
        <f t="shared" si="339"/>
        <v>0</v>
      </c>
      <c r="Z2615" s="864"/>
      <c r="AA2615" s="863"/>
      <c r="AB2615" s="756">
        <f t="shared" si="340"/>
        <v>0</v>
      </c>
      <c r="AC2615" s="859"/>
      <c r="AD2615" s="863"/>
      <c r="AE2615" s="859"/>
      <c r="AF2615" s="859"/>
      <c r="AG2615" s="864"/>
      <c r="AH2615" s="865"/>
      <c r="AI2615" s="757">
        <f t="shared" si="344"/>
        <v>22965949</v>
      </c>
      <c r="AJ2615" s="758">
        <f t="shared" si="345"/>
        <v>20449021.582770318</v>
      </c>
    </row>
    <row r="2616" spans="1:36" x14ac:dyDescent="0.2">
      <c r="A2616" s="1421" t="s">
        <v>146</v>
      </c>
      <c r="B2616" s="1288" t="s">
        <v>204</v>
      </c>
      <c r="C2616" s="1289" t="s">
        <v>249</v>
      </c>
      <c r="D2616" s="1290"/>
      <c r="E2616" s="1296"/>
      <c r="F2616" s="1297"/>
      <c r="G2616" s="859"/>
      <c r="H2616" s="860"/>
      <c r="I2616" s="861"/>
      <c r="J2616" s="862"/>
      <c r="K2616" s="859"/>
      <c r="L2616" s="863"/>
      <c r="M2616" s="859"/>
      <c r="N2616" s="859"/>
      <c r="O2616" s="752">
        <f t="shared" si="338"/>
        <v>0</v>
      </c>
      <c r="P2616" s="862"/>
      <c r="Q2616" s="860"/>
      <c r="R2616" s="753">
        <f t="shared" si="341"/>
        <v>0</v>
      </c>
      <c r="S2616" s="752">
        <f t="shared" si="342"/>
        <v>0</v>
      </c>
      <c r="T2616" s="754">
        <f t="shared" si="343"/>
        <v>0</v>
      </c>
      <c r="U2616" s="859"/>
      <c r="V2616" s="863"/>
      <c r="W2616" s="859"/>
      <c r="X2616" s="859"/>
      <c r="Y2616" s="755">
        <f t="shared" si="339"/>
        <v>0</v>
      </c>
      <c r="Z2616" s="864"/>
      <c r="AA2616" s="863"/>
      <c r="AB2616" s="756">
        <f t="shared" si="340"/>
        <v>0</v>
      </c>
      <c r="AC2616" s="859"/>
      <c r="AD2616" s="863"/>
      <c r="AE2616" s="859"/>
      <c r="AF2616" s="859"/>
      <c r="AG2616" s="864"/>
      <c r="AH2616" s="865"/>
      <c r="AI2616" s="757">
        <f t="shared" si="344"/>
        <v>0</v>
      </c>
      <c r="AJ2616" s="758">
        <f t="shared" si="345"/>
        <v>0</v>
      </c>
    </row>
    <row r="2617" spans="1:36" x14ac:dyDescent="0.2">
      <c r="A2617" s="1421" t="s">
        <v>146</v>
      </c>
      <c r="B2617" s="1288" t="s">
        <v>205</v>
      </c>
      <c r="C2617" s="1289" t="s">
        <v>577</v>
      </c>
      <c r="D2617" s="1290"/>
      <c r="E2617" s="1296"/>
      <c r="F2617" s="1297"/>
      <c r="G2617" s="859"/>
      <c r="H2617" s="860"/>
      <c r="I2617" s="861"/>
      <c r="J2617" s="862"/>
      <c r="K2617" s="859"/>
      <c r="L2617" s="863"/>
      <c r="M2617" s="859"/>
      <c r="N2617" s="859"/>
      <c r="O2617" s="752">
        <f t="shared" si="338"/>
        <v>0</v>
      </c>
      <c r="P2617" s="862"/>
      <c r="Q2617" s="860"/>
      <c r="R2617" s="753">
        <f t="shared" si="341"/>
        <v>0</v>
      </c>
      <c r="S2617" s="752">
        <f t="shared" si="342"/>
        <v>0</v>
      </c>
      <c r="T2617" s="754">
        <f t="shared" si="343"/>
        <v>0</v>
      </c>
      <c r="U2617" s="859"/>
      <c r="V2617" s="863"/>
      <c r="W2617" s="859"/>
      <c r="X2617" s="859"/>
      <c r="Y2617" s="755">
        <f t="shared" si="339"/>
        <v>0</v>
      </c>
      <c r="Z2617" s="864"/>
      <c r="AA2617" s="863"/>
      <c r="AB2617" s="756">
        <f t="shared" si="340"/>
        <v>0</v>
      </c>
      <c r="AC2617" s="859"/>
      <c r="AD2617" s="863"/>
      <c r="AE2617" s="859"/>
      <c r="AF2617" s="859"/>
      <c r="AG2617" s="864"/>
      <c r="AH2617" s="865"/>
      <c r="AI2617" s="757">
        <f t="shared" si="344"/>
        <v>0</v>
      </c>
      <c r="AJ2617" s="758">
        <f t="shared" si="345"/>
        <v>0</v>
      </c>
    </row>
    <row r="2618" spans="1:36" x14ac:dyDescent="0.2">
      <c r="A2618" s="1421" t="s">
        <v>146</v>
      </c>
      <c r="B2618" s="1288" t="s">
        <v>218</v>
      </c>
      <c r="C2618" s="1289" t="s">
        <v>311</v>
      </c>
      <c r="D2618" s="1290"/>
      <c r="E2618" s="1296"/>
      <c r="F2618" s="1297"/>
      <c r="G2618" s="859"/>
      <c r="H2618" s="860"/>
      <c r="I2618" s="861"/>
      <c r="J2618" s="862"/>
      <c r="K2618" s="859"/>
      <c r="L2618" s="863"/>
      <c r="M2618" s="859"/>
      <c r="N2618" s="859"/>
      <c r="O2618" s="752">
        <f t="shared" si="338"/>
        <v>0</v>
      </c>
      <c r="P2618" s="862"/>
      <c r="Q2618" s="860"/>
      <c r="R2618" s="753">
        <f t="shared" si="341"/>
        <v>0</v>
      </c>
      <c r="S2618" s="752">
        <f t="shared" si="342"/>
        <v>0</v>
      </c>
      <c r="T2618" s="754">
        <f t="shared" si="343"/>
        <v>0</v>
      </c>
      <c r="U2618" s="859">
        <v>4665617</v>
      </c>
      <c r="V2618" s="863">
        <v>4550978.4172296831</v>
      </c>
      <c r="W2618" s="859"/>
      <c r="X2618" s="859"/>
      <c r="Y2618" s="755">
        <f t="shared" si="339"/>
        <v>0</v>
      </c>
      <c r="Z2618" s="864"/>
      <c r="AA2618" s="863"/>
      <c r="AB2618" s="756">
        <f t="shared" si="340"/>
        <v>0</v>
      </c>
      <c r="AC2618" s="859"/>
      <c r="AD2618" s="863"/>
      <c r="AE2618" s="859"/>
      <c r="AF2618" s="859"/>
      <c r="AG2618" s="864"/>
      <c r="AH2618" s="865"/>
      <c r="AI2618" s="757">
        <f t="shared" si="344"/>
        <v>4665617</v>
      </c>
      <c r="AJ2618" s="758">
        <f t="shared" si="345"/>
        <v>4550978.4172296831</v>
      </c>
    </row>
    <row r="2619" spans="1:36" x14ac:dyDescent="0.2">
      <c r="A2619" s="1421" t="s">
        <v>146</v>
      </c>
      <c r="B2619" s="1288" t="s">
        <v>219</v>
      </c>
      <c r="C2619" s="1289" t="s">
        <v>249</v>
      </c>
      <c r="D2619" s="1290"/>
      <c r="E2619" s="1296"/>
      <c r="F2619" s="1297"/>
      <c r="G2619" s="859"/>
      <c r="H2619" s="860"/>
      <c r="I2619" s="861"/>
      <c r="J2619" s="862"/>
      <c r="K2619" s="859"/>
      <c r="L2619" s="863"/>
      <c r="M2619" s="859"/>
      <c r="N2619" s="859"/>
      <c r="O2619" s="752">
        <f t="shared" si="338"/>
        <v>0</v>
      </c>
      <c r="P2619" s="862"/>
      <c r="Q2619" s="860"/>
      <c r="R2619" s="753">
        <f t="shared" si="341"/>
        <v>0</v>
      </c>
      <c r="S2619" s="752">
        <f t="shared" si="342"/>
        <v>0</v>
      </c>
      <c r="T2619" s="754">
        <f t="shared" si="343"/>
        <v>0</v>
      </c>
      <c r="U2619" s="859" t="s">
        <v>91</v>
      </c>
      <c r="V2619" s="863"/>
      <c r="W2619" s="859"/>
      <c r="X2619" s="859"/>
      <c r="Y2619" s="755">
        <f t="shared" si="339"/>
        <v>0</v>
      </c>
      <c r="Z2619" s="864"/>
      <c r="AA2619" s="863"/>
      <c r="AB2619" s="756">
        <f t="shared" si="340"/>
        <v>0</v>
      </c>
      <c r="AC2619" s="859"/>
      <c r="AD2619" s="863"/>
      <c r="AE2619" s="859"/>
      <c r="AF2619" s="859"/>
      <c r="AG2619" s="864"/>
      <c r="AH2619" s="865"/>
      <c r="AI2619" s="757">
        <f t="shared" si="344"/>
        <v>0</v>
      </c>
      <c r="AJ2619" s="758">
        <f t="shared" si="345"/>
        <v>0</v>
      </c>
    </row>
    <row r="2620" spans="1:36" x14ac:dyDescent="0.2">
      <c r="A2620" s="1421" t="s">
        <v>146</v>
      </c>
      <c r="B2620" s="1288" t="s">
        <v>292</v>
      </c>
      <c r="C2620" s="1442" t="s">
        <v>1797</v>
      </c>
      <c r="D2620" s="1290"/>
      <c r="E2620" s="1296"/>
      <c r="F2620" s="1297"/>
      <c r="G2620" s="859"/>
      <c r="H2620" s="860"/>
      <c r="I2620" s="861"/>
      <c r="J2620" s="862"/>
      <c r="K2620" s="859"/>
      <c r="L2620" s="863"/>
      <c r="M2620" s="859"/>
      <c r="N2620" s="859"/>
      <c r="O2620" s="752">
        <f t="shared" si="338"/>
        <v>0</v>
      </c>
      <c r="P2620" s="862"/>
      <c r="Q2620" s="860"/>
      <c r="R2620" s="753">
        <f t="shared" si="341"/>
        <v>0</v>
      </c>
      <c r="S2620" s="752">
        <f t="shared" si="342"/>
        <v>0</v>
      </c>
      <c r="T2620" s="754">
        <f t="shared" si="343"/>
        <v>0</v>
      </c>
      <c r="U2620" s="859"/>
      <c r="V2620" s="863"/>
      <c r="W2620" s="859"/>
      <c r="X2620" s="859"/>
      <c r="Y2620" s="755">
        <f t="shared" si="339"/>
        <v>0</v>
      </c>
      <c r="Z2620" s="864"/>
      <c r="AA2620" s="863"/>
      <c r="AB2620" s="756">
        <f t="shared" si="340"/>
        <v>0</v>
      </c>
      <c r="AC2620" s="859"/>
      <c r="AD2620" s="863"/>
      <c r="AE2620" s="859"/>
      <c r="AF2620" s="859"/>
      <c r="AG2620" s="864"/>
      <c r="AH2620" s="865"/>
      <c r="AI2620" s="757">
        <f t="shared" si="344"/>
        <v>0</v>
      </c>
      <c r="AJ2620" s="758">
        <f t="shared" si="345"/>
        <v>0</v>
      </c>
    </row>
    <row r="2621" spans="1:36" x14ac:dyDescent="0.2">
      <c r="A2621" s="1421" t="s">
        <v>146</v>
      </c>
      <c r="B2621" s="1288" t="s">
        <v>310</v>
      </c>
      <c r="C2621" s="1289" t="s">
        <v>311</v>
      </c>
      <c r="D2621" s="1290"/>
      <c r="E2621" s="1296"/>
      <c r="F2621" s="1297"/>
      <c r="G2621" s="859"/>
      <c r="H2621" s="860"/>
      <c r="I2621" s="861"/>
      <c r="J2621" s="862"/>
      <c r="K2621" s="859"/>
      <c r="L2621" s="863"/>
      <c r="M2621" s="859"/>
      <c r="N2621" s="859"/>
      <c r="O2621" s="752">
        <f t="shared" si="338"/>
        <v>0</v>
      </c>
      <c r="P2621" s="862"/>
      <c r="Q2621" s="860"/>
      <c r="R2621" s="753">
        <f t="shared" si="341"/>
        <v>0</v>
      </c>
      <c r="S2621" s="752">
        <f t="shared" si="342"/>
        <v>0</v>
      </c>
      <c r="T2621" s="754">
        <f t="shared" si="343"/>
        <v>0</v>
      </c>
      <c r="U2621" s="859"/>
      <c r="V2621" s="863"/>
      <c r="W2621" s="859"/>
      <c r="X2621" s="859"/>
      <c r="Y2621" s="755">
        <f t="shared" si="339"/>
        <v>0</v>
      </c>
      <c r="Z2621" s="864"/>
      <c r="AA2621" s="863"/>
      <c r="AB2621" s="756">
        <f t="shared" si="340"/>
        <v>0</v>
      </c>
      <c r="AC2621" s="859"/>
      <c r="AD2621" s="863"/>
      <c r="AE2621" s="859"/>
      <c r="AF2621" s="859"/>
      <c r="AG2621" s="864"/>
      <c r="AH2621" s="865"/>
      <c r="AI2621" s="757">
        <f t="shared" si="344"/>
        <v>0</v>
      </c>
      <c r="AJ2621" s="758">
        <f t="shared" si="345"/>
        <v>0</v>
      </c>
    </row>
    <row r="2622" spans="1:36" x14ac:dyDescent="0.2">
      <c r="A2622" s="1421" t="s">
        <v>146</v>
      </c>
      <c r="B2622" s="1288" t="s">
        <v>251</v>
      </c>
      <c r="C2622" s="1289" t="s">
        <v>249</v>
      </c>
      <c r="D2622" s="1290"/>
      <c r="E2622" s="1296"/>
      <c r="F2622" s="1297"/>
      <c r="G2622" s="859"/>
      <c r="H2622" s="860"/>
      <c r="I2622" s="861"/>
      <c r="J2622" s="862"/>
      <c r="K2622" s="859"/>
      <c r="L2622" s="863"/>
      <c r="M2622" s="859"/>
      <c r="N2622" s="859"/>
      <c r="O2622" s="752">
        <f t="shared" si="338"/>
        <v>0</v>
      </c>
      <c r="P2622" s="862"/>
      <c r="Q2622" s="860"/>
      <c r="R2622" s="753">
        <f t="shared" si="341"/>
        <v>0</v>
      </c>
      <c r="S2622" s="752">
        <f t="shared" si="342"/>
        <v>0</v>
      </c>
      <c r="T2622" s="754">
        <f t="shared" si="343"/>
        <v>0</v>
      </c>
      <c r="U2622" s="859">
        <v>1700000</v>
      </c>
      <c r="V2622" s="863">
        <v>4545000</v>
      </c>
      <c r="W2622" s="859"/>
      <c r="X2622" s="859"/>
      <c r="Y2622" s="755">
        <f t="shared" si="339"/>
        <v>0</v>
      </c>
      <c r="Z2622" s="864"/>
      <c r="AA2622" s="863"/>
      <c r="AB2622" s="756">
        <f t="shared" si="340"/>
        <v>0</v>
      </c>
      <c r="AC2622" s="859"/>
      <c r="AD2622" s="863"/>
      <c r="AE2622" s="859"/>
      <c r="AF2622" s="859"/>
      <c r="AG2622" s="864"/>
      <c r="AH2622" s="865"/>
      <c r="AI2622" s="757">
        <f t="shared" si="344"/>
        <v>1700000</v>
      </c>
      <c r="AJ2622" s="758">
        <f t="shared" si="345"/>
        <v>4545000</v>
      </c>
    </row>
    <row r="2623" spans="1:36" x14ac:dyDescent="0.2">
      <c r="A2623" s="1421" t="s">
        <v>146</v>
      </c>
      <c r="B2623" s="1293" t="s">
        <v>293</v>
      </c>
      <c r="C2623" s="1294" t="s">
        <v>121</v>
      </c>
      <c r="D2623" s="1295"/>
      <c r="E2623" s="1258"/>
      <c r="F2623" s="1259"/>
      <c r="G2623" s="859"/>
      <c r="H2623" s="860"/>
      <c r="I2623" s="861"/>
      <c r="J2623" s="862"/>
      <c r="K2623" s="859"/>
      <c r="L2623" s="863"/>
      <c r="M2623" s="859"/>
      <c r="N2623" s="859"/>
      <c r="O2623" s="752">
        <f t="shared" si="338"/>
        <v>0</v>
      </c>
      <c r="P2623" s="862"/>
      <c r="Q2623" s="860"/>
      <c r="R2623" s="753">
        <f t="shared" si="341"/>
        <v>0</v>
      </c>
      <c r="S2623" s="752">
        <f t="shared" si="342"/>
        <v>0</v>
      </c>
      <c r="T2623" s="754">
        <f t="shared" si="343"/>
        <v>0</v>
      </c>
      <c r="U2623" s="859"/>
      <c r="V2623" s="863"/>
      <c r="W2623" s="859"/>
      <c r="X2623" s="859"/>
      <c r="Y2623" s="755">
        <f t="shared" si="339"/>
        <v>0</v>
      </c>
      <c r="Z2623" s="864"/>
      <c r="AA2623" s="863"/>
      <c r="AB2623" s="756">
        <f t="shared" si="340"/>
        <v>0</v>
      </c>
      <c r="AC2623" s="859"/>
      <c r="AD2623" s="863"/>
      <c r="AE2623" s="859"/>
      <c r="AF2623" s="859"/>
      <c r="AG2623" s="864"/>
      <c r="AH2623" s="865"/>
      <c r="AI2623" s="757">
        <f t="shared" si="344"/>
        <v>0</v>
      </c>
      <c r="AJ2623" s="758">
        <f t="shared" si="345"/>
        <v>0</v>
      </c>
    </row>
    <row r="2624" spans="1:36" x14ac:dyDescent="0.2">
      <c r="A2624" s="1421" t="s">
        <v>146</v>
      </c>
      <c r="B2624" s="1293" t="s">
        <v>294</v>
      </c>
      <c r="C2624" s="1294" t="s">
        <v>307</v>
      </c>
      <c r="D2624" s="1295"/>
      <c r="E2624" s="1258"/>
      <c r="F2624" s="1259"/>
      <c r="G2624" s="859"/>
      <c r="H2624" s="860"/>
      <c r="I2624" s="861"/>
      <c r="J2624" s="862"/>
      <c r="K2624" s="859"/>
      <c r="L2624" s="863"/>
      <c r="M2624" s="859"/>
      <c r="N2624" s="859"/>
      <c r="O2624" s="752">
        <f t="shared" si="338"/>
        <v>0</v>
      </c>
      <c r="P2624" s="862"/>
      <c r="Q2624" s="860"/>
      <c r="R2624" s="753">
        <f t="shared" si="341"/>
        <v>0</v>
      </c>
      <c r="S2624" s="752">
        <f t="shared" si="342"/>
        <v>0</v>
      </c>
      <c r="T2624" s="754">
        <f t="shared" si="343"/>
        <v>0</v>
      </c>
      <c r="U2624" s="859"/>
      <c r="V2624" s="863"/>
      <c r="W2624" s="859"/>
      <c r="X2624" s="859"/>
      <c r="Y2624" s="755">
        <f t="shared" si="339"/>
        <v>0</v>
      </c>
      <c r="Z2624" s="864"/>
      <c r="AA2624" s="863"/>
      <c r="AB2624" s="756">
        <f t="shared" si="340"/>
        <v>0</v>
      </c>
      <c r="AC2624" s="859"/>
      <c r="AD2624" s="863"/>
      <c r="AE2624" s="859"/>
      <c r="AF2624" s="859"/>
      <c r="AG2624" s="864"/>
      <c r="AH2624" s="865"/>
      <c r="AI2624" s="757">
        <f t="shared" si="344"/>
        <v>0</v>
      </c>
      <c r="AJ2624" s="758">
        <f t="shared" si="345"/>
        <v>0</v>
      </c>
    </row>
    <row r="2625" spans="1:36" x14ac:dyDescent="0.2">
      <c r="A2625" s="1421" t="s">
        <v>146</v>
      </c>
      <c r="B2625" s="1293" t="s">
        <v>294</v>
      </c>
      <c r="C2625" s="1441" t="s">
        <v>1798</v>
      </c>
      <c r="D2625" s="1283"/>
      <c r="E2625" s="1258"/>
      <c r="F2625" s="1259"/>
      <c r="G2625" s="859"/>
      <c r="H2625" s="860"/>
      <c r="I2625" s="861"/>
      <c r="J2625" s="862"/>
      <c r="K2625" s="859"/>
      <c r="L2625" s="863"/>
      <c r="M2625" s="859"/>
      <c r="N2625" s="859"/>
      <c r="O2625" s="752">
        <f t="shared" si="338"/>
        <v>0</v>
      </c>
      <c r="P2625" s="862"/>
      <c r="Q2625" s="860"/>
      <c r="R2625" s="753">
        <f t="shared" si="341"/>
        <v>0</v>
      </c>
      <c r="S2625" s="752">
        <f t="shared" si="342"/>
        <v>0</v>
      </c>
      <c r="T2625" s="754">
        <f t="shared" si="343"/>
        <v>0</v>
      </c>
      <c r="U2625" s="859"/>
      <c r="V2625" s="863"/>
      <c r="W2625" s="859"/>
      <c r="X2625" s="859"/>
      <c r="Y2625" s="755">
        <f t="shared" si="339"/>
        <v>0</v>
      </c>
      <c r="Z2625" s="864"/>
      <c r="AA2625" s="863"/>
      <c r="AB2625" s="756">
        <f t="shared" si="340"/>
        <v>0</v>
      </c>
      <c r="AC2625" s="859"/>
      <c r="AD2625" s="863"/>
      <c r="AE2625" s="859"/>
      <c r="AF2625" s="859"/>
      <c r="AG2625" s="864"/>
      <c r="AH2625" s="865"/>
      <c r="AI2625" s="757">
        <f t="shared" si="344"/>
        <v>0</v>
      </c>
      <c r="AJ2625" s="758">
        <f t="shared" si="345"/>
        <v>0</v>
      </c>
    </row>
    <row r="2626" spans="1:36" x14ac:dyDescent="0.2">
      <c r="A2626" s="1421" t="s">
        <v>146</v>
      </c>
      <c r="B2626" s="1288" t="s">
        <v>254</v>
      </c>
      <c r="C2626" s="1289" t="s">
        <v>311</v>
      </c>
      <c r="D2626" s="1290"/>
      <c r="E2626" s="1296"/>
      <c r="F2626" s="1297"/>
      <c r="G2626" s="859"/>
      <c r="H2626" s="860"/>
      <c r="I2626" s="861"/>
      <c r="J2626" s="862"/>
      <c r="K2626" s="859"/>
      <c r="L2626" s="863"/>
      <c r="M2626" s="859"/>
      <c r="N2626" s="859"/>
      <c r="O2626" s="752">
        <f t="shared" si="338"/>
        <v>0</v>
      </c>
      <c r="P2626" s="862"/>
      <c r="Q2626" s="860"/>
      <c r="R2626" s="753">
        <f t="shared" si="341"/>
        <v>0</v>
      </c>
      <c r="S2626" s="752">
        <f t="shared" si="342"/>
        <v>0</v>
      </c>
      <c r="T2626" s="754">
        <f t="shared" si="343"/>
        <v>0</v>
      </c>
      <c r="U2626" s="859">
        <v>29363042</v>
      </c>
      <c r="V2626" s="863">
        <v>31288622</v>
      </c>
      <c r="W2626" s="859"/>
      <c r="X2626" s="859"/>
      <c r="Y2626" s="755">
        <f t="shared" si="339"/>
        <v>0</v>
      </c>
      <c r="Z2626" s="864"/>
      <c r="AA2626" s="863"/>
      <c r="AB2626" s="756">
        <f t="shared" si="340"/>
        <v>0</v>
      </c>
      <c r="AC2626" s="859"/>
      <c r="AD2626" s="863"/>
      <c r="AE2626" s="859"/>
      <c r="AF2626" s="859"/>
      <c r="AG2626" s="864"/>
      <c r="AH2626" s="865"/>
      <c r="AI2626" s="757">
        <f t="shared" si="344"/>
        <v>29363042</v>
      </c>
      <c r="AJ2626" s="758">
        <f t="shared" si="345"/>
        <v>31288622</v>
      </c>
    </row>
    <row r="2627" spans="1:36" x14ac:dyDescent="0.2">
      <c r="A2627" s="1421" t="s">
        <v>146</v>
      </c>
      <c r="B2627" s="1288" t="s">
        <v>255</v>
      </c>
      <c r="C2627" s="1289" t="s">
        <v>249</v>
      </c>
      <c r="D2627" s="1290"/>
      <c r="E2627" s="1296"/>
      <c r="F2627" s="1297"/>
      <c r="G2627" s="859"/>
      <c r="H2627" s="860"/>
      <c r="I2627" s="861"/>
      <c r="J2627" s="862"/>
      <c r="K2627" s="859"/>
      <c r="L2627" s="863"/>
      <c r="M2627" s="859"/>
      <c r="N2627" s="859"/>
      <c r="O2627" s="752">
        <f t="shared" si="338"/>
        <v>0</v>
      </c>
      <c r="P2627" s="862"/>
      <c r="Q2627" s="860"/>
      <c r="R2627" s="753">
        <f t="shared" si="341"/>
        <v>0</v>
      </c>
      <c r="S2627" s="752">
        <f t="shared" si="342"/>
        <v>0</v>
      </c>
      <c r="T2627" s="754">
        <f t="shared" si="343"/>
        <v>0</v>
      </c>
      <c r="U2627" s="859"/>
      <c r="V2627" s="863"/>
      <c r="W2627" s="859"/>
      <c r="X2627" s="859"/>
      <c r="Y2627" s="755">
        <f t="shared" si="339"/>
        <v>0</v>
      </c>
      <c r="Z2627" s="864"/>
      <c r="AA2627" s="863"/>
      <c r="AB2627" s="756">
        <f t="shared" si="340"/>
        <v>0</v>
      </c>
      <c r="AC2627" s="859"/>
      <c r="AD2627" s="863"/>
      <c r="AE2627" s="859"/>
      <c r="AF2627" s="859"/>
      <c r="AG2627" s="864"/>
      <c r="AH2627" s="865"/>
      <c r="AI2627" s="757">
        <f t="shared" si="344"/>
        <v>0</v>
      </c>
      <c r="AJ2627" s="758">
        <f t="shared" si="345"/>
        <v>0</v>
      </c>
    </row>
    <row r="2628" spans="1:36" x14ac:dyDescent="0.2">
      <c r="A2628" s="1069" t="s">
        <v>155</v>
      </c>
      <c r="B2628" s="1070" t="s">
        <v>264</v>
      </c>
      <c r="C2628" s="1071" t="s">
        <v>859</v>
      </c>
      <c r="D2628" s="1072"/>
      <c r="E2628" s="1073">
        <v>220862</v>
      </c>
      <c r="F2628" s="1074">
        <v>1</v>
      </c>
      <c r="G2628" s="859">
        <v>99642860</v>
      </c>
      <c r="H2628" s="860">
        <v>100044947</v>
      </c>
      <c r="I2628" s="1519"/>
      <c r="J2628" s="862"/>
      <c r="K2628" s="859"/>
      <c r="L2628" s="863"/>
      <c r="M2628" s="859">
        <v>159874741</v>
      </c>
      <c r="N2628" s="859">
        <v>4045100</v>
      </c>
      <c r="O2628" s="752">
        <f t="shared" si="338"/>
        <v>163919841</v>
      </c>
      <c r="P2628" s="1075">
        <v>161375900</v>
      </c>
      <c r="Q2628" s="1075">
        <v>3658000</v>
      </c>
      <c r="R2628" s="753">
        <f t="shared" si="341"/>
        <v>165033900</v>
      </c>
      <c r="S2628" s="752">
        <f t="shared" si="342"/>
        <v>259517601</v>
      </c>
      <c r="T2628" s="754">
        <f t="shared" si="343"/>
        <v>261420847</v>
      </c>
      <c r="U2628" s="859"/>
      <c r="V2628" s="863"/>
      <c r="W2628" s="859"/>
      <c r="X2628" s="859"/>
      <c r="Y2628" s="755">
        <f t="shared" si="339"/>
        <v>0</v>
      </c>
      <c r="Z2628" s="864"/>
      <c r="AA2628" s="863"/>
      <c r="AB2628" s="756">
        <f t="shared" si="340"/>
        <v>0</v>
      </c>
      <c r="AC2628" s="859"/>
      <c r="AD2628" s="863"/>
      <c r="AE2628" s="859"/>
      <c r="AF2628" s="859"/>
      <c r="AG2628" s="864"/>
      <c r="AH2628" s="865"/>
      <c r="AI2628" s="757">
        <f t="shared" si="344"/>
        <v>259517601</v>
      </c>
      <c r="AJ2628" s="758">
        <f t="shared" si="345"/>
        <v>261420847</v>
      </c>
    </row>
    <row r="2629" spans="1:36" x14ac:dyDescent="0.2">
      <c r="A2629" s="1069" t="s">
        <v>155</v>
      </c>
      <c r="B2629" s="1070" t="s">
        <v>264</v>
      </c>
      <c r="C2629" s="1076" t="s">
        <v>860</v>
      </c>
      <c r="D2629" s="1077"/>
      <c r="E2629" s="1078">
        <v>221759</v>
      </c>
      <c r="F2629" s="1079">
        <v>1</v>
      </c>
      <c r="G2629" s="859">
        <v>162203609.7920163</v>
      </c>
      <c r="H2629" s="860">
        <v>183530942.87731534</v>
      </c>
      <c r="I2629" s="1520"/>
      <c r="J2629" s="862"/>
      <c r="K2629" s="859"/>
      <c r="L2629" s="863"/>
      <c r="M2629" s="859">
        <v>256774464</v>
      </c>
      <c r="N2629" s="859">
        <v>1100000</v>
      </c>
      <c r="O2629" s="752">
        <f t="shared" si="338"/>
        <v>257874464</v>
      </c>
      <c r="P2629" s="862">
        <v>271563300</v>
      </c>
      <c r="Q2629" s="862">
        <v>1100000</v>
      </c>
      <c r="R2629" s="753">
        <f t="shared" si="341"/>
        <v>272663300</v>
      </c>
      <c r="S2629" s="752">
        <f t="shared" si="342"/>
        <v>418978073.79201627</v>
      </c>
      <c r="T2629" s="754">
        <f t="shared" si="343"/>
        <v>455094242.87731534</v>
      </c>
      <c r="U2629" s="859"/>
      <c r="V2629" s="863"/>
      <c r="W2629" s="859"/>
      <c r="X2629" s="859"/>
      <c r="Y2629" s="755">
        <f t="shared" si="339"/>
        <v>0</v>
      </c>
      <c r="Z2629" s="864"/>
      <c r="AA2629" s="863"/>
      <c r="AB2629" s="756">
        <f t="shared" si="340"/>
        <v>0</v>
      </c>
      <c r="AC2629" s="859"/>
      <c r="AD2629" s="863"/>
      <c r="AE2629" s="859"/>
      <c r="AF2629" s="859"/>
      <c r="AG2629" s="864"/>
      <c r="AH2629" s="865"/>
      <c r="AI2629" s="757">
        <f t="shared" si="344"/>
        <v>418978073.79201627</v>
      </c>
      <c r="AJ2629" s="758">
        <f t="shared" si="345"/>
        <v>455094242.87731534</v>
      </c>
    </row>
    <row r="2630" spans="1:36" x14ac:dyDescent="0.2">
      <c r="A2630" s="1069" t="s">
        <v>155</v>
      </c>
      <c r="B2630" s="1070" t="s">
        <v>266</v>
      </c>
      <c r="C2630" s="1080" t="s">
        <v>861</v>
      </c>
      <c r="D2630" s="1081"/>
      <c r="E2630" s="1078">
        <v>221759</v>
      </c>
      <c r="F2630" s="1079">
        <v>1</v>
      </c>
      <c r="G2630" s="859"/>
      <c r="H2630" s="860"/>
      <c r="I2630" s="861"/>
      <c r="J2630" s="862"/>
      <c r="K2630" s="859"/>
      <c r="L2630" s="863"/>
      <c r="M2630" s="859"/>
      <c r="N2630" s="859"/>
      <c r="O2630" s="752">
        <f t="shared" si="338"/>
        <v>0</v>
      </c>
      <c r="P2630" s="862"/>
      <c r="Q2630" s="862"/>
      <c r="R2630" s="753">
        <f t="shared" si="341"/>
        <v>0</v>
      </c>
      <c r="S2630" s="752">
        <f t="shared" si="342"/>
        <v>0</v>
      </c>
      <c r="T2630" s="754">
        <f t="shared" si="343"/>
        <v>0</v>
      </c>
      <c r="U2630" s="859"/>
      <c r="V2630" s="863"/>
      <c r="W2630" s="859"/>
      <c r="X2630" s="859"/>
      <c r="Y2630" s="755">
        <f t="shared" si="339"/>
        <v>0</v>
      </c>
      <c r="Z2630" s="864"/>
      <c r="AA2630" s="863"/>
      <c r="AB2630" s="756">
        <f t="shared" si="340"/>
        <v>0</v>
      </c>
      <c r="AC2630" s="859"/>
      <c r="AD2630" s="863"/>
      <c r="AE2630" s="859"/>
      <c r="AF2630" s="859"/>
      <c r="AG2630" s="864"/>
      <c r="AH2630" s="865"/>
      <c r="AI2630" s="757">
        <f t="shared" si="344"/>
        <v>0</v>
      </c>
      <c r="AJ2630" s="758">
        <f t="shared" si="345"/>
        <v>0</v>
      </c>
    </row>
    <row r="2631" spans="1:36" x14ac:dyDescent="0.2">
      <c r="A2631" s="1069" t="s">
        <v>155</v>
      </c>
      <c r="B2631" s="1070" t="s">
        <v>266</v>
      </c>
      <c r="C2631" s="1082" t="s">
        <v>862</v>
      </c>
      <c r="D2631" s="1081"/>
      <c r="E2631" s="1078">
        <v>221759</v>
      </c>
      <c r="F2631" s="1079">
        <v>1</v>
      </c>
      <c r="G2631" s="859"/>
      <c r="H2631" s="860"/>
      <c r="I2631" s="861">
        <v>2737969</v>
      </c>
      <c r="J2631" s="862">
        <v>2892013</v>
      </c>
      <c r="K2631" s="859"/>
      <c r="L2631" s="863"/>
      <c r="M2631" s="859"/>
      <c r="N2631" s="859"/>
      <c r="O2631" s="752">
        <f t="shared" si="338"/>
        <v>0</v>
      </c>
      <c r="P2631" s="862">
        <v>0</v>
      </c>
      <c r="Q2631" s="862">
        <v>0</v>
      </c>
      <c r="R2631" s="753">
        <f t="shared" si="341"/>
        <v>0</v>
      </c>
      <c r="S2631" s="752">
        <f t="shared" si="342"/>
        <v>2737969</v>
      </c>
      <c r="T2631" s="754">
        <f t="shared" si="343"/>
        <v>2892013</v>
      </c>
      <c r="U2631" s="859"/>
      <c r="V2631" s="863"/>
      <c r="W2631" s="859"/>
      <c r="X2631" s="859"/>
      <c r="Y2631" s="755">
        <f t="shared" si="339"/>
        <v>0</v>
      </c>
      <c r="Z2631" s="864"/>
      <c r="AA2631" s="863"/>
      <c r="AB2631" s="756">
        <f t="shared" si="340"/>
        <v>0</v>
      </c>
      <c r="AC2631" s="859"/>
      <c r="AD2631" s="863"/>
      <c r="AE2631" s="859"/>
      <c r="AF2631" s="859"/>
      <c r="AG2631" s="864"/>
      <c r="AH2631" s="865"/>
      <c r="AI2631" s="757">
        <f t="shared" si="344"/>
        <v>2737969</v>
      </c>
      <c r="AJ2631" s="758">
        <f t="shared" si="345"/>
        <v>2892013</v>
      </c>
    </row>
    <row r="2632" spans="1:36" x14ac:dyDescent="0.2">
      <c r="A2632" s="1069" t="s">
        <v>155</v>
      </c>
      <c r="B2632" s="1070" t="s">
        <v>266</v>
      </c>
      <c r="C2632" s="1082" t="s">
        <v>863</v>
      </c>
      <c r="D2632" s="1081"/>
      <c r="E2632" s="1078">
        <v>221759</v>
      </c>
      <c r="F2632" s="1079">
        <v>1</v>
      </c>
      <c r="G2632" s="859"/>
      <c r="H2632" s="860"/>
      <c r="I2632" s="861">
        <v>1650969</v>
      </c>
      <c r="J2632" s="862">
        <v>1758013</v>
      </c>
      <c r="K2632" s="859"/>
      <c r="L2632" s="863"/>
      <c r="M2632" s="859"/>
      <c r="N2632" s="859"/>
      <c r="O2632" s="752">
        <f t="shared" si="338"/>
        <v>0</v>
      </c>
      <c r="P2632" s="862">
        <v>0</v>
      </c>
      <c r="Q2632" s="862">
        <v>0</v>
      </c>
      <c r="R2632" s="753">
        <f t="shared" si="341"/>
        <v>0</v>
      </c>
      <c r="S2632" s="752">
        <f t="shared" si="342"/>
        <v>1650969</v>
      </c>
      <c r="T2632" s="754">
        <f t="shared" si="343"/>
        <v>1758013</v>
      </c>
      <c r="U2632" s="859"/>
      <c r="V2632" s="863"/>
      <c r="W2632" s="859"/>
      <c r="X2632" s="859"/>
      <c r="Y2632" s="755">
        <f t="shared" si="339"/>
        <v>0</v>
      </c>
      <c r="Z2632" s="864"/>
      <c r="AA2632" s="863"/>
      <c r="AB2632" s="756">
        <f t="shared" si="340"/>
        <v>0</v>
      </c>
      <c r="AC2632" s="859"/>
      <c r="AD2632" s="863"/>
      <c r="AE2632" s="859"/>
      <c r="AF2632" s="859"/>
      <c r="AG2632" s="864"/>
      <c r="AH2632" s="865"/>
      <c r="AI2632" s="757">
        <f t="shared" si="344"/>
        <v>1650969</v>
      </c>
      <c r="AJ2632" s="758">
        <f t="shared" si="345"/>
        <v>1758013</v>
      </c>
    </row>
    <row r="2633" spans="1:36" x14ac:dyDescent="0.2">
      <c r="A2633" s="1069" t="s">
        <v>155</v>
      </c>
      <c r="B2633" s="1070" t="s">
        <v>266</v>
      </c>
      <c r="C2633" s="1082" t="s">
        <v>864</v>
      </c>
      <c r="D2633" s="1081"/>
      <c r="E2633" s="1078">
        <v>221759</v>
      </c>
      <c r="F2633" s="1079">
        <v>1</v>
      </c>
      <c r="G2633" s="859"/>
      <c r="H2633" s="860"/>
      <c r="I2633" s="861">
        <v>5058459</v>
      </c>
      <c r="J2633" s="862">
        <v>5249898</v>
      </c>
      <c r="K2633" s="859"/>
      <c r="L2633" s="863"/>
      <c r="M2633" s="859"/>
      <c r="N2633" s="859"/>
      <c r="O2633" s="752">
        <f t="shared" si="338"/>
        <v>0</v>
      </c>
      <c r="P2633" s="862">
        <v>0</v>
      </c>
      <c r="Q2633" s="862">
        <v>0</v>
      </c>
      <c r="R2633" s="753">
        <f t="shared" si="341"/>
        <v>0</v>
      </c>
      <c r="S2633" s="752">
        <f t="shared" si="342"/>
        <v>5058459</v>
      </c>
      <c r="T2633" s="754">
        <f t="shared" si="343"/>
        <v>5249898</v>
      </c>
      <c r="U2633" s="859"/>
      <c r="V2633" s="863"/>
      <c r="W2633" s="859"/>
      <c r="X2633" s="859"/>
      <c r="Y2633" s="755">
        <f t="shared" si="339"/>
        <v>0</v>
      </c>
      <c r="Z2633" s="864"/>
      <c r="AA2633" s="863"/>
      <c r="AB2633" s="756">
        <f t="shared" si="340"/>
        <v>0</v>
      </c>
      <c r="AC2633" s="859"/>
      <c r="AD2633" s="863"/>
      <c r="AE2633" s="859"/>
      <c r="AF2633" s="859"/>
      <c r="AG2633" s="864"/>
      <c r="AH2633" s="865"/>
      <c r="AI2633" s="757">
        <f t="shared" si="344"/>
        <v>5058459</v>
      </c>
      <c r="AJ2633" s="758">
        <f t="shared" si="345"/>
        <v>5249898</v>
      </c>
    </row>
    <row r="2634" spans="1:36" x14ac:dyDescent="0.2">
      <c r="A2634" s="1069" t="s">
        <v>155</v>
      </c>
      <c r="B2634" s="1070" t="s">
        <v>268</v>
      </c>
      <c r="C2634" s="1080" t="s">
        <v>257</v>
      </c>
      <c r="D2634" s="1081"/>
      <c r="E2634" s="1078">
        <v>221759</v>
      </c>
      <c r="F2634" s="1079">
        <v>1</v>
      </c>
      <c r="G2634" s="859"/>
      <c r="H2634" s="860"/>
      <c r="I2634" s="861">
        <v>29580016</v>
      </c>
      <c r="J2634" s="862">
        <v>30987767</v>
      </c>
      <c r="K2634" s="859"/>
      <c r="L2634" s="863"/>
      <c r="M2634" s="859"/>
      <c r="N2634" s="859"/>
      <c r="O2634" s="752">
        <f t="shared" si="338"/>
        <v>0</v>
      </c>
      <c r="P2634" s="862">
        <v>0</v>
      </c>
      <c r="Q2634" s="862">
        <v>0</v>
      </c>
      <c r="R2634" s="753">
        <f t="shared" si="341"/>
        <v>0</v>
      </c>
      <c r="S2634" s="752">
        <f t="shared" si="342"/>
        <v>29580016</v>
      </c>
      <c r="T2634" s="754">
        <f t="shared" si="343"/>
        <v>30987767</v>
      </c>
      <c r="U2634" s="859"/>
      <c r="V2634" s="863"/>
      <c r="W2634" s="859"/>
      <c r="X2634" s="859"/>
      <c r="Y2634" s="755">
        <f t="shared" si="339"/>
        <v>0</v>
      </c>
      <c r="Z2634" s="864"/>
      <c r="AA2634" s="863"/>
      <c r="AB2634" s="756">
        <f t="shared" si="340"/>
        <v>0</v>
      </c>
      <c r="AC2634" s="859"/>
      <c r="AD2634" s="863"/>
      <c r="AE2634" s="859"/>
      <c r="AF2634" s="859"/>
      <c r="AG2634" s="864"/>
      <c r="AH2634" s="865"/>
      <c r="AI2634" s="757">
        <f t="shared" si="344"/>
        <v>29580016</v>
      </c>
      <c r="AJ2634" s="758">
        <f t="shared" si="345"/>
        <v>30987767</v>
      </c>
    </row>
    <row r="2635" spans="1:36" x14ac:dyDescent="0.2">
      <c r="A2635" s="1069" t="s">
        <v>155</v>
      </c>
      <c r="B2635" s="1070" t="s">
        <v>269</v>
      </c>
      <c r="C2635" s="1080" t="s">
        <v>256</v>
      </c>
      <c r="D2635" s="1081"/>
      <c r="E2635" s="1078">
        <v>221759</v>
      </c>
      <c r="F2635" s="1079">
        <v>1</v>
      </c>
      <c r="G2635" s="859"/>
      <c r="H2635" s="860"/>
      <c r="I2635" s="861">
        <v>24480573</v>
      </c>
      <c r="J2635" s="862">
        <v>25579486</v>
      </c>
      <c r="K2635" s="859"/>
      <c r="L2635" s="863"/>
      <c r="M2635" s="859"/>
      <c r="N2635" s="859"/>
      <c r="O2635" s="752">
        <f t="shared" ref="O2635:O2698" si="346">SUM(M2635:N2635)</f>
        <v>0</v>
      </c>
      <c r="P2635" s="862">
        <v>0</v>
      </c>
      <c r="Q2635" s="862">
        <v>0</v>
      </c>
      <c r="R2635" s="753">
        <f t="shared" si="341"/>
        <v>0</v>
      </c>
      <c r="S2635" s="752">
        <f t="shared" si="342"/>
        <v>24480573</v>
      </c>
      <c r="T2635" s="754">
        <f t="shared" si="343"/>
        <v>25579486</v>
      </c>
      <c r="U2635" s="859"/>
      <c r="V2635" s="863"/>
      <c r="W2635" s="859"/>
      <c r="X2635" s="859"/>
      <c r="Y2635" s="755">
        <f t="shared" ref="Y2635:Y2698" si="347">SUM(W2635:X2635)</f>
        <v>0</v>
      </c>
      <c r="Z2635" s="864"/>
      <c r="AA2635" s="863"/>
      <c r="AB2635" s="756">
        <f t="shared" ref="AB2635:AB2698" si="348">SUM(Z2635:AA2635)</f>
        <v>0</v>
      </c>
      <c r="AC2635" s="859"/>
      <c r="AD2635" s="863"/>
      <c r="AE2635" s="859"/>
      <c r="AF2635" s="859"/>
      <c r="AG2635" s="864"/>
      <c r="AH2635" s="865"/>
      <c r="AI2635" s="757">
        <f t="shared" si="344"/>
        <v>24480573</v>
      </c>
      <c r="AJ2635" s="758">
        <f t="shared" si="345"/>
        <v>25579486</v>
      </c>
    </row>
    <row r="2636" spans="1:36" x14ac:dyDescent="0.2">
      <c r="A2636" s="1069" t="s">
        <v>155</v>
      </c>
      <c r="B2636" s="1070" t="s">
        <v>264</v>
      </c>
      <c r="C2636" s="1071" t="s">
        <v>865</v>
      </c>
      <c r="D2636" s="1083"/>
      <c r="E2636" s="1078">
        <v>221838</v>
      </c>
      <c r="F2636" s="1074">
        <v>2</v>
      </c>
      <c r="G2636" s="859">
        <v>34167155</v>
      </c>
      <c r="H2636" s="860">
        <v>36208835</v>
      </c>
      <c r="I2636" s="861"/>
      <c r="J2636" s="862"/>
      <c r="K2636" s="859"/>
      <c r="L2636" s="863"/>
      <c r="M2636" s="859">
        <v>65496600</v>
      </c>
      <c r="N2636" s="859">
        <v>1500000</v>
      </c>
      <c r="O2636" s="752">
        <f t="shared" si="346"/>
        <v>66996600</v>
      </c>
      <c r="P2636" s="862">
        <v>69406700</v>
      </c>
      <c r="Q2636" s="862">
        <v>1537500</v>
      </c>
      <c r="R2636" s="753">
        <f t="shared" ref="R2636:R2699" si="349">SUM(P2636:Q2636)</f>
        <v>70944200</v>
      </c>
      <c r="S2636" s="752">
        <f t="shared" ref="S2636:S2699" si="350">SUM(G2636,I2636,K2636,M2636)</f>
        <v>99663755</v>
      </c>
      <c r="T2636" s="754">
        <f t="shared" ref="T2636:T2699" si="351">SUM(H2636,J2636,L2636,P2636)</f>
        <v>105615535</v>
      </c>
      <c r="U2636" s="859"/>
      <c r="V2636" s="863"/>
      <c r="W2636" s="859"/>
      <c r="X2636" s="859"/>
      <c r="Y2636" s="755">
        <f t="shared" si="347"/>
        <v>0</v>
      </c>
      <c r="Z2636" s="864"/>
      <c r="AA2636" s="863"/>
      <c r="AB2636" s="756">
        <f t="shared" si="348"/>
        <v>0</v>
      </c>
      <c r="AC2636" s="859"/>
      <c r="AD2636" s="863"/>
      <c r="AE2636" s="859"/>
      <c r="AF2636" s="859"/>
      <c r="AG2636" s="864"/>
      <c r="AH2636" s="865"/>
      <c r="AI2636" s="757">
        <f t="shared" ref="AI2636:AI2699" si="352">SUM(S2636,U2636,W2636,AC2636,AE2636)</f>
        <v>99663755</v>
      </c>
      <c r="AJ2636" s="758">
        <f t="shared" ref="AJ2636:AJ2699" si="353">SUM(T2636,V2636,Z2636,AD2636,AG2636)</f>
        <v>105615535</v>
      </c>
    </row>
    <row r="2637" spans="1:36" x14ac:dyDescent="0.2">
      <c r="A2637" s="1069" t="s">
        <v>155</v>
      </c>
      <c r="B2637" s="1070" t="s">
        <v>268</v>
      </c>
      <c r="C2637" s="1080" t="s">
        <v>256</v>
      </c>
      <c r="D2637" s="1081"/>
      <c r="E2637" s="1078">
        <v>221838</v>
      </c>
      <c r="F2637" s="1074">
        <v>2</v>
      </c>
      <c r="G2637" s="859"/>
      <c r="H2637" s="860"/>
      <c r="I2637" s="861"/>
      <c r="J2637" s="862"/>
      <c r="K2637" s="859"/>
      <c r="L2637" s="863"/>
      <c r="M2637" s="859"/>
      <c r="N2637" s="859"/>
      <c r="O2637" s="752">
        <f t="shared" si="346"/>
        <v>0</v>
      </c>
      <c r="P2637" s="862"/>
      <c r="Q2637" s="862"/>
      <c r="R2637" s="753">
        <f t="shared" si="349"/>
        <v>0</v>
      </c>
      <c r="S2637" s="752">
        <f t="shared" si="350"/>
        <v>0</v>
      </c>
      <c r="T2637" s="754">
        <f t="shared" si="351"/>
        <v>0</v>
      </c>
      <c r="U2637" s="859"/>
      <c r="V2637" s="863"/>
      <c r="W2637" s="859"/>
      <c r="X2637" s="859"/>
      <c r="Y2637" s="755">
        <f t="shared" si="347"/>
        <v>0</v>
      </c>
      <c r="Z2637" s="864"/>
      <c r="AA2637" s="863"/>
      <c r="AB2637" s="756">
        <f t="shared" si="348"/>
        <v>0</v>
      </c>
      <c r="AC2637" s="859"/>
      <c r="AD2637" s="863"/>
      <c r="AE2637" s="859"/>
      <c r="AF2637" s="859"/>
      <c r="AG2637" s="864"/>
      <c r="AH2637" s="865"/>
      <c r="AI2637" s="757">
        <f t="shared" si="352"/>
        <v>0</v>
      </c>
      <c r="AJ2637" s="758">
        <f t="shared" si="353"/>
        <v>0</v>
      </c>
    </row>
    <row r="2638" spans="1:36" x14ac:dyDescent="0.2">
      <c r="A2638" s="1069" t="s">
        <v>155</v>
      </c>
      <c r="B2638" s="1070" t="s">
        <v>268</v>
      </c>
      <c r="C2638" s="1082" t="s">
        <v>866</v>
      </c>
      <c r="D2638" s="1081"/>
      <c r="E2638" s="1078">
        <v>221838</v>
      </c>
      <c r="F2638" s="1074">
        <v>2</v>
      </c>
      <c r="G2638" s="859"/>
      <c r="H2638" s="860"/>
      <c r="I2638" s="861">
        <v>543600</v>
      </c>
      <c r="J2638" s="862">
        <v>560700</v>
      </c>
      <c r="K2638" s="859"/>
      <c r="L2638" s="863"/>
      <c r="M2638" s="859"/>
      <c r="N2638" s="859"/>
      <c r="O2638" s="752">
        <f t="shared" si="346"/>
        <v>0</v>
      </c>
      <c r="P2638" s="862">
        <v>0</v>
      </c>
      <c r="Q2638" s="862">
        <v>0</v>
      </c>
      <c r="R2638" s="753">
        <f t="shared" si="349"/>
        <v>0</v>
      </c>
      <c r="S2638" s="752">
        <f t="shared" si="350"/>
        <v>543600</v>
      </c>
      <c r="T2638" s="754">
        <f t="shared" si="351"/>
        <v>560700</v>
      </c>
      <c r="U2638" s="859"/>
      <c r="V2638" s="863"/>
      <c r="W2638" s="859"/>
      <c r="X2638" s="859"/>
      <c r="Y2638" s="755">
        <f t="shared" si="347"/>
        <v>0</v>
      </c>
      <c r="Z2638" s="864"/>
      <c r="AA2638" s="863"/>
      <c r="AB2638" s="756">
        <f t="shared" si="348"/>
        <v>0</v>
      </c>
      <c r="AC2638" s="859"/>
      <c r="AD2638" s="863"/>
      <c r="AE2638" s="859"/>
      <c r="AF2638" s="859"/>
      <c r="AG2638" s="864"/>
      <c r="AH2638" s="865"/>
      <c r="AI2638" s="757">
        <f t="shared" si="352"/>
        <v>543600</v>
      </c>
      <c r="AJ2638" s="758">
        <f t="shared" si="353"/>
        <v>560700</v>
      </c>
    </row>
    <row r="2639" spans="1:36" x14ac:dyDescent="0.2">
      <c r="A2639" s="1069" t="s">
        <v>155</v>
      </c>
      <c r="B2639" s="1070" t="s">
        <v>268</v>
      </c>
      <c r="C2639" s="1082" t="s">
        <v>867</v>
      </c>
      <c r="D2639" s="1081"/>
      <c r="E2639" s="1078">
        <v>221838</v>
      </c>
      <c r="F2639" s="1074">
        <v>2</v>
      </c>
      <c r="G2639" s="859"/>
      <c r="H2639" s="860"/>
      <c r="I2639" s="861">
        <v>2208900</v>
      </c>
      <c r="J2639" s="862">
        <v>2280500</v>
      </c>
      <c r="K2639" s="859"/>
      <c r="L2639" s="863"/>
      <c r="M2639" s="859"/>
      <c r="N2639" s="859"/>
      <c r="O2639" s="752">
        <f t="shared" si="346"/>
        <v>0</v>
      </c>
      <c r="P2639" s="862">
        <v>0</v>
      </c>
      <c r="Q2639" s="862">
        <v>0</v>
      </c>
      <c r="R2639" s="753">
        <f t="shared" si="349"/>
        <v>0</v>
      </c>
      <c r="S2639" s="752">
        <f t="shared" si="350"/>
        <v>2208900</v>
      </c>
      <c r="T2639" s="754">
        <f t="shared" si="351"/>
        <v>2280500</v>
      </c>
      <c r="U2639" s="859"/>
      <c r="V2639" s="863"/>
      <c r="W2639" s="859"/>
      <c r="X2639" s="859"/>
      <c r="Y2639" s="755">
        <f t="shared" si="347"/>
        <v>0</v>
      </c>
      <c r="Z2639" s="864"/>
      <c r="AA2639" s="863"/>
      <c r="AB2639" s="756">
        <f t="shared" si="348"/>
        <v>0</v>
      </c>
      <c r="AC2639" s="859"/>
      <c r="AD2639" s="863"/>
      <c r="AE2639" s="859"/>
      <c r="AF2639" s="859"/>
      <c r="AG2639" s="864"/>
      <c r="AH2639" s="865"/>
      <c r="AI2639" s="757">
        <f t="shared" si="352"/>
        <v>2208900</v>
      </c>
      <c r="AJ2639" s="758">
        <f t="shared" si="353"/>
        <v>2280500</v>
      </c>
    </row>
    <row r="2640" spans="1:36" x14ac:dyDescent="0.2">
      <c r="A2640" s="1069" t="s">
        <v>155</v>
      </c>
      <c r="B2640" s="1070" t="s">
        <v>268</v>
      </c>
      <c r="C2640" s="1082" t="s">
        <v>868</v>
      </c>
      <c r="D2640" s="1081"/>
      <c r="E2640" s="1078">
        <v>221838</v>
      </c>
      <c r="F2640" s="1074">
        <v>2</v>
      </c>
      <c r="G2640" s="859"/>
      <c r="H2640" s="860"/>
      <c r="I2640" s="861">
        <v>3010500</v>
      </c>
      <c r="J2640" s="862">
        <v>3110400</v>
      </c>
      <c r="K2640" s="859"/>
      <c r="L2640" s="863"/>
      <c r="M2640" s="859"/>
      <c r="N2640" s="859"/>
      <c r="O2640" s="752">
        <f t="shared" si="346"/>
        <v>0</v>
      </c>
      <c r="P2640" s="862">
        <v>0</v>
      </c>
      <c r="Q2640" s="862">
        <v>0</v>
      </c>
      <c r="R2640" s="753">
        <f t="shared" si="349"/>
        <v>0</v>
      </c>
      <c r="S2640" s="752">
        <f t="shared" si="350"/>
        <v>3010500</v>
      </c>
      <c r="T2640" s="754">
        <f t="shared" si="351"/>
        <v>3110400</v>
      </c>
      <c r="U2640" s="859"/>
      <c r="V2640" s="863"/>
      <c r="W2640" s="859"/>
      <c r="X2640" s="859"/>
      <c r="Y2640" s="755">
        <f t="shared" si="347"/>
        <v>0</v>
      </c>
      <c r="Z2640" s="864"/>
      <c r="AA2640" s="863"/>
      <c r="AB2640" s="756">
        <f t="shared" si="348"/>
        <v>0</v>
      </c>
      <c r="AC2640" s="859"/>
      <c r="AD2640" s="863"/>
      <c r="AE2640" s="859"/>
      <c r="AF2640" s="859"/>
      <c r="AG2640" s="864"/>
      <c r="AH2640" s="865"/>
      <c r="AI2640" s="757">
        <f t="shared" si="352"/>
        <v>3010500</v>
      </c>
      <c r="AJ2640" s="758">
        <f t="shared" si="353"/>
        <v>3110400</v>
      </c>
    </row>
    <row r="2641" spans="1:36" x14ac:dyDescent="0.2">
      <c r="A2641" s="1069" t="s">
        <v>155</v>
      </c>
      <c r="B2641" s="1070" t="s">
        <v>268</v>
      </c>
      <c r="C2641" s="1082" t="s">
        <v>869</v>
      </c>
      <c r="D2641" s="1081"/>
      <c r="E2641" s="1078">
        <v>221838</v>
      </c>
      <c r="F2641" s="1074">
        <v>2</v>
      </c>
      <c r="G2641" s="859"/>
      <c r="H2641" s="860"/>
      <c r="I2641" s="861">
        <v>174100</v>
      </c>
      <c r="J2641" s="862">
        <v>179400</v>
      </c>
      <c r="K2641" s="859"/>
      <c r="L2641" s="863"/>
      <c r="M2641" s="859"/>
      <c r="N2641" s="859"/>
      <c r="O2641" s="752">
        <f t="shared" si="346"/>
        <v>0</v>
      </c>
      <c r="P2641" s="862">
        <v>0</v>
      </c>
      <c r="Q2641" s="862">
        <v>0</v>
      </c>
      <c r="R2641" s="753">
        <f t="shared" si="349"/>
        <v>0</v>
      </c>
      <c r="S2641" s="752">
        <f t="shared" si="350"/>
        <v>174100</v>
      </c>
      <c r="T2641" s="754">
        <f t="shared" si="351"/>
        <v>179400</v>
      </c>
      <c r="U2641" s="859"/>
      <c r="V2641" s="863"/>
      <c r="W2641" s="859"/>
      <c r="X2641" s="859"/>
      <c r="Y2641" s="755">
        <f t="shared" si="347"/>
        <v>0</v>
      </c>
      <c r="Z2641" s="864"/>
      <c r="AA2641" s="863"/>
      <c r="AB2641" s="756">
        <f t="shared" si="348"/>
        <v>0</v>
      </c>
      <c r="AC2641" s="859"/>
      <c r="AD2641" s="863"/>
      <c r="AE2641" s="859"/>
      <c r="AF2641" s="859"/>
      <c r="AG2641" s="864"/>
      <c r="AH2641" s="865"/>
      <c r="AI2641" s="757">
        <f t="shared" si="352"/>
        <v>174100</v>
      </c>
      <c r="AJ2641" s="758">
        <f t="shared" si="353"/>
        <v>179400</v>
      </c>
    </row>
    <row r="2642" spans="1:36" x14ac:dyDescent="0.2">
      <c r="A2642" s="1069" t="s">
        <v>155</v>
      </c>
      <c r="B2642" s="1070" t="s">
        <v>264</v>
      </c>
      <c r="C2642" s="1071" t="s">
        <v>870</v>
      </c>
      <c r="D2642" s="1072"/>
      <c r="E2642" s="1078">
        <v>219602</v>
      </c>
      <c r="F2642" s="1074">
        <v>3</v>
      </c>
      <c r="G2642" s="859">
        <v>29936158.329999998</v>
      </c>
      <c r="H2642" s="860">
        <v>34495044.329999998</v>
      </c>
      <c r="I2642" s="861"/>
      <c r="J2642" s="862"/>
      <c r="K2642" s="859"/>
      <c r="L2642" s="863"/>
      <c r="M2642" s="859">
        <v>62016400</v>
      </c>
      <c r="N2642" s="859">
        <v>2370800</v>
      </c>
      <c r="O2642" s="752">
        <f t="shared" si="346"/>
        <v>64387200</v>
      </c>
      <c r="P2642" s="862">
        <v>63726600</v>
      </c>
      <c r="Q2642" s="862">
        <v>2370800</v>
      </c>
      <c r="R2642" s="753">
        <f t="shared" si="349"/>
        <v>66097400</v>
      </c>
      <c r="S2642" s="752">
        <f t="shared" si="350"/>
        <v>91952558.329999998</v>
      </c>
      <c r="T2642" s="754">
        <f t="shared" si="351"/>
        <v>98221644.329999998</v>
      </c>
      <c r="U2642" s="859"/>
      <c r="V2642" s="863"/>
      <c r="W2642" s="859"/>
      <c r="X2642" s="859"/>
      <c r="Y2642" s="755">
        <f t="shared" si="347"/>
        <v>0</v>
      </c>
      <c r="Z2642" s="864"/>
      <c r="AA2642" s="863"/>
      <c r="AB2642" s="756">
        <f t="shared" si="348"/>
        <v>0</v>
      </c>
      <c r="AC2642" s="859"/>
      <c r="AD2642" s="863"/>
      <c r="AE2642" s="859"/>
      <c r="AF2642" s="859"/>
      <c r="AG2642" s="864"/>
      <c r="AH2642" s="865"/>
      <c r="AI2642" s="757">
        <f t="shared" si="352"/>
        <v>91952558.329999998</v>
      </c>
      <c r="AJ2642" s="758">
        <f t="shared" si="353"/>
        <v>98221644.329999998</v>
      </c>
    </row>
    <row r="2643" spans="1:36" x14ac:dyDescent="0.2">
      <c r="A2643" s="1069" t="s">
        <v>155</v>
      </c>
      <c r="B2643" s="1070" t="s">
        <v>264</v>
      </c>
      <c r="C2643" s="1076" t="s">
        <v>871</v>
      </c>
      <c r="D2643" s="1088" t="s">
        <v>1133</v>
      </c>
      <c r="E2643" s="1078">
        <v>220075</v>
      </c>
      <c r="F2643" s="1079">
        <v>3</v>
      </c>
      <c r="G2643" s="859">
        <v>48191905.329999998</v>
      </c>
      <c r="H2643" s="860">
        <v>50382270.659999996</v>
      </c>
      <c r="I2643" s="861"/>
      <c r="J2643" s="862"/>
      <c r="K2643" s="859"/>
      <c r="L2643" s="863"/>
      <c r="M2643" s="859">
        <v>101066380</v>
      </c>
      <c r="N2643" s="859">
        <v>2641000</v>
      </c>
      <c r="O2643" s="752">
        <f t="shared" si="346"/>
        <v>103707380</v>
      </c>
      <c r="P2643" s="862">
        <v>100945380</v>
      </c>
      <c r="Q2643" s="862">
        <v>2641000</v>
      </c>
      <c r="R2643" s="753">
        <f t="shared" si="349"/>
        <v>103586380</v>
      </c>
      <c r="S2643" s="752">
        <f t="shared" si="350"/>
        <v>149258285.32999998</v>
      </c>
      <c r="T2643" s="754">
        <f t="shared" si="351"/>
        <v>151327650.66</v>
      </c>
      <c r="U2643" s="859"/>
      <c r="V2643" s="863"/>
      <c r="W2643" s="859"/>
      <c r="X2643" s="859"/>
      <c r="Y2643" s="755">
        <f t="shared" si="347"/>
        <v>0</v>
      </c>
      <c r="Z2643" s="864"/>
      <c r="AA2643" s="863"/>
      <c r="AB2643" s="756">
        <f t="shared" si="348"/>
        <v>0</v>
      </c>
      <c r="AC2643" s="859"/>
      <c r="AD2643" s="863"/>
      <c r="AE2643" s="859"/>
      <c r="AF2643" s="859"/>
      <c r="AG2643" s="864"/>
      <c r="AH2643" s="865"/>
      <c r="AI2643" s="757">
        <f t="shared" si="352"/>
        <v>149258285.32999998</v>
      </c>
      <c r="AJ2643" s="758">
        <f t="shared" si="353"/>
        <v>151327650.66</v>
      </c>
    </row>
    <row r="2644" spans="1:36" x14ac:dyDescent="0.2">
      <c r="A2644" s="1069" t="s">
        <v>155</v>
      </c>
      <c r="B2644" s="1070" t="s">
        <v>280</v>
      </c>
      <c r="C2644" s="1082" t="s">
        <v>678</v>
      </c>
      <c r="D2644" s="1081"/>
      <c r="E2644" s="1078">
        <v>220075</v>
      </c>
      <c r="F2644" s="1079">
        <v>3</v>
      </c>
      <c r="G2644" s="859"/>
      <c r="H2644" s="860"/>
      <c r="I2644" s="861"/>
      <c r="J2644" s="862"/>
      <c r="K2644" s="859"/>
      <c r="L2644" s="863"/>
      <c r="M2644" s="859"/>
      <c r="N2644" s="859"/>
      <c r="O2644" s="752">
        <f t="shared" si="346"/>
        <v>0</v>
      </c>
      <c r="P2644" s="862"/>
      <c r="Q2644" s="862"/>
      <c r="R2644" s="753">
        <f t="shared" si="349"/>
        <v>0</v>
      </c>
      <c r="S2644" s="752">
        <f t="shared" si="350"/>
        <v>0</v>
      </c>
      <c r="T2644" s="754">
        <f t="shared" si="351"/>
        <v>0</v>
      </c>
      <c r="U2644" s="859"/>
      <c r="V2644" s="863"/>
      <c r="W2644" s="859"/>
      <c r="X2644" s="859"/>
      <c r="Y2644" s="755">
        <f t="shared" si="347"/>
        <v>0</v>
      </c>
      <c r="Z2644" s="864"/>
      <c r="AA2644" s="863"/>
      <c r="AB2644" s="756">
        <f t="shared" si="348"/>
        <v>0</v>
      </c>
      <c r="AC2644" s="859">
        <v>33277200</v>
      </c>
      <c r="AD2644" s="863">
        <v>35236200</v>
      </c>
      <c r="AE2644" s="859">
        <v>8874700</v>
      </c>
      <c r="AF2644" s="859">
        <v>166600</v>
      </c>
      <c r="AG2644" s="864">
        <v>8947000</v>
      </c>
      <c r="AH2644" s="865">
        <v>164600</v>
      </c>
      <c r="AI2644" s="757">
        <f t="shared" si="352"/>
        <v>42151900</v>
      </c>
      <c r="AJ2644" s="758">
        <f t="shared" si="353"/>
        <v>44183200</v>
      </c>
    </row>
    <row r="2645" spans="1:36" x14ac:dyDescent="0.2">
      <c r="A2645" s="1069" t="s">
        <v>155</v>
      </c>
      <c r="B2645" s="1070" t="s">
        <v>264</v>
      </c>
      <c r="C2645" s="1076" t="s">
        <v>872</v>
      </c>
      <c r="D2645" s="1077"/>
      <c r="E2645" s="1078">
        <v>220978</v>
      </c>
      <c r="F2645" s="1079">
        <v>3</v>
      </c>
      <c r="G2645" s="859">
        <v>79109080</v>
      </c>
      <c r="H2645" s="860">
        <v>82950980</v>
      </c>
      <c r="I2645" s="861"/>
      <c r="J2645" s="862"/>
      <c r="K2645" s="859"/>
      <c r="L2645" s="863"/>
      <c r="M2645" s="859">
        <v>161137600</v>
      </c>
      <c r="N2645" s="859">
        <v>9587500</v>
      </c>
      <c r="O2645" s="752">
        <f t="shared" si="346"/>
        <v>170725100</v>
      </c>
      <c r="P2645" s="862">
        <v>160637379</v>
      </c>
      <c r="Q2645" s="862">
        <v>8700000</v>
      </c>
      <c r="R2645" s="753">
        <f t="shared" si="349"/>
        <v>169337379</v>
      </c>
      <c r="S2645" s="752">
        <f t="shared" si="350"/>
        <v>240246680</v>
      </c>
      <c r="T2645" s="754">
        <f t="shared" si="351"/>
        <v>243588359</v>
      </c>
      <c r="U2645" s="859"/>
      <c r="V2645" s="863"/>
      <c r="W2645" s="859"/>
      <c r="X2645" s="859"/>
      <c r="Y2645" s="755">
        <f t="shared" si="347"/>
        <v>0</v>
      </c>
      <c r="Z2645" s="864"/>
      <c r="AA2645" s="863"/>
      <c r="AB2645" s="756">
        <f t="shared" si="348"/>
        <v>0</v>
      </c>
      <c r="AC2645" s="859"/>
      <c r="AD2645" s="863"/>
      <c r="AE2645" s="859"/>
      <c r="AF2645" s="859"/>
      <c r="AG2645" s="864"/>
      <c r="AH2645" s="865"/>
      <c r="AI2645" s="757">
        <f t="shared" si="352"/>
        <v>240246680</v>
      </c>
      <c r="AJ2645" s="758">
        <f t="shared" si="353"/>
        <v>243588359</v>
      </c>
    </row>
    <row r="2646" spans="1:36" x14ac:dyDescent="0.2">
      <c r="A2646" s="1069" t="s">
        <v>155</v>
      </c>
      <c r="B2646" s="1070" t="s">
        <v>264</v>
      </c>
      <c r="C2646" s="1071" t="s">
        <v>873</v>
      </c>
      <c r="D2646" s="1072"/>
      <c r="E2646" s="1073">
        <v>221847</v>
      </c>
      <c r="F2646" s="1074">
        <v>3</v>
      </c>
      <c r="G2646" s="859">
        <v>41449740</v>
      </c>
      <c r="H2646" s="860">
        <v>43871465</v>
      </c>
      <c r="I2646" s="861"/>
      <c r="J2646" s="862"/>
      <c r="K2646" s="859"/>
      <c r="L2646" s="863"/>
      <c r="M2646" s="859">
        <v>73123680</v>
      </c>
      <c r="N2646" s="859">
        <v>578300</v>
      </c>
      <c r="O2646" s="752">
        <f t="shared" si="346"/>
        <v>73701980</v>
      </c>
      <c r="P2646" s="862">
        <v>80670620</v>
      </c>
      <c r="Q2646" s="862">
        <v>587000</v>
      </c>
      <c r="R2646" s="753">
        <f t="shared" si="349"/>
        <v>81257620</v>
      </c>
      <c r="S2646" s="752">
        <f t="shared" si="350"/>
        <v>114573420</v>
      </c>
      <c r="T2646" s="754">
        <f t="shared" si="351"/>
        <v>124542085</v>
      </c>
      <c r="U2646" s="859"/>
      <c r="V2646" s="863"/>
      <c r="W2646" s="859"/>
      <c r="X2646" s="859"/>
      <c r="Y2646" s="755">
        <f t="shared" si="347"/>
        <v>0</v>
      </c>
      <c r="Z2646" s="864"/>
      <c r="AA2646" s="863"/>
      <c r="AB2646" s="756">
        <f t="shared" si="348"/>
        <v>0</v>
      </c>
      <c r="AC2646" s="859"/>
      <c r="AD2646" s="863"/>
      <c r="AE2646" s="859"/>
      <c r="AF2646" s="859"/>
      <c r="AG2646" s="864"/>
      <c r="AH2646" s="865"/>
      <c r="AI2646" s="757">
        <f t="shared" si="352"/>
        <v>114573420</v>
      </c>
      <c r="AJ2646" s="758">
        <f t="shared" si="353"/>
        <v>124542085</v>
      </c>
    </row>
    <row r="2647" spans="1:36" x14ac:dyDescent="0.2">
      <c r="A2647" s="1069" t="s">
        <v>155</v>
      </c>
      <c r="B2647" s="1070" t="s">
        <v>264</v>
      </c>
      <c r="C2647" s="1076" t="s">
        <v>874</v>
      </c>
      <c r="D2647" s="1077"/>
      <c r="E2647" s="1078">
        <v>221740</v>
      </c>
      <c r="F2647" s="1079">
        <v>3</v>
      </c>
      <c r="G2647" s="859">
        <v>36692961.896684311</v>
      </c>
      <c r="H2647" s="860">
        <v>38681641.691104561</v>
      </c>
      <c r="I2647" s="861"/>
      <c r="J2647" s="862"/>
      <c r="K2647" s="859"/>
      <c r="L2647" s="863"/>
      <c r="M2647" s="859">
        <v>69129303</v>
      </c>
      <c r="N2647" s="859">
        <v>3000000</v>
      </c>
      <c r="O2647" s="752">
        <f t="shared" si="346"/>
        <v>72129303</v>
      </c>
      <c r="P2647" s="1517">
        <v>74434353</v>
      </c>
      <c r="Q2647" s="1517">
        <v>3000000</v>
      </c>
      <c r="R2647" s="753">
        <f t="shared" si="349"/>
        <v>77434353</v>
      </c>
      <c r="S2647" s="752">
        <f t="shared" si="350"/>
        <v>105822264.89668432</v>
      </c>
      <c r="T2647" s="754">
        <f t="shared" si="351"/>
        <v>113115994.69110456</v>
      </c>
      <c r="U2647" s="859"/>
      <c r="V2647" s="863"/>
      <c r="W2647" s="859"/>
      <c r="X2647" s="859"/>
      <c r="Y2647" s="755">
        <f t="shared" si="347"/>
        <v>0</v>
      </c>
      <c r="Z2647" s="864"/>
      <c r="AA2647" s="863"/>
      <c r="AB2647" s="756">
        <f t="shared" si="348"/>
        <v>0</v>
      </c>
      <c r="AC2647" s="859"/>
      <c r="AD2647" s="863"/>
      <c r="AE2647" s="859"/>
      <c r="AF2647" s="859"/>
      <c r="AG2647" s="864"/>
      <c r="AH2647" s="865"/>
      <c r="AI2647" s="757">
        <f t="shared" si="352"/>
        <v>105822264.89668432</v>
      </c>
      <c r="AJ2647" s="758">
        <f t="shared" si="353"/>
        <v>113115994.69110456</v>
      </c>
    </row>
    <row r="2648" spans="1:36" x14ac:dyDescent="0.2">
      <c r="A2648" s="1069" t="s">
        <v>155</v>
      </c>
      <c r="B2648" s="1070" t="s">
        <v>264</v>
      </c>
      <c r="C2648" s="1076" t="s">
        <v>875</v>
      </c>
      <c r="D2648" s="1072"/>
      <c r="E2648" s="1078">
        <v>221768</v>
      </c>
      <c r="F2648" s="1079">
        <v>5</v>
      </c>
      <c r="G2648" s="859">
        <v>26633618.531082422</v>
      </c>
      <c r="H2648" s="860">
        <v>26780564.698208787</v>
      </c>
      <c r="I2648" s="861"/>
      <c r="J2648" s="862"/>
      <c r="K2648" s="859"/>
      <c r="L2648" s="863"/>
      <c r="M2648" s="859">
        <v>50002855</v>
      </c>
      <c r="N2648" s="859">
        <v>2500000</v>
      </c>
      <c r="O2648" s="752">
        <f t="shared" si="346"/>
        <v>52502855</v>
      </c>
      <c r="P2648" s="1517">
        <v>52866500</v>
      </c>
      <c r="Q2648" s="1517">
        <v>2500000</v>
      </c>
      <c r="R2648" s="753">
        <f t="shared" si="349"/>
        <v>55366500</v>
      </c>
      <c r="S2648" s="752">
        <f t="shared" si="350"/>
        <v>76636473.531082422</v>
      </c>
      <c r="T2648" s="754">
        <f t="shared" si="351"/>
        <v>79647064.698208779</v>
      </c>
      <c r="U2648" s="859"/>
      <c r="V2648" s="863"/>
      <c r="W2648" s="859"/>
      <c r="X2648" s="859"/>
      <c r="Y2648" s="755">
        <f t="shared" si="347"/>
        <v>0</v>
      </c>
      <c r="Z2648" s="864"/>
      <c r="AA2648" s="863"/>
      <c r="AB2648" s="756">
        <f t="shared" si="348"/>
        <v>0</v>
      </c>
      <c r="AC2648" s="859"/>
      <c r="AD2648" s="863"/>
      <c r="AE2648" s="859"/>
      <c r="AF2648" s="859"/>
      <c r="AG2648" s="864"/>
      <c r="AH2648" s="865"/>
      <c r="AI2648" s="757">
        <f t="shared" si="352"/>
        <v>76636473.531082422</v>
      </c>
      <c r="AJ2648" s="758">
        <f t="shared" si="353"/>
        <v>79647064.698208779</v>
      </c>
    </row>
    <row r="2649" spans="1:36" x14ac:dyDescent="0.2">
      <c r="A2649" s="1069" t="s">
        <v>155</v>
      </c>
      <c r="B2649" s="1070" t="s">
        <v>264</v>
      </c>
      <c r="C2649" s="1076" t="s">
        <v>876</v>
      </c>
      <c r="D2649" s="1084"/>
      <c r="E2649" s="1085">
        <v>219824</v>
      </c>
      <c r="F2649" s="1086">
        <v>8</v>
      </c>
      <c r="G2649" s="859">
        <v>22396107.111578938</v>
      </c>
      <c r="H2649" s="860">
        <v>27016809.209693097</v>
      </c>
      <c r="I2649" s="861"/>
      <c r="J2649" s="862"/>
      <c r="K2649" s="859"/>
      <c r="L2649" s="863"/>
      <c r="M2649" s="859">
        <v>31250000</v>
      </c>
      <c r="N2649" s="859"/>
      <c r="O2649" s="752">
        <f t="shared" si="346"/>
        <v>31250000</v>
      </c>
      <c r="P2649" s="862">
        <v>30475000</v>
      </c>
      <c r="Q2649" s="862">
        <v>0</v>
      </c>
      <c r="R2649" s="753">
        <f t="shared" si="349"/>
        <v>30475000</v>
      </c>
      <c r="S2649" s="752">
        <f t="shared" si="350"/>
        <v>53646107.111578941</v>
      </c>
      <c r="T2649" s="754">
        <f t="shared" si="351"/>
        <v>57491809.209693097</v>
      </c>
      <c r="U2649" s="859"/>
      <c r="V2649" s="863"/>
      <c r="W2649" s="859"/>
      <c r="X2649" s="859"/>
      <c r="Y2649" s="755">
        <f t="shared" si="347"/>
        <v>0</v>
      </c>
      <c r="Z2649" s="864"/>
      <c r="AA2649" s="863"/>
      <c r="AB2649" s="756">
        <f t="shared" si="348"/>
        <v>0</v>
      </c>
      <c r="AC2649" s="859"/>
      <c r="AD2649" s="863"/>
      <c r="AE2649" s="859"/>
      <c r="AF2649" s="859"/>
      <c r="AG2649" s="864"/>
      <c r="AH2649" s="865"/>
      <c r="AI2649" s="757">
        <f t="shared" si="352"/>
        <v>53646107.111578941</v>
      </c>
      <c r="AJ2649" s="758">
        <f t="shared" si="353"/>
        <v>57491809.209693097</v>
      </c>
    </row>
    <row r="2650" spans="1:36" x14ac:dyDescent="0.2">
      <c r="A2650" s="1069" t="s">
        <v>155</v>
      </c>
      <c r="B2650" s="1070" t="s">
        <v>264</v>
      </c>
      <c r="C2650" s="1071" t="s">
        <v>877</v>
      </c>
      <c r="D2650" s="1087"/>
      <c r="E2650" s="1085">
        <v>221184</v>
      </c>
      <c r="F2650" s="1074">
        <v>8</v>
      </c>
      <c r="G2650" s="859">
        <v>14678041.782376755</v>
      </c>
      <c r="H2650" s="860">
        <v>16231044.744341064</v>
      </c>
      <c r="I2650" s="861"/>
      <c r="J2650" s="862"/>
      <c r="K2650" s="859"/>
      <c r="L2650" s="863"/>
      <c r="M2650" s="859">
        <v>25124800</v>
      </c>
      <c r="N2650" s="859"/>
      <c r="O2650" s="752">
        <f t="shared" si="346"/>
        <v>25124800</v>
      </c>
      <c r="P2650" s="862">
        <v>27606600</v>
      </c>
      <c r="Q2650" s="862">
        <v>0</v>
      </c>
      <c r="R2650" s="753">
        <f t="shared" si="349"/>
        <v>27606600</v>
      </c>
      <c r="S2650" s="752">
        <f t="shared" si="350"/>
        <v>39802841.782376751</v>
      </c>
      <c r="T2650" s="754">
        <f t="shared" si="351"/>
        <v>43837644.744341061</v>
      </c>
      <c r="U2650" s="859"/>
      <c r="V2650" s="863"/>
      <c r="W2650" s="859"/>
      <c r="X2650" s="859"/>
      <c r="Y2650" s="755">
        <f t="shared" si="347"/>
        <v>0</v>
      </c>
      <c r="Z2650" s="864"/>
      <c r="AA2650" s="863"/>
      <c r="AB2650" s="756">
        <f t="shared" si="348"/>
        <v>0</v>
      </c>
      <c r="AC2650" s="859"/>
      <c r="AD2650" s="863"/>
      <c r="AE2650" s="859"/>
      <c r="AF2650" s="859"/>
      <c r="AG2650" s="864"/>
      <c r="AH2650" s="865"/>
      <c r="AI2650" s="757">
        <f t="shared" si="352"/>
        <v>39802841.782376751</v>
      </c>
      <c r="AJ2650" s="758">
        <f t="shared" si="353"/>
        <v>43837644.744341061</v>
      </c>
    </row>
    <row r="2651" spans="1:36" x14ac:dyDescent="0.2">
      <c r="A2651" s="1069" t="s">
        <v>155</v>
      </c>
      <c r="B2651" s="1070" t="s">
        <v>264</v>
      </c>
      <c r="C2651" s="1076" t="s">
        <v>878</v>
      </c>
      <c r="D2651" s="1084"/>
      <c r="E2651" s="1085">
        <v>221643</v>
      </c>
      <c r="F2651" s="1086">
        <v>8</v>
      </c>
      <c r="G2651" s="859">
        <v>20866585.360912781</v>
      </c>
      <c r="H2651" s="860">
        <v>23198377.195389528</v>
      </c>
      <c r="I2651" s="861"/>
      <c r="J2651" s="862"/>
      <c r="K2651" s="859"/>
      <c r="L2651" s="863"/>
      <c r="M2651" s="859">
        <v>32420000</v>
      </c>
      <c r="N2651" s="859">
        <v>330000</v>
      </c>
      <c r="O2651" s="752">
        <f t="shared" si="346"/>
        <v>32750000</v>
      </c>
      <c r="P2651" s="862">
        <v>33250000</v>
      </c>
      <c r="Q2651" s="862">
        <v>330000</v>
      </c>
      <c r="R2651" s="753">
        <f t="shared" si="349"/>
        <v>33580000</v>
      </c>
      <c r="S2651" s="752">
        <f t="shared" si="350"/>
        <v>53286585.360912785</v>
      </c>
      <c r="T2651" s="754">
        <f t="shared" si="351"/>
        <v>56448377.195389524</v>
      </c>
      <c r="U2651" s="859"/>
      <c r="V2651" s="863"/>
      <c r="W2651" s="859"/>
      <c r="X2651" s="859"/>
      <c r="Y2651" s="755">
        <f t="shared" si="347"/>
        <v>0</v>
      </c>
      <c r="Z2651" s="864"/>
      <c r="AA2651" s="863"/>
      <c r="AB2651" s="756">
        <f t="shared" si="348"/>
        <v>0</v>
      </c>
      <c r="AC2651" s="859"/>
      <c r="AD2651" s="863"/>
      <c r="AE2651" s="859"/>
      <c r="AF2651" s="859"/>
      <c r="AG2651" s="864"/>
      <c r="AH2651" s="865"/>
      <c r="AI2651" s="757">
        <f t="shared" si="352"/>
        <v>53286585.360912785</v>
      </c>
      <c r="AJ2651" s="758">
        <f t="shared" si="353"/>
        <v>56448377.195389524</v>
      </c>
    </row>
    <row r="2652" spans="1:36" x14ac:dyDescent="0.2">
      <c r="A2652" s="1069" t="s">
        <v>155</v>
      </c>
      <c r="B2652" s="1070" t="s">
        <v>264</v>
      </c>
      <c r="C2652" s="1076" t="s">
        <v>879</v>
      </c>
      <c r="D2652" s="1084"/>
      <c r="E2652" s="1085">
        <v>221485</v>
      </c>
      <c r="F2652" s="1086">
        <v>8</v>
      </c>
      <c r="G2652" s="859">
        <v>32240883.349216558</v>
      </c>
      <c r="H2652" s="860">
        <v>28442513.386474099</v>
      </c>
      <c r="I2652" s="861"/>
      <c r="J2652" s="862"/>
      <c r="K2652" s="859"/>
      <c r="L2652" s="863"/>
      <c r="M2652" s="859">
        <v>38724700</v>
      </c>
      <c r="N2652" s="859"/>
      <c r="O2652" s="752">
        <f t="shared" si="346"/>
        <v>38724700</v>
      </c>
      <c r="P2652" s="862">
        <v>35031400</v>
      </c>
      <c r="Q2652" s="862">
        <v>0</v>
      </c>
      <c r="R2652" s="753">
        <f t="shared" si="349"/>
        <v>35031400</v>
      </c>
      <c r="S2652" s="752">
        <f t="shared" si="350"/>
        <v>70965583.349216551</v>
      </c>
      <c r="T2652" s="754">
        <f t="shared" si="351"/>
        <v>63473913.386474103</v>
      </c>
      <c r="U2652" s="859"/>
      <c r="V2652" s="863"/>
      <c r="W2652" s="859"/>
      <c r="X2652" s="859"/>
      <c r="Y2652" s="755">
        <f t="shared" si="347"/>
        <v>0</v>
      </c>
      <c r="Z2652" s="864"/>
      <c r="AA2652" s="863"/>
      <c r="AB2652" s="756">
        <f t="shared" si="348"/>
        <v>0</v>
      </c>
      <c r="AC2652" s="859"/>
      <c r="AD2652" s="863"/>
      <c r="AE2652" s="859"/>
      <c r="AF2652" s="859"/>
      <c r="AG2652" s="864"/>
      <c r="AH2652" s="865"/>
      <c r="AI2652" s="757">
        <f t="shared" si="352"/>
        <v>70965583.349216551</v>
      </c>
      <c r="AJ2652" s="758">
        <f t="shared" si="353"/>
        <v>63473913.386474103</v>
      </c>
    </row>
    <row r="2653" spans="1:36" x14ac:dyDescent="0.2">
      <c r="A2653" s="1069" t="s">
        <v>155</v>
      </c>
      <c r="B2653" s="1070" t="s">
        <v>264</v>
      </c>
      <c r="C2653" s="1071" t="s">
        <v>880</v>
      </c>
      <c r="D2653" s="1087"/>
      <c r="E2653" s="1085">
        <v>222053</v>
      </c>
      <c r="F2653" s="1074">
        <v>8</v>
      </c>
      <c r="G2653" s="859">
        <v>16105116.826886179</v>
      </c>
      <c r="H2653" s="860">
        <v>16423090.356894875</v>
      </c>
      <c r="I2653" s="861"/>
      <c r="J2653" s="862"/>
      <c r="K2653" s="859"/>
      <c r="L2653" s="863"/>
      <c r="M2653" s="859">
        <v>23279300</v>
      </c>
      <c r="N2653" s="859"/>
      <c r="O2653" s="752">
        <f t="shared" si="346"/>
        <v>23279300</v>
      </c>
      <c r="P2653" s="862">
        <v>23862800</v>
      </c>
      <c r="Q2653" s="862">
        <v>0</v>
      </c>
      <c r="R2653" s="753">
        <f t="shared" si="349"/>
        <v>23862800</v>
      </c>
      <c r="S2653" s="752">
        <f t="shared" si="350"/>
        <v>39384416.826886177</v>
      </c>
      <c r="T2653" s="754">
        <f t="shared" si="351"/>
        <v>40285890.356894873</v>
      </c>
      <c r="U2653" s="859"/>
      <c r="V2653" s="863"/>
      <c r="W2653" s="859"/>
      <c r="X2653" s="859"/>
      <c r="Y2653" s="755">
        <f t="shared" si="347"/>
        <v>0</v>
      </c>
      <c r="Z2653" s="864"/>
      <c r="AA2653" s="863"/>
      <c r="AB2653" s="756">
        <f t="shared" si="348"/>
        <v>0</v>
      </c>
      <c r="AC2653" s="859"/>
      <c r="AD2653" s="863"/>
      <c r="AE2653" s="859"/>
      <c r="AF2653" s="859"/>
      <c r="AG2653" s="864"/>
      <c r="AH2653" s="865"/>
      <c r="AI2653" s="757">
        <f t="shared" si="352"/>
        <v>39384416.826886177</v>
      </c>
      <c r="AJ2653" s="758">
        <f t="shared" si="353"/>
        <v>40285890.356894873</v>
      </c>
    </row>
    <row r="2654" spans="1:36" x14ac:dyDescent="0.2">
      <c r="A2654" s="1069" t="s">
        <v>155</v>
      </c>
      <c r="B2654" s="1070" t="s">
        <v>264</v>
      </c>
      <c r="C2654" s="1076" t="s">
        <v>881</v>
      </c>
      <c r="D2654" s="1084"/>
      <c r="E2654" s="1085">
        <v>219879</v>
      </c>
      <c r="F2654" s="1086">
        <v>9</v>
      </c>
      <c r="G2654" s="859">
        <v>9108168.1996789481</v>
      </c>
      <c r="H2654" s="860">
        <v>9259459.8889043182</v>
      </c>
      <c r="I2654" s="861"/>
      <c r="J2654" s="862"/>
      <c r="K2654" s="859"/>
      <c r="L2654" s="863"/>
      <c r="M2654" s="859">
        <v>10611800</v>
      </c>
      <c r="N2654" s="859"/>
      <c r="O2654" s="752">
        <f t="shared" si="346"/>
        <v>10611800</v>
      </c>
      <c r="P2654" s="862">
        <v>11253000</v>
      </c>
      <c r="Q2654" s="862">
        <v>0</v>
      </c>
      <c r="R2654" s="753">
        <f t="shared" si="349"/>
        <v>11253000</v>
      </c>
      <c r="S2654" s="752">
        <f t="shared" si="350"/>
        <v>19719968.19967895</v>
      </c>
      <c r="T2654" s="754">
        <f t="shared" si="351"/>
        <v>20512459.888904318</v>
      </c>
      <c r="U2654" s="859"/>
      <c r="V2654" s="863"/>
      <c r="W2654" s="859"/>
      <c r="X2654" s="859"/>
      <c r="Y2654" s="755">
        <f t="shared" si="347"/>
        <v>0</v>
      </c>
      <c r="Z2654" s="864"/>
      <c r="AA2654" s="863"/>
      <c r="AB2654" s="756">
        <f t="shared" si="348"/>
        <v>0</v>
      </c>
      <c r="AC2654" s="859"/>
      <c r="AD2654" s="863"/>
      <c r="AE2654" s="859"/>
      <c r="AF2654" s="859"/>
      <c r="AG2654" s="864"/>
      <c r="AH2654" s="865"/>
      <c r="AI2654" s="757">
        <f t="shared" si="352"/>
        <v>19719968.19967895</v>
      </c>
      <c r="AJ2654" s="758">
        <f t="shared" si="353"/>
        <v>20512459.888904318</v>
      </c>
    </row>
    <row r="2655" spans="1:36" x14ac:dyDescent="0.2">
      <c r="A2655" s="1069" t="s">
        <v>155</v>
      </c>
      <c r="B2655" s="1070" t="s">
        <v>264</v>
      </c>
      <c r="C2655" s="1076" t="s">
        <v>882</v>
      </c>
      <c r="D2655" s="1084"/>
      <c r="E2655" s="1085">
        <v>219888</v>
      </c>
      <c r="F2655" s="1086">
        <v>9</v>
      </c>
      <c r="G2655" s="859">
        <v>11768762.370349752</v>
      </c>
      <c r="H2655" s="860">
        <v>12717070.659630606</v>
      </c>
      <c r="I2655" s="861"/>
      <c r="J2655" s="862"/>
      <c r="K2655" s="859"/>
      <c r="L2655" s="863"/>
      <c r="M2655" s="859">
        <v>13650700</v>
      </c>
      <c r="N2655" s="859"/>
      <c r="O2655" s="752">
        <f t="shared" si="346"/>
        <v>13650700</v>
      </c>
      <c r="P2655" s="862">
        <v>13997000</v>
      </c>
      <c r="Q2655" s="862">
        <v>0</v>
      </c>
      <c r="R2655" s="753">
        <f t="shared" si="349"/>
        <v>13997000</v>
      </c>
      <c r="S2655" s="752">
        <f t="shared" si="350"/>
        <v>25419462.37034975</v>
      </c>
      <c r="T2655" s="754">
        <f t="shared" si="351"/>
        <v>26714070.659630604</v>
      </c>
      <c r="U2655" s="859"/>
      <c r="V2655" s="863"/>
      <c r="W2655" s="859"/>
      <c r="X2655" s="859"/>
      <c r="Y2655" s="755">
        <f t="shared" si="347"/>
        <v>0</v>
      </c>
      <c r="Z2655" s="864"/>
      <c r="AA2655" s="863"/>
      <c r="AB2655" s="756">
        <f t="shared" si="348"/>
        <v>0</v>
      </c>
      <c r="AC2655" s="859"/>
      <c r="AD2655" s="863"/>
      <c r="AE2655" s="859"/>
      <c r="AF2655" s="859"/>
      <c r="AG2655" s="864"/>
      <c r="AH2655" s="865"/>
      <c r="AI2655" s="757">
        <f t="shared" si="352"/>
        <v>25419462.37034975</v>
      </c>
      <c r="AJ2655" s="758">
        <f t="shared" si="353"/>
        <v>26714070.659630604</v>
      </c>
    </row>
    <row r="2656" spans="1:36" x14ac:dyDescent="0.2">
      <c r="A2656" s="1069" t="s">
        <v>155</v>
      </c>
      <c r="B2656" s="1070" t="s">
        <v>264</v>
      </c>
      <c r="C2656" s="1071" t="s">
        <v>883</v>
      </c>
      <c r="D2656" s="1087"/>
      <c r="E2656" s="1085">
        <v>220057</v>
      </c>
      <c r="F2656" s="1074">
        <v>9</v>
      </c>
      <c r="G2656" s="859">
        <v>7143990.088208111</v>
      </c>
      <c r="H2656" s="860">
        <v>7480695.2398278015</v>
      </c>
      <c r="I2656" s="861"/>
      <c r="J2656" s="862"/>
      <c r="K2656" s="859"/>
      <c r="L2656" s="863"/>
      <c r="M2656" s="859">
        <v>9358600</v>
      </c>
      <c r="N2656" s="859"/>
      <c r="O2656" s="752">
        <f t="shared" si="346"/>
        <v>9358600</v>
      </c>
      <c r="P2656" s="862">
        <v>8113300</v>
      </c>
      <c r="Q2656" s="862">
        <v>0</v>
      </c>
      <c r="R2656" s="753">
        <f t="shared" si="349"/>
        <v>8113300</v>
      </c>
      <c r="S2656" s="752">
        <f t="shared" si="350"/>
        <v>16502590.088208111</v>
      </c>
      <c r="T2656" s="754">
        <f t="shared" si="351"/>
        <v>15593995.239827801</v>
      </c>
      <c r="U2656" s="859"/>
      <c r="V2656" s="863"/>
      <c r="W2656" s="859"/>
      <c r="X2656" s="859"/>
      <c r="Y2656" s="755">
        <f t="shared" si="347"/>
        <v>0</v>
      </c>
      <c r="Z2656" s="864"/>
      <c r="AA2656" s="863"/>
      <c r="AB2656" s="756">
        <f t="shared" si="348"/>
        <v>0</v>
      </c>
      <c r="AC2656" s="859"/>
      <c r="AD2656" s="863"/>
      <c r="AE2656" s="859"/>
      <c r="AF2656" s="859"/>
      <c r="AG2656" s="864"/>
      <c r="AH2656" s="865"/>
      <c r="AI2656" s="757">
        <f t="shared" si="352"/>
        <v>16502590.088208111</v>
      </c>
      <c r="AJ2656" s="758">
        <f t="shared" si="353"/>
        <v>15593995.239827801</v>
      </c>
    </row>
    <row r="2657" spans="1:36" x14ac:dyDescent="0.2">
      <c r="A2657" s="1069" t="s">
        <v>155</v>
      </c>
      <c r="B2657" s="1070" t="s">
        <v>264</v>
      </c>
      <c r="C2657" s="1076" t="s">
        <v>884</v>
      </c>
      <c r="D2657" s="1084"/>
      <c r="E2657" s="1085">
        <v>220400</v>
      </c>
      <c r="F2657" s="1086">
        <v>9</v>
      </c>
      <c r="G2657" s="859">
        <v>11304820.50162958</v>
      </c>
      <c r="H2657" s="860">
        <v>11748943.921677545</v>
      </c>
      <c r="I2657" s="861"/>
      <c r="J2657" s="862"/>
      <c r="K2657" s="859"/>
      <c r="L2657" s="863"/>
      <c r="M2657" s="859">
        <v>13568800</v>
      </c>
      <c r="N2657" s="859"/>
      <c r="O2657" s="752">
        <f t="shared" si="346"/>
        <v>13568800</v>
      </c>
      <c r="P2657" s="862">
        <v>13620600</v>
      </c>
      <c r="Q2657" s="862">
        <v>0</v>
      </c>
      <c r="R2657" s="753">
        <f t="shared" si="349"/>
        <v>13620600</v>
      </c>
      <c r="S2657" s="752">
        <f t="shared" si="350"/>
        <v>24873620.50162958</v>
      </c>
      <c r="T2657" s="754">
        <f t="shared" si="351"/>
        <v>25369543.921677545</v>
      </c>
      <c r="U2657" s="859"/>
      <c r="V2657" s="863"/>
      <c r="W2657" s="859"/>
      <c r="X2657" s="859"/>
      <c r="Y2657" s="755">
        <f t="shared" si="347"/>
        <v>0</v>
      </c>
      <c r="Z2657" s="864"/>
      <c r="AA2657" s="863"/>
      <c r="AB2657" s="756">
        <f t="shared" si="348"/>
        <v>0</v>
      </c>
      <c r="AC2657" s="859"/>
      <c r="AD2657" s="863"/>
      <c r="AE2657" s="859"/>
      <c r="AF2657" s="859"/>
      <c r="AG2657" s="864"/>
      <c r="AH2657" s="865"/>
      <c r="AI2657" s="757">
        <f t="shared" si="352"/>
        <v>24873620.50162958</v>
      </c>
      <c r="AJ2657" s="758">
        <f t="shared" si="353"/>
        <v>25369543.921677545</v>
      </c>
    </row>
    <row r="2658" spans="1:36" x14ac:dyDescent="0.2">
      <c r="A2658" s="1069" t="s">
        <v>155</v>
      </c>
      <c r="B2658" s="1070" t="s">
        <v>264</v>
      </c>
      <c r="C2658" s="1076" t="s">
        <v>885</v>
      </c>
      <c r="D2658" s="1084"/>
      <c r="E2658" s="1085">
        <v>221096</v>
      </c>
      <c r="F2658" s="1086">
        <v>9</v>
      </c>
      <c r="G2658" s="859">
        <v>10485536.956333742</v>
      </c>
      <c r="H2658" s="860">
        <v>11258285.41452576</v>
      </c>
      <c r="I2658" s="861"/>
      <c r="J2658" s="862"/>
      <c r="K2658" s="859"/>
      <c r="L2658" s="863"/>
      <c r="M2658" s="859">
        <v>12463700</v>
      </c>
      <c r="N2658" s="859"/>
      <c r="O2658" s="752">
        <f t="shared" si="346"/>
        <v>12463700</v>
      </c>
      <c r="P2658" s="862">
        <v>13236700</v>
      </c>
      <c r="Q2658" s="862">
        <v>0</v>
      </c>
      <c r="R2658" s="753">
        <f t="shared" si="349"/>
        <v>13236700</v>
      </c>
      <c r="S2658" s="752">
        <f t="shared" si="350"/>
        <v>22949236.956333742</v>
      </c>
      <c r="T2658" s="754">
        <f t="shared" si="351"/>
        <v>24494985.414525762</v>
      </c>
      <c r="U2658" s="859"/>
      <c r="V2658" s="863"/>
      <c r="W2658" s="859"/>
      <c r="X2658" s="859"/>
      <c r="Y2658" s="755">
        <f t="shared" si="347"/>
        <v>0</v>
      </c>
      <c r="Z2658" s="864"/>
      <c r="AA2658" s="863"/>
      <c r="AB2658" s="756">
        <f t="shared" si="348"/>
        <v>0</v>
      </c>
      <c r="AC2658" s="859"/>
      <c r="AD2658" s="863"/>
      <c r="AE2658" s="859"/>
      <c r="AF2658" s="859"/>
      <c r="AG2658" s="864"/>
      <c r="AH2658" s="865"/>
      <c r="AI2658" s="757">
        <f t="shared" si="352"/>
        <v>22949236.956333742</v>
      </c>
      <c r="AJ2658" s="758">
        <f t="shared" si="353"/>
        <v>24494985.414525762</v>
      </c>
    </row>
    <row r="2659" spans="1:36" x14ac:dyDescent="0.2">
      <c r="A2659" s="1069" t="s">
        <v>155</v>
      </c>
      <c r="B2659" s="1070" t="s">
        <v>264</v>
      </c>
      <c r="C2659" s="1076" t="s">
        <v>886</v>
      </c>
      <c r="D2659" s="1084"/>
      <c r="E2659" s="1085">
        <v>221908</v>
      </c>
      <c r="F2659" s="1086">
        <v>9</v>
      </c>
      <c r="G2659" s="859">
        <v>13012122.194598334</v>
      </c>
      <c r="H2659" s="860">
        <v>13919104.006388001</v>
      </c>
      <c r="I2659" s="861"/>
      <c r="J2659" s="862"/>
      <c r="K2659" s="859"/>
      <c r="L2659" s="863"/>
      <c r="M2659" s="859">
        <v>18362900</v>
      </c>
      <c r="N2659" s="859"/>
      <c r="O2659" s="752">
        <f t="shared" si="346"/>
        <v>18362900</v>
      </c>
      <c r="P2659" s="862">
        <v>17941580</v>
      </c>
      <c r="Q2659" s="862">
        <v>0</v>
      </c>
      <c r="R2659" s="753">
        <f t="shared" si="349"/>
        <v>17941580</v>
      </c>
      <c r="S2659" s="752">
        <f t="shared" si="350"/>
        <v>31375022.194598332</v>
      </c>
      <c r="T2659" s="754">
        <f t="shared" si="351"/>
        <v>31860684.006388001</v>
      </c>
      <c r="U2659" s="859"/>
      <c r="V2659" s="863"/>
      <c r="W2659" s="859"/>
      <c r="X2659" s="859"/>
      <c r="Y2659" s="755">
        <f t="shared" si="347"/>
        <v>0</v>
      </c>
      <c r="Z2659" s="864"/>
      <c r="AA2659" s="863"/>
      <c r="AB2659" s="756">
        <f t="shared" si="348"/>
        <v>0</v>
      </c>
      <c r="AC2659" s="859"/>
      <c r="AD2659" s="863"/>
      <c r="AE2659" s="859"/>
      <c r="AF2659" s="859"/>
      <c r="AG2659" s="864"/>
      <c r="AH2659" s="865"/>
      <c r="AI2659" s="757">
        <f t="shared" si="352"/>
        <v>31375022.194598332</v>
      </c>
      <c r="AJ2659" s="758">
        <f t="shared" si="353"/>
        <v>31860684.006388001</v>
      </c>
    </row>
    <row r="2660" spans="1:36" x14ac:dyDescent="0.2">
      <c r="A2660" s="1069" t="s">
        <v>155</v>
      </c>
      <c r="B2660" s="1070" t="s">
        <v>264</v>
      </c>
      <c r="C2660" s="1076" t="s">
        <v>887</v>
      </c>
      <c r="D2660" s="1084"/>
      <c r="E2660" s="1085">
        <v>221397</v>
      </c>
      <c r="F2660" s="1086">
        <v>9</v>
      </c>
      <c r="G2660" s="859">
        <v>16173651.364684867</v>
      </c>
      <c r="H2660" s="860">
        <v>16901186.059852798</v>
      </c>
      <c r="I2660" s="861"/>
      <c r="J2660" s="862"/>
      <c r="K2660" s="859"/>
      <c r="L2660" s="863"/>
      <c r="M2660" s="859">
        <v>18423500</v>
      </c>
      <c r="N2660" s="859"/>
      <c r="O2660" s="752">
        <f t="shared" si="346"/>
        <v>18423500</v>
      </c>
      <c r="P2660" s="862">
        <v>18165100</v>
      </c>
      <c r="Q2660" s="862">
        <v>0</v>
      </c>
      <c r="R2660" s="753">
        <f t="shared" si="349"/>
        <v>18165100</v>
      </c>
      <c r="S2660" s="752">
        <f t="shared" si="350"/>
        <v>34597151.364684865</v>
      </c>
      <c r="T2660" s="754">
        <f t="shared" si="351"/>
        <v>35066286.059852794</v>
      </c>
      <c r="U2660" s="859"/>
      <c r="V2660" s="863"/>
      <c r="W2660" s="859"/>
      <c r="X2660" s="859"/>
      <c r="Y2660" s="755">
        <f t="shared" si="347"/>
        <v>0</v>
      </c>
      <c r="Z2660" s="864"/>
      <c r="AA2660" s="863"/>
      <c r="AB2660" s="756">
        <f t="shared" si="348"/>
        <v>0</v>
      </c>
      <c r="AC2660" s="859"/>
      <c r="AD2660" s="863"/>
      <c r="AE2660" s="859"/>
      <c r="AF2660" s="859"/>
      <c r="AG2660" s="864"/>
      <c r="AH2660" s="865"/>
      <c r="AI2660" s="757">
        <f t="shared" si="352"/>
        <v>34597151.364684865</v>
      </c>
      <c r="AJ2660" s="758">
        <f t="shared" si="353"/>
        <v>35066286.059852794</v>
      </c>
    </row>
    <row r="2661" spans="1:36" x14ac:dyDescent="0.2">
      <c r="A2661" s="1069" t="s">
        <v>155</v>
      </c>
      <c r="B2661" s="1070" t="s">
        <v>264</v>
      </c>
      <c r="C2661" s="1076" t="s">
        <v>888</v>
      </c>
      <c r="D2661" s="1088"/>
      <c r="E2661" s="1085">
        <v>222062</v>
      </c>
      <c r="F2661" s="1086">
        <v>9</v>
      </c>
      <c r="G2661" s="859">
        <v>17297582.593545459</v>
      </c>
      <c r="H2661" s="860">
        <v>20234755.9164005</v>
      </c>
      <c r="I2661" s="861"/>
      <c r="J2661" s="862"/>
      <c r="K2661" s="859"/>
      <c r="L2661" s="863"/>
      <c r="M2661" s="859">
        <v>20451700</v>
      </c>
      <c r="N2661" s="859"/>
      <c r="O2661" s="752">
        <f t="shared" si="346"/>
        <v>20451700</v>
      </c>
      <c r="P2661" s="862">
        <v>19544400</v>
      </c>
      <c r="Q2661" s="862">
        <v>0</v>
      </c>
      <c r="R2661" s="753">
        <f t="shared" si="349"/>
        <v>19544400</v>
      </c>
      <c r="S2661" s="752">
        <f t="shared" si="350"/>
        <v>37749282.593545459</v>
      </c>
      <c r="T2661" s="754">
        <f t="shared" si="351"/>
        <v>39779155.9164005</v>
      </c>
      <c r="U2661" s="859"/>
      <c r="V2661" s="863"/>
      <c r="W2661" s="859"/>
      <c r="X2661" s="859"/>
      <c r="Y2661" s="755">
        <f t="shared" si="347"/>
        <v>0</v>
      </c>
      <c r="Z2661" s="864"/>
      <c r="AA2661" s="863"/>
      <c r="AB2661" s="756">
        <f t="shared" si="348"/>
        <v>0</v>
      </c>
      <c r="AC2661" s="859"/>
      <c r="AD2661" s="863"/>
      <c r="AE2661" s="859"/>
      <c r="AF2661" s="859"/>
      <c r="AG2661" s="864"/>
      <c r="AH2661" s="865"/>
      <c r="AI2661" s="757">
        <f t="shared" si="352"/>
        <v>37749282.593545459</v>
      </c>
      <c r="AJ2661" s="758">
        <f t="shared" si="353"/>
        <v>39779155.9164005</v>
      </c>
    </row>
    <row r="2662" spans="1:36" x14ac:dyDescent="0.2">
      <c r="A2662" s="1069" t="s">
        <v>155</v>
      </c>
      <c r="B2662" s="1070" t="s">
        <v>264</v>
      </c>
      <c r="C2662" s="1071" t="s">
        <v>889</v>
      </c>
      <c r="D2662" s="1083"/>
      <c r="E2662" s="1085" t="s">
        <v>890</v>
      </c>
      <c r="F2662" s="1187">
        <v>12</v>
      </c>
      <c r="G2662" s="867">
        <v>3225100</v>
      </c>
      <c r="H2662" s="860">
        <v>3387500</v>
      </c>
      <c r="I2662" s="861"/>
      <c r="J2662" s="862"/>
      <c r="K2662" s="859"/>
      <c r="L2662" s="863"/>
      <c r="M2662" s="859">
        <v>2368000</v>
      </c>
      <c r="N2662" s="859"/>
      <c r="O2662" s="752">
        <f t="shared" si="346"/>
        <v>2368000</v>
      </c>
      <c r="P2662" s="862">
        <v>2676000</v>
      </c>
      <c r="Q2662" s="862">
        <v>0</v>
      </c>
      <c r="R2662" s="753">
        <f t="shared" si="349"/>
        <v>2676000</v>
      </c>
      <c r="S2662" s="752">
        <f t="shared" si="350"/>
        <v>5593100</v>
      </c>
      <c r="T2662" s="754">
        <f t="shared" si="351"/>
        <v>6063500</v>
      </c>
      <c r="U2662" s="859"/>
      <c r="V2662" s="863"/>
      <c r="W2662" s="859"/>
      <c r="X2662" s="859"/>
      <c r="Y2662" s="755">
        <f t="shared" si="347"/>
        <v>0</v>
      </c>
      <c r="Z2662" s="864"/>
      <c r="AA2662" s="863"/>
      <c r="AB2662" s="756">
        <f t="shared" si="348"/>
        <v>0</v>
      </c>
      <c r="AC2662" s="859"/>
      <c r="AD2662" s="863"/>
      <c r="AE2662" s="859"/>
      <c r="AF2662" s="859"/>
      <c r="AG2662" s="864"/>
      <c r="AH2662" s="865"/>
      <c r="AI2662" s="757">
        <f t="shared" si="352"/>
        <v>5593100</v>
      </c>
      <c r="AJ2662" s="758">
        <f t="shared" si="353"/>
        <v>6063500</v>
      </c>
    </row>
    <row r="2663" spans="1:36" x14ac:dyDescent="0.2">
      <c r="A2663" s="1069" t="s">
        <v>155</v>
      </c>
      <c r="B2663" s="1070" t="s">
        <v>264</v>
      </c>
      <c r="C2663" s="1076" t="s">
        <v>891</v>
      </c>
      <c r="D2663" s="1084"/>
      <c r="E2663" s="1085">
        <v>219596</v>
      </c>
      <c r="F2663" s="1086">
        <v>13</v>
      </c>
      <c r="G2663" s="867">
        <v>1403100</v>
      </c>
      <c r="H2663" s="860">
        <v>1473700</v>
      </c>
      <c r="I2663" s="861"/>
      <c r="J2663" s="862"/>
      <c r="K2663" s="859"/>
      <c r="L2663" s="863"/>
      <c r="M2663" s="859">
        <v>553500</v>
      </c>
      <c r="N2663" s="859"/>
      <c r="O2663" s="752">
        <f t="shared" si="346"/>
        <v>553500</v>
      </c>
      <c r="P2663" s="862">
        <v>581500</v>
      </c>
      <c r="Q2663" s="862">
        <v>0</v>
      </c>
      <c r="R2663" s="753">
        <f t="shared" si="349"/>
        <v>581500</v>
      </c>
      <c r="S2663" s="752">
        <f t="shared" si="350"/>
        <v>1956600</v>
      </c>
      <c r="T2663" s="754">
        <f t="shared" si="351"/>
        <v>2055200</v>
      </c>
      <c r="U2663" s="859"/>
      <c r="V2663" s="863"/>
      <c r="W2663" s="859"/>
      <c r="X2663" s="859"/>
      <c r="Y2663" s="755">
        <f t="shared" si="347"/>
        <v>0</v>
      </c>
      <c r="Z2663" s="864"/>
      <c r="AA2663" s="863"/>
      <c r="AB2663" s="756">
        <f t="shared" si="348"/>
        <v>0</v>
      </c>
      <c r="AC2663" s="859"/>
      <c r="AD2663" s="863"/>
      <c r="AE2663" s="859"/>
      <c r="AF2663" s="859"/>
      <c r="AG2663" s="864"/>
      <c r="AH2663" s="865"/>
      <c r="AI2663" s="757">
        <f t="shared" si="352"/>
        <v>1956600</v>
      </c>
      <c r="AJ2663" s="758">
        <f t="shared" si="353"/>
        <v>2055200</v>
      </c>
    </row>
    <row r="2664" spans="1:36" x14ac:dyDescent="0.2">
      <c r="A2664" s="1069" t="s">
        <v>155</v>
      </c>
      <c r="B2664" s="1070" t="s">
        <v>264</v>
      </c>
      <c r="C2664" s="1076" t="s">
        <v>892</v>
      </c>
      <c r="D2664" s="1084"/>
      <c r="E2664" s="1085">
        <v>219921</v>
      </c>
      <c r="F2664" s="1086">
        <v>13</v>
      </c>
      <c r="G2664" s="867">
        <v>1176500</v>
      </c>
      <c r="H2664" s="860">
        <v>1235700</v>
      </c>
      <c r="I2664" s="861"/>
      <c r="J2664" s="862"/>
      <c r="K2664" s="859"/>
      <c r="L2664" s="863"/>
      <c r="M2664" s="859">
        <v>496900</v>
      </c>
      <c r="N2664" s="859"/>
      <c r="O2664" s="752">
        <f t="shared" si="346"/>
        <v>496900</v>
      </c>
      <c r="P2664" s="862">
        <v>459800</v>
      </c>
      <c r="Q2664" s="862">
        <v>0</v>
      </c>
      <c r="R2664" s="753">
        <f t="shared" si="349"/>
        <v>459800</v>
      </c>
      <c r="S2664" s="752">
        <f t="shared" si="350"/>
        <v>1673400</v>
      </c>
      <c r="T2664" s="754">
        <f t="shared" si="351"/>
        <v>1695500</v>
      </c>
      <c r="U2664" s="859"/>
      <c r="V2664" s="863"/>
      <c r="W2664" s="859"/>
      <c r="X2664" s="859"/>
      <c r="Y2664" s="755">
        <f t="shared" si="347"/>
        <v>0</v>
      </c>
      <c r="Z2664" s="864"/>
      <c r="AA2664" s="863"/>
      <c r="AB2664" s="756">
        <f t="shared" si="348"/>
        <v>0</v>
      </c>
      <c r="AC2664" s="859"/>
      <c r="AD2664" s="863"/>
      <c r="AE2664" s="859"/>
      <c r="AF2664" s="859"/>
      <c r="AG2664" s="864"/>
      <c r="AH2664" s="865"/>
      <c r="AI2664" s="757">
        <f t="shared" si="352"/>
        <v>1673400</v>
      </c>
      <c r="AJ2664" s="758">
        <f t="shared" si="353"/>
        <v>1695500</v>
      </c>
    </row>
    <row r="2665" spans="1:36" x14ac:dyDescent="0.2">
      <c r="A2665" s="1069" t="s">
        <v>155</v>
      </c>
      <c r="B2665" s="1070" t="s">
        <v>264</v>
      </c>
      <c r="C2665" s="1076" t="s">
        <v>893</v>
      </c>
      <c r="D2665" s="1084"/>
      <c r="E2665" s="1085">
        <v>221591</v>
      </c>
      <c r="F2665" s="1086">
        <v>13</v>
      </c>
      <c r="G2665" s="867">
        <v>2353500</v>
      </c>
      <c r="H2665" s="860">
        <v>2472100</v>
      </c>
      <c r="I2665" s="861"/>
      <c r="J2665" s="862"/>
      <c r="K2665" s="859"/>
      <c r="L2665" s="863"/>
      <c r="M2665" s="859">
        <v>779000</v>
      </c>
      <c r="N2665" s="859"/>
      <c r="O2665" s="752">
        <f t="shared" si="346"/>
        <v>779000</v>
      </c>
      <c r="P2665" s="862">
        <v>825000</v>
      </c>
      <c r="Q2665" s="862">
        <v>0</v>
      </c>
      <c r="R2665" s="753">
        <f t="shared" si="349"/>
        <v>825000</v>
      </c>
      <c r="S2665" s="752">
        <f t="shared" si="350"/>
        <v>3132500</v>
      </c>
      <c r="T2665" s="754">
        <f t="shared" si="351"/>
        <v>3297100</v>
      </c>
      <c r="U2665" s="859"/>
      <c r="V2665" s="863"/>
      <c r="W2665" s="859"/>
      <c r="X2665" s="859"/>
      <c r="Y2665" s="755">
        <f t="shared" si="347"/>
        <v>0</v>
      </c>
      <c r="Z2665" s="864"/>
      <c r="AA2665" s="863"/>
      <c r="AB2665" s="756">
        <f t="shared" si="348"/>
        <v>0</v>
      </c>
      <c r="AC2665" s="859"/>
      <c r="AD2665" s="863"/>
      <c r="AE2665" s="859"/>
      <c r="AF2665" s="859"/>
      <c r="AG2665" s="864"/>
      <c r="AH2665" s="865"/>
      <c r="AI2665" s="757">
        <f t="shared" si="352"/>
        <v>3132500</v>
      </c>
      <c r="AJ2665" s="758">
        <f t="shared" si="353"/>
        <v>3297100</v>
      </c>
    </row>
    <row r="2666" spans="1:36" x14ac:dyDescent="0.2">
      <c r="A2666" s="1069" t="s">
        <v>155</v>
      </c>
      <c r="B2666" s="1070" t="s">
        <v>264</v>
      </c>
      <c r="C2666" s="1076" t="s">
        <v>894</v>
      </c>
      <c r="D2666" s="1084"/>
      <c r="E2666" s="1085">
        <v>221430</v>
      </c>
      <c r="F2666" s="1086">
        <v>13</v>
      </c>
      <c r="G2666" s="867">
        <v>1620000</v>
      </c>
      <c r="H2666" s="860">
        <v>1701600</v>
      </c>
      <c r="I2666" s="861"/>
      <c r="J2666" s="862"/>
      <c r="K2666" s="859"/>
      <c r="L2666" s="863"/>
      <c r="M2666" s="859">
        <v>671600</v>
      </c>
      <c r="N2666" s="859"/>
      <c r="O2666" s="752">
        <f t="shared" si="346"/>
        <v>671600</v>
      </c>
      <c r="P2666" s="862">
        <v>745300</v>
      </c>
      <c r="Q2666" s="862">
        <v>0</v>
      </c>
      <c r="R2666" s="753">
        <f t="shared" si="349"/>
        <v>745300</v>
      </c>
      <c r="S2666" s="752">
        <f t="shared" si="350"/>
        <v>2291600</v>
      </c>
      <c r="T2666" s="754">
        <f t="shared" si="351"/>
        <v>2446900</v>
      </c>
      <c r="U2666" s="859"/>
      <c r="V2666" s="863"/>
      <c r="W2666" s="859"/>
      <c r="X2666" s="859"/>
      <c r="Y2666" s="755">
        <f t="shared" si="347"/>
        <v>0</v>
      </c>
      <c r="Z2666" s="864"/>
      <c r="AA2666" s="863"/>
      <c r="AB2666" s="756">
        <f t="shared" si="348"/>
        <v>0</v>
      </c>
      <c r="AC2666" s="859"/>
      <c r="AD2666" s="863"/>
      <c r="AE2666" s="859"/>
      <c r="AF2666" s="859"/>
      <c r="AG2666" s="864"/>
      <c r="AH2666" s="865"/>
      <c r="AI2666" s="757">
        <f t="shared" si="352"/>
        <v>2291600</v>
      </c>
      <c r="AJ2666" s="758">
        <f t="shared" si="353"/>
        <v>2446900</v>
      </c>
    </row>
    <row r="2667" spans="1:36" x14ac:dyDescent="0.2">
      <c r="A2667" s="1069" t="s">
        <v>155</v>
      </c>
      <c r="B2667" s="1070" t="s">
        <v>264</v>
      </c>
      <c r="C2667" s="1076" t="s">
        <v>895</v>
      </c>
      <c r="D2667" s="1084"/>
      <c r="E2667" s="1085">
        <v>219994</v>
      </c>
      <c r="F2667" s="1086">
        <v>13</v>
      </c>
      <c r="G2667" s="867">
        <v>2398000</v>
      </c>
      <c r="H2667" s="860">
        <v>2518800</v>
      </c>
      <c r="I2667" s="861"/>
      <c r="J2667" s="862"/>
      <c r="K2667" s="859"/>
      <c r="L2667" s="863"/>
      <c r="M2667" s="859">
        <v>1345000</v>
      </c>
      <c r="N2667" s="859"/>
      <c r="O2667" s="752">
        <f t="shared" si="346"/>
        <v>1345000</v>
      </c>
      <c r="P2667" s="862">
        <v>1371500</v>
      </c>
      <c r="Q2667" s="862">
        <v>0</v>
      </c>
      <c r="R2667" s="753">
        <f t="shared" si="349"/>
        <v>1371500</v>
      </c>
      <c r="S2667" s="752">
        <f t="shared" si="350"/>
        <v>3743000</v>
      </c>
      <c r="T2667" s="754">
        <f t="shared" si="351"/>
        <v>3890300</v>
      </c>
      <c r="U2667" s="859"/>
      <c r="V2667" s="863"/>
      <c r="W2667" s="859"/>
      <c r="X2667" s="859"/>
      <c r="Y2667" s="755">
        <f t="shared" si="347"/>
        <v>0</v>
      </c>
      <c r="Z2667" s="864"/>
      <c r="AA2667" s="863"/>
      <c r="AB2667" s="756">
        <f t="shared" si="348"/>
        <v>0</v>
      </c>
      <c r="AC2667" s="859"/>
      <c r="AD2667" s="863"/>
      <c r="AE2667" s="859"/>
      <c r="AF2667" s="859"/>
      <c r="AG2667" s="864"/>
      <c r="AH2667" s="865"/>
      <c r="AI2667" s="757">
        <f t="shared" si="352"/>
        <v>3743000</v>
      </c>
      <c r="AJ2667" s="758">
        <f t="shared" si="353"/>
        <v>3890300</v>
      </c>
    </row>
    <row r="2668" spans="1:36" x14ac:dyDescent="0.2">
      <c r="A2668" s="1069" t="s">
        <v>155</v>
      </c>
      <c r="B2668" s="1070" t="s">
        <v>264</v>
      </c>
      <c r="C2668" s="1076" t="s">
        <v>896</v>
      </c>
      <c r="D2668" s="1084"/>
      <c r="E2668" s="1085">
        <v>220127</v>
      </c>
      <c r="F2668" s="1086">
        <v>13</v>
      </c>
      <c r="G2668" s="867">
        <v>1551400</v>
      </c>
      <c r="H2668" s="860">
        <v>1629500</v>
      </c>
      <c r="I2668" s="861"/>
      <c r="J2668" s="862"/>
      <c r="K2668" s="859"/>
      <c r="L2668" s="863"/>
      <c r="M2668" s="859">
        <v>1401350</v>
      </c>
      <c r="N2668" s="859"/>
      <c r="O2668" s="752">
        <f t="shared" si="346"/>
        <v>1401350</v>
      </c>
      <c r="P2668" s="862">
        <v>1444800</v>
      </c>
      <c r="Q2668" s="862">
        <v>0</v>
      </c>
      <c r="R2668" s="753">
        <f t="shared" si="349"/>
        <v>1444800</v>
      </c>
      <c r="S2668" s="752">
        <f t="shared" si="350"/>
        <v>2952750</v>
      </c>
      <c r="T2668" s="754">
        <f t="shared" si="351"/>
        <v>3074300</v>
      </c>
      <c r="U2668" s="859"/>
      <c r="V2668" s="863"/>
      <c r="W2668" s="859"/>
      <c r="X2668" s="859"/>
      <c r="Y2668" s="755">
        <f t="shared" si="347"/>
        <v>0</v>
      </c>
      <c r="Z2668" s="864"/>
      <c r="AA2668" s="863"/>
      <c r="AB2668" s="756">
        <f t="shared" si="348"/>
        <v>0</v>
      </c>
      <c r="AC2668" s="859"/>
      <c r="AD2668" s="863"/>
      <c r="AE2668" s="859"/>
      <c r="AF2668" s="859"/>
      <c r="AG2668" s="864"/>
      <c r="AH2668" s="865"/>
      <c r="AI2668" s="757">
        <f t="shared" si="352"/>
        <v>2952750</v>
      </c>
      <c r="AJ2668" s="758">
        <f t="shared" si="353"/>
        <v>3074300</v>
      </c>
    </row>
    <row r="2669" spans="1:36" x14ac:dyDescent="0.2">
      <c r="A2669" s="1069" t="s">
        <v>155</v>
      </c>
      <c r="B2669" s="1070" t="s">
        <v>264</v>
      </c>
      <c r="C2669" s="1076" t="s">
        <v>897</v>
      </c>
      <c r="D2669" s="1084"/>
      <c r="E2669" s="1085">
        <v>220251</v>
      </c>
      <c r="F2669" s="1086">
        <v>13</v>
      </c>
      <c r="G2669" s="867">
        <v>1447900</v>
      </c>
      <c r="H2669" s="860">
        <v>1520900</v>
      </c>
      <c r="I2669" s="861"/>
      <c r="J2669" s="862"/>
      <c r="K2669" s="859"/>
      <c r="L2669" s="863"/>
      <c r="M2669" s="859">
        <v>647400</v>
      </c>
      <c r="N2669" s="859"/>
      <c r="O2669" s="752">
        <f t="shared" si="346"/>
        <v>647400</v>
      </c>
      <c r="P2669" s="862">
        <v>744900</v>
      </c>
      <c r="Q2669" s="862">
        <v>0</v>
      </c>
      <c r="R2669" s="753">
        <f t="shared" si="349"/>
        <v>744900</v>
      </c>
      <c r="S2669" s="752">
        <f t="shared" si="350"/>
        <v>2095300</v>
      </c>
      <c r="T2669" s="754">
        <f t="shared" si="351"/>
        <v>2265800</v>
      </c>
      <c r="U2669" s="859"/>
      <c r="V2669" s="863"/>
      <c r="W2669" s="859"/>
      <c r="X2669" s="859"/>
      <c r="Y2669" s="755">
        <f t="shared" si="347"/>
        <v>0</v>
      </c>
      <c r="Z2669" s="864"/>
      <c r="AA2669" s="863"/>
      <c r="AB2669" s="756">
        <f t="shared" si="348"/>
        <v>0</v>
      </c>
      <c r="AC2669" s="859"/>
      <c r="AD2669" s="863"/>
      <c r="AE2669" s="859"/>
      <c r="AF2669" s="859"/>
      <c r="AG2669" s="864"/>
      <c r="AH2669" s="865"/>
      <c r="AI2669" s="757">
        <f t="shared" si="352"/>
        <v>2095300</v>
      </c>
      <c r="AJ2669" s="758">
        <f t="shared" si="353"/>
        <v>2265800</v>
      </c>
    </row>
    <row r="2670" spans="1:36" x14ac:dyDescent="0.2">
      <c r="A2670" s="1069" t="s">
        <v>155</v>
      </c>
      <c r="B2670" s="1070" t="s">
        <v>264</v>
      </c>
      <c r="C2670" s="1076" t="s">
        <v>898</v>
      </c>
      <c r="D2670" s="1084"/>
      <c r="E2670" s="1085">
        <v>220279</v>
      </c>
      <c r="F2670" s="1086">
        <v>13</v>
      </c>
      <c r="G2670" s="867">
        <v>1151800</v>
      </c>
      <c r="H2670" s="860">
        <v>1209800</v>
      </c>
      <c r="I2670" s="861"/>
      <c r="J2670" s="862"/>
      <c r="K2670" s="859"/>
      <c r="L2670" s="863"/>
      <c r="M2670" s="859">
        <v>935700</v>
      </c>
      <c r="N2670" s="859"/>
      <c r="O2670" s="752">
        <f t="shared" si="346"/>
        <v>935700</v>
      </c>
      <c r="P2670" s="862">
        <v>901200</v>
      </c>
      <c r="Q2670" s="862">
        <v>0</v>
      </c>
      <c r="R2670" s="753">
        <f t="shared" si="349"/>
        <v>901200</v>
      </c>
      <c r="S2670" s="752">
        <f t="shared" si="350"/>
        <v>2087500</v>
      </c>
      <c r="T2670" s="754">
        <f t="shared" si="351"/>
        <v>2111000</v>
      </c>
      <c r="U2670" s="859"/>
      <c r="V2670" s="863"/>
      <c r="W2670" s="859"/>
      <c r="X2670" s="859"/>
      <c r="Y2670" s="755">
        <f t="shared" si="347"/>
        <v>0</v>
      </c>
      <c r="Z2670" s="864"/>
      <c r="AA2670" s="863"/>
      <c r="AB2670" s="756">
        <f t="shared" si="348"/>
        <v>0</v>
      </c>
      <c r="AC2670" s="859"/>
      <c r="AD2670" s="863"/>
      <c r="AE2670" s="859"/>
      <c r="AF2670" s="859"/>
      <c r="AG2670" s="864"/>
      <c r="AH2670" s="865"/>
      <c r="AI2670" s="757">
        <f t="shared" si="352"/>
        <v>2087500</v>
      </c>
      <c r="AJ2670" s="758">
        <f t="shared" si="353"/>
        <v>2111000</v>
      </c>
    </row>
    <row r="2671" spans="1:36" x14ac:dyDescent="0.2">
      <c r="A2671" s="1069" t="s">
        <v>155</v>
      </c>
      <c r="B2671" s="1070" t="s">
        <v>264</v>
      </c>
      <c r="C2671" s="1076" t="s">
        <v>899</v>
      </c>
      <c r="D2671" s="1084"/>
      <c r="E2671" s="1085">
        <v>220321</v>
      </c>
      <c r="F2671" s="1086">
        <v>13</v>
      </c>
      <c r="G2671" s="867">
        <v>1575600</v>
      </c>
      <c r="H2671" s="860">
        <v>1654900</v>
      </c>
      <c r="I2671" s="861"/>
      <c r="J2671" s="862"/>
      <c r="K2671" s="859"/>
      <c r="L2671" s="863"/>
      <c r="M2671" s="859">
        <v>1052300</v>
      </c>
      <c r="N2671" s="859"/>
      <c r="O2671" s="752">
        <f t="shared" si="346"/>
        <v>1052300</v>
      </c>
      <c r="P2671" s="862">
        <v>930700</v>
      </c>
      <c r="Q2671" s="862">
        <v>0</v>
      </c>
      <c r="R2671" s="753">
        <f t="shared" si="349"/>
        <v>930700</v>
      </c>
      <c r="S2671" s="752">
        <f t="shared" si="350"/>
        <v>2627900</v>
      </c>
      <c r="T2671" s="754">
        <f t="shared" si="351"/>
        <v>2585600</v>
      </c>
      <c r="U2671" s="859"/>
      <c r="V2671" s="863"/>
      <c r="W2671" s="859"/>
      <c r="X2671" s="859"/>
      <c r="Y2671" s="755">
        <f t="shared" si="347"/>
        <v>0</v>
      </c>
      <c r="Z2671" s="864"/>
      <c r="AA2671" s="863"/>
      <c r="AB2671" s="756">
        <f t="shared" si="348"/>
        <v>0</v>
      </c>
      <c r="AC2671" s="859"/>
      <c r="AD2671" s="863"/>
      <c r="AE2671" s="859"/>
      <c r="AF2671" s="859"/>
      <c r="AG2671" s="864"/>
      <c r="AH2671" s="865"/>
      <c r="AI2671" s="757">
        <f t="shared" si="352"/>
        <v>2627900</v>
      </c>
      <c r="AJ2671" s="758">
        <f t="shared" si="353"/>
        <v>2585600</v>
      </c>
    </row>
    <row r="2672" spans="1:36" x14ac:dyDescent="0.2">
      <c r="A2672" s="1069" t="s">
        <v>155</v>
      </c>
      <c r="B2672" s="1070" t="s">
        <v>264</v>
      </c>
      <c r="C2672" s="1076" t="s">
        <v>900</v>
      </c>
      <c r="D2672" s="1084"/>
      <c r="E2672" s="1085">
        <v>220394</v>
      </c>
      <c r="F2672" s="1086">
        <v>13</v>
      </c>
      <c r="G2672" s="867">
        <v>1351200</v>
      </c>
      <c r="H2672" s="860">
        <v>1419200</v>
      </c>
      <c r="I2672" s="861"/>
      <c r="J2672" s="862"/>
      <c r="K2672" s="859"/>
      <c r="L2672" s="863"/>
      <c r="M2672" s="859">
        <v>403400</v>
      </c>
      <c r="N2672" s="859"/>
      <c r="O2672" s="752">
        <f t="shared" si="346"/>
        <v>403400</v>
      </c>
      <c r="P2672" s="862">
        <v>405800</v>
      </c>
      <c r="Q2672" s="862">
        <v>0</v>
      </c>
      <c r="R2672" s="753">
        <f t="shared" si="349"/>
        <v>405800</v>
      </c>
      <c r="S2672" s="752">
        <f t="shared" si="350"/>
        <v>1754600</v>
      </c>
      <c r="T2672" s="754">
        <f t="shared" si="351"/>
        <v>1825000</v>
      </c>
      <c r="U2672" s="859"/>
      <c r="V2672" s="863"/>
      <c r="W2672" s="859"/>
      <c r="X2672" s="859"/>
      <c r="Y2672" s="755">
        <f t="shared" si="347"/>
        <v>0</v>
      </c>
      <c r="Z2672" s="864"/>
      <c r="AA2672" s="863"/>
      <c r="AB2672" s="756">
        <f t="shared" si="348"/>
        <v>0</v>
      </c>
      <c r="AC2672" s="859"/>
      <c r="AD2672" s="863"/>
      <c r="AE2672" s="859"/>
      <c r="AF2672" s="859"/>
      <c r="AG2672" s="864"/>
      <c r="AH2672" s="865"/>
      <c r="AI2672" s="757">
        <f t="shared" si="352"/>
        <v>1754600</v>
      </c>
      <c r="AJ2672" s="758">
        <f t="shared" si="353"/>
        <v>1825000</v>
      </c>
    </row>
    <row r="2673" spans="1:36" x14ac:dyDescent="0.2">
      <c r="A2673" s="1069" t="s">
        <v>155</v>
      </c>
      <c r="B2673" s="1070" t="s">
        <v>264</v>
      </c>
      <c r="C2673" s="1076" t="s">
        <v>901</v>
      </c>
      <c r="D2673" s="1084"/>
      <c r="E2673" s="1085">
        <v>221616</v>
      </c>
      <c r="F2673" s="1086">
        <v>13</v>
      </c>
      <c r="G2673" s="867">
        <v>3113200</v>
      </c>
      <c r="H2673" s="860">
        <v>3269900</v>
      </c>
      <c r="I2673" s="861"/>
      <c r="J2673" s="862"/>
      <c r="K2673" s="859"/>
      <c r="L2673" s="863"/>
      <c r="M2673" s="859">
        <v>1348100</v>
      </c>
      <c r="N2673" s="859"/>
      <c r="O2673" s="752">
        <f t="shared" si="346"/>
        <v>1348100</v>
      </c>
      <c r="P2673" s="862">
        <v>1339500</v>
      </c>
      <c r="Q2673" s="862">
        <v>0</v>
      </c>
      <c r="R2673" s="753">
        <f t="shared" si="349"/>
        <v>1339500</v>
      </c>
      <c r="S2673" s="752">
        <f t="shared" si="350"/>
        <v>4461300</v>
      </c>
      <c r="T2673" s="754">
        <f t="shared" si="351"/>
        <v>4609400</v>
      </c>
      <c r="U2673" s="859"/>
      <c r="V2673" s="863"/>
      <c r="W2673" s="859"/>
      <c r="X2673" s="859"/>
      <c r="Y2673" s="755">
        <f t="shared" si="347"/>
        <v>0</v>
      </c>
      <c r="Z2673" s="864"/>
      <c r="AA2673" s="863"/>
      <c r="AB2673" s="756">
        <f t="shared" si="348"/>
        <v>0</v>
      </c>
      <c r="AC2673" s="859"/>
      <c r="AD2673" s="863"/>
      <c r="AE2673" s="859"/>
      <c r="AF2673" s="859"/>
      <c r="AG2673" s="864"/>
      <c r="AH2673" s="865"/>
      <c r="AI2673" s="757">
        <f t="shared" si="352"/>
        <v>4461300</v>
      </c>
      <c r="AJ2673" s="758">
        <f t="shared" si="353"/>
        <v>4609400</v>
      </c>
    </row>
    <row r="2674" spans="1:36" x14ac:dyDescent="0.2">
      <c r="A2674" s="1069" t="s">
        <v>155</v>
      </c>
      <c r="B2674" s="1070" t="s">
        <v>264</v>
      </c>
      <c r="C2674" s="1076" t="s">
        <v>902</v>
      </c>
      <c r="D2674" s="1084"/>
      <c r="E2674" s="1085">
        <v>221625</v>
      </c>
      <c r="F2674" s="1086">
        <v>13</v>
      </c>
      <c r="G2674" s="867">
        <v>3259800</v>
      </c>
      <c r="H2674" s="860">
        <v>3424000</v>
      </c>
      <c r="I2674" s="861"/>
      <c r="J2674" s="862"/>
      <c r="K2674" s="859"/>
      <c r="L2674" s="863"/>
      <c r="M2674" s="859">
        <v>1747500</v>
      </c>
      <c r="N2674" s="859"/>
      <c r="O2674" s="752">
        <f t="shared" si="346"/>
        <v>1747500</v>
      </c>
      <c r="P2674" s="862">
        <v>1761500</v>
      </c>
      <c r="Q2674" s="862">
        <v>0</v>
      </c>
      <c r="R2674" s="753">
        <f t="shared" si="349"/>
        <v>1761500</v>
      </c>
      <c r="S2674" s="752">
        <f t="shared" si="350"/>
        <v>5007300</v>
      </c>
      <c r="T2674" s="754">
        <f t="shared" si="351"/>
        <v>5185500</v>
      </c>
      <c r="U2674" s="859"/>
      <c r="V2674" s="863"/>
      <c r="W2674" s="859"/>
      <c r="X2674" s="859"/>
      <c r="Y2674" s="755">
        <f t="shared" si="347"/>
        <v>0</v>
      </c>
      <c r="Z2674" s="864"/>
      <c r="AA2674" s="863"/>
      <c r="AB2674" s="756">
        <f t="shared" si="348"/>
        <v>0</v>
      </c>
      <c r="AC2674" s="859"/>
      <c r="AD2674" s="863"/>
      <c r="AE2674" s="859"/>
      <c r="AF2674" s="859"/>
      <c r="AG2674" s="864"/>
      <c r="AH2674" s="865"/>
      <c r="AI2674" s="757">
        <f t="shared" si="352"/>
        <v>5007300</v>
      </c>
      <c r="AJ2674" s="758">
        <f t="shared" si="353"/>
        <v>5185500</v>
      </c>
    </row>
    <row r="2675" spans="1:36" x14ac:dyDescent="0.2">
      <c r="A2675" s="1069" t="s">
        <v>155</v>
      </c>
      <c r="B2675" s="1070" t="s">
        <v>264</v>
      </c>
      <c r="C2675" s="1076" t="s">
        <v>903</v>
      </c>
      <c r="D2675" s="1084"/>
      <c r="E2675" s="1085">
        <v>220640</v>
      </c>
      <c r="F2675" s="1086">
        <v>13</v>
      </c>
      <c r="G2675" s="867">
        <v>2168800</v>
      </c>
      <c r="H2675" s="860">
        <v>2278100</v>
      </c>
      <c r="I2675" s="861"/>
      <c r="J2675" s="862"/>
      <c r="K2675" s="859"/>
      <c r="L2675" s="863"/>
      <c r="M2675" s="859">
        <v>948100</v>
      </c>
      <c r="N2675" s="859"/>
      <c r="O2675" s="752">
        <f t="shared" si="346"/>
        <v>948100</v>
      </c>
      <c r="P2675" s="862">
        <v>955600</v>
      </c>
      <c r="Q2675" s="862">
        <v>0</v>
      </c>
      <c r="R2675" s="753">
        <f t="shared" si="349"/>
        <v>955600</v>
      </c>
      <c r="S2675" s="752">
        <f t="shared" si="350"/>
        <v>3116900</v>
      </c>
      <c r="T2675" s="754">
        <f t="shared" si="351"/>
        <v>3233700</v>
      </c>
      <c r="U2675" s="859"/>
      <c r="V2675" s="863"/>
      <c r="W2675" s="859"/>
      <c r="X2675" s="859"/>
      <c r="Y2675" s="755">
        <f t="shared" si="347"/>
        <v>0</v>
      </c>
      <c r="Z2675" s="864"/>
      <c r="AA2675" s="863"/>
      <c r="AB2675" s="756">
        <f t="shared" si="348"/>
        <v>0</v>
      </c>
      <c r="AC2675" s="859"/>
      <c r="AD2675" s="863"/>
      <c r="AE2675" s="859"/>
      <c r="AF2675" s="859"/>
      <c r="AG2675" s="864"/>
      <c r="AH2675" s="865"/>
      <c r="AI2675" s="757">
        <f t="shared" si="352"/>
        <v>3116900</v>
      </c>
      <c r="AJ2675" s="758">
        <f t="shared" si="353"/>
        <v>3233700</v>
      </c>
    </row>
    <row r="2676" spans="1:36" x14ac:dyDescent="0.2">
      <c r="A2676" s="1069" t="s">
        <v>155</v>
      </c>
      <c r="B2676" s="1070" t="s">
        <v>264</v>
      </c>
      <c r="C2676" s="1076" t="s">
        <v>904</v>
      </c>
      <c r="D2676" s="1084"/>
      <c r="E2676" s="1085">
        <v>220756</v>
      </c>
      <c r="F2676" s="1086">
        <v>13</v>
      </c>
      <c r="G2676" s="867">
        <v>1299200</v>
      </c>
      <c r="H2676" s="860">
        <v>1364700</v>
      </c>
      <c r="I2676" s="861"/>
      <c r="J2676" s="862"/>
      <c r="K2676" s="859"/>
      <c r="L2676" s="863"/>
      <c r="M2676" s="859">
        <v>658000</v>
      </c>
      <c r="N2676" s="859"/>
      <c r="O2676" s="752">
        <f t="shared" si="346"/>
        <v>658000</v>
      </c>
      <c r="P2676" s="862">
        <v>667800</v>
      </c>
      <c r="Q2676" s="862">
        <v>0</v>
      </c>
      <c r="R2676" s="753">
        <f t="shared" si="349"/>
        <v>667800</v>
      </c>
      <c r="S2676" s="752">
        <f t="shared" si="350"/>
        <v>1957200</v>
      </c>
      <c r="T2676" s="754">
        <f t="shared" si="351"/>
        <v>2032500</v>
      </c>
      <c r="U2676" s="859"/>
      <c r="V2676" s="863"/>
      <c r="W2676" s="859"/>
      <c r="X2676" s="859"/>
      <c r="Y2676" s="755">
        <f t="shared" si="347"/>
        <v>0</v>
      </c>
      <c r="Z2676" s="864"/>
      <c r="AA2676" s="863"/>
      <c r="AB2676" s="756">
        <f t="shared" si="348"/>
        <v>0</v>
      </c>
      <c r="AC2676" s="859"/>
      <c r="AD2676" s="863"/>
      <c r="AE2676" s="859"/>
      <c r="AF2676" s="859"/>
      <c r="AG2676" s="864"/>
      <c r="AH2676" s="865"/>
      <c r="AI2676" s="757">
        <f t="shared" si="352"/>
        <v>1957200</v>
      </c>
      <c r="AJ2676" s="758">
        <f t="shared" si="353"/>
        <v>2032500</v>
      </c>
    </row>
    <row r="2677" spans="1:36" x14ac:dyDescent="0.2">
      <c r="A2677" s="1069" t="s">
        <v>155</v>
      </c>
      <c r="B2677" s="1070" t="s">
        <v>264</v>
      </c>
      <c r="C2677" s="1076" t="s">
        <v>905</v>
      </c>
      <c r="D2677" s="1084"/>
      <c r="E2677" s="1085">
        <v>221607</v>
      </c>
      <c r="F2677" s="1086">
        <v>13</v>
      </c>
      <c r="G2677" s="867">
        <v>1424000</v>
      </c>
      <c r="H2677" s="860">
        <v>1495800</v>
      </c>
      <c r="I2677" s="861"/>
      <c r="J2677" s="862"/>
      <c r="K2677" s="859"/>
      <c r="L2677" s="863"/>
      <c r="M2677" s="859">
        <v>612000</v>
      </c>
      <c r="N2677" s="859"/>
      <c r="O2677" s="752">
        <f t="shared" si="346"/>
        <v>612000</v>
      </c>
      <c r="P2677" s="862">
        <v>638900</v>
      </c>
      <c r="Q2677" s="862">
        <v>0</v>
      </c>
      <c r="R2677" s="753">
        <f t="shared" si="349"/>
        <v>638900</v>
      </c>
      <c r="S2677" s="752">
        <f t="shared" si="350"/>
        <v>2036000</v>
      </c>
      <c r="T2677" s="754">
        <f t="shared" si="351"/>
        <v>2134700</v>
      </c>
      <c r="U2677" s="859"/>
      <c r="V2677" s="863"/>
      <c r="W2677" s="859"/>
      <c r="X2677" s="859"/>
      <c r="Y2677" s="755">
        <f t="shared" si="347"/>
        <v>0</v>
      </c>
      <c r="Z2677" s="864"/>
      <c r="AA2677" s="863"/>
      <c r="AB2677" s="756">
        <f t="shared" si="348"/>
        <v>0</v>
      </c>
      <c r="AC2677" s="859"/>
      <c r="AD2677" s="863"/>
      <c r="AE2677" s="859"/>
      <c r="AF2677" s="859"/>
      <c r="AG2677" s="864"/>
      <c r="AH2677" s="865"/>
      <c r="AI2677" s="757">
        <f t="shared" si="352"/>
        <v>2036000</v>
      </c>
      <c r="AJ2677" s="758">
        <f t="shared" si="353"/>
        <v>2134700</v>
      </c>
    </row>
    <row r="2678" spans="1:36" x14ac:dyDescent="0.2">
      <c r="A2678" s="1069" t="s">
        <v>155</v>
      </c>
      <c r="B2678" s="1070" t="s">
        <v>264</v>
      </c>
      <c r="C2678" s="1089" t="s">
        <v>906</v>
      </c>
      <c r="D2678" s="1088"/>
      <c r="E2678" s="1085">
        <v>220853</v>
      </c>
      <c r="F2678" s="1086">
        <v>13</v>
      </c>
      <c r="G2678" s="867">
        <v>4310600</v>
      </c>
      <c r="H2678" s="860">
        <v>4527800</v>
      </c>
      <c r="I2678" s="861"/>
      <c r="J2678" s="862"/>
      <c r="K2678" s="859"/>
      <c r="L2678" s="863"/>
      <c r="M2678" s="859">
        <v>2358700</v>
      </c>
      <c r="N2678" s="859"/>
      <c r="O2678" s="752">
        <f t="shared" si="346"/>
        <v>2358700</v>
      </c>
      <c r="P2678" s="862">
        <v>2425050</v>
      </c>
      <c r="Q2678" s="862">
        <v>0</v>
      </c>
      <c r="R2678" s="753">
        <f t="shared" si="349"/>
        <v>2425050</v>
      </c>
      <c r="S2678" s="752">
        <f t="shared" si="350"/>
        <v>6669300</v>
      </c>
      <c r="T2678" s="754">
        <f t="shared" si="351"/>
        <v>6952850</v>
      </c>
      <c r="U2678" s="859"/>
      <c r="V2678" s="863"/>
      <c r="W2678" s="859"/>
      <c r="X2678" s="859"/>
      <c r="Y2678" s="755">
        <f t="shared" si="347"/>
        <v>0</v>
      </c>
      <c r="Z2678" s="864"/>
      <c r="AA2678" s="863"/>
      <c r="AB2678" s="756">
        <f t="shared" si="348"/>
        <v>0</v>
      </c>
      <c r="AC2678" s="859"/>
      <c r="AD2678" s="863"/>
      <c r="AE2678" s="859"/>
      <c r="AF2678" s="859"/>
      <c r="AG2678" s="864"/>
      <c r="AH2678" s="865"/>
      <c r="AI2678" s="757">
        <f t="shared" si="352"/>
        <v>6669300</v>
      </c>
      <c r="AJ2678" s="758">
        <f t="shared" si="353"/>
        <v>6952850</v>
      </c>
    </row>
    <row r="2679" spans="1:36" x14ac:dyDescent="0.2">
      <c r="A2679" s="1069" t="s">
        <v>155</v>
      </c>
      <c r="B2679" s="1070" t="s">
        <v>264</v>
      </c>
      <c r="C2679" s="1076" t="s">
        <v>907</v>
      </c>
      <c r="D2679" s="1084"/>
      <c r="E2679" s="1085">
        <v>221050</v>
      </c>
      <c r="F2679" s="1086">
        <v>13</v>
      </c>
      <c r="G2679" s="867">
        <v>3980900</v>
      </c>
      <c r="H2679" s="860">
        <v>4181400</v>
      </c>
      <c r="I2679" s="861"/>
      <c r="J2679" s="862"/>
      <c r="K2679" s="859"/>
      <c r="L2679" s="863"/>
      <c r="M2679" s="859">
        <v>1554000</v>
      </c>
      <c r="N2679" s="859"/>
      <c r="O2679" s="752">
        <f t="shared" si="346"/>
        <v>1554000</v>
      </c>
      <c r="P2679" s="862">
        <v>1561000</v>
      </c>
      <c r="Q2679" s="862">
        <v>0</v>
      </c>
      <c r="R2679" s="753">
        <f t="shared" si="349"/>
        <v>1561000</v>
      </c>
      <c r="S2679" s="752">
        <f t="shared" si="350"/>
        <v>5534900</v>
      </c>
      <c r="T2679" s="754">
        <f t="shared" si="351"/>
        <v>5742400</v>
      </c>
      <c r="U2679" s="859"/>
      <c r="V2679" s="863"/>
      <c r="W2679" s="859"/>
      <c r="X2679" s="859"/>
      <c r="Y2679" s="755">
        <f t="shared" si="347"/>
        <v>0</v>
      </c>
      <c r="Z2679" s="864"/>
      <c r="AA2679" s="863"/>
      <c r="AB2679" s="756">
        <f t="shared" si="348"/>
        <v>0</v>
      </c>
      <c r="AC2679" s="859"/>
      <c r="AD2679" s="863"/>
      <c r="AE2679" s="859"/>
      <c r="AF2679" s="859"/>
      <c r="AG2679" s="864"/>
      <c r="AH2679" s="865"/>
      <c r="AI2679" s="757">
        <f t="shared" si="352"/>
        <v>5534900</v>
      </c>
      <c r="AJ2679" s="758">
        <f t="shared" si="353"/>
        <v>5742400</v>
      </c>
    </row>
    <row r="2680" spans="1:36" x14ac:dyDescent="0.2">
      <c r="A2680" s="1069" t="s">
        <v>155</v>
      </c>
      <c r="B2680" s="1070" t="s">
        <v>264</v>
      </c>
      <c r="C2680" s="1076" t="s">
        <v>908</v>
      </c>
      <c r="D2680" s="1084"/>
      <c r="E2680" s="1085">
        <v>221102</v>
      </c>
      <c r="F2680" s="1086">
        <v>13</v>
      </c>
      <c r="G2680" s="867">
        <v>1763100</v>
      </c>
      <c r="H2680" s="860">
        <v>1851800</v>
      </c>
      <c r="I2680" s="861"/>
      <c r="J2680" s="862"/>
      <c r="K2680" s="859"/>
      <c r="L2680" s="863"/>
      <c r="M2680" s="859">
        <v>1107900</v>
      </c>
      <c r="N2680" s="859"/>
      <c r="O2680" s="752">
        <f t="shared" si="346"/>
        <v>1107900</v>
      </c>
      <c r="P2680" s="862">
        <v>1136600</v>
      </c>
      <c r="Q2680" s="862">
        <v>0</v>
      </c>
      <c r="R2680" s="753">
        <f t="shared" si="349"/>
        <v>1136600</v>
      </c>
      <c r="S2680" s="752">
        <f t="shared" si="350"/>
        <v>2871000</v>
      </c>
      <c r="T2680" s="754">
        <f t="shared" si="351"/>
        <v>2988400</v>
      </c>
      <c r="U2680" s="859"/>
      <c r="V2680" s="863"/>
      <c r="W2680" s="859"/>
      <c r="X2680" s="859"/>
      <c r="Y2680" s="755">
        <f t="shared" si="347"/>
        <v>0</v>
      </c>
      <c r="Z2680" s="864"/>
      <c r="AA2680" s="863"/>
      <c r="AB2680" s="756">
        <f t="shared" si="348"/>
        <v>0</v>
      </c>
      <c r="AC2680" s="859"/>
      <c r="AD2680" s="863"/>
      <c r="AE2680" s="859"/>
      <c r="AF2680" s="859"/>
      <c r="AG2680" s="864"/>
      <c r="AH2680" s="865"/>
      <c r="AI2680" s="757">
        <f t="shared" si="352"/>
        <v>2871000</v>
      </c>
      <c r="AJ2680" s="758">
        <f t="shared" si="353"/>
        <v>2988400</v>
      </c>
    </row>
    <row r="2681" spans="1:36" x14ac:dyDescent="0.2">
      <c r="A2681" s="1069" t="s">
        <v>155</v>
      </c>
      <c r="B2681" s="1070" t="s">
        <v>264</v>
      </c>
      <c r="C2681" s="1076" t="s">
        <v>909</v>
      </c>
      <c r="D2681" s="1088"/>
      <c r="E2681" s="1085">
        <v>248925</v>
      </c>
      <c r="F2681" s="1086">
        <v>13</v>
      </c>
      <c r="G2681" s="867">
        <v>3732000</v>
      </c>
      <c r="H2681" s="860">
        <v>3920000</v>
      </c>
      <c r="I2681" s="861"/>
      <c r="J2681" s="862"/>
      <c r="K2681" s="859"/>
      <c r="L2681" s="863"/>
      <c r="M2681" s="859">
        <v>2323800</v>
      </c>
      <c r="N2681" s="859"/>
      <c r="O2681" s="752">
        <f t="shared" si="346"/>
        <v>2323800</v>
      </c>
      <c r="P2681" s="862">
        <v>2166300</v>
      </c>
      <c r="Q2681" s="862">
        <v>0</v>
      </c>
      <c r="R2681" s="753">
        <f t="shared" si="349"/>
        <v>2166300</v>
      </c>
      <c r="S2681" s="752">
        <f t="shared" si="350"/>
        <v>6055800</v>
      </c>
      <c r="T2681" s="754">
        <f t="shared" si="351"/>
        <v>6086300</v>
      </c>
      <c r="U2681" s="859"/>
      <c r="V2681" s="863"/>
      <c r="W2681" s="859"/>
      <c r="X2681" s="859"/>
      <c r="Y2681" s="755">
        <f t="shared" si="347"/>
        <v>0</v>
      </c>
      <c r="Z2681" s="864"/>
      <c r="AA2681" s="863"/>
      <c r="AB2681" s="756">
        <f t="shared" si="348"/>
        <v>0</v>
      </c>
      <c r="AC2681" s="859"/>
      <c r="AD2681" s="863"/>
      <c r="AE2681" s="859"/>
      <c r="AF2681" s="859"/>
      <c r="AG2681" s="864"/>
      <c r="AH2681" s="865"/>
      <c r="AI2681" s="757">
        <f t="shared" si="352"/>
        <v>6055800</v>
      </c>
      <c r="AJ2681" s="758">
        <f t="shared" si="353"/>
        <v>6086300</v>
      </c>
    </row>
    <row r="2682" spans="1:36" x14ac:dyDescent="0.2">
      <c r="A2682" s="1069" t="s">
        <v>155</v>
      </c>
      <c r="B2682" s="1070" t="s">
        <v>264</v>
      </c>
      <c r="C2682" s="1076" t="s">
        <v>910</v>
      </c>
      <c r="D2682" s="1084"/>
      <c r="E2682" s="1085">
        <v>221236</v>
      </c>
      <c r="F2682" s="1086">
        <v>13</v>
      </c>
      <c r="G2682" s="867">
        <v>1413700</v>
      </c>
      <c r="H2682" s="860">
        <v>1484900</v>
      </c>
      <c r="I2682" s="861"/>
      <c r="J2682" s="862"/>
      <c r="K2682" s="859"/>
      <c r="L2682" s="863"/>
      <c r="M2682" s="859">
        <v>722000</v>
      </c>
      <c r="N2682" s="859"/>
      <c r="O2682" s="752">
        <f t="shared" si="346"/>
        <v>722000</v>
      </c>
      <c r="P2682" s="862">
        <v>725600</v>
      </c>
      <c r="Q2682" s="862">
        <v>0</v>
      </c>
      <c r="R2682" s="753">
        <f t="shared" si="349"/>
        <v>725600</v>
      </c>
      <c r="S2682" s="752">
        <f t="shared" si="350"/>
        <v>2135700</v>
      </c>
      <c r="T2682" s="754">
        <f t="shared" si="351"/>
        <v>2210500</v>
      </c>
      <c r="U2682" s="859"/>
      <c r="V2682" s="863"/>
      <c r="W2682" s="859"/>
      <c r="X2682" s="859"/>
      <c r="Y2682" s="755">
        <f t="shared" si="347"/>
        <v>0</v>
      </c>
      <c r="Z2682" s="864"/>
      <c r="AA2682" s="863"/>
      <c r="AB2682" s="756">
        <f t="shared" si="348"/>
        <v>0</v>
      </c>
      <c r="AC2682" s="859"/>
      <c r="AD2682" s="863"/>
      <c r="AE2682" s="859"/>
      <c r="AF2682" s="859"/>
      <c r="AG2682" s="864"/>
      <c r="AH2682" s="865"/>
      <c r="AI2682" s="757">
        <f t="shared" si="352"/>
        <v>2135700</v>
      </c>
      <c r="AJ2682" s="758">
        <f t="shared" si="353"/>
        <v>2210500</v>
      </c>
    </row>
    <row r="2683" spans="1:36" x14ac:dyDescent="0.2">
      <c r="A2683" s="1069" t="s">
        <v>155</v>
      </c>
      <c r="B2683" s="1070" t="s">
        <v>264</v>
      </c>
      <c r="C2683" s="1076" t="s">
        <v>911</v>
      </c>
      <c r="D2683" s="1084"/>
      <c r="E2683" s="1085">
        <v>221582</v>
      </c>
      <c r="F2683" s="1086">
        <v>13</v>
      </c>
      <c r="G2683" s="867">
        <v>1351300</v>
      </c>
      <c r="H2683" s="860">
        <v>1419300</v>
      </c>
      <c r="I2683" s="861"/>
      <c r="J2683" s="862"/>
      <c r="K2683" s="859"/>
      <c r="L2683" s="863"/>
      <c r="M2683" s="859">
        <v>649000</v>
      </c>
      <c r="N2683" s="859"/>
      <c r="O2683" s="752">
        <f t="shared" si="346"/>
        <v>649000</v>
      </c>
      <c r="P2683" s="862">
        <v>605000</v>
      </c>
      <c r="Q2683" s="862">
        <v>0</v>
      </c>
      <c r="R2683" s="753">
        <f t="shared" si="349"/>
        <v>605000</v>
      </c>
      <c r="S2683" s="752">
        <f t="shared" si="350"/>
        <v>2000300</v>
      </c>
      <c r="T2683" s="754">
        <f t="shared" si="351"/>
        <v>2024300</v>
      </c>
      <c r="U2683" s="859"/>
      <c r="V2683" s="863"/>
      <c r="W2683" s="859"/>
      <c r="X2683" s="859"/>
      <c r="Y2683" s="755">
        <f t="shared" si="347"/>
        <v>0</v>
      </c>
      <c r="Z2683" s="864"/>
      <c r="AA2683" s="863"/>
      <c r="AB2683" s="756">
        <f t="shared" si="348"/>
        <v>0</v>
      </c>
      <c r="AC2683" s="859"/>
      <c r="AD2683" s="863"/>
      <c r="AE2683" s="859"/>
      <c r="AF2683" s="859"/>
      <c r="AG2683" s="864"/>
      <c r="AH2683" s="865"/>
      <c r="AI2683" s="757">
        <f t="shared" si="352"/>
        <v>2000300</v>
      </c>
      <c r="AJ2683" s="758">
        <f t="shared" si="353"/>
        <v>2024300</v>
      </c>
    </row>
    <row r="2684" spans="1:36" x14ac:dyDescent="0.2">
      <c r="A2684" s="1069" t="s">
        <v>155</v>
      </c>
      <c r="B2684" s="1070" t="s">
        <v>264</v>
      </c>
      <c r="C2684" s="1076" t="s">
        <v>912</v>
      </c>
      <c r="D2684" s="1084"/>
      <c r="E2684" s="1085">
        <v>221281</v>
      </c>
      <c r="F2684" s="1086">
        <v>13</v>
      </c>
      <c r="G2684" s="867">
        <v>1808900</v>
      </c>
      <c r="H2684" s="860">
        <v>1900100</v>
      </c>
      <c r="I2684" s="861"/>
      <c r="J2684" s="862"/>
      <c r="K2684" s="859"/>
      <c r="L2684" s="863"/>
      <c r="M2684" s="859">
        <v>1008900</v>
      </c>
      <c r="N2684" s="859"/>
      <c r="O2684" s="752">
        <f t="shared" si="346"/>
        <v>1008900</v>
      </c>
      <c r="P2684" s="862">
        <v>907500</v>
      </c>
      <c r="Q2684" s="862">
        <v>0</v>
      </c>
      <c r="R2684" s="753">
        <f t="shared" si="349"/>
        <v>907500</v>
      </c>
      <c r="S2684" s="752">
        <f t="shared" si="350"/>
        <v>2817800</v>
      </c>
      <c r="T2684" s="754">
        <f t="shared" si="351"/>
        <v>2807600</v>
      </c>
      <c r="U2684" s="859"/>
      <c r="V2684" s="863"/>
      <c r="W2684" s="859"/>
      <c r="X2684" s="859"/>
      <c r="Y2684" s="755">
        <f t="shared" si="347"/>
        <v>0</v>
      </c>
      <c r="Z2684" s="864"/>
      <c r="AA2684" s="863"/>
      <c r="AB2684" s="756">
        <f t="shared" si="348"/>
        <v>0</v>
      </c>
      <c r="AC2684" s="859"/>
      <c r="AD2684" s="863"/>
      <c r="AE2684" s="859"/>
      <c r="AF2684" s="859"/>
      <c r="AG2684" s="864"/>
      <c r="AH2684" s="865"/>
      <c r="AI2684" s="757">
        <f t="shared" si="352"/>
        <v>2817800</v>
      </c>
      <c r="AJ2684" s="758">
        <f t="shared" si="353"/>
        <v>2807600</v>
      </c>
    </row>
    <row r="2685" spans="1:36" x14ac:dyDescent="0.2">
      <c r="A2685" s="1069" t="s">
        <v>155</v>
      </c>
      <c r="B2685" s="1070" t="s">
        <v>264</v>
      </c>
      <c r="C2685" s="1076" t="s">
        <v>913</v>
      </c>
      <c r="D2685" s="1084"/>
      <c r="E2685" s="1085">
        <v>221333</v>
      </c>
      <c r="F2685" s="1086">
        <v>13</v>
      </c>
      <c r="G2685" s="867">
        <v>1435100</v>
      </c>
      <c r="H2685" s="860">
        <v>1507400</v>
      </c>
      <c r="I2685" s="861"/>
      <c r="J2685" s="862"/>
      <c r="K2685" s="859"/>
      <c r="L2685" s="863"/>
      <c r="M2685" s="859">
        <v>695700</v>
      </c>
      <c r="N2685" s="859"/>
      <c r="O2685" s="752">
        <f t="shared" si="346"/>
        <v>695700</v>
      </c>
      <c r="P2685" s="862">
        <v>688800</v>
      </c>
      <c r="Q2685" s="862">
        <v>0</v>
      </c>
      <c r="R2685" s="753">
        <f t="shared" si="349"/>
        <v>688800</v>
      </c>
      <c r="S2685" s="752">
        <f t="shared" si="350"/>
        <v>2130800</v>
      </c>
      <c r="T2685" s="754">
        <f t="shared" si="351"/>
        <v>2196200</v>
      </c>
      <c r="U2685" s="859"/>
      <c r="V2685" s="863"/>
      <c r="W2685" s="859"/>
      <c r="X2685" s="859"/>
      <c r="Y2685" s="755">
        <f t="shared" si="347"/>
        <v>0</v>
      </c>
      <c r="Z2685" s="864"/>
      <c r="AA2685" s="863"/>
      <c r="AB2685" s="756">
        <f t="shared" si="348"/>
        <v>0</v>
      </c>
      <c r="AC2685" s="859"/>
      <c r="AD2685" s="863"/>
      <c r="AE2685" s="859"/>
      <c r="AF2685" s="859"/>
      <c r="AG2685" s="864"/>
      <c r="AH2685" s="865"/>
      <c r="AI2685" s="757">
        <f t="shared" si="352"/>
        <v>2130800</v>
      </c>
      <c r="AJ2685" s="758">
        <f t="shared" si="353"/>
        <v>2196200</v>
      </c>
    </row>
    <row r="2686" spans="1:36" x14ac:dyDescent="0.2">
      <c r="A2686" s="1069" t="s">
        <v>155</v>
      </c>
      <c r="B2686" s="1070" t="s">
        <v>264</v>
      </c>
      <c r="C2686" s="1076" t="s">
        <v>914</v>
      </c>
      <c r="D2686" s="1084"/>
      <c r="E2686" s="1085">
        <v>221388</v>
      </c>
      <c r="F2686" s="1086">
        <v>13</v>
      </c>
      <c r="G2686" s="867">
        <v>1151000</v>
      </c>
      <c r="H2686" s="860">
        <v>1209100</v>
      </c>
      <c r="I2686" s="861"/>
      <c r="J2686" s="862"/>
      <c r="K2686" s="859"/>
      <c r="L2686" s="863"/>
      <c r="M2686" s="859">
        <v>399700</v>
      </c>
      <c r="N2686" s="859"/>
      <c r="O2686" s="752">
        <f t="shared" si="346"/>
        <v>399700</v>
      </c>
      <c r="P2686" s="862">
        <v>355400</v>
      </c>
      <c r="Q2686" s="862">
        <v>0</v>
      </c>
      <c r="R2686" s="753">
        <f t="shared" si="349"/>
        <v>355400</v>
      </c>
      <c r="S2686" s="752">
        <f t="shared" si="350"/>
        <v>1550700</v>
      </c>
      <c r="T2686" s="754">
        <f t="shared" si="351"/>
        <v>1564500</v>
      </c>
      <c r="U2686" s="859"/>
      <c r="V2686" s="863"/>
      <c r="W2686" s="859"/>
      <c r="X2686" s="859"/>
      <c r="Y2686" s="755">
        <f t="shared" si="347"/>
        <v>0</v>
      </c>
      <c r="Z2686" s="864"/>
      <c r="AA2686" s="863"/>
      <c r="AB2686" s="756">
        <f t="shared" si="348"/>
        <v>0</v>
      </c>
      <c r="AC2686" s="859"/>
      <c r="AD2686" s="863"/>
      <c r="AE2686" s="859"/>
      <c r="AF2686" s="859"/>
      <c r="AG2686" s="864"/>
      <c r="AH2686" s="865"/>
      <c r="AI2686" s="757">
        <f t="shared" si="352"/>
        <v>1550700</v>
      </c>
      <c r="AJ2686" s="758">
        <f t="shared" si="353"/>
        <v>1564500</v>
      </c>
    </row>
    <row r="2687" spans="1:36" x14ac:dyDescent="0.2">
      <c r="A2687" s="1069" t="s">
        <v>155</v>
      </c>
      <c r="B2687" s="1070" t="s">
        <v>264</v>
      </c>
      <c r="C2687" s="1076" t="s">
        <v>915</v>
      </c>
      <c r="D2687" s="1084"/>
      <c r="E2687" s="1085">
        <v>221494</v>
      </c>
      <c r="F2687" s="1086">
        <v>13</v>
      </c>
      <c r="G2687" s="867">
        <v>2026200</v>
      </c>
      <c r="H2687" s="860">
        <v>2128200</v>
      </c>
      <c r="I2687" s="861"/>
      <c r="J2687" s="862"/>
      <c r="K2687" s="859"/>
      <c r="L2687" s="863"/>
      <c r="M2687" s="859">
        <v>1303600</v>
      </c>
      <c r="N2687" s="859"/>
      <c r="O2687" s="752">
        <f t="shared" si="346"/>
        <v>1303600</v>
      </c>
      <c r="P2687" s="862">
        <v>1272500</v>
      </c>
      <c r="Q2687" s="862">
        <v>0</v>
      </c>
      <c r="R2687" s="753">
        <f t="shared" si="349"/>
        <v>1272500</v>
      </c>
      <c r="S2687" s="752">
        <f t="shared" si="350"/>
        <v>3329800</v>
      </c>
      <c r="T2687" s="754">
        <f t="shared" si="351"/>
        <v>3400700</v>
      </c>
      <c r="U2687" s="859"/>
      <c r="V2687" s="863"/>
      <c r="W2687" s="859"/>
      <c r="X2687" s="859"/>
      <c r="Y2687" s="755">
        <f t="shared" si="347"/>
        <v>0</v>
      </c>
      <c r="Z2687" s="864"/>
      <c r="AA2687" s="863"/>
      <c r="AB2687" s="756">
        <f t="shared" si="348"/>
        <v>0</v>
      </c>
      <c r="AC2687" s="859"/>
      <c r="AD2687" s="863"/>
      <c r="AE2687" s="859"/>
      <c r="AF2687" s="859"/>
      <c r="AG2687" s="864"/>
      <c r="AH2687" s="865"/>
      <c r="AI2687" s="757">
        <f t="shared" si="352"/>
        <v>3329800</v>
      </c>
      <c r="AJ2687" s="758">
        <f t="shared" si="353"/>
        <v>3400700</v>
      </c>
    </row>
    <row r="2688" spans="1:36" x14ac:dyDescent="0.2">
      <c r="A2688" s="1069" t="s">
        <v>155</v>
      </c>
      <c r="B2688" s="1070" t="s">
        <v>264</v>
      </c>
      <c r="C2688" s="1076" t="s">
        <v>916</v>
      </c>
      <c r="D2688" s="1084"/>
      <c r="E2688" s="1085">
        <v>221634</v>
      </c>
      <c r="F2688" s="1086">
        <v>13</v>
      </c>
      <c r="G2688" s="867">
        <v>1323000</v>
      </c>
      <c r="H2688" s="860">
        <v>1389700</v>
      </c>
      <c r="I2688" s="861"/>
      <c r="J2688" s="862"/>
      <c r="K2688" s="859"/>
      <c r="L2688" s="863"/>
      <c r="M2688" s="859">
        <v>443000</v>
      </c>
      <c r="N2688" s="859"/>
      <c r="O2688" s="752">
        <f t="shared" si="346"/>
        <v>443000</v>
      </c>
      <c r="P2688" s="862">
        <v>497200</v>
      </c>
      <c r="Q2688" s="862">
        <v>0</v>
      </c>
      <c r="R2688" s="753">
        <f t="shared" si="349"/>
        <v>497200</v>
      </c>
      <c r="S2688" s="752">
        <f t="shared" si="350"/>
        <v>1766000</v>
      </c>
      <c r="T2688" s="754">
        <f t="shared" si="351"/>
        <v>1886900</v>
      </c>
      <c r="U2688" s="859"/>
      <c r="V2688" s="863"/>
      <c r="W2688" s="859"/>
      <c r="X2688" s="859"/>
      <c r="Y2688" s="755">
        <f t="shared" si="347"/>
        <v>0</v>
      </c>
      <c r="Z2688" s="864"/>
      <c r="AA2688" s="863"/>
      <c r="AB2688" s="756">
        <f t="shared" si="348"/>
        <v>0</v>
      </c>
      <c r="AC2688" s="859"/>
      <c r="AD2688" s="863"/>
      <c r="AE2688" s="859"/>
      <c r="AF2688" s="859"/>
      <c r="AG2688" s="864"/>
      <c r="AH2688" s="865"/>
      <c r="AI2688" s="757">
        <f t="shared" si="352"/>
        <v>1766000</v>
      </c>
      <c r="AJ2688" s="758">
        <f t="shared" si="353"/>
        <v>1886900</v>
      </c>
    </row>
    <row r="2689" spans="1:36" x14ac:dyDescent="0.2">
      <c r="A2689" s="1069" t="s">
        <v>155</v>
      </c>
      <c r="B2689" s="1070" t="s">
        <v>301</v>
      </c>
      <c r="C2689" s="1076" t="s">
        <v>917</v>
      </c>
      <c r="D2689" s="1077"/>
      <c r="E2689" s="1078">
        <v>221704</v>
      </c>
      <c r="F2689" s="1079">
        <v>15</v>
      </c>
      <c r="G2689" s="859"/>
      <c r="H2689" s="860"/>
      <c r="I2689" s="861"/>
      <c r="J2689" s="862"/>
      <c r="K2689" s="859"/>
      <c r="L2689" s="863"/>
      <c r="M2689" s="859"/>
      <c r="N2689" s="859"/>
      <c r="O2689" s="752">
        <f t="shared" si="346"/>
        <v>0</v>
      </c>
      <c r="P2689" s="862"/>
      <c r="Q2689" s="860"/>
      <c r="R2689" s="753">
        <f t="shared" si="349"/>
        <v>0</v>
      </c>
      <c r="S2689" s="752">
        <f t="shared" si="350"/>
        <v>0</v>
      </c>
      <c r="T2689" s="754">
        <f t="shared" si="351"/>
        <v>0</v>
      </c>
      <c r="U2689" s="859"/>
      <c r="V2689" s="863"/>
      <c r="W2689" s="859"/>
      <c r="X2689" s="859"/>
      <c r="Y2689" s="755">
        <f t="shared" si="347"/>
        <v>0</v>
      </c>
      <c r="Z2689" s="864"/>
      <c r="AA2689" s="863"/>
      <c r="AB2689" s="756">
        <f t="shared" si="348"/>
        <v>0</v>
      </c>
      <c r="AC2689" s="859"/>
      <c r="AD2689" s="863"/>
      <c r="AE2689" s="859"/>
      <c r="AF2689" s="859"/>
      <c r="AG2689" s="864"/>
      <c r="AH2689" s="865"/>
      <c r="AI2689" s="757">
        <f t="shared" si="352"/>
        <v>0</v>
      </c>
      <c r="AJ2689" s="758">
        <f t="shared" si="353"/>
        <v>0</v>
      </c>
    </row>
    <row r="2690" spans="1:36" x14ac:dyDescent="0.2">
      <c r="A2690" s="1069" t="s">
        <v>155</v>
      </c>
      <c r="B2690" s="1070" t="s">
        <v>301</v>
      </c>
      <c r="C2690" s="1080" t="s">
        <v>814</v>
      </c>
      <c r="D2690" s="1081"/>
      <c r="E2690" s="1078">
        <v>221704</v>
      </c>
      <c r="F2690" s="1079">
        <v>15</v>
      </c>
      <c r="G2690" s="859"/>
      <c r="H2690" s="860"/>
      <c r="I2690" s="861"/>
      <c r="J2690" s="862"/>
      <c r="K2690" s="859"/>
      <c r="L2690" s="863"/>
      <c r="M2690" s="859"/>
      <c r="N2690" s="859"/>
      <c r="O2690" s="752">
        <f t="shared" si="346"/>
        <v>0</v>
      </c>
      <c r="P2690" s="862"/>
      <c r="Q2690" s="860"/>
      <c r="R2690" s="753">
        <f t="shared" si="349"/>
        <v>0</v>
      </c>
      <c r="S2690" s="752">
        <f t="shared" si="350"/>
        <v>0</v>
      </c>
      <c r="T2690" s="754">
        <f t="shared" si="351"/>
        <v>0</v>
      </c>
      <c r="U2690" s="859"/>
      <c r="V2690" s="863"/>
      <c r="W2690" s="859"/>
      <c r="X2690" s="859"/>
      <c r="Y2690" s="755">
        <f t="shared" si="347"/>
        <v>0</v>
      </c>
      <c r="Z2690" s="864"/>
      <c r="AA2690" s="863"/>
      <c r="AB2690" s="756">
        <f t="shared" si="348"/>
        <v>0</v>
      </c>
      <c r="AC2690" s="859">
        <v>70689554.913460776</v>
      </c>
      <c r="AD2690" s="863">
        <v>78284887.135669321</v>
      </c>
      <c r="AE2690" s="859">
        <v>42921860</v>
      </c>
      <c r="AF2690" s="859">
        <v>157779</v>
      </c>
      <c r="AG2690" s="1518">
        <v>45327760</v>
      </c>
      <c r="AH2690" s="1521">
        <v>157975</v>
      </c>
      <c r="AI2690" s="757">
        <f t="shared" si="352"/>
        <v>113611414.91346078</v>
      </c>
      <c r="AJ2690" s="758">
        <f t="shared" si="353"/>
        <v>123612647.13566932</v>
      </c>
    </row>
    <row r="2691" spans="1:36" x14ac:dyDescent="0.2">
      <c r="A2691" s="1069" t="s">
        <v>155</v>
      </c>
      <c r="B2691" s="1070" t="s">
        <v>301</v>
      </c>
      <c r="C2691" s="1082" t="s">
        <v>678</v>
      </c>
      <c r="D2691" s="1081"/>
      <c r="E2691" s="1078">
        <v>221704</v>
      </c>
      <c r="F2691" s="1079">
        <v>15</v>
      </c>
      <c r="G2691" s="859"/>
      <c r="H2691" s="860"/>
      <c r="I2691" s="861"/>
      <c r="J2691" s="862"/>
      <c r="K2691" s="859"/>
      <c r="L2691" s="863"/>
      <c r="M2691" s="859"/>
      <c r="N2691" s="859"/>
      <c r="O2691" s="752">
        <f t="shared" si="346"/>
        <v>0</v>
      </c>
      <c r="P2691" s="862"/>
      <c r="Q2691" s="860"/>
      <c r="R2691" s="753">
        <f t="shared" si="349"/>
        <v>0</v>
      </c>
      <c r="S2691" s="752">
        <f t="shared" si="350"/>
        <v>0</v>
      </c>
      <c r="T2691" s="754">
        <f t="shared" si="351"/>
        <v>0</v>
      </c>
      <c r="U2691" s="859"/>
      <c r="V2691" s="863"/>
      <c r="W2691" s="859"/>
      <c r="X2691" s="859"/>
      <c r="Y2691" s="755">
        <f t="shared" si="347"/>
        <v>0</v>
      </c>
      <c r="Z2691" s="864"/>
      <c r="AA2691" s="863"/>
      <c r="AB2691" s="756">
        <f t="shared" si="348"/>
        <v>0</v>
      </c>
      <c r="AC2691" s="859">
        <v>54816500</v>
      </c>
      <c r="AD2691" s="863">
        <v>57587300</v>
      </c>
      <c r="AE2691" s="859">
        <v>23242700</v>
      </c>
      <c r="AF2691" s="859"/>
      <c r="AG2691" s="1518">
        <v>25243300</v>
      </c>
      <c r="AH2691" s="865">
        <v>0</v>
      </c>
      <c r="AI2691" s="757">
        <f t="shared" si="352"/>
        <v>78059200</v>
      </c>
      <c r="AJ2691" s="758">
        <f t="shared" si="353"/>
        <v>82830600</v>
      </c>
    </row>
    <row r="2692" spans="1:36" x14ac:dyDescent="0.2">
      <c r="A2692" s="1069" t="s">
        <v>155</v>
      </c>
      <c r="B2692" s="1070" t="s">
        <v>301</v>
      </c>
      <c r="C2692" s="1082" t="s">
        <v>453</v>
      </c>
      <c r="D2692" s="1081"/>
      <c r="E2692" s="1078">
        <v>221704</v>
      </c>
      <c r="F2692" s="1079">
        <v>15</v>
      </c>
      <c r="G2692" s="859"/>
      <c r="H2692" s="860"/>
      <c r="I2692" s="861"/>
      <c r="J2692" s="862"/>
      <c r="K2692" s="859"/>
      <c r="L2692" s="863"/>
      <c r="M2692" s="859"/>
      <c r="N2692" s="859"/>
      <c r="O2692" s="752">
        <f t="shared" si="346"/>
        <v>0</v>
      </c>
      <c r="P2692" s="862"/>
      <c r="Q2692" s="860"/>
      <c r="R2692" s="753">
        <f t="shared" si="349"/>
        <v>0</v>
      </c>
      <c r="S2692" s="752">
        <f t="shared" si="350"/>
        <v>0</v>
      </c>
      <c r="T2692" s="754">
        <f t="shared" si="351"/>
        <v>0</v>
      </c>
      <c r="U2692" s="859"/>
      <c r="V2692" s="863"/>
      <c r="W2692" s="859"/>
      <c r="X2692" s="859"/>
      <c r="Y2692" s="755">
        <f t="shared" si="347"/>
        <v>0</v>
      </c>
      <c r="Z2692" s="864"/>
      <c r="AA2692" s="863"/>
      <c r="AB2692" s="756">
        <f t="shared" si="348"/>
        <v>0</v>
      </c>
      <c r="AC2692" s="859">
        <v>16225882.273752548</v>
      </c>
      <c r="AD2692" s="1101">
        <v>17319675.246857088</v>
      </c>
      <c r="AE2692" s="859">
        <v>10624133</v>
      </c>
      <c r="AF2692" s="859"/>
      <c r="AG2692" s="1518">
        <v>11260659</v>
      </c>
      <c r="AH2692" s="865">
        <v>0</v>
      </c>
      <c r="AI2692" s="757">
        <f t="shared" si="352"/>
        <v>26850015.273752548</v>
      </c>
      <c r="AJ2692" s="758">
        <f t="shared" si="353"/>
        <v>28580334.246857088</v>
      </c>
    </row>
    <row r="2693" spans="1:36" x14ac:dyDescent="0.2">
      <c r="A2693" s="1069" t="s">
        <v>155</v>
      </c>
      <c r="B2693" s="1070" t="s">
        <v>302</v>
      </c>
      <c r="C2693" s="1082" t="s">
        <v>918</v>
      </c>
      <c r="D2693" s="1081"/>
      <c r="E2693" s="1078">
        <v>221704</v>
      </c>
      <c r="F2693" s="1079">
        <v>15</v>
      </c>
      <c r="G2693" s="859"/>
      <c r="H2693" s="860"/>
      <c r="I2693" s="861"/>
      <c r="J2693" s="862"/>
      <c r="K2693" s="859"/>
      <c r="L2693" s="863"/>
      <c r="M2693" s="859"/>
      <c r="N2693" s="859"/>
      <c r="O2693" s="752">
        <f t="shared" si="346"/>
        <v>0</v>
      </c>
      <c r="P2693" s="862"/>
      <c r="Q2693" s="860"/>
      <c r="R2693" s="753">
        <f t="shared" si="349"/>
        <v>0</v>
      </c>
      <c r="S2693" s="752">
        <f t="shared" si="350"/>
        <v>0</v>
      </c>
      <c r="T2693" s="754">
        <f t="shared" si="351"/>
        <v>0</v>
      </c>
      <c r="U2693" s="859">
        <v>8589981.1774581838</v>
      </c>
      <c r="V2693" s="863">
        <v>8923113.9352994487</v>
      </c>
      <c r="W2693" s="859">
        <v>1766048</v>
      </c>
      <c r="X2693" s="859"/>
      <c r="Y2693" s="755">
        <f t="shared" si="347"/>
        <v>1766048</v>
      </c>
      <c r="Z2693" s="1518">
        <v>1450000</v>
      </c>
      <c r="AA2693" s="863">
        <v>0</v>
      </c>
      <c r="AB2693" s="756">
        <f t="shared" si="348"/>
        <v>1450000</v>
      </c>
      <c r="AC2693" s="859"/>
      <c r="AD2693" s="863"/>
      <c r="AE2693" s="859"/>
      <c r="AF2693" s="859"/>
      <c r="AG2693" s="864"/>
      <c r="AH2693" s="865"/>
      <c r="AI2693" s="757">
        <f t="shared" si="352"/>
        <v>10356029.177458184</v>
      </c>
      <c r="AJ2693" s="758">
        <f t="shared" si="353"/>
        <v>10373113.935299449</v>
      </c>
    </row>
    <row r="2694" spans="1:36" x14ac:dyDescent="0.2">
      <c r="A2694" s="1069" t="s">
        <v>155</v>
      </c>
      <c r="B2694" s="1070" t="s">
        <v>303</v>
      </c>
      <c r="C2694" s="1090" t="s">
        <v>919</v>
      </c>
      <c r="D2694" s="1077"/>
      <c r="E2694" s="1078"/>
      <c r="F2694" s="1079"/>
      <c r="G2694" s="859"/>
      <c r="H2694" s="860"/>
      <c r="I2694" s="861"/>
      <c r="J2694" s="862"/>
      <c r="K2694" s="859"/>
      <c r="L2694" s="863"/>
      <c r="M2694" s="859"/>
      <c r="N2694" s="859"/>
      <c r="O2694" s="752">
        <f t="shared" si="346"/>
        <v>0</v>
      </c>
      <c r="P2694" s="862"/>
      <c r="Q2694" s="860"/>
      <c r="R2694" s="753">
        <f t="shared" si="349"/>
        <v>0</v>
      </c>
      <c r="S2694" s="752">
        <f t="shared" si="350"/>
        <v>0</v>
      </c>
      <c r="T2694" s="754">
        <f t="shared" si="351"/>
        <v>0</v>
      </c>
      <c r="U2694" s="859"/>
      <c r="V2694" s="863"/>
      <c r="W2694" s="859"/>
      <c r="X2694" s="859"/>
      <c r="Y2694" s="755">
        <f t="shared" si="347"/>
        <v>0</v>
      </c>
      <c r="Z2694" s="864"/>
      <c r="AA2694" s="863"/>
      <c r="AB2694" s="756">
        <f t="shared" si="348"/>
        <v>0</v>
      </c>
      <c r="AC2694" s="859"/>
      <c r="AD2694" s="863"/>
      <c r="AE2694" s="859"/>
      <c r="AF2694" s="859"/>
      <c r="AG2694" s="864"/>
      <c r="AH2694" s="865"/>
      <c r="AI2694" s="757">
        <f t="shared" si="352"/>
        <v>0</v>
      </c>
      <c r="AJ2694" s="758">
        <f t="shared" si="353"/>
        <v>0</v>
      </c>
    </row>
    <row r="2695" spans="1:36" x14ac:dyDescent="0.2">
      <c r="A2695" s="1069" t="s">
        <v>155</v>
      </c>
      <c r="B2695" s="1070" t="s">
        <v>303</v>
      </c>
      <c r="C2695" s="1082" t="s">
        <v>920</v>
      </c>
      <c r="D2695" s="1081"/>
      <c r="E2695" s="1078"/>
      <c r="F2695" s="1079"/>
      <c r="G2695" s="859"/>
      <c r="H2695" s="860"/>
      <c r="I2695" s="861">
        <v>394700</v>
      </c>
      <c r="J2695" s="862">
        <v>422000</v>
      </c>
      <c r="K2695" s="859"/>
      <c r="L2695" s="863"/>
      <c r="M2695" s="859"/>
      <c r="N2695" s="859"/>
      <c r="O2695" s="752">
        <f t="shared" si="346"/>
        <v>0</v>
      </c>
      <c r="P2695" s="862">
        <v>0</v>
      </c>
      <c r="Q2695" s="860">
        <v>0</v>
      </c>
      <c r="R2695" s="753">
        <f t="shared" si="349"/>
        <v>0</v>
      </c>
      <c r="S2695" s="752">
        <f t="shared" si="350"/>
        <v>394700</v>
      </c>
      <c r="T2695" s="754">
        <f t="shared" si="351"/>
        <v>422000</v>
      </c>
      <c r="U2695" s="859"/>
      <c r="V2695" s="863"/>
      <c r="W2695" s="859"/>
      <c r="X2695" s="859"/>
      <c r="Y2695" s="755">
        <f t="shared" si="347"/>
        <v>0</v>
      </c>
      <c r="Z2695" s="864"/>
      <c r="AA2695" s="863"/>
      <c r="AB2695" s="756">
        <f t="shared" si="348"/>
        <v>0</v>
      </c>
      <c r="AC2695" s="859"/>
      <c r="AD2695" s="863"/>
      <c r="AE2695" s="859"/>
      <c r="AF2695" s="859"/>
      <c r="AG2695" s="864"/>
      <c r="AH2695" s="865"/>
      <c r="AI2695" s="757">
        <f t="shared" si="352"/>
        <v>394700</v>
      </c>
      <c r="AJ2695" s="758">
        <f t="shared" si="353"/>
        <v>422000</v>
      </c>
    </row>
    <row r="2696" spans="1:36" x14ac:dyDescent="0.2">
      <c r="A2696" s="1069" t="s">
        <v>155</v>
      </c>
      <c r="B2696" s="1070" t="s">
        <v>281</v>
      </c>
      <c r="C2696" s="1090" t="s">
        <v>109</v>
      </c>
      <c r="D2696" s="1077"/>
      <c r="E2696" s="1078"/>
      <c r="F2696" s="1079"/>
      <c r="G2696" s="859"/>
      <c r="H2696" s="860"/>
      <c r="I2696" s="861"/>
      <c r="J2696" s="862"/>
      <c r="K2696" s="859"/>
      <c r="L2696" s="863"/>
      <c r="M2696" s="859"/>
      <c r="N2696" s="859"/>
      <c r="O2696" s="752">
        <f t="shared" si="346"/>
        <v>0</v>
      </c>
      <c r="P2696" s="862"/>
      <c r="Q2696" s="860"/>
      <c r="R2696" s="753">
        <f t="shared" si="349"/>
        <v>0</v>
      </c>
      <c r="S2696" s="752">
        <f t="shared" si="350"/>
        <v>0</v>
      </c>
      <c r="T2696" s="754">
        <f t="shared" si="351"/>
        <v>0</v>
      </c>
      <c r="U2696" s="859"/>
      <c r="V2696" s="863"/>
      <c r="W2696" s="859"/>
      <c r="X2696" s="859"/>
      <c r="Y2696" s="755">
        <f t="shared" si="347"/>
        <v>0</v>
      </c>
      <c r="Z2696" s="864"/>
      <c r="AA2696" s="863"/>
      <c r="AB2696" s="756">
        <f t="shared" si="348"/>
        <v>0</v>
      </c>
      <c r="AC2696" s="859"/>
      <c r="AD2696" s="863"/>
      <c r="AE2696" s="859"/>
      <c r="AF2696" s="859"/>
      <c r="AG2696" s="864"/>
      <c r="AH2696" s="865"/>
      <c r="AI2696" s="757">
        <f t="shared" si="352"/>
        <v>0</v>
      </c>
      <c r="AJ2696" s="758">
        <f t="shared" si="353"/>
        <v>0</v>
      </c>
    </row>
    <row r="2697" spans="1:36" x14ac:dyDescent="0.2">
      <c r="A2697" s="1069" t="s">
        <v>155</v>
      </c>
      <c r="B2697" s="1070" t="s">
        <v>282</v>
      </c>
      <c r="C2697" s="1080" t="s">
        <v>140</v>
      </c>
      <c r="D2697" s="1081"/>
      <c r="E2697" s="1078"/>
      <c r="F2697" s="1079"/>
      <c r="G2697" s="859"/>
      <c r="H2697" s="860"/>
      <c r="I2697" s="861"/>
      <c r="J2697" s="862"/>
      <c r="K2697" s="859"/>
      <c r="L2697" s="863"/>
      <c r="M2697" s="859"/>
      <c r="N2697" s="859"/>
      <c r="O2697" s="752">
        <f t="shared" si="346"/>
        <v>0</v>
      </c>
      <c r="P2697" s="862"/>
      <c r="Q2697" s="860"/>
      <c r="R2697" s="753">
        <f t="shared" si="349"/>
        <v>0</v>
      </c>
      <c r="S2697" s="752">
        <f t="shared" si="350"/>
        <v>0</v>
      </c>
      <c r="T2697" s="754">
        <f t="shared" si="351"/>
        <v>0</v>
      </c>
      <c r="U2697" s="859"/>
      <c r="V2697" s="863"/>
      <c r="W2697" s="859"/>
      <c r="X2697" s="859"/>
      <c r="Y2697" s="755">
        <f t="shared" si="347"/>
        <v>0</v>
      </c>
      <c r="Z2697" s="864"/>
      <c r="AA2697" s="863"/>
      <c r="AB2697" s="756">
        <f t="shared" si="348"/>
        <v>0</v>
      </c>
      <c r="AC2697" s="859"/>
      <c r="AD2697" s="863"/>
      <c r="AE2697" s="859"/>
      <c r="AF2697" s="859"/>
      <c r="AG2697" s="864"/>
      <c r="AH2697" s="865"/>
      <c r="AI2697" s="757">
        <f t="shared" si="352"/>
        <v>0</v>
      </c>
      <c r="AJ2697" s="758">
        <f t="shared" si="353"/>
        <v>0</v>
      </c>
    </row>
    <row r="2698" spans="1:36" x14ac:dyDescent="0.2">
      <c r="A2698" s="1069" t="s">
        <v>155</v>
      </c>
      <c r="B2698" s="1070" t="s">
        <v>282</v>
      </c>
      <c r="C2698" s="1082" t="s">
        <v>921</v>
      </c>
      <c r="D2698" s="1081"/>
      <c r="E2698" s="1078"/>
      <c r="F2698" s="1079"/>
      <c r="G2698" s="859"/>
      <c r="H2698" s="860"/>
      <c r="I2698" s="861"/>
      <c r="J2698" s="862"/>
      <c r="K2698" s="859"/>
      <c r="L2698" s="863"/>
      <c r="M2698" s="859"/>
      <c r="N2698" s="859"/>
      <c r="O2698" s="752">
        <f t="shared" si="346"/>
        <v>0</v>
      </c>
      <c r="P2698" s="862"/>
      <c r="Q2698" s="860"/>
      <c r="R2698" s="753">
        <f t="shared" si="349"/>
        <v>0</v>
      </c>
      <c r="S2698" s="752">
        <f t="shared" si="350"/>
        <v>0</v>
      </c>
      <c r="T2698" s="754">
        <f t="shared" si="351"/>
        <v>0</v>
      </c>
      <c r="U2698" s="859">
        <v>2292100</v>
      </c>
      <c r="V2698" s="863">
        <v>6229200</v>
      </c>
      <c r="W2698" s="859"/>
      <c r="X2698" s="859"/>
      <c r="Y2698" s="755">
        <f t="shared" si="347"/>
        <v>0</v>
      </c>
      <c r="Z2698" s="864">
        <v>0</v>
      </c>
      <c r="AA2698" s="863">
        <v>0</v>
      </c>
      <c r="AB2698" s="756">
        <f t="shared" si="348"/>
        <v>0</v>
      </c>
      <c r="AC2698" s="859"/>
      <c r="AD2698" s="863"/>
      <c r="AE2698" s="859"/>
      <c r="AF2698" s="859"/>
      <c r="AG2698" s="864"/>
      <c r="AH2698" s="865"/>
      <c r="AI2698" s="757">
        <f t="shared" si="352"/>
        <v>2292100</v>
      </c>
      <c r="AJ2698" s="758">
        <f t="shared" si="353"/>
        <v>6229200</v>
      </c>
    </row>
    <row r="2699" spans="1:36" x14ac:dyDescent="0.2">
      <c r="A2699" s="1069" t="s">
        <v>155</v>
      </c>
      <c r="B2699" s="1070" t="s">
        <v>282</v>
      </c>
      <c r="C2699" s="1082" t="s">
        <v>922</v>
      </c>
      <c r="D2699" s="1081"/>
      <c r="E2699" s="1078"/>
      <c r="F2699" s="1079"/>
      <c r="G2699" s="859"/>
      <c r="H2699" s="860"/>
      <c r="I2699" s="861"/>
      <c r="J2699" s="862"/>
      <c r="K2699" s="859"/>
      <c r="L2699" s="863"/>
      <c r="M2699" s="859"/>
      <c r="N2699" s="859"/>
      <c r="O2699" s="752">
        <f t="shared" ref="O2699:O2726" si="354">SUM(M2699:N2699)</f>
        <v>0</v>
      </c>
      <c r="P2699" s="862"/>
      <c r="Q2699" s="860"/>
      <c r="R2699" s="753">
        <f t="shared" si="349"/>
        <v>0</v>
      </c>
      <c r="S2699" s="752">
        <f t="shared" si="350"/>
        <v>0</v>
      </c>
      <c r="T2699" s="754">
        <f t="shared" si="351"/>
        <v>0</v>
      </c>
      <c r="U2699" s="859">
        <v>9922878</v>
      </c>
      <c r="V2699" s="863">
        <v>12444460</v>
      </c>
      <c r="W2699" s="859"/>
      <c r="X2699" s="859"/>
      <c r="Y2699" s="755">
        <f t="shared" ref="Y2699:Y2730" si="355">SUM(W2699:X2699)</f>
        <v>0</v>
      </c>
      <c r="Z2699" s="864">
        <v>0</v>
      </c>
      <c r="AA2699" s="863">
        <v>0</v>
      </c>
      <c r="AB2699" s="756">
        <f t="shared" ref="AB2699:AB2729" si="356">SUM(Z2699:AA2699)</f>
        <v>0</v>
      </c>
      <c r="AC2699" s="859"/>
      <c r="AD2699" s="863"/>
      <c r="AE2699" s="859"/>
      <c r="AF2699" s="859"/>
      <c r="AG2699" s="864"/>
      <c r="AH2699" s="865"/>
      <c r="AI2699" s="757">
        <f t="shared" si="352"/>
        <v>9922878</v>
      </c>
      <c r="AJ2699" s="758">
        <f t="shared" si="353"/>
        <v>12444460</v>
      </c>
    </row>
    <row r="2700" spans="1:36" x14ac:dyDescent="0.2">
      <c r="A2700" s="1069" t="s">
        <v>155</v>
      </c>
      <c r="B2700" s="1070" t="s">
        <v>284</v>
      </c>
      <c r="C2700" s="1080" t="s">
        <v>138</v>
      </c>
      <c r="D2700" s="1081"/>
      <c r="E2700" s="1078"/>
      <c r="F2700" s="1079"/>
      <c r="G2700" s="859"/>
      <c r="H2700" s="860"/>
      <c r="I2700" s="861"/>
      <c r="J2700" s="862"/>
      <c r="K2700" s="859"/>
      <c r="L2700" s="863"/>
      <c r="M2700" s="859"/>
      <c r="N2700" s="859"/>
      <c r="O2700" s="752">
        <f t="shared" si="354"/>
        <v>0</v>
      </c>
      <c r="P2700" s="862"/>
      <c r="Q2700" s="860"/>
      <c r="R2700" s="753">
        <f t="shared" ref="R2700:R2727" si="357">SUM(P2700:Q2700)</f>
        <v>0</v>
      </c>
      <c r="S2700" s="752">
        <f t="shared" ref="S2700:S2727" si="358">SUM(G2700,I2700,K2700,M2700)</f>
        <v>0</v>
      </c>
      <c r="T2700" s="754">
        <f t="shared" ref="T2700:T2727" si="359">SUM(H2700,J2700,L2700,P2700)</f>
        <v>0</v>
      </c>
      <c r="U2700" s="859"/>
      <c r="V2700" s="863"/>
      <c r="W2700" s="859"/>
      <c r="X2700" s="859"/>
      <c r="Y2700" s="755">
        <f t="shared" si="355"/>
        <v>0</v>
      </c>
      <c r="Z2700" s="864"/>
      <c r="AA2700" s="863"/>
      <c r="AB2700" s="756">
        <f t="shared" si="356"/>
        <v>0</v>
      </c>
      <c r="AC2700" s="859"/>
      <c r="AD2700" s="863"/>
      <c r="AE2700" s="859"/>
      <c r="AF2700" s="859"/>
      <c r="AG2700" s="864"/>
      <c r="AH2700" s="865"/>
      <c r="AI2700" s="757">
        <f t="shared" ref="AI2700:AI2727" si="360">SUM(S2700,U2700,W2700,AC2700,AE2700)</f>
        <v>0</v>
      </c>
      <c r="AJ2700" s="758">
        <f t="shared" ref="AJ2700:AJ2727" si="361">SUM(T2700,V2700,Z2700,AD2700,AG2700)</f>
        <v>0</v>
      </c>
    </row>
    <row r="2701" spans="1:36" x14ac:dyDescent="0.2">
      <c r="A2701" s="1069" t="s">
        <v>155</v>
      </c>
      <c r="B2701" s="1070" t="s">
        <v>284</v>
      </c>
      <c r="C2701" s="1082" t="s">
        <v>792</v>
      </c>
      <c r="D2701" s="1081"/>
      <c r="E2701" s="1078"/>
      <c r="F2701" s="1079"/>
      <c r="G2701" s="859"/>
      <c r="H2701" s="860"/>
      <c r="I2701" s="861"/>
      <c r="J2701" s="862"/>
      <c r="K2701" s="859"/>
      <c r="L2701" s="863"/>
      <c r="M2701" s="859"/>
      <c r="N2701" s="859"/>
      <c r="O2701" s="752">
        <f t="shared" si="354"/>
        <v>0</v>
      </c>
      <c r="P2701" s="862"/>
      <c r="Q2701" s="860"/>
      <c r="R2701" s="753">
        <f t="shared" si="357"/>
        <v>0</v>
      </c>
      <c r="S2701" s="752">
        <f t="shared" si="358"/>
        <v>0</v>
      </c>
      <c r="T2701" s="754">
        <f t="shared" si="359"/>
        <v>0</v>
      </c>
      <c r="U2701" s="859"/>
      <c r="V2701" s="863"/>
      <c r="W2701" s="859"/>
      <c r="X2701" s="859"/>
      <c r="Y2701" s="755">
        <f t="shared" si="355"/>
        <v>0</v>
      </c>
      <c r="Z2701" s="864"/>
      <c r="AA2701" s="863"/>
      <c r="AB2701" s="756">
        <f t="shared" si="356"/>
        <v>0</v>
      </c>
      <c r="AC2701" s="859"/>
      <c r="AD2701" s="863"/>
      <c r="AE2701" s="859"/>
      <c r="AF2701" s="859"/>
      <c r="AG2701" s="864"/>
      <c r="AH2701" s="865"/>
      <c r="AI2701" s="757">
        <f t="shared" si="360"/>
        <v>0</v>
      </c>
      <c r="AJ2701" s="758">
        <f t="shared" si="361"/>
        <v>0</v>
      </c>
    </row>
    <row r="2702" spans="1:36" x14ac:dyDescent="0.2">
      <c r="A2702" s="1069" t="s">
        <v>155</v>
      </c>
      <c r="B2702" s="1070" t="s">
        <v>285</v>
      </c>
      <c r="C2702" s="1091" t="s">
        <v>646</v>
      </c>
      <c r="D2702" s="1092"/>
      <c r="E2702" s="1078"/>
      <c r="F2702" s="1079"/>
      <c r="G2702" s="859"/>
      <c r="H2702" s="860"/>
      <c r="I2702" s="861"/>
      <c r="J2702" s="862"/>
      <c r="K2702" s="859"/>
      <c r="L2702" s="863"/>
      <c r="M2702" s="859"/>
      <c r="N2702" s="859"/>
      <c r="O2702" s="752">
        <f t="shared" si="354"/>
        <v>0</v>
      </c>
      <c r="P2702" s="862"/>
      <c r="Q2702" s="860"/>
      <c r="R2702" s="753">
        <f t="shared" si="357"/>
        <v>0</v>
      </c>
      <c r="S2702" s="752">
        <f t="shared" si="358"/>
        <v>0</v>
      </c>
      <c r="T2702" s="754">
        <f t="shared" si="359"/>
        <v>0</v>
      </c>
      <c r="U2702" s="859">
        <v>1251900</v>
      </c>
      <c r="V2702" s="863">
        <v>1353500</v>
      </c>
      <c r="W2702" s="859"/>
      <c r="X2702" s="859"/>
      <c r="Y2702" s="755">
        <f t="shared" si="355"/>
        <v>0</v>
      </c>
      <c r="Z2702" s="864">
        <v>0</v>
      </c>
      <c r="AA2702" s="863">
        <v>0</v>
      </c>
      <c r="AB2702" s="756">
        <f t="shared" si="356"/>
        <v>0</v>
      </c>
      <c r="AC2702" s="859"/>
      <c r="AD2702" s="863"/>
      <c r="AE2702" s="859"/>
      <c r="AF2702" s="859"/>
      <c r="AG2702" s="864"/>
      <c r="AH2702" s="865"/>
      <c r="AI2702" s="757">
        <f t="shared" si="360"/>
        <v>1251900</v>
      </c>
      <c r="AJ2702" s="758">
        <f t="shared" si="361"/>
        <v>1353500</v>
      </c>
    </row>
    <row r="2703" spans="1:36" x14ac:dyDescent="0.2">
      <c r="A2703" s="1069" t="s">
        <v>155</v>
      </c>
      <c r="B2703" s="1070" t="s">
        <v>286</v>
      </c>
      <c r="C2703" s="1090" t="s">
        <v>565</v>
      </c>
      <c r="D2703" s="1077"/>
      <c r="E2703" s="1078"/>
      <c r="F2703" s="1079"/>
      <c r="G2703" s="859"/>
      <c r="H2703" s="860"/>
      <c r="I2703" s="861"/>
      <c r="J2703" s="862"/>
      <c r="K2703" s="859"/>
      <c r="L2703" s="863"/>
      <c r="M2703" s="859"/>
      <c r="N2703" s="859"/>
      <c r="O2703" s="752">
        <f t="shared" si="354"/>
        <v>0</v>
      </c>
      <c r="P2703" s="862"/>
      <c r="Q2703" s="860"/>
      <c r="R2703" s="753">
        <f t="shared" si="357"/>
        <v>0</v>
      </c>
      <c r="S2703" s="752">
        <f t="shared" si="358"/>
        <v>0</v>
      </c>
      <c r="T2703" s="754">
        <f t="shared" si="359"/>
        <v>0</v>
      </c>
      <c r="U2703" s="859"/>
      <c r="V2703" s="863"/>
      <c r="W2703" s="859"/>
      <c r="X2703" s="859"/>
      <c r="Y2703" s="755">
        <f t="shared" si="355"/>
        <v>0</v>
      </c>
      <c r="Z2703" s="864"/>
      <c r="AA2703" s="863"/>
      <c r="AB2703" s="756">
        <f t="shared" si="356"/>
        <v>0</v>
      </c>
      <c r="AC2703" s="859"/>
      <c r="AD2703" s="863"/>
      <c r="AE2703" s="859"/>
      <c r="AF2703" s="859"/>
      <c r="AG2703" s="864"/>
      <c r="AH2703" s="865"/>
      <c r="AI2703" s="757">
        <f t="shared" si="360"/>
        <v>0</v>
      </c>
      <c r="AJ2703" s="758">
        <f t="shared" si="361"/>
        <v>0</v>
      </c>
    </row>
    <row r="2704" spans="1:36" x14ac:dyDescent="0.2">
      <c r="A2704" s="1069" t="s">
        <v>155</v>
      </c>
      <c r="B2704" s="1070" t="s">
        <v>287</v>
      </c>
      <c r="C2704" s="1090" t="s">
        <v>570</v>
      </c>
      <c r="D2704" s="1077"/>
      <c r="E2704" s="1078"/>
      <c r="F2704" s="1079"/>
      <c r="G2704" s="859"/>
      <c r="H2704" s="860"/>
      <c r="I2704" s="861"/>
      <c r="J2704" s="862"/>
      <c r="K2704" s="859"/>
      <c r="L2704" s="863"/>
      <c r="M2704" s="859"/>
      <c r="N2704" s="859"/>
      <c r="O2704" s="752">
        <f t="shared" si="354"/>
        <v>0</v>
      </c>
      <c r="P2704" s="862"/>
      <c r="Q2704" s="860"/>
      <c r="R2704" s="753">
        <f t="shared" si="357"/>
        <v>0</v>
      </c>
      <c r="S2704" s="752">
        <f t="shared" si="358"/>
        <v>0</v>
      </c>
      <c r="T2704" s="754">
        <f t="shared" si="359"/>
        <v>0</v>
      </c>
      <c r="U2704" s="859"/>
      <c r="V2704" s="863"/>
      <c r="W2704" s="859"/>
      <c r="X2704" s="859"/>
      <c r="Y2704" s="755">
        <f t="shared" si="355"/>
        <v>0</v>
      </c>
      <c r="Z2704" s="864"/>
      <c r="AA2704" s="863"/>
      <c r="AB2704" s="756">
        <f t="shared" si="356"/>
        <v>0</v>
      </c>
      <c r="AC2704" s="859"/>
      <c r="AD2704" s="863"/>
      <c r="AE2704" s="859"/>
      <c r="AF2704" s="859"/>
      <c r="AG2704" s="864"/>
      <c r="AH2704" s="865"/>
      <c r="AI2704" s="757">
        <f t="shared" si="360"/>
        <v>0</v>
      </c>
      <c r="AJ2704" s="758">
        <f t="shared" si="361"/>
        <v>0</v>
      </c>
    </row>
    <row r="2705" spans="1:36" x14ac:dyDescent="0.2">
      <c r="A2705" s="1069" t="s">
        <v>155</v>
      </c>
      <c r="B2705" s="1070" t="s">
        <v>288</v>
      </c>
      <c r="C2705" s="1080" t="s">
        <v>571</v>
      </c>
      <c r="D2705" s="1081"/>
      <c r="E2705" s="1078"/>
      <c r="F2705" s="1079"/>
      <c r="G2705" s="859"/>
      <c r="H2705" s="860"/>
      <c r="I2705" s="861"/>
      <c r="J2705" s="862"/>
      <c r="K2705" s="859"/>
      <c r="L2705" s="863"/>
      <c r="M2705" s="859"/>
      <c r="N2705" s="859"/>
      <c r="O2705" s="752">
        <f t="shared" si="354"/>
        <v>0</v>
      </c>
      <c r="P2705" s="862"/>
      <c r="Q2705" s="860"/>
      <c r="R2705" s="753">
        <f t="shared" si="357"/>
        <v>0</v>
      </c>
      <c r="S2705" s="752">
        <f t="shared" si="358"/>
        <v>0</v>
      </c>
      <c r="T2705" s="754">
        <f t="shared" si="359"/>
        <v>0</v>
      </c>
      <c r="U2705" s="859">
        <v>1966400</v>
      </c>
      <c r="V2705" s="863">
        <v>2020900</v>
      </c>
      <c r="W2705" s="859"/>
      <c r="X2705" s="859"/>
      <c r="Y2705" s="755">
        <f t="shared" si="355"/>
        <v>0</v>
      </c>
      <c r="Z2705" s="864">
        <v>0</v>
      </c>
      <c r="AA2705" s="863">
        <v>0</v>
      </c>
      <c r="AB2705" s="756">
        <f t="shared" si="356"/>
        <v>0</v>
      </c>
      <c r="AC2705" s="859"/>
      <c r="AD2705" s="863"/>
      <c r="AE2705" s="859"/>
      <c r="AF2705" s="859"/>
      <c r="AG2705" s="864"/>
      <c r="AH2705" s="865"/>
      <c r="AI2705" s="757">
        <f t="shared" si="360"/>
        <v>1966400</v>
      </c>
      <c r="AJ2705" s="758">
        <f t="shared" si="361"/>
        <v>2020900</v>
      </c>
    </row>
    <row r="2706" spans="1:36" x14ac:dyDescent="0.2">
      <c r="A2706" s="1069" t="s">
        <v>155</v>
      </c>
      <c r="B2706" s="1070" t="s">
        <v>288</v>
      </c>
      <c r="C2706" s="1082" t="s">
        <v>840</v>
      </c>
      <c r="D2706" s="1081"/>
      <c r="E2706" s="1078"/>
      <c r="F2706" s="1079"/>
      <c r="G2706" s="859"/>
      <c r="H2706" s="860"/>
      <c r="I2706" s="861"/>
      <c r="J2706" s="862"/>
      <c r="K2706" s="859"/>
      <c r="L2706" s="863"/>
      <c r="M2706" s="859"/>
      <c r="N2706" s="859"/>
      <c r="O2706" s="752">
        <f t="shared" si="354"/>
        <v>0</v>
      </c>
      <c r="P2706" s="862"/>
      <c r="Q2706" s="860"/>
      <c r="R2706" s="753">
        <f t="shared" si="357"/>
        <v>0</v>
      </c>
      <c r="S2706" s="752">
        <f t="shared" si="358"/>
        <v>0</v>
      </c>
      <c r="T2706" s="754">
        <f t="shared" si="359"/>
        <v>0</v>
      </c>
      <c r="U2706" s="859"/>
      <c r="V2706" s="863"/>
      <c r="W2706" s="859"/>
      <c r="X2706" s="859"/>
      <c r="Y2706" s="755">
        <f t="shared" si="355"/>
        <v>0</v>
      </c>
      <c r="Z2706" s="864"/>
      <c r="AA2706" s="863"/>
      <c r="AB2706" s="756">
        <f t="shared" si="356"/>
        <v>0</v>
      </c>
      <c r="AC2706" s="859"/>
      <c r="AD2706" s="863"/>
      <c r="AE2706" s="859"/>
      <c r="AF2706" s="859"/>
      <c r="AG2706" s="864"/>
      <c r="AH2706" s="865"/>
      <c r="AI2706" s="757">
        <f t="shared" si="360"/>
        <v>0</v>
      </c>
      <c r="AJ2706" s="758">
        <f t="shared" si="361"/>
        <v>0</v>
      </c>
    </row>
    <row r="2707" spans="1:36" x14ac:dyDescent="0.2">
      <c r="A2707" s="1069" t="s">
        <v>155</v>
      </c>
      <c r="B2707" s="1070" t="s">
        <v>288</v>
      </c>
      <c r="C2707" s="1082" t="s">
        <v>650</v>
      </c>
      <c r="D2707" s="1081"/>
      <c r="E2707" s="1078"/>
      <c r="F2707" s="1079"/>
      <c r="G2707" s="859"/>
      <c r="H2707" s="860"/>
      <c r="I2707" s="861"/>
      <c r="J2707" s="862"/>
      <c r="K2707" s="859"/>
      <c r="L2707" s="863"/>
      <c r="M2707" s="859"/>
      <c r="N2707" s="859"/>
      <c r="O2707" s="752">
        <f t="shared" si="354"/>
        <v>0</v>
      </c>
      <c r="P2707" s="862"/>
      <c r="Q2707" s="860"/>
      <c r="R2707" s="753">
        <f t="shared" si="357"/>
        <v>0</v>
      </c>
      <c r="S2707" s="752">
        <f t="shared" si="358"/>
        <v>0</v>
      </c>
      <c r="T2707" s="754">
        <f t="shared" si="359"/>
        <v>0</v>
      </c>
      <c r="U2707" s="859"/>
      <c r="V2707" s="863"/>
      <c r="W2707" s="859"/>
      <c r="X2707" s="859"/>
      <c r="Y2707" s="755">
        <f t="shared" si="355"/>
        <v>0</v>
      </c>
      <c r="Z2707" s="864"/>
      <c r="AA2707" s="863"/>
      <c r="AB2707" s="756">
        <f t="shared" si="356"/>
        <v>0</v>
      </c>
      <c r="AC2707" s="859"/>
      <c r="AD2707" s="863"/>
      <c r="AE2707" s="859"/>
      <c r="AF2707" s="859"/>
      <c r="AG2707" s="864"/>
      <c r="AH2707" s="865"/>
      <c r="AI2707" s="757">
        <f t="shared" si="360"/>
        <v>0</v>
      </c>
      <c r="AJ2707" s="758">
        <f t="shared" si="361"/>
        <v>0</v>
      </c>
    </row>
    <row r="2708" spans="1:36" x14ac:dyDescent="0.2">
      <c r="A2708" s="1069" t="s">
        <v>155</v>
      </c>
      <c r="B2708" s="1070" t="s">
        <v>289</v>
      </c>
      <c r="C2708" s="1080" t="s">
        <v>573</v>
      </c>
      <c r="D2708" s="1081"/>
      <c r="E2708" s="1078"/>
      <c r="F2708" s="1079"/>
      <c r="G2708" s="859"/>
      <c r="H2708" s="860"/>
      <c r="I2708" s="861"/>
      <c r="J2708" s="862"/>
      <c r="K2708" s="859"/>
      <c r="L2708" s="863"/>
      <c r="M2708" s="859"/>
      <c r="N2708" s="859"/>
      <c r="O2708" s="752">
        <f t="shared" si="354"/>
        <v>0</v>
      </c>
      <c r="P2708" s="862"/>
      <c r="Q2708" s="860"/>
      <c r="R2708" s="753">
        <f t="shared" si="357"/>
        <v>0</v>
      </c>
      <c r="S2708" s="752">
        <f t="shared" si="358"/>
        <v>0</v>
      </c>
      <c r="T2708" s="754">
        <f t="shared" si="359"/>
        <v>0</v>
      </c>
      <c r="U2708" s="859"/>
      <c r="V2708" s="863"/>
      <c r="W2708" s="859"/>
      <c r="X2708" s="859"/>
      <c r="Y2708" s="755">
        <f t="shared" si="355"/>
        <v>0</v>
      </c>
      <c r="Z2708" s="864"/>
      <c r="AA2708" s="863"/>
      <c r="AB2708" s="756">
        <f t="shared" si="356"/>
        <v>0</v>
      </c>
      <c r="AC2708" s="859"/>
      <c r="AD2708" s="863"/>
      <c r="AE2708" s="859"/>
      <c r="AF2708" s="859"/>
      <c r="AG2708" s="864"/>
      <c r="AH2708" s="865"/>
      <c r="AI2708" s="757">
        <f t="shared" si="360"/>
        <v>0</v>
      </c>
      <c r="AJ2708" s="758">
        <f t="shared" si="361"/>
        <v>0</v>
      </c>
    </row>
    <row r="2709" spans="1:36" x14ac:dyDescent="0.2">
      <c r="A2709" s="1069" t="s">
        <v>155</v>
      </c>
      <c r="B2709" s="1070" t="s">
        <v>290</v>
      </c>
      <c r="C2709" s="1080" t="s">
        <v>137</v>
      </c>
      <c r="D2709" s="1081"/>
      <c r="E2709" s="1078"/>
      <c r="F2709" s="1079"/>
      <c r="G2709" s="859"/>
      <c r="H2709" s="860"/>
      <c r="I2709" s="861"/>
      <c r="J2709" s="862"/>
      <c r="K2709" s="859"/>
      <c r="L2709" s="863"/>
      <c r="M2709" s="859"/>
      <c r="N2709" s="859"/>
      <c r="O2709" s="752">
        <f t="shared" si="354"/>
        <v>0</v>
      </c>
      <c r="P2709" s="862"/>
      <c r="Q2709" s="860"/>
      <c r="R2709" s="753">
        <f t="shared" si="357"/>
        <v>0</v>
      </c>
      <c r="S2709" s="752">
        <f t="shared" si="358"/>
        <v>0</v>
      </c>
      <c r="T2709" s="754">
        <f t="shared" si="359"/>
        <v>0</v>
      </c>
      <c r="U2709" s="859"/>
      <c r="V2709" s="863"/>
      <c r="W2709" s="859"/>
      <c r="X2709" s="859"/>
      <c r="Y2709" s="755">
        <f t="shared" si="355"/>
        <v>0</v>
      </c>
      <c r="Z2709" s="864"/>
      <c r="AA2709" s="863"/>
      <c r="AB2709" s="756">
        <f t="shared" si="356"/>
        <v>0</v>
      </c>
      <c r="AC2709" s="859"/>
      <c r="AD2709" s="863"/>
      <c r="AE2709" s="859"/>
      <c r="AF2709" s="859"/>
      <c r="AG2709" s="864"/>
      <c r="AH2709" s="865"/>
      <c r="AI2709" s="757">
        <f t="shared" si="360"/>
        <v>0</v>
      </c>
      <c r="AJ2709" s="758">
        <f t="shared" si="361"/>
        <v>0</v>
      </c>
    </row>
    <row r="2710" spans="1:36" x14ac:dyDescent="0.2">
      <c r="A2710" s="1069" t="s">
        <v>155</v>
      </c>
      <c r="B2710" s="1070" t="s">
        <v>291</v>
      </c>
      <c r="C2710" s="1090" t="s">
        <v>574</v>
      </c>
      <c r="D2710" s="1077"/>
      <c r="E2710" s="1078"/>
      <c r="F2710" s="1079"/>
      <c r="G2710" s="859"/>
      <c r="H2710" s="860"/>
      <c r="I2710" s="861"/>
      <c r="J2710" s="862"/>
      <c r="K2710" s="859"/>
      <c r="L2710" s="863"/>
      <c r="M2710" s="859"/>
      <c r="N2710" s="859"/>
      <c r="O2710" s="752">
        <f t="shared" si="354"/>
        <v>0</v>
      </c>
      <c r="P2710" s="862"/>
      <c r="Q2710" s="860"/>
      <c r="R2710" s="753">
        <f t="shared" si="357"/>
        <v>0</v>
      </c>
      <c r="S2710" s="752">
        <f t="shared" si="358"/>
        <v>0</v>
      </c>
      <c r="T2710" s="754">
        <f t="shared" si="359"/>
        <v>0</v>
      </c>
      <c r="U2710" s="859"/>
      <c r="V2710" s="863"/>
      <c r="W2710" s="859"/>
      <c r="X2710" s="859"/>
      <c r="Y2710" s="755">
        <f t="shared" si="355"/>
        <v>0</v>
      </c>
      <c r="Z2710" s="864"/>
      <c r="AA2710" s="863"/>
      <c r="AB2710" s="756">
        <f t="shared" si="356"/>
        <v>0</v>
      </c>
      <c r="AC2710" s="859"/>
      <c r="AD2710" s="863"/>
      <c r="AE2710" s="859"/>
      <c r="AF2710" s="859"/>
      <c r="AG2710" s="864"/>
      <c r="AH2710" s="865"/>
      <c r="AI2710" s="757">
        <f t="shared" si="360"/>
        <v>0</v>
      </c>
      <c r="AJ2710" s="758">
        <f t="shared" si="361"/>
        <v>0</v>
      </c>
    </row>
    <row r="2711" spans="1:36" x14ac:dyDescent="0.2">
      <c r="A2711" s="1069" t="s">
        <v>155</v>
      </c>
      <c r="B2711" s="1070" t="s">
        <v>292</v>
      </c>
      <c r="C2711" s="1093" t="s">
        <v>34</v>
      </c>
      <c r="D2711" s="1094"/>
      <c r="E2711" s="1078"/>
      <c r="F2711" s="1079"/>
      <c r="G2711" s="859"/>
      <c r="H2711" s="860"/>
      <c r="I2711" s="861"/>
      <c r="J2711" s="862"/>
      <c r="K2711" s="859"/>
      <c r="L2711" s="863"/>
      <c r="M2711" s="859"/>
      <c r="N2711" s="859"/>
      <c r="O2711" s="752">
        <f t="shared" si="354"/>
        <v>0</v>
      </c>
      <c r="P2711" s="862"/>
      <c r="Q2711" s="860"/>
      <c r="R2711" s="753">
        <f t="shared" si="357"/>
        <v>0</v>
      </c>
      <c r="S2711" s="752">
        <f t="shared" si="358"/>
        <v>0</v>
      </c>
      <c r="T2711" s="754">
        <f t="shared" si="359"/>
        <v>0</v>
      </c>
      <c r="U2711" s="859"/>
      <c r="V2711" s="863"/>
      <c r="W2711" s="859"/>
      <c r="X2711" s="859"/>
      <c r="Y2711" s="755">
        <f t="shared" si="355"/>
        <v>0</v>
      </c>
      <c r="Z2711" s="864"/>
      <c r="AA2711" s="863"/>
      <c r="AB2711" s="756">
        <f t="shared" si="356"/>
        <v>0</v>
      </c>
      <c r="AC2711" s="859"/>
      <c r="AD2711" s="863"/>
      <c r="AE2711" s="859"/>
      <c r="AF2711" s="859"/>
      <c r="AG2711" s="864"/>
      <c r="AH2711" s="865"/>
      <c r="AI2711" s="757">
        <f t="shared" si="360"/>
        <v>0</v>
      </c>
      <c r="AJ2711" s="758">
        <f t="shared" si="361"/>
        <v>0</v>
      </c>
    </row>
    <row r="2712" spans="1:36" x14ac:dyDescent="0.2">
      <c r="A2712" s="1069" t="s">
        <v>155</v>
      </c>
      <c r="B2712" s="1070" t="s">
        <v>292</v>
      </c>
      <c r="C2712" s="1095" t="s">
        <v>923</v>
      </c>
      <c r="D2712" s="1081"/>
      <c r="E2712" s="1078"/>
      <c r="F2712" s="1079"/>
      <c r="G2712" s="859"/>
      <c r="H2712" s="860"/>
      <c r="I2712" s="861"/>
      <c r="J2712" s="862"/>
      <c r="K2712" s="859"/>
      <c r="L2712" s="863"/>
      <c r="M2712" s="859"/>
      <c r="N2712" s="859"/>
      <c r="O2712" s="752">
        <f t="shared" si="354"/>
        <v>0</v>
      </c>
      <c r="P2712" s="862"/>
      <c r="Q2712" s="860"/>
      <c r="R2712" s="753">
        <f t="shared" si="357"/>
        <v>0</v>
      </c>
      <c r="S2712" s="752">
        <f t="shared" si="358"/>
        <v>0</v>
      </c>
      <c r="T2712" s="754">
        <f t="shared" si="359"/>
        <v>0</v>
      </c>
      <c r="U2712" s="859"/>
      <c r="V2712" s="863"/>
      <c r="W2712" s="859"/>
      <c r="X2712" s="859"/>
      <c r="Y2712" s="755">
        <f t="shared" si="355"/>
        <v>0</v>
      </c>
      <c r="Z2712" s="864"/>
      <c r="AA2712" s="863"/>
      <c r="AB2712" s="756">
        <f t="shared" si="356"/>
        <v>0</v>
      </c>
      <c r="AC2712" s="859"/>
      <c r="AD2712" s="863"/>
      <c r="AE2712" s="859"/>
      <c r="AF2712" s="859"/>
      <c r="AG2712" s="864"/>
      <c r="AH2712" s="865"/>
      <c r="AI2712" s="757">
        <f t="shared" si="360"/>
        <v>0</v>
      </c>
      <c r="AJ2712" s="758">
        <f t="shared" si="361"/>
        <v>0</v>
      </c>
    </row>
    <row r="2713" spans="1:36" x14ac:dyDescent="0.2">
      <c r="A2713" s="1069" t="s">
        <v>155</v>
      </c>
      <c r="B2713" s="1096" t="s">
        <v>209</v>
      </c>
      <c r="C2713" s="1097" t="s">
        <v>576</v>
      </c>
      <c r="D2713" s="1098"/>
      <c r="E2713" s="1099"/>
      <c r="F2713" s="1100"/>
      <c r="G2713" s="859"/>
      <c r="H2713" s="860"/>
      <c r="I2713" s="861"/>
      <c r="J2713" s="862"/>
      <c r="K2713" s="859"/>
      <c r="L2713" s="863"/>
      <c r="M2713" s="859"/>
      <c r="N2713" s="859"/>
      <c r="O2713" s="752">
        <f t="shared" si="354"/>
        <v>0</v>
      </c>
      <c r="P2713" s="862"/>
      <c r="Q2713" s="860"/>
      <c r="R2713" s="753">
        <f t="shared" si="357"/>
        <v>0</v>
      </c>
      <c r="S2713" s="752">
        <f t="shared" si="358"/>
        <v>0</v>
      </c>
      <c r="T2713" s="754">
        <f t="shared" si="359"/>
        <v>0</v>
      </c>
      <c r="U2713" s="859"/>
      <c r="V2713" s="863"/>
      <c r="W2713" s="859"/>
      <c r="X2713" s="859"/>
      <c r="Y2713" s="755">
        <f t="shared" si="355"/>
        <v>0</v>
      </c>
      <c r="Z2713" s="864"/>
      <c r="AA2713" s="863"/>
      <c r="AB2713" s="756">
        <f t="shared" si="356"/>
        <v>0</v>
      </c>
      <c r="AC2713" s="859"/>
      <c r="AD2713" s="863"/>
      <c r="AE2713" s="859"/>
      <c r="AF2713" s="859"/>
      <c r="AG2713" s="864"/>
      <c r="AH2713" s="865"/>
      <c r="AI2713" s="757">
        <f t="shared" si="360"/>
        <v>0</v>
      </c>
      <c r="AJ2713" s="758">
        <f t="shared" si="361"/>
        <v>0</v>
      </c>
    </row>
    <row r="2714" spans="1:36" x14ac:dyDescent="0.2">
      <c r="A2714" s="1069" t="s">
        <v>155</v>
      </c>
      <c r="B2714" s="1096" t="s">
        <v>210</v>
      </c>
      <c r="C2714" s="1097" t="s">
        <v>311</v>
      </c>
      <c r="D2714" s="1098"/>
      <c r="E2714" s="1099"/>
      <c r="F2714" s="1100"/>
      <c r="G2714" s="859"/>
      <c r="H2714" s="860"/>
      <c r="I2714" s="861"/>
      <c r="J2714" s="862"/>
      <c r="K2714" s="859"/>
      <c r="L2714" s="863"/>
      <c r="M2714" s="859"/>
      <c r="N2714" s="859"/>
      <c r="O2714" s="752">
        <f t="shared" si="354"/>
        <v>0</v>
      </c>
      <c r="P2714" s="862"/>
      <c r="Q2714" s="860"/>
      <c r="R2714" s="753">
        <f t="shared" si="357"/>
        <v>0</v>
      </c>
      <c r="S2714" s="752">
        <f t="shared" si="358"/>
        <v>0</v>
      </c>
      <c r="T2714" s="754">
        <f t="shared" si="359"/>
        <v>0</v>
      </c>
      <c r="U2714" s="859">
        <v>120677649</v>
      </c>
      <c r="V2714" s="1101">
        <v>113858091.14</v>
      </c>
      <c r="W2714" s="859"/>
      <c r="X2714" s="859"/>
      <c r="Y2714" s="755">
        <f t="shared" si="355"/>
        <v>0</v>
      </c>
      <c r="Z2714" s="864">
        <v>0</v>
      </c>
      <c r="AA2714" s="863">
        <v>0</v>
      </c>
      <c r="AB2714" s="756">
        <f t="shared" si="356"/>
        <v>0</v>
      </c>
      <c r="AC2714" s="859"/>
      <c r="AD2714" s="863"/>
      <c r="AE2714" s="859"/>
      <c r="AF2714" s="859"/>
      <c r="AG2714" s="864"/>
      <c r="AH2714" s="865"/>
      <c r="AI2714" s="757">
        <f t="shared" si="360"/>
        <v>120677649</v>
      </c>
      <c r="AJ2714" s="758">
        <f t="shared" si="361"/>
        <v>113858091.14</v>
      </c>
    </row>
    <row r="2715" spans="1:36" x14ac:dyDescent="0.2">
      <c r="A2715" s="1069" t="s">
        <v>155</v>
      </c>
      <c r="B2715" s="1096" t="s">
        <v>204</v>
      </c>
      <c r="C2715" s="1097" t="s">
        <v>249</v>
      </c>
      <c r="D2715" s="1098"/>
      <c r="E2715" s="1099"/>
      <c r="F2715" s="1100"/>
      <c r="G2715" s="859"/>
      <c r="H2715" s="860"/>
      <c r="I2715" s="861"/>
      <c r="J2715" s="862"/>
      <c r="K2715" s="859"/>
      <c r="L2715" s="863"/>
      <c r="M2715" s="859"/>
      <c r="N2715" s="859"/>
      <c r="O2715" s="752">
        <f t="shared" si="354"/>
        <v>0</v>
      </c>
      <c r="P2715" s="862"/>
      <c r="Q2715" s="860"/>
      <c r="R2715" s="753">
        <f t="shared" si="357"/>
        <v>0</v>
      </c>
      <c r="S2715" s="752">
        <f t="shared" si="358"/>
        <v>0</v>
      </c>
      <c r="T2715" s="754">
        <f t="shared" si="359"/>
        <v>0</v>
      </c>
      <c r="U2715" s="859">
        <v>167356454</v>
      </c>
      <c r="V2715" s="1101">
        <v>165956549</v>
      </c>
      <c r="W2715" s="859"/>
      <c r="X2715" s="859"/>
      <c r="Y2715" s="755">
        <f t="shared" si="355"/>
        <v>0</v>
      </c>
      <c r="Z2715" s="864">
        <v>0</v>
      </c>
      <c r="AA2715" s="863">
        <v>0</v>
      </c>
      <c r="AB2715" s="756">
        <f t="shared" si="356"/>
        <v>0</v>
      </c>
      <c r="AC2715" s="859"/>
      <c r="AD2715" s="863"/>
      <c r="AE2715" s="859"/>
      <c r="AF2715" s="859"/>
      <c r="AG2715" s="864"/>
      <c r="AH2715" s="865"/>
      <c r="AI2715" s="757">
        <f t="shared" si="360"/>
        <v>167356454</v>
      </c>
      <c r="AJ2715" s="758">
        <f t="shared" si="361"/>
        <v>165956549</v>
      </c>
    </row>
    <row r="2716" spans="1:36" x14ac:dyDescent="0.2">
      <c r="A2716" s="1069" t="s">
        <v>155</v>
      </c>
      <c r="B2716" s="1096" t="s">
        <v>205</v>
      </c>
      <c r="C2716" s="1097" t="s">
        <v>577</v>
      </c>
      <c r="D2716" s="1098"/>
      <c r="E2716" s="1099"/>
      <c r="F2716" s="1100"/>
      <c r="G2716" s="859"/>
      <c r="H2716" s="860"/>
      <c r="I2716" s="861"/>
      <c r="J2716" s="862"/>
      <c r="K2716" s="859"/>
      <c r="L2716" s="863"/>
      <c r="M2716" s="859"/>
      <c r="N2716" s="859"/>
      <c r="O2716" s="752">
        <f t="shared" si="354"/>
        <v>0</v>
      </c>
      <c r="P2716" s="862"/>
      <c r="Q2716" s="860"/>
      <c r="R2716" s="753">
        <f t="shared" si="357"/>
        <v>0</v>
      </c>
      <c r="S2716" s="752">
        <f t="shared" si="358"/>
        <v>0</v>
      </c>
      <c r="T2716" s="754">
        <f t="shared" si="359"/>
        <v>0</v>
      </c>
      <c r="U2716" s="859"/>
      <c r="V2716" s="863"/>
      <c r="W2716" s="859"/>
      <c r="X2716" s="859"/>
      <c r="Y2716" s="755">
        <f t="shared" si="355"/>
        <v>0</v>
      </c>
      <c r="Z2716" s="864"/>
      <c r="AA2716" s="863"/>
      <c r="AB2716" s="756">
        <f t="shared" si="356"/>
        <v>0</v>
      </c>
      <c r="AC2716" s="859"/>
      <c r="AD2716" s="863"/>
      <c r="AE2716" s="859"/>
      <c r="AF2716" s="859"/>
      <c r="AG2716" s="864"/>
      <c r="AH2716" s="865"/>
      <c r="AI2716" s="757">
        <f t="shared" si="360"/>
        <v>0</v>
      </c>
      <c r="AJ2716" s="758">
        <f t="shared" si="361"/>
        <v>0</v>
      </c>
    </row>
    <row r="2717" spans="1:36" x14ac:dyDescent="0.2">
      <c r="A2717" s="1069" t="s">
        <v>155</v>
      </c>
      <c r="B2717" s="1096" t="s">
        <v>218</v>
      </c>
      <c r="C2717" s="1097" t="s">
        <v>311</v>
      </c>
      <c r="D2717" s="1098"/>
      <c r="E2717" s="1099"/>
      <c r="F2717" s="1100"/>
      <c r="G2717" s="859"/>
      <c r="H2717" s="860"/>
      <c r="I2717" s="861"/>
      <c r="J2717" s="862"/>
      <c r="K2717" s="859"/>
      <c r="L2717" s="863"/>
      <c r="M2717" s="859"/>
      <c r="N2717" s="859"/>
      <c r="O2717" s="752">
        <f t="shared" si="354"/>
        <v>0</v>
      </c>
      <c r="P2717" s="862"/>
      <c r="Q2717" s="860"/>
      <c r="R2717" s="753">
        <f t="shared" si="357"/>
        <v>0</v>
      </c>
      <c r="S2717" s="752">
        <f t="shared" si="358"/>
        <v>0</v>
      </c>
      <c r="T2717" s="754">
        <f t="shared" si="359"/>
        <v>0</v>
      </c>
      <c r="U2717" s="859">
        <v>47269831</v>
      </c>
      <c r="V2717" s="1101">
        <v>46943432.5</v>
      </c>
      <c r="W2717" s="859"/>
      <c r="X2717" s="859"/>
      <c r="Y2717" s="755">
        <f t="shared" si="355"/>
        <v>0</v>
      </c>
      <c r="Z2717" s="864">
        <v>0</v>
      </c>
      <c r="AA2717" s="863">
        <v>0</v>
      </c>
      <c r="AB2717" s="756">
        <f t="shared" si="356"/>
        <v>0</v>
      </c>
      <c r="AC2717" s="859"/>
      <c r="AD2717" s="863"/>
      <c r="AE2717" s="859"/>
      <c r="AF2717" s="859"/>
      <c r="AG2717" s="864"/>
      <c r="AH2717" s="865"/>
      <c r="AI2717" s="757">
        <f t="shared" si="360"/>
        <v>47269831</v>
      </c>
      <c r="AJ2717" s="758">
        <f t="shared" si="361"/>
        <v>46943432.5</v>
      </c>
    </row>
    <row r="2718" spans="1:36" x14ac:dyDescent="0.2">
      <c r="A2718" s="1069" t="s">
        <v>155</v>
      </c>
      <c r="B2718" s="1096" t="s">
        <v>219</v>
      </c>
      <c r="C2718" s="1097" t="s">
        <v>249</v>
      </c>
      <c r="D2718" s="1098"/>
      <c r="E2718" s="1099"/>
      <c r="F2718" s="1100"/>
      <c r="G2718" s="859"/>
      <c r="H2718" s="860"/>
      <c r="I2718" s="861"/>
      <c r="J2718" s="862"/>
      <c r="K2718" s="859"/>
      <c r="L2718" s="863"/>
      <c r="M2718" s="859"/>
      <c r="N2718" s="859"/>
      <c r="O2718" s="752">
        <f t="shared" si="354"/>
        <v>0</v>
      </c>
      <c r="P2718" s="862"/>
      <c r="Q2718" s="860"/>
      <c r="R2718" s="753">
        <f t="shared" si="357"/>
        <v>0</v>
      </c>
      <c r="S2718" s="752">
        <f t="shared" si="358"/>
        <v>0</v>
      </c>
      <c r="T2718" s="754">
        <f t="shared" si="359"/>
        <v>0</v>
      </c>
      <c r="U2718" s="859">
        <v>40256143</v>
      </c>
      <c r="V2718" s="1101">
        <v>40567472.32</v>
      </c>
      <c r="W2718" s="859"/>
      <c r="X2718" s="859"/>
      <c r="Y2718" s="755">
        <f t="shared" si="355"/>
        <v>0</v>
      </c>
      <c r="Z2718" s="864">
        <v>0</v>
      </c>
      <c r="AA2718" s="863">
        <v>0</v>
      </c>
      <c r="AB2718" s="756">
        <f t="shared" si="356"/>
        <v>0</v>
      </c>
      <c r="AC2718" s="859"/>
      <c r="AD2718" s="863"/>
      <c r="AE2718" s="859"/>
      <c r="AF2718" s="859"/>
      <c r="AG2718" s="864"/>
      <c r="AH2718" s="865"/>
      <c r="AI2718" s="757">
        <f t="shared" si="360"/>
        <v>40256143</v>
      </c>
      <c r="AJ2718" s="758">
        <f t="shared" si="361"/>
        <v>40567472.32</v>
      </c>
    </row>
    <row r="2719" spans="1:36" x14ac:dyDescent="0.2">
      <c r="A2719" s="1069" t="s">
        <v>155</v>
      </c>
      <c r="B2719" s="1096" t="s">
        <v>293</v>
      </c>
      <c r="C2719" s="1102" t="s">
        <v>588</v>
      </c>
      <c r="D2719" s="1103"/>
      <c r="E2719" s="1099"/>
      <c r="F2719" s="1100"/>
      <c r="G2719" s="859"/>
      <c r="H2719" s="860"/>
      <c r="I2719" s="861"/>
      <c r="J2719" s="862"/>
      <c r="K2719" s="859"/>
      <c r="L2719" s="863"/>
      <c r="M2719" s="859"/>
      <c r="N2719" s="859"/>
      <c r="O2719" s="752">
        <f t="shared" si="354"/>
        <v>0</v>
      </c>
      <c r="P2719" s="862"/>
      <c r="Q2719" s="860"/>
      <c r="R2719" s="753">
        <f t="shared" si="357"/>
        <v>0</v>
      </c>
      <c r="S2719" s="752">
        <f t="shared" si="358"/>
        <v>0</v>
      </c>
      <c r="T2719" s="754">
        <f t="shared" si="359"/>
        <v>0</v>
      </c>
      <c r="U2719" s="859"/>
      <c r="V2719" s="863"/>
      <c r="W2719" s="859"/>
      <c r="X2719" s="859"/>
      <c r="Y2719" s="755">
        <f t="shared" si="355"/>
        <v>0</v>
      </c>
      <c r="Z2719" s="864"/>
      <c r="AA2719" s="863"/>
      <c r="AB2719" s="756">
        <f t="shared" si="356"/>
        <v>0</v>
      </c>
      <c r="AC2719" s="859"/>
      <c r="AD2719" s="863"/>
      <c r="AE2719" s="859"/>
      <c r="AF2719" s="859"/>
      <c r="AG2719" s="864"/>
      <c r="AH2719" s="865"/>
      <c r="AI2719" s="757">
        <f t="shared" si="360"/>
        <v>0</v>
      </c>
      <c r="AJ2719" s="758">
        <f t="shared" si="361"/>
        <v>0</v>
      </c>
    </row>
    <row r="2720" spans="1:36" x14ac:dyDescent="0.2">
      <c r="A2720" s="1069" t="s">
        <v>155</v>
      </c>
      <c r="B2720" s="1096" t="s">
        <v>252</v>
      </c>
      <c r="C2720" s="1097" t="s">
        <v>311</v>
      </c>
      <c r="D2720" s="1098"/>
      <c r="E2720" s="1099"/>
      <c r="F2720" s="1100"/>
      <c r="G2720" s="859"/>
      <c r="H2720" s="860"/>
      <c r="I2720" s="861"/>
      <c r="J2720" s="862"/>
      <c r="K2720" s="859"/>
      <c r="L2720" s="863"/>
      <c r="M2720" s="859"/>
      <c r="N2720" s="859"/>
      <c r="O2720" s="752">
        <f t="shared" si="354"/>
        <v>0</v>
      </c>
      <c r="P2720" s="862"/>
      <c r="Q2720" s="860"/>
      <c r="R2720" s="753">
        <f t="shared" si="357"/>
        <v>0</v>
      </c>
      <c r="S2720" s="752">
        <f t="shared" si="358"/>
        <v>0</v>
      </c>
      <c r="T2720" s="754">
        <f t="shared" si="359"/>
        <v>0</v>
      </c>
      <c r="U2720" s="859"/>
      <c r="V2720" s="863"/>
      <c r="W2720" s="859"/>
      <c r="X2720" s="859"/>
      <c r="Y2720" s="755">
        <f t="shared" si="355"/>
        <v>0</v>
      </c>
      <c r="Z2720" s="864"/>
      <c r="AA2720" s="863"/>
      <c r="AB2720" s="756">
        <f t="shared" si="356"/>
        <v>0</v>
      </c>
      <c r="AC2720" s="859"/>
      <c r="AD2720" s="863"/>
      <c r="AE2720" s="859"/>
      <c r="AF2720" s="859"/>
      <c r="AG2720" s="864"/>
      <c r="AH2720" s="865"/>
      <c r="AI2720" s="757">
        <f t="shared" si="360"/>
        <v>0</v>
      </c>
      <c r="AJ2720" s="758">
        <f t="shared" si="361"/>
        <v>0</v>
      </c>
    </row>
    <row r="2721" spans="1:36" x14ac:dyDescent="0.2">
      <c r="A2721" s="1069" t="s">
        <v>155</v>
      </c>
      <c r="B2721" s="1096" t="s">
        <v>253</v>
      </c>
      <c r="C2721" s="1097" t="s">
        <v>249</v>
      </c>
      <c r="D2721" s="1098"/>
      <c r="E2721" s="1099"/>
      <c r="F2721" s="1100"/>
      <c r="G2721" s="859"/>
      <c r="H2721" s="860"/>
      <c r="I2721" s="861"/>
      <c r="J2721" s="862"/>
      <c r="K2721" s="859"/>
      <c r="L2721" s="863"/>
      <c r="M2721" s="859"/>
      <c r="N2721" s="859"/>
      <c r="O2721" s="752">
        <f t="shared" si="354"/>
        <v>0</v>
      </c>
      <c r="P2721" s="862"/>
      <c r="Q2721" s="860"/>
      <c r="R2721" s="753">
        <f t="shared" si="357"/>
        <v>0</v>
      </c>
      <c r="S2721" s="752">
        <f t="shared" si="358"/>
        <v>0</v>
      </c>
      <c r="T2721" s="754">
        <f t="shared" si="359"/>
        <v>0</v>
      </c>
      <c r="U2721" s="859"/>
      <c r="V2721" s="863"/>
      <c r="W2721" s="859"/>
      <c r="X2721" s="859"/>
      <c r="Y2721" s="755">
        <f t="shared" si="355"/>
        <v>0</v>
      </c>
      <c r="Z2721" s="864"/>
      <c r="AA2721" s="863"/>
      <c r="AB2721" s="756">
        <f t="shared" si="356"/>
        <v>0</v>
      </c>
      <c r="AC2721" s="859"/>
      <c r="AD2721" s="863"/>
      <c r="AE2721" s="859"/>
      <c r="AF2721" s="859"/>
      <c r="AG2721" s="864"/>
      <c r="AH2721" s="865"/>
      <c r="AI2721" s="757">
        <f t="shared" si="360"/>
        <v>0</v>
      </c>
      <c r="AJ2721" s="758">
        <f t="shared" si="361"/>
        <v>0</v>
      </c>
    </row>
    <row r="2722" spans="1:36" x14ac:dyDescent="0.2">
      <c r="A2722" s="1069" t="s">
        <v>155</v>
      </c>
      <c r="B2722" s="1070" t="s">
        <v>294</v>
      </c>
      <c r="C2722" s="1093" t="s">
        <v>307</v>
      </c>
      <c r="D2722" s="1094"/>
      <c r="E2722" s="1078"/>
      <c r="F2722" s="1079"/>
      <c r="G2722" s="859"/>
      <c r="H2722" s="860"/>
      <c r="I2722" s="861"/>
      <c r="J2722" s="862"/>
      <c r="K2722" s="859"/>
      <c r="L2722" s="863"/>
      <c r="M2722" s="859"/>
      <c r="N2722" s="859"/>
      <c r="O2722" s="752">
        <f t="shared" si="354"/>
        <v>0</v>
      </c>
      <c r="P2722" s="862"/>
      <c r="Q2722" s="860"/>
      <c r="R2722" s="753">
        <f t="shared" si="357"/>
        <v>0</v>
      </c>
      <c r="S2722" s="752">
        <f t="shared" si="358"/>
        <v>0</v>
      </c>
      <c r="T2722" s="754">
        <f t="shared" si="359"/>
        <v>0</v>
      </c>
      <c r="U2722" s="859"/>
      <c r="V2722" s="863"/>
      <c r="W2722" s="859"/>
      <c r="X2722" s="859"/>
      <c r="Y2722" s="755">
        <f t="shared" si="355"/>
        <v>0</v>
      </c>
      <c r="Z2722" s="864"/>
      <c r="AA2722" s="863"/>
      <c r="AB2722" s="756">
        <f t="shared" si="356"/>
        <v>0</v>
      </c>
      <c r="AC2722" s="859"/>
      <c r="AD2722" s="863"/>
      <c r="AE2722" s="859"/>
      <c r="AF2722" s="859"/>
      <c r="AG2722" s="864"/>
      <c r="AH2722" s="865"/>
      <c r="AI2722" s="757">
        <f t="shared" si="360"/>
        <v>0</v>
      </c>
      <c r="AJ2722" s="758">
        <f t="shared" si="361"/>
        <v>0</v>
      </c>
    </row>
    <row r="2723" spans="1:36" x14ac:dyDescent="0.2">
      <c r="A2723" s="1069" t="s">
        <v>155</v>
      </c>
      <c r="B2723" s="1096" t="s">
        <v>254</v>
      </c>
      <c r="C2723" s="1097" t="s">
        <v>311</v>
      </c>
      <c r="D2723" s="1098"/>
      <c r="E2723" s="1099"/>
      <c r="F2723" s="1100"/>
      <c r="G2723" s="859"/>
      <c r="H2723" s="860"/>
      <c r="I2723" s="861"/>
      <c r="J2723" s="862"/>
      <c r="K2723" s="859"/>
      <c r="L2723" s="863"/>
      <c r="M2723" s="859"/>
      <c r="N2723" s="859"/>
      <c r="O2723" s="752">
        <f t="shared" si="354"/>
        <v>0</v>
      </c>
      <c r="P2723" s="862"/>
      <c r="Q2723" s="860"/>
      <c r="R2723" s="753">
        <f t="shared" si="357"/>
        <v>0</v>
      </c>
      <c r="S2723" s="752">
        <f t="shared" si="358"/>
        <v>0</v>
      </c>
      <c r="T2723" s="754">
        <f t="shared" si="359"/>
        <v>0</v>
      </c>
      <c r="U2723" s="859"/>
      <c r="V2723" s="863"/>
      <c r="W2723" s="859"/>
      <c r="X2723" s="859"/>
      <c r="Y2723" s="755">
        <f t="shared" si="355"/>
        <v>0</v>
      </c>
      <c r="Z2723" s="864"/>
      <c r="AA2723" s="863"/>
      <c r="AB2723" s="756">
        <f t="shared" si="356"/>
        <v>0</v>
      </c>
      <c r="AC2723" s="859"/>
      <c r="AD2723" s="863"/>
      <c r="AE2723" s="859"/>
      <c r="AF2723" s="859"/>
      <c r="AG2723" s="864"/>
      <c r="AH2723" s="865"/>
      <c r="AI2723" s="757">
        <f t="shared" si="360"/>
        <v>0</v>
      </c>
      <c r="AJ2723" s="758">
        <f t="shared" si="361"/>
        <v>0</v>
      </c>
    </row>
    <row r="2724" spans="1:36" x14ac:dyDescent="0.2">
      <c r="A2724" s="1069" t="s">
        <v>155</v>
      </c>
      <c r="B2724" s="1096" t="s">
        <v>255</v>
      </c>
      <c r="C2724" s="1097" t="s">
        <v>249</v>
      </c>
      <c r="D2724" s="1098"/>
      <c r="E2724" s="1099"/>
      <c r="F2724" s="1100"/>
      <c r="G2724" s="859"/>
      <c r="H2724" s="860"/>
      <c r="I2724" s="861"/>
      <c r="J2724" s="862"/>
      <c r="K2724" s="859"/>
      <c r="L2724" s="863"/>
      <c r="M2724" s="859"/>
      <c r="N2724" s="859"/>
      <c r="O2724" s="752">
        <f t="shared" si="354"/>
        <v>0</v>
      </c>
      <c r="P2724" s="862"/>
      <c r="Q2724" s="860"/>
      <c r="R2724" s="753">
        <f t="shared" si="357"/>
        <v>0</v>
      </c>
      <c r="S2724" s="752">
        <f t="shared" si="358"/>
        <v>0</v>
      </c>
      <c r="T2724" s="754">
        <f t="shared" si="359"/>
        <v>0</v>
      </c>
      <c r="U2724" s="859"/>
      <c r="V2724" s="863"/>
      <c r="W2724" s="859"/>
      <c r="X2724" s="859"/>
      <c r="Y2724" s="755">
        <f t="shared" si="355"/>
        <v>0</v>
      </c>
      <c r="Z2724" s="864"/>
      <c r="AA2724" s="863"/>
      <c r="AB2724" s="756">
        <f t="shared" si="356"/>
        <v>0</v>
      </c>
      <c r="AC2724" s="859"/>
      <c r="AD2724" s="863"/>
      <c r="AE2724" s="859"/>
      <c r="AF2724" s="859"/>
      <c r="AG2724" s="864"/>
      <c r="AH2724" s="865"/>
      <c r="AI2724" s="757">
        <f t="shared" si="360"/>
        <v>0</v>
      </c>
      <c r="AJ2724" s="758">
        <f t="shared" si="361"/>
        <v>0</v>
      </c>
    </row>
    <row r="2725" spans="1:36" x14ac:dyDescent="0.2">
      <c r="A2725" s="1369" t="s">
        <v>147</v>
      </c>
      <c r="B2725" s="1008" t="s">
        <v>264</v>
      </c>
      <c r="C2725" s="1370" t="s">
        <v>1519</v>
      </c>
      <c r="D2725" s="1371"/>
      <c r="E2725" s="1372">
        <v>228723</v>
      </c>
      <c r="F2725" s="1018">
        <v>1</v>
      </c>
      <c r="G2725" s="867">
        <v>361297232</v>
      </c>
      <c r="H2725" s="860">
        <v>382370491</v>
      </c>
      <c r="I2725" s="1373"/>
      <c r="J2725" s="862"/>
      <c r="K2725" s="1373"/>
      <c r="L2725" s="863"/>
      <c r="M2725" s="867">
        <v>335099053</v>
      </c>
      <c r="N2725" s="1373"/>
      <c r="O2725" s="752">
        <f t="shared" si="354"/>
        <v>335099053</v>
      </c>
      <c r="P2725" s="862">
        <v>337842499</v>
      </c>
      <c r="Q2725" s="860"/>
      <c r="R2725" s="753">
        <f t="shared" si="357"/>
        <v>337842499</v>
      </c>
      <c r="S2725" s="752">
        <f t="shared" si="358"/>
        <v>696396285</v>
      </c>
      <c r="T2725" s="754">
        <f t="shared" si="359"/>
        <v>720212990</v>
      </c>
      <c r="U2725" s="1373"/>
      <c r="V2725" s="863"/>
      <c r="W2725" s="859"/>
      <c r="X2725" s="859"/>
      <c r="Y2725" s="755">
        <f t="shared" si="355"/>
        <v>0</v>
      </c>
      <c r="Z2725" s="864"/>
      <c r="AA2725" s="863"/>
      <c r="AB2725" s="756">
        <f t="shared" si="356"/>
        <v>0</v>
      </c>
      <c r="AC2725" s="867">
        <v>22458841</v>
      </c>
      <c r="AD2725" s="863">
        <v>24484103</v>
      </c>
      <c r="AE2725" s="867">
        <v>12707884</v>
      </c>
      <c r="AF2725" s="1373"/>
      <c r="AG2725" s="864">
        <v>13749215</v>
      </c>
      <c r="AH2725" s="865"/>
      <c r="AI2725" s="757">
        <f t="shared" si="360"/>
        <v>731563010</v>
      </c>
      <c r="AJ2725" s="758">
        <f t="shared" si="361"/>
        <v>758446308</v>
      </c>
    </row>
    <row r="2726" spans="1:36" x14ac:dyDescent="0.2">
      <c r="A2726" s="1369" t="s">
        <v>147</v>
      </c>
      <c r="B2726" s="1008" t="s">
        <v>280</v>
      </c>
      <c r="C2726" s="1374" t="s">
        <v>814</v>
      </c>
      <c r="D2726" s="1375"/>
      <c r="E2726" s="1372">
        <v>228723</v>
      </c>
      <c r="F2726" s="1018">
        <v>1</v>
      </c>
      <c r="G2726" s="1373"/>
      <c r="H2726" s="860"/>
      <c r="I2726" s="1373"/>
      <c r="J2726" s="862"/>
      <c r="K2726" s="1373"/>
      <c r="L2726" s="863"/>
      <c r="M2726" s="867"/>
      <c r="N2726" s="1373"/>
      <c r="O2726" s="752">
        <f t="shared" si="354"/>
        <v>0</v>
      </c>
      <c r="P2726" s="862"/>
      <c r="Q2726" s="860"/>
      <c r="R2726" s="753">
        <f t="shared" si="357"/>
        <v>0</v>
      </c>
      <c r="S2726" s="752">
        <f t="shared" si="358"/>
        <v>0</v>
      </c>
      <c r="T2726" s="754">
        <f t="shared" si="359"/>
        <v>0</v>
      </c>
      <c r="U2726" s="1373"/>
      <c r="V2726" s="863"/>
      <c r="W2726" s="859"/>
      <c r="X2726" s="859"/>
      <c r="Y2726" s="755">
        <f t="shared" si="355"/>
        <v>0</v>
      </c>
      <c r="Z2726" s="864"/>
      <c r="AA2726" s="863"/>
      <c r="AB2726" s="756">
        <f t="shared" si="356"/>
        <v>0</v>
      </c>
      <c r="AC2726" s="1373"/>
      <c r="AD2726" s="863"/>
      <c r="AE2726" s="867"/>
      <c r="AF2726" s="1373"/>
      <c r="AG2726" s="864"/>
      <c r="AH2726" s="865"/>
      <c r="AI2726" s="757">
        <f t="shared" si="360"/>
        <v>0</v>
      </c>
      <c r="AJ2726" s="758">
        <f t="shared" si="361"/>
        <v>0</v>
      </c>
    </row>
    <row r="2727" spans="1:36" x14ac:dyDescent="0.2">
      <c r="A2727" s="1369" t="s">
        <v>147</v>
      </c>
      <c r="B2727" s="1008" t="s">
        <v>280</v>
      </c>
      <c r="C2727" s="1176" t="s">
        <v>1520</v>
      </c>
      <c r="D2727" s="1376"/>
      <c r="E2727" s="1372">
        <v>228723</v>
      </c>
      <c r="F2727" s="1018">
        <v>1</v>
      </c>
      <c r="G2727" s="1373"/>
      <c r="H2727" s="860"/>
      <c r="I2727" s="1373"/>
      <c r="J2727" s="862"/>
      <c r="K2727" s="1373"/>
      <c r="L2727" s="863"/>
      <c r="M2727" s="867"/>
      <c r="N2727" s="1373"/>
      <c r="O2727" s="752">
        <f t="shared" ref="O2727:O2762" si="362">SUM(M2727:N2727)</f>
        <v>0</v>
      </c>
      <c r="P2727" s="862"/>
      <c r="Q2727" s="860"/>
      <c r="R2727" s="753">
        <f t="shared" si="357"/>
        <v>0</v>
      </c>
      <c r="S2727" s="752">
        <f t="shared" si="358"/>
        <v>0</v>
      </c>
      <c r="T2727" s="754">
        <f t="shared" si="359"/>
        <v>0</v>
      </c>
      <c r="U2727" s="1373"/>
      <c r="V2727" s="863"/>
      <c r="W2727" s="859"/>
      <c r="X2727" s="859"/>
      <c r="Y2727" s="755">
        <f t="shared" si="355"/>
        <v>0</v>
      </c>
      <c r="Z2727" s="864"/>
      <c r="AA2727" s="863"/>
      <c r="AB2727" s="756">
        <f t="shared" si="356"/>
        <v>0</v>
      </c>
      <c r="AC2727" s="1373"/>
      <c r="AD2727" s="863"/>
      <c r="AE2727" s="867"/>
      <c r="AF2727" s="1373"/>
      <c r="AG2727" s="864"/>
      <c r="AH2727" s="865"/>
      <c r="AI2727" s="757">
        <f t="shared" si="360"/>
        <v>0</v>
      </c>
      <c r="AJ2727" s="758">
        <f t="shared" si="361"/>
        <v>0</v>
      </c>
    </row>
    <row r="2728" spans="1:36" x14ac:dyDescent="0.2">
      <c r="A2728" s="1369" t="s">
        <v>147</v>
      </c>
      <c r="B2728" s="1008" t="s">
        <v>269</v>
      </c>
      <c r="C2728" s="1377" t="s">
        <v>1521</v>
      </c>
      <c r="D2728" s="1375"/>
      <c r="E2728" s="1372">
        <v>228723</v>
      </c>
      <c r="F2728" s="1018">
        <v>1</v>
      </c>
      <c r="G2728" s="1373"/>
      <c r="H2728" s="860"/>
      <c r="I2728" s="1373">
        <v>64822451</v>
      </c>
      <c r="J2728" s="862">
        <v>67164344</v>
      </c>
      <c r="K2728" s="1373"/>
      <c r="L2728" s="863"/>
      <c r="M2728" s="867"/>
      <c r="N2728" s="1373"/>
      <c r="O2728" s="752">
        <f t="shared" si="362"/>
        <v>0</v>
      </c>
      <c r="P2728" s="862"/>
      <c r="Q2728" s="1378"/>
      <c r="R2728" s="753">
        <f t="shared" ref="R2728:R2763" si="363">SUM(P2728:Q2728)</f>
        <v>0</v>
      </c>
      <c r="S2728" s="752">
        <f t="shared" ref="S2728:S2763" si="364">SUM(G2728,I2728,K2728,M2728)</f>
        <v>64822451</v>
      </c>
      <c r="T2728" s="754">
        <f t="shared" ref="T2728:T2763" si="365">SUM(H2728,J2728,L2728,P2728)</f>
        <v>67164344</v>
      </c>
      <c r="U2728" s="1373"/>
      <c r="V2728" s="863"/>
      <c r="W2728" s="859"/>
      <c r="X2728" s="859"/>
      <c r="Y2728" s="755">
        <f t="shared" si="355"/>
        <v>0</v>
      </c>
      <c r="Z2728" s="864"/>
      <c r="AA2728" s="863"/>
      <c r="AB2728" s="756">
        <f t="shared" si="356"/>
        <v>0</v>
      </c>
      <c r="AC2728" s="1373"/>
      <c r="AD2728" s="863"/>
      <c r="AE2728" s="867"/>
      <c r="AF2728" s="1373"/>
      <c r="AG2728" s="864"/>
      <c r="AH2728" s="865"/>
      <c r="AI2728" s="757">
        <f t="shared" ref="AI2728:AI2763" si="366">SUM(S2728,U2728,W2728,AC2728,AE2728)</f>
        <v>64822451</v>
      </c>
      <c r="AJ2728" s="758">
        <f t="shared" ref="AJ2728:AJ2763" si="367">SUM(T2728,V2728,Z2728,AD2728,AG2728)</f>
        <v>67164344</v>
      </c>
    </row>
    <row r="2729" spans="1:36" x14ac:dyDescent="0.2">
      <c r="A2729" s="1369" t="s">
        <v>147</v>
      </c>
      <c r="B2729" s="1008" t="s">
        <v>268</v>
      </c>
      <c r="C2729" s="1377" t="s">
        <v>1522</v>
      </c>
      <c r="D2729" s="1375"/>
      <c r="E2729" s="1372">
        <v>228723</v>
      </c>
      <c r="F2729" s="1018">
        <v>1</v>
      </c>
      <c r="G2729" s="1373"/>
      <c r="H2729" s="860"/>
      <c r="I2729" s="1373">
        <v>59332900</v>
      </c>
      <c r="J2729" s="862">
        <v>60447709</v>
      </c>
      <c r="K2729" s="1373"/>
      <c r="L2729" s="863"/>
      <c r="M2729" s="867"/>
      <c r="N2729" s="1373"/>
      <c r="O2729" s="752">
        <f t="shared" si="362"/>
        <v>0</v>
      </c>
      <c r="P2729" s="862"/>
      <c r="Q2729" s="860"/>
      <c r="R2729" s="753">
        <f t="shared" si="363"/>
        <v>0</v>
      </c>
      <c r="S2729" s="752">
        <f t="shared" si="364"/>
        <v>59332900</v>
      </c>
      <c r="T2729" s="754">
        <f t="shared" si="365"/>
        <v>60447709</v>
      </c>
      <c r="U2729" s="1373"/>
      <c r="V2729" s="863"/>
      <c r="W2729" s="859"/>
      <c r="X2729" s="859"/>
      <c r="Y2729" s="755">
        <f t="shared" si="355"/>
        <v>0</v>
      </c>
      <c r="Z2729" s="864"/>
      <c r="AA2729" s="863"/>
      <c r="AB2729" s="756">
        <f t="shared" si="356"/>
        <v>0</v>
      </c>
      <c r="AC2729" s="1373"/>
      <c r="AD2729" s="863"/>
      <c r="AE2729" s="867"/>
      <c r="AF2729" s="1373"/>
      <c r="AG2729" s="864"/>
      <c r="AH2729" s="865"/>
      <c r="AI2729" s="757">
        <f t="shared" si="366"/>
        <v>59332900</v>
      </c>
      <c r="AJ2729" s="758">
        <f t="shared" si="367"/>
        <v>60447709</v>
      </c>
    </row>
    <row r="2730" spans="1:36" x14ac:dyDescent="0.2">
      <c r="A2730" s="1369" t="s">
        <v>147</v>
      </c>
      <c r="B2730" s="1008" t="s">
        <v>270</v>
      </c>
      <c r="C2730" s="1377" t="s">
        <v>1523</v>
      </c>
      <c r="D2730" s="1375"/>
      <c r="E2730" s="1372">
        <v>228723</v>
      </c>
      <c r="F2730" s="1018">
        <v>1</v>
      </c>
      <c r="G2730" s="1373"/>
      <c r="H2730" s="860"/>
      <c r="I2730" s="1373">
        <v>17084455</v>
      </c>
      <c r="J2730" s="862">
        <v>21165810</v>
      </c>
      <c r="K2730" s="1373"/>
      <c r="L2730" s="863"/>
      <c r="M2730" s="867"/>
      <c r="N2730" s="1373"/>
      <c r="O2730" s="752">
        <f t="shared" si="362"/>
        <v>0</v>
      </c>
      <c r="P2730" s="862"/>
      <c r="Q2730" s="1378"/>
      <c r="R2730" s="753">
        <f t="shared" si="363"/>
        <v>0</v>
      </c>
      <c r="S2730" s="752">
        <f t="shared" si="364"/>
        <v>17084455</v>
      </c>
      <c r="T2730" s="754">
        <f t="shared" si="365"/>
        <v>21165810</v>
      </c>
      <c r="U2730" s="1373"/>
      <c r="V2730" s="863"/>
      <c r="W2730" s="859"/>
      <c r="X2730" s="859"/>
      <c r="Y2730" s="755">
        <f t="shared" si="355"/>
        <v>0</v>
      </c>
      <c r="Z2730" s="864"/>
      <c r="AA2730" s="863"/>
      <c r="AB2730" s="756">
        <f t="shared" ref="AB2730:AB2762" si="368">SUM(Z2730:AA2730)</f>
        <v>0</v>
      </c>
      <c r="AC2730" s="1373"/>
      <c r="AD2730" s="863"/>
      <c r="AE2730" s="867"/>
      <c r="AF2730" s="1373"/>
      <c r="AG2730" s="864"/>
      <c r="AH2730" s="865"/>
      <c r="AI2730" s="757">
        <f t="shared" si="366"/>
        <v>17084455</v>
      </c>
      <c r="AJ2730" s="758">
        <f t="shared" si="367"/>
        <v>21165810</v>
      </c>
    </row>
    <row r="2731" spans="1:36" x14ac:dyDescent="0.2">
      <c r="A2731" s="1369" t="s">
        <v>147</v>
      </c>
      <c r="B2731" s="1008" t="s">
        <v>266</v>
      </c>
      <c r="C2731" s="1377" t="s">
        <v>1524</v>
      </c>
      <c r="D2731" s="1376"/>
      <c r="E2731" s="1372">
        <v>228723</v>
      </c>
      <c r="F2731" s="1018">
        <v>1</v>
      </c>
      <c r="G2731" s="1373"/>
      <c r="H2731" s="860"/>
      <c r="I2731" s="1373">
        <v>1295411</v>
      </c>
      <c r="J2731" s="862">
        <v>3490743</v>
      </c>
      <c r="K2731" s="1373"/>
      <c r="L2731" s="863"/>
      <c r="M2731" s="867"/>
      <c r="N2731" s="1373"/>
      <c r="O2731" s="752">
        <f t="shared" si="362"/>
        <v>0</v>
      </c>
      <c r="P2731" s="862"/>
      <c r="Q2731" s="860"/>
      <c r="R2731" s="753">
        <f t="shared" si="363"/>
        <v>0</v>
      </c>
      <c r="S2731" s="752">
        <f t="shared" si="364"/>
        <v>1295411</v>
      </c>
      <c r="T2731" s="754">
        <f t="shared" si="365"/>
        <v>3490743</v>
      </c>
      <c r="U2731" s="1373"/>
      <c r="V2731" s="863"/>
      <c r="W2731" s="859"/>
      <c r="X2731" s="859"/>
      <c r="Y2731" s="755">
        <f t="shared" ref="Y2731:Y2762" si="369">SUM(W2731:X2731)</f>
        <v>0</v>
      </c>
      <c r="Z2731" s="864"/>
      <c r="AA2731" s="863"/>
      <c r="AB2731" s="756">
        <f t="shared" si="368"/>
        <v>0</v>
      </c>
      <c r="AC2731" s="1373"/>
      <c r="AD2731" s="863"/>
      <c r="AE2731" s="867"/>
      <c r="AF2731" s="1373"/>
      <c r="AG2731" s="864"/>
      <c r="AH2731" s="865"/>
      <c r="AI2731" s="757">
        <f t="shared" si="366"/>
        <v>1295411</v>
      </c>
      <c r="AJ2731" s="758">
        <f t="shared" si="367"/>
        <v>3490743</v>
      </c>
    </row>
    <row r="2732" spans="1:36" x14ac:dyDescent="0.2">
      <c r="A2732" s="1369" t="s">
        <v>147</v>
      </c>
      <c r="B2732" s="1008" t="s">
        <v>277</v>
      </c>
      <c r="C2732" s="1377" t="s">
        <v>1525</v>
      </c>
      <c r="D2732" s="1376"/>
      <c r="E2732" s="1372">
        <v>228723</v>
      </c>
      <c r="F2732" s="1018">
        <v>1</v>
      </c>
      <c r="G2732" s="1373"/>
      <c r="H2732" s="860"/>
      <c r="I2732" s="876">
        <v>9367432</v>
      </c>
      <c r="J2732" s="862">
        <v>9493132</v>
      </c>
      <c r="K2732" s="1373"/>
      <c r="L2732" s="863"/>
      <c r="M2732" s="867"/>
      <c r="N2732" s="1373"/>
      <c r="O2732" s="752">
        <f t="shared" si="362"/>
        <v>0</v>
      </c>
      <c r="P2732" s="862"/>
      <c r="Q2732" s="1378"/>
      <c r="R2732" s="753">
        <f t="shared" si="363"/>
        <v>0</v>
      </c>
      <c r="S2732" s="752">
        <f t="shared" si="364"/>
        <v>9367432</v>
      </c>
      <c r="T2732" s="754">
        <f t="shared" si="365"/>
        <v>9493132</v>
      </c>
      <c r="U2732" s="1373"/>
      <c r="V2732" s="863"/>
      <c r="W2732" s="859"/>
      <c r="X2732" s="859"/>
      <c r="Y2732" s="755">
        <f t="shared" si="369"/>
        <v>0</v>
      </c>
      <c r="Z2732" s="864"/>
      <c r="AA2732" s="863"/>
      <c r="AB2732" s="756">
        <f t="shared" si="368"/>
        <v>0</v>
      </c>
      <c r="AC2732" s="1373"/>
      <c r="AD2732" s="863"/>
      <c r="AE2732" s="867"/>
      <c r="AF2732" s="1373"/>
      <c r="AG2732" s="864"/>
      <c r="AH2732" s="865"/>
      <c r="AI2732" s="757">
        <f t="shared" si="366"/>
        <v>9367432</v>
      </c>
      <c r="AJ2732" s="758">
        <f t="shared" si="367"/>
        <v>9493132</v>
      </c>
    </row>
    <row r="2733" spans="1:36" x14ac:dyDescent="0.2">
      <c r="A2733" s="1369" t="s">
        <v>147</v>
      </c>
      <c r="B2733" s="1008" t="s">
        <v>266</v>
      </c>
      <c r="C2733" s="1377" t="s">
        <v>1526</v>
      </c>
      <c r="D2733" s="1376"/>
      <c r="E2733" s="1372">
        <v>228723</v>
      </c>
      <c r="F2733" s="1018">
        <v>1</v>
      </c>
      <c r="G2733" s="1373"/>
      <c r="H2733" s="860"/>
      <c r="I2733" s="876">
        <v>183909619</v>
      </c>
      <c r="J2733" s="862">
        <v>39378872</v>
      </c>
      <c r="K2733" s="1373"/>
      <c r="L2733" s="863"/>
      <c r="M2733" s="867"/>
      <c r="N2733" s="1373"/>
      <c r="O2733" s="752">
        <f t="shared" si="362"/>
        <v>0</v>
      </c>
      <c r="P2733" s="862"/>
      <c r="Q2733" s="860"/>
      <c r="R2733" s="753">
        <f t="shared" si="363"/>
        <v>0</v>
      </c>
      <c r="S2733" s="752">
        <f t="shared" si="364"/>
        <v>183909619</v>
      </c>
      <c r="T2733" s="754">
        <f t="shared" si="365"/>
        <v>39378872</v>
      </c>
      <c r="U2733" s="1373"/>
      <c r="V2733" s="863"/>
      <c r="W2733" s="859"/>
      <c r="X2733" s="859"/>
      <c r="Y2733" s="755">
        <f t="shared" si="369"/>
        <v>0</v>
      </c>
      <c r="Z2733" s="864"/>
      <c r="AA2733" s="863"/>
      <c r="AB2733" s="756">
        <f t="shared" si="368"/>
        <v>0</v>
      </c>
      <c r="AC2733" s="1373"/>
      <c r="AD2733" s="863"/>
      <c r="AE2733" s="867"/>
      <c r="AF2733" s="1373"/>
      <c r="AG2733" s="864"/>
      <c r="AH2733" s="865"/>
      <c r="AI2733" s="757">
        <f t="shared" si="366"/>
        <v>183909619</v>
      </c>
      <c r="AJ2733" s="758">
        <f t="shared" si="367"/>
        <v>39378872</v>
      </c>
    </row>
    <row r="2734" spans="1:36" x14ac:dyDescent="0.2">
      <c r="A2734" s="1369" t="s">
        <v>147</v>
      </c>
      <c r="B2734" s="1008" t="s">
        <v>266</v>
      </c>
      <c r="C2734" s="1379" t="s">
        <v>1527</v>
      </c>
      <c r="D2734" s="1375"/>
      <c r="E2734" s="1372">
        <v>228723</v>
      </c>
      <c r="F2734" s="1018">
        <v>1</v>
      </c>
      <c r="G2734" s="1373"/>
      <c r="H2734" s="860"/>
      <c r="I2734" s="1373">
        <v>6727879</v>
      </c>
      <c r="J2734" s="862">
        <v>9869798</v>
      </c>
      <c r="K2734" s="1373"/>
      <c r="L2734" s="863"/>
      <c r="M2734" s="867"/>
      <c r="N2734" s="1373"/>
      <c r="O2734" s="752">
        <f t="shared" si="362"/>
        <v>0</v>
      </c>
      <c r="P2734" s="862"/>
      <c r="Q2734" s="860"/>
      <c r="R2734" s="753">
        <f t="shared" si="363"/>
        <v>0</v>
      </c>
      <c r="S2734" s="752">
        <f t="shared" si="364"/>
        <v>6727879</v>
      </c>
      <c r="T2734" s="754">
        <f t="shared" si="365"/>
        <v>9869798</v>
      </c>
      <c r="U2734" s="1373"/>
      <c r="V2734" s="863"/>
      <c r="W2734" s="859"/>
      <c r="X2734" s="859"/>
      <c r="Y2734" s="755">
        <f t="shared" si="369"/>
        <v>0</v>
      </c>
      <c r="Z2734" s="864"/>
      <c r="AA2734" s="863"/>
      <c r="AB2734" s="756">
        <f t="shared" si="368"/>
        <v>0</v>
      </c>
      <c r="AC2734" s="1373"/>
      <c r="AD2734" s="863"/>
      <c r="AE2734" s="867"/>
      <c r="AF2734" s="1373"/>
      <c r="AG2734" s="864"/>
      <c r="AH2734" s="865"/>
      <c r="AI2734" s="757">
        <f t="shared" si="366"/>
        <v>6727879</v>
      </c>
      <c r="AJ2734" s="758">
        <f t="shared" si="367"/>
        <v>9869798</v>
      </c>
    </row>
    <row r="2735" spans="1:36" x14ac:dyDescent="0.2">
      <c r="A2735" s="1369" t="s">
        <v>147</v>
      </c>
      <c r="B2735" s="1008" t="s">
        <v>266</v>
      </c>
      <c r="C2735" s="1374" t="s">
        <v>319</v>
      </c>
      <c r="D2735" s="1375"/>
      <c r="E2735" s="1372">
        <v>228723</v>
      </c>
      <c r="F2735" s="1018">
        <v>1</v>
      </c>
      <c r="G2735" s="1373"/>
      <c r="H2735" s="860"/>
      <c r="I2735" s="1373"/>
      <c r="J2735" s="862"/>
      <c r="K2735" s="1373"/>
      <c r="L2735" s="863"/>
      <c r="M2735" s="867"/>
      <c r="N2735" s="1373"/>
      <c r="O2735" s="752">
        <f t="shared" si="362"/>
        <v>0</v>
      </c>
      <c r="P2735" s="862"/>
      <c r="Q2735" s="860"/>
      <c r="R2735" s="753">
        <f t="shared" si="363"/>
        <v>0</v>
      </c>
      <c r="S2735" s="752">
        <f t="shared" si="364"/>
        <v>0</v>
      </c>
      <c r="T2735" s="754">
        <f t="shared" si="365"/>
        <v>0</v>
      </c>
      <c r="U2735" s="1373"/>
      <c r="V2735" s="863"/>
      <c r="W2735" s="859"/>
      <c r="X2735" s="859"/>
      <c r="Y2735" s="755">
        <f t="shared" si="369"/>
        <v>0</v>
      </c>
      <c r="Z2735" s="864"/>
      <c r="AA2735" s="863"/>
      <c r="AB2735" s="756">
        <f t="shared" si="368"/>
        <v>0</v>
      </c>
      <c r="AC2735" s="1373"/>
      <c r="AD2735" s="863"/>
      <c r="AE2735" s="867"/>
      <c r="AF2735" s="1373"/>
      <c r="AG2735" s="864"/>
      <c r="AH2735" s="865"/>
      <c r="AI2735" s="757">
        <f t="shared" si="366"/>
        <v>0</v>
      </c>
      <c r="AJ2735" s="758">
        <f t="shared" si="367"/>
        <v>0</v>
      </c>
    </row>
    <row r="2736" spans="1:36" x14ac:dyDescent="0.2">
      <c r="A2736" s="1369" t="s">
        <v>147</v>
      </c>
      <c r="B2736" s="1008" t="s">
        <v>264</v>
      </c>
      <c r="C2736" s="1370" t="s">
        <v>1528</v>
      </c>
      <c r="D2736" s="1371"/>
      <c r="E2736" s="1372">
        <v>229115</v>
      </c>
      <c r="F2736" s="1018">
        <v>1</v>
      </c>
      <c r="G2736" s="1373">
        <v>152892441</v>
      </c>
      <c r="H2736" s="860">
        <v>173158365</v>
      </c>
      <c r="I2736" s="876">
        <v>9697573</v>
      </c>
      <c r="J2736" s="862">
        <v>13332075</v>
      </c>
      <c r="K2736" s="1373"/>
      <c r="L2736" s="863"/>
      <c r="M2736" s="867">
        <v>240229071</v>
      </c>
      <c r="N2736" s="1373"/>
      <c r="O2736" s="752">
        <f t="shared" si="362"/>
        <v>240229071</v>
      </c>
      <c r="P2736" s="862">
        <v>257319023</v>
      </c>
      <c r="Q2736" s="860"/>
      <c r="R2736" s="753">
        <f t="shared" si="363"/>
        <v>257319023</v>
      </c>
      <c r="S2736" s="752">
        <f t="shared" si="364"/>
        <v>402819085</v>
      </c>
      <c r="T2736" s="754">
        <f t="shared" si="365"/>
        <v>443809463</v>
      </c>
      <c r="U2736" s="1373"/>
      <c r="V2736" s="863"/>
      <c r="W2736" s="859"/>
      <c r="X2736" s="859"/>
      <c r="Y2736" s="755">
        <f t="shared" si="369"/>
        <v>0</v>
      </c>
      <c r="Z2736" s="864"/>
      <c r="AA2736" s="863"/>
      <c r="AB2736" s="756">
        <f t="shared" si="368"/>
        <v>0</v>
      </c>
      <c r="AC2736" s="1373"/>
      <c r="AD2736" s="863"/>
      <c r="AE2736" s="867"/>
      <c r="AF2736" s="1373"/>
      <c r="AG2736" s="864"/>
      <c r="AH2736" s="865"/>
      <c r="AI2736" s="757">
        <f t="shared" si="366"/>
        <v>402819085</v>
      </c>
      <c r="AJ2736" s="758">
        <f t="shared" si="367"/>
        <v>443809463</v>
      </c>
    </row>
    <row r="2737" spans="1:36" x14ac:dyDescent="0.2">
      <c r="A2737" s="1369" t="s">
        <v>147</v>
      </c>
      <c r="B2737" s="1008" t="s">
        <v>264</v>
      </c>
      <c r="C2737" s="1370" t="s">
        <v>1529</v>
      </c>
      <c r="D2737" s="1371"/>
      <c r="E2737" s="1372">
        <v>225511</v>
      </c>
      <c r="F2737" s="1018">
        <v>1</v>
      </c>
      <c r="G2737" s="1373">
        <v>156557863</v>
      </c>
      <c r="H2737" s="860">
        <v>183447588</v>
      </c>
      <c r="I2737" s="876">
        <v>9087444</v>
      </c>
      <c r="J2737" s="862">
        <v>474375</v>
      </c>
      <c r="K2737" s="1373"/>
      <c r="L2737" s="863"/>
      <c r="M2737" s="867">
        <v>299359861</v>
      </c>
      <c r="N2737" s="1373"/>
      <c r="O2737" s="752">
        <f t="shared" si="362"/>
        <v>299359861</v>
      </c>
      <c r="P2737" s="862">
        <v>283284674</v>
      </c>
      <c r="Q2737" s="860"/>
      <c r="R2737" s="753">
        <f t="shared" si="363"/>
        <v>283284674</v>
      </c>
      <c r="S2737" s="752">
        <f t="shared" si="364"/>
        <v>465005168</v>
      </c>
      <c r="T2737" s="754">
        <f t="shared" si="365"/>
        <v>467206637</v>
      </c>
      <c r="U2737" s="1373"/>
      <c r="V2737" s="863"/>
      <c r="W2737" s="859"/>
      <c r="X2737" s="859"/>
      <c r="Y2737" s="755">
        <f t="shared" si="369"/>
        <v>0</v>
      </c>
      <c r="Z2737" s="864"/>
      <c r="AA2737" s="863"/>
      <c r="AB2737" s="756">
        <f t="shared" si="368"/>
        <v>0</v>
      </c>
      <c r="AC2737" s="1373"/>
      <c r="AD2737" s="863"/>
      <c r="AE2737" s="867"/>
      <c r="AF2737" s="1373"/>
      <c r="AG2737" s="864"/>
      <c r="AH2737" s="865"/>
      <c r="AI2737" s="757">
        <f t="shared" si="366"/>
        <v>465005168</v>
      </c>
      <c r="AJ2737" s="758">
        <f t="shared" si="367"/>
        <v>467206637</v>
      </c>
    </row>
    <row r="2738" spans="1:36" x14ac:dyDescent="0.2">
      <c r="A2738" s="1369" t="s">
        <v>147</v>
      </c>
      <c r="B2738" s="1008" t="s">
        <v>264</v>
      </c>
      <c r="C2738" s="1370" t="s">
        <v>1530</v>
      </c>
      <c r="D2738" s="1371"/>
      <c r="E2738" s="1372">
        <v>227216</v>
      </c>
      <c r="F2738" s="1018">
        <v>1</v>
      </c>
      <c r="G2738" s="1373">
        <v>127640258</v>
      </c>
      <c r="H2738" s="860">
        <v>129304016</v>
      </c>
      <c r="I2738" s="876">
        <v>1490000</v>
      </c>
      <c r="J2738" s="862">
        <v>0</v>
      </c>
      <c r="K2738" s="1373"/>
      <c r="L2738" s="863"/>
      <c r="M2738" s="867">
        <v>217267392</v>
      </c>
      <c r="N2738" s="1373"/>
      <c r="O2738" s="752">
        <f t="shared" si="362"/>
        <v>217267392</v>
      </c>
      <c r="P2738" s="862">
        <v>225168932</v>
      </c>
      <c r="Q2738" s="860"/>
      <c r="R2738" s="753">
        <f t="shared" si="363"/>
        <v>225168932</v>
      </c>
      <c r="S2738" s="752">
        <f t="shared" si="364"/>
        <v>346397650</v>
      </c>
      <c r="T2738" s="754">
        <f t="shared" si="365"/>
        <v>354472948</v>
      </c>
      <c r="U2738" s="1373"/>
      <c r="V2738" s="863"/>
      <c r="W2738" s="859"/>
      <c r="X2738" s="859"/>
      <c r="Y2738" s="755">
        <f t="shared" si="369"/>
        <v>0</v>
      </c>
      <c r="Z2738" s="864"/>
      <c r="AA2738" s="863"/>
      <c r="AB2738" s="756">
        <f t="shared" si="368"/>
        <v>0</v>
      </c>
      <c r="AC2738" s="1373"/>
      <c r="AD2738" s="863"/>
      <c r="AE2738" s="867"/>
      <c r="AF2738" s="1373"/>
      <c r="AG2738" s="864"/>
      <c r="AH2738" s="865"/>
      <c r="AI2738" s="757">
        <f t="shared" si="366"/>
        <v>346397650</v>
      </c>
      <c r="AJ2738" s="758">
        <f t="shared" si="367"/>
        <v>354472948</v>
      </c>
    </row>
    <row r="2739" spans="1:36" x14ac:dyDescent="0.2">
      <c r="A2739" s="1369" t="s">
        <v>147</v>
      </c>
      <c r="B2739" s="1008" t="s">
        <v>264</v>
      </c>
      <c r="C2739" s="1370" t="s">
        <v>1531</v>
      </c>
      <c r="D2739" s="1371"/>
      <c r="E2739" s="1372">
        <v>228769</v>
      </c>
      <c r="F2739" s="1018">
        <v>1</v>
      </c>
      <c r="G2739" s="867">
        <v>105623036</v>
      </c>
      <c r="H2739" s="860">
        <v>114872045</v>
      </c>
      <c r="I2739" s="876">
        <v>1214817</v>
      </c>
      <c r="J2739" s="862">
        <v>217500</v>
      </c>
      <c r="K2739" s="1373"/>
      <c r="L2739" s="863"/>
      <c r="M2739" s="867">
        <v>195930801</v>
      </c>
      <c r="N2739" s="1373"/>
      <c r="O2739" s="752">
        <f t="shared" si="362"/>
        <v>195930801</v>
      </c>
      <c r="P2739" s="862">
        <v>182249596</v>
      </c>
      <c r="Q2739" s="860"/>
      <c r="R2739" s="753">
        <f t="shared" si="363"/>
        <v>182249596</v>
      </c>
      <c r="S2739" s="752">
        <f t="shared" si="364"/>
        <v>302768654</v>
      </c>
      <c r="T2739" s="754">
        <f t="shared" si="365"/>
        <v>297339141</v>
      </c>
      <c r="U2739" s="1373"/>
      <c r="V2739" s="863"/>
      <c r="W2739" s="859"/>
      <c r="X2739" s="859"/>
      <c r="Y2739" s="755">
        <f t="shared" si="369"/>
        <v>0</v>
      </c>
      <c r="Z2739" s="864"/>
      <c r="AA2739" s="863"/>
      <c r="AB2739" s="756">
        <f t="shared" si="368"/>
        <v>0</v>
      </c>
      <c r="AC2739" s="1373"/>
      <c r="AD2739" s="863"/>
      <c r="AE2739" s="867"/>
      <c r="AF2739" s="1373"/>
      <c r="AG2739" s="864"/>
      <c r="AH2739" s="865"/>
      <c r="AI2739" s="757">
        <f t="shared" si="366"/>
        <v>302768654</v>
      </c>
      <c r="AJ2739" s="758">
        <f t="shared" si="367"/>
        <v>297339141</v>
      </c>
    </row>
    <row r="2740" spans="1:36" x14ac:dyDescent="0.2">
      <c r="A2740" s="1369" t="s">
        <v>147</v>
      </c>
      <c r="B2740" s="1008" t="s">
        <v>264</v>
      </c>
      <c r="C2740" s="1370" t="s">
        <v>1532</v>
      </c>
      <c r="D2740" s="1371"/>
      <c r="E2740" s="1372">
        <v>228778</v>
      </c>
      <c r="F2740" s="1018">
        <v>1</v>
      </c>
      <c r="G2740" s="867">
        <v>509710244</v>
      </c>
      <c r="H2740" s="860">
        <v>554214079</v>
      </c>
      <c r="I2740" s="1373"/>
      <c r="J2740" s="862"/>
      <c r="K2740" s="1373"/>
      <c r="L2740" s="863"/>
      <c r="M2740" s="867">
        <v>434121812</v>
      </c>
      <c r="N2740" s="1373"/>
      <c r="O2740" s="752">
        <f t="shared" si="362"/>
        <v>434121812</v>
      </c>
      <c r="P2740" s="862">
        <v>458702122</v>
      </c>
      <c r="Q2740" s="860"/>
      <c r="R2740" s="753">
        <f t="shared" si="363"/>
        <v>458702122</v>
      </c>
      <c r="S2740" s="752">
        <f t="shared" si="364"/>
        <v>943832056</v>
      </c>
      <c r="T2740" s="754">
        <f t="shared" si="365"/>
        <v>1012916201</v>
      </c>
      <c r="U2740" s="1373"/>
      <c r="V2740" s="863"/>
      <c r="W2740" s="859"/>
      <c r="X2740" s="859"/>
      <c r="Y2740" s="755">
        <f t="shared" si="369"/>
        <v>0</v>
      </c>
      <c r="Z2740" s="864"/>
      <c r="AA2740" s="863"/>
      <c r="AB2740" s="756">
        <f t="shared" si="368"/>
        <v>0</v>
      </c>
      <c r="AC2740" s="1373"/>
      <c r="AD2740" s="863"/>
      <c r="AE2740" s="867"/>
      <c r="AF2740" s="1373"/>
      <c r="AG2740" s="864"/>
      <c r="AH2740" s="865"/>
      <c r="AI2740" s="757">
        <f t="shared" si="366"/>
        <v>943832056</v>
      </c>
      <c r="AJ2740" s="758">
        <f t="shared" si="367"/>
        <v>1012916201</v>
      </c>
    </row>
    <row r="2741" spans="1:36" x14ac:dyDescent="0.2">
      <c r="A2741" s="1369" t="s">
        <v>147</v>
      </c>
      <c r="B2741" s="1008" t="s">
        <v>264</v>
      </c>
      <c r="C2741" s="1370" t="s">
        <v>1533</v>
      </c>
      <c r="D2741" s="1371"/>
      <c r="E2741" s="1372">
        <v>228787</v>
      </c>
      <c r="F2741" s="1018">
        <v>1</v>
      </c>
      <c r="G2741" s="867">
        <v>87667868</v>
      </c>
      <c r="H2741" s="860">
        <v>104009603</v>
      </c>
      <c r="I2741" s="876">
        <v>21254984</v>
      </c>
      <c r="J2741" s="862">
        <v>2549950</v>
      </c>
      <c r="K2741" s="1373"/>
      <c r="L2741" s="863"/>
      <c r="M2741" s="867">
        <v>160321174</v>
      </c>
      <c r="N2741" s="1373"/>
      <c r="O2741" s="752">
        <f t="shared" si="362"/>
        <v>160321174</v>
      </c>
      <c r="P2741" s="862">
        <v>183814538</v>
      </c>
      <c r="Q2741" s="860"/>
      <c r="R2741" s="753">
        <f t="shared" si="363"/>
        <v>183814538</v>
      </c>
      <c r="S2741" s="752">
        <f t="shared" si="364"/>
        <v>269244026</v>
      </c>
      <c r="T2741" s="754">
        <f t="shared" si="365"/>
        <v>290374091</v>
      </c>
      <c r="U2741" s="1373"/>
      <c r="V2741" s="863"/>
      <c r="W2741" s="859"/>
      <c r="X2741" s="859"/>
      <c r="Y2741" s="755">
        <f t="shared" si="369"/>
        <v>0</v>
      </c>
      <c r="Z2741" s="864"/>
      <c r="AA2741" s="863"/>
      <c r="AB2741" s="756">
        <f t="shared" si="368"/>
        <v>0</v>
      </c>
      <c r="AC2741" s="1373"/>
      <c r="AD2741" s="863"/>
      <c r="AE2741" s="867"/>
      <c r="AF2741" s="1373"/>
      <c r="AG2741" s="864"/>
      <c r="AH2741" s="865"/>
      <c r="AI2741" s="757">
        <f t="shared" si="366"/>
        <v>269244026</v>
      </c>
      <c r="AJ2741" s="758">
        <f t="shared" si="367"/>
        <v>290374091</v>
      </c>
    </row>
    <row r="2742" spans="1:36" x14ac:dyDescent="0.2">
      <c r="A2742" s="1369" t="s">
        <v>147</v>
      </c>
      <c r="B2742" s="1008" t="s">
        <v>264</v>
      </c>
      <c r="C2742" s="1002" t="s">
        <v>1534</v>
      </c>
      <c r="D2742" s="1000"/>
      <c r="E2742" s="1372">
        <v>229179</v>
      </c>
      <c r="F2742" s="1018">
        <v>2</v>
      </c>
      <c r="G2742" s="1373">
        <v>54920298</v>
      </c>
      <c r="H2742" s="860">
        <v>59290399</v>
      </c>
      <c r="I2742" s="1373"/>
      <c r="J2742" s="862"/>
      <c r="K2742" s="1373"/>
      <c r="L2742" s="863"/>
      <c r="M2742" s="867">
        <v>69429244</v>
      </c>
      <c r="N2742" s="1373"/>
      <c r="O2742" s="752">
        <f t="shared" si="362"/>
        <v>69429244</v>
      </c>
      <c r="P2742" s="862">
        <v>65839859</v>
      </c>
      <c r="Q2742" s="860"/>
      <c r="R2742" s="753">
        <f t="shared" si="363"/>
        <v>65839859</v>
      </c>
      <c r="S2742" s="752">
        <f t="shared" si="364"/>
        <v>124349542</v>
      </c>
      <c r="T2742" s="754">
        <f t="shared" si="365"/>
        <v>125130258</v>
      </c>
      <c r="U2742" s="1373"/>
      <c r="V2742" s="863"/>
      <c r="W2742" s="859"/>
      <c r="X2742" s="859"/>
      <c r="Y2742" s="755">
        <f t="shared" si="369"/>
        <v>0</v>
      </c>
      <c r="Z2742" s="864"/>
      <c r="AA2742" s="863"/>
      <c r="AB2742" s="756">
        <f t="shared" si="368"/>
        <v>0</v>
      </c>
      <c r="AC2742" s="1373"/>
      <c r="AD2742" s="863"/>
      <c r="AE2742" s="867"/>
      <c r="AF2742" s="1373"/>
      <c r="AG2742" s="864"/>
      <c r="AH2742" s="865"/>
      <c r="AI2742" s="757">
        <f t="shared" si="366"/>
        <v>124349542</v>
      </c>
      <c r="AJ2742" s="758">
        <f t="shared" si="367"/>
        <v>125130258</v>
      </c>
    </row>
    <row r="2743" spans="1:36" x14ac:dyDescent="0.2">
      <c r="A2743" s="1369" t="s">
        <v>147</v>
      </c>
      <c r="B2743" s="1008" t="s">
        <v>264</v>
      </c>
      <c r="C2743" s="1370" t="s">
        <v>1535</v>
      </c>
      <c r="D2743" s="1000" t="s">
        <v>1661</v>
      </c>
      <c r="E2743" s="1372">
        <v>228796</v>
      </c>
      <c r="F2743" s="1018">
        <v>2</v>
      </c>
      <c r="G2743" s="1373">
        <v>85444716</v>
      </c>
      <c r="H2743" s="860">
        <v>91867542</v>
      </c>
      <c r="I2743" s="876">
        <v>5137949</v>
      </c>
      <c r="J2743" s="862">
        <v>123125</v>
      </c>
      <c r="K2743" s="1373"/>
      <c r="L2743" s="863"/>
      <c r="M2743" s="867">
        <v>96243343</v>
      </c>
      <c r="N2743" s="1373"/>
      <c r="O2743" s="752">
        <f t="shared" si="362"/>
        <v>96243343</v>
      </c>
      <c r="P2743" s="862">
        <v>80444489</v>
      </c>
      <c r="Q2743" s="860"/>
      <c r="R2743" s="753">
        <f t="shared" si="363"/>
        <v>80444489</v>
      </c>
      <c r="S2743" s="752">
        <f t="shared" si="364"/>
        <v>186826008</v>
      </c>
      <c r="T2743" s="754">
        <f t="shared" si="365"/>
        <v>172435156</v>
      </c>
      <c r="U2743" s="1373"/>
      <c r="V2743" s="863"/>
      <c r="W2743" s="859"/>
      <c r="X2743" s="859"/>
      <c r="Y2743" s="755">
        <f t="shared" si="369"/>
        <v>0</v>
      </c>
      <c r="Z2743" s="864"/>
      <c r="AA2743" s="863"/>
      <c r="AB2743" s="756">
        <f t="shared" si="368"/>
        <v>0</v>
      </c>
      <c r="AC2743" s="1373"/>
      <c r="AD2743" s="863"/>
      <c r="AE2743" s="867"/>
      <c r="AF2743" s="1373"/>
      <c r="AG2743" s="864"/>
      <c r="AH2743" s="865"/>
      <c r="AI2743" s="757">
        <f t="shared" si="366"/>
        <v>186826008</v>
      </c>
      <c r="AJ2743" s="758">
        <f t="shared" si="367"/>
        <v>172435156</v>
      </c>
    </row>
    <row r="2744" spans="1:36" x14ac:dyDescent="0.2">
      <c r="A2744" s="1369" t="s">
        <v>147</v>
      </c>
      <c r="B2744" s="1008" t="s">
        <v>264</v>
      </c>
      <c r="C2744" s="1002" t="s">
        <v>1536</v>
      </c>
      <c r="D2744" s="1000"/>
      <c r="E2744" s="1003">
        <v>229027</v>
      </c>
      <c r="F2744" s="1004">
        <v>2</v>
      </c>
      <c r="G2744" s="1373">
        <v>102569480</v>
      </c>
      <c r="H2744" s="860">
        <v>113248468</v>
      </c>
      <c r="I2744" s="876">
        <v>3705474</v>
      </c>
      <c r="J2744" s="862">
        <v>100000</v>
      </c>
      <c r="K2744" s="1373"/>
      <c r="L2744" s="863"/>
      <c r="M2744" s="867">
        <v>169624392</v>
      </c>
      <c r="N2744" s="1373"/>
      <c r="O2744" s="752">
        <f t="shared" si="362"/>
        <v>169624392</v>
      </c>
      <c r="P2744" s="862">
        <v>158403609</v>
      </c>
      <c r="Q2744" s="860"/>
      <c r="R2744" s="753">
        <f t="shared" si="363"/>
        <v>158403609</v>
      </c>
      <c r="S2744" s="752">
        <f t="shared" si="364"/>
        <v>275899346</v>
      </c>
      <c r="T2744" s="754">
        <f t="shared" si="365"/>
        <v>271752077</v>
      </c>
      <c r="U2744" s="1373"/>
      <c r="V2744" s="863"/>
      <c r="W2744" s="859"/>
      <c r="X2744" s="859"/>
      <c r="Y2744" s="755">
        <f t="shared" si="369"/>
        <v>0</v>
      </c>
      <c r="Z2744" s="864"/>
      <c r="AA2744" s="863"/>
      <c r="AB2744" s="756">
        <f t="shared" si="368"/>
        <v>0</v>
      </c>
      <c r="AC2744" s="1373"/>
      <c r="AD2744" s="863"/>
      <c r="AE2744" s="867"/>
      <c r="AF2744" s="1373"/>
      <c r="AG2744" s="864"/>
      <c r="AH2744" s="865"/>
      <c r="AI2744" s="757">
        <f t="shared" si="366"/>
        <v>275899346</v>
      </c>
      <c r="AJ2744" s="758">
        <f t="shared" si="367"/>
        <v>271752077</v>
      </c>
    </row>
    <row r="2745" spans="1:36" x14ac:dyDescent="0.2">
      <c r="A2745" s="1369" t="s">
        <v>147</v>
      </c>
      <c r="B2745" s="1008" t="s">
        <v>264</v>
      </c>
      <c r="C2745" s="1370" t="s">
        <v>1537</v>
      </c>
      <c r="D2745" s="1371"/>
      <c r="E2745" s="1372">
        <v>222831</v>
      </c>
      <c r="F2745" s="1018">
        <v>3</v>
      </c>
      <c r="G2745" s="1373">
        <v>26349487</v>
      </c>
      <c r="H2745" s="860">
        <v>30292147</v>
      </c>
      <c r="I2745" s="1373"/>
      <c r="J2745" s="862"/>
      <c r="K2745" s="1373"/>
      <c r="L2745" s="863"/>
      <c r="M2745" s="867">
        <v>34775417</v>
      </c>
      <c r="N2745" s="1373"/>
      <c r="O2745" s="752">
        <f t="shared" si="362"/>
        <v>34775417</v>
      </c>
      <c r="P2745" s="862">
        <v>33916306</v>
      </c>
      <c r="Q2745" s="860"/>
      <c r="R2745" s="753">
        <f t="shared" si="363"/>
        <v>33916306</v>
      </c>
      <c r="S2745" s="752">
        <f t="shared" si="364"/>
        <v>61124904</v>
      </c>
      <c r="T2745" s="754">
        <f t="shared" si="365"/>
        <v>64208453</v>
      </c>
      <c r="U2745" s="1373"/>
      <c r="V2745" s="863"/>
      <c r="W2745" s="859"/>
      <c r="X2745" s="859"/>
      <c r="Y2745" s="755">
        <f t="shared" si="369"/>
        <v>0</v>
      </c>
      <c r="Z2745" s="864"/>
      <c r="AA2745" s="863"/>
      <c r="AB2745" s="756">
        <f t="shared" si="368"/>
        <v>0</v>
      </c>
      <c r="AC2745" s="1373"/>
      <c r="AD2745" s="863"/>
      <c r="AE2745" s="867"/>
      <c r="AF2745" s="1373"/>
      <c r="AG2745" s="864"/>
      <c r="AH2745" s="865"/>
      <c r="AI2745" s="757">
        <f t="shared" si="366"/>
        <v>61124904</v>
      </c>
      <c r="AJ2745" s="758">
        <f t="shared" si="367"/>
        <v>64208453</v>
      </c>
    </row>
    <row r="2746" spans="1:36" x14ac:dyDescent="0.2">
      <c r="A2746" s="1369" t="s">
        <v>147</v>
      </c>
      <c r="B2746" s="1008" t="s">
        <v>264</v>
      </c>
      <c r="C2746" s="1370" t="s">
        <v>1538</v>
      </c>
      <c r="D2746" s="1371"/>
      <c r="E2746" s="1372">
        <v>226091</v>
      </c>
      <c r="F2746" s="1018">
        <v>3</v>
      </c>
      <c r="G2746" s="1373">
        <v>45769417</v>
      </c>
      <c r="H2746" s="860">
        <v>49379031</v>
      </c>
      <c r="I2746" s="1373"/>
      <c r="J2746" s="862"/>
      <c r="K2746" s="1373"/>
      <c r="L2746" s="863"/>
      <c r="M2746" s="867">
        <v>71731634</v>
      </c>
      <c r="N2746" s="1373"/>
      <c r="O2746" s="752">
        <f t="shared" si="362"/>
        <v>71731634</v>
      </c>
      <c r="P2746" s="862">
        <v>83404139</v>
      </c>
      <c r="Q2746" s="860"/>
      <c r="R2746" s="753">
        <f t="shared" si="363"/>
        <v>83404139</v>
      </c>
      <c r="S2746" s="752">
        <f t="shared" si="364"/>
        <v>117501051</v>
      </c>
      <c r="T2746" s="754">
        <f t="shared" si="365"/>
        <v>132783170</v>
      </c>
      <c r="U2746" s="1373"/>
      <c r="V2746" s="863"/>
      <c r="W2746" s="859"/>
      <c r="X2746" s="859"/>
      <c r="Y2746" s="755">
        <f t="shared" si="369"/>
        <v>0</v>
      </c>
      <c r="Z2746" s="864"/>
      <c r="AA2746" s="863"/>
      <c r="AB2746" s="756">
        <f t="shared" si="368"/>
        <v>0</v>
      </c>
      <c r="AC2746" s="1373"/>
      <c r="AD2746" s="863"/>
      <c r="AE2746" s="867"/>
      <c r="AF2746" s="1373"/>
      <c r="AG2746" s="864"/>
      <c r="AH2746" s="865"/>
      <c r="AI2746" s="757">
        <f t="shared" si="366"/>
        <v>117501051</v>
      </c>
      <c r="AJ2746" s="758">
        <f t="shared" si="367"/>
        <v>132783170</v>
      </c>
    </row>
    <row r="2747" spans="1:36" x14ac:dyDescent="0.2">
      <c r="A2747" s="1369" t="s">
        <v>147</v>
      </c>
      <c r="B2747" s="1008" t="s">
        <v>264</v>
      </c>
      <c r="C2747" s="1370" t="s">
        <v>1539</v>
      </c>
      <c r="D2747" s="1371"/>
      <c r="E2747" s="1372">
        <v>226833</v>
      </c>
      <c r="F2747" s="1018">
        <v>3</v>
      </c>
      <c r="G2747" s="1373">
        <v>20129999</v>
      </c>
      <c r="H2747" s="860">
        <v>20532679</v>
      </c>
      <c r="I2747" s="1373"/>
      <c r="J2747" s="862"/>
      <c r="K2747" s="1373"/>
      <c r="L2747" s="863"/>
      <c r="M2747" s="867">
        <v>29192043</v>
      </c>
      <c r="N2747" s="1373"/>
      <c r="O2747" s="752">
        <f t="shared" si="362"/>
        <v>29192043</v>
      </c>
      <c r="P2747" s="862">
        <v>31130657</v>
      </c>
      <c r="Q2747" s="860"/>
      <c r="R2747" s="753">
        <f t="shared" si="363"/>
        <v>31130657</v>
      </c>
      <c r="S2747" s="752">
        <f t="shared" si="364"/>
        <v>49322042</v>
      </c>
      <c r="T2747" s="754">
        <f t="shared" si="365"/>
        <v>51663336</v>
      </c>
      <c r="U2747" s="1373"/>
      <c r="V2747" s="863"/>
      <c r="W2747" s="859"/>
      <c r="X2747" s="859"/>
      <c r="Y2747" s="755">
        <f t="shared" si="369"/>
        <v>0</v>
      </c>
      <c r="Z2747" s="864"/>
      <c r="AA2747" s="863"/>
      <c r="AB2747" s="756">
        <f t="shared" si="368"/>
        <v>0</v>
      </c>
      <c r="AC2747" s="1373"/>
      <c r="AD2747" s="863"/>
      <c r="AE2747" s="867"/>
      <c r="AF2747" s="1373"/>
      <c r="AG2747" s="864"/>
      <c r="AH2747" s="865"/>
      <c r="AI2747" s="757">
        <f t="shared" si="366"/>
        <v>49322042</v>
      </c>
      <c r="AJ2747" s="758">
        <f t="shared" si="367"/>
        <v>51663336</v>
      </c>
    </row>
    <row r="2748" spans="1:36" x14ac:dyDescent="0.2">
      <c r="A2748" s="1369" t="s">
        <v>147</v>
      </c>
      <c r="B2748" s="1008" t="s">
        <v>264</v>
      </c>
      <c r="C2748" s="1370" t="s">
        <v>1540</v>
      </c>
      <c r="D2748" s="1371"/>
      <c r="E2748" s="1372">
        <v>227526</v>
      </c>
      <c r="F2748" s="1018">
        <v>3</v>
      </c>
      <c r="G2748" s="867">
        <v>64682581</v>
      </c>
      <c r="H2748" s="860">
        <v>62152018</v>
      </c>
      <c r="I2748" s="1373"/>
      <c r="J2748" s="862"/>
      <c r="K2748" s="1373"/>
      <c r="L2748" s="863"/>
      <c r="M2748" s="867">
        <v>35818950</v>
      </c>
      <c r="N2748" s="1373"/>
      <c r="O2748" s="752">
        <f t="shared" si="362"/>
        <v>35818950</v>
      </c>
      <c r="P2748" s="862">
        <v>32976606</v>
      </c>
      <c r="Q2748" s="860"/>
      <c r="R2748" s="753">
        <f t="shared" si="363"/>
        <v>32976606</v>
      </c>
      <c r="S2748" s="752">
        <f t="shared" si="364"/>
        <v>100501531</v>
      </c>
      <c r="T2748" s="754">
        <f t="shared" si="365"/>
        <v>95128624</v>
      </c>
      <c r="U2748" s="1373"/>
      <c r="V2748" s="863"/>
      <c r="W2748" s="859"/>
      <c r="X2748" s="859"/>
      <c r="Y2748" s="755">
        <f t="shared" si="369"/>
        <v>0</v>
      </c>
      <c r="Z2748" s="864"/>
      <c r="AA2748" s="863"/>
      <c r="AB2748" s="756">
        <f t="shared" si="368"/>
        <v>0</v>
      </c>
      <c r="AC2748" s="1373"/>
      <c r="AD2748" s="863"/>
      <c r="AE2748" s="867"/>
      <c r="AF2748" s="1373"/>
      <c r="AG2748" s="864"/>
      <c r="AH2748" s="865"/>
      <c r="AI2748" s="757">
        <f t="shared" si="366"/>
        <v>100501531</v>
      </c>
      <c r="AJ2748" s="758">
        <f t="shared" si="367"/>
        <v>95128624</v>
      </c>
    </row>
    <row r="2749" spans="1:36" x14ac:dyDescent="0.2">
      <c r="A2749" s="1369" t="s">
        <v>147</v>
      </c>
      <c r="B2749" s="1008" t="s">
        <v>264</v>
      </c>
      <c r="C2749" s="1370" t="s">
        <v>1541</v>
      </c>
      <c r="D2749" s="1371"/>
      <c r="E2749" s="1372">
        <v>227881</v>
      </c>
      <c r="F2749" s="1018">
        <v>3</v>
      </c>
      <c r="G2749" s="1373">
        <v>50885369</v>
      </c>
      <c r="H2749" s="860">
        <v>55017287</v>
      </c>
      <c r="I2749" s="1373"/>
      <c r="J2749" s="862"/>
      <c r="K2749" s="1373"/>
      <c r="L2749" s="863"/>
      <c r="M2749" s="867">
        <v>90545811</v>
      </c>
      <c r="N2749" s="1373"/>
      <c r="O2749" s="752">
        <f t="shared" si="362"/>
        <v>90545811</v>
      </c>
      <c r="P2749" s="862">
        <v>95482701</v>
      </c>
      <c r="Q2749" s="860"/>
      <c r="R2749" s="753">
        <f t="shared" si="363"/>
        <v>95482701</v>
      </c>
      <c r="S2749" s="752">
        <f t="shared" si="364"/>
        <v>141431180</v>
      </c>
      <c r="T2749" s="754">
        <f t="shared" si="365"/>
        <v>150499988</v>
      </c>
      <c r="U2749" s="1373"/>
      <c r="V2749" s="863"/>
      <c r="W2749" s="859"/>
      <c r="X2749" s="859"/>
      <c r="Y2749" s="755">
        <f t="shared" si="369"/>
        <v>0</v>
      </c>
      <c r="Z2749" s="864"/>
      <c r="AA2749" s="863"/>
      <c r="AB2749" s="756">
        <f t="shared" si="368"/>
        <v>0</v>
      </c>
      <c r="AC2749" s="1373"/>
      <c r="AD2749" s="863"/>
      <c r="AE2749" s="867"/>
      <c r="AF2749" s="1373"/>
      <c r="AG2749" s="864"/>
      <c r="AH2749" s="865"/>
      <c r="AI2749" s="757">
        <f t="shared" si="366"/>
        <v>141431180</v>
      </c>
      <c r="AJ2749" s="758">
        <f t="shared" si="367"/>
        <v>150499988</v>
      </c>
    </row>
    <row r="2750" spans="1:36" x14ac:dyDescent="0.2">
      <c r="A2750" s="1369" t="s">
        <v>147</v>
      </c>
      <c r="B2750" s="1008" t="s">
        <v>264</v>
      </c>
      <c r="C2750" s="1370" t="s">
        <v>1542</v>
      </c>
      <c r="D2750" s="1371"/>
      <c r="E2750" s="1372">
        <v>228431</v>
      </c>
      <c r="F2750" s="1018">
        <v>3</v>
      </c>
      <c r="G2750" s="1373">
        <v>47457074</v>
      </c>
      <c r="H2750" s="860">
        <v>49388727</v>
      </c>
      <c r="I2750" s="1373"/>
      <c r="J2750" s="862"/>
      <c r="K2750" s="1373"/>
      <c r="L2750" s="863"/>
      <c r="M2750" s="867">
        <v>64139740</v>
      </c>
      <c r="N2750" s="1373"/>
      <c r="O2750" s="752">
        <f t="shared" si="362"/>
        <v>64139740</v>
      </c>
      <c r="P2750" s="862">
        <v>68185946</v>
      </c>
      <c r="Q2750" s="860"/>
      <c r="R2750" s="753">
        <f t="shared" si="363"/>
        <v>68185946</v>
      </c>
      <c r="S2750" s="752">
        <f t="shared" si="364"/>
        <v>111596814</v>
      </c>
      <c r="T2750" s="754">
        <f t="shared" si="365"/>
        <v>117574673</v>
      </c>
      <c r="U2750" s="1373"/>
      <c r="V2750" s="863"/>
      <c r="W2750" s="859"/>
      <c r="X2750" s="859"/>
      <c r="Y2750" s="755">
        <f t="shared" si="369"/>
        <v>0</v>
      </c>
      <c r="Z2750" s="864"/>
      <c r="AA2750" s="863"/>
      <c r="AB2750" s="756">
        <f t="shared" si="368"/>
        <v>0</v>
      </c>
      <c r="AC2750" s="1373"/>
      <c r="AD2750" s="863"/>
      <c r="AE2750" s="867"/>
      <c r="AF2750" s="1373"/>
      <c r="AG2750" s="864"/>
      <c r="AH2750" s="865"/>
      <c r="AI2750" s="757">
        <f t="shared" si="366"/>
        <v>111596814</v>
      </c>
      <c r="AJ2750" s="758">
        <f t="shared" si="367"/>
        <v>117574673</v>
      </c>
    </row>
    <row r="2751" spans="1:36" x14ac:dyDescent="0.2">
      <c r="A2751" s="1369" t="s">
        <v>147</v>
      </c>
      <c r="B2751" s="1008" t="s">
        <v>264</v>
      </c>
      <c r="C2751" s="1370" t="s">
        <v>1543</v>
      </c>
      <c r="D2751" s="1371"/>
      <c r="E2751" s="1372">
        <v>228501</v>
      </c>
      <c r="F2751" s="1018">
        <v>3</v>
      </c>
      <c r="G2751" s="1373">
        <v>13505143</v>
      </c>
      <c r="H2751" s="860">
        <v>13789618</v>
      </c>
      <c r="I2751" s="1373"/>
      <c r="J2751" s="862"/>
      <c r="K2751" s="1373"/>
      <c r="L2751" s="863"/>
      <c r="M2751" s="867">
        <v>11260206</v>
      </c>
      <c r="N2751" s="1373"/>
      <c r="O2751" s="752">
        <f t="shared" si="362"/>
        <v>11260206</v>
      </c>
      <c r="P2751" s="862">
        <v>10709181</v>
      </c>
      <c r="Q2751" s="860"/>
      <c r="R2751" s="753">
        <f t="shared" si="363"/>
        <v>10709181</v>
      </c>
      <c r="S2751" s="752">
        <f t="shared" si="364"/>
        <v>24765349</v>
      </c>
      <c r="T2751" s="754">
        <f t="shared" si="365"/>
        <v>24498799</v>
      </c>
      <c r="U2751" s="1373"/>
      <c r="V2751" s="863"/>
      <c r="W2751" s="859"/>
      <c r="X2751" s="859"/>
      <c r="Y2751" s="755">
        <f t="shared" si="369"/>
        <v>0</v>
      </c>
      <c r="Z2751" s="864"/>
      <c r="AA2751" s="863"/>
      <c r="AB2751" s="756">
        <f t="shared" si="368"/>
        <v>0</v>
      </c>
      <c r="AC2751" s="1373"/>
      <c r="AD2751" s="863"/>
      <c r="AE2751" s="867"/>
      <c r="AF2751" s="1373"/>
      <c r="AG2751" s="864"/>
      <c r="AH2751" s="865"/>
      <c r="AI2751" s="757">
        <f t="shared" si="366"/>
        <v>24765349</v>
      </c>
      <c r="AJ2751" s="758">
        <f t="shared" si="367"/>
        <v>24498799</v>
      </c>
    </row>
    <row r="2752" spans="1:36" x14ac:dyDescent="0.2">
      <c r="A2752" s="1369" t="s">
        <v>147</v>
      </c>
      <c r="B2752" s="1008" t="s">
        <v>264</v>
      </c>
      <c r="C2752" s="1370" t="s">
        <v>1544</v>
      </c>
      <c r="D2752" s="1371"/>
      <c r="E2752" s="1372">
        <v>228529</v>
      </c>
      <c r="F2752" s="1018">
        <v>3</v>
      </c>
      <c r="G2752" s="1373">
        <v>32388194</v>
      </c>
      <c r="H2752" s="860">
        <v>38366046</v>
      </c>
      <c r="I2752" s="1373"/>
      <c r="J2752" s="862"/>
      <c r="K2752" s="1373"/>
      <c r="L2752" s="863"/>
      <c r="M2752" s="867">
        <v>39600221</v>
      </c>
      <c r="N2752" s="1373"/>
      <c r="O2752" s="752">
        <f t="shared" si="362"/>
        <v>39600221</v>
      </c>
      <c r="P2752" s="862">
        <v>44883493</v>
      </c>
      <c r="Q2752" s="860"/>
      <c r="R2752" s="753">
        <f t="shared" si="363"/>
        <v>44883493</v>
      </c>
      <c r="S2752" s="752">
        <f t="shared" si="364"/>
        <v>71988415</v>
      </c>
      <c r="T2752" s="754">
        <f t="shared" si="365"/>
        <v>83249539</v>
      </c>
      <c r="U2752" s="1373"/>
      <c r="V2752" s="863"/>
      <c r="W2752" s="859"/>
      <c r="X2752" s="859"/>
      <c r="Y2752" s="755">
        <f t="shared" si="369"/>
        <v>0</v>
      </c>
      <c r="Z2752" s="864"/>
      <c r="AA2752" s="863"/>
      <c r="AB2752" s="756">
        <f t="shared" si="368"/>
        <v>0</v>
      </c>
      <c r="AC2752" s="1373"/>
      <c r="AD2752" s="863"/>
      <c r="AE2752" s="867"/>
      <c r="AF2752" s="1373"/>
      <c r="AG2752" s="864"/>
      <c r="AH2752" s="865"/>
      <c r="AI2752" s="757">
        <f t="shared" si="366"/>
        <v>71988415</v>
      </c>
      <c r="AJ2752" s="758">
        <f t="shared" si="367"/>
        <v>83249539</v>
      </c>
    </row>
    <row r="2753" spans="1:36" x14ac:dyDescent="0.2">
      <c r="A2753" s="1369" t="s">
        <v>147</v>
      </c>
      <c r="B2753" s="1008" t="s">
        <v>264</v>
      </c>
      <c r="C2753" s="1002" t="s">
        <v>1545</v>
      </c>
      <c r="D2753" s="1000"/>
      <c r="E2753" s="1003">
        <v>226152</v>
      </c>
      <c r="F2753" s="1004">
        <v>3</v>
      </c>
      <c r="G2753" s="1373">
        <v>26131971</v>
      </c>
      <c r="H2753" s="860">
        <v>26759604</v>
      </c>
      <c r="I2753" s="1373"/>
      <c r="J2753" s="862"/>
      <c r="K2753" s="1373"/>
      <c r="L2753" s="863"/>
      <c r="M2753" s="867">
        <v>13892825</v>
      </c>
      <c r="N2753" s="1373"/>
      <c r="O2753" s="752">
        <f t="shared" si="362"/>
        <v>13892825</v>
      </c>
      <c r="P2753" s="862">
        <v>16855507</v>
      </c>
      <c r="Q2753" s="860"/>
      <c r="R2753" s="753">
        <f t="shared" si="363"/>
        <v>16855507</v>
      </c>
      <c r="S2753" s="752">
        <f t="shared" si="364"/>
        <v>40024796</v>
      </c>
      <c r="T2753" s="754">
        <f t="shared" si="365"/>
        <v>43615111</v>
      </c>
      <c r="U2753" s="1373"/>
      <c r="V2753" s="863"/>
      <c r="W2753" s="859"/>
      <c r="X2753" s="859"/>
      <c r="Y2753" s="755">
        <f t="shared" si="369"/>
        <v>0</v>
      </c>
      <c r="Z2753" s="864"/>
      <c r="AA2753" s="863"/>
      <c r="AB2753" s="756">
        <f t="shared" si="368"/>
        <v>0</v>
      </c>
      <c r="AC2753" s="1373"/>
      <c r="AD2753" s="863"/>
      <c r="AE2753" s="867"/>
      <c r="AF2753" s="1373"/>
      <c r="AG2753" s="864"/>
      <c r="AH2753" s="865"/>
      <c r="AI2753" s="757">
        <f t="shared" si="366"/>
        <v>40024796</v>
      </c>
      <c r="AJ2753" s="758">
        <f t="shared" si="367"/>
        <v>43615111</v>
      </c>
    </row>
    <row r="2754" spans="1:36" x14ac:dyDescent="0.2">
      <c r="A2754" s="1369" t="s">
        <v>147</v>
      </c>
      <c r="B2754" s="1008" t="s">
        <v>264</v>
      </c>
      <c r="C2754" s="1370" t="s">
        <v>1546</v>
      </c>
      <c r="D2754" s="1371"/>
      <c r="E2754" s="1372">
        <v>224554</v>
      </c>
      <c r="F2754" s="1018">
        <v>3</v>
      </c>
      <c r="G2754" s="1373">
        <v>40822145</v>
      </c>
      <c r="H2754" s="860">
        <v>44305359</v>
      </c>
      <c r="I2754" s="1373"/>
      <c r="J2754" s="862"/>
      <c r="K2754" s="1373"/>
      <c r="L2754" s="863"/>
      <c r="M2754" s="867">
        <v>50660607</v>
      </c>
      <c r="N2754" s="1373"/>
      <c r="O2754" s="752">
        <f t="shared" si="362"/>
        <v>50660607</v>
      </c>
      <c r="P2754" s="862">
        <v>59458198</v>
      </c>
      <c r="Q2754" s="860"/>
      <c r="R2754" s="753">
        <f t="shared" si="363"/>
        <v>59458198</v>
      </c>
      <c r="S2754" s="752">
        <f t="shared" si="364"/>
        <v>91482752</v>
      </c>
      <c r="T2754" s="754">
        <f t="shared" si="365"/>
        <v>103763557</v>
      </c>
      <c r="U2754" s="1373"/>
      <c r="V2754" s="863"/>
      <c r="W2754" s="859"/>
      <c r="X2754" s="859"/>
      <c r="Y2754" s="755">
        <f t="shared" si="369"/>
        <v>0</v>
      </c>
      <c r="Z2754" s="864"/>
      <c r="AA2754" s="863"/>
      <c r="AB2754" s="756">
        <f t="shared" si="368"/>
        <v>0</v>
      </c>
      <c r="AC2754" s="1373"/>
      <c r="AD2754" s="863"/>
      <c r="AE2754" s="867"/>
      <c r="AF2754" s="1373"/>
      <c r="AG2754" s="864"/>
      <c r="AH2754" s="865"/>
      <c r="AI2754" s="757">
        <f t="shared" si="366"/>
        <v>91482752</v>
      </c>
      <c r="AJ2754" s="758">
        <f t="shared" si="367"/>
        <v>103763557</v>
      </c>
    </row>
    <row r="2755" spans="1:36" x14ac:dyDescent="0.2">
      <c r="A2755" s="1369" t="s">
        <v>147</v>
      </c>
      <c r="B2755" s="1008" t="s">
        <v>264</v>
      </c>
      <c r="C2755" s="1370" t="s">
        <v>1547</v>
      </c>
      <c r="D2755" s="1371"/>
      <c r="E2755" s="1372">
        <v>224147</v>
      </c>
      <c r="F2755" s="1018">
        <v>3</v>
      </c>
      <c r="G2755" s="1373">
        <v>43277425</v>
      </c>
      <c r="H2755" s="860">
        <v>46736906</v>
      </c>
      <c r="I2755" s="1373"/>
      <c r="J2755" s="862"/>
      <c r="K2755" s="1373"/>
      <c r="L2755" s="863"/>
      <c r="M2755" s="867">
        <v>44833707</v>
      </c>
      <c r="N2755" s="1373"/>
      <c r="O2755" s="752">
        <f t="shared" si="362"/>
        <v>44833707</v>
      </c>
      <c r="P2755" s="862">
        <v>48308637</v>
      </c>
      <c r="Q2755" s="860"/>
      <c r="R2755" s="753">
        <f t="shared" si="363"/>
        <v>48308637</v>
      </c>
      <c r="S2755" s="752">
        <f t="shared" si="364"/>
        <v>88111132</v>
      </c>
      <c r="T2755" s="754">
        <f t="shared" si="365"/>
        <v>95045543</v>
      </c>
      <c r="U2755" s="1373"/>
      <c r="V2755" s="863"/>
      <c r="W2755" s="859"/>
      <c r="X2755" s="859"/>
      <c r="Y2755" s="755">
        <f t="shared" si="369"/>
        <v>0</v>
      </c>
      <c r="Z2755" s="864"/>
      <c r="AA2755" s="863"/>
      <c r="AB2755" s="756">
        <f t="shared" si="368"/>
        <v>0</v>
      </c>
      <c r="AC2755" s="1373"/>
      <c r="AD2755" s="863"/>
      <c r="AE2755" s="867"/>
      <c r="AF2755" s="1373"/>
      <c r="AG2755" s="864"/>
      <c r="AH2755" s="865"/>
      <c r="AI2755" s="757">
        <f t="shared" si="366"/>
        <v>88111132</v>
      </c>
      <c r="AJ2755" s="758">
        <f t="shared" si="367"/>
        <v>95045543</v>
      </c>
    </row>
    <row r="2756" spans="1:36" x14ac:dyDescent="0.2">
      <c r="A2756" s="1369" t="s">
        <v>147</v>
      </c>
      <c r="B2756" s="1008" t="s">
        <v>264</v>
      </c>
      <c r="C2756" s="1370" t="s">
        <v>1548</v>
      </c>
      <c r="D2756" s="1371"/>
      <c r="E2756" s="1372">
        <v>228705</v>
      </c>
      <c r="F2756" s="1018">
        <v>3</v>
      </c>
      <c r="G2756" s="1373">
        <v>33264727</v>
      </c>
      <c r="H2756" s="860">
        <v>38119107</v>
      </c>
      <c r="I2756" s="1373"/>
      <c r="J2756" s="862"/>
      <c r="K2756" s="1373"/>
      <c r="L2756" s="863"/>
      <c r="M2756" s="867">
        <v>22307324</v>
      </c>
      <c r="N2756" s="1373"/>
      <c r="O2756" s="752">
        <f t="shared" si="362"/>
        <v>22307324</v>
      </c>
      <c r="P2756" s="862">
        <v>28897075</v>
      </c>
      <c r="Q2756" s="860"/>
      <c r="R2756" s="753">
        <f t="shared" si="363"/>
        <v>28897075</v>
      </c>
      <c r="S2756" s="752">
        <f t="shared" si="364"/>
        <v>55572051</v>
      </c>
      <c r="T2756" s="754">
        <f t="shared" si="365"/>
        <v>67016182</v>
      </c>
      <c r="U2756" s="1373"/>
      <c r="V2756" s="863"/>
      <c r="W2756" s="859"/>
      <c r="X2756" s="859"/>
      <c r="Y2756" s="755">
        <f t="shared" si="369"/>
        <v>0</v>
      </c>
      <c r="Z2756" s="864"/>
      <c r="AA2756" s="863"/>
      <c r="AB2756" s="756">
        <f t="shared" si="368"/>
        <v>0</v>
      </c>
      <c r="AC2756" s="1373"/>
      <c r="AD2756" s="863"/>
      <c r="AE2756" s="867"/>
      <c r="AF2756" s="1373"/>
      <c r="AG2756" s="864"/>
      <c r="AH2756" s="865"/>
      <c r="AI2756" s="757">
        <f t="shared" si="366"/>
        <v>55572051</v>
      </c>
      <c r="AJ2756" s="758">
        <f t="shared" si="367"/>
        <v>67016182</v>
      </c>
    </row>
    <row r="2757" spans="1:36" x14ac:dyDescent="0.2">
      <c r="A2757" s="1369" t="s">
        <v>147</v>
      </c>
      <c r="B2757" s="1008" t="s">
        <v>264</v>
      </c>
      <c r="C2757" s="1370" t="s">
        <v>1549</v>
      </c>
      <c r="D2757" s="1371"/>
      <c r="E2757" s="1372">
        <v>229063</v>
      </c>
      <c r="F2757" s="1018">
        <v>3</v>
      </c>
      <c r="G2757" s="1373">
        <v>53320399</v>
      </c>
      <c r="H2757" s="860">
        <v>53064103</v>
      </c>
      <c r="I2757" s="1373"/>
      <c r="J2757" s="862"/>
      <c r="K2757" s="1373"/>
      <c r="L2757" s="863"/>
      <c r="M2757" s="867">
        <v>56292384</v>
      </c>
      <c r="N2757" s="1373"/>
      <c r="O2757" s="752">
        <f t="shared" si="362"/>
        <v>56292384</v>
      </c>
      <c r="P2757" s="862">
        <v>60443378</v>
      </c>
      <c r="Q2757" s="860"/>
      <c r="R2757" s="753">
        <f t="shared" si="363"/>
        <v>60443378</v>
      </c>
      <c r="S2757" s="752">
        <f t="shared" si="364"/>
        <v>109612783</v>
      </c>
      <c r="T2757" s="754">
        <f t="shared" si="365"/>
        <v>113507481</v>
      </c>
      <c r="U2757" s="1373"/>
      <c r="V2757" s="863"/>
      <c r="W2757" s="859"/>
      <c r="X2757" s="859"/>
      <c r="Y2757" s="755">
        <f t="shared" si="369"/>
        <v>0</v>
      </c>
      <c r="Z2757" s="864"/>
      <c r="AA2757" s="863"/>
      <c r="AB2757" s="756">
        <f t="shared" si="368"/>
        <v>0</v>
      </c>
      <c r="AC2757" s="1373"/>
      <c r="AD2757" s="863"/>
      <c r="AE2757" s="867"/>
      <c r="AF2757" s="1373"/>
      <c r="AG2757" s="864"/>
      <c r="AH2757" s="865"/>
      <c r="AI2757" s="757">
        <f t="shared" si="366"/>
        <v>109612783</v>
      </c>
      <c r="AJ2757" s="758">
        <f t="shared" si="367"/>
        <v>113507481</v>
      </c>
    </row>
    <row r="2758" spans="1:36" x14ac:dyDescent="0.2">
      <c r="A2758" s="1369" t="s">
        <v>147</v>
      </c>
      <c r="B2758" s="1008" t="s">
        <v>264</v>
      </c>
      <c r="C2758" s="1253" t="s">
        <v>1550</v>
      </c>
      <c r="D2758" s="1371"/>
      <c r="E2758" s="1372">
        <v>228459</v>
      </c>
      <c r="F2758" s="1018">
        <v>3</v>
      </c>
      <c r="G2758" s="1373">
        <v>97874062</v>
      </c>
      <c r="H2758" s="860">
        <v>109738634</v>
      </c>
      <c r="I2758" s="876">
        <v>624259</v>
      </c>
      <c r="J2758" s="862">
        <v>1015475</v>
      </c>
      <c r="K2758" s="1373"/>
      <c r="L2758" s="863"/>
      <c r="M2758" s="867">
        <v>164748661</v>
      </c>
      <c r="N2758" s="1373"/>
      <c r="O2758" s="752">
        <f t="shared" si="362"/>
        <v>164748661</v>
      </c>
      <c r="P2758" s="862">
        <v>169094909</v>
      </c>
      <c r="Q2758" s="860"/>
      <c r="R2758" s="753">
        <f t="shared" si="363"/>
        <v>169094909</v>
      </c>
      <c r="S2758" s="752">
        <f t="shared" si="364"/>
        <v>263246982</v>
      </c>
      <c r="T2758" s="754">
        <f t="shared" si="365"/>
        <v>279849018</v>
      </c>
      <c r="U2758" s="1373"/>
      <c r="V2758" s="863"/>
      <c r="W2758" s="859"/>
      <c r="X2758" s="859"/>
      <c r="Y2758" s="755">
        <f t="shared" si="369"/>
        <v>0</v>
      </c>
      <c r="Z2758" s="864"/>
      <c r="AA2758" s="863"/>
      <c r="AB2758" s="756">
        <f t="shared" si="368"/>
        <v>0</v>
      </c>
      <c r="AC2758" s="1373"/>
      <c r="AD2758" s="863"/>
      <c r="AE2758" s="867"/>
      <c r="AF2758" s="1373"/>
      <c r="AG2758" s="864"/>
      <c r="AH2758" s="865"/>
      <c r="AI2758" s="757">
        <f t="shared" si="366"/>
        <v>263246982</v>
      </c>
      <c r="AJ2758" s="758">
        <f t="shared" si="367"/>
        <v>279849018</v>
      </c>
    </row>
    <row r="2759" spans="1:36" x14ac:dyDescent="0.2">
      <c r="A2759" s="1369" t="s">
        <v>147</v>
      </c>
      <c r="B2759" s="1008" t="s">
        <v>264</v>
      </c>
      <c r="C2759" s="1370" t="s">
        <v>1551</v>
      </c>
      <c r="D2759" s="1371"/>
      <c r="E2759" s="1372">
        <v>225414</v>
      </c>
      <c r="F2759" s="1018">
        <v>3</v>
      </c>
      <c r="G2759" s="867">
        <v>27769666</v>
      </c>
      <c r="H2759" s="860">
        <v>32343569</v>
      </c>
      <c r="I2759" s="1373"/>
      <c r="J2759" s="862"/>
      <c r="K2759" s="1373"/>
      <c r="L2759" s="863"/>
      <c r="M2759" s="867">
        <v>39836085</v>
      </c>
      <c r="N2759" s="1373"/>
      <c r="O2759" s="752">
        <f t="shared" si="362"/>
        <v>39836085</v>
      </c>
      <c r="P2759" s="862">
        <v>40241610</v>
      </c>
      <c r="Q2759" s="860"/>
      <c r="R2759" s="753">
        <f t="shared" si="363"/>
        <v>40241610</v>
      </c>
      <c r="S2759" s="752">
        <f t="shared" si="364"/>
        <v>67605751</v>
      </c>
      <c r="T2759" s="754">
        <f t="shared" si="365"/>
        <v>72585179</v>
      </c>
      <c r="U2759" s="1373"/>
      <c r="V2759" s="863"/>
      <c r="W2759" s="859"/>
      <c r="X2759" s="859"/>
      <c r="Y2759" s="755">
        <f t="shared" si="369"/>
        <v>0</v>
      </c>
      <c r="Z2759" s="864"/>
      <c r="AA2759" s="863"/>
      <c r="AB2759" s="756">
        <f t="shared" si="368"/>
        <v>0</v>
      </c>
      <c r="AC2759" s="1373"/>
      <c r="AD2759" s="863"/>
      <c r="AE2759" s="867"/>
      <c r="AF2759" s="1373"/>
      <c r="AG2759" s="864"/>
      <c r="AH2759" s="865"/>
      <c r="AI2759" s="757">
        <f t="shared" si="366"/>
        <v>67605751</v>
      </c>
      <c r="AJ2759" s="758">
        <f t="shared" si="367"/>
        <v>72585179</v>
      </c>
    </row>
    <row r="2760" spans="1:36" x14ac:dyDescent="0.2">
      <c r="A2760" s="1369" t="s">
        <v>147</v>
      </c>
      <c r="B2760" s="1008" t="s">
        <v>264</v>
      </c>
      <c r="C2760" s="1002" t="s">
        <v>1552</v>
      </c>
      <c r="D2760" s="1000"/>
      <c r="E2760" s="1372">
        <v>227377</v>
      </c>
      <c r="F2760" s="1004">
        <v>3</v>
      </c>
      <c r="G2760" s="1373">
        <v>26041686</v>
      </c>
      <c r="H2760" s="860">
        <v>24929612</v>
      </c>
      <c r="I2760" s="1373"/>
      <c r="J2760" s="862"/>
      <c r="K2760" s="1373"/>
      <c r="L2760" s="863"/>
      <c r="M2760" s="867">
        <v>19747641</v>
      </c>
      <c r="N2760" s="1373"/>
      <c r="O2760" s="752">
        <f t="shared" si="362"/>
        <v>19747641</v>
      </c>
      <c r="P2760" s="862">
        <v>27619038</v>
      </c>
      <c r="Q2760" s="860"/>
      <c r="R2760" s="753">
        <f t="shared" si="363"/>
        <v>27619038</v>
      </c>
      <c r="S2760" s="752">
        <f t="shared" si="364"/>
        <v>45789327</v>
      </c>
      <c r="T2760" s="754">
        <f t="shared" si="365"/>
        <v>52548650</v>
      </c>
      <c r="U2760" s="1373"/>
      <c r="V2760" s="863"/>
      <c r="W2760" s="859"/>
      <c r="X2760" s="859"/>
      <c r="Y2760" s="755">
        <f t="shared" si="369"/>
        <v>0</v>
      </c>
      <c r="Z2760" s="864"/>
      <c r="AA2760" s="863"/>
      <c r="AB2760" s="756">
        <f t="shared" si="368"/>
        <v>0</v>
      </c>
      <c r="AC2760" s="1373"/>
      <c r="AD2760" s="863"/>
      <c r="AE2760" s="867"/>
      <c r="AF2760" s="1373"/>
      <c r="AG2760" s="864"/>
      <c r="AH2760" s="865"/>
      <c r="AI2760" s="757">
        <f t="shared" si="366"/>
        <v>45789327</v>
      </c>
      <c r="AJ2760" s="758">
        <f t="shared" si="367"/>
        <v>52548650</v>
      </c>
    </row>
    <row r="2761" spans="1:36" x14ac:dyDescent="0.2">
      <c r="A2761" s="1369" t="s">
        <v>147</v>
      </c>
      <c r="B2761" s="1008" t="s">
        <v>264</v>
      </c>
      <c r="C2761" s="1370" t="s">
        <v>1553</v>
      </c>
      <c r="D2761" s="1371"/>
      <c r="E2761" s="1372">
        <v>228802</v>
      </c>
      <c r="F2761" s="1018">
        <v>3</v>
      </c>
      <c r="G2761" s="1373">
        <v>27682370</v>
      </c>
      <c r="H2761" s="860">
        <v>31534322</v>
      </c>
      <c r="I2761" s="1373"/>
      <c r="J2761" s="862"/>
      <c r="K2761" s="1373"/>
      <c r="L2761" s="863"/>
      <c r="M2761" s="867">
        <v>25360270</v>
      </c>
      <c r="N2761" s="1373"/>
      <c r="O2761" s="752">
        <f t="shared" si="362"/>
        <v>25360270</v>
      </c>
      <c r="P2761" s="862">
        <v>27363871</v>
      </c>
      <c r="Q2761" s="860"/>
      <c r="R2761" s="753">
        <f t="shared" si="363"/>
        <v>27363871</v>
      </c>
      <c r="S2761" s="752">
        <f t="shared" si="364"/>
        <v>53042640</v>
      </c>
      <c r="T2761" s="754">
        <f t="shared" si="365"/>
        <v>58898193</v>
      </c>
      <c r="U2761" s="1373"/>
      <c r="V2761" s="863"/>
      <c r="W2761" s="859"/>
      <c r="X2761" s="859"/>
      <c r="Y2761" s="755">
        <f t="shared" si="369"/>
        <v>0</v>
      </c>
      <c r="Z2761" s="864"/>
      <c r="AA2761" s="863"/>
      <c r="AB2761" s="756">
        <f t="shared" si="368"/>
        <v>0</v>
      </c>
      <c r="AC2761" s="1373"/>
      <c r="AD2761" s="863"/>
      <c r="AE2761" s="867"/>
      <c r="AF2761" s="1373"/>
      <c r="AG2761" s="864"/>
      <c r="AH2761" s="865"/>
      <c r="AI2761" s="757">
        <f t="shared" si="366"/>
        <v>53042640</v>
      </c>
      <c r="AJ2761" s="758">
        <f t="shared" si="367"/>
        <v>58898193</v>
      </c>
    </row>
    <row r="2762" spans="1:36" x14ac:dyDescent="0.2">
      <c r="A2762" s="1369" t="s">
        <v>147</v>
      </c>
      <c r="B2762" s="1008" t="s">
        <v>264</v>
      </c>
      <c r="C2762" s="1002" t="s">
        <v>1554</v>
      </c>
      <c r="D2762" s="1380"/>
      <c r="E2762" s="1372">
        <v>229018</v>
      </c>
      <c r="F2762" s="1381">
        <v>3</v>
      </c>
      <c r="G2762" s="1373">
        <v>19293448</v>
      </c>
      <c r="H2762" s="860">
        <v>21355849</v>
      </c>
      <c r="I2762" s="1373"/>
      <c r="J2762" s="862"/>
      <c r="K2762" s="1373"/>
      <c r="L2762" s="863"/>
      <c r="M2762" s="867">
        <v>8799473</v>
      </c>
      <c r="N2762" s="1373"/>
      <c r="O2762" s="752">
        <f t="shared" si="362"/>
        <v>8799473</v>
      </c>
      <c r="P2762" s="862">
        <v>13643671</v>
      </c>
      <c r="Q2762" s="860"/>
      <c r="R2762" s="753">
        <f t="shared" si="363"/>
        <v>13643671</v>
      </c>
      <c r="S2762" s="752">
        <f t="shared" si="364"/>
        <v>28092921</v>
      </c>
      <c r="T2762" s="754">
        <f t="shared" si="365"/>
        <v>34999520</v>
      </c>
      <c r="U2762" s="1373"/>
      <c r="V2762" s="863"/>
      <c r="W2762" s="859"/>
      <c r="X2762" s="859"/>
      <c r="Y2762" s="755">
        <f t="shared" si="369"/>
        <v>0</v>
      </c>
      <c r="Z2762" s="864"/>
      <c r="AA2762" s="863"/>
      <c r="AB2762" s="756">
        <f t="shared" si="368"/>
        <v>0</v>
      </c>
      <c r="AC2762" s="1373"/>
      <c r="AD2762" s="863"/>
      <c r="AE2762" s="867"/>
      <c r="AF2762" s="1373"/>
      <c r="AG2762" s="864"/>
      <c r="AH2762" s="865"/>
      <c r="AI2762" s="757">
        <f t="shared" si="366"/>
        <v>28092921</v>
      </c>
      <c r="AJ2762" s="758">
        <f t="shared" si="367"/>
        <v>34999520</v>
      </c>
    </row>
    <row r="2763" spans="1:36" x14ac:dyDescent="0.2">
      <c r="A2763" s="1369" t="s">
        <v>147</v>
      </c>
      <c r="B2763" s="1008" t="s">
        <v>264</v>
      </c>
      <c r="C2763" s="1370" t="s">
        <v>1555</v>
      </c>
      <c r="D2763" s="1371"/>
      <c r="E2763" s="1372">
        <v>227368</v>
      </c>
      <c r="F2763" s="1018">
        <v>3</v>
      </c>
      <c r="G2763" s="1373">
        <v>64945648</v>
      </c>
      <c r="H2763" s="860">
        <v>68689383</v>
      </c>
      <c r="I2763" s="1373"/>
      <c r="J2763" s="862"/>
      <c r="K2763" s="1373"/>
      <c r="L2763" s="863"/>
      <c r="M2763" s="867">
        <v>53978804</v>
      </c>
      <c r="N2763" s="1373"/>
      <c r="O2763" s="752">
        <f t="shared" ref="O2763:O2826" si="370">SUM(M2763:N2763)</f>
        <v>53978804</v>
      </c>
      <c r="P2763" s="862">
        <v>37114601</v>
      </c>
      <c r="Q2763" s="860"/>
      <c r="R2763" s="753">
        <f t="shared" si="363"/>
        <v>37114601</v>
      </c>
      <c r="S2763" s="752">
        <f t="shared" si="364"/>
        <v>118924452</v>
      </c>
      <c r="T2763" s="754">
        <f t="shared" si="365"/>
        <v>105803984</v>
      </c>
      <c r="U2763" s="1373"/>
      <c r="V2763" s="863"/>
      <c r="W2763" s="859"/>
      <c r="X2763" s="859"/>
      <c r="Y2763" s="755">
        <f t="shared" ref="Y2763:Y2826" si="371">SUM(W2763:X2763)</f>
        <v>0</v>
      </c>
      <c r="Z2763" s="864"/>
      <c r="AA2763" s="863"/>
      <c r="AB2763" s="756">
        <f t="shared" ref="AB2763:AB2826" si="372">SUM(Z2763:AA2763)</f>
        <v>0</v>
      </c>
      <c r="AC2763" s="1373"/>
      <c r="AD2763" s="863"/>
      <c r="AE2763" s="867"/>
      <c r="AF2763" s="1373"/>
      <c r="AG2763" s="864"/>
      <c r="AH2763" s="865"/>
      <c r="AI2763" s="757">
        <f t="shared" si="366"/>
        <v>118924452</v>
      </c>
      <c r="AJ2763" s="758">
        <f t="shared" si="367"/>
        <v>105803984</v>
      </c>
    </row>
    <row r="2764" spans="1:36" x14ac:dyDescent="0.2">
      <c r="A2764" s="1369" t="s">
        <v>147</v>
      </c>
      <c r="B2764" s="1008" t="s">
        <v>264</v>
      </c>
      <c r="C2764" s="1370" t="s">
        <v>1556</v>
      </c>
      <c r="D2764" s="1371"/>
      <c r="E2764" s="1372">
        <v>229814</v>
      </c>
      <c r="F2764" s="1018">
        <v>3</v>
      </c>
      <c r="G2764" s="1373">
        <v>31019675</v>
      </c>
      <c r="H2764" s="860">
        <v>31104533</v>
      </c>
      <c r="I2764" s="1373"/>
      <c r="J2764" s="862"/>
      <c r="K2764" s="1373"/>
      <c r="L2764" s="863"/>
      <c r="M2764" s="867">
        <v>28659933</v>
      </c>
      <c r="N2764" s="1373"/>
      <c r="O2764" s="752">
        <f t="shared" si="370"/>
        <v>28659933</v>
      </c>
      <c r="P2764" s="862">
        <v>32655974</v>
      </c>
      <c r="Q2764" s="860"/>
      <c r="R2764" s="753">
        <f t="shared" ref="R2764:R2827" si="373">SUM(P2764:Q2764)</f>
        <v>32655974</v>
      </c>
      <c r="S2764" s="752">
        <f t="shared" ref="S2764:S2827" si="374">SUM(G2764,I2764,K2764,M2764)</f>
        <v>59679608</v>
      </c>
      <c r="T2764" s="754">
        <f t="shared" ref="T2764:T2827" si="375">SUM(H2764,J2764,L2764,P2764)</f>
        <v>63760507</v>
      </c>
      <c r="U2764" s="1373"/>
      <c r="V2764" s="863"/>
      <c r="W2764" s="859"/>
      <c r="X2764" s="859"/>
      <c r="Y2764" s="755">
        <f t="shared" si="371"/>
        <v>0</v>
      </c>
      <c r="Z2764" s="864"/>
      <c r="AA2764" s="863"/>
      <c r="AB2764" s="756">
        <f t="shared" si="372"/>
        <v>0</v>
      </c>
      <c r="AC2764" s="1373"/>
      <c r="AD2764" s="863"/>
      <c r="AE2764" s="867"/>
      <c r="AF2764" s="1373"/>
      <c r="AG2764" s="864"/>
      <c r="AH2764" s="865"/>
      <c r="AI2764" s="757">
        <f t="shared" ref="AI2764:AI2827" si="376">SUM(S2764,U2764,W2764,AC2764,AE2764)</f>
        <v>59679608</v>
      </c>
      <c r="AJ2764" s="758">
        <f t="shared" ref="AJ2764:AJ2827" si="377">SUM(T2764,V2764,Z2764,AD2764,AG2764)</f>
        <v>63760507</v>
      </c>
    </row>
    <row r="2765" spans="1:36" x14ac:dyDescent="0.2">
      <c r="A2765" s="1369" t="s">
        <v>147</v>
      </c>
      <c r="B2765" s="1008" t="s">
        <v>264</v>
      </c>
      <c r="C2765" s="1002" t="s">
        <v>1558</v>
      </c>
      <c r="D2765" s="1380"/>
      <c r="E2765" s="1508">
        <v>483036</v>
      </c>
      <c r="F2765" s="1509">
        <v>4</v>
      </c>
      <c r="G2765" s="1373">
        <v>12522361</v>
      </c>
      <c r="H2765" s="860">
        <v>14002722</v>
      </c>
      <c r="I2765" s="1373"/>
      <c r="J2765" s="862"/>
      <c r="K2765" s="1373"/>
      <c r="L2765" s="863"/>
      <c r="M2765" s="867">
        <v>8355482</v>
      </c>
      <c r="N2765" s="1373"/>
      <c r="O2765" s="752">
        <f t="shared" si="370"/>
        <v>8355482</v>
      </c>
      <c r="P2765" s="862">
        <v>10114054</v>
      </c>
      <c r="Q2765" s="860"/>
      <c r="R2765" s="753">
        <f t="shared" si="373"/>
        <v>10114054</v>
      </c>
      <c r="S2765" s="752">
        <f t="shared" si="374"/>
        <v>20877843</v>
      </c>
      <c r="T2765" s="754">
        <f t="shared" si="375"/>
        <v>24116776</v>
      </c>
      <c r="U2765" s="1373"/>
      <c r="V2765" s="863"/>
      <c r="W2765" s="859"/>
      <c r="X2765" s="859"/>
      <c r="Y2765" s="755">
        <f t="shared" si="371"/>
        <v>0</v>
      </c>
      <c r="Z2765" s="864"/>
      <c r="AA2765" s="863"/>
      <c r="AB2765" s="756">
        <f t="shared" si="372"/>
        <v>0</v>
      </c>
      <c r="AC2765" s="1373"/>
      <c r="AD2765" s="863"/>
      <c r="AE2765" s="867"/>
      <c r="AF2765" s="1373"/>
      <c r="AG2765" s="864"/>
      <c r="AH2765" s="865"/>
      <c r="AI2765" s="757">
        <f t="shared" si="376"/>
        <v>20877843</v>
      </c>
      <c r="AJ2765" s="758">
        <f t="shared" si="377"/>
        <v>24116776</v>
      </c>
    </row>
    <row r="2766" spans="1:36" x14ac:dyDescent="0.2">
      <c r="A2766" s="1369" t="s">
        <v>147</v>
      </c>
      <c r="B2766" s="1008" t="s">
        <v>264</v>
      </c>
      <c r="C2766" s="1370" t="s">
        <v>1557</v>
      </c>
      <c r="D2766" s="1371"/>
      <c r="E2766" s="1372">
        <v>224545</v>
      </c>
      <c r="F2766" s="1018">
        <v>4</v>
      </c>
      <c r="G2766" s="1373">
        <v>11561613</v>
      </c>
      <c r="H2766" s="860">
        <v>12960473</v>
      </c>
      <c r="I2766" s="1373"/>
      <c r="J2766" s="862"/>
      <c r="K2766" s="1373"/>
      <c r="L2766" s="863"/>
      <c r="M2766" s="867">
        <v>5570849</v>
      </c>
      <c r="N2766" s="1373"/>
      <c r="O2766" s="752">
        <f t="shared" si="370"/>
        <v>5570849</v>
      </c>
      <c r="P2766" s="862">
        <v>6381690</v>
      </c>
      <c r="Q2766" s="860"/>
      <c r="R2766" s="753">
        <f t="shared" si="373"/>
        <v>6381690</v>
      </c>
      <c r="S2766" s="752">
        <f t="shared" si="374"/>
        <v>17132462</v>
      </c>
      <c r="T2766" s="754">
        <f t="shared" si="375"/>
        <v>19342163</v>
      </c>
      <c r="U2766" s="1373"/>
      <c r="V2766" s="863"/>
      <c r="W2766" s="859"/>
      <c r="X2766" s="859"/>
      <c r="Y2766" s="755">
        <f t="shared" si="371"/>
        <v>0</v>
      </c>
      <c r="Z2766" s="864"/>
      <c r="AA2766" s="863"/>
      <c r="AB2766" s="756">
        <f t="shared" si="372"/>
        <v>0</v>
      </c>
      <c r="AC2766" s="1373"/>
      <c r="AD2766" s="863"/>
      <c r="AE2766" s="867"/>
      <c r="AF2766" s="1373"/>
      <c r="AG2766" s="864"/>
      <c r="AH2766" s="865"/>
      <c r="AI2766" s="757">
        <f t="shared" si="376"/>
        <v>17132462</v>
      </c>
      <c r="AJ2766" s="758">
        <f t="shared" si="377"/>
        <v>19342163</v>
      </c>
    </row>
    <row r="2767" spans="1:36" x14ac:dyDescent="0.2">
      <c r="A2767" s="1369" t="s">
        <v>147</v>
      </c>
      <c r="B2767" s="1008" t="s">
        <v>264</v>
      </c>
      <c r="C2767" s="1002" t="s">
        <v>1560</v>
      </c>
      <c r="D2767" s="1000"/>
      <c r="E2767" s="1003">
        <v>225502</v>
      </c>
      <c r="F2767" s="1004">
        <v>4</v>
      </c>
      <c r="G2767" s="1373">
        <v>13483764</v>
      </c>
      <c r="H2767" s="860">
        <v>19046676</v>
      </c>
      <c r="I2767" s="1373"/>
      <c r="J2767" s="862"/>
      <c r="K2767" s="1373"/>
      <c r="L2767" s="863"/>
      <c r="M2767" s="867">
        <v>15469974</v>
      </c>
      <c r="N2767" s="1373"/>
      <c r="O2767" s="752">
        <f t="shared" si="370"/>
        <v>15469974</v>
      </c>
      <c r="P2767" s="862">
        <v>14902527</v>
      </c>
      <c r="Q2767" s="860"/>
      <c r="R2767" s="753">
        <f t="shared" si="373"/>
        <v>14902527</v>
      </c>
      <c r="S2767" s="752">
        <f t="shared" si="374"/>
        <v>28953738</v>
      </c>
      <c r="T2767" s="754">
        <f t="shared" si="375"/>
        <v>33949203</v>
      </c>
      <c r="U2767" s="1373"/>
      <c r="V2767" s="863"/>
      <c r="W2767" s="859"/>
      <c r="X2767" s="859"/>
      <c r="Y2767" s="755">
        <f t="shared" si="371"/>
        <v>0</v>
      </c>
      <c r="Z2767" s="864"/>
      <c r="AA2767" s="863"/>
      <c r="AB2767" s="756">
        <f t="shared" si="372"/>
        <v>0</v>
      </c>
      <c r="AC2767" s="1373"/>
      <c r="AD2767" s="863"/>
      <c r="AE2767" s="867"/>
      <c r="AF2767" s="1373"/>
      <c r="AG2767" s="864"/>
      <c r="AH2767" s="865"/>
      <c r="AI2767" s="757">
        <f t="shared" si="376"/>
        <v>28953738</v>
      </c>
      <c r="AJ2767" s="758">
        <f t="shared" si="377"/>
        <v>33949203</v>
      </c>
    </row>
    <row r="2768" spans="1:36" x14ac:dyDescent="0.2">
      <c r="A2768" s="1369" t="s">
        <v>147</v>
      </c>
      <c r="B2768" s="1008" t="s">
        <v>264</v>
      </c>
      <c r="C2768" s="1370" t="s">
        <v>1561</v>
      </c>
      <c r="D2768" s="1371"/>
      <c r="E2768" s="1372">
        <v>227924</v>
      </c>
      <c r="F2768" s="1018">
        <v>5</v>
      </c>
      <c r="G2768" s="1373">
        <v>5700083</v>
      </c>
      <c r="H2768" s="860">
        <v>5737509</v>
      </c>
      <c r="I2768" s="1373"/>
      <c r="J2768" s="862"/>
      <c r="K2768" s="1373"/>
      <c r="L2768" s="863"/>
      <c r="M2768" s="867"/>
      <c r="N2768" s="1373"/>
      <c r="O2768" s="752">
        <f t="shared" si="370"/>
        <v>0</v>
      </c>
      <c r="P2768" s="862"/>
      <c r="Q2768" s="860"/>
      <c r="R2768" s="753">
        <f t="shared" si="373"/>
        <v>0</v>
      </c>
      <c r="S2768" s="752">
        <f t="shared" si="374"/>
        <v>5700083</v>
      </c>
      <c r="T2768" s="754">
        <f t="shared" si="375"/>
        <v>5737509</v>
      </c>
      <c r="U2768" s="1373"/>
      <c r="V2768" s="863"/>
      <c r="W2768" s="859"/>
      <c r="X2768" s="859"/>
      <c r="Y2768" s="755">
        <f t="shared" si="371"/>
        <v>0</v>
      </c>
      <c r="Z2768" s="864"/>
      <c r="AA2768" s="863"/>
      <c r="AB2768" s="756">
        <f t="shared" si="372"/>
        <v>0</v>
      </c>
      <c r="AC2768" s="1373"/>
      <c r="AD2768" s="863"/>
      <c r="AE2768" s="867"/>
      <c r="AF2768" s="1373"/>
      <c r="AG2768" s="864"/>
      <c r="AH2768" s="865"/>
      <c r="AI2768" s="757">
        <f t="shared" si="376"/>
        <v>5700083</v>
      </c>
      <c r="AJ2768" s="758">
        <f t="shared" si="377"/>
        <v>5737509</v>
      </c>
    </row>
    <row r="2769" spans="1:36" x14ac:dyDescent="0.2">
      <c r="A2769" s="1369" t="s">
        <v>147</v>
      </c>
      <c r="B2769" s="1008" t="s">
        <v>264</v>
      </c>
      <c r="C2769" s="1002" t="s">
        <v>1562</v>
      </c>
      <c r="D2769" s="1380"/>
      <c r="E2769" s="1382">
        <v>870501</v>
      </c>
      <c r="F2769" s="1510">
        <v>5</v>
      </c>
      <c r="G2769" s="1373">
        <v>13971199</v>
      </c>
      <c r="H2769" s="860">
        <v>17909543</v>
      </c>
      <c r="I2769" s="1373"/>
      <c r="J2769" s="862"/>
      <c r="K2769" s="1373"/>
      <c r="L2769" s="863"/>
      <c r="M2769" s="867">
        <v>15423103</v>
      </c>
      <c r="N2769" s="1373"/>
      <c r="O2769" s="752">
        <f t="shared" si="370"/>
        <v>15423103</v>
      </c>
      <c r="P2769" s="862">
        <v>18054212</v>
      </c>
      <c r="Q2769" s="860"/>
      <c r="R2769" s="753">
        <f t="shared" si="373"/>
        <v>18054212</v>
      </c>
      <c r="S2769" s="752">
        <f t="shared" si="374"/>
        <v>29394302</v>
      </c>
      <c r="T2769" s="754">
        <f t="shared" si="375"/>
        <v>35963755</v>
      </c>
      <c r="U2769" s="1373"/>
      <c r="V2769" s="863"/>
      <c r="W2769" s="859"/>
      <c r="X2769" s="859"/>
      <c r="Y2769" s="755">
        <f t="shared" si="371"/>
        <v>0</v>
      </c>
      <c r="Z2769" s="864"/>
      <c r="AA2769" s="863"/>
      <c r="AB2769" s="756">
        <f t="shared" si="372"/>
        <v>0</v>
      </c>
      <c r="AC2769" s="1373"/>
      <c r="AD2769" s="863"/>
      <c r="AE2769" s="867"/>
      <c r="AF2769" s="1373"/>
      <c r="AG2769" s="864"/>
      <c r="AH2769" s="865"/>
      <c r="AI2769" s="757">
        <f t="shared" si="376"/>
        <v>29394302</v>
      </c>
      <c r="AJ2769" s="758">
        <f t="shared" si="377"/>
        <v>35963755</v>
      </c>
    </row>
    <row r="2770" spans="1:36" x14ac:dyDescent="0.2">
      <c r="A2770" s="1369" t="s">
        <v>147</v>
      </c>
      <c r="B2770" s="1008" t="s">
        <v>264</v>
      </c>
      <c r="C2770" s="1370" t="s">
        <v>1563</v>
      </c>
      <c r="D2770" s="1371"/>
      <c r="E2770" s="1372">
        <v>225432</v>
      </c>
      <c r="F2770" s="1018">
        <v>5</v>
      </c>
      <c r="G2770" s="1373">
        <v>20683584</v>
      </c>
      <c r="H2770" s="860">
        <v>28556567</v>
      </c>
      <c r="I2770" s="1373"/>
      <c r="J2770" s="862"/>
      <c r="K2770" s="1373"/>
      <c r="L2770" s="863"/>
      <c r="M2770" s="867">
        <v>51989356</v>
      </c>
      <c r="N2770" s="1373"/>
      <c r="O2770" s="752">
        <f t="shared" si="370"/>
        <v>51989356</v>
      </c>
      <c r="P2770" s="862">
        <v>56733631</v>
      </c>
      <c r="Q2770" s="860"/>
      <c r="R2770" s="753">
        <f t="shared" si="373"/>
        <v>56733631</v>
      </c>
      <c r="S2770" s="752">
        <f t="shared" si="374"/>
        <v>72672940</v>
      </c>
      <c r="T2770" s="754">
        <f t="shared" si="375"/>
        <v>85290198</v>
      </c>
      <c r="U2770" s="1373"/>
      <c r="V2770" s="863"/>
      <c r="W2770" s="859"/>
      <c r="X2770" s="859"/>
      <c r="Y2770" s="755">
        <f t="shared" si="371"/>
        <v>0</v>
      </c>
      <c r="Z2770" s="864"/>
      <c r="AA2770" s="863"/>
      <c r="AB2770" s="756">
        <f t="shared" si="372"/>
        <v>0</v>
      </c>
      <c r="AC2770" s="1373"/>
      <c r="AD2770" s="863"/>
      <c r="AE2770" s="867"/>
      <c r="AF2770" s="1373"/>
      <c r="AG2770" s="864"/>
      <c r="AH2770" s="865"/>
      <c r="AI2770" s="757">
        <f t="shared" si="376"/>
        <v>72672940</v>
      </c>
      <c r="AJ2770" s="758">
        <f t="shared" si="377"/>
        <v>85290198</v>
      </c>
    </row>
    <row r="2771" spans="1:36" x14ac:dyDescent="0.2">
      <c r="A2771" s="1369" t="s">
        <v>147</v>
      </c>
      <c r="B2771" s="1008" t="s">
        <v>264</v>
      </c>
      <c r="C2771" s="1370" t="s">
        <v>1564</v>
      </c>
      <c r="D2771" s="1371"/>
      <c r="E2771" s="1372">
        <v>228714</v>
      </c>
      <c r="F2771" s="1018">
        <v>6</v>
      </c>
      <c r="G2771" s="1373">
        <v>14735656</v>
      </c>
      <c r="H2771" s="860">
        <v>15702931</v>
      </c>
      <c r="I2771" s="1373"/>
      <c r="J2771" s="862"/>
      <c r="K2771" s="1373"/>
      <c r="L2771" s="863"/>
      <c r="M2771" s="867">
        <v>15240304</v>
      </c>
      <c r="N2771" s="1373"/>
      <c r="O2771" s="752">
        <f t="shared" si="370"/>
        <v>15240304</v>
      </c>
      <c r="P2771" s="862">
        <v>16003426</v>
      </c>
      <c r="Q2771" s="860"/>
      <c r="R2771" s="753">
        <f t="shared" si="373"/>
        <v>16003426</v>
      </c>
      <c r="S2771" s="752">
        <f t="shared" si="374"/>
        <v>29975960</v>
      </c>
      <c r="T2771" s="754">
        <f t="shared" si="375"/>
        <v>31706357</v>
      </c>
      <c r="U2771" s="1373"/>
      <c r="V2771" s="863"/>
      <c r="W2771" s="859"/>
      <c r="X2771" s="859"/>
      <c r="Y2771" s="755">
        <f t="shared" si="371"/>
        <v>0</v>
      </c>
      <c r="Z2771" s="864"/>
      <c r="AA2771" s="863"/>
      <c r="AB2771" s="756">
        <f t="shared" si="372"/>
        <v>0</v>
      </c>
      <c r="AC2771" s="1373"/>
      <c r="AD2771" s="863"/>
      <c r="AE2771" s="867"/>
      <c r="AF2771" s="1373"/>
      <c r="AG2771" s="864"/>
      <c r="AH2771" s="865"/>
      <c r="AI2771" s="757">
        <f t="shared" si="376"/>
        <v>29975960</v>
      </c>
      <c r="AJ2771" s="758">
        <f t="shared" si="377"/>
        <v>31706357</v>
      </c>
    </row>
    <row r="2772" spans="1:36" x14ac:dyDescent="0.2">
      <c r="A2772" s="1369" t="s">
        <v>147</v>
      </c>
      <c r="B2772" s="1008" t="s">
        <v>264</v>
      </c>
      <c r="C2772" s="1383" t="s">
        <v>1565</v>
      </c>
      <c r="D2772" s="1384"/>
      <c r="E2772" s="1003">
        <v>223506</v>
      </c>
      <c r="F2772" s="1004">
        <v>7</v>
      </c>
      <c r="G2772" s="1373">
        <v>6059177</v>
      </c>
      <c r="H2772" s="860">
        <v>6914055</v>
      </c>
      <c r="I2772" s="1373"/>
      <c r="J2772" s="862"/>
      <c r="K2772" s="1373">
        <v>14704892</v>
      </c>
      <c r="L2772" s="863">
        <v>16908797</v>
      </c>
      <c r="M2772" s="867">
        <v>8186178</v>
      </c>
      <c r="N2772" s="1373"/>
      <c r="O2772" s="752">
        <f t="shared" si="370"/>
        <v>8186178</v>
      </c>
      <c r="P2772" s="862">
        <v>8763635</v>
      </c>
      <c r="Q2772" s="860"/>
      <c r="R2772" s="753">
        <f t="shared" si="373"/>
        <v>8763635</v>
      </c>
      <c r="S2772" s="752">
        <f t="shared" si="374"/>
        <v>28950247</v>
      </c>
      <c r="T2772" s="754">
        <f t="shared" si="375"/>
        <v>32586487</v>
      </c>
      <c r="U2772" s="1373"/>
      <c r="V2772" s="863"/>
      <c r="W2772" s="859"/>
      <c r="X2772" s="859"/>
      <c r="Y2772" s="755">
        <f t="shared" si="371"/>
        <v>0</v>
      </c>
      <c r="Z2772" s="864"/>
      <c r="AA2772" s="863"/>
      <c r="AB2772" s="756">
        <f t="shared" si="372"/>
        <v>0</v>
      </c>
      <c r="AC2772" s="1373"/>
      <c r="AD2772" s="863"/>
      <c r="AE2772" s="867"/>
      <c r="AF2772" s="1373"/>
      <c r="AG2772" s="864"/>
      <c r="AH2772" s="865"/>
      <c r="AI2772" s="757">
        <f t="shared" si="376"/>
        <v>28950247</v>
      </c>
      <c r="AJ2772" s="758">
        <f t="shared" si="377"/>
        <v>32586487</v>
      </c>
    </row>
    <row r="2773" spans="1:36" x14ac:dyDescent="0.2">
      <c r="A2773" s="1369" t="s">
        <v>147</v>
      </c>
      <c r="B2773" s="1008" t="s">
        <v>264</v>
      </c>
      <c r="C2773" s="1383" t="s">
        <v>1566</v>
      </c>
      <c r="D2773" s="1384"/>
      <c r="E2773" s="1003">
        <v>226806</v>
      </c>
      <c r="F2773" s="1004">
        <v>7</v>
      </c>
      <c r="G2773" s="1373">
        <v>10615032</v>
      </c>
      <c r="H2773" s="860">
        <v>10479685</v>
      </c>
      <c r="I2773" s="1373"/>
      <c r="J2773" s="862"/>
      <c r="K2773" s="1373">
        <v>21360680</v>
      </c>
      <c r="L2773" s="863">
        <v>20113716</v>
      </c>
      <c r="M2773" s="867">
        <v>10416495</v>
      </c>
      <c r="N2773" s="1373"/>
      <c r="O2773" s="752">
        <f t="shared" si="370"/>
        <v>10416495</v>
      </c>
      <c r="P2773" s="862">
        <v>10272180</v>
      </c>
      <c r="Q2773" s="860"/>
      <c r="R2773" s="753">
        <f t="shared" si="373"/>
        <v>10272180</v>
      </c>
      <c r="S2773" s="752">
        <f t="shared" si="374"/>
        <v>42392207</v>
      </c>
      <c r="T2773" s="754">
        <f t="shared" si="375"/>
        <v>40865581</v>
      </c>
      <c r="U2773" s="1373"/>
      <c r="V2773" s="863"/>
      <c r="W2773" s="859"/>
      <c r="X2773" s="859"/>
      <c r="Y2773" s="755">
        <f t="shared" si="371"/>
        <v>0</v>
      </c>
      <c r="Z2773" s="864"/>
      <c r="AA2773" s="863"/>
      <c r="AB2773" s="756">
        <f t="shared" si="372"/>
        <v>0</v>
      </c>
      <c r="AC2773" s="1373"/>
      <c r="AD2773" s="863"/>
      <c r="AE2773" s="867"/>
      <c r="AF2773" s="1373"/>
      <c r="AG2773" s="864"/>
      <c r="AH2773" s="865"/>
      <c r="AI2773" s="757">
        <f t="shared" si="376"/>
        <v>42392207</v>
      </c>
      <c r="AJ2773" s="758">
        <f t="shared" si="377"/>
        <v>40865581</v>
      </c>
    </row>
    <row r="2774" spans="1:36" x14ac:dyDescent="0.2">
      <c r="A2774" s="1369" t="s">
        <v>147</v>
      </c>
      <c r="B2774" s="1008" t="s">
        <v>264</v>
      </c>
      <c r="C2774" s="1383" t="s">
        <v>1567</v>
      </c>
      <c r="D2774" s="1384"/>
      <c r="E2774" s="1385">
        <v>409315</v>
      </c>
      <c r="F2774" s="1386">
        <v>7</v>
      </c>
      <c r="G2774" s="1373">
        <v>37410347</v>
      </c>
      <c r="H2774" s="860">
        <v>40048965</v>
      </c>
      <c r="I2774" s="1373"/>
      <c r="J2774" s="862"/>
      <c r="K2774" s="1373">
        <v>45742612</v>
      </c>
      <c r="L2774" s="863">
        <v>45852447</v>
      </c>
      <c r="M2774" s="867">
        <v>19583509</v>
      </c>
      <c r="N2774" s="1373"/>
      <c r="O2774" s="752">
        <f t="shared" si="370"/>
        <v>19583509</v>
      </c>
      <c r="P2774" s="862">
        <v>21051377</v>
      </c>
      <c r="Q2774" s="860"/>
      <c r="R2774" s="753">
        <f t="shared" si="373"/>
        <v>21051377</v>
      </c>
      <c r="S2774" s="752">
        <f t="shared" si="374"/>
        <v>102736468</v>
      </c>
      <c r="T2774" s="754">
        <f t="shared" si="375"/>
        <v>106952789</v>
      </c>
      <c r="U2774" s="1373"/>
      <c r="V2774" s="863"/>
      <c r="W2774" s="859"/>
      <c r="X2774" s="859"/>
      <c r="Y2774" s="755">
        <f t="shared" si="371"/>
        <v>0</v>
      </c>
      <c r="Z2774" s="864"/>
      <c r="AA2774" s="863"/>
      <c r="AB2774" s="756">
        <f t="shared" si="372"/>
        <v>0</v>
      </c>
      <c r="AC2774" s="1373"/>
      <c r="AD2774" s="863"/>
      <c r="AE2774" s="867"/>
      <c r="AF2774" s="1373"/>
      <c r="AG2774" s="864"/>
      <c r="AH2774" s="865"/>
      <c r="AI2774" s="757">
        <f t="shared" si="376"/>
        <v>102736468</v>
      </c>
      <c r="AJ2774" s="758">
        <f t="shared" si="377"/>
        <v>106952789</v>
      </c>
    </row>
    <row r="2775" spans="1:36" x14ac:dyDescent="0.2">
      <c r="A2775" s="1369" t="s">
        <v>147</v>
      </c>
      <c r="B2775" s="1008" t="s">
        <v>264</v>
      </c>
      <c r="C2775" s="1370" t="s">
        <v>1568</v>
      </c>
      <c r="D2775" s="1371"/>
      <c r="E2775" s="1372">
        <v>222576</v>
      </c>
      <c r="F2775" s="1018">
        <v>8</v>
      </c>
      <c r="G2775" s="1373">
        <v>18419591</v>
      </c>
      <c r="H2775" s="860">
        <v>18279727</v>
      </c>
      <c r="I2775" s="1373"/>
      <c r="J2775" s="862"/>
      <c r="K2775" s="1373">
        <v>19348571</v>
      </c>
      <c r="L2775" s="863">
        <v>20730558</v>
      </c>
      <c r="M2775" s="867">
        <v>15109006</v>
      </c>
      <c r="N2775" s="1373"/>
      <c r="O2775" s="752">
        <f t="shared" si="370"/>
        <v>15109006</v>
      </c>
      <c r="P2775" s="862">
        <v>15381607</v>
      </c>
      <c r="Q2775" s="860"/>
      <c r="R2775" s="753">
        <f t="shared" si="373"/>
        <v>15381607</v>
      </c>
      <c r="S2775" s="752">
        <f t="shared" si="374"/>
        <v>52877168</v>
      </c>
      <c r="T2775" s="754">
        <f t="shared" si="375"/>
        <v>54391892</v>
      </c>
      <c r="U2775" s="1373"/>
      <c r="V2775" s="863"/>
      <c r="W2775" s="859"/>
      <c r="X2775" s="859"/>
      <c r="Y2775" s="755">
        <f t="shared" si="371"/>
        <v>0</v>
      </c>
      <c r="Z2775" s="864"/>
      <c r="AA2775" s="863"/>
      <c r="AB2775" s="756">
        <f t="shared" si="372"/>
        <v>0</v>
      </c>
      <c r="AC2775" s="1373"/>
      <c r="AD2775" s="863"/>
      <c r="AE2775" s="867"/>
      <c r="AF2775" s="1373"/>
      <c r="AG2775" s="864"/>
      <c r="AH2775" s="865"/>
      <c r="AI2775" s="757">
        <f t="shared" si="376"/>
        <v>52877168</v>
      </c>
      <c r="AJ2775" s="758">
        <f t="shared" si="377"/>
        <v>54391892</v>
      </c>
    </row>
    <row r="2776" spans="1:36" x14ac:dyDescent="0.2">
      <c r="A2776" s="1369" t="s">
        <v>147</v>
      </c>
      <c r="B2776" s="1008" t="s">
        <v>264</v>
      </c>
      <c r="C2776" s="1370" t="s">
        <v>1569</v>
      </c>
      <c r="D2776" s="1371"/>
      <c r="E2776" s="1372">
        <v>222992</v>
      </c>
      <c r="F2776" s="1018">
        <v>8</v>
      </c>
      <c r="G2776" s="1373">
        <v>53508371</v>
      </c>
      <c r="H2776" s="860">
        <v>59076082</v>
      </c>
      <c r="I2776" s="1373"/>
      <c r="J2776" s="862"/>
      <c r="K2776" s="1373">
        <v>106083211</v>
      </c>
      <c r="L2776" s="863">
        <v>111385047</v>
      </c>
      <c r="M2776" s="867">
        <v>59016812</v>
      </c>
      <c r="N2776" s="1373"/>
      <c r="O2776" s="752">
        <f t="shared" si="370"/>
        <v>59016812</v>
      </c>
      <c r="P2776" s="862">
        <v>59622584</v>
      </c>
      <c r="Q2776" s="860"/>
      <c r="R2776" s="753">
        <f t="shared" si="373"/>
        <v>59622584</v>
      </c>
      <c r="S2776" s="752">
        <f t="shared" si="374"/>
        <v>218608394</v>
      </c>
      <c r="T2776" s="754">
        <f t="shared" si="375"/>
        <v>230083713</v>
      </c>
      <c r="U2776" s="1373"/>
      <c r="V2776" s="863"/>
      <c r="W2776" s="859"/>
      <c r="X2776" s="859"/>
      <c r="Y2776" s="755">
        <f t="shared" si="371"/>
        <v>0</v>
      </c>
      <c r="Z2776" s="864"/>
      <c r="AA2776" s="863"/>
      <c r="AB2776" s="756">
        <f t="shared" si="372"/>
        <v>0</v>
      </c>
      <c r="AC2776" s="1373"/>
      <c r="AD2776" s="863"/>
      <c r="AE2776" s="867"/>
      <c r="AF2776" s="1373"/>
      <c r="AG2776" s="864"/>
      <c r="AH2776" s="865"/>
      <c r="AI2776" s="757">
        <f t="shared" si="376"/>
        <v>218608394</v>
      </c>
      <c r="AJ2776" s="758">
        <f t="shared" si="377"/>
        <v>230083713</v>
      </c>
    </row>
    <row r="2777" spans="1:36" x14ac:dyDescent="0.2">
      <c r="A2777" s="1369" t="s">
        <v>147</v>
      </c>
      <c r="B2777" s="1008" t="s">
        <v>264</v>
      </c>
      <c r="C2777" s="1370" t="s">
        <v>1570</v>
      </c>
      <c r="D2777" s="1371"/>
      <c r="E2777" s="1372">
        <v>223427</v>
      </c>
      <c r="F2777" s="1018">
        <v>8</v>
      </c>
      <c r="G2777" s="1373">
        <v>24148326</v>
      </c>
      <c r="H2777" s="860">
        <v>25649628</v>
      </c>
      <c r="I2777" s="1373"/>
      <c r="J2777" s="862"/>
      <c r="K2777" s="1373">
        <v>1470887</v>
      </c>
      <c r="L2777" s="863">
        <v>1504461</v>
      </c>
      <c r="M2777" s="867">
        <v>39353794</v>
      </c>
      <c r="N2777" s="1373"/>
      <c r="O2777" s="752">
        <f t="shared" si="370"/>
        <v>39353794</v>
      </c>
      <c r="P2777" s="862">
        <v>42247252</v>
      </c>
      <c r="Q2777" s="860"/>
      <c r="R2777" s="753">
        <f t="shared" si="373"/>
        <v>42247252</v>
      </c>
      <c r="S2777" s="752">
        <f t="shared" si="374"/>
        <v>64973007</v>
      </c>
      <c r="T2777" s="754">
        <f t="shared" si="375"/>
        <v>69401341</v>
      </c>
      <c r="U2777" s="1373"/>
      <c r="V2777" s="863"/>
      <c r="W2777" s="859"/>
      <c r="X2777" s="859"/>
      <c r="Y2777" s="755">
        <f t="shared" si="371"/>
        <v>0</v>
      </c>
      <c r="Z2777" s="864"/>
      <c r="AA2777" s="863"/>
      <c r="AB2777" s="756">
        <f t="shared" si="372"/>
        <v>0</v>
      </c>
      <c r="AC2777" s="1373"/>
      <c r="AD2777" s="863"/>
      <c r="AE2777" s="867"/>
      <c r="AF2777" s="1373"/>
      <c r="AG2777" s="864"/>
      <c r="AH2777" s="865"/>
      <c r="AI2777" s="757">
        <f t="shared" si="376"/>
        <v>64973007</v>
      </c>
      <c r="AJ2777" s="758">
        <f t="shared" si="377"/>
        <v>69401341</v>
      </c>
    </row>
    <row r="2778" spans="1:36" x14ac:dyDescent="0.2">
      <c r="A2778" s="1369" t="s">
        <v>147</v>
      </c>
      <c r="B2778" s="1008" t="s">
        <v>264</v>
      </c>
      <c r="C2778" s="1387" t="s">
        <v>1571</v>
      </c>
      <c r="D2778" s="1388"/>
      <c r="E2778" s="1372">
        <v>223524</v>
      </c>
      <c r="F2778" s="1018">
        <v>8</v>
      </c>
      <c r="G2778" s="1373">
        <v>0</v>
      </c>
      <c r="H2778" s="860">
        <v>0</v>
      </c>
      <c r="I2778" s="1373"/>
      <c r="J2778" s="862"/>
      <c r="K2778" s="1373"/>
      <c r="L2778" s="863"/>
      <c r="M2778" s="867"/>
      <c r="N2778" s="1373"/>
      <c r="O2778" s="752">
        <f t="shared" si="370"/>
        <v>0</v>
      </c>
      <c r="P2778" s="862"/>
      <c r="Q2778" s="860"/>
      <c r="R2778" s="753">
        <f t="shared" si="373"/>
        <v>0</v>
      </c>
      <c r="S2778" s="752">
        <f t="shared" si="374"/>
        <v>0</v>
      </c>
      <c r="T2778" s="754">
        <f t="shared" si="375"/>
        <v>0</v>
      </c>
      <c r="U2778" s="1373"/>
      <c r="V2778" s="863"/>
      <c r="W2778" s="859"/>
      <c r="X2778" s="859"/>
      <c r="Y2778" s="755">
        <f t="shared" si="371"/>
        <v>0</v>
      </c>
      <c r="Z2778" s="864"/>
      <c r="AA2778" s="863"/>
      <c r="AB2778" s="756">
        <f t="shared" si="372"/>
        <v>0</v>
      </c>
      <c r="AC2778" s="1373"/>
      <c r="AD2778" s="863"/>
      <c r="AE2778" s="867"/>
      <c r="AF2778" s="1373"/>
      <c r="AG2778" s="864"/>
      <c r="AH2778" s="865"/>
      <c r="AI2778" s="757">
        <f t="shared" si="376"/>
        <v>0</v>
      </c>
      <c r="AJ2778" s="758">
        <f t="shared" si="377"/>
        <v>0</v>
      </c>
    </row>
    <row r="2779" spans="1:36" x14ac:dyDescent="0.2">
      <c r="A2779" s="1369" t="s">
        <v>147</v>
      </c>
      <c r="B2779" s="1008" t="s">
        <v>264</v>
      </c>
      <c r="C2779" s="1370" t="s">
        <v>1572</v>
      </c>
      <c r="D2779" s="1371"/>
      <c r="E2779" s="1372">
        <v>223816</v>
      </c>
      <c r="F2779" s="1018">
        <v>8</v>
      </c>
      <c r="G2779" s="1373">
        <v>22693502</v>
      </c>
      <c r="H2779" s="860">
        <v>22806078</v>
      </c>
      <c r="I2779" s="1373"/>
      <c r="J2779" s="862"/>
      <c r="K2779" s="1373">
        <v>11314027</v>
      </c>
      <c r="L2779" s="863">
        <v>11370375</v>
      </c>
      <c r="M2779" s="867">
        <v>55520591</v>
      </c>
      <c r="N2779" s="1373"/>
      <c r="O2779" s="752">
        <f t="shared" si="370"/>
        <v>55520591</v>
      </c>
      <c r="P2779" s="862">
        <v>55626692</v>
      </c>
      <c r="Q2779" s="860"/>
      <c r="R2779" s="753">
        <f t="shared" si="373"/>
        <v>55626692</v>
      </c>
      <c r="S2779" s="752">
        <f t="shared" si="374"/>
        <v>89528120</v>
      </c>
      <c r="T2779" s="754">
        <f t="shared" si="375"/>
        <v>89803145</v>
      </c>
      <c r="U2779" s="1373"/>
      <c r="V2779" s="863"/>
      <c r="W2779" s="859"/>
      <c r="X2779" s="859"/>
      <c r="Y2779" s="755">
        <f t="shared" si="371"/>
        <v>0</v>
      </c>
      <c r="Z2779" s="864"/>
      <c r="AA2779" s="863"/>
      <c r="AB2779" s="756">
        <f t="shared" si="372"/>
        <v>0</v>
      </c>
      <c r="AC2779" s="1373"/>
      <c r="AD2779" s="863"/>
      <c r="AE2779" s="867"/>
      <c r="AF2779" s="1373"/>
      <c r="AG2779" s="864"/>
      <c r="AH2779" s="865"/>
      <c r="AI2779" s="757">
        <f t="shared" si="376"/>
        <v>89528120</v>
      </c>
      <c r="AJ2779" s="758">
        <f t="shared" si="377"/>
        <v>89803145</v>
      </c>
    </row>
    <row r="2780" spans="1:36" x14ac:dyDescent="0.2">
      <c r="A2780" s="1369" t="s">
        <v>147</v>
      </c>
      <c r="B2780" s="1008" t="s">
        <v>264</v>
      </c>
      <c r="C2780" s="1370" t="s">
        <v>1573</v>
      </c>
      <c r="D2780" s="1371"/>
      <c r="E2780" s="1372">
        <v>247834</v>
      </c>
      <c r="F2780" s="1018">
        <v>8</v>
      </c>
      <c r="G2780" s="1373">
        <v>34479711</v>
      </c>
      <c r="H2780" s="860">
        <v>36718118</v>
      </c>
      <c r="I2780" s="1373"/>
      <c r="J2780" s="862"/>
      <c r="K2780" s="1373">
        <v>64846218</v>
      </c>
      <c r="L2780" s="863">
        <v>66783530</v>
      </c>
      <c r="M2780" s="867">
        <v>23740042</v>
      </c>
      <c r="N2780" s="1373"/>
      <c r="O2780" s="752">
        <f t="shared" si="370"/>
        <v>23740042</v>
      </c>
      <c r="P2780" s="862">
        <v>26569192</v>
      </c>
      <c r="Q2780" s="860"/>
      <c r="R2780" s="753">
        <f t="shared" si="373"/>
        <v>26569192</v>
      </c>
      <c r="S2780" s="752">
        <f t="shared" si="374"/>
        <v>123065971</v>
      </c>
      <c r="T2780" s="754">
        <f t="shared" si="375"/>
        <v>130070840</v>
      </c>
      <c r="U2780" s="1373"/>
      <c r="V2780" s="863"/>
      <c r="W2780" s="859"/>
      <c r="X2780" s="859"/>
      <c r="Y2780" s="755">
        <f t="shared" si="371"/>
        <v>0</v>
      </c>
      <c r="Z2780" s="864"/>
      <c r="AA2780" s="863"/>
      <c r="AB2780" s="756">
        <f t="shared" si="372"/>
        <v>0</v>
      </c>
      <c r="AC2780" s="1373"/>
      <c r="AD2780" s="863"/>
      <c r="AE2780" s="867"/>
      <c r="AF2780" s="1373"/>
      <c r="AG2780" s="864"/>
      <c r="AH2780" s="865"/>
      <c r="AI2780" s="757">
        <f t="shared" si="376"/>
        <v>123065971</v>
      </c>
      <c r="AJ2780" s="758">
        <f t="shared" si="377"/>
        <v>130070840</v>
      </c>
    </row>
    <row r="2781" spans="1:36" x14ac:dyDescent="0.2">
      <c r="A2781" s="1369" t="s">
        <v>147</v>
      </c>
      <c r="B2781" s="1008" t="s">
        <v>264</v>
      </c>
      <c r="C2781" s="1370" t="s">
        <v>1574</v>
      </c>
      <c r="D2781" s="1371"/>
      <c r="E2781" s="1372">
        <v>224350</v>
      </c>
      <c r="F2781" s="1018">
        <v>8</v>
      </c>
      <c r="G2781" s="1373">
        <v>20070755</v>
      </c>
      <c r="H2781" s="860">
        <v>18455323</v>
      </c>
      <c r="I2781" s="1373"/>
      <c r="J2781" s="862"/>
      <c r="K2781" s="1373">
        <v>44483240</v>
      </c>
      <c r="L2781" s="863">
        <v>45972603</v>
      </c>
      <c r="M2781" s="867">
        <v>14874912</v>
      </c>
      <c r="N2781" s="1373"/>
      <c r="O2781" s="752">
        <f t="shared" si="370"/>
        <v>14874912</v>
      </c>
      <c r="P2781" s="862">
        <v>9681161</v>
      </c>
      <c r="Q2781" s="860"/>
      <c r="R2781" s="753">
        <f t="shared" si="373"/>
        <v>9681161</v>
      </c>
      <c r="S2781" s="752">
        <f t="shared" si="374"/>
        <v>79428907</v>
      </c>
      <c r="T2781" s="754">
        <f t="shared" si="375"/>
        <v>74109087</v>
      </c>
      <c r="U2781" s="1373"/>
      <c r="V2781" s="863"/>
      <c r="W2781" s="859"/>
      <c r="X2781" s="859"/>
      <c r="Y2781" s="755">
        <f t="shared" si="371"/>
        <v>0</v>
      </c>
      <c r="Z2781" s="864"/>
      <c r="AA2781" s="863"/>
      <c r="AB2781" s="756">
        <f t="shared" si="372"/>
        <v>0</v>
      </c>
      <c r="AC2781" s="1373"/>
      <c r="AD2781" s="863"/>
      <c r="AE2781" s="867"/>
      <c r="AF2781" s="1373"/>
      <c r="AG2781" s="864"/>
      <c r="AH2781" s="865"/>
      <c r="AI2781" s="757">
        <f t="shared" si="376"/>
        <v>79428907</v>
      </c>
      <c r="AJ2781" s="758">
        <f t="shared" si="377"/>
        <v>74109087</v>
      </c>
    </row>
    <row r="2782" spans="1:36" x14ac:dyDescent="0.2">
      <c r="A2782" s="1369" t="s">
        <v>147</v>
      </c>
      <c r="B2782" s="1008" t="s">
        <v>264</v>
      </c>
      <c r="C2782" s="1387" t="s">
        <v>1575</v>
      </c>
      <c r="D2782" s="1388"/>
      <c r="E2782" s="1372">
        <v>224572</v>
      </c>
      <c r="F2782" s="1018">
        <v>8</v>
      </c>
      <c r="G2782" s="1373">
        <v>0</v>
      </c>
      <c r="H2782" s="860">
        <v>0</v>
      </c>
      <c r="I2782" s="1373"/>
      <c r="J2782" s="862"/>
      <c r="K2782" s="1373"/>
      <c r="L2782" s="863"/>
      <c r="M2782" s="867"/>
      <c r="N2782" s="1373"/>
      <c r="O2782" s="752">
        <f t="shared" si="370"/>
        <v>0</v>
      </c>
      <c r="P2782" s="862"/>
      <c r="Q2782" s="860"/>
      <c r="R2782" s="753">
        <f t="shared" si="373"/>
        <v>0</v>
      </c>
      <c r="S2782" s="752">
        <f t="shared" si="374"/>
        <v>0</v>
      </c>
      <c r="T2782" s="754">
        <f t="shared" si="375"/>
        <v>0</v>
      </c>
      <c r="U2782" s="1373"/>
      <c r="V2782" s="863"/>
      <c r="W2782" s="859"/>
      <c r="X2782" s="859"/>
      <c r="Y2782" s="755">
        <f t="shared" si="371"/>
        <v>0</v>
      </c>
      <c r="Z2782" s="864"/>
      <c r="AA2782" s="863"/>
      <c r="AB2782" s="756">
        <f t="shared" si="372"/>
        <v>0</v>
      </c>
      <c r="AC2782" s="1373"/>
      <c r="AD2782" s="863"/>
      <c r="AE2782" s="867"/>
      <c r="AF2782" s="1373"/>
      <c r="AG2782" s="864"/>
      <c r="AH2782" s="865"/>
      <c r="AI2782" s="757">
        <f t="shared" si="376"/>
        <v>0</v>
      </c>
      <c r="AJ2782" s="758">
        <f t="shared" si="377"/>
        <v>0</v>
      </c>
    </row>
    <row r="2783" spans="1:36" x14ac:dyDescent="0.2">
      <c r="A2783" s="1369" t="s">
        <v>147</v>
      </c>
      <c r="B2783" s="1008" t="s">
        <v>264</v>
      </c>
      <c r="C2783" s="1387" t="s">
        <v>1576</v>
      </c>
      <c r="D2783" s="1388"/>
      <c r="E2783" s="1372">
        <v>224615</v>
      </c>
      <c r="F2783" s="1004">
        <v>8</v>
      </c>
      <c r="G2783" s="1373">
        <v>0</v>
      </c>
      <c r="H2783" s="860">
        <v>0</v>
      </c>
      <c r="I2783" s="1373"/>
      <c r="J2783" s="862"/>
      <c r="K2783" s="1373"/>
      <c r="L2783" s="863"/>
      <c r="M2783" s="867"/>
      <c r="N2783" s="1373"/>
      <c r="O2783" s="752">
        <f t="shared" si="370"/>
        <v>0</v>
      </c>
      <c r="P2783" s="862"/>
      <c r="Q2783" s="860"/>
      <c r="R2783" s="753">
        <f t="shared" si="373"/>
        <v>0</v>
      </c>
      <c r="S2783" s="752">
        <f t="shared" si="374"/>
        <v>0</v>
      </c>
      <c r="T2783" s="754">
        <f t="shared" si="375"/>
        <v>0</v>
      </c>
      <c r="U2783" s="1373"/>
      <c r="V2783" s="863"/>
      <c r="W2783" s="859"/>
      <c r="X2783" s="859"/>
      <c r="Y2783" s="755">
        <f t="shared" si="371"/>
        <v>0</v>
      </c>
      <c r="Z2783" s="864"/>
      <c r="AA2783" s="863"/>
      <c r="AB2783" s="756">
        <f t="shared" si="372"/>
        <v>0</v>
      </c>
      <c r="AC2783" s="1373"/>
      <c r="AD2783" s="863"/>
      <c r="AE2783" s="867"/>
      <c r="AF2783" s="1373"/>
      <c r="AG2783" s="864"/>
      <c r="AH2783" s="865"/>
      <c r="AI2783" s="757">
        <f t="shared" si="376"/>
        <v>0</v>
      </c>
      <c r="AJ2783" s="758">
        <f t="shared" si="377"/>
        <v>0</v>
      </c>
    </row>
    <row r="2784" spans="1:36" x14ac:dyDescent="0.2">
      <c r="A2784" s="1369" t="s">
        <v>147</v>
      </c>
      <c r="B2784" s="1008" t="s">
        <v>264</v>
      </c>
      <c r="C2784" s="1370" t="s">
        <v>1577</v>
      </c>
      <c r="D2784" s="1371"/>
      <c r="E2784" s="1372">
        <v>224642</v>
      </c>
      <c r="F2784" s="1018">
        <v>8</v>
      </c>
      <c r="G2784" s="1373">
        <v>36958895</v>
      </c>
      <c r="H2784" s="860">
        <v>39047579</v>
      </c>
      <c r="I2784" s="1373"/>
      <c r="J2784" s="862"/>
      <c r="K2784" s="1373">
        <v>42055081</v>
      </c>
      <c r="L2784" s="863">
        <v>42729975</v>
      </c>
      <c r="M2784" s="867">
        <v>20414460</v>
      </c>
      <c r="N2784" s="1373"/>
      <c r="O2784" s="752">
        <f t="shared" si="370"/>
        <v>20414460</v>
      </c>
      <c r="P2784" s="862">
        <v>22181240</v>
      </c>
      <c r="Q2784" s="860"/>
      <c r="R2784" s="753">
        <f t="shared" si="373"/>
        <v>22181240</v>
      </c>
      <c r="S2784" s="752">
        <f t="shared" si="374"/>
        <v>99428436</v>
      </c>
      <c r="T2784" s="754">
        <f t="shared" si="375"/>
        <v>103958794</v>
      </c>
      <c r="U2784" s="1373"/>
      <c r="V2784" s="863"/>
      <c r="W2784" s="859"/>
      <c r="X2784" s="859"/>
      <c r="Y2784" s="755">
        <f t="shared" si="371"/>
        <v>0</v>
      </c>
      <c r="Z2784" s="864"/>
      <c r="AA2784" s="863"/>
      <c r="AB2784" s="756">
        <f t="shared" si="372"/>
        <v>0</v>
      </c>
      <c r="AC2784" s="1373"/>
      <c r="AD2784" s="863"/>
      <c r="AE2784" s="867"/>
      <c r="AF2784" s="1373"/>
      <c r="AG2784" s="864"/>
      <c r="AH2784" s="865"/>
      <c r="AI2784" s="757">
        <f t="shared" si="376"/>
        <v>99428436</v>
      </c>
      <c r="AJ2784" s="758">
        <f t="shared" si="377"/>
        <v>103958794</v>
      </c>
    </row>
    <row r="2785" spans="1:36" x14ac:dyDescent="0.2">
      <c r="A2785" s="1369" t="s">
        <v>147</v>
      </c>
      <c r="B2785" s="1008" t="s">
        <v>264</v>
      </c>
      <c r="C2785" s="1370" t="s">
        <v>1578</v>
      </c>
      <c r="D2785" s="1371"/>
      <c r="E2785" s="1372">
        <v>225423</v>
      </c>
      <c r="F2785" s="1018">
        <v>8</v>
      </c>
      <c r="G2785" s="1373">
        <v>82719005</v>
      </c>
      <c r="H2785" s="860">
        <v>78451433</v>
      </c>
      <c r="I2785" s="1373"/>
      <c r="J2785" s="862"/>
      <c r="K2785" s="1373">
        <v>125264828</v>
      </c>
      <c r="L2785" s="863">
        <v>130035929</v>
      </c>
      <c r="M2785" s="867">
        <v>3472160</v>
      </c>
      <c r="N2785" s="1373"/>
      <c r="O2785" s="752">
        <f t="shared" si="370"/>
        <v>3472160</v>
      </c>
      <c r="P2785" s="862">
        <v>3558023</v>
      </c>
      <c r="Q2785" s="860"/>
      <c r="R2785" s="753">
        <f t="shared" si="373"/>
        <v>3558023</v>
      </c>
      <c r="S2785" s="752">
        <f t="shared" si="374"/>
        <v>211455993</v>
      </c>
      <c r="T2785" s="754">
        <f t="shared" si="375"/>
        <v>212045385</v>
      </c>
      <c r="U2785" s="1373"/>
      <c r="V2785" s="863"/>
      <c r="W2785" s="859"/>
      <c r="X2785" s="859"/>
      <c r="Y2785" s="755">
        <f t="shared" si="371"/>
        <v>0</v>
      </c>
      <c r="Z2785" s="864"/>
      <c r="AA2785" s="863"/>
      <c r="AB2785" s="756">
        <f t="shared" si="372"/>
        <v>0</v>
      </c>
      <c r="AC2785" s="1373"/>
      <c r="AD2785" s="863"/>
      <c r="AE2785" s="867"/>
      <c r="AF2785" s="1373"/>
      <c r="AG2785" s="864"/>
      <c r="AH2785" s="865"/>
      <c r="AI2785" s="757">
        <f t="shared" si="376"/>
        <v>211455993</v>
      </c>
      <c r="AJ2785" s="758">
        <f t="shared" si="377"/>
        <v>212045385</v>
      </c>
    </row>
    <row r="2786" spans="1:36" x14ac:dyDescent="0.2">
      <c r="A2786" s="1369" t="s">
        <v>147</v>
      </c>
      <c r="B2786" s="1008" t="s">
        <v>264</v>
      </c>
      <c r="C2786" s="1002" t="s">
        <v>1579</v>
      </c>
      <c r="D2786" s="1000" t="s">
        <v>1125</v>
      </c>
      <c r="E2786" s="1372">
        <v>226019</v>
      </c>
      <c r="F2786" s="1004">
        <v>8</v>
      </c>
      <c r="G2786" s="1373">
        <v>13245567</v>
      </c>
      <c r="H2786" s="860">
        <v>12433033</v>
      </c>
      <c r="I2786" s="1373"/>
      <c r="J2786" s="862"/>
      <c r="K2786" s="1373">
        <v>6010537</v>
      </c>
      <c r="L2786" s="863">
        <v>6207262</v>
      </c>
      <c r="M2786" s="867">
        <v>8259511</v>
      </c>
      <c r="N2786" s="1373"/>
      <c r="O2786" s="752">
        <f t="shared" si="370"/>
        <v>8259511</v>
      </c>
      <c r="P2786" s="862">
        <v>8533498</v>
      </c>
      <c r="Q2786" s="860"/>
      <c r="R2786" s="753">
        <f t="shared" si="373"/>
        <v>8533498</v>
      </c>
      <c r="S2786" s="752">
        <f t="shared" si="374"/>
        <v>27515615</v>
      </c>
      <c r="T2786" s="754">
        <f t="shared" si="375"/>
        <v>27173793</v>
      </c>
      <c r="U2786" s="1373"/>
      <c r="V2786" s="863"/>
      <c r="W2786" s="859"/>
      <c r="X2786" s="859"/>
      <c r="Y2786" s="755">
        <f t="shared" si="371"/>
        <v>0</v>
      </c>
      <c r="Z2786" s="864"/>
      <c r="AA2786" s="863"/>
      <c r="AB2786" s="756">
        <f t="shared" si="372"/>
        <v>0</v>
      </c>
      <c r="AC2786" s="1373"/>
      <c r="AD2786" s="863"/>
      <c r="AE2786" s="867"/>
      <c r="AF2786" s="1373"/>
      <c r="AG2786" s="864"/>
      <c r="AH2786" s="865"/>
      <c r="AI2786" s="757">
        <f t="shared" si="376"/>
        <v>27515615</v>
      </c>
      <c r="AJ2786" s="758">
        <f t="shared" si="377"/>
        <v>27173793</v>
      </c>
    </row>
    <row r="2787" spans="1:36" x14ac:dyDescent="0.2">
      <c r="A2787" s="1369" t="s">
        <v>147</v>
      </c>
      <c r="B2787" s="1008" t="s">
        <v>264</v>
      </c>
      <c r="C2787" s="1370" t="s">
        <v>1580</v>
      </c>
      <c r="D2787" s="1371"/>
      <c r="E2787" s="1372">
        <v>226134</v>
      </c>
      <c r="F2787" s="1018">
        <v>8</v>
      </c>
      <c r="G2787" s="1373">
        <v>13734760</v>
      </c>
      <c r="H2787" s="860">
        <v>13836730</v>
      </c>
      <c r="I2787" s="1373"/>
      <c r="J2787" s="862"/>
      <c r="K2787" s="1373">
        <v>27934664</v>
      </c>
      <c r="L2787" s="863">
        <v>28155631</v>
      </c>
      <c r="M2787" s="867">
        <v>8254382</v>
      </c>
      <c r="N2787" s="1373"/>
      <c r="O2787" s="752">
        <f t="shared" si="370"/>
        <v>8254382</v>
      </c>
      <c r="P2787" s="862">
        <v>8780001</v>
      </c>
      <c r="Q2787" s="860"/>
      <c r="R2787" s="753">
        <f t="shared" si="373"/>
        <v>8780001</v>
      </c>
      <c r="S2787" s="752">
        <f t="shared" si="374"/>
        <v>49923806</v>
      </c>
      <c r="T2787" s="754">
        <f t="shared" si="375"/>
        <v>50772362</v>
      </c>
      <c r="U2787" s="1373"/>
      <c r="V2787" s="863"/>
      <c r="W2787" s="859"/>
      <c r="X2787" s="859"/>
      <c r="Y2787" s="755">
        <f t="shared" si="371"/>
        <v>0</v>
      </c>
      <c r="Z2787" s="864"/>
      <c r="AA2787" s="863"/>
      <c r="AB2787" s="756">
        <f t="shared" si="372"/>
        <v>0</v>
      </c>
      <c r="AC2787" s="1373"/>
      <c r="AD2787" s="863"/>
      <c r="AE2787" s="867"/>
      <c r="AF2787" s="1373"/>
      <c r="AG2787" s="864"/>
      <c r="AH2787" s="865"/>
      <c r="AI2787" s="757">
        <f t="shared" si="376"/>
        <v>49923806</v>
      </c>
      <c r="AJ2787" s="758">
        <f t="shared" si="377"/>
        <v>50772362</v>
      </c>
    </row>
    <row r="2788" spans="1:36" x14ac:dyDescent="0.2">
      <c r="A2788" s="1369" t="s">
        <v>147</v>
      </c>
      <c r="B2788" s="1008" t="s">
        <v>264</v>
      </c>
      <c r="C2788" s="1002" t="s">
        <v>1581</v>
      </c>
      <c r="D2788" s="1000"/>
      <c r="E2788" s="1003">
        <v>227182</v>
      </c>
      <c r="F2788" s="1004">
        <v>8</v>
      </c>
      <c r="G2788" s="1373">
        <v>73252471</v>
      </c>
      <c r="H2788" s="860">
        <v>81109192</v>
      </c>
      <c r="I2788" s="1373"/>
      <c r="J2788" s="862"/>
      <c r="K2788" s="1373">
        <v>141947513</v>
      </c>
      <c r="L2788" s="863">
        <v>146569549</v>
      </c>
      <c r="M2788" s="867">
        <v>58863971</v>
      </c>
      <c r="N2788" s="1373"/>
      <c r="O2788" s="752">
        <f t="shared" si="370"/>
        <v>58863971</v>
      </c>
      <c r="P2788" s="862">
        <v>59682149</v>
      </c>
      <c r="Q2788" s="860"/>
      <c r="R2788" s="753">
        <f t="shared" si="373"/>
        <v>59682149</v>
      </c>
      <c r="S2788" s="752">
        <f t="shared" si="374"/>
        <v>274063955</v>
      </c>
      <c r="T2788" s="754">
        <f t="shared" si="375"/>
        <v>287360890</v>
      </c>
      <c r="U2788" s="1373"/>
      <c r="V2788" s="863"/>
      <c r="W2788" s="859"/>
      <c r="X2788" s="859"/>
      <c r="Y2788" s="755">
        <f t="shared" si="371"/>
        <v>0</v>
      </c>
      <c r="Z2788" s="864"/>
      <c r="AA2788" s="863"/>
      <c r="AB2788" s="756">
        <f t="shared" si="372"/>
        <v>0</v>
      </c>
      <c r="AC2788" s="1373"/>
      <c r="AD2788" s="863"/>
      <c r="AE2788" s="867"/>
      <c r="AF2788" s="1373"/>
      <c r="AG2788" s="864"/>
      <c r="AH2788" s="865"/>
      <c r="AI2788" s="757">
        <f t="shared" si="376"/>
        <v>274063955</v>
      </c>
      <c r="AJ2788" s="758">
        <f t="shared" si="377"/>
        <v>287360890</v>
      </c>
    </row>
    <row r="2789" spans="1:36" x14ac:dyDescent="0.2">
      <c r="A2789" s="1369" t="s">
        <v>147</v>
      </c>
      <c r="B2789" s="1008" t="s">
        <v>264</v>
      </c>
      <c r="C2789" s="1370" t="s">
        <v>1582</v>
      </c>
      <c r="D2789" s="1371"/>
      <c r="E2789" s="1372">
        <v>226578</v>
      </c>
      <c r="F2789" s="1018">
        <v>8</v>
      </c>
      <c r="G2789" s="1373">
        <v>16439044</v>
      </c>
      <c r="H2789" s="860">
        <v>15773158</v>
      </c>
      <c r="I2789" s="1373"/>
      <c r="J2789" s="862"/>
      <c r="K2789" s="1373">
        <v>17982616</v>
      </c>
      <c r="L2789" s="863">
        <v>12733190</v>
      </c>
      <c r="M2789" s="867">
        <v>18759783</v>
      </c>
      <c r="N2789" s="1373"/>
      <c r="O2789" s="752">
        <f t="shared" si="370"/>
        <v>18759783</v>
      </c>
      <c r="P2789" s="862">
        <v>19436996</v>
      </c>
      <c r="Q2789" s="860"/>
      <c r="R2789" s="753">
        <f t="shared" si="373"/>
        <v>19436996</v>
      </c>
      <c r="S2789" s="752">
        <f t="shared" si="374"/>
        <v>53181443</v>
      </c>
      <c r="T2789" s="754">
        <f t="shared" si="375"/>
        <v>47943344</v>
      </c>
      <c r="U2789" s="1373"/>
      <c r="V2789" s="863"/>
      <c r="W2789" s="859"/>
      <c r="X2789" s="859"/>
      <c r="Y2789" s="755">
        <f t="shared" si="371"/>
        <v>0</v>
      </c>
      <c r="Z2789" s="864"/>
      <c r="AA2789" s="863"/>
      <c r="AB2789" s="756">
        <f t="shared" si="372"/>
        <v>0</v>
      </c>
      <c r="AC2789" s="1373"/>
      <c r="AD2789" s="863"/>
      <c r="AE2789" s="867"/>
      <c r="AF2789" s="1373"/>
      <c r="AG2789" s="864"/>
      <c r="AH2789" s="865"/>
      <c r="AI2789" s="757">
        <f t="shared" si="376"/>
        <v>53181443</v>
      </c>
      <c r="AJ2789" s="758">
        <f t="shared" si="377"/>
        <v>47943344</v>
      </c>
    </row>
    <row r="2790" spans="1:36" x14ac:dyDescent="0.2">
      <c r="A2790" s="1369" t="s">
        <v>147</v>
      </c>
      <c r="B2790" s="1008" t="s">
        <v>264</v>
      </c>
      <c r="C2790" s="1370" t="s">
        <v>1583</v>
      </c>
      <c r="D2790" s="1371"/>
      <c r="E2790" s="1372">
        <v>227146</v>
      </c>
      <c r="F2790" s="1018">
        <v>8</v>
      </c>
      <c r="G2790" s="1373">
        <v>17543562</v>
      </c>
      <c r="H2790" s="860">
        <v>17650284</v>
      </c>
      <c r="I2790" s="1373"/>
      <c r="J2790" s="862"/>
      <c r="K2790" s="1373">
        <v>3224898</v>
      </c>
      <c r="L2790" s="863">
        <v>3342472</v>
      </c>
      <c r="M2790" s="867">
        <v>15014906</v>
      </c>
      <c r="N2790" s="1373"/>
      <c r="O2790" s="752">
        <f t="shared" si="370"/>
        <v>15014906</v>
      </c>
      <c r="P2790" s="862">
        <v>14202493</v>
      </c>
      <c r="Q2790" s="860"/>
      <c r="R2790" s="753">
        <f t="shared" si="373"/>
        <v>14202493</v>
      </c>
      <c r="S2790" s="752">
        <f t="shared" si="374"/>
        <v>35783366</v>
      </c>
      <c r="T2790" s="754">
        <f t="shared" si="375"/>
        <v>35195249</v>
      </c>
      <c r="U2790" s="1373"/>
      <c r="V2790" s="863"/>
      <c r="W2790" s="859"/>
      <c r="X2790" s="859"/>
      <c r="Y2790" s="755">
        <f t="shared" si="371"/>
        <v>0</v>
      </c>
      <c r="Z2790" s="864"/>
      <c r="AA2790" s="863"/>
      <c r="AB2790" s="756">
        <f t="shared" si="372"/>
        <v>0</v>
      </c>
      <c r="AC2790" s="1373"/>
      <c r="AD2790" s="863"/>
      <c r="AE2790" s="867"/>
      <c r="AF2790" s="1373"/>
      <c r="AG2790" s="864"/>
      <c r="AH2790" s="865"/>
      <c r="AI2790" s="757">
        <f t="shared" si="376"/>
        <v>35783366</v>
      </c>
      <c r="AJ2790" s="758">
        <f t="shared" si="377"/>
        <v>35195249</v>
      </c>
    </row>
    <row r="2791" spans="1:36" x14ac:dyDescent="0.2">
      <c r="A2791" s="1369" t="s">
        <v>147</v>
      </c>
      <c r="B2791" s="1008" t="s">
        <v>264</v>
      </c>
      <c r="C2791" s="1383" t="s">
        <v>1584</v>
      </c>
      <c r="D2791" s="1384"/>
      <c r="E2791" s="1372">
        <v>224110</v>
      </c>
      <c r="F2791" s="1004">
        <v>8</v>
      </c>
      <c r="G2791" s="1373">
        <v>11142109</v>
      </c>
      <c r="H2791" s="860">
        <v>12606977</v>
      </c>
      <c r="I2791" s="1373"/>
      <c r="J2791" s="862"/>
      <c r="K2791" s="1373">
        <v>2199017</v>
      </c>
      <c r="L2791" s="863">
        <v>2220581</v>
      </c>
      <c r="M2791" s="867">
        <v>12585175</v>
      </c>
      <c r="N2791" s="1373"/>
      <c r="O2791" s="752">
        <f t="shared" si="370"/>
        <v>12585175</v>
      </c>
      <c r="P2791" s="862">
        <v>13280934</v>
      </c>
      <c r="Q2791" s="860"/>
      <c r="R2791" s="753">
        <f t="shared" si="373"/>
        <v>13280934</v>
      </c>
      <c r="S2791" s="752">
        <f t="shared" si="374"/>
        <v>25926301</v>
      </c>
      <c r="T2791" s="754">
        <f t="shared" si="375"/>
        <v>28108492</v>
      </c>
      <c r="U2791" s="1373"/>
      <c r="V2791" s="863"/>
      <c r="W2791" s="859"/>
      <c r="X2791" s="859"/>
      <c r="Y2791" s="755">
        <f t="shared" si="371"/>
        <v>0</v>
      </c>
      <c r="Z2791" s="864"/>
      <c r="AA2791" s="863"/>
      <c r="AB2791" s="756">
        <f t="shared" si="372"/>
        <v>0</v>
      </c>
      <c r="AC2791" s="1373"/>
      <c r="AD2791" s="863"/>
      <c r="AE2791" s="867"/>
      <c r="AF2791" s="1373"/>
      <c r="AG2791" s="864"/>
      <c r="AH2791" s="865"/>
      <c r="AI2791" s="757">
        <f t="shared" si="376"/>
        <v>25926301</v>
      </c>
      <c r="AJ2791" s="758">
        <f t="shared" si="377"/>
        <v>28108492</v>
      </c>
    </row>
    <row r="2792" spans="1:36" x14ac:dyDescent="0.2">
      <c r="A2792" s="1369" t="s">
        <v>147</v>
      </c>
      <c r="B2792" s="1008" t="s">
        <v>264</v>
      </c>
      <c r="C2792" s="1387" t="s">
        <v>1585</v>
      </c>
      <c r="D2792" s="1388"/>
      <c r="E2792" s="1372">
        <v>227191</v>
      </c>
      <c r="F2792" s="1018">
        <v>8</v>
      </c>
      <c r="G2792" s="1373">
        <v>0</v>
      </c>
      <c r="H2792" s="860">
        <v>0</v>
      </c>
      <c r="I2792" s="1373"/>
      <c r="J2792" s="862"/>
      <c r="K2792" s="1373"/>
      <c r="L2792" s="863"/>
      <c r="M2792" s="867"/>
      <c r="N2792" s="1373"/>
      <c r="O2792" s="752">
        <f t="shared" si="370"/>
        <v>0</v>
      </c>
      <c r="P2792" s="862"/>
      <c r="Q2792" s="860"/>
      <c r="R2792" s="753">
        <f t="shared" si="373"/>
        <v>0</v>
      </c>
      <c r="S2792" s="752">
        <f t="shared" si="374"/>
        <v>0</v>
      </c>
      <c r="T2792" s="754">
        <f t="shared" si="375"/>
        <v>0</v>
      </c>
      <c r="U2792" s="1373"/>
      <c r="V2792" s="863"/>
      <c r="W2792" s="859"/>
      <c r="X2792" s="859"/>
      <c r="Y2792" s="755">
        <f t="shared" si="371"/>
        <v>0</v>
      </c>
      <c r="Z2792" s="864"/>
      <c r="AA2792" s="863"/>
      <c r="AB2792" s="756">
        <f t="shared" si="372"/>
        <v>0</v>
      </c>
      <c r="AC2792" s="1373"/>
      <c r="AD2792" s="863"/>
      <c r="AE2792" s="867"/>
      <c r="AF2792" s="1373"/>
      <c r="AG2792" s="864"/>
      <c r="AH2792" s="865"/>
      <c r="AI2792" s="757">
        <f t="shared" si="376"/>
        <v>0</v>
      </c>
      <c r="AJ2792" s="758">
        <f t="shared" si="377"/>
        <v>0</v>
      </c>
    </row>
    <row r="2793" spans="1:36" x14ac:dyDescent="0.2">
      <c r="A2793" s="1369" t="s">
        <v>147</v>
      </c>
      <c r="B2793" s="1008" t="s">
        <v>264</v>
      </c>
      <c r="C2793" s="1389" t="s">
        <v>1586</v>
      </c>
      <c r="D2793" s="1390"/>
      <c r="E2793" s="1372">
        <v>420398</v>
      </c>
      <c r="F2793" s="1018">
        <v>8</v>
      </c>
      <c r="G2793" s="1373">
        <v>0</v>
      </c>
      <c r="H2793" s="860">
        <v>0</v>
      </c>
      <c r="I2793" s="1373"/>
      <c r="J2793" s="862"/>
      <c r="K2793" s="1373"/>
      <c r="L2793" s="863"/>
      <c r="M2793" s="867"/>
      <c r="N2793" s="1373"/>
      <c r="O2793" s="752">
        <f t="shared" si="370"/>
        <v>0</v>
      </c>
      <c r="P2793" s="862"/>
      <c r="Q2793" s="860"/>
      <c r="R2793" s="753">
        <f t="shared" si="373"/>
        <v>0</v>
      </c>
      <c r="S2793" s="752">
        <f t="shared" si="374"/>
        <v>0</v>
      </c>
      <c r="T2793" s="754">
        <f t="shared" si="375"/>
        <v>0</v>
      </c>
      <c r="U2793" s="1373"/>
      <c r="V2793" s="863"/>
      <c r="W2793" s="859"/>
      <c r="X2793" s="859"/>
      <c r="Y2793" s="755">
        <f t="shared" si="371"/>
        <v>0</v>
      </c>
      <c r="Z2793" s="864"/>
      <c r="AA2793" s="863"/>
      <c r="AB2793" s="756">
        <f t="shared" si="372"/>
        <v>0</v>
      </c>
      <c r="AC2793" s="1373"/>
      <c r="AD2793" s="863"/>
      <c r="AE2793" s="867"/>
      <c r="AF2793" s="1373"/>
      <c r="AG2793" s="864"/>
      <c r="AH2793" s="865"/>
      <c r="AI2793" s="757">
        <f t="shared" si="376"/>
        <v>0</v>
      </c>
      <c r="AJ2793" s="758">
        <f t="shared" si="377"/>
        <v>0</v>
      </c>
    </row>
    <row r="2794" spans="1:36" x14ac:dyDescent="0.2">
      <c r="A2794" s="1369" t="s">
        <v>147</v>
      </c>
      <c r="B2794" s="1008" t="s">
        <v>264</v>
      </c>
      <c r="C2794" s="1389" t="s">
        <v>1587</v>
      </c>
      <c r="D2794" s="1390"/>
      <c r="E2794" s="1372">
        <v>246354</v>
      </c>
      <c r="F2794" s="1018">
        <v>8</v>
      </c>
      <c r="G2794" s="1373">
        <v>0</v>
      </c>
      <c r="H2794" s="860">
        <v>0</v>
      </c>
      <c r="I2794" s="1373"/>
      <c r="J2794" s="862"/>
      <c r="K2794" s="1373"/>
      <c r="L2794" s="863"/>
      <c r="M2794" s="867"/>
      <c r="N2794" s="1373"/>
      <c r="O2794" s="752">
        <f t="shared" si="370"/>
        <v>0</v>
      </c>
      <c r="P2794" s="862"/>
      <c r="Q2794" s="860"/>
      <c r="R2794" s="753">
        <f t="shared" si="373"/>
        <v>0</v>
      </c>
      <c r="S2794" s="752">
        <f t="shared" si="374"/>
        <v>0</v>
      </c>
      <c r="T2794" s="754">
        <f t="shared" si="375"/>
        <v>0</v>
      </c>
      <c r="U2794" s="1373"/>
      <c r="V2794" s="863"/>
      <c r="W2794" s="859"/>
      <c r="X2794" s="859"/>
      <c r="Y2794" s="755">
        <f t="shared" si="371"/>
        <v>0</v>
      </c>
      <c r="Z2794" s="864"/>
      <c r="AA2794" s="863"/>
      <c r="AB2794" s="756">
        <f t="shared" si="372"/>
        <v>0</v>
      </c>
      <c r="AC2794" s="1373"/>
      <c r="AD2794" s="863"/>
      <c r="AE2794" s="867"/>
      <c r="AF2794" s="1373"/>
      <c r="AG2794" s="864"/>
      <c r="AH2794" s="865"/>
      <c r="AI2794" s="757">
        <f t="shared" si="376"/>
        <v>0</v>
      </c>
      <c r="AJ2794" s="758">
        <f t="shared" si="377"/>
        <v>0</v>
      </c>
    </row>
    <row r="2795" spans="1:36" x14ac:dyDescent="0.2">
      <c r="A2795" s="1369" t="s">
        <v>147</v>
      </c>
      <c r="B2795" s="1008" t="s">
        <v>264</v>
      </c>
      <c r="C2795" s="1387" t="s">
        <v>1588</v>
      </c>
      <c r="D2795" s="1388"/>
      <c r="E2795" s="1372">
        <v>227766</v>
      </c>
      <c r="F2795" s="1018">
        <v>8</v>
      </c>
      <c r="G2795" s="1373">
        <v>0</v>
      </c>
      <c r="H2795" s="860">
        <v>0</v>
      </c>
      <c r="I2795" s="1373"/>
      <c r="J2795" s="862"/>
      <c r="K2795" s="1373"/>
      <c r="L2795" s="863"/>
      <c r="M2795" s="867"/>
      <c r="N2795" s="1373"/>
      <c r="O2795" s="752">
        <f t="shared" si="370"/>
        <v>0</v>
      </c>
      <c r="P2795" s="862"/>
      <c r="Q2795" s="860"/>
      <c r="R2795" s="753">
        <f t="shared" si="373"/>
        <v>0</v>
      </c>
      <c r="S2795" s="752">
        <f t="shared" si="374"/>
        <v>0</v>
      </c>
      <c r="T2795" s="754">
        <f t="shared" si="375"/>
        <v>0</v>
      </c>
      <c r="U2795" s="1373"/>
      <c r="V2795" s="863"/>
      <c r="W2795" s="859"/>
      <c r="X2795" s="859"/>
      <c r="Y2795" s="755">
        <f t="shared" si="371"/>
        <v>0</v>
      </c>
      <c r="Z2795" s="864"/>
      <c r="AA2795" s="863"/>
      <c r="AB2795" s="756">
        <f t="shared" si="372"/>
        <v>0</v>
      </c>
      <c r="AC2795" s="1373"/>
      <c r="AD2795" s="863"/>
      <c r="AE2795" s="867"/>
      <c r="AF2795" s="1373"/>
      <c r="AG2795" s="864"/>
      <c r="AH2795" s="865"/>
      <c r="AI2795" s="757">
        <f t="shared" si="376"/>
        <v>0</v>
      </c>
      <c r="AJ2795" s="758">
        <f t="shared" si="377"/>
        <v>0</v>
      </c>
    </row>
    <row r="2796" spans="1:36" x14ac:dyDescent="0.2">
      <c r="A2796" s="1369" t="s">
        <v>147</v>
      </c>
      <c r="B2796" s="1008" t="s">
        <v>264</v>
      </c>
      <c r="C2796" s="1389" t="s">
        <v>1589</v>
      </c>
      <c r="D2796" s="1390"/>
      <c r="E2796" s="1372">
        <v>227924</v>
      </c>
      <c r="F2796" s="1018">
        <v>8</v>
      </c>
      <c r="G2796" s="1373">
        <v>0</v>
      </c>
      <c r="H2796" s="860">
        <v>0</v>
      </c>
      <c r="I2796" s="1373"/>
      <c r="J2796" s="862"/>
      <c r="K2796" s="1373"/>
      <c r="L2796" s="863"/>
      <c r="M2796" s="867"/>
      <c r="N2796" s="1373"/>
      <c r="O2796" s="752">
        <f t="shared" si="370"/>
        <v>0</v>
      </c>
      <c r="P2796" s="862"/>
      <c r="Q2796" s="860"/>
      <c r="R2796" s="753">
        <f t="shared" si="373"/>
        <v>0</v>
      </c>
      <c r="S2796" s="752">
        <f t="shared" si="374"/>
        <v>0</v>
      </c>
      <c r="T2796" s="754">
        <f t="shared" si="375"/>
        <v>0</v>
      </c>
      <c r="U2796" s="1373"/>
      <c r="V2796" s="863"/>
      <c r="W2796" s="859"/>
      <c r="X2796" s="859"/>
      <c r="Y2796" s="755">
        <f t="shared" si="371"/>
        <v>0</v>
      </c>
      <c r="Z2796" s="864"/>
      <c r="AA2796" s="863"/>
      <c r="AB2796" s="756">
        <f t="shared" si="372"/>
        <v>0</v>
      </c>
      <c r="AC2796" s="1373"/>
      <c r="AD2796" s="863"/>
      <c r="AE2796" s="867"/>
      <c r="AF2796" s="1373"/>
      <c r="AG2796" s="864"/>
      <c r="AH2796" s="865"/>
      <c r="AI2796" s="757">
        <f t="shared" si="376"/>
        <v>0</v>
      </c>
      <c r="AJ2796" s="758">
        <f t="shared" si="377"/>
        <v>0</v>
      </c>
    </row>
    <row r="2797" spans="1:36" x14ac:dyDescent="0.2">
      <c r="A2797" s="1369" t="s">
        <v>147</v>
      </c>
      <c r="B2797" s="1008" t="s">
        <v>264</v>
      </c>
      <c r="C2797" s="1370" t="s">
        <v>1590</v>
      </c>
      <c r="D2797" s="1371"/>
      <c r="E2797" s="1372">
        <v>227979</v>
      </c>
      <c r="F2797" s="1018">
        <v>8</v>
      </c>
      <c r="G2797" s="1373">
        <v>42883972</v>
      </c>
      <c r="H2797" s="860">
        <v>43375060</v>
      </c>
      <c r="I2797" s="1373"/>
      <c r="J2797" s="862"/>
      <c r="K2797" s="1373">
        <v>69019186</v>
      </c>
      <c r="L2797" s="863">
        <v>73136908</v>
      </c>
      <c r="M2797" s="867">
        <v>32746050</v>
      </c>
      <c r="N2797" s="1373"/>
      <c r="O2797" s="752">
        <f t="shared" si="370"/>
        <v>32746050</v>
      </c>
      <c r="P2797" s="862">
        <v>37524566</v>
      </c>
      <c r="Q2797" s="860"/>
      <c r="R2797" s="753">
        <f t="shared" si="373"/>
        <v>37524566</v>
      </c>
      <c r="S2797" s="752">
        <f t="shared" si="374"/>
        <v>144649208</v>
      </c>
      <c r="T2797" s="754">
        <f t="shared" si="375"/>
        <v>154036534</v>
      </c>
      <c r="U2797" s="1373"/>
      <c r="V2797" s="863"/>
      <c r="W2797" s="859"/>
      <c r="X2797" s="859"/>
      <c r="Y2797" s="755">
        <f t="shared" si="371"/>
        <v>0</v>
      </c>
      <c r="Z2797" s="864"/>
      <c r="AA2797" s="863"/>
      <c r="AB2797" s="756">
        <f t="shared" si="372"/>
        <v>0</v>
      </c>
      <c r="AC2797" s="1373"/>
      <c r="AD2797" s="863"/>
      <c r="AE2797" s="867"/>
      <c r="AF2797" s="1373"/>
      <c r="AG2797" s="864"/>
      <c r="AH2797" s="865"/>
      <c r="AI2797" s="757">
        <f t="shared" si="376"/>
        <v>144649208</v>
      </c>
      <c r="AJ2797" s="758">
        <f t="shared" si="377"/>
        <v>154036534</v>
      </c>
    </row>
    <row r="2798" spans="1:36" x14ac:dyDescent="0.2">
      <c r="A2798" s="1369" t="s">
        <v>147</v>
      </c>
      <c r="B2798" s="1008" t="s">
        <v>264</v>
      </c>
      <c r="C2798" s="1370" t="s">
        <v>1591</v>
      </c>
      <c r="D2798" s="1371"/>
      <c r="E2798" s="1372">
        <v>228158</v>
      </c>
      <c r="F2798" s="1018">
        <v>8</v>
      </c>
      <c r="G2798" s="1373">
        <v>16484392</v>
      </c>
      <c r="H2798" s="860">
        <v>16184493</v>
      </c>
      <c r="I2798" s="1373"/>
      <c r="J2798" s="862"/>
      <c r="K2798" s="1373">
        <v>10732939</v>
      </c>
      <c r="L2798" s="863">
        <v>12628617</v>
      </c>
      <c r="M2798" s="867">
        <v>13790746</v>
      </c>
      <c r="N2798" s="1373"/>
      <c r="O2798" s="752">
        <f t="shared" si="370"/>
        <v>13790746</v>
      </c>
      <c r="P2798" s="862">
        <v>15807862</v>
      </c>
      <c r="Q2798" s="860"/>
      <c r="R2798" s="753">
        <f t="shared" si="373"/>
        <v>15807862</v>
      </c>
      <c r="S2798" s="752">
        <f t="shared" si="374"/>
        <v>41008077</v>
      </c>
      <c r="T2798" s="754">
        <f t="shared" si="375"/>
        <v>44620972</v>
      </c>
      <c r="U2798" s="1373"/>
      <c r="V2798" s="863"/>
      <c r="W2798" s="859"/>
      <c r="X2798" s="859"/>
      <c r="Y2798" s="755">
        <f t="shared" si="371"/>
        <v>0</v>
      </c>
      <c r="Z2798" s="864"/>
      <c r="AA2798" s="863"/>
      <c r="AB2798" s="756">
        <f t="shared" si="372"/>
        <v>0</v>
      </c>
      <c r="AC2798" s="1373"/>
      <c r="AD2798" s="863"/>
      <c r="AE2798" s="867"/>
      <c r="AF2798" s="1373"/>
      <c r="AG2798" s="864"/>
      <c r="AH2798" s="865"/>
      <c r="AI2798" s="757">
        <f t="shared" si="376"/>
        <v>41008077</v>
      </c>
      <c r="AJ2798" s="758">
        <f t="shared" si="377"/>
        <v>44620972</v>
      </c>
    </row>
    <row r="2799" spans="1:36" x14ac:dyDescent="0.2">
      <c r="A2799" s="1369" t="s">
        <v>147</v>
      </c>
      <c r="B2799" s="1008" t="s">
        <v>264</v>
      </c>
      <c r="C2799" s="1389" t="s">
        <v>1592</v>
      </c>
      <c r="D2799" s="1390"/>
      <c r="E2799" s="1372">
        <v>227854</v>
      </c>
      <c r="F2799" s="1018">
        <v>8</v>
      </c>
      <c r="G2799" s="1373">
        <v>0</v>
      </c>
      <c r="H2799" s="860">
        <v>0</v>
      </c>
      <c r="I2799" s="1373"/>
      <c r="J2799" s="862"/>
      <c r="K2799" s="1373"/>
      <c r="L2799" s="863"/>
      <c r="M2799" s="867"/>
      <c r="N2799" s="1373"/>
      <c r="O2799" s="752">
        <f t="shared" si="370"/>
        <v>0</v>
      </c>
      <c r="P2799" s="862"/>
      <c r="Q2799" s="860"/>
      <c r="R2799" s="753">
        <f t="shared" si="373"/>
        <v>0</v>
      </c>
      <c r="S2799" s="752">
        <f t="shared" si="374"/>
        <v>0</v>
      </c>
      <c r="T2799" s="754">
        <f t="shared" si="375"/>
        <v>0</v>
      </c>
      <c r="U2799" s="1373"/>
      <c r="V2799" s="863"/>
      <c r="W2799" s="859"/>
      <c r="X2799" s="859"/>
      <c r="Y2799" s="755">
        <f t="shared" si="371"/>
        <v>0</v>
      </c>
      <c r="Z2799" s="864"/>
      <c r="AA2799" s="863"/>
      <c r="AB2799" s="756">
        <f t="shared" si="372"/>
        <v>0</v>
      </c>
      <c r="AC2799" s="1373"/>
      <c r="AD2799" s="863"/>
      <c r="AE2799" s="867"/>
      <c r="AF2799" s="1373"/>
      <c r="AG2799" s="864"/>
      <c r="AH2799" s="865"/>
      <c r="AI2799" s="757">
        <f t="shared" si="376"/>
        <v>0</v>
      </c>
      <c r="AJ2799" s="758">
        <f t="shared" si="377"/>
        <v>0</v>
      </c>
    </row>
    <row r="2800" spans="1:36" x14ac:dyDescent="0.2">
      <c r="A2800" s="1369" t="s">
        <v>147</v>
      </c>
      <c r="B2800" s="1008" t="s">
        <v>264</v>
      </c>
      <c r="C2800" s="1370" t="s">
        <v>1593</v>
      </c>
      <c r="D2800" s="1371"/>
      <c r="E2800" s="1372">
        <v>228547</v>
      </c>
      <c r="F2800" s="1018">
        <v>8</v>
      </c>
      <c r="G2800" s="1373">
        <v>61964956</v>
      </c>
      <c r="H2800" s="860">
        <v>65001534</v>
      </c>
      <c r="I2800" s="1373"/>
      <c r="J2800" s="862"/>
      <c r="K2800" s="1373">
        <v>184432700</v>
      </c>
      <c r="L2800" s="863">
        <v>186261467</v>
      </c>
      <c r="M2800" s="867">
        <v>50214996</v>
      </c>
      <c r="N2800" s="1373"/>
      <c r="O2800" s="752">
        <f t="shared" si="370"/>
        <v>50214996</v>
      </c>
      <c r="P2800" s="862">
        <v>50245813</v>
      </c>
      <c r="Q2800" s="860"/>
      <c r="R2800" s="753">
        <f t="shared" si="373"/>
        <v>50245813</v>
      </c>
      <c r="S2800" s="752">
        <f t="shared" si="374"/>
        <v>296612652</v>
      </c>
      <c r="T2800" s="754">
        <f t="shared" si="375"/>
        <v>301508814</v>
      </c>
      <c r="U2800" s="1373"/>
      <c r="V2800" s="863"/>
      <c r="W2800" s="859"/>
      <c r="X2800" s="859"/>
      <c r="Y2800" s="755">
        <f t="shared" si="371"/>
        <v>0</v>
      </c>
      <c r="Z2800" s="864"/>
      <c r="AA2800" s="863"/>
      <c r="AB2800" s="756">
        <f t="shared" si="372"/>
        <v>0</v>
      </c>
      <c r="AC2800" s="1373"/>
      <c r="AD2800" s="863"/>
      <c r="AE2800" s="867"/>
      <c r="AF2800" s="1373"/>
      <c r="AG2800" s="864"/>
      <c r="AH2800" s="865"/>
      <c r="AI2800" s="757">
        <f t="shared" si="376"/>
        <v>296612652</v>
      </c>
      <c r="AJ2800" s="758">
        <f t="shared" si="377"/>
        <v>301508814</v>
      </c>
    </row>
    <row r="2801" spans="1:36" x14ac:dyDescent="0.2">
      <c r="A2801" s="1369" t="s">
        <v>147</v>
      </c>
      <c r="B2801" s="1008" t="s">
        <v>264</v>
      </c>
      <c r="C2801" s="1370" t="s">
        <v>1594</v>
      </c>
      <c r="D2801" s="1391" t="s">
        <v>1126</v>
      </c>
      <c r="E2801" s="1382">
        <v>229072</v>
      </c>
      <c r="F2801" s="1392">
        <v>8</v>
      </c>
      <c r="G2801" s="1373">
        <v>13645409</v>
      </c>
      <c r="H2801" s="860">
        <v>6758227</v>
      </c>
      <c r="I2801" s="1373"/>
      <c r="J2801" s="862"/>
      <c r="K2801" s="1373">
        <v>17976953</v>
      </c>
      <c r="L2801" s="863">
        <v>18257955</v>
      </c>
      <c r="M2801" s="867">
        <v>32695242</v>
      </c>
      <c r="N2801" s="1373"/>
      <c r="O2801" s="752">
        <f t="shared" si="370"/>
        <v>32695242</v>
      </c>
      <c r="P2801" s="862">
        <v>17786278</v>
      </c>
      <c r="Q2801" s="860"/>
      <c r="R2801" s="753">
        <f t="shared" si="373"/>
        <v>17786278</v>
      </c>
      <c r="S2801" s="752">
        <f t="shared" si="374"/>
        <v>64317604</v>
      </c>
      <c r="T2801" s="754">
        <f t="shared" si="375"/>
        <v>42802460</v>
      </c>
      <c r="U2801" s="1373"/>
      <c r="V2801" s="863"/>
      <c r="W2801" s="859"/>
      <c r="X2801" s="859"/>
      <c r="Y2801" s="755">
        <f t="shared" si="371"/>
        <v>0</v>
      </c>
      <c r="Z2801" s="864"/>
      <c r="AA2801" s="863"/>
      <c r="AB2801" s="756">
        <f t="shared" si="372"/>
        <v>0</v>
      </c>
      <c r="AC2801" s="1373"/>
      <c r="AD2801" s="863"/>
      <c r="AE2801" s="867"/>
      <c r="AF2801" s="1373"/>
      <c r="AG2801" s="864"/>
      <c r="AH2801" s="865"/>
      <c r="AI2801" s="757">
        <f t="shared" si="376"/>
        <v>64317604</v>
      </c>
      <c r="AJ2801" s="758">
        <f t="shared" si="377"/>
        <v>42802460</v>
      </c>
    </row>
    <row r="2802" spans="1:36" x14ac:dyDescent="0.2">
      <c r="A2802" s="1369" t="s">
        <v>147</v>
      </c>
      <c r="B2802" s="1008" t="s">
        <v>264</v>
      </c>
      <c r="C2802" s="1393" t="s">
        <v>1595</v>
      </c>
      <c r="D2802" s="1391" t="s">
        <v>1126</v>
      </c>
      <c r="E2802" s="1382">
        <v>228680</v>
      </c>
      <c r="F2802" s="1004">
        <v>8</v>
      </c>
      <c r="G2802" s="1373">
        <v>30239291</v>
      </c>
      <c r="H2802" s="860">
        <v>30853124</v>
      </c>
      <c r="I2802" s="1373"/>
      <c r="J2802" s="862"/>
      <c r="K2802" s="1373"/>
      <c r="L2802" s="863"/>
      <c r="M2802" s="867">
        <v>14608309</v>
      </c>
      <c r="N2802" s="1373"/>
      <c r="O2802" s="752">
        <f t="shared" si="370"/>
        <v>14608309</v>
      </c>
      <c r="P2802" s="862">
        <v>12299657</v>
      </c>
      <c r="Q2802" s="860"/>
      <c r="R2802" s="753">
        <f t="shared" si="373"/>
        <v>12299657</v>
      </c>
      <c r="S2802" s="752">
        <f t="shared" si="374"/>
        <v>44847600</v>
      </c>
      <c r="T2802" s="754">
        <f t="shared" si="375"/>
        <v>43152781</v>
      </c>
      <c r="U2802" s="1373"/>
      <c r="V2802" s="863"/>
      <c r="W2802" s="859"/>
      <c r="X2802" s="859"/>
      <c r="Y2802" s="755">
        <f t="shared" si="371"/>
        <v>0</v>
      </c>
      <c r="Z2802" s="864"/>
      <c r="AA2802" s="863"/>
      <c r="AB2802" s="756">
        <f t="shared" si="372"/>
        <v>0</v>
      </c>
      <c r="AC2802" s="1373"/>
      <c r="AD2802" s="863"/>
      <c r="AE2802" s="867"/>
      <c r="AF2802" s="1373"/>
      <c r="AG2802" s="864"/>
      <c r="AH2802" s="865"/>
      <c r="AI2802" s="757">
        <f t="shared" si="376"/>
        <v>44847600</v>
      </c>
      <c r="AJ2802" s="758">
        <f t="shared" si="377"/>
        <v>43152781</v>
      </c>
    </row>
    <row r="2803" spans="1:36" x14ac:dyDescent="0.2">
      <c r="A2803" s="1369" t="s">
        <v>147</v>
      </c>
      <c r="B2803" s="1008" t="s">
        <v>264</v>
      </c>
      <c r="C2803" s="1002" t="s">
        <v>1596</v>
      </c>
      <c r="D2803" s="1380"/>
      <c r="E2803" s="1372">
        <v>225308</v>
      </c>
      <c r="F2803" s="1004">
        <v>8</v>
      </c>
      <c r="G2803" s="1373">
        <v>12938340</v>
      </c>
      <c r="H2803" s="860">
        <v>12865285</v>
      </c>
      <c r="I2803" s="1373"/>
      <c r="J2803" s="862"/>
      <c r="K2803" s="1373">
        <v>7940405</v>
      </c>
      <c r="L2803" s="863">
        <v>8543457</v>
      </c>
      <c r="M2803" s="867">
        <v>6697098</v>
      </c>
      <c r="N2803" s="1373"/>
      <c r="O2803" s="752">
        <f t="shared" si="370"/>
        <v>6697098</v>
      </c>
      <c r="P2803" s="862">
        <v>6681563</v>
      </c>
      <c r="Q2803" s="860"/>
      <c r="R2803" s="753">
        <f t="shared" si="373"/>
        <v>6681563</v>
      </c>
      <c r="S2803" s="752">
        <f t="shared" si="374"/>
        <v>27575843</v>
      </c>
      <c r="T2803" s="754">
        <f t="shared" si="375"/>
        <v>28090305</v>
      </c>
      <c r="U2803" s="1373"/>
      <c r="V2803" s="863"/>
      <c r="W2803" s="859"/>
      <c r="X2803" s="859"/>
      <c r="Y2803" s="755">
        <f t="shared" si="371"/>
        <v>0</v>
      </c>
      <c r="Z2803" s="864"/>
      <c r="AA2803" s="863"/>
      <c r="AB2803" s="756">
        <f t="shared" si="372"/>
        <v>0</v>
      </c>
      <c r="AC2803" s="1373"/>
      <c r="AD2803" s="863"/>
      <c r="AE2803" s="867"/>
      <c r="AF2803" s="1373"/>
      <c r="AG2803" s="864"/>
      <c r="AH2803" s="865"/>
      <c r="AI2803" s="757">
        <f t="shared" si="376"/>
        <v>27575843</v>
      </c>
      <c r="AJ2803" s="758">
        <f t="shared" si="377"/>
        <v>28090305</v>
      </c>
    </row>
    <row r="2804" spans="1:36" x14ac:dyDescent="0.2">
      <c r="A2804" s="1369" t="s">
        <v>147</v>
      </c>
      <c r="B2804" s="1008" t="s">
        <v>264</v>
      </c>
      <c r="C2804" s="1370" t="s">
        <v>1597</v>
      </c>
      <c r="D2804" s="1371"/>
      <c r="E2804" s="1372">
        <v>229355</v>
      </c>
      <c r="F2804" s="1018">
        <v>8</v>
      </c>
      <c r="G2804" s="1373">
        <v>20592403</v>
      </c>
      <c r="H2804" s="860">
        <v>19694782</v>
      </c>
      <c r="I2804" s="1373"/>
      <c r="J2804" s="862"/>
      <c r="K2804" s="1373">
        <v>18898206</v>
      </c>
      <c r="L2804" s="863">
        <v>21022138</v>
      </c>
      <c r="M2804" s="867">
        <v>12266066</v>
      </c>
      <c r="N2804" s="1373"/>
      <c r="O2804" s="752">
        <f t="shared" si="370"/>
        <v>12266066</v>
      </c>
      <c r="P2804" s="862">
        <v>13880102</v>
      </c>
      <c r="Q2804" s="860"/>
      <c r="R2804" s="753">
        <f t="shared" si="373"/>
        <v>13880102</v>
      </c>
      <c r="S2804" s="752">
        <f t="shared" si="374"/>
        <v>51756675</v>
      </c>
      <c r="T2804" s="754">
        <f t="shared" si="375"/>
        <v>54597022</v>
      </c>
      <c r="U2804" s="1373"/>
      <c r="V2804" s="863"/>
      <c r="W2804" s="859"/>
      <c r="X2804" s="859"/>
      <c r="Y2804" s="755">
        <f t="shared" si="371"/>
        <v>0</v>
      </c>
      <c r="Z2804" s="864"/>
      <c r="AA2804" s="863"/>
      <c r="AB2804" s="756">
        <f t="shared" si="372"/>
        <v>0</v>
      </c>
      <c r="AC2804" s="1373"/>
      <c r="AD2804" s="863"/>
      <c r="AE2804" s="867"/>
      <c r="AF2804" s="1373"/>
      <c r="AG2804" s="864"/>
      <c r="AH2804" s="865"/>
      <c r="AI2804" s="757">
        <f t="shared" si="376"/>
        <v>51756675</v>
      </c>
      <c r="AJ2804" s="758">
        <f t="shared" si="377"/>
        <v>54597022</v>
      </c>
    </row>
    <row r="2805" spans="1:36" x14ac:dyDescent="0.2">
      <c r="A2805" s="1369" t="s">
        <v>147</v>
      </c>
      <c r="B2805" s="1008" t="s">
        <v>264</v>
      </c>
      <c r="C2805" s="1370" t="s">
        <v>1598</v>
      </c>
      <c r="D2805" s="1371"/>
      <c r="E2805" s="1372">
        <v>222567</v>
      </c>
      <c r="F2805" s="1018">
        <v>9</v>
      </c>
      <c r="G2805" s="1373">
        <v>8736742</v>
      </c>
      <c r="H2805" s="860">
        <v>8676610</v>
      </c>
      <c r="I2805" s="1373"/>
      <c r="J2805" s="862"/>
      <c r="K2805" s="1373">
        <v>11876516</v>
      </c>
      <c r="L2805" s="863">
        <v>12261637</v>
      </c>
      <c r="M2805" s="867">
        <v>9482131</v>
      </c>
      <c r="N2805" s="1373"/>
      <c r="O2805" s="752">
        <f t="shared" si="370"/>
        <v>9482131</v>
      </c>
      <c r="P2805" s="862">
        <v>9095957</v>
      </c>
      <c r="Q2805" s="860"/>
      <c r="R2805" s="753">
        <f t="shared" si="373"/>
        <v>9095957</v>
      </c>
      <c r="S2805" s="752">
        <f t="shared" si="374"/>
        <v>30095389</v>
      </c>
      <c r="T2805" s="754">
        <f t="shared" si="375"/>
        <v>30034204</v>
      </c>
      <c r="U2805" s="1373"/>
      <c r="V2805" s="863"/>
      <c r="W2805" s="859"/>
      <c r="X2805" s="859"/>
      <c r="Y2805" s="755">
        <f t="shared" si="371"/>
        <v>0</v>
      </c>
      <c r="Z2805" s="864"/>
      <c r="AA2805" s="863"/>
      <c r="AB2805" s="756">
        <f t="shared" si="372"/>
        <v>0</v>
      </c>
      <c r="AC2805" s="1373"/>
      <c r="AD2805" s="863"/>
      <c r="AE2805" s="867"/>
      <c r="AF2805" s="1373"/>
      <c r="AG2805" s="864"/>
      <c r="AH2805" s="865"/>
      <c r="AI2805" s="757">
        <f t="shared" si="376"/>
        <v>30095389</v>
      </c>
      <c r="AJ2805" s="758">
        <f t="shared" si="377"/>
        <v>30034204</v>
      </c>
    </row>
    <row r="2806" spans="1:36" x14ac:dyDescent="0.2">
      <c r="A2806" s="1369" t="s">
        <v>147</v>
      </c>
      <c r="B2806" s="1008" t="s">
        <v>264</v>
      </c>
      <c r="C2806" s="1370" t="s">
        <v>1599</v>
      </c>
      <c r="D2806" s="1371"/>
      <c r="E2806" s="1372">
        <v>222822</v>
      </c>
      <c r="F2806" s="1018">
        <v>9</v>
      </c>
      <c r="G2806" s="1373">
        <v>9112960</v>
      </c>
      <c r="H2806" s="860">
        <v>8809640</v>
      </c>
      <c r="I2806" s="1373"/>
      <c r="J2806" s="862"/>
      <c r="K2806" s="1373">
        <v>6217240</v>
      </c>
      <c r="L2806" s="863">
        <v>6412418</v>
      </c>
      <c r="M2806" s="867">
        <v>4533203</v>
      </c>
      <c r="N2806" s="1373"/>
      <c r="O2806" s="752">
        <f t="shared" si="370"/>
        <v>4533203</v>
      </c>
      <c r="P2806" s="862">
        <v>4590713</v>
      </c>
      <c r="Q2806" s="860"/>
      <c r="R2806" s="753">
        <f t="shared" si="373"/>
        <v>4590713</v>
      </c>
      <c r="S2806" s="752">
        <f t="shared" si="374"/>
        <v>19863403</v>
      </c>
      <c r="T2806" s="754">
        <f t="shared" si="375"/>
        <v>19812771</v>
      </c>
      <c r="U2806" s="1373"/>
      <c r="V2806" s="863"/>
      <c r="W2806" s="859"/>
      <c r="X2806" s="859"/>
      <c r="Y2806" s="755">
        <f t="shared" si="371"/>
        <v>0</v>
      </c>
      <c r="Z2806" s="864"/>
      <c r="AA2806" s="863"/>
      <c r="AB2806" s="756">
        <f t="shared" si="372"/>
        <v>0</v>
      </c>
      <c r="AC2806" s="1373"/>
      <c r="AD2806" s="863"/>
      <c r="AE2806" s="867"/>
      <c r="AF2806" s="1373"/>
      <c r="AG2806" s="864"/>
      <c r="AH2806" s="865"/>
      <c r="AI2806" s="757">
        <f t="shared" si="376"/>
        <v>19863403</v>
      </c>
      <c r="AJ2806" s="758">
        <f t="shared" si="377"/>
        <v>19812771</v>
      </c>
    </row>
    <row r="2807" spans="1:36" x14ac:dyDescent="0.2">
      <c r="A2807" s="1369" t="s">
        <v>147</v>
      </c>
      <c r="B2807" s="1008" t="s">
        <v>264</v>
      </c>
      <c r="C2807" s="1387" t="s">
        <v>1600</v>
      </c>
      <c r="D2807" s="1388"/>
      <c r="E2807" s="1372">
        <v>223773</v>
      </c>
      <c r="F2807" s="1018">
        <v>9</v>
      </c>
      <c r="G2807" s="1373">
        <v>0</v>
      </c>
      <c r="H2807" s="860">
        <v>0</v>
      </c>
      <c r="I2807" s="1373"/>
      <c r="J2807" s="862"/>
      <c r="K2807" s="1373"/>
      <c r="L2807" s="863"/>
      <c r="M2807" s="867"/>
      <c r="N2807" s="1373"/>
      <c r="O2807" s="752">
        <f t="shared" si="370"/>
        <v>0</v>
      </c>
      <c r="P2807" s="862"/>
      <c r="Q2807" s="860"/>
      <c r="R2807" s="753">
        <f t="shared" si="373"/>
        <v>0</v>
      </c>
      <c r="S2807" s="752">
        <f t="shared" si="374"/>
        <v>0</v>
      </c>
      <c r="T2807" s="754">
        <f t="shared" si="375"/>
        <v>0</v>
      </c>
      <c r="U2807" s="1373"/>
      <c r="V2807" s="863"/>
      <c r="W2807" s="859"/>
      <c r="X2807" s="859"/>
      <c r="Y2807" s="755">
        <f t="shared" si="371"/>
        <v>0</v>
      </c>
      <c r="Z2807" s="864"/>
      <c r="AA2807" s="863"/>
      <c r="AB2807" s="756">
        <f t="shared" si="372"/>
        <v>0</v>
      </c>
      <c r="AC2807" s="1373"/>
      <c r="AD2807" s="863"/>
      <c r="AE2807" s="867"/>
      <c r="AF2807" s="1373"/>
      <c r="AG2807" s="864"/>
      <c r="AH2807" s="865"/>
      <c r="AI2807" s="757">
        <f t="shared" si="376"/>
        <v>0</v>
      </c>
      <c r="AJ2807" s="758">
        <f t="shared" si="377"/>
        <v>0</v>
      </c>
    </row>
    <row r="2808" spans="1:36" x14ac:dyDescent="0.2">
      <c r="A2808" s="1369" t="s">
        <v>147</v>
      </c>
      <c r="B2808" s="1008" t="s">
        <v>264</v>
      </c>
      <c r="C2808" s="1370" t="s">
        <v>1601</v>
      </c>
      <c r="D2808" s="1371"/>
      <c r="E2808" s="1372">
        <v>223898</v>
      </c>
      <c r="F2808" s="1018">
        <v>9</v>
      </c>
      <c r="G2808" s="1373">
        <v>6403939</v>
      </c>
      <c r="H2808" s="860">
        <v>6035318</v>
      </c>
      <c r="I2808" s="1373"/>
      <c r="J2808" s="862"/>
      <c r="K2808" s="1373">
        <v>541573</v>
      </c>
      <c r="L2808" s="863">
        <v>597990</v>
      </c>
      <c r="M2808" s="867">
        <v>733390</v>
      </c>
      <c r="N2808" s="1373"/>
      <c r="O2808" s="752">
        <f t="shared" si="370"/>
        <v>733390</v>
      </c>
      <c r="P2808" s="862">
        <v>1674009</v>
      </c>
      <c r="Q2808" s="860"/>
      <c r="R2808" s="753">
        <f t="shared" si="373"/>
        <v>1674009</v>
      </c>
      <c r="S2808" s="752">
        <f t="shared" si="374"/>
        <v>7678902</v>
      </c>
      <c r="T2808" s="754">
        <f t="shared" si="375"/>
        <v>8307317</v>
      </c>
      <c r="U2808" s="1373"/>
      <c r="V2808" s="863"/>
      <c r="W2808" s="859"/>
      <c r="X2808" s="859"/>
      <c r="Y2808" s="755">
        <f t="shared" si="371"/>
        <v>0</v>
      </c>
      <c r="Z2808" s="864"/>
      <c r="AA2808" s="863"/>
      <c r="AB2808" s="756">
        <f t="shared" si="372"/>
        <v>0</v>
      </c>
      <c r="AC2808" s="1373"/>
      <c r="AD2808" s="863"/>
      <c r="AE2808" s="867"/>
      <c r="AF2808" s="1373"/>
      <c r="AG2808" s="864"/>
      <c r="AH2808" s="865"/>
      <c r="AI2808" s="757">
        <f t="shared" si="376"/>
        <v>7678902</v>
      </c>
      <c r="AJ2808" s="758">
        <f t="shared" si="377"/>
        <v>8307317</v>
      </c>
    </row>
    <row r="2809" spans="1:36" x14ac:dyDescent="0.2">
      <c r="A2809" s="1369" t="s">
        <v>147</v>
      </c>
      <c r="B2809" s="1008" t="s">
        <v>264</v>
      </c>
      <c r="C2809" s="1370" t="s">
        <v>1602</v>
      </c>
      <c r="D2809" s="1371"/>
      <c r="E2809" s="1372">
        <v>223320</v>
      </c>
      <c r="F2809" s="1018">
        <v>9</v>
      </c>
      <c r="G2809" s="1373">
        <v>7749789</v>
      </c>
      <c r="H2809" s="860">
        <v>7271742</v>
      </c>
      <c r="I2809" s="1373"/>
      <c r="J2809" s="862"/>
      <c r="K2809" s="1373">
        <v>1767948</v>
      </c>
      <c r="L2809" s="863">
        <v>1904067</v>
      </c>
      <c r="M2809" s="867">
        <v>4737240</v>
      </c>
      <c r="N2809" s="1373"/>
      <c r="O2809" s="752">
        <f t="shared" si="370"/>
        <v>4737240</v>
      </c>
      <c r="P2809" s="862">
        <v>3067124</v>
      </c>
      <c r="Q2809" s="860"/>
      <c r="R2809" s="753">
        <f t="shared" si="373"/>
        <v>3067124</v>
      </c>
      <c r="S2809" s="752">
        <f t="shared" si="374"/>
        <v>14254977</v>
      </c>
      <c r="T2809" s="754">
        <f t="shared" si="375"/>
        <v>12242933</v>
      </c>
      <c r="U2809" s="1373"/>
      <c r="V2809" s="863"/>
      <c r="W2809" s="859"/>
      <c r="X2809" s="859"/>
      <c r="Y2809" s="755">
        <f t="shared" si="371"/>
        <v>0</v>
      </c>
      <c r="Z2809" s="864"/>
      <c r="AA2809" s="863"/>
      <c r="AB2809" s="756">
        <f t="shared" si="372"/>
        <v>0</v>
      </c>
      <c r="AC2809" s="1373"/>
      <c r="AD2809" s="863"/>
      <c r="AE2809" s="867"/>
      <c r="AF2809" s="1373"/>
      <c r="AG2809" s="864"/>
      <c r="AH2809" s="865"/>
      <c r="AI2809" s="757">
        <f t="shared" si="376"/>
        <v>14254977</v>
      </c>
      <c r="AJ2809" s="758">
        <f t="shared" si="377"/>
        <v>12242933</v>
      </c>
    </row>
    <row r="2810" spans="1:36" x14ac:dyDescent="0.2">
      <c r="A2810" s="1369" t="s">
        <v>147</v>
      </c>
      <c r="B2810" s="1008" t="s">
        <v>264</v>
      </c>
      <c r="C2810" s="1370" t="s">
        <v>1603</v>
      </c>
      <c r="D2810" s="1371"/>
      <c r="E2810" s="1372">
        <v>226408</v>
      </c>
      <c r="F2810" s="1018">
        <v>9</v>
      </c>
      <c r="G2810" s="1373">
        <v>7668700</v>
      </c>
      <c r="H2810" s="860">
        <v>7920964</v>
      </c>
      <c r="I2810" s="1373"/>
      <c r="J2810" s="862"/>
      <c r="K2810" s="1373">
        <v>20964876</v>
      </c>
      <c r="L2810" s="863">
        <v>21137942</v>
      </c>
      <c r="M2810" s="867">
        <v>3701392</v>
      </c>
      <c r="N2810" s="1373"/>
      <c r="O2810" s="752">
        <f t="shared" si="370"/>
        <v>3701392</v>
      </c>
      <c r="P2810" s="862">
        <v>3306016</v>
      </c>
      <c r="Q2810" s="860"/>
      <c r="R2810" s="753">
        <f t="shared" si="373"/>
        <v>3306016</v>
      </c>
      <c r="S2810" s="752">
        <f t="shared" si="374"/>
        <v>32334968</v>
      </c>
      <c r="T2810" s="754">
        <f t="shared" si="375"/>
        <v>32364922</v>
      </c>
      <c r="U2810" s="1373"/>
      <c r="V2810" s="863"/>
      <c r="W2810" s="859"/>
      <c r="X2810" s="859"/>
      <c r="Y2810" s="755">
        <f t="shared" si="371"/>
        <v>0</v>
      </c>
      <c r="Z2810" s="864"/>
      <c r="AA2810" s="863"/>
      <c r="AB2810" s="756">
        <f t="shared" si="372"/>
        <v>0</v>
      </c>
      <c r="AC2810" s="1373"/>
      <c r="AD2810" s="863"/>
      <c r="AE2810" s="867"/>
      <c r="AF2810" s="1373"/>
      <c r="AG2810" s="864"/>
      <c r="AH2810" s="865"/>
      <c r="AI2810" s="757">
        <f t="shared" si="376"/>
        <v>32334968</v>
      </c>
      <c r="AJ2810" s="758">
        <f t="shared" si="377"/>
        <v>32364922</v>
      </c>
    </row>
    <row r="2811" spans="1:36" x14ac:dyDescent="0.2">
      <c r="A2811" s="1369" t="s">
        <v>147</v>
      </c>
      <c r="B2811" s="1008" t="s">
        <v>264</v>
      </c>
      <c r="C2811" s="1370" t="s">
        <v>1604</v>
      </c>
      <c r="D2811" s="1371"/>
      <c r="E2811" s="1372">
        <v>225070</v>
      </c>
      <c r="F2811" s="1018">
        <v>9</v>
      </c>
      <c r="G2811" s="1373">
        <v>8911824</v>
      </c>
      <c r="H2811" s="860">
        <v>8719186</v>
      </c>
      <c r="I2811" s="1373"/>
      <c r="J2811" s="862"/>
      <c r="K2811" s="1373">
        <v>12528883</v>
      </c>
      <c r="L2811" s="863">
        <v>12822686</v>
      </c>
      <c r="M2811" s="867">
        <v>4923045</v>
      </c>
      <c r="N2811" s="1373"/>
      <c r="O2811" s="752">
        <f t="shared" si="370"/>
        <v>4923045</v>
      </c>
      <c r="P2811" s="862">
        <v>4877086</v>
      </c>
      <c r="Q2811" s="860"/>
      <c r="R2811" s="753">
        <f t="shared" si="373"/>
        <v>4877086</v>
      </c>
      <c r="S2811" s="752">
        <f t="shared" si="374"/>
        <v>26363752</v>
      </c>
      <c r="T2811" s="754">
        <f t="shared" si="375"/>
        <v>26418958</v>
      </c>
      <c r="U2811" s="1373"/>
      <c r="V2811" s="863"/>
      <c r="W2811" s="859"/>
      <c r="X2811" s="859"/>
      <c r="Y2811" s="755">
        <f t="shared" si="371"/>
        <v>0</v>
      </c>
      <c r="Z2811" s="864"/>
      <c r="AA2811" s="863"/>
      <c r="AB2811" s="756">
        <f t="shared" si="372"/>
        <v>0</v>
      </c>
      <c r="AC2811" s="1373"/>
      <c r="AD2811" s="863"/>
      <c r="AE2811" s="867"/>
      <c r="AF2811" s="1373"/>
      <c r="AG2811" s="864"/>
      <c r="AH2811" s="865"/>
      <c r="AI2811" s="757">
        <f t="shared" si="376"/>
        <v>26363752</v>
      </c>
      <c r="AJ2811" s="758">
        <f t="shared" si="377"/>
        <v>26418958</v>
      </c>
    </row>
    <row r="2812" spans="1:36" x14ac:dyDescent="0.2">
      <c r="A2812" s="1369" t="s">
        <v>147</v>
      </c>
      <c r="B2812" s="1008" t="s">
        <v>264</v>
      </c>
      <c r="C2812" s="1370" t="s">
        <v>1605</v>
      </c>
      <c r="D2812" s="1371"/>
      <c r="E2812" s="1372">
        <v>225371</v>
      </c>
      <c r="F2812" s="1018">
        <v>9</v>
      </c>
      <c r="G2812" s="1373">
        <v>8014842</v>
      </c>
      <c r="H2812" s="860">
        <v>8492350</v>
      </c>
      <c r="I2812" s="1373"/>
      <c r="J2812" s="862"/>
      <c r="K2812" s="1373">
        <v>1384171</v>
      </c>
      <c r="L2812" s="863">
        <v>1427422</v>
      </c>
      <c r="M2812" s="867">
        <v>4163082</v>
      </c>
      <c r="N2812" s="1373"/>
      <c r="O2812" s="752">
        <f t="shared" si="370"/>
        <v>4163082</v>
      </c>
      <c r="P2812" s="862">
        <v>4183889</v>
      </c>
      <c r="Q2812" s="860"/>
      <c r="R2812" s="753">
        <f t="shared" si="373"/>
        <v>4183889</v>
      </c>
      <c r="S2812" s="752">
        <f t="shared" si="374"/>
        <v>13562095</v>
      </c>
      <c r="T2812" s="754">
        <f t="shared" si="375"/>
        <v>14103661</v>
      </c>
      <c r="U2812" s="1373"/>
      <c r="V2812" s="863"/>
      <c r="W2812" s="859"/>
      <c r="X2812" s="859"/>
      <c r="Y2812" s="755">
        <f t="shared" si="371"/>
        <v>0</v>
      </c>
      <c r="Z2812" s="864"/>
      <c r="AA2812" s="863"/>
      <c r="AB2812" s="756">
        <f t="shared" si="372"/>
        <v>0</v>
      </c>
      <c r="AC2812" s="1373"/>
      <c r="AD2812" s="863"/>
      <c r="AE2812" s="867"/>
      <c r="AF2812" s="1373"/>
      <c r="AG2812" s="864"/>
      <c r="AH2812" s="865"/>
      <c r="AI2812" s="757">
        <f t="shared" si="376"/>
        <v>13562095</v>
      </c>
      <c r="AJ2812" s="758">
        <f t="shared" si="377"/>
        <v>14103661</v>
      </c>
    </row>
    <row r="2813" spans="1:36" x14ac:dyDescent="0.2">
      <c r="A2813" s="1369" t="s">
        <v>147</v>
      </c>
      <c r="B2813" s="1008" t="s">
        <v>264</v>
      </c>
      <c r="C2813" s="1394" t="s">
        <v>1606</v>
      </c>
      <c r="D2813" s="1395"/>
      <c r="E2813" s="1372">
        <v>225520</v>
      </c>
      <c r="F2813" s="1018">
        <v>9</v>
      </c>
      <c r="G2813" s="1373">
        <v>12237388</v>
      </c>
      <c r="H2813" s="860">
        <v>11028909</v>
      </c>
      <c r="I2813" s="1373"/>
      <c r="J2813" s="862"/>
      <c r="K2813" s="1373">
        <v>6049940</v>
      </c>
      <c r="L2813" s="863">
        <v>6299672</v>
      </c>
      <c r="M2813" s="867">
        <v>70263778</v>
      </c>
      <c r="N2813" s="1373"/>
      <c r="O2813" s="752">
        <f t="shared" si="370"/>
        <v>70263778</v>
      </c>
      <c r="P2813" s="862">
        <v>71433953</v>
      </c>
      <c r="Q2813" s="860"/>
      <c r="R2813" s="753">
        <f t="shared" si="373"/>
        <v>71433953</v>
      </c>
      <c r="S2813" s="752">
        <f t="shared" si="374"/>
        <v>88551106</v>
      </c>
      <c r="T2813" s="754">
        <f t="shared" si="375"/>
        <v>88762534</v>
      </c>
      <c r="U2813" s="1373"/>
      <c r="V2813" s="863"/>
      <c r="W2813" s="859"/>
      <c r="X2813" s="859"/>
      <c r="Y2813" s="755">
        <f t="shared" si="371"/>
        <v>0</v>
      </c>
      <c r="Z2813" s="864"/>
      <c r="AA2813" s="863"/>
      <c r="AB2813" s="756">
        <f t="shared" si="372"/>
        <v>0</v>
      </c>
      <c r="AC2813" s="1373"/>
      <c r="AD2813" s="863"/>
      <c r="AE2813" s="867"/>
      <c r="AF2813" s="1373"/>
      <c r="AG2813" s="864"/>
      <c r="AH2813" s="865"/>
      <c r="AI2813" s="757">
        <f t="shared" si="376"/>
        <v>88551106</v>
      </c>
      <c r="AJ2813" s="758">
        <f t="shared" si="377"/>
        <v>88762534</v>
      </c>
    </row>
    <row r="2814" spans="1:36" x14ac:dyDescent="0.2">
      <c r="A2814" s="1369" t="s">
        <v>147</v>
      </c>
      <c r="B2814" s="1008" t="s">
        <v>264</v>
      </c>
      <c r="C2814" s="1396" t="s">
        <v>1607</v>
      </c>
      <c r="D2814" s="1371"/>
      <c r="E2814" s="1372">
        <v>441760</v>
      </c>
      <c r="F2814" s="1018">
        <v>9</v>
      </c>
      <c r="G2814" s="1373">
        <v>9775712</v>
      </c>
      <c r="H2814" s="860">
        <v>10445237</v>
      </c>
      <c r="I2814" s="1373"/>
      <c r="J2814" s="862"/>
      <c r="K2814" s="1373"/>
      <c r="L2814" s="863"/>
      <c r="M2814" s="867">
        <v>7306446</v>
      </c>
      <c r="N2814" s="1373"/>
      <c r="O2814" s="752">
        <f t="shared" si="370"/>
        <v>7306446</v>
      </c>
      <c r="P2814" s="862">
        <v>7664409</v>
      </c>
      <c r="Q2814" s="860"/>
      <c r="R2814" s="753">
        <f t="shared" si="373"/>
        <v>7664409</v>
      </c>
      <c r="S2814" s="752">
        <f t="shared" si="374"/>
        <v>17082158</v>
      </c>
      <c r="T2814" s="754">
        <f t="shared" si="375"/>
        <v>18109646</v>
      </c>
      <c r="U2814" s="1373"/>
      <c r="V2814" s="863"/>
      <c r="W2814" s="859"/>
      <c r="X2814" s="859"/>
      <c r="Y2814" s="755">
        <f t="shared" si="371"/>
        <v>0</v>
      </c>
      <c r="Z2814" s="864"/>
      <c r="AA2814" s="863"/>
      <c r="AB2814" s="756">
        <f t="shared" si="372"/>
        <v>0</v>
      </c>
      <c r="AC2814" s="1373"/>
      <c r="AD2814" s="863"/>
      <c r="AE2814" s="867"/>
      <c r="AF2814" s="1373"/>
      <c r="AG2814" s="864"/>
      <c r="AH2814" s="865"/>
      <c r="AI2814" s="757">
        <f t="shared" si="376"/>
        <v>17082158</v>
      </c>
      <c r="AJ2814" s="758">
        <f t="shared" si="377"/>
        <v>18109646</v>
      </c>
    </row>
    <row r="2815" spans="1:36" x14ac:dyDescent="0.2">
      <c r="A2815" s="1369" t="s">
        <v>147</v>
      </c>
      <c r="B2815" s="1008" t="s">
        <v>264</v>
      </c>
      <c r="C2815" s="1397" t="s">
        <v>1608</v>
      </c>
      <c r="D2815" s="1398"/>
      <c r="E2815" s="1399">
        <v>226116</v>
      </c>
      <c r="F2815" s="1511">
        <v>9</v>
      </c>
      <c r="G2815" s="1373">
        <v>9608340</v>
      </c>
      <c r="H2815" s="860">
        <v>12065142</v>
      </c>
      <c r="I2815" s="1373"/>
      <c r="J2815" s="862"/>
      <c r="K2815" s="1373"/>
      <c r="L2815" s="1400"/>
      <c r="M2815" s="867">
        <v>4647270</v>
      </c>
      <c r="N2815" s="1373"/>
      <c r="O2815" s="752">
        <f t="shared" si="370"/>
        <v>4647270</v>
      </c>
      <c r="P2815" s="862">
        <v>5086397</v>
      </c>
      <c r="Q2815" s="860"/>
      <c r="R2815" s="753">
        <f t="shared" si="373"/>
        <v>5086397</v>
      </c>
      <c r="S2815" s="752">
        <f t="shared" si="374"/>
        <v>14255610</v>
      </c>
      <c r="T2815" s="754">
        <f t="shared" si="375"/>
        <v>17151539</v>
      </c>
      <c r="U2815" s="1373"/>
      <c r="V2815" s="863"/>
      <c r="W2815" s="859"/>
      <c r="X2815" s="859"/>
      <c r="Y2815" s="755">
        <f t="shared" si="371"/>
        <v>0</v>
      </c>
      <c r="Z2815" s="864"/>
      <c r="AA2815" s="863"/>
      <c r="AB2815" s="756">
        <f t="shared" si="372"/>
        <v>0</v>
      </c>
      <c r="AC2815" s="1373"/>
      <c r="AD2815" s="863"/>
      <c r="AE2815" s="867"/>
      <c r="AF2815" s="1373"/>
      <c r="AG2815" s="864"/>
      <c r="AH2815" s="865"/>
      <c r="AI2815" s="757">
        <f t="shared" si="376"/>
        <v>14255610</v>
      </c>
      <c r="AJ2815" s="758">
        <f t="shared" si="377"/>
        <v>17151539</v>
      </c>
    </row>
    <row r="2816" spans="1:36" x14ac:dyDescent="0.2">
      <c r="A2816" s="1369" t="s">
        <v>147</v>
      </c>
      <c r="B2816" s="1008" t="s">
        <v>264</v>
      </c>
      <c r="C2816" s="1370" t="s">
        <v>1609</v>
      </c>
      <c r="D2816" s="1371"/>
      <c r="E2816" s="1372">
        <v>226204</v>
      </c>
      <c r="F2816" s="1018">
        <v>9</v>
      </c>
      <c r="G2816" s="1373">
        <v>11123200</v>
      </c>
      <c r="H2816" s="860">
        <v>10355734</v>
      </c>
      <c r="I2816" s="1373"/>
      <c r="J2816" s="862"/>
      <c r="K2816" s="1373">
        <v>20561713</v>
      </c>
      <c r="L2816" s="863">
        <v>21293088</v>
      </c>
      <c r="M2816" s="867">
        <v>6532856</v>
      </c>
      <c r="N2816" s="1373"/>
      <c r="O2816" s="752">
        <f t="shared" si="370"/>
        <v>6532856</v>
      </c>
      <c r="P2816" s="862">
        <v>6283578</v>
      </c>
      <c r="Q2816" s="860"/>
      <c r="R2816" s="753">
        <f t="shared" si="373"/>
        <v>6283578</v>
      </c>
      <c r="S2816" s="752">
        <f t="shared" si="374"/>
        <v>38217769</v>
      </c>
      <c r="T2816" s="754">
        <f t="shared" si="375"/>
        <v>37932400</v>
      </c>
      <c r="U2816" s="1373"/>
      <c r="V2816" s="863"/>
      <c r="W2816" s="859"/>
      <c r="X2816" s="859"/>
      <c r="Y2816" s="755">
        <f t="shared" si="371"/>
        <v>0</v>
      </c>
      <c r="Z2816" s="864"/>
      <c r="AA2816" s="863"/>
      <c r="AB2816" s="756">
        <f t="shared" si="372"/>
        <v>0</v>
      </c>
      <c r="AC2816" s="1373"/>
      <c r="AD2816" s="863"/>
      <c r="AE2816" s="867"/>
      <c r="AF2816" s="1373"/>
      <c r="AG2816" s="864"/>
      <c r="AH2816" s="865"/>
      <c r="AI2816" s="757">
        <f t="shared" si="376"/>
        <v>38217769</v>
      </c>
      <c r="AJ2816" s="758">
        <f t="shared" si="377"/>
        <v>37932400</v>
      </c>
    </row>
    <row r="2817" spans="1:36" x14ac:dyDescent="0.2">
      <c r="A2817" s="1369" t="s">
        <v>147</v>
      </c>
      <c r="B2817" s="1008" t="s">
        <v>264</v>
      </c>
      <c r="C2817" s="1387" t="s">
        <v>1610</v>
      </c>
      <c r="D2817" s="1384"/>
      <c r="E2817" s="1372">
        <v>226930</v>
      </c>
      <c r="F2817" s="1018">
        <v>9</v>
      </c>
      <c r="G2817" s="1373">
        <v>0</v>
      </c>
      <c r="H2817" s="860">
        <v>0</v>
      </c>
      <c r="I2817" s="1373"/>
      <c r="J2817" s="862"/>
      <c r="K2817" s="1373"/>
      <c r="L2817" s="863"/>
      <c r="M2817" s="867"/>
      <c r="N2817" s="1373"/>
      <c r="O2817" s="752">
        <f t="shared" si="370"/>
        <v>0</v>
      </c>
      <c r="P2817" s="862"/>
      <c r="Q2817" s="860"/>
      <c r="R2817" s="753">
        <f t="shared" si="373"/>
        <v>0</v>
      </c>
      <c r="S2817" s="752">
        <f t="shared" si="374"/>
        <v>0</v>
      </c>
      <c r="T2817" s="754">
        <f t="shared" si="375"/>
        <v>0</v>
      </c>
      <c r="U2817" s="1373"/>
      <c r="V2817" s="863"/>
      <c r="W2817" s="859"/>
      <c r="X2817" s="859"/>
      <c r="Y2817" s="755">
        <f t="shared" si="371"/>
        <v>0</v>
      </c>
      <c r="Z2817" s="864"/>
      <c r="AA2817" s="863"/>
      <c r="AB2817" s="756">
        <f t="shared" si="372"/>
        <v>0</v>
      </c>
      <c r="AC2817" s="1373"/>
      <c r="AD2817" s="863"/>
      <c r="AE2817" s="867"/>
      <c r="AF2817" s="1373"/>
      <c r="AG2817" s="864"/>
      <c r="AH2817" s="865"/>
      <c r="AI2817" s="757">
        <f t="shared" si="376"/>
        <v>0</v>
      </c>
      <c r="AJ2817" s="758">
        <f t="shared" si="377"/>
        <v>0</v>
      </c>
    </row>
    <row r="2818" spans="1:36" x14ac:dyDescent="0.2">
      <c r="A2818" s="1369" t="s">
        <v>147</v>
      </c>
      <c r="B2818" s="1008" t="s">
        <v>264</v>
      </c>
      <c r="C2818" s="1002" t="s">
        <v>1611</v>
      </c>
      <c r="D2818" s="1380"/>
      <c r="E2818" s="1372">
        <v>227225</v>
      </c>
      <c r="F2818" s="1004">
        <v>9</v>
      </c>
      <c r="G2818" s="1373">
        <v>5035086</v>
      </c>
      <c r="H2818" s="860">
        <v>5637301</v>
      </c>
      <c r="I2818" s="1373"/>
      <c r="J2818" s="862"/>
      <c r="K2818" s="1373">
        <v>4649095</v>
      </c>
      <c r="L2818" s="863">
        <v>4374652</v>
      </c>
      <c r="M2818" s="867">
        <v>2899761</v>
      </c>
      <c r="N2818" s="1373"/>
      <c r="O2818" s="752">
        <f t="shared" si="370"/>
        <v>2899761</v>
      </c>
      <c r="P2818" s="862">
        <v>3107885</v>
      </c>
      <c r="Q2818" s="860"/>
      <c r="R2818" s="753">
        <f t="shared" si="373"/>
        <v>3107885</v>
      </c>
      <c r="S2818" s="752">
        <f t="shared" si="374"/>
        <v>12583942</v>
      </c>
      <c r="T2818" s="754">
        <f t="shared" si="375"/>
        <v>13119838</v>
      </c>
      <c r="U2818" s="1373"/>
      <c r="V2818" s="863"/>
      <c r="W2818" s="859"/>
      <c r="X2818" s="859"/>
      <c r="Y2818" s="755">
        <f t="shared" si="371"/>
        <v>0</v>
      </c>
      <c r="Z2818" s="864"/>
      <c r="AA2818" s="863"/>
      <c r="AB2818" s="756">
        <f t="shared" si="372"/>
        <v>0</v>
      </c>
      <c r="AC2818" s="1373"/>
      <c r="AD2818" s="863"/>
      <c r="AE2818" s="867"/>
      <c r="AF2818" s="1373"/>
      <c r="AG2818" s="864"/>
      <c r="AH2818" s="865"/>
      <c r="AI2818" s="757">
        <f t="shared" si="376"/>
        <v>12583942</v>
      </c>
      <c r="AJ2818" s="758">
        <f t="shared" si="377"/>
        <v>13119838</v>
      </c>
    </row>
    <row r="2819" spans="1:36" x14ac:dyDescent="0.2">
      <c r="A2819" s="1369" t="s">
        <v>147</v>
      </c>
      <c r="B2819" s="1008" t="s">
        <v>264</v>
      </c>
      <c r="C2819" s="1370" t="s">
        <v>1612</v>
      </c>
      <c r="D2819" s="1371"/>
      <c r="E2819" s="1372">
        <v>227304</v>
      </c>
      <c r="F2819" s="1018">
        <v>9</v>
      </c>
      <c r="G2819" s="1373">
        <v>8373993</v>
      </c>
      <c r="H2819" s="860">
        <v>9028001</v>
      </c>
      <c r="I2819" s="1373"/>
      <c r="J2819" s="862"/>
      <c r="K2819" s="1373">
        <v>21348141</v>
      </c>
      <c r="L2819" s="863">
        <v>22655419</v>
      </c>
      <c r="M2819" s="867">
        <v>7463390</v>
      </c>
      <c r="N2819" s="1373"/>
      <c r="O2819" s="752">
        <f t="shared" si="370"/>
        <v>7463390</v>
      </c>
      <c r="P2819" s="862">
        <v>7578923</v>
      </c>
      <c r="Q2819" s="860"/>
      <c r="R2819" s="753">
        <f t="shared" si="373"/>
        <v>7578923</v>
      </c>
      <c r="S2819" s="752">
        <f t="shared" si="374"/>
        <v>37185524</v>
      </c>
      <c r="T2819" s="754">
        <f t="shared" si="375"/>
        <v>39262343</v>
      </c>
      <c r="U2819" s="1373"/>
      <c r="V2819" s="863"/>
      <c r="W2819" s="859"/>
      <c r="X2819" s="859"/>
      <c r="Y2819" s="755">
        <f t="shared" si="371"/>
        <v>0</v>
      </c>
      <c r="Z2819" s="864"/>
      <c r="AA2819" s="863"/>
      <c r="AB2819" s="756">
        <f t="shared" si="372"/>
        <v>0</v>
      </c>
      <c r="AC2819" s="1373"/>
      <c r="AD2819" s="863"/>
      <c r="AE2819" s="867"/>
      <c r="AF2819" s="1373"/>
      <c r="AG2819" s="864"/>
      <c r="AH2819" s="865"/>
      <c r="AI2819" s="757">
        <f t="shared" si="376"/>
        <v>37185524</v>
      </c>
      <c r="AJ2819" s="758">
        <f t="shared" si="377"/>
        <v>39262343</v>
      </c>
    </row>
    <row r="2820" spans="1:36" x14ac:dyDescent="0.2">
      <c r="A2820" s="1369" t="s">
        <v>147</v>
      </c>
      <c r="B2820" s="1008" t="s">
        <v>264</v>
      </c>
      <c r="C2820" s="1370" t="s">
        <v>1613</v>
      </c>
      <c r="D2820" s="1371"/>
      <c r="E2820" s="1372">
        <v>227401</v>
      </c>
      <c r="F2820" s="1018">
        <v>9</v>
      </c>
      <c r="G2820" s="1373">
        <v>10240573</v>
      </c>
      <c r="H2820" s="860">
        <v>9517308</v>
      </c>
      <c r="I2820" s="1373"/>
      <c r="J2820" s="862"/>
      <c r="K2820" s="1373">
        <v>2900541</v>
      </c>
      <c r="L2820" s="863">
        <v>2891428</v>
      </c>
      <c r="M2820" s="867">
        <v>5691298</v>
      </c>
      <c r="N2820" s="1373"/>
      <c r="O2820" s="752">
        <f t="shared" si="370"/>
        <v>5691298</v>
      </c>
      <c r="P2820" s="862">
        <v>5375845</v>
      </c>
      <c r="Q2820" s="860"/>
      <c r="R2820" s="753">
        <f t="shared" si="373"/>
        <v>5375845</v>
      </c>
      <c r="S2820" s="752">
        <f t="shared" si="374"/>
        <v>18832412</v>
      </c>
      <c r="T2820" s="754">
        <f t="shared" si="375"/>
        <v>17784581</v>
      </c>
      <c r="U2820" s="1373"/>
      <c r="V2820" s="863"/>
      <c r="W2820" s="859"/>
      <c r="X2820" s="859"/>
      <c r="Y2820" s="755">
        <f t="shared" si="371"/>
        <v>0</v>
      </c>
      <c r="Z2820" s="864"/>
      <c r="AA2820" s="863"/>
      <c r="AB2820" s="756">
        <f t="shared" si="372"/>
        <v>0</v>
      </c>
      <c r="AC2820" s="1373"/>
      <c r="AD2820" s="863"/>
      <c r="AE2820" s="867"/>
      <c r="AF2820" s="1373"/>
      <c r="AG2820" s="864"/>
      <c r="AH2820" s="865"/>
      <c r="AI2820" s="757">
        <f t="shared" si="376"/>
        <v>18832412</v>
      </c>
      <c r="AJ2820" s="758">
        <f t="shared" si="377"/>
        <v>17784581</v>
      </c>
    </row>
    <row r="2821" spans="1:36" x14ac:dyDescent="0.2">
      <c r="A2821" s="1369" t="s">
        <v>147</v>
      </c>
      <c r="B2821" s="1008" t="s">
        <v>264</v>
      </c>
      <c r="C2821" s="1370" t="s">
        <v>1614</v>
      </c>
      <c r="D2821" s="1371"/>
      <c r="E2821" s="1372">
        <v>228316</v>
      </c>
      <c r="F2821" s="1018">
        <v>9</v>
      </c>
      <c r="G2821" s="1373">
        <v>8621420</v>
      </c>
      <c r="H2821" s="860">
        <v>8466392</v>
      </c>
      <c r="I2821" s="1373"/>
      <c r="J2821" s="862"/>
      <c r="K2821" s="1373">
        <v>2549671</v>
      </c>
      <c r="L2821" s="863">
        <v>2703529</v>
      </c>
      <c r="M2821" s="867">
        <v>5493939</v>
      </c>
      <c r="N2821" s="1373"/>
      <c r="O2821" s="752">
        <f t="shared" si="370"/>
        <v>5493939</v>
      </c>
      <c r="P2821" s="862">
        <v>5130032</v>
      </c>
      <c r="Q2821" s="860"/>
      <c r="R2821" s="753">
        <f t="shared" si="373"/>
        <v>5130032</v>
      </c>
      <c r="S2821" s="752">
        <f t="shared" si="374"/>
        <v>16665030</v>
      </c>
      <c r="T2821" s="754">
        <f t="shared" si="375"/>
        <v>16299953</v>
      </c>
      <c r="U2821" s="1373"/>
      <c r="V2821" s="863"/>
      <c r="W2821" s="859"/>
      <c r="X2821" s="859"/>
      <c r="Y2821" s="755">
        <f t="shared" si="371"/>
        <v>0</v>
      </c>
      <c r="Z2821" s="864"/>
      <c r="AA2821" s="863"/>
      <c r="AB2821" s="756">
        <f t="shared" si="372"/>
        <v>0</v>
      </c>
      <c r="AC2821" s="1373"/>
      <c r="AD2821" s="863"/>
      <c r="AE2821" s="867"/>
      <c r="AF2821" s="1373"/>
      <c r="AG2821" s="864"/>
      <c r="AH2821" s="865"/>
      <c r="AI2821" s="757">
        <f t="shared" si="376"/>
        <v>16665030</v>
      </c>
      <c r="AJ2821" s="758">
        <f t="shared" si="377"/>
        <v>16299953</v>
      </c>
    </row>
    <row r="2822" spans="1:36" x14ac:dyDescent="0.2">
      <c r="A2822" s="1369" t="s">
        <v>147</v>
      </c>
      <c r="B2822" s="1008" t="s">
        <v>264</v>
      </c>
      <c r="C2822" s="1370" t="s">
        <v>1615</v>
      </c>
      <c r="D2822" s="1371"/>
      <c r="E2822" s="1372">
        <v>228608</v>
      </c>
      <c r="F2822" s="1018">
        <v>9</v>
      </c>
      <c r="G2822" s="1373">
        <v>9170367</v>
      </c>
      <c r="H2822" s="860">
        <v>9057116</v>
      </c>
      <c r="I2822" s="1373"/>
      <c r="J2822" s="862"/>
      <c r="K2822" s="1373">
        <v>7168855</v>
      </c>
      <c r="L2822" s="863">
        <v>7275176</v>
      </c>
      <c r="M2822" s="867">
        <v>12584768</v>
      </c>
      <c r="N2822" s="1373"/>
      <c r="O2822" s="752">
        <f t="shared" si="370"/>
        <v>12584768</v>
      </c>
      <c r="P2822" s="862">
        <v>12237686</v>
      </c>
      <c r="Q2822" s="860"/>
      <c r="R2822" s="753">
        <f t="shared" si="373"/>
        <v>12237686</v>
      </c>
      <c r="S2822" s="752">
        <f t="shared" si="374"/>
        <v>28923990</v>
      </c>
      <c r="T2822" s="754">
        <f t="shared" si="375"/>
        <v>28569978</v>
      </c>
      <c r="U2822" s="1373"/>
      <c r="V2822" s="863"/>
      <c r="W2822" s="859"/>
      <c r="X2822" s="859"/>
      <c r="Y2822" s="755">
        <f t="shared" si="371"/>
        <v>0</v>
      </c>
      <c r="Z2822" s="864"/>
      <c r="AA2822" s="863"/>
      <c r="AB2822" s="756">
        <f t="shared" si="372"/>
        <v>0</v>
      </c>
      <c r="AC2822" s="1373"/>
      <c r="AD2822" s="863"/>
      <c r="AE2822" s="867"/>
      <c r="AF2822" s="1373"/>
      <c r="AG2822" s="864"/>
      <c r="AH2822" s="865"/>
      <c r="AI2822" s="757">
        <f t="shared" si="376"/>
        <v>28923990</v>
      </c>
      <c r="AJ2822" s="758">
        <f t="shared" si="377"/>
        <v>28569978</v>
      </c>
    </row>
    <row r="2823" spans="1:36" x14ac:dyDescent="0.2">
      <c r="A2823" s="1369" t="s">
        <v>147</v>
      </c>
      <c r="B2823" s="1008" t="s">
        <v>264</v>
      </c>
      <c r="C2823" s="1370" t="s">
        <v>1616</v>
      </c>
      <c r="D2823" s="1371"/>
      <c r="E2823" s="1372">
        <v>228699</v>
      </c>
      <c r="F2823" s="1018">
        <v>9</v>
      </c>
      <c r="G2823" s="1373">
        <v>9124890</v>
      </c>
      <c r="H2823" s="860">
        <v>7891499</v>
      </c>
      <c r="I2823" s="1373"/>
      <c r="J2823" s="862"/>
      <c r="K2823" s="1373">
        <v>1354269</v>
      </c>
      <c r="L2823" s="863">
        <v>1367528</v>
      </c>
      <c r="M2823" s="867">
        <v>4362146</v>
      </c>
      <c r="N2823" s="1373"/>
      <c r="O2823" s="752">
        <f t="shared" si="370"/>
        <v>4362146</v>
      </c>
      <c r="P2823" s="862">
        <v>3726660</v>
      </c>
      <c r="Q2823" s="860"/>
      <c r="R2823" s="753">
        <f t="shared" si="373"/>
        <v>3726660</v>
      </c>
      <c r="S2823" s="752">
        <f t="shared" si="374"/>
        <v>14841305</v>
      </c>
      <c r="T2823" s="754">
        <f t="shared" si="375"/>
        <v>12985687</v>
      </c>
      <c r="U2823" s="1373"/>
      <c r="V2823" s="863"/>
      <c r="W2823" s="859"/>
      <c r="X2823" s="859"/>
      <c r="Y2823" s="755">
        <f t="shared" si="371"/>
        <v>0</v>
      </c>
      <c r="Z2823" s="864"/>
      <c r="AA2823" s="863"/>
      <c r="AB2823" s="756">
        <f t="shared" si="372"/>
        <v>0</v>
      </c>
      <c r="AC2823" s="1373"/>
      <c r="AD2823" s="863"/>
      <c r="AE2823" s="867"/>
      <c r="AF2823" s="1373"/>
      <c r="AG2823" s="864"/>
      <c r="AH2823" s="865"/>
      <c r="AI2823" s="757">
        <f t="shared" si="376"/>
        <v>14841305</v>
      </c>
      <c r="AJ2823" s="758">
        <f t="shared" si="377"/>
        <v>12985687</v>
      </c>
    </row>
    <row r="2824" spans="1:36" x14ac:dyDescent="0.2">
      <c r="A2824" s="1369" t="s">
        <v>147</v>
      </c>
      <c r="B2824" s="1008" t="s">
        <v>264</v>
      </c>
      <c r="C2824" s="1396" t="s">
        <v>1617</v>
      </c>
      <c r="D2824" s="1371"/>
      <c r="E2824" s="1372">
        <v>229319</v>
      </c>
      <c r="F2824" s="1018">
        <v>9</v>
      </c>
      <c r="G2824" s="1373">
        <v>21639600</v>
      </c>
      <c r="H2824" s="860">
        <v>21032079</v>
      </c>
      <c r="I2824" s="1373"/>
      <c r="J2824" s="862"/>
      <c r="K2824" s="1373"/>
      <c r="L2824" s="863"/>
      <c r="M2824" s="867">
        <v>3596521</v>
      </c>
      <c r="N2824" s="1373"/>
      <c r="O2824" s="752">
        <f t="shared" si="370"/>
        <v>3596521</v>
      </c>
      <c r="P2824" s="862">
        <v>3906225</v>
      </c>
      <c r="Q2824" s="860"/>
      <c r="R2824" s="753">
        <f t="shared" si="373"/>
        <v>3906225</v>
      </c>
      <c r="S2824" s="752">
        <f t="shared" si="374"/>
        <v>25236121</v>
      </c>
      <c r="T2824" s="754">
        <f t="shared" si="375"/>
        <v>24938304</v>
      </c>
      <c r="U2824" s="1373"/>
      <c r="V2824" s="863"/>
      <c r="W2824" s="859"/>
      <c r="X2824" s="859"/>
      <c r="Y2824" s="755">
        <f t="shared" si="371"/>
        <v>0</v>
      </c>
      <c r="Z2824" s="864"/>
      <c r="AA2824" s="863"/>
      <c r="AB2824" s="756">
        <f t="shared" si="372"/>
        <v>0</v>
      </c>
      <c r="AC2824" s="1373"/>
      <c r="AD2824" s="863"/>
      <c r="AE2824" s="867"/>
      <c r="AF2824" s="1373"/>
      <c r="AG2824" s="864"/>
      <c r="AH2824" s="865"/>
      <c r="AI2824" s="757">
        <f t="shared" si="376"/>
        <v>25236121</v>
      </c>
      <c r="AJ2824" s="758">
        <f t="shared" si="377"/>
        <v>24938304</v>
      </c>
    </row>
    <row r="2825" spans="1:36" x14ac:dyDescent="0.2">
      <c r="A2825" s="1369" t="s">
        <v>147</v>
      </c>
      <c r="B2825" s="1008" t="s">
        <v>264</v>
      </c>
      <c r="C2825" s="1370" t="s">
        <v>1618</v>
      </c>
      <c r="D2825" s="1371"/>
      <c r="E2825" s="1372">
        <v>229504</v>
      </c>
      <c r="F2825" s="1018">
        <v>9</v>
      </c>
      <c r="G2825" s="1373">
        <v>6828118</v>
      </c>
      <c r="H2825" s="860">
        <v>6407513</v>
      </c>
      <c r="I2825" s="1373"/>
      <c r="J2825" s="862"/>
      <c r="K2825" s="1373">
        <v>2167943</v>
      </c>
      <c r="L2825" s="863">
        <v>2167336</v>
      </c>
      <c r="M2825" s="867">
        <v>3486551</v>
      </c>
      <c r="N2825" s="1373"/>
      <c r="O2825" s="752">
        <f t="shared" si="370"/>
        <v>3486551</v>
      </c>
      <c r="P2825" s="862">
        <v>4662544</v>
      </c>
      <c r="Q2825" s="860"/>
      <c r="R2825" s="753">
        <f t="shared" si="373"/>
        <v>4662544</v>
      </c>
      <c r="S2825" s="752">
        <f t="shared" si="374"/>
        <v>12482612</v>
      </c>
      <c r="T2825" s="754">
        <f t="shared" si="375"/>
        <v>13237393</v>
      </c>
      <c r="U2825" s="1373"/>
      <c r="V2825" s="863"/>
      <c r="W2825" s="859"/>
      <c r="X2825" s="859"/>
      <c r="Y2825" s="755">
        <f t="shared" si="371"/>
        <v>0</v>
      </c>
      <c r="Z2825" s="864"/>
      <c r="AA2825" s="863"/>
      <c r="AB2825" s="756">
        <f t="shared" si="372"/>
        <v>0</v>
      </c>
      <c r="AC2825" s="1373"/>
      <c r="AD2825" s="863"/>
      <c r="AE2825" s="867"/>
      <c r="AF2825" s="1373"/>
      <c r="AG2825" s="864"/>
      <c r="AH2825" s="865"/>
      <c r="AI2825" s="757">
        <f t="shared" si="376"/>
        <v>12482612</v>
      </c>
      <c r="AJ2825" s="758">
        <f t="shared" si="377"/>
        <v>13237393</v>
      </c>
    </row>
    <row r="2826" spans="1:36" x14ac:dyDescent="0.2">
      <c r="A2826" s="1369" t="s">
        <v>147</v>
      </c>
      <c r="B2826" s="1008" t="s">
        <v>264</v>
      </c>
      <c r="C2826" s="1370" t="s">
        <v>1619</v>
      </c>
      <c r="D2826" s="1371"/>
      <c r="E2826" s="1372">
        <v>229540</v>
      </c>
      <c r="F2826" s="1018">
        <v>9</v>
      </c>
      <c r="G2826" s="1373">
        <v>7137980</v>
      </c>
      <c r="H2826" s="860">
        <v>7401997</v>
      </c>
      <c r="I2826" s="1373"/>
      <c r="J2826" s="862"/>
      <c r="K2826" s="1373">
        <v>8375917</v>
      </c>
      <c r="L2826" s="863">
        <v>9115455</v>
      </c>
      <c r="M2826" s="867">
        <v>9631402</v>
      </c>
      <c r="N2826" s="1373"/>
      <c r="O2826" s="752">
        <f t="shared" si="370"/>
        <v>9631402</v>
      </c>
      <c r="P2826" s="862">
        <v>8934439</v>
      </c>
      <c r="Q2826" s="860"/>
      <c r="R2826" s="753">
        <f t="shared" si="373"/>
        <v>8934439</v>
      </c>
      <c r="S2826" s="752">
        <f t="shared" si="374"/>
        <v>25145299</v>
      </c>
      <c r="T2826" s="754">
        <f t="shared" si="375"/>
        <v>25451891</v>
      </c>
      <c r="U2826" s="1373"/>
      <c r="V2826" s="863"/>
      <c r="W2826" s="859"/>
      <c r="X2826" s="859"/>
      <c r="Y2826" s="755">
        <f t="shared" si="371"/>
        <v>0</v>
      </c>
      <c r="Z2826" s="864"/>
      <c r="AA2826" s="863"/>
      <c r="AB2826" s="756">
        <f t="shared" si="372"/>
        <v>0</v>
      </c>
      <c r="AC2826" s="1373"/>
      <c r="AD2826" s="863"/>
      <c r="AE2826" s="867"/>
      <c r="AF2826" s="1373"/>
      <c r="AG2826" s="864"/>
      <c r="AH2826" s="865"/>
      <c r="AI2826" s="757">
        <f t="shared" si="376"/>
        <v>25145299</v>
      </c>
      <c r="AJ2826" s="758">
        <f t="shared" si="377"/>
        <v>25451891</v>
      </c>
    </row>
    <row r="2827" spans="1:36" x14ac:dyDescent="0.2">
      <c r="A2827" s="1369" t="s">
        <v>147</v>
      </c>
      <c r="B2827" s="1008" t="s">
        <v>264</v>
      </c>
      <c r="C2827" s="1370" t="s">
        <v>1620</v>
      </c>
      <c r="D2827" s="1371"/>
      <c r="E2827" s="1372">
        <v>229799</v>
      </c>
      <c r="F2827" s="1018">
        <v>9</v>
      </c>
      <c r="G2827" s="1373">
        <v>9069994</v>
      </c>
      <c r="H2827" s="860">
        <v>9503802</v>
      </c>
      <c r="I2827" s="1373"/>
      <c r="J2827" s="862"/>
      <c r="K2827" s="1373">
        <v>10271040</v>
      </c>
      <c r="L2827" s="863">
        <v>9875105</v>
      </c>
      <c r="M2827" s="867">
        <v>7136957</v>
      </c>
      <c r="N2827" s="1373"/>
      <c r="O2827" s="752">
        <f t="shared" ref="O2827:O2890" si="378">SUM(M2827:N2827)</f>
        <v>7136957</v>
      </c>
      <c r="P2827" s="862">
        <v>6973854</v>
      </c>
      <c r="Q2827" s="860"/>
      <c r="R2827" s="753">
        <f t="shared" si="373"/>
        <v>6973854</v>
      </c>
      <c r="S2827" s="752">
        <f t="shared" si="374"/>
        <v>26477991</v>
      </c>
      <c r="T2827" s="754">
        <f t="shared" si="375"/>
        <v>26352761</v>
      </c>
      <c r="U2827" s="1373"/>
      <c r="V2827" s="863"/>
      <c r="W2827" s="859"/>
      <c r="X2827" s="859"/>
      <c r="Y2827" s="755">
        <f t="shared" ref="Y2827:Y2890" si="379">SUM(W2827:X2827)</f>
        <v>0</v>
      </c>
      <c r="Z2827" s="864"/>
      <c r="AA2827" s="863"/>
      <c r="AB2827" s="756">
        <f t="shared" ref="AB2827:AB2890" si="380">SUM(Z2827:AA2827)</f>
        <v>0</v>
      </c>
      <c r="AC2827" s="1373"/>
      <c r="AD2827" s="863"/>
      <c r="AE2827" s="867"/>
      <c r="AF2827" s="1373"/>
      <c r="AG2827" s="864"/>
      <c r="AH2827" s="865"/>
      <c r="AI2827" s="757">
        <f t="shared" si="376"/>
        <v>26477991</v>
      </c>
      <c r="AJ2827" s="758">
        <f t="shared" si="377"/>
        <v>26352761</v>
      </c>
    </row>
    <row r="2828" spans="1:36" x14ac:dyDescent="0.2">
      <c r="A2828" s="1369" t="s">
        <v>147</v>
      </c>
      <c r="B2828" s="1008" t="s">
        <v>264</v>
      </c>
      <c r="C2828" s="1370" t="s">
        <v>1621</v>
      </c>
      <c r="D2828" s="1371"/>
      <c r="E2828" s="1372">
        <v>229841</v>
      </c>
      <c r="F2828" s="1018">
        <v>9</v>
      </c>
      <c r="G2828" s="1373">
        <v>10146747</v>
      </c>
      <c r="H2828" s="860">
        <v>10761554</v>
      </c>
      <c r="I2828" s="1373"/>
      <c r="J2828" s="862"/>
      <c r="K2828" s="1373">
        <v>5169609</v>
      </c>
      <c r="L2828" s="863">
        <v>5227590</v>
      </c>
      <c r="M2828" s="867">
        <v>16572420</v>
      </c>
      <c r="N2828" s="1373"/>
      <c r="O2828" s="752">
        <f t="shared" si="378"/>
        <v>16572420</v>
      </c>
      <c r="P2828" s="862">
        <v>18007715</v>
      </c>
      <c r="Q2828" s="860"/>
      <c r="R2828" s="753">
        <f t="shared" ref="R2828:R2891" si="381">SUM(P2828:Q2828)</f>
        <v>18007715</v>
      </c>
      <c r="S2828" s="752">
        <f t="shared" ref="S2828:S2891" si="382">SUM(G2828,I2828,K2828,M2828)</f>
        <v>31888776</v>
      </c>
      <c r="T2828" s="754">
        <f t="shared" ref="T2828:T2891" si="383">SUM(H2828,J2828,L2828,P2828)</f>
        <v>33996859</v>
      </c>
      <c r="U2828" s="1373"/>
      <c r="V2828" s="863"/>
      <c r="W2828" s="859"/>
      <c r="X2828" s="859"/>
      <c r="Y2828" s="755">
        <f t="shared" si="379"/>
        <v>0</v>
      </c>
      <c r="Z2828" s="864"/>
      <c r="AA2828" s="863"/>
      <c r="AB2828" s="756">
        <f t="shared" si="380"/>
        <v>0</v>
      </c>
      <c r="AC2828" s="1373"/>
      <c r="AD2828" s="863"/>
      <c r="AE2828" s="867"/>
      <c r="AF2828" s="1373"/>
      <c r="AG2828" s="864"/>
      <c r="AH2828" s="865"/>
      <c r="AI2828" s="757">
        <f t="shared" ref="AI2828:AI2891" si="384">SUM(S2828,U2828,W2828,AC2828,AE2828)</f>
        <v>31888776</v>
      </c>
      <c r="AJ2828" s="758">
        <f t="shared" ref="AJ2828:AJ2891" si="385">SUM(T2828,V2828,Z2828,AD2828,AG2828)</f>
        <v>33996859</v>
      </c>
    </row>
    <row r="2829" spans="1:36" x14ac:dyDescent="0.2">
      <c r="A2829" s="1369" t="s">
        <v>147</v>
      </c>
      <c r="B2829" s="1008" t="s">
        <v>264</v>
      </c>
      <c r="C2829" s="1370" t="s">
        <v>1622</v>
      </c>
      <c r="D2829" s="1371"/>
      <c r="E2829" s="1372">
        <v>223922</v>
      </c>
      <c r="F2829" s="1018">
        <v>10</v>
      </c>
      <c r="G2829" s="1373">
        <v>2992787</v>
      </c>
      <c r="H2829" s="860">
        <v>2873785</v>
      </c>
      <c r="I2829" s="1373"/>
      <c r="J2829" s="862"/>
      <c r="K2829" s="1373">
        <v>414491</v>
      </c>
      <c r="L2829" s="863">
        <v>415199</v>
      </c>
      <c r="M2829" s="867">
        <v>1170051</v>
      </c>
      <c r="N2829" s="1373"/>
      <c r="O2829" s="752">
        <f t="shared" si="378"/>
        <v>1170051</v>
      </c>
      <c r="P2829" s="862">
        <v>1238401</v>
      </c>
      <c r="Q2829" s="860"/>
      <c r="R2829" s="753">
        <f t="shared" si="381"/>
        <v>1238401</v>
      </c>
      <c r="S2829" s="752">
        <f t="shared" si="382"/>
        <v>4577329</v>
      </c>
      <c r="T2829" s="754">
        <f t="shared" si="383"/>
        <v>4527385</v>
      </c>
      <c r="U2829" s="1373"/>
      <c r="V2829" s="863"/>
      <c r="W2829" s="859"/>
      <c r="X2829" s="859"/>
      <c r="Y2829" s="755">
        <f t="shared" si="379"/>
        <v>0</v>
      </c>
      <c r="Z2829" s="864"/>
      <c r="AA2829" s="863"/>
      <c r="AB2829" s="756">
        <f t="shared" si="380"/>
        <v>0</v>
      </c>
      <c r="AC2829" s="1373"/>
      <c r="AD2829" s="863"/>
      <c r="AE2829" s="867"/>
      <c r="AF2829" s="1373"/>
      <c r="AG2829" s="864"/>
      <c r="AH2829" s="865"/>
      <c r="AI2829" s="757">
        <f t="shared" si="384"/>
        <v>4577329</v>
      </c>
      <c r="AJ2829" s="758">
        <f t="shared" si="385"/>
        <v>4527385</v>
      </c>
    </row>
    <row r="2830" spans="1:36" x14ac:dyDescent="0.2">
      <c r="A2830" s="1369" t="s">
        <v>147</v>
      </c>
      <c r="B2830" s="1008" t="s">
        <v>264</v>
      </c>
      <c r="C2830" s="1370" t="s">
        <v>1623</v>
      </c>
      <c r="D2830" s="1371"/>
      <c r="E2830" s="1372">
        <v>224891</v>
      </c>
      <c r="F2830" s="1018">
        <v>10</v>
      </c>
      <c r="G2830" s="1373">
        <v>2511021</v>
      </c>
      <c r="H2830" s="860">
        <v>2644149</v>
      </c>
      <c r="I2830" s="1373"/>
      <c r="J2830" s="862"/>
      <c r="K2830" s="1373">
        <v>1415029</v>
      </c>
      <c r="L2830" s="863">
        <v>1415029</v>
      </c>
      <c r="M2830" s="867">
        <v>619626</v>
      </c>
      <c r="N2830" s="1373"/>
      <c r="O2830" s="752">
        <f t="shared" si="378"/>
        <v>619626</v>
      </c>
      <c r="P2830" s="862">
        <v>809488</v>
      </c>
      <c r="Q2830" s="860"/>
      <c r="R2830" s="753">
        <f t="shared" si="381"/>
        <v>809488</v>
      </c>
      <c r="S2830" s="752">
        <f t="shared" si="382"/>
        <v>4545676</v>
      </c>
      <c r="T2830" s="754">
        <f t="shared" si="383"/>
        <v>4868666</v>
      </c>
      <c r="U2830" s="1373"/>
      <c r="V2830" s="863"/>
      <c r="W2830" s="859"/>
      <c r="X2830" s="859"/>
      <c r="Y2830" s="755">
        <f t="shared" si="379"/>
        <v>0</v>
      </c>
      <c r="Z2830" s="864"/>
      <c r="AA2830" s="863"/>
      <c r="AB2830" s="756">
        <f t="shared" si="380"/>
        <v>0</v>
      </c>
      <c r="AC2830" s="1373"/>
      <c r="AD2830" s="863"/>
      <c r="AE2830" s="867"/>
      <c r="AF2830" s="1373"/>
      <c r="AG2830" s="864"/>
      <c r="AH2830" s="865"/>
      <c r="AI2830" s="757">
        <f t="shared" si="384"/>
        <v>4545676</v>
      </c>
      <c r="AJ2830" s="758">
        <f t="shared" si="385"/>
        <v>4868666</v>
      </c>
    </row>
    <row r="2831" spans="1:36" x14ac:dyDescent="0.2">
      <c r="A2831" s="1369" t="s">
        <v>147</v>
      </c>
      <c r="B2831" s="1008" t="s">
        <v>264</v>
      </c>
      <c r="C2831" s="1370" t="s">
        <v>1624</v>
      </c>
      <c r="D2831" s="1371"/>
      <c r="E2831" s="1372">
        <v>224961</v>
      </c>
      <c r="F2831" s="1018">
        <v>10</v>
      </c>
      <c r="G2831" s="1373">
        <v>4059276</v>
      </c>
      <c r="H2831" s="860">
        <v>4406558</v>
      </c>
      <c r="I2831" s="1373"/>
      <c r="J2831" s="862"/>
      <c r="K2831" s="1373">
        <v>9474409</v>
      </c>
      <c r="L2831" s="863">
        <v>10084057</v>
      </c>
      <c r="M2831" s="867">
        <v>2523914</v>
      </c>
      <c r="N2831" s="1373"/>
      <c r="O2831" s="752">
        <f t="shared" si="378"/>
        <v>2523914</v>
      </c>
      <c r="P2831" s="862">
        <v>2520989</v>
      </c>
      <c r="Q2831" s="860"/>
      <c r="R2831" s="753">
        <f t="shared" si="381"/>
        <v>2520989</v>
      </c>
      <c r="S2831" s="752">
        <f t="shared" si="382"/>
        <v>16057599</v>
      </c>
      <c r="T2831" s="754">
        <f t="shared" si="383"/>
        <v>17011604</v>
      </c>
      <c r="U2831" s="1373"/>
      <c r="V2831" s="863"/>
      <c r="W2831" s="859"/>
      <c r="X2831" s="859"/>
      <c r="Y2831" s="755">
        <f t="shared" si="379"/>
        <v>0</v>
      </c>
      <c r="Z2831" s="864"/>
      <c r="AA2831" s="863"/>
      <c r="AB2831" s="756">
        <f t="shared" si="380"/>
        <v>0</v>
      </c>
      <c r="AC2831" s="1373"/>
      <c r="AD2831" s="863"/>
      <c r="AE2831" s="867"/>
      <c r="AF2831" s="1373"/>
      <c r="AG2831" s="864"/>
      <c r="AH2831" s="865"/>
      <c r="AI2831" s="757">
        <f t="shared" si="384"/>
        <v>16057599</v>
      </c>
      <c r="AJ2831" s="758">
        <f t="shared" si="385"/>
        <v>17011604</v>
      </c>
    </row>
    <row r="2832" spans="1:36" x14ac:dyDescent="0.2">
      <c r="A2832" s="1369" t="s">
        <v>147</v>
      </c>
      <c r="B2832" s="1008" t="s">
        <v>264</v>
      </c>
      <c r="C2832" s="1396" t="s">
        <v>1625</v>
      </c>
      <c r="D2832" s="1371"/>
      <c r="E2832" s="1372">
        <v>226107</v>
      </c>
      <c r="F2832" s="1018">
        <v>10</v>
      </c>
      <c r="G2832" s="1373">
        <v>7874646</v>
      </c>
      <c r="H2832" s="860">
        <v>8326995</v>
      </c>
      <c r="I2832" s="1373"/>
      <c r="J2832" s="862"/>
      <c r="K2832" s="1373"/>
      <c r="L2832" s="863"/>
      <c r="M2832" s="867">
        <v>4240267</v>
      </c>
      <c r="N2832" s="1373"/>
      <c r="O2832" s="752">
        <f t="shared" si="378"/>
        <v>4240267</v>
      </c>
      <c r="P2832" s="862">
        <v>4298956</v>
      </c>
      <c r="Q2832" s="860"/>
      <c r="R2832" s="753">
        <f t="shared" si="381"/>
        <v>4298956</v>
      </c>
      <c r="S2832" s="752">
        <f t="shared" si="382"/>
        <v>12114913</v>
      </c>
      <c r="T2832" s="754">
        <f t="shared" si="383"/>
        <v>12625951</v>
      </c>
      <c r="U2832" s="1373"/>
      <c r="V2832" s="863"/>
      <c r="W2832" s="859"/>
      <c r="X2832" s="859"/>
      <c r="Y2832" s="755">
        <f t="shared" si="379"/>
        <v>0</v>
      </c>
      <c r="Z2832" s="864"/>
      <c r="AA2832" s="863"/>
      <c r="AB2832" s="756">
        <f t="shared" si="380"/>
        <v>0</v>
      </c>
      <c r="AC2832" s="1373"/>
      <c r="AD2832" s="863"/>
      <c r="AE2832" s="867"/>
      <c r="AF2832" s="1373"/>
      <c r="AG2832" s="864"/>
      <c r="AH2832" s="865"/>
      <c r="AI2832" s="757">
        <f t="shared" si="384"/>
        <v>12114913</v>
      </c>
      <c r="AJ2832" s="758">
        <f t="shared" si="385"/>
        <v>12625951</v>
      </c>
    </row>
    <row r="2833" spans="1:36" x14ac:dyDescent="0.2">
      <c r="A2833" s="1369" t="s">
        <v>147</v>
      </c>
      <c r="B2833" s="1008" t="s">
        <v>264</v>
      </c>
      <c r="C2833" s="1389" t="s">
        <v>1626</v>
      </c>
      <c r="D2833" s="1390"/>
      <c r="E2833" s="1372" t="s">
        <v>1559</v>
      </c>
      <c r="F2833" s="1018">
        <v>10</v>
      </c>
      <c r="G2833" s="1373">
        <v>0</v>
      </c>
      <c r="H2833" s="860">
        <v>0</v>
      </c>
      <c r="I2833" s="1373"/>
      <c r="J2833" s="862"/>
      <c r="K2833" s="1373"/>
      <c r="L2833" s="863"/>
      <c r="M2833" s="867"/>
      <c r="N2833" s="1373"/>
      <c r="O2833" s="752">
        <f t="shared" si="378"/>
        <v>0</v>
      </c>
      <c r="P2833" s="862"/>
      <c r="Q2833" s="860"/>
      <c r="R2833" s="753">
        <f t="shared" si="381"/>
        <v>0</v>
      </c>
      <c r="S2833" s="752">
        <f t="shared" si="382"/>
        <v>0</v>
      </c>
      <c r="T2833" s="754">
        <f t="shared" si="383"/>
        <v>0</v>
      </c>
      <c r="U2833" s="1373"/>
      <c r="V2833" s="863"/>
      <c r="W2833" s="859"/>
      <c r="X2833" s="859"/>
      <c r="Y2833" s="755">
        <f t="shared" si="379"/>
        <v>0</v>
      </c>
      <c r="Z2833" s="864"/>
      <c r="AA2833" s="863"/>
      <c r="AB2833" s="756">
        <f t="shared" si="380"/>
        <v>0</v>
      </c>
      <c r="AC2833" s="1373"/>
      <c r="AD2833" s="863"/>
      <c r="AE2833" s="867"/>
      <c r="AF2833" s="1373"/>
      <c r="AG2833" s="864"/>
      <c r="AH2833" s="865"/>
      <c r="AI2833" s="757">
        <f t="shared" si="384"/>
        <v>0</v>
      </c>
      <c r="AJ2833" s="758">
        <f t="shared" si="385"/>
        <v>0</v>
      </c>
    </row>
    <row r="2834" spans="1:36" x14ac:dyDescent="0.2">
      <c r="A2834" s="1369" t="s">
        <v>147</v>
      </c>
      <c r="B2834" s="1008" t="s">
        <v>264</v>
      </c>
      <c r="C2834" s="1370" t="s">
        <v>1627</v>
      </c>
      <c r="D2834" s="1371"/>
      <c r="E2834" s="1372">
        <v>227386</v>
      </c>
      <c r="F2834" s="1018">
        <v>10</v>
      </c>
      <c r="G2834" s="1373">
        <v>4143837</v>
      </c>
      <c r="H2834" s="860">
        <v>5063609</v>
      </c>
      <c r="I2834" s="1373"/>
      <c r="J2834" s="862"/>
      <c r="K2834" s="1373">
        <v>5750320</v>
      </c>
      <c r="L2834" s="863">
        <v>5962541</v>
      </c>
      <c r="M2834" s="867">
        <v>2879361</v>
      </c>
      <c r="N2834" s="1373"/>
      <c r="O2834" s="752">
        <f t="shared" si="378"/>
        <v>2879361</v>
      </c>
      <c r="P2834" s="862">
        <v>2764154</v>
      </c>
      <c r="Q2834" s="860"/>
      <c r="R2834" s="753">
        <f t="shared" si="381"/>
        <v>2764154</v>
      </c>
      <c r="S2834" s="752">
        <f t="shared" si="382"/>
        <v>12773518</v>
      </c>
      <c r="T2834" s="754">
        <f t="shared" si="383"/>
        <v>13790304</v>
      </c>
      <c r="U2834" s="1373"/>
      <c r="V2834" s="863"/>
      <c r="W2834" s="859"/>
      <c r="X2834" s="859"/>
      <c r="Y2834" s="755">
        <f t="shared" si="379"/>
        <v>0</v>
      </c>
      <c r="Z2834" s="864"/>
      <c r="AA2834" s="863"/>
      <c r="AB2834" s="756">
        <f t="shared" si="380"/>
        <v>0</v>
      </c>
      <c r="AC2834" s="1373"/>
      <c r="AD2834" s="863"/>
      <c r="AE2834" s="867"/>
      <c r="AF2834" s="1373"/>
      <c r="AG2834" s="864"/>
      <c r="AH2834" s="865"/>
      <c r="AI2834" s="757">
        <f t="shared" si="384"/>
        <v>12773518</v>
      </c>
      <c r="AJ2834" s="758">
        <f t="shared" si="385"/>
        <v>13790304</v>
      </c>
    </row>
    <row r="2835" spans="1:36" x14ac:dyDescent="0.2">
      <c r="A2835" s="1369" t="s">
        <v>147</v>
      </c>
      <c r="B2835" s="1008" t="s">
        <v>264</v>
      </c>
      <c r="C2835" s="1370" t="s">
        <v>1628</v>
      </c>
      <c r="D2835" s="1371"/>
      <c r="E2835" s="1372">
        <v>227687</v>
      </c>
      <c r="F2835" s="1018">
        <v>10</v>
      </c>
      <c r="G2835" s="1373">
        <v>2612936</v>
      </c>
      <c r="H2835" s="860">
        <v>3734878</v>
      </c>
      <c r="I2835" s="1373"/>
      <c r="J2835" s="862"/>
      <c r="K2835" s="1373">
        <v>239836</v>
      </c>
      <c r="L2835" s="863">
        <v>260751</v>
      </c>
      <c r="M2835" s="867">
        <v>2186758</v>
      </c>
      <c r="N2835" s="1373"/>
      <c r="O2835" s="752">
        <f t="shared" si="378"/>
        <v>2186758</v>
      </c>
      <c r="P2835" s="862">
        <v>1584341</v>
      </c>
      <c r="Q2835" s="860"/>
      <c r="R2835" s="753">
        <f t="shared" si="381"/>
        <v>1584341</v>
      </c>
      <c r="S2835" s="752">
        <f t="shared" si="382"/>
        <v>5039530</v>
      </c>
      <c r="T2835" s="754">
        <f t="shared" si="383"/>
        <v>5579970</v>
      </c>
      <c r="U2835" s="1373"/>
      <c r="V2835" s="863"/>
      <c r="W2835" s="859"/>
      <c r="X2835" s="859"/>
      <c r="Y2835" s="755">
        <f t="shared" si="379"/>
        <v>0</v>
      </c>
      <c r="Z2835" s="864"/>
      <c r="AA2835" s="863"/>
      <c r="AB2835" s="756">
        <f t="shared" si="380"/>
        <v>0</v>
      </c>
      <c r="AC2835" s="1373"/>
      <c r="AD2835" s="863"/>
      <c r="AE2835" s="867"/>
      <c r="AF2835" s="1373"/>
      <c r="AG2835" s="864"/>
      <c r="AH2835" s="865"/>
      <c r="AI2835" s="757">
        <f t="shared" si="384"/>
        <v>5039530</v>
      </c>
      <c r="AJ2835" s="758">
        <f t="shared" si="385"/>
        <v>5579970</v>
      </c>
    </row>
    <row r="2836" spans="1:36" x14ac:dyDescent="0.2">
      <c r="A2836" s="1369" t="s">
        <v>147</v>
      </c>
      <c r="B2836" s="1008" t="s">
        <v>264</v>
      </c>
      <c r="C2836" s="1394" t="s">
        <v>1629</v>
      </c>
      <c r="D2836" s="1395"/>
      <c r="E2836" s="1372">
        <v>382911</v>
      </c>
      <c r="F2836" s="1018">
        <v>10</v>
      </c>
      <c r="G2836" s="1373">
        <v>0</v>
      </c>
      <c r="H2836" s="860">
        <v>0</v>
      </c>
      <c r="I2836" s="1373"/>
      <c r="J2836" s="862"/>
      <c r="K2836" s="1373"/>
      <c r="L2836" s="863"/>
      <c r="M2836" s="867"/>
      <c r="N2836" s="1373"/>
      <c r="O2836" s="752">
        <f t="shared" si="378"/>
        <v>0</v>
      </c>
      <c r="P2836" s="862"/>
      <c r="Q2836" s="860"/>
      <c r="R2836" s="753">
        <f t="shared" si="381"/>
        <v>0</v>
      </c>
      <c r="S2836" s="752">
        <f t="shared" si="382"/>
        <v>0</v>
      </c>
      <c r="T2836" s="754">
        <f t="shared" si="383"/>
        <v>0</v>
      </c>
      <c r="U2836" s="1373"/>
      <c r="V2836" s="863"/>
      <c r="W2836" s="859"/>
      <c r="X2836" s="859"/>
      <c r="Y2836" s="755">
        <f t="shared" si="379"/>
        <v>0</v>
      </c>
      <c r="Z2836" s="864"/>
      <c r="AA2836" s="863"/>
      <c r="AB2836" s="756">
        <f t="shared" si="380"/>
        <v>0</v>
      </c>
      <c r="AC2836" s="1373"/>
      <c r="AD2836" s="863"/>
      <c r="AE2836" s="867"/>
      <c r="AF2836" s="1373"/>
      <c r="AG2836" s="864"/>
      <c r="AH2836" s="865"/>
      <c r="AI2836" s="757">
        <f t="shared" si="384"/>
        <v>0</v>
      </c>
      <c r="AJ2836" s="758">
        <f t="shared" si="385"/>
        <v>0</v>
      </c>
    </row>
    <row r="2837" spans="1:36" x14ac:dyDescent="0.2">
      <c r="A2837" s="1369" t="s">
        <v>147</v>
      </c>
      <c r="B2837" s="1008" t="s">
        <v>264</v>
      </c>
      <c r="C2837" s="1396" t="s">
        <v>1630</v>
      </c>
      <c r="D2837" s="1371"/>
      <c r="E2837" s="1372">
        <v>408394</v>
      </c>
      <c r="F2837" s="1018">
        <v>10</v>
      </c>
      <c r="G2837" s="1373">
        <v>6579112</v>
      </c>
      <c r="H2837" s="860">
        <v>5712334</v>
      </c>
      <c r="I2837" s="1373"/>
      <c r="J2837" s="862"/>
      <c r="K2837" s="1373"/>
      <c r="L2837" s="863"/>
      <c r="M2837" s="867">
        <v>2150257</v>
      </c>
      <c r="N2837" s="1373"/>
      <c r="O2837" s="752">
        <f t="shared" si="378"/>
        <v>2150257</v>
      </c>
      <c r="P2837" s="862">
        <v>2084206</v>
      </c>
      <c r="Q2837" s="860"/>
      <c r="R2837" s="753">
        <f t="shared" si="381"/>
        <v>2084206</v>
      </c>
      <c r="S2837" s="752">
        <f t="shared" si="382"/>
        <v>8729369</v>
      </c>
      <c r="T2837" s="754">
        <f t="shared" si="383"/>
        <v>7796540</v>
      </c>
      <c r="U2837" s="1373"/>
      <c r="V2837" s="863"/>
      <c r="W2837" s="859"/>
      <c r="X2837" s="859"/>
      <c r="Y2837" s="755">
        <f t="shared" si="379"/>
        <v>0</v>
      </c>
      <c r="Z2837" s="864"/>
      <c r="AA2837" s="863"/>
      <c r="AB2837" s="756">
        <f t="shared" si="380"/>
        <v>0</v>
      </c>
      <c r="AC2837" s="1373"/>
      <c r="AD2837" s="863"/>
      <c r="AE2837" s="867"/>
      <c r="AF2837" s="1373"/>
      <c r="AG2837" s="864"/>
      <c r="AH2837" s="865"/>
      <c r="AI2837" s="757">
        <f t="shared" si="384"/>
        <v>8729369</v>
      </c>
      <c r="AJ2837" s="758">
        <f t="shared" si="385"/>
        <v>7796540</v>
      </c>
    </row>
    <row r="2838" spans="1:36" x14ac:dyDescent="0.2">
      <c r="A2838" s="1369" t="s">
        <v>147</v>
      </c>
      <c r="B2838" s="1008" t="s">
        <v>264</v>
      </c>
      <c r="C2838" s="1396" t="s">
        <v>1631</v>
      </c>
      <c r="D2838" s="1371"/>
      <c r="E2838" s="1372">
        <v>229328</v>
      </c>
      <c r="F2838" s="1018">
        <v>10</v>
      </c>
      <c r="G2838" s="1373">
        <v>12515590</v>
      </c>
      <c r="H2838" s="860">
        <v>11901968</v>
      </c>
      <c r="I2838" s="1373"/>
      <c r="J2838" s="862"/>
      <c r="K2838" s="1373"/>
      <c r="L2838" s="863"/>
      <c r="M2838" s="867">
        <v>1953554</v>
      </c>
      <c r="N2838" s="1373"/>
      <c r="O2838" s="752">
        <f t="shared" si="378"/>
        <v>1953554</v>
      </c>
      <c r="P2838" s="862">
        <v>2437760</v>
      </c>
      <c r="Q2838" s="860"/>
      <c r="R2838" s="753">
        <f t="shared" si="381"/>
        <v>2437760</v>
      </c>
      <c r="S2838" s="752">
        <f t="shared" si="382"/>
        <v>14469144</v>
      </c>
      <c r="T2838" s="754">
        <f t="shared" si="383"/>
        <v>14339728</v>
      </c>
      <c r="U2838" s="1373"/>
      <c r="V2838" s="863"/>
      <c r="W2838" s="859"/>
      <c r="X2838" s="859"/>
      <c r="Y2838" s="755">
        <f t="shared" si="379"/>
        <v>0</v>
      </c>
      <c r="Z2838" s="864"/>
      <c r="AA2838" s="863"/>
      <c r="AB2838" s="756">
        <f t="shared" si="380"/>
        <v>0</v>
      </c>
      <c r="AC2838" s="1373"/>
      <c r="AD2838" s="863"/>
      <c r="AE2838" s="867"/>
      <c r="AF2838" s="1373"/>
      <c r="AG2838" s="864"/>
      <c r="AH2838" s="865"/>
      <c r="AI2838" s="757">
        <f t="shared" si="384"/>
        <v>14469144</v>
      </c>
      <c r="AJ2838" s="758">
        <f t="shared" si="385"/>
        <v>14339728</v>
      </c>
    </row>
    <row r="2839" spans="1:36" x14ac:dyDescent="0.2">
      <c r="A2839" s="1369" t="s">
        <v>147</v>
      </c>
      <c r="B2839" s="1008" t="s">
        <v>264</v>
      </c>
      <c r="C2839" s="1370" t="s">
        <v>1632</v>
      </c>
      <c r="D2839" s="1371"/>
      <c r="E2839" s="1372">
        <v>229832</v>
      </c>
      <c r="F2839" s="1018">
        <v>10</v>
      </c>
      <c r="G2839" s="1373">
        <v>4253834</v>
      </c>
      <c r="H2839" s="860">
        <v>4522020</v>
      </c>
      <c r="I2839" s="1373"/>
      <c r="J2839" s="862"/>
      <c r="K2839" s="1373">
        <v>5686282</v>
      </c>
      <c r="L2839" s="863">
        <v>6194971</v>
      </c>
      <c r="M2839" s="867">
        <v>2951458</v>
      </c>
      <c r="N2839" s="1373"/>
      <c r="O2839" s="752">
        <f t="shared" si="378"/>
        <v>2951458</v>
      </c>
      <c r="P2839" s="862">
        <v>3268729</v>
      </c>
      <c r="Q2839" s="860"/>
      <c r="R2839" s="753">
        <f t="shared" si="381"/>
        <v>3268729</v>
      </c>
      <c r="S2839" s="752">
        <f t="shared" si="382"/>
        <v>12891574</v>
      </c>
      <c r="T2839" s="754">
        <f t="shared" si="383"/>
        <v>13985720</v>
      </c>
      <c r="U2839" s="1373"/>
      <c r="V2839" s="863"/>
      <c r="W2839" s="859"/>
      <c r="X2839" s="859"/>
      <c r="Y2839" s="755">
        <f t="shared" si="379"/>
        <v>0</v>
      </c>
      <c r="Z2839" s="864"/>
      <c r="AA2839" s="863"/>
      <c r="AB2839" s="756">
        <f t="shared" si="380"/>
        <v>0</v>
      </c>
      <c r="AC2839" s="1373"/>
      <c r="AD2839" s="863"/>
      <c r="AE2839" s="867"/>
      <c r="AF2839" s="1373"/>
      <c r="AG2839" s="864"/>
      <c r="AH2839" s="865"/>
      <c r="AI2839" s="757">
        <f t="shared" si="384"/>
        <v>12891574</v>
      </c>
      <c r="AJ2839" s="758">
        <f t="shared" si="385"/>
        <v>13985720</v>
      </c>
    </row>
    <row r="2840" spans="1:36" x14ac:dyDescent="0.2">
      <c r="A2840" s="1369" t="s">
        <v>147</v>
      </c>
      <c r="B2840" s="1008" t="s">
        <v>264</v>
      </c>
      <c r="C2840" s="1401" t="s">
        <v>1633</v>
      </c>
      <c r="D2840" s="1402"/>
      <c r="E2840" s="1403"/>
      <c r="F2840" s="1018">
        <v>11</v>
      </c>
      <c r="G2840" s="1373">
        <v>78158475</v>
      </c>
      <c r="H2840" s="860">
        <v>209699392</v>
      </c>
      <c r="I2840" s="1373"/>
      <c r="J2840" s="862"/>
      <c r="K2840" s="1373">
        <v>138923380</v>
      </c>
      <c r="L2840" s="863">
        <v>149063093</v>
      </c>
      <c r="M2840" s="867">
        <v>59696566</v>
      </c>
      <c r="N2840" s="1373"/>
      <c r="O2840" s="752">
        <f t="shared" si="378"/>
        <v>59696566</v>
      </c>
      <c r="P2840" s="862">
        <v>64091209</v>
      </c>
      <c r="Q2840" s="860"/>
      <c r="R2840" s="753">
        <f t="shared" si="381"/>
        <v>64091209</v>
      </c>
      <c r="S2840" s="752">
        <f t="shared" si="382"/>
        <v>276778421</v>
      </c>
      <c r="T2840" s="754">
        <f t="shared" si="383"/>
        <v>422853694</v>
      </c>
      <c r="U2840" s="1373"/>
      <c r="V2840" s="863"/>
      <c r="W2840" s="859"/>
      <c r="X2840" s="859"/>
      <c r="Y2840" s="755">
        <f t="shared" si="379"/>
        <v>0</v>
      </c>
      <c r="Z2840" s="864"/>
      <c r="AA2840" s="863"/>
      <c r="AB2840" s="756">
        <f t="shared" si="380"/>
        <v>0</v>
      </c>
      <c r="AC2840" s="1373"/>
      <c r="AD2840" s="863"/>
      <c r="AE2840" s="867"/>
      <c r="AF2840" s="1373"/>
      <c r="AG2840" s="864"/>
      <c r="AH2840" s="865"/>
      <c r="AI2840" s="757">
        <f t="shared" si="384"/>
        <v>276778421</v>
      </c>
      <c r="AJ2840" s="758">
        <f t="shared" si="385"/>
        <v>422853694</v>
      </c>
    </row>
    <row r="2841" spans="1:36" x14ac:dyDescent="0.2">
      <c r="A2841" s="1369" t="s">
        <v>147</v>
      </c>
      <c r="B2841" s="1008" t="s">
        <v>264</v>
      </c>
      <c r="C2841" s="1404" t="s">
        <v>1634</v>
      </c>
      <c r="D2841" s="1402"/>
      <c r="E2841" s="1403"/>
      <c r="F2841" s="1018">
        <v>11</v>
      </c>
      <c r="G2841" s="1373">
        <v>107171623</v>
      </c>
      <c r="H2841" s="860">
        <v>102925973</v>
      </c>
      <c r="I2841" s="1373"/>
      <c r="J2841" s="862"/>
      <c r="K2841" s="1373">
        <v>161407124</v>
      </c>
      <c r="L2841" s="863">
        <v>196000124</v>
      </c>
      <c r="M2841" s="867">
        <v>56484293</v>
      </c>
      <c r="N2841" s="1373"/>
      <c r="O2841" s="752">
        <f t="shared" si="378"/>
        <v>56484293</v>
      </c>
      <c r="P2841" s="862">
        <v>58335519</v>
      </c>
      <c r="Q2841" s="860"/>
      <c r="R2841" s="753">
        <f t="shared" si="381"/>
        <v>58335519</v>
      </c>
      <c r="S2841" s="752">
        <f t="shared" si="382"/>
        <v>325063040</v>
      </c>
      <c r="T2841" s="754">
        <f t="shared" si="383"/>
        <v>357261616</v>
      </c>
      <c r="U2841" s="1373"/>
      <c r="V2841" s="863"/>
      <c r="W2841" s="859"/>
      <c r="X2841" s="859"/>
      <c r="Y2841" s="755">
        <f t="shared" si="379"/>
        <v>0</v>
      </c>
      <c r="Z2841" s="864"/>
      <c r="AA2841" s="863"/>
      <c r="AB2841" s="756">
        <f t="shared" si="380"/>
        <v>0</v>
      </c>
      <c r="AC2841" s="1373"/>
      <c r="AD2841" s="863"/>
      <c r="AE2841" s="867"/>
      <c r="AF2841" s="1373"/>
      <c r="AG2841" s="864"/>
      <c r="AH2841" s="865"/>
      <c r="AI2841" s="757">
        <f t="shared" si="384"/>
        <v>325063040</v>
      </c>
      <c r="AJ2841" s="758">
        <f t="shared" si="385"/>
        <v>357261616</v>
      </c>
    </row>
    <row r="2842" spans="1:36" x14ac:dyDescent="0.2">
      <c r="A2842" s="1369" t="s">
        <v>147</v>
      </c>
      <c r="B2842" s="1008" t="s">
        <v>264</v>
      </c>
      <c r="C2842" s="1405" t="s">
        <v>1606</v>
      </c>
      <c r="D2842" s="1402"/>
      <c r="E2842" s="1403"/>
      <c r="F2842" s="1018">
        <v>11</v>
      </c>
      <c r="G2842" s="1373">
        <v>0</v>
      </c>
      <c r="H2842" s="860">
        <v>0</v>
      </c>
      <c r="I2842" s="1373"/>
      <c r="J2842" s="862"/>
      <c r="K2842" s="1373"/>
      <c r="L2842" s="863"/>
      <c r="M2842" s="867"/>
      <c r="N2842" s="1373"/>
      <c r="O2842" s="752">
        <f t="shared" si="378"/>
        <v>0</v>
      </c>
      <c r="P2842" s="862"/>
      <c r="Q2842" s="860"/>
      <c r="R2842" s="753">
        <f t="shared" si="381"/>
        <v>0</v>
      </c>
      <c r="S2842" s="752">
        <f t="shared" si="382"/>
        <v>0</v>
      </c>
      <c r="T2842" s="754">
        <f t="shared" si="383"/>
        <v>0</v>
      </c>
      <c r="U2842" s="1373"/>
      <c r="V2842" s="863"/>
      <c r="W2842" s="859"/>
      <c r="X2842" s="859"/>
      <c r="Y2842" s="755">
        <f t="shared" si="379"/>
        <v>0</v>
      </c>
      <c r="Z2842" s="864"/>
      <c r="AA2842" s="863"/>
      <c r="AB2842" s="756">
        <f t="shared" si="380"/>
        <v>0</v>
      </c>
      <c r="AC2842" s="1373"/>
      <c r="AD2842" s="863"/>
      <c r="AE2842" s="867"/>
      <c r="AF2842" s="1373"/>
      <c r="AG2842" s="864"/>
      <c r="AH2842" s="865"/>
      <c r="AI2842" s="757">
        <f t="shared" si="384"/>
        <v>0</v>
      </c>
      <c r="AJ2842" s="758">
        <f t="shared" si="385"/>
        <v>0</v>
      </c>
    </row>
    <row r="2843" spans="1:36" x14ac:dyDescent="0.2">
      <c r="A2843" s="1369" t="s">
        <v>147</v>
      </c>
      <c r="B2843" s="1008" t="s">
        <v>280</v>
      </c>
      <c r="C2843" s="1406" t="s">
        <v>1635</v>
      </c>
      <c r="D2843" s="1402"/>
      <c r="E2843" s="1372">
        <v>223214</v>
      </c>
      <c r="F2843" s="1018">
        <v>15</v>
      </c>
      <c r="G2843" s="1373"/>
      <c r="H2843" s="860"/>
      <c r="I2843" s="1373"/>
      <c r="J2843" s="862"/>
      <c r="K2843" s="1373"/>
      <c r="L2843" s="863"/>
      <c r="M2843" s="867"/>
      <c r="N2843" s="1373"/>
      <c r="O2843" s="752">
        <f t="shared" si="378"/>
        <v>0</v>
      </c>
      <c r="P2843" s="862"/>
      <c r="Q2843" s="860"/>
      <c r="R2843" s="753">
        <f t="shared" si="381"/>
        <v>0</v>
      </c>
      <c r="S2843" s="752">
        <f t="shared" si="382"/>
        <v>0</v>
      </c>
      <c r="T2843" s="754">
        <f t="shared" si="383"/>
        <v>0</v>
      </c>
      <c r="U2843" s="1373"/>
      <c r="V2843" s="863"/>
      <c r="W2843" s="859"/>
      <c r="X2843" s="859"/>
      <c r="Y2843" s="755">
        <f t="shared" si="379"/>
        <v>0</v>
      </c>
      <c r="Z2843" s="864"/>
      <c r="AA2843" s="863"/>
      <c r="AB2843" s="756">
        <f t="shared" si="380"/>
        <v>0</v>
      </c>
      <c r="AC2843" s="1373">
        <v>101565161</v>
      </c>
      <c r="AD2843" s="863">
        <v>129613851</v>
      </c>
      <c r="AE2843" s="867">
        <v>27403032</v>
      </c>
      <c r="AF2843" s="1373"/>
      <c r="AG2843" s="864">
        <v>29879928</v>
      </c>
      <c r="AH2843" s="865"/>
      <c r="AI2843" s="757">
        <f t="shared" si="384"/>
        <v>128968193</v>
      </c>
      <c r="AJ2843" s="758">
        <f t="shared" si="385"/>
        <v>159493779</v>
      </c>
    </row>
    <row r="2844" spans="1:36" x14ac:dyDescent="0.2">
      <c r="A2844" s="1369" t="s">
        <v>147</v>
      </c>
      <c r="B2844" s="1008" t="s">
        <v>280</v>
      </c>
      <c r="C2844" s="1406" t="s">
        <v>1636</v>
      </c>
      <c r="D2844" s="1407"/>
      <c r="E2844" s="1372">
        <v>229337</v>
      </c>
      <c r="F2844" s="1018">
        <v>15</v>
      </c>
      <c r="G2844" s="1373"/>
      <c r="H2844" s="860"/>
      <c r="I2844" s="1373"/>
      <c r="J2844" s="862"/>
      <c r="K2844" s="1373"/>
      <c r="L2844" s="863"/>
      <c r="M2844" s="867"/>
      <c r="N2844" s="1373"/>
      <c r="O2844" s="752">
        <f t="shared" si="378"/>
        <v>0</v>
      </c>
      <c r="P2844" s="862"/>
      <c r="Q2844" s="860"/>
      <c r="R2844" s="753">
        <f t="shared" si="381"/>
        <v>0</v>
      </c>
      <c r="S2844" s="752">
        <f t="shared" si="382"/>
        <v>0</v>
      </c>
      <c r="T2844" s="754">
        <f t="shared" si="383"/>
        <v>0</v>
      </c>
      <c r="U2844" s="1373"/>
      <c r="V2844" s="863"/>
      <c r="W2844" s="859"/>
      <c r="X2844" s="859"/>
      <c r="Y2844" s="755">
        <f t="shared" si="379"/>
        <v>0</v>
      </c>
      <c r="Z2844" s="864"/>
      <c r="AA2844" s="863"/>
      <c r="AB2844" s="756">
        <f t="shared" si="380"/>
        <v>0</v>
      </c>
      <c r="AC2844" s="1373">
        <v>163433831</v>
      </c>
      <c r="AD2844" s="863">
        <v>195429838</v>
      </c>
      <c r="AE2844" s="867">
        <v>39085218</v>
      </c>
      <c r="AF2844" s="1373"/>
      <c r="AG2844" s="864">
        <v>42551274</v>
      </c>
      <c r="AH2844" s="865"/>
      <c r="AI2844" s="757">
        <f t="shared" si="384"/>
        <v>202519049</v>
      </c>
      <c r="AJ2844" s="758">
        <f t="shared" si="385"/>
        <v>237981112</v>
      </c>
    </row>
    <row r="2845" spans="1:36" x14ac:dyDescent="0.2">
      <c r="A2845" s="1369" t="s">
        <v>147</v>
      </c>
      <c r="B2845" s="1008" t="s">
        <v>280</v>
      </c>
      <c r="C2845" s="1408" t="s">
        <v>1637</v>
      </c>
      <c r="D2845" s="1407"/>
      <c r="E2845" s="1372" t="s">
        <v>697</v>
      </c>
      <c r="F2845" s="1018">
        <v>15</v>
      </c>
      <c r="G2845" s="1373"/>
      <c r="H2845" s="860"/>
      <c r="I2845" s="1373"/>
      <c r="J2845" s="862"/>
      <c r="K2845" s="1373"/>
      <c r="L2845" s="863"/>
      <c r="M2845" s="867"/>
      <c r="N2845" s="1373"/>
      <c r="O2845" s="752">
        <f t="shared" si="378"/>
        <v>0</v>
      </c>
      <c r="P2845" s="862"/>
      <c r="Q2845" s="860"/>
      <c r="R2845" s="753">
        <f t="shared" si="381"/>
        <v>0</v>
      </c>
      <c r="S2845" s="752">
        <f t="shared" si="382"/>
        <v>0</v>
      </c>
      <c r="T2845" s="754">
        <f t="shared" si="383"/>
        <v>0</v>
      </c>
      <c r="U2845" s="1373"/>
      <c r="V2845" s="863"/>
      <c r="W2845" s="859"/>
      <c r="X2845" s="859"/>
      <c r="Y2845" s="755">
        <f t="shared" si="379"/>
        <v>0</v>
      </c>
      <c r="Z2845" s="864"/>
      <c r="AA2845" s="863"/>
      <c r="AB2845" s="756">
        <f t="shared" si="380"/>
        <v>0</v>
      </c>
      <c r="AC2845" s="1373"/>
      <c r="AD2845" s="863">
        <v>1400000</v>
      </c>
      <c r="AE2845" s="867">
        <v>0</v>
      </c>
      <c r="AF2845" s="1373"/>
      <c r="AG2845" s="864">
        <v>0</v>
      </c>
      <c r="AH2845" s="865"/>
      <c r="AI2845" s="757">
        <f t="shared" si="384"/>
        <v>0</v>
      </c>
      <c r="AJ2845" s="758">
        <f t="shared" si="385"/>
        <v>1400000</v>
      </c>
    </row>
    <row r="2846" spans="1:36" x14ac:dyDescent="0.2">
      <c r="A2846" s="1369" t="s">
        <v>147</v>
      </c>
      <c r="B2846" s="1008" t="s">
        <v>280</v>
      </c>
      <c r="C2846" s="1406" t="s">
        <v>1638</v>
      </c>
      <c r="D2846" s="1407"/>
      <c r="E2846" s="1372">
        <v>228909</v>
      </c>
      <c r="F2846" s="1018">
        <v>15</v>
      </c>
      <c r="G2846" s="1373"/>
      <c r="H2846" s="860"/>
      <c r="I2846" s="1373"/>
      <c r="J2846" s="862"/>
      <c r="K2846" s="1373"/>
      <c r="L2846" s="863"/>
      <c r="M2846" s="867"/>
      <c r="N2846" s="1373"/>
      <c r="O2846" s="752">
        <f t="shared" si="378"/>
        <v>0</v>
      </c>
      <c r="P2846" s="862"/>
      <c r="Q2846" s="860"/>
      <c r="R2846" s="753">
        <f t="shared" si="381"/>
        <v>0</v>
      </c>
      <c r="S2846" s="752">
        <f t="shared" si="382"/>
        <v>0</v>
      </c>
      <c r="T2846" s="754">
        <f t="shared" si="383"/>
        <v>0</v>
      </c>
      <c r="U2846" s="1373"/>
      <c r="V2846" s="863"/>
      <c r="W2846" s="859"/>
      <c r="X2846" s="859"/>
      <c r="Y2846" s="755">
        <f t="shared" si="379"/>
        <v>0</v>
      </c>
      <c r="Z2846" s="864"/>
      <c r="AA2846" s="863"/>
      <c r="AB2846" s="756">
        <f t="shared" si="380"/>
        <v>0</v>
      </c>
      <c r="AC2846" s="1373">
        <v>59091971</v>
      </c>
      <c r="AD2846" s="863">
        <v>76364770</v>
      </c>
      <c r="AE2846" s="867">
        <v>20948541</v>
      </c>
      <c r="AF2846" s="1373"/>
      <c r="AG2846" s="864">
        <v>23047717</v>
      </c>
      <c r="AH2846" s="865"/>
      <c r="AI2846" s="757">
        <f t="shared" si="384"/>
        <v>80040512</v>
      </c>
      <c r="AJ2846" s="758">
        <f t="shared" si="385"/>
        <v>99412487</v>
      </c>
    </row>
    <row r="2847" spans="1:36" x14ac:dyDescent="0.2">
      <c r="A2847" s="1369" t="s">
        <v>147</v>
      </c>
      <c r="B2847" s="1008" t="s">
        <v>280</v>
      </c>
      <c r="C2847" s="1406" t="s">
        <v>1639</v>
      </c>
      <c r="D2847" s="1407"/>
      <c r="E2847" s="1372">
        <v>229300</v>
      </c>
      <c r="F2847" s="1018">
        <v>15</v>
      </c>
      <c r="G2847" s="1373"/>
      <c r="H2847" s="860"/>
      <c r="I2847" s="1373"/>
      <c r="J2847" s="862"/>
      <c r="K2847" s="1373"/>
      <c r="L2847" s="863"/>
      <c r="M2847" s="867"/>
      <c r="N2847" s="1373"/>
      <c r="O2847" s="752">
        <f t="shared" si="378"/>
        <v>0</v>
      </c>
      <c r="P2847" s="862"/>
      <c r="Q2847" s="860"/>
      <c r="R2847" s="753">
        <f t="shared" si="381"/>
        <v>0</v>
      </c>
      <c r="S2847" s="752">
        <f t="shared" si="382"/>
        <v>0</v>
      </c>
      <c r="T2847" s="754">
        <f t="shared" si="383"/>
        <v>0</v>
      </c>
      <c r="U2847" s="1373"/>
      <c r="V2847" s="863"/>
      <c r="W2847" s="859"/>
      <c r="X2847" s="859"/>
      <c r="Y2847" s="755">
        <f t="shared" si="379"/>
        <v>0</v>
      </c>
      <c r="Z2847" s="864"/>
      <c r="AA2847" s="863"/>
      <c r="AB2847" s="756">
        <f t="shared" si="380"/>
        <v>0</v>
      </c>
      <c r="AC2847" s="867">
        <v>157738254</v>
      </c>
      <c r="AD2847" s="863">
        <v>190116007</v>
      </c>
      <c r="AE2847" s="867">
        <v>35916483</v>
      </c>
      <c r="AF2847" s="1373"/>
      <c r="AG2847" s="864">
        <v>37857366</v>
      </c>
      <c r="AH2847" s="865"/>
      <c r="AI2847" s="757">
        <f t="shared" si="384"/>
        <v>193654737</v>
      </c>
      <c r="AJ2847" s="758">
        <f t="shared" si="385"/>
        <v>227973373</v>
      </c>
    </row>
    <row r="2848" spans="1:36" x14ac:dyDescent="0.2">
      <c r="A2848" s="1369" t="s">
        <v>147</v>
      </c>
      <c r="B2848" s="1008" t="s">
        <v>280</v>
      </c>
      <c r="C2848" s="1406" t="s">
        <v>1640</v>
      </c>
      <c r="D2848" s="1407"/>
      <c r="E2848" s="1372">
        <v>228644</v>
      </c>
      <c r="F2848" s="1018">
        <v>15</v>
      </c>
      <c r="G2848" s="1373"/>
      <c r="H2848" s="860"/>
      <c r="I2848" s="1373"/>
      <c r="J2848" s="862"/>
      <c r="K2848" s="1373"/>
      <c r="L2848" s="863"/>
      <c r="M2848" s="867"/>
      <c r="N2848" s="1373"/>
      <c r="O2848" s="752">
        <f t="shared" si="378"/>
        <v>0</v>
      </c>
      <c r="P2848" s="862"/>
      <c r="Q2848" s="860"/>
      <c r="R2848" s="753">
        <f t="shared" si="381"/>
        <v>0</v>
      </c>
      <c r="S2848" s="752">
        <f t="shared" si="382"/>
        <v>0</v>
      </c>
      <c r="T2848" s="754">
        <f t="shared" si="383"/>
        <v>0</v>
      </c>
      <c r="U2848" s="1373"/>
      <c r="V2848" s="863"/>
      <c r="W2848" s="859"/>
      <c r="X2848" s="859"/>
      <c r="Y2848" s="755">
        <f t="shared" si="379"/>
        <v>0</v>
      </c>
      <c r="Z2848" s="864"/>
      <c r="AA2848" s="863"/>
      <c r="AB2848" s="756">
        <f t="shared" si="380"/>
        <v>0</v>
      </c>
      <c r="AC2848" s="1373">
        <v>156158066</v>
      </c>
      <c r="AD2848" s="863">
        <v>177838900</v>
      </c>
      <c r="AE2848" s="867">
        <v>30407962</v>
      </c>
      <c r="AF2848" s="1373"/>
      <c r="AG2848" s="864">
        <v>32579892</v>
      </c>
      <c r="AH2848" s="865"/>
      <c r="AI2848" s="757">
        <f t="shared" si="384"/>
        <v>186566028</v>
      </c>
      <c r="AJ2848" s="758">
        <f t="shared" si="385"/>
        <v>210418792</v>
      </c>
    </row>
    <row r="2849" spans="1:36" x14ac:dyDescent="0.2">
      <c r="A2849" s="1369" t="s">
        <v>147</v>
      </c>
      <c r="B2849" s="1008" t="s">
        <v>280</v>
      </c>
      <c r="C2849" s="1409" t="s">
        <v>1641</v>
      </c>
      <c r="D2849" s="1410"/>
      <c r="E2849" s="1372">
        <v>416801</v>
      </c>
      <c r="F2849" s="1018">
        <v>15</v>
      </c>
      <c r="G2849" s="1373"/>
      <c r="H2849" s="860"/>
      <c r="I2849" s="1373"/>
      <c r="J2849" s="862"/>
      <c r="K2849" s="1373"/>
      <c r="L2849" s="863"/>
      <c r="M2849" s="867"/>
      <c r="N2849" s="1373"/>
      <c r="O2849" s="752">
        <f t="shared" si="378"/>
        <v>0</v>
      </c>
      <c r="P2849" s="862"/>
      <c r="Q2849" s="860"/>
      <c r="R2849" s="753">
        <f t="shared" si="381"/>
        <v>0</v>
      </c>
      <c r="S2849" s="752">
        <f t="shared" si="382"/>
        <v>0</v>
      </c>
      <c r="T2849" s="754">
        <f t="shared" si="383"/>
        <v>0</v>
      </c>
      <c r="U2849" s="1373"/>
      <c r="V2849" s="863"/>
      <c r="W2849" s="859"/>
      <c r="X2849" s="859"/>
      <c r="Y2849" s="755">
        <f t="shared" si="379"/>
        <v>0</v>
      </c>
      <c r="Z2849" s="864"/>
      <c r="AA2849" s="863"/>
      <c r="AB2849" s="756">
        <f t="shared" si="380"/>
        <v>0</v>
      </c>
      <c r="AC2849" s="1373">
        <v>197958544</v>
      </c>
      <c r="AD2849" s="863">
        <v>237990852</v>
      </c>
      <c r="AE2849" s="867">
        <v>1282629</v>
      </c>
      <c r="AF2849" s="1373"/>
      <c r="AG2849" s="864">
        <v>1241361</v>
      </c>
      <c r="AH2849" s="865"/>
      <c r="AI2849" s="757">
        <f t="shared" si="384"/>
        <v>199241173</v>
      </c>
      <c r="AJ2849" s="758">
        <f t="shared" si="385"/>
        <v>239232213</v>
      </c>
    </row>
    <row r="2850" spans="1:36" x14ac:dyDescent="0.2">
      <c r="A2850" s="1369" t="s">
        <v>147</v>
      </c>
      <c r="B2850" s="1008" t="s">
        <v>280</v>
      </c>
      <c r="C2850" s="1406" t="s">
        <v>1642</v>
      </c>
      <c r="D2850" s="1407"/>
      <c r="E2850" s="1372">
        <v>228653</v>
      </c>
      <c r="F2850" s="1018">
        <v>15</v>
      </c>
      <c r="G2850" s="1373"/>
      <c r="H2850" s="860"/>
      <c r="I2850" s="1373"/>
      <c r="J2850" s="862"/>
      <c r="K2850" s="1373"/>
      <c r="L2850" s="863"/>
      <c r="M2850" s="867"/>
      <c r="N2850" s="1373"/>
      <c r="O2850" s="752">
        <f t="shared" si="378"/>
        <v>0</v>
      </c>
      <c r="P2850" s="862"/>
      <c r="Q2850" s="860"/>
      <c r="R2850" s="753">
        <f t="shared" si="381"/>
        <v>0</v>
      </c>
      <c r="S2850" s="752">
        <f t="shared" si="382"/>
        <v>0</v>
      </c>
      <c r="T2850" s="754">
        <f t="shared" si="383"/>
        <v>0</v>
      </c>
      <c r="U2850" s="1373"/>
      <c r="V2850" s="863"/>
      <c r="W2850" s="859"/>
      <c r="X2850" s="859"/>
      <c r="Y2850" s="755">
        <f t="shared" si="379"/>
        <v>0</v>
      </c>
      <c r="Z2850" s="864"/>
      <c r="AA2850" s="863"/>
      <c r="AB2850" s="756">
        <f t="shared" si="380"/>
        <v>0</v>
      </c>
      <c r="AC2850" s="867">
        <v>318364087</v>
      </c>
      <c r="AD2850" s="863">
        <v>340259418</v>
      </c>
      <c r="AE2850" s="867">
        <v>28891848</v>
      </c>
      <c r="AF2850" s="1373"/>
      <c r="AG2850" s="864">
        <v>29568236</v>
      </c>
      <c r="AH2850" s="865"/>
      <c r="AI2850" s="757">
        <f t="shared" si="384"/>
        <v>347255935</v>
      </c>
      <c r="AJ2850" s="758">
        <f t="shared" si="385"/>
        <v>369827654</v>
      </c>
    </row>
    <row r="2851" spans="1:36" x14ac:dyDescent="0.2">
      <c r="A2851" s="1369" t="s">
        <v>147</v>
      </c>
      <c r="B2851" s="1008" t="s">
        <v>280</v>
      </c>
      <c r="C2851" s="1406" t="s">
        <v>1643</v>
      </c>
      <c r="D2851" s="1407"/>
      <c r="E2851" s="1372">
        <v>228635</v>
      </c>
      <c r="F2851" s="1018">
        <v>15</v>
      </c>
      <c r="G2851" s="1373"/>
      <c r="H2851" s="860"/>
      <c r="I2851" s="1373"/>
      <c r="J2851" s="862"/>
      <c r="K2851" s="1373"/>
      <c r="L2851" s="863"/>
      <c r="M2851" s="867"/>
      <c r="N2851" s="1373"/>
      <c r="O2851" s="752">
        <f t="shared" si="378"/>
        <v>0</v>
      </c>
      <c r="P2851" s="862"/>
      <c r="Q2851" s="860"/>
      <c r="R2851" s="753">
        <f t="shared" si="381"/>
        <v>0</v>
      </c>
      <c r="S2851" s="752">
        <f t="shared" si="382"/>
        <v>0</v>
      </c>
      <c r="T2851" s="754">
        <f t="shared" si="383"/>
        <v>0</v>
      </c>
      <c r="U2851" s="1373"/>
      <c r="V2851" s="863"/>
      <c r="W2851" s="859"/>
      <c r="X2851" s="859"/>
      <c r="Y2851" s="755">
        <f t="shared" si="379"/>
        <v>0</v>
      </c>
      <c r="Z2851" s="864"/>
      <c r="AA2851" s="863"/>
      <c r="AB2851" s="756">
        <f t="shared" si="380"/>
        <v>0</v>
      </c>
      <c r="AC2851" s="1373">
        <v>141738226</v>
      </c>
      <c r="AD2851" s="863">
        <v>160170890</v>
      </c>
      <c r="AE2851" s="867">
        <v>16793191</v>
      </c>
      <c r="AF2851" s="1373"/>
      <c r="AG2851" s="864">
        <v>17871405</v>
      </c>
      <c r="AH2851" s="865"/>
      <c r="AI2851" s="757">
        <f t="shared" si="384"/>
        <v>158531417</v>
      </c>
      <c r="AJ2851" s="758">
        <f t="shared" si="385"/>
        <v>178042295</v>
      </c>
    </row>
    <row r="2852" spans="1:36" x14ac:dyDescent="0.2">
      <c r="A2852" s="1369" t="s">
        <v>147</v>
      </c>
      <c r="B2852" s="1008" t="s">
        <v>274</v>
      </c>
      <c r="C2852" s="1406" t="s">
        <v>1644</v>
      </c>
      <c r="D2852" s="1376"/>
      <c r="E2852" s="1411"/>
      <c r="F2852" s="1412">
        <v>15</v>
      </c>
      <c r="G2852" s="1373"/>
      <c r="H2852" s="860"/>
      <c r="I2852" s="1373"/>
      <c r="J2852" s="862"/>
      <c r="K2852" s="1373"/>
      <c r="L2852" s="863"/>
      <c r="M2852" s="867"/>
      <c r="N2852" s="1373"/>
      <c r="O2852" s="752">
        <f t="shared" si="378"/>
        <v>0</v>
      </c>
      <c r="P2852" s="862"/>
      <c r="Q2852" s="860"/>
      <c r="R2852" s="753">
        <f t="shared" si="381"/>
        <v>0</v>
      </c>
      <c r="S2852" s="752">
        <f t="shared" si="382"/>
        <v>0</v>
      </c>
      <c r="T2852" s="754">
        <f t="shared" si="383"/>
        <v>0</v>
      </c>
      <c r="U2852" s="1373"/>
      <c r="V2852" s="863"/>
      <c r="W2852" s="859"/>
      <c r="X2852" s="859"/>
      <c r="Y2852" s="755">
        <f t="shared" si="379"/>
        <v>0</v>
      </c>
      <c r="Z2852" s="864"/>
      <c r="AA2852" s="863"/>
      <c r="AB2852" s="756">
        <f t="shared" si="380"/>
        <v>0</v>
      </c>
      <c r="AC2852" s="867">
        <v>38359596</v>
      </c>
      <c r="AD2852" s="863">
        <v>46119542</v>
      </c>
      <c r="AE2852" s="867">
        <v>0</v>
      </c>
      <c r="AF2852" s="1373"/>
      <c r="AG2852" s="864">
        <v>39200</v>
      </c>
      <c r="AH2852" s="865"/>
      <c r="AI2852" s="757">
        <f t="shared" si="384"/>
        <v>38359596</v>
      </c>
      <c r="AJ2852" s="758">
        <f t="shared" si="385"/>
        <v>46158742</v>
      </c>
    </row>
    <row r="2853" spans="1:36" x14ac:dyDescent="0.2">
      <c r="A2853" s="1369" t="s">
        <v>147</v>
      </c>
      <c r="B2853" s="1008" t="s">
        <v>264</v>
      </c>
      <c r="C2853" s="1002" t="s">
        <v>1645</v>
      </c>
      <c r="D2853" s="1000" t="s">
        <v>1646</v>
      </c>
      <c r="E2853" s="1508">
        <v>443711</v>
      </c>
      <c r="F2853" s="1413">
        <v>99</v>
      </c>
      <c r="G2853" s="1373">
        <v>11672435</v>
      </c>
      <c r="H2853" s="860">
        <v>12262083</v>
      </c>
      <c r="I2853" s="1373"/>
      <c r="J2853" s="862"/>
      <c r="K2853" s="1373"/>
      <c r="L2853" s="863"/>
      <c r="M2853" s="867">
        <v>7642235</v>
      </c>
      <c r="N2853" s="1373"/>
      <c r="O2853" s="752">
        <f t="shared" si="378"/>
        <v>7642235</v>
      </c>
      <c r="P2853" s="862">
        <v>8823113</v>
      </c>
      <c r="Q2853" s="860"/>
      <c r="R2853" s="753">
        <f t="shared" si="381"/>
        <v>8823113</v>
      </c>
      <c r="S2853" s="752">
        <f t="shared" si="382"/>
        <v>19314670</v>
      </c>
      <c r="T2853" s="754">
        <f t="shared" si="383"/>
        <v>21085196</v>
      </c>
      <c r="U2853" s="1373"/>
      <c r="V2853" s="863"/>
      <c r="W2853" s="859"/>
      <c r="X2853" s="859"/>
      <c r="Y2853" s="755">
        <f t="shared" si="379"/>
        <v>0</v>
      </c>
      <c r="Z2853" s="864"/>
      <c r="AA2853" s="863"/>
      <c r="AB2853" s="756">
        <f t="shared" si="380"/>
        <v>0</v>
      </c>
      <c r="AC2853" s="1373"/>
      <c r="AD2853" s="863"/>
      <c r="AE2853" s="867"/>
      <c r="AF2853" s="1373"/>
      <c r="AG2853" s="864"/>
      <c r="AH2853" s="865"/>
      <c r="AI2853" s="757">
        <f t="shared" si="384"/>
        <v>19314670</v>
      </c>
      <c r="AJ2853" s="758">
        <f t="shared" si="385"/>
        <v>21085196</v>
      </c>
    </row>
    <row r="2854" spans="1:36" x14ac:dyDescent="0.2">
      <c r="A2854" s="1369" t="s">
        <v>147</v>
      </c>
      <c r="B2854" s="1008" t="s">
        <v>273</v>
      </c>
      <c r="C2854" s="1414" t="s">
        <v>787</v>
      </c>
      <c r="D2854" s="1371"/>
      <c r="E2854" s="1017"/>
      <c r="F2854" s="1018"/>
      <c r="G2854" s="1373"/>
      <c r="H2854" s="1400"/>
      <c r="I2854" s="1373"/>
      <c r="J2854" s="862"/>
      <c r="K2854" s="1373"/>
      <c r="L2854" s="863"/>
      <c r="M2854" s="1373"/>
      <c r="N2854" s="1373"/>
      <c r="O2854" s="752">
        <f t="shared" si="378"/>
        <v>0</v>
      </c>
      <c r="P2854" s="862"/>
      <c r="Q2854" s="860"/>
      <c r="R2854" s="753">
        <f t="shared" si="381"/>
        <v>0</v>
      </c>
      <c r="S2854" s="752">
        <f t="shared" si="382"/>
        <v>0</v>
      </c>
      <c r="T2854" s="754">
        <f t="shared" si="383"/>
        <v>0</v>
      </c>
      <c r="U2854" s="1373"/>
      <c r="V2854" s="863"/>
      <c r="W2854" s="859"/>
      <c r="X2854" s="859"/>
      <c r="Y2854" s="755">
        <f t="shared" si="379"/>
        <v>0</v>
      </c>
      <c r="Z2854" s="864"/>
      <c r="AA2854" s="863"/>
      <c r="AB2854" s="756">
        <f t="shared" si="380"/>
        <v>0</v>
      </c>
      <c r="AC2854" s="1373"/>
      <c r="AD2854" s="863"/>
      <c r="AE2854" s="867"/>
      <c r="AF2854" s="1373"/>
      <c r="AG2854" s="864"/>
      <c r="AH2854" s="865"/>
      <c r="AI2854" s="757">
        <f t="shared" si="384"/>
        <v>0</v>
      </c>
      <c r="AJ2854" s="758">
        <f t="shared" si="385"/>
        <v>0</v>
      </c>
    </row>
    <row r="2855" spans="1:36" x14ac:dyDescent="0.2">
      <c r="A2855" s="1369" t="s">
        <v>147</v>
      </c>
      <c r="B2855" s="1008" t="s">
        <v>279</v>
      </c>
      <c r="C2855" s="1415" t="s">
        <v>1647</v>
      </c>
      <c r="D2855" s="1376"/>
      <c r="E2855" s="1411"/>
      <c r="F2855" s="1018"/>
      <c r="G2855" s="1373"/>
      <c r="H2855" s="860"/>
      <c r="I2855" s="1373"/>
      <c r="J2855" s="862"/>
      <c r="K2855" s="1373"/>
      <c r="L2855" s="863"/>
      <c r="M2855" s="1373"/>
      <c r="N2855" s="1373"/>
      <c r="O2855" s="752">
        <f t="shared" si="378"/>
        <v>0</v>
      </c>
      <c r="P2855" s="862"/>
      <c r="Q2855" s="860"/>
      <c r="R2855" s="753">
        <f t="shared" si="381"/>
        <v>0</v>
      </c>
      <c r="S2855" s="752">
        <f t="shared" si="382"/>
        <v>0</v>
      </c>
      <c r="T2855" s="754">
        <f t="shared" si="383"/>
        <v>0</v>
      </c>
      <c r="U2855" s="1373"/>
      <c r="V2855" s="863"/>
      <c r="W2855" s="859"/>
      <c r="X2855" s="859"/>
      <c r="Y2855" s="755">
        <f t="shared" si="379"/>
        <v>0</v>
      </c>
      <c r="Z2855" s="864"/>
      <c r="AA2855" s="863"/>
      <c r="AB2855" s="756">
        <f t="shared" si="380"/>
        <v>0</v>
      </c>
      <c r="AC2855" s="1373">
        <v>2800000</v>
      </c>
      <c r="AD2855" s="863">
        <v>2515000</v>
      </c>
      <c r="AE2855" s="867"/>
      <c r="AF2855" s="1373"/>
      <c r="AG2855" s="864"/>
      <c r="AH2855" s="865"/>
      <c r="AI2855" s="757">
        <f t="shared" si="384"/>
        <v>2800000</v>
      </c>
      <c r="AJ2855" s="758">
        <f t="shared" si="385"/>
        <v>2515000</v>
      </c>
    </row>
    <row r="2856" spans="1:36" x14ac:dyDescent="0.2">
      <c r="A2856" s="1369" t="s">
        <v>147</v>
      </c>
      <c r="B2856" s="1008" t="s">
        <v>279</v>
      </c>
      <c r="C2856" s="1415" t="s">
        <v>1648</v>
      </c>
      <c r="D2856" s="1376"/>
      <c r="E2856" s="1411"/>
      <c r="F2856" s="1018"/>
      <c r="G2856" s="1373"/>
      <c r="H2856" s="860"/>
      <c r="I2856" s="1373"/>
      <c r="J2856" s="862"/>
      <c r="K2856" s="1373"/>
      <c r="L2856" s="863"/>
      <c r="M2856" s="1373"/>
      <c r="N2856" s="1373"/>
      <c r="O2856" s="752">
        <f t="shared" si="378"/>
        <v>0</v>
      </c>
      <c r="P2856" s="862"/>
      <c r="Q2856" s="860"/>
      <c r="R2856" s="753">
        <f t="shared" si="381"/>
        <v>0</v>
      </c>
      <c r="S2856" s="752">
        <f t="shared" si="382"/>
        <v>0</v>
      </c>
      <c r="T2856" s="754">
        <f t="shared" si="383"/>
        <v>0</v>
      </c>
      <c r="U2856" s="1373"/>
      <c r="V2856" s="863"/>
      <c r="W2856" s="859"/>
      <c r="X2856" s="859"/>
      <c r="Y2856" s="755">
        <f t="shared" si="379"/>
        <v>0</v>
      </c>
      <c r="Z2856" s="864"/>
      <c r="AA2856" s="863"/>
      <c r="AB2856" s="756">
        <f t="shared" si="380"/>
        <v>0</v>
      </c>
      <c r="AC2856" s="1373">
        <v>1649017</v>
      </c>
      <c r="AD2856" s="863">
        <v>1725000</v>
      </c>
      <c r="AE2856" s="867"/>
      <c r="AF2856" s="1373"/>
      <c r="AG2856" s="864"/>
      <c r="AH2856" s="865"/>
      <c r="AI2856" s="757">
        <f t="shared" si="384"/>
        <v>1649017</v>
      </c>
      <c r="AJ2856" s="758">
        <f t="shared" si="385"/>
        <v>1725000</v>
      </c>
    </row>
    <row r="2857" spans="1:36" x14ac:dyDescent="0.2">
      <c r="A2857" s="1369" t="s">
        <v>147</v>
      </c>
      <c r="B2857" s="1008" t="s">
        <v>279</v>
      </c>
      <c r="C2857" s="1415" t="s">
        <v>1649</v>
      </c>
      <c r="D2857" s="1376"/>
      <c r="E2857" s="1411"/>
      <c r="F2857" s="1018"/>
      <c r="G2857" s="1373"/>
      <c r="H2857" s="860"/>
      <c r="I2857" s="1373"/>
      <c r="J2857" s="862"/>
      <c r="K2857" s="1373"/>
      <c r="L2857" s="863"/>
      <c r="M2857" s="1373"/>
      <c r="N2857" s="1373"/>
      <c r="O2857" s="752">
        <f t="shared" si="378"/>
        <v>0</v>
      </c>
      <c r="P2857" s="862"/>
      <c r="Q2857" s="860"/>
      <c r="R2857" s="753">
        <f t="shared" si="381"/>
        <v>0</v>
      </c>
      <c r="S2857" s="752">
        <f t="shared" si="382"/>
        <v>0</v>
      </c>
      <c r="T2857" s="754">
        <f t="shared" si="383"/>
        <v>0</v>
      </c>
      <c r="U2857" s="1373"/>
      <c r="V2857" s="863"/>
      <c r="W2857" s="859"/>
      <c r="X2857" s="859"/>
      <c r="Y2857" s="755">
        <f t="shared" si="379"/>
        <v>0</v>
      </c>
      <c r="Z2857" s="864"/>
      <c r="AA2857" s="863"/>
      <c r="AB2857" s="756">
        <f t="shared" si="380"/>
        <v>0</v>
      </c>
      <c r="AC2857" s="1373">
        <v>2700788</v>
      </c>
      <c r="AD2857" s="863">
        <v>3200000</v>
      </c>
      <c r="AE2857" s="867"/>
      <c r="AF2857" s="1373"/>
      <c r="AG2857" s="864"/>
      <c r="AH2857" s="865"/>
      <c r="AI2857" s="757">
        <f t="shared" si="384"/>
        <v>2700788</v>
      </c>
      <c r="AJ2857" s="758">
        <f t="shared" si="385"/>
        <v>3200000</v>
      </c>
    </row>
    <row r="2858" spans="1:36" x14ac:dyDescent="0.2">
      <c r="A2858" s="1369" t="s">
        <v>147</v>
      </c>
      <c r="B2858" s="1008" t="s">
        <v>279</v>
      </c>
      <c r="C2858" s="1415" t="s">
        <v>1650</v>
      </c>
      <c r="D2858" s="1376"/>
      <c r="E2858" s="1411"/>
      <c r="F2858" s="1412"/>
      <c r="G2858" s="1373"/>
      <c r="H2858" s="860"/>
      <c r="I2858" s="1373"/>
      <c r="J2858" s="862"/>
      <c r="K2858" s="1373"/>
      <c r="L2858" s="863"/>
      <c r="M2858" s="1373"/>
      <c r="N2858" s="1373"/>
      <c r="O2858" s="752">
        <f t="shared" si="378"/>
        <v>0</v>
      </c>
      <c r="P2858" s="862"/>
      <c r="Q2858" s="860"/>
      <c r="R2858" s="753">
        <f t="shared" si="381"/>
        <v>0</v>
      </c>
      <c r="S2858" s="752">
        <f t="shared" si="382"/>
        <v>0</v>
      </c>
      <c r="T2858" s="754">
        <f t="shared" si="383"/>
        <v>0</v>
      </c>
      <c r="U2858" s="1373"/>
      <c r="V2858" s="863"/>
      <c r="W2858" s="859"/>
      <c r="X2858" s="859"/>
      <c r="Y2858" s="755">
        <f t="shared" si="379"/>
        <v>0</v>
      </c>
      <c r="Z2858" s="864"/>
      <c r="AA2858" s="863"/>
      <c r="AB2858" s="756">
        <f t="shared" si="380"/>
        <v>0</v>
      </c>
      <c r="AC2858" s="1373">
        <v>15000000</v>
      </c>
      <c r="AD2858" s="863">
        <v>16875000</v>
      </c>
      <c r="AE2858" s="867"/>
      <c r="AF2858" s="1373"/>
      <c r="AG2858" s="864"/>
      <c r="AH2858" s="865"/>
      <c r="AI2858" s="757">
        <f t="shared" si="384"/>
        <v>15000000</v>
      </c>
      <c r="AJ2858" s="758">
        <f t="shared" si="385"/>
        <v>16875000</v>
      </c>
    </row>
    <row r="2859" spans="1:36" x14ac:dyDescent="0.2">
      <c r="A2859" s="1369" t="s">
        <v>147</v>
      </c>
      <c r="B2859" s="1008" t="s">
        <v>303</v>
      </c>
      <c r="C2859" s="1414" t="s">
        <v>919</v>
      </c>
      <c r="D2859" s="1371"/>
      <c r="E2859" s="1411"/>
      <c r="F2859" s="1412"/>
      <c r="G2859" s="1373"/>
      <c r="H2859" s="860"/>
      <c r="I2859" s="1373"/>
      <c r="J2859" s="862"/>
      <c r="K2859" s="1373"/>
      <c r="L2859" s="863"/>
      <c r="M2859" s="1373"/>
      <c r="N2859" s="1373"/>
      <c r="O2859" s="752">
        <f t="shared" si="378"/>
        <v>0</v>
      </c>
      <c r="P2859" s="862"/>
      <c r="Q2859" s="860"/>
      <c r="R2859" s="753">
        <f t="shared" si="381"/>
        <v>0</v>
      </c>
      <c r="S2859" s="752">
        <f t="shared" si="382"/>
        <v>0</v>
      </c>
      <c r="T2859" s="754">
        <f t="shared" si="383"/>
        <v>0</v>
      </c>
      <c r="U2859" s="1373"/>
      <c r="V2859" s="863"/>
      <c r="W2859" s="859"/>
      <c r="X2859" s="859"/>
      <c r="Y2859" s="755">
        <f t="shared" si="379"/>
        <v>0</v>
      </c>
      <c r="Z2859" s="864"/>
      <c r="AA2859" s="863"/>
      <c r="AB2859" s="756">
        <f t="shared" si="380"/>
        <v>0</v>
      </c>
      <c r="AC2859" s="1373"/>
      <c r="AD2859" s="863"/>
      <c r="AE2859" s="1373"/>
      <c r="AF2859" s="1373"/>
      <c r="AG2859" s="864"/>
      <c r="AH2859" s="865"/>
      <c r="AI2859" s="757">
        <f t="shared" si="384"/>
        <v>0</v>
      </c>
      <c r="AJ2859" s="758">
        <f t="shared" si="385"/>
        <v>0</v>
      </c>
    </row>
    <row r="2860" spans="1:36" x14ac:dyDescent="0.2">
      <c r="A2860" s="1369" t="s">
        <v>147</v>
      </c>
      <c r="B2860" s="1008" t="s">
        <v>303</v>
      </c>
      <c r="C2860" s="1416" t="s">
        <v>1651</v>
      </c>
      <c r="D2860" s="1402"/>
      <c r="E2860" s="1411"/>
      <c r="F2860" s="1412"/>
      <c r="G2860" s="1373"/>
      <c r="H2860" s="860"/>
      <c r="I2860" s="1373">
        <v>66716</v>
      </c>
      <c r="J2860" s="862">
        <v>0</v>
      </c>
      <c r="K2860" s="1373"/>
      <c r="L2860" s="863"/>
      <c r="M2860" s="1373"/>
      <c r="N2860" s="1373"/>
      <c r="O2860" s="752">
        <f t="shared" si="378"/>
        <v>0</v>
      </c>
      <c r="P2860" s="862"/>
      <c r="Q2860" s="860"/>
      <c r="R2860" s="753">
        <f t="shared" si="381"/>
        <v>0</v>
      </c>
      <c r="S2860" s="752">
        <f t="shared" si="382"/>
        <v>66716</v>
      </c>
      <c r="T2860" s="754">
        <f t="shared" si="383"/>
        <v>0</v>
      </c>
      <c r="U2860" s="1373"/>
      <c r="V2860" s="863"/>
      <c r="W2860" s="859"/>
      <c r="X2860" s="859"/>
      <c r="Y2860" s="755">
        <f t="shared" si="379"/>
        <v>0</v>
      </c>
      <c r="Z2860" s="864"/>
      <c r="AA2860" s="863"/>
      <c r="AB2860" s="756">
        <f t="shared" si="380"/>
        <v>0</v>
      </c>
      <c r="AC2860" s="1373"/>
      <c r="AD2860" s="863"/>
      <c r="AE2860" s="1373"/>
      <c r="AF2860" s="1373"/>
      <c r="AG2860" s="864"/>
      <c r="AH2860" s="865"/>
      <c r="AI2860" s="757">
        <f t="shared" si="384"/>
        <v>66716</v>
      </c>
      <c r="AJ2860" s="758">
        <f t="shared" si="385"/>
        <v>0</v>
      </c>
    </row>
    <row r="2861" spans="1:36" x14ac:dyDescent="0.2">
      <c r="A2861" s="1369" t="s">
        <v>147</v>
      </c>
      <c r="B2861" s="1008" t="s">
        <v>281</v>
      </c>
      <c r="C2861" s="1414" t="s">
        <v>109</v>
      </c>
      <c r="D2861" s="1371"/>
      <c r="E2861" s="1411"/>
      <c r="F2861" s="1412"/>
      <c r="G2861" s="1373"/>
      <c r="H2861" s="860"/>
      <c r="I2861" s="1373"/>
      <c r="J2861" s="862"/>
      <c r="K2861" s="1373"/>
      <c r="L2861" s="863"/>
      <c r="M2861" s="1373"/>
      <c r="N2861" s="1373"/>
      <c r="O2861" s="752">
        <f t="shared" si="378"/>
        <v>0</v>
      </c>
      <c r="P2861" s="862"/>
      <c r="Q2861" s="860"/>
      <c r="R2861" s="753">
        <f t="shared" si="381"/>
        <v>0</v>
      </c>
      <c r="S2861" s="752">
        <f t="shared" si="382"/>
        <v>0</v>
      </c>
      <c r="T2861" s="754">
        <f t="shared" si="383"/>
        <v>0</v>
      </c>
      <c r="U2861" s="1373"/>
      <c r="V2861" s="863"/>
      <c r="W2861" s="859"/>
      <c r="X2861" s="859"/>
      <c r="Y2861" s="755">
        <f t="shared" si="379"/>
        <v>0</v>
      </c>
      <c r="Z2861" s="864"/>
      <c r="AA2861" s="863"/>
      <c r="AB2861" s="756">
        <f t="shared" si="380"/>
        <v>0</v>
      </c>
      <c r="AC2861" s="1373"/>
      <c r="AD2861" s="863"/>
      <c r="AE2861" s="1373"/>
      <c r="AF2861" s="1373"/>
      <c r="AG2861" s="864"/>
      <c r="AH2861" s="865"/>
      <c r="AI2861" s="757">
        <f t="shared" si="384"/>
        <v>0</v>
      </c>
      <c r="AJ2861" s="758">
        <f t="shared" si="385"/>
        <v>0</v>
      </c>
    </row>
    <row r="2862" spans="1:36" x14ac:dyDescent="0.2">
      <c r="A2862" s="1369" t="s">
        <v>147</v>
      </c>
      <c r="B2862" s="1008" t="s">
        <v>282</v>
      </c>
      <c r="C2862" s="1417" t="s">
        <v>1652</v>
      </c>
      <c r="D2862" s="1376"/>
      <c r="E2862" s="1411"/>
      <c r="F2862" s="1412"/>
      <c r="G2862" s="1373"/>
      <c r="H2862" s="860"/>
      <c r="I2862" s="1373"/>
      <c r="J2862" s="862"/>
      <c r="K2862" s="1373"/>
      <c r="L2862" s="863"/>
      <c r="M2862" s="1373"/>
      <c r="N2862" s="1373"/>
      <c r="O2862" s="752">
        <f t="shared" si="378"/>
        <v>0</v>
      </c>
      <c r="P2862" s="862"/>
      <c r="Q2862" s="860"/>
      <c r="R2862" s="753">
        <f t="shared" si="381"/>
        <v>0</v>
      </c>
      <c r="S2862" s="752">
        <f t="shared" si="382"/>
        <v>0</v>
      </c>
      <c r="T2862" s="754">
        <f t="shared" si="383"/>
        <v>0</v>
      </c>
      <c r="U2862" s="1373">
        <v>50540802</v>
      </c>
      <c r="V2862" s="863">
        <v>38258771</v>
      </c>
      <c r="W2862" s="859"/>
      <c r="X2862" s="859"/>
      <c r="Y2862" s="755">
        <f t="shared" si="379"/>
        <v>0</v>
      </c>
      <c r="Z2862" s="864"/>
      <c r="AA2862" s="863"/>
      <c r="AB2862" s="756">
        <f t="shared" si="380"/>
        <v>0</v>
      </c>
      <c r="AC2862" s="1373"/>
      <c r="AD2862" s="863"/>
      <c r="AE2862" s="1373"/>
      <c r="AF2862" s="1373"/>
      <c r="AG2862" s="864"/>
      <c r="AH2862" s="865"/>
      <c r="AI2862" s="757">
        <f t="shared" si="384"/>
        <v>50540802</v>
      </c>
      <c r="AJ2862" s="758">
        <f t="shared" si="385"/>
        <v>38258771</v>
      </c>
    </row>
    <row r="2863" spans="1:36" x14ac:dyDescent="0.2">
      <c r="A2863" s="1369" t="s">
        <v>147</v>
      </c>
      <c r="B2863" s="1008" t="s">
        <v>282</v>
      </c>
      <c r="C2863" s="1416" t="s">
        <v>1653</v>
      </c>
      <c r="D2863" s="1402"/>
      <c r="E2863" s="1411"/>
      <c r="F2863" s="1412"/>
      <c r="G2863" s="1373"/>
      <c r="H2863" s="860"/>
      <c r="I2863" s="1373"/>
      <c r="J2863" s="862"/>
      <c r="K2863" s="1373"/>
      <c r="L2863" s="863"/>
      <c r="M2863" s="1373"/>
      <c r="N2863" s="1373"/>
      <c r="O2863" s="752">
        <f t="shared" si="378"/>
        <v>0</v>
      </c>
      <c r="P2863" s="862"/>
      <c r="Q2863" s="860"/>
      <c r="R2863" s="753">
        <f t="shared" si="381"/>
        <v>0</v>
      </c>
      <c r="S2863" s="752">
        <f t="shared" si="382"/>
        <v>0</v>
      </c>
      <c r="T2863" s="754">
        <f t="shared" si="383"/>
        <v>0</v>
      </c>
      <c r="U2863" s="867">
        <v>90376714</v>
      </c>
      <c r="V2863" s="863">
        <v>67767579</v>
      </c>
      <c r="W2863" s="859"/>
      <c r="X2863" s="859"/>
      <c r="Y2863" s="755">
        <f t="shared" si="379"/>
        <v>0</v>
      </c>
      <c r="Z2863" s="864"/>
      <c r="AA2863" s="863"/>
      <c r="AB2863" s="756">
        <f t="shared" si="380"/>
        <v>0</v>
      </c>
      <c r="AC2863" s="1373"/>
      <c r="AD2863" s="863"/>
      <c r="AE2863" s="1373"/>
      <c r="AF2863" s="1373"/>
      <c r="AG2863" s="864"/>
      <c r="AH2863" s="865"/>
      <c r="AI2863" s="757">
        <f t="shared" si="384"/>
        <v>90376714</v>
      </c>
      <c r="AJ2863" s="758">
        <f t="shared" si="385"/>
        <v>67767579</v>
      </c>
    </row>
    <row r="2864" spans="1:36" x14ac:dyDescent="0.2">
      <c r="A2864" s="1369" t="s">
        <v>147</v>
      </c>
      <c r="B2864" s="1008" t="s">
        <v>283</v>
      </c>
      <c r="C2864" s="1418" t="s">
        <v>139</v>
      </c>
      <c r="D2864" s="1376"/>
      <c r="E2864" s="1411"/>
      <c r="F2864" s="1412"/>
      <c r="G2864" s="1373"/>
      <c r="H2864" s="860"/>
      <c r="I2864" s="1373"/>
      <c r="J2864" s="862"/>
      <c r="K2864" s="1373"/>
      <c r="L2864" s="863"/>
      <c r="M2864" s="1373"/>
      <c r="N2864" s="1373"/>
      <c r="O2864" s="752">
        <f t="shared" si="378"/>
        <v>0</v>
      </c>
      <c r="P2864" s="862"/>
      <c r="Q2864" s="860"/>
      <c r="R2864" s="753">
        <f t="shared" si="381"/>
        <v>0</v>
      </c>
      <c r="S2864" s="752">
        <f t="shared" si="382"/>
        <v>0</v>
      </c>
      <c r="T2864" s="754">
        <f t="shared" si="383"/>
        <v>0</v>
      </c>
      <c r="U2864" s="1373"/>
      <c r="V2864" s="863"/>
      <c r="W2864" s="859"/>
      <c r="X2864" s="859"/>
      <c r="Y2864" s="755">
        <f t="shared" si="379"/>
        <v>0</v>
      </c>
      <c r="Z2864" s="864"/>
      <c r="AA2864" s="863"/>
      <c r="AB2864" s="756">
        <f t="shared" si="380"/>
        <v>0</v>
      </c>
      <c r="AC2864" s="1373"/>
      <c r="AD2864" s="863"/>
      <c r="AE2864" s="1373"/>
      <c r="AF2864" s="1373"/>
      <c r="AG2864" s="864"/>
      <c r="AH2864" s="865"/>
      <c r="AI2864" s="757">
        <f t="shared" si="384"/>
        <v>0</v>
      </c>
      <c r="AJ2864" s="758">
        <f t="shared" si="385"/>
        <v>0</v>
      </c>
    </row>
    <row r="2865" spans="1:36" x14ac:dyDescent="0.2">
      <c r="A2865" s="1369" t="s">
        <v>147</v>
      </c>
      <c r="B2865" s="1008" t="s">
        <v>283</v>
      </c>
      <c r="C2865" s="1417" t="s">
        <v>1654</v>
      </c>
      <c r="D2865" s="1376"/>
      <c r="E2865" s="1411"/>
      <c r="F2865" s="1412"/>
      <c r="G2865" s="1373"/>
      <c r="H2865" s="860"/>
      <c r="I2865" s="1373"/>
      <c r="J2865" s="862"/>
      <c r="K2865" s="1373"/>
      <c r="L2865" s="863"/>
      <c r="M2865" s="1373"/>
      <c r="N2865" s="1373"/>
      <c r="O2865" s="752">
        <f t="shared" si="378"/>
        <v>0</v>
      </c>
      <c r="P2865" s="862"/>
      <c r="Q2865" s="860"/>
      <c r="R2865" s="753">
        <f t="shared" si="381"/>
        <v>0</v>
      </c>
      <c r="S2865" s="752">
        <f t="shared" si="382"/>
        <v>0</v>
      </c>
      <c r="T2865" s="754">
        <f t="shared" si="383"/>
        <v>0</v>
      </c>
      <c r="U2865" s="1373">
        <v>5603862</v>
      </c>
      <c r="V2865" s="863">
        <v>13114523</v>
      </c>
      <c r="W2865" s="859"/>
      <c r="X2865" s="859"/>
      <c r="Y2865" s="755">
        <f t="shared" si="379"/>
        <v>0</v>
      </c>
      <c r="Z2865" s="864"/>
      <c r="AA2865" s="863"/>
      <c r="AB2865" s="756">
        <f t="shared" si="380"/>
        <v>0</v>
      </c>
      <c r="AC2865" s="1373"/>
      <c r="AD2865" s="863"/>
      <c r="AE2865" s="1373"/>
      <c r="AF2865" s="1373"/>
      <c r="AG2865" s="864"/>
      <c r="AH2865" s="865"/>
      <c r="AI2865" s="757">
        <f t="shared" si="384"/>
        <v>5603862</v>
      </c>
      <c r="AJ2865" s="758">
        <f t="shared" si="385"/>
        <v>13114523</v>
      </c>
    </row>
    <row r="2866" spans="1:36" x14ac:dyDescent="0.2">
      <c r="A2866" s="1369" t="s">
        <v>147</v>
      </c>
      <c r="B2866" s="1008" t="s">
        <v>285</v>
      </c>
      <c r="C2866" s="1418" t="s">
        <v>564</v>
      </c>
      <c r="D2866" s="1376"/>
      <c r="E2866" s="1411"/>
      <c r="F2866" s="1412"/>
      <c r="G2866" s="1373"/>
      <c r="H2866" s="860"/>
      <c r="I2866" s="1373"/>
      <c r="J2866" s="862"/>
      <c r="K2866" s="1373"/>
      <c r="L2866" s="863"/>
      <c r="M2866" s="1373"/>
      <c r="N2866" s="1373"/>
      <c r="O2866" s="752">
        <f t="shared" si="378"/>
        <v>0</v>
      </c>
      <c r="P2866" s="862"/>
      <c r="Q2866" s="860"/>
      <c r="R2866" s="753">
        <f t="shared" si="381"/>
        <v>0</v>
      </c>
      <c r="S2866" s="752">
        <f t="shared" si="382"/>
        <v>0</v>
      </c>
      <c r="T2866" s="754">
        <f t="shared" si="383"/>
        <v>0</v>
      </c>
      <c r="U2866" s="1373"/>
      <c r="V2866" s="863"/>
      <c r="W2866" s="859"/>
      <c r="X2866" s="859"/>
      <c r="Y2866" s="755">
        <f t="shared" si="379"/>
        <v>0</v>
      </c>
      <c r="Z2866" s="864"/>
      <c r="AA2866" s="863"/>
      <c r="AB2866" s="756">
        <f t="shared" si="380"/>
        <v>0</v>
      </c>
      <c r="AC2866" s="1373"/>
      <c r="AD2866" s="863"/>
      <c r="AE2866" s="1373"/>
      <c r="AF2866" s="1373"/>
      <c r="AG2866" s="864"/>
      <c r="AH2866" s="865"/>
      <c r="AI2866" s="757">
        <f t="shared" si="384"/>
        <v>0</v>
      </c>
      <c r="AJ2866" s="758">
        <f t="shared" si="385"/>
        <v>0</v>
      </c>
    </row>
    <row r="2867" spans="1:36" x14ac:dyDescent="0.2">
      <c r="A2867" s="1369" t="s">
        <v>147</v>
      </c>
      <c r="B2867" s="1008" t="s">
        <v>286</v>
      </c>
      <c r="C2867" s="1414" t="s">
        <v>565</v>
      </c>
      <c r="D2867" s="1371"/>
      <c r="E2867" s="1411"/>
      <c r="F2867" s="1412"/>
      <c r="G2867" s="1373"/>
      <c r="H2867" s="860"/>
      <c r="I2867" s="1373"/>
      <c r="J2867" s="862"/>
      <c r="K2867" s="1373"/>
      <c r="L2867" s="863"/>
      <c r="M2867" s="1373"/>
      <c r="N2867" s="1373"/>
      <c r="O2867" s="752">
        <f t="shared" si="378"/>
        <v>0</v>
      </c>
      <c r="P2867" s="862"/>
      <c r="Q2867" s="860"/>
      <c r="R2867" s="753">
        <f t="shared" si="381"/>
        <v>0</v>
      </c>
      <c r="S2867" s="752">
        <f t="shared" si="382"/>
        <v>0</v>
      </c>
      <c r="T2867" s="754">
        <f t="shared" si="383"/>
        <v>0</v>
      </c>
      <c r="U2867" s="1373"/>
      <c r="V2867" s="863"/>
      <c r="W2867" s="859"/>
      <c r="X2867" s="859"/>
      <c r="Y2867" s="755">
        <f t="shared" si="379"/>
        <v>0</v>
      </c>
      <c r="Z2867" s="864"/>
      <c r="AA2867" s="863"/>
      <c r="AB2867" s="756">
        <f t="shared" si="380"/>
        <v>0</v>
      </c>
      <c r="AC2867" s="1373"/>
      <c r="AD2867" s="863"/>
      <c r="AE2867" s="1373"/>
      <c r="AF2867" s="1373"/>
      <c r="AG2867" s="864"/>
      <c r="AH2867" s="865"/>
      <c r="AI2867" s="757">
        <f t="shared" si="384"/>
        <v>0</v>
      </c>
      <c r="AJ2867" s="758">
        <f t="shared" si="385"/>
        <v>0</v>
      </c>
    </row>
    <row r="2868" spans="1:36" x14ac:dyDescent="0.2">
      <c r="A2868" s="1369" t="s">
        <v>147</v>
      </c>
      <c r="B2868" s="1008" t="s">
        <v>286</v>
      </c>
      <c r="C2868" s="1416" t="s">
        <v>1655</v>
      </c>
      <c r="D2868" s="1371"/>
      <c r="E2868" s="1411"/>
      <c r="F2868" s="1412"/>
      <c r="G2868" s="1373"/>
      <c r="H2868" s="860"/>
      <c r="I2868" s="1373"/>
      <c r="J2868" s="862"/>
      <c r="K2868" s="1373"/>
      <c r="L2868" s="863"/>
      <c r="M2868" s="1373"/>
      <c r="N2868" s="1373"/>
      <c r="O2868" s="752">
        <f t="shared" si="378"/>
        <v>0</v>
      </c>
      <c r="P2868" s="862"/>
      <c r="Q2868" s="860"/>
      <c r="R2868" s="753">
        <f t="shared" si="381"/>
        <v>0</v>
      </c>
      <c r="S2868" s="752">
        <f t="shared" si="382"/>
        <v>0</v>
      </c>
      <c r="T2868" s="754">
        <f t="shared" si="383"/>
        <v>0</v>
      </c>
      <c r="U2868" s="1373"/>
      <c r="V2868" s="863"/>
      <c r="W2868" s="859"/>
      <c r="X2868" s="859"/>
      <c r="Y2868" s="755">
        <f t="shared" si="379"/>
        <v>0</v>
      </c>
      <c r="Z2868" s="864"/>
      <c r="AA2868" s="863"/>
      <c r="AB2868" s="756">
        <f t="shared" si="380"/>
        <v>0</v>
      </c>
      <c r="AC2868" s="1373">
        <v>43958524</v>
      </c>
      <c r="AD2868" s="863">
        <v>45077583</v>
      </c>
      <c r="AE2868" s="1373"/>
      <c r="AF2868" s="1373"/>
      <c r="AG2868" s="864"/>
      <c r="AH2868" s="865"/>
      <c r="AI2868" s="757">
        <f t="shared" si="384"/>
        <v>43958524</v>
      </c>
      <c r="AJ2868" s="758">
        <f t="shared" si="385"/>
        <v>45077583</v>
      </c>
    </row>
    <row r="2869" spans="1:36" x14ac:dyDescent="0.2">
      <c r="A2869" s="1369" t="s">
        <v>147</v>
      </c>
      <c r="B2869" s="1008" t="s">
        <v>286</v>
      </c>
      <c r="C2869" s="1416" t="s">
        <v>1656</v>
      </c>
      <c r="D2869" s="1402"/>
      <c r="E2869" s="1411"/>
      <c r="F2869" s="1412"/>
      <c r="G2869" s="1373"/>
      <c r="H2869" s="860"/>
      <c r="I2869" s="1373"/>
      <c r="J2869" s="862"/>
      <c r="K2869" s="1373"/>
      <c r="L2869" s="863"/>
      <c r="M2869" s="1373"/>
      <c r="N2869" s="1373"/>
      <c r="O2869" s="752">
        <f t="shared" si="378"/>
        <v>0</v>
      </c>
      <c r="P2869" s="862"/>
      <c r="Q2869" s="860"/>
      <c r="R2869" s="753">
        <f t="shared" si="381"/>
        <v>0</v>
      </c>
      <c r="S2869" s="752">
        <f t="shared" si="382"/>
        <v>0</v>
      </c>
      <c r="T2869" s="754">
        <f t="shared" si="383"/>
        <v>0</v>
      </c>
      <c r="U2869" s="1373">
        <v>1520353</v>
      </c>
      <c r="V2869" s="863">
        <v>1520353</v>
      </c>
      <c r="W2869" s="859"/>
      <c r="X2869" s="859"/>
      <c r="Y2869" s="755">
        <f t="shared" si="379"/>
        <v>0</v>
      </c>
      <c r="Z2869" s="864"/>
      <c r="AA2869" s="863"/>
      <c r="AB2869" s="756">
        <f t="shared" si="380"/>
        <v>0</v>
      </c>
      <c r="AC2869" s="1373"/>
      <c r="AD2869" s="863"/>
      <c r="AE2869" s="1373"/>
      <c r="AF2869" s="1373"/>
      <c r="AG2869" s="864"/>
      <c r="AH2869" s="865"/>
      <c r="AI2869" s="757">
        <f t="shared" si="384"/>
        <v>1520353</v>
      </c>
      <c r="AJ2869" s="758">
        <f t="shared" si="385"/>
        <v>1520353</v>
      </c>
    </row>
    <row r="2870" spans="1:36" x14ac:dyDescent="0.2">
      <c r="A2870" s="1369" t="s">
        <v>147</v>
      </c>
      <c r="B2870" s="1008" t="s">
        <v>291</v>
      </c>
      <c r="C2870" s="1414" t="s">
        <v>574</v>
      </c>
      <c r="D2870" s="1371"/>
      <c r="E2870" s="1411"/>
      <c r="F2870" s="1412"/>
      <c r="G2870" s="1373"/>
      <c r="H2870" s="860"/>
      <c r="I2870" s="1373"/>
      <c r="J2870" s="862"/>
      <c r="K2870" s="1373"/>
      <c r="L2870" s="863"/>
      <c r="M2870" s="1373"/>
      <c r="N2870" s="1373"/>
      <c r="O2870" s="752">
        <f t="shared" si="378"/>
        <v>0</v>
      </c>
      <c r="P2870" s="862"/>
      <c r="Q2870" s="860"/>
      <c r="R2870" s="753">
        <f t="shared" si="381"/>
        <v>0</v>
      </c>
      <c r="S2870" s="752">
        <f t="shared" si="382"/>
        <v>0</v>
      </c>
      <c r="T2870" s="754">
        <f t="shared" si="383"/>
        <v>0</v>
      </c>
      <c r="U2870" s="1373"/>
      <c r="V2870" s="863"/>
      <c r="W2870" s="859"/>
      <c r="X2870" s="859"/>
      <c r="Y2870" s="755">
        <f t="shared" si="379"/>
        <v>0</v>
      </c>
      <c r="Z2870" s="864"/>
      <c r="AA2870" s="863"/>
      <c r="AB2870" s="756">
        <f t="shared" si="380"/>
        <v>0</v>
      </c>
      <c r="AC2870" s="1373"/>
      <c r="AD2870" s="863"/>
      <c r="AE2870" s="1373"/>
      <c r="AF2870" s="1373"/>
      <c r="AG2870" s="864"/>
      <c r="AH2870" s="865"/>
      <c r="AI2870" s="757">
        <f t="shared" si="384"/>
        <v>0</v>
      </c>
      <c r="AJ2870" s="758">
        <f t="shared" si="385"/>
        <v>0</v>
      </c>
    </row>
    <row r="2871" spans="1:36" x14ac:dyDescent="0.2">
      <c r="A2871" s="1369" t="s">
        <v>147</v>
      </c>
      <c r="B2871" s="1008" t="s">
        <v>292</v>
      </c>
      <c r="C2871" s="1009" t="s">
        <v>34</v>
      </c>
      <c r="D2871" s="1010"/>
      <c r="E2871" s="1411"/>
      <c r="F2871" s="1412"/>
      <c r="G2871" s="1373"/>
      <c r="H2871" s="860"/>
      <c r="I2871" s="1373"/>
      <c r="J2871" s="862"/>
      <c r="K2871" s="1373"/>
      <c r="L2871" s="863"/>
      <c r="M2871" s="1373"/>
      <c r="N2871" s="1373"/>
      <c r="O2871" s="752">
        <f t="shared" si="378"/>
        <v>0</v>
      </c>
      <c r="P2871" s="862"/>
      <c r="Q2871" s="860"/>
      <c r="R2871" s="753">
        <f t="shared" si="381"/>
        <v>0</v>
      </c>
      <c r="S2871" s="752">
        <f t="shared" si="382"/>
        <v>0</v>
      </c>
      <c r="T2871" s="754">
        <f t="shared" si="383"/>
        <v>0</v>
      </c>
      <c r="U2871" s="1373"/>
      <c r="V2871" s="863"/>
      <c r="W2871" s="859"/>
      <c r="X2871" s="859"/>
      <c r="Y2871" s="755">
        <f t="shared" si="379"/>
        <v>0</v>
      </c>
      <c r="Z2871" s="864"/>
      <c r="AA2871" s="863"/>
      <c r="AB2871" s="756">
        <f t="shared" si="380"/>
        <v>0</v>
      </c>
      <c r="AC2871" s="1373"/>
      <c r="AD2871" s="863"/>
      <c r="AE2871" s="1373"/>
      <c r="AF2871" s="1373"/>
      <c r="AG2871" s="864"/>
      <c r="AH2871" s="865"/>
      <c r="AI2871" s="757">
        <f t="shared" si="384"/>
        <v>0</v>
      </c>
      <c r="AJ2871" s="758">
        <f t="shared" si="385"/>
        <v>0</v>
      </c>
    </row>
    <row r="2872" spans="1:36" x14ac:dyDescent="0.2">
      <c r="A2872" s="1369" t="s">
        <v>147</v>
      </c>
      <c r="B2872" s="1008" t="s">
        <v>292</v>
      </c>
      <c r="C2872" s="1419" t="s">
        <v>1657</v>
      </c>
      <c r="D2872" s="1376"/>
      <c r="E2872" s="1411"/>
      <c r="F2872" s="1412"/>
      <c r="G2872" s="1373"/>
      <c r="H2872" s="860"/>
      <c r="I2872" s="1373"/>
      <c r="J2872" s="862"/>
      <c r="K2872" s="1373"/>
      <c r="L2872" s="863"/>
      <c r="M2872" s="1373"/>
      <c r="N2872" s="1373"/>
      <c r="O2872" s="752">
        <f t="shared" si="378"/>
        <v>0</v>
      </c>
      <c r="P2872" s="862"/>
      <c r="Q2872" s="860"/>
      <c r="R2872" s="753">
        <f t="shared" si="381"/>
        <v>0</v>
      </c>
      <c r="S2872" s="752">
        <f t="shared" si="382"/>
        <v>0</v>
      </c>
      <c r="T2872" s="754">
        <f t="shared" si="383"/>
        <v>0</v>
      </c>
      <c r="U2872" s="1373">
        <v>352460831</v>
      </c>
      <c r="V2872" s="863">
        <v>525861525</v>
      </c>
      <c r="W2872" s="859"/>
      <c r="X2872" s="859"/>
      <c r="Y2872" s="755">
        <f t="shared" si="379"/>
        <v>0</v>
      </c>
      <c r="Z2872" s="864"/>
      <c r="AA2872" s="863"/>
      <c r="AB2872" s="756">
        <f t="shared" si="380"/>
        <v>0</v>
      </c>
      <c r="AC2872" s="1373"/>
      <c r="AD2872" s="863"/>
      <c r="AE2872" s="1373"/>
      <c r="AF2872" s="1373"/>
      <c r="AG2872" s="864"/>
      <c r="AH2872" s="865"/>
      <c r="AI2872" s="757">
        <f t="shared" si="384"/>
        <v>352460831</v>
      </c>
      <c r="AJ2872" s="758">
        <f t="shared" si="385"/>
        <v>525861525</v>
      </c>
    </row>
    <row r="2873" spans="1:36" x14ac:dyDescent="0.2">
      <c r="A2873" s="1369" t="s">
        <v>147</v>
      </c>
      <c r="B2873" s="1014" t="s">
        <v>251</v>
      </c>
      <c r="C2873" s="1420" t="s">
        <v>249</v>
      </c>
      <c r="D2873" s="1016"/>
      <c r="E2873" s="1411"/>
      <c r="F2873" s="1412"/>
      <c r="G2873" s="1373"/>
      <c r="H2873" s="860"/>
      <c r="I2873" s="1373"/>
      <c r="J2873" s="862"/>
      <c r="K2873" s="1373"/>
      <c r="L2873" s="863"/>
      <c r="M2873" s="1373"/>
      <c r="N2873" s="1373"/>
      <c r="O2873" s="752">
        <f t="shared" si="378"/>
        <v>0</v>
      </c>
      <c r="P2873" s="862"/>
      <c r="Q2873" s="860"/>
      <c r="R2873" s="753">
        <f t="shared" si="381"/>
        <v>0</v>
      </c>
      <c r="S2873" s="752">
        <f t="shared" si="382"/>
        <v>0</v>
      </c>
      <c r="T2873" s="754">
        <f t="shared" si="383"/>
        <v>0</v>
      </c>
      <c r="U2873" s="1373">
        <v>17664000</v>
      </c>
      <c r="V2873" s="863">
        <v>20864000</v>
      </c>
      <c r="W2873" s="859"/>
      <c r="X2873" s="859"/>
      <c r="Y2873" s="755">
        <f t="shared" si="379"/>
        <v>0</v>
      </c>
      <c r="Z2873" s="864"/>
      <c r="AA2873" s="863"/>
      <c r="AB2873" s="756">
        <f t="shared" si="380"/>
        <v>0</v>
      </c>
      <c r="AC2873" s="1373"/>
      <c r="AD2873" s="863"/>
      <c r="AE2873" s="1373"/>
      <c r="AF2873" s="1373"/>
      <c r="AG2873" s="864"/>
      <c r="AH2873" s="865"/>
      <c r="AI2873" s="757">
        <f t="shared" si="384"/>
        <v>17664000</v>
      </c>
      <c r="AJ2873" s="758">
        <f t="shared" si="385"/>
        <v>20864000</v>
      </c>
    </row>
    <row r="2874" spans="1:36" x14ac:dyDescent="0.2">
      <c r="A2874" s="1369" t="s">
        <v>147</v>
      </c>
      <c r="B2874" s="1008" t="s">
        <v>292</v>
      </c>
      <c r="C2874" s="1419" t="s">
        <v>1658</v>
      </c>
      <c r="D2874" s="1376"/>
      <c r="E2874" s="1411"/>
      <c r="F2874" s="1412"/>
      <c r="G2874" s="1373"/>
      <c r="H2874" s="860"/>
      <c r="I2874" s="1373"/>
      <c r="J2874" s="862"/>
      <c r="K2874" s="1373"/>
      <c r="L2874" s="863"/>
      <c r="M2874" s="1373"/>
      <c r="N2874" s="1373"/>
      <c r="O2874" s="752">
        <f t="shared" si="378"/>
        <v>0</v>
      </c>
      <c r="P2874" s="862"/>
      <c r="Q2874" s="860"/>
      <c r="R2874" s="753">
        <f t="shared" si="381"/>
        <v>0</v>
      </c>
      <c r="S2874" s="752">
        <f t="shared" si="382"/>
        <v>0</v>
      </c>
      <c r="T2874" s="754">
        <f t="shared" si="383"/>
        <v>0</v>
      </c>
      <c r="U2874" s="1373">
        <v>500000</v>
      </c>
      <c r="V2874" s="863">
        <v>2212500</v>
      </c>
      <c r="W2874" s="859"/>
      <c r="X2874" s="859"/>
      <c r="Y2874" s="755">
        <f t="shared" si="379"/>
        <v>0</v>
      </c>
      <c r="Z2874" s="864"/>
      <c r="AA2874" s="863"/>
      <c r="AB2874" s="756">
        <f t="shared" si="380"/>
        <v>0</v>
      </c>
      <c r="AC2874" s="1373"/>
      <c r="AD2874" s="863"/>
      <c r="AE2874" s="1373"/>
      <c r="AF2874" s="1373"/>
      <c r="AG2874" s="864"/>
      <c r="AH2874" s="865"/>
      <c r="AI2874" s="757">
        <f t="shared" si="384"/>
        <v>500000</v>
      </c>
      <c r="AJ2874" s="758">
        <f t="shared" si="385"/>
        <v>2212500</v>
      </c>
    </row>
    <row r="2875" spans="1:36" x14ac:dyDescent="0.2">
      <c r="A2875" s="1369" t="s">
        <v>147</v>
      </c>
      <c r="B2875" s="1008" t="s">
        <v>292</v>
      </c>
      <c r="C2875" s="1419" t="s">
        <v>1659</v>
      </c>
      <c r="D2875" s="1376"/>
      <c r="E2875" s="1411"/>
      <c r="F2875" s="1412"/>
      <c r="G2875" s="1373"/>
      <c r="H2875" s="860"/>
      <c r="I2875" s="1373"/>
      <c r="J2875" s="862"/>
      <c r="K2875" s="1373"/>
      <c r="L2875" s="863"/>
      <c r="M2875" s="1373"/>
      <c r="N2875" s="1373"/>
      <c r="O2875" s="752">
        <f t="shared" si="378"/>
        <v>0</v>
      </c>
      <c r="P2875" s="862"/>
      <c r="Q2875" s="860"/>
      <c r="R2875" s="753">
        <f t="shared" si="381"/>
        <v>0</v>
      </c>
      <c r="S2875" s="752">
        <f t="shared" si="382"/>
        <v>0</v>
      </c>
      <c r="T2875" s="754">
        <f t="shared" si="383"/>
        <v>0</v>
      </c>
      <c r="U2875" s="1373">
        <v>0</v>
      </c>
      <c r="V2875" s="863">
        <v>10206794</v>
      </c>
      <c r="W2875" s="859"/>
      <c r="X2875" s="859"/>
      <c r="Y2875" s="755">
        <f t="shared" si="379"/>
        <v>0</v>
      </c>
      <c r="Z2875" s="864"/>
      <c r="AA2875" s="863"/>
      <c r="AB2875" s="756">
        <f t="shared" si="380"/>
        <v>0</v>
      </c>
      <c r="AC2875" s="1373"/>
      <c r="AD2875" s="863"/>
      <c r="AE2875" s="1373"/>
      <c r="AF2875" s="1373"/>
      <c r="AG2875" s="864"/>
      <c r="AH2875" s="865"/>
      <c r="AI2875" s="757">
        <f t="shared" si="384"/>
        <v>0</v>
      </c>
      <c r="AJ2875" s="758">
        <f t="shared" si="385"/>
        <v>10206794</v>
      </c>
    </row>
    <row r="2876" spans="1:36" x14ac:dyDescent="0.2">
      <c r="A2876" s="1369" t="s">
        <v>147</v>
      </c>
      <c r="B2876" s="1008" t="s">
        <v>292</v>
      </c>
      <c r="C2876" s="1419" t="s">
        <v>1660</v>
      </c>
      <c r="D2876" s="1376"/>
      <c r="E2876" s="1411"/>
      <c r="F2876" s="1412"/>
      <c r="G2876" s="1373"/>
      <c r="H2876" s="860"/>
      <c r="I2876" s="1373"/>
      <c r="J2876" s="862"/>
      <c r="K2876" s="1373"/>
      <c r="L2876" s="863"/>
      <c r="M2876" s="1373"/>
      <c r="N2876" s="1373"/>
      <c r="O2876" s="752">
        <f t="shared" si="378"/>
        <v>0</v>
      </c>
      <c r="P2876" s="862"/>
      <c r="Q2876" s="860"/>
      <c r="R2876" s="753">
        <f t="shared" si="381"/>
        <v>0</v>
      </c>
      <c r="S2876" s="752">
        <f t="shared" si="382"/>
        <v>0</v>
      </c>
      <c r="T2876" s="754">
        <f t="shared" si="383"/>
        <v>0</v>
      </c>
      <c r="U2876" s="1373">
        <v>187813</v>
      </c>
      <c r="V2876" s="863">
        <v>187813</v>
      </c>
      <c r="W2876" s="859"/>
      <c r="X2876" s="859"/>
      <c r="Y2876" s="755">
        <f t="shared" si="379"/>
        <v>0</v>
      </c>
      <c r="Z2876" s="864"/>
      <c r="AA2876" s="863"/>
      <c r="AB2876" s="756">
        <f t="shared" si="380"/>
        <v>0</v>
      </c>
      <c r="AC2876" s="1373"/>
      <c r="AD2876" s="863"/>
      <c r="AE2876" s="1373"/>
      <c r="AF2876" s="1373"/>
      <c r="AG2876" s="864"/>
      <c r="AH2876" s="865"/>
      <c r="AI2876" s="757">
        <f t="shared" si="384"/>
        <v>187813</v>
      </c>
      <c r="AJ2876" s="758">
        <f t="shared" si="385"/>
        <v>187813</v>
      </c>
    </row>
    <row r="2877" spans="1:36" x14ac:dyDescent="0.2">
      <c r="A2877" s="1104" t="s">
        <v>156</v>
      </c>
      <c r="B2877" s="1105" t="s">
        <v>264</v>
      </c>
      <c r="C2877" s="1106" t="s">
        <v>924</v>
      </c>
      <c r="D2877" s="1107"/>
      <c r="E2877" s="1108">
        <v>232186</v>
      </c>
      <c r="F2877" s="1109">
        <v>1</v>
      </c>
      <c r="G2877" s="859">
        <v>112149834</v>
      </c>
      <c r="H2877" s="860">
        <v>116066517</v>
      </c>
      <c r="I2877" s="861">
        <v>956250</v>
      </c>
      <c r="J2877" s="862">
        <v>1206250</v>
      </c>
      <c r="K2877" s="859"/>
      <c r="L2877" s="863"/>
      <c r="M2877" s="859">
        <v>292258478</v>
      </c>
      <c r="N2877" s="859">
        <v>2281257</v>
      </c>
      <c r="O2877" s="752">
        <f t="shared" si="378"/>
        <v>294539735</v>
      </c>
      <c r="P2877" s="862">
        <v>285697677</v>
      </c>
      <c r="Q2877" s="860">
        <v>2535489</v>
      </c>
      <c r="R2877" s="753">
        <f t="shared" si="381"/>
        <v>288233166</v>
      </c>
      <c r="S2877" s="752">
        <f t="shared" si="382"/>
        <v>405364562</v>
      </c>
      <c r="T2877" s="754">
        <f t="shared" si="383"/>
        <v>402970444</v>
      </c>
      <c r="U2877" s="859"/>
      <c r="V2877" s="863"/>
      <c r="W2877" s="859"/>
      <c r="X2877" s="859"/>
      <c r="Y2877" s="755">
        <f t="shared" si="379"/>
        <v>0</v>
      </c>
      <c r="Z2877" s="864"/>
      <c r="AA2877" s="863"/>
      <c r="AB2877" s="756">
        <f t="shared" si="380"/>
        <v>0</v>
      </c>
      <c r="AC2877" s="859"/>
      <c r="AD2877" s="863"/>
      <c r="AE2877" s="859"/>
      <c r="AF2877" s="859"/>
      <c r="AG2877" s="864"/>
      <c r="AH2877" s="865"/>
      <c r="AI2877" s="757">
        <f t="shared" si="384"/>
        <v>405364562</v>
      </c>
      <c r="AJ2877" s="758">
        <f t="shared" si="385"/>
        <v>402970444</v>
      </c>
    </row>
    <row r="2878" spans="1:36" x14ac:dyDescent="0.2">
      <c r="A2878" s="1104" t="s">
        <v>156</v>
      </c>
      <c r="B2878" s="1105" t="s">
        <v>264</v>
      </c>
      <c r="C2878" s="1110" t="s">
        <v>925</v>
      </c>
      <c r="D2878" s="1111"/>
      <c r="E2878" s="1112">
        <v>232982</v>
      </c>
      <c r="F2878" s="1113">
        <v>1</v>
      </c>
      <c r="G2878" s="859">
        <v>97649766</v>
      </c>
      <c r="H2878" s="860">
        <v>103809827</v>
      </c>
      <c r="I2878" s="861">
        <v>3099838</v>
      </c>
      <c r="J2878" s="862">
        <v>3099838</v>
      </c>
      <c r="K2878" s="859"/>
      <c r="L2878" s="863"/>
      <c r="M2878" s="859">
        <v>124638183</v>
      </c>
      <c r="N2878" s="859">
        <v>1063161</v>
      </c>
      <c r="O2878" s="752">
        <f t="shared" si="378"/>
        <v>125701344</v>
      </c>
      <c r="P2878" s="862">
        <v>137728221</v>
      </c>
      <c r="Q2878" s="860">
        <v>458766</v>
      </c>
      <c r="R2878" s="753">
        <f t="shared" si="381"/>
        <v>138186987</v>
      </c>
      <c r="S2878" s="752">
        <f t="shared" si="382"/>
        <v>225387787</v>
      </c>
      <c r="T2878" s="754">
        <f t="shared" si="383"/>
        <v>244637886</v>
      </c>
      <c r="U2878" s="859"/>
      <c r="V2878" s="863"/>
      <c r="W2878" s="859"/>
      <c r="X2878" s="859"/>
      <c r="Y2878" s="755">
        <f t="shared" si="379"/>
        <v>0</v>
      </c>
      <c r="Z2878" s="864"/>
      <c r="AA2878" s="863"/>
      <c r="AB2878" s="756">
        <f t="shared" si="380"/>
        <v>0</v>
      </c>
      <c r="AC2878" s="859"/>
      <c r="AD2878" s="863"/>
      <c r="AE2878" s="859"/>
      <c r="AF2878" s="859"/>
      <c r="AG2878" s="864"/>
      <c r="AH2878" s="865"/>
      <c r="AI2878" s="757">
        <f t="shared" si="384"/>
        <v>225387787</v>
      </c>
      <c r="AJ2878" s="758">
        <f t="shared" si="385"/>
        <v>244637886</v>
      </c>
    </row>
    <row r="2879" spans="1:36" x14ac:dyDescent="0.2">
      <c r="A2879" s="1104" t="s">
        <v>156</v>
      </c>
      <c r="B2879" s="1105" t="s">
        <v>264</v>
      </c>
      <c r="C2879" s="1106" t="s">
        <v>926</v>
      </c>
      <c r="D2879" s="1107"/>
      <c r="E2879" s="1108">
        <v>234076</v>
      </c>
      <c r="F2879" s="1109">
        <v>1</v>
      </c>
      <c r="G2879" s="859">
        <v>99331142</v>
      </c>
      <c r="H2879" s="860">
        <v>103100232</v>
      </c>
      <c r="I2879" s="861">
        <v>4732332</v>
      </c>
      <c r="J2879" s="862">
        <v>6732332</v>
      </c>
      <c r="K2879" s="859"/>
      <c r="L2879" s="863"/>
      <c r="M2879" s="859">
        <v>459701000</v>
      </c>
      <c r="N2879" s="859">
        <v>4768632</v>
      </c>
      <c r="O2879" s="752">
        <f t="shared" si="378"/>
        <v>464469632</v>
      </c>
      <c r="P2879" s="862">
        <v>445310563</v>
      </c>
      <c r="Q2879" s="860">
        <v>4670622</v>
      </c>
      <c r="R2879" s="753">
        <f t="shared" si="381"/>
        <v>449981185</v>
      </c>
      <c r="S2879" s="752">
        <f t="shared" si="382"/>
        <v>563764474</v>
      </c>
      <c r="T2879" s="754">
        <f t="shared" si="383"/>
        <v>555143127</v>
      </c>
      <c r="U2879" s="859"/>
      <c r="V2879" s="863"/>
      <c r="W2879" s="859"/>
      <c r="X2879" s="859"/>
      <c r="Y2879" s="755">
        <f t="shared" si="379"/>
        <v>0</v>
      </c>
      <c r="Z2879" s="864"/>
      <c r="AA2879" s="863"/>
      <c r="AB2879" s="756">
        <f t="shared" si="380"/>
        <v>0</v>
      </c>
      <c r="AC2879" s="859"/>
      <c r="AD2879" s="863"/>
      <c r="AE2879" s="859"/>
      <c r="AF2879" s="859"/>
      <c r="AG2879" s="864"/>
      <c r="AH2879" s="865"/>
      <c r="AI2879" s="757">
        <f t="shared" si="384"/>
        <v>563764474</v>
      </c>
      <c r="AJ2879" s="758">
        <f t="shared" si="385"/>
        <v>555143127</v>
      </c>
    </row>
    <row r="2880" spans="1:36" x14ac:dyDescent="0.2">
      <c r="A2880" s="1104" t="s">
        <v>156</v>
      </c>
      <c r="B2880" s="1105" t="s">
        <v>280</v>
      </c>
      <c r="C2880" s="1114" t="s">
        <v>678</v>
      </c>
      <c r="D2880" s="1115"/>
      <c r="E2880" s="1108">
        <v>234076</v>
      </c>
      <c r="F2880" s="1109">
        <v>1</v>
      </c>
      <c r="G2880" s="859"/>
      <c r="H2880" s="860"/>
      <c r="I2880" s="861"/>
      <c r="J2880" s="862"/>
      <c r="K2880" s="859"/>
      <c r="L2880" s="863"/>
      <c r="M2880" s="859"/>
      <c r="N2880" s="859"/>
      <c r="O2880" s="752">
        <f t="shared" si="378"/>
        <v>0</v>
      </c>
      <c r="P2880" s="862"/>
      <c r="Q2880" s="860"/>
      <c r="R2880" s="753">
        <f t="shared" si="381"/>
        <v>0</v>
      </c>
      <c r="S2880" s="752">
        <f t="shared" si="382"/>
        <v>0</v>
      </c>
      <c r="T2880" s="754">
        <f t="shared" si="383"/>
        <v>0</v>
      </c>
      <c r="U2880" s="859"/>
      <c r="V2880" s="863"/>
      <c r="W2880" s="859"/>
      <c r="X2880" s="859"/>
      <c r="Y2880" s="755">
        <f t="shared" si="379"/>
        <v>0</v>
      </c>
      <c r="Z2880" s="864"/>
      <c r="AA2880" s="863"/>
      <c r="AB2880" s="756">
        <f t="shared" si="380"/>
        <v>0</v>
      </c>
      <c r="AC2880" s="859">
        <v>16414805</v>
      </c>
      <c r="AD2880" s="863">
        <v>16414805</v>
      </c>
      <c r="AE2880" s="859">
        <v>43557434</v>
      </c>
      <c r="AF2880" s="859"/>
      <c r="AG2880" s="864">
        <v>45087505</v>
      </c>
      <c r="AH2880" s="865"/>
      <c r="AI2880" s="757">
        <f t="shared" si="384"/>
        <v>59972239</v>
      </c>
      <c r="AJ2880" s="758">
        <f t="shared" si="385"/>
        <v>61502310</v>
      </c>
    </row>
    <row r="2881" spans="1:36" x14ac:dyDescent="0.2">
      <c r="A2881" s="1104" t="s">
        <v>156</v>
      </c>
      <c r="B2881" s="1105" t="s">
        <v>264</v>
      </c>
      <c r="C2881" s="1106" t="s">
        <v>927</v>
      </c>
      <c r="D2881" s="1107"/>
      <c r="E2881" s="1108">
        <v>233921</v>
      </c>
      <c r="F2881" s="1109">
        <v>1</v>
      </c>
      <c r="G2881" s="859">
        <v>126674291</v>
      </c>
      <c r="H2881" s="860">
        <v>130754013</v>
      </c>
      <c r="I2881" s="861">
        <v>3138544</v>
      </c>
      <c r="J2881" s="862">
        <v>4138544</v>
      </c>
      <c r="K2881" s="859"/>
      <c r="L2881" s="863"/>
      <c r="M2881" s="859">
        <v>371133106</v>
      </c>
      <c r="N2881" s="859">
        <v>4625280</v>
      </c>
      <c r="O2881" s="752">
        <f t="shared" si="378"/>
        <v>375758386</v>
      </c>
      <c r="P2881" s="862">
        <v>377019655</v>
      </c>
      <c r="Q2881" s="860">
        <v>4656663</v>
      </c>
      <c r="R2881" s="753">
        <f t="shared" si="381"/>
        <v>381676318</v>
      </c>
      <c r="S2881" s="752">
        <f t="shared" si="382"/>
        <v>500945941</v>
      </c>
      <c r="T2881" s="754">
        <f t="shared" si="383"/>
        <v>511912212</v>
      </c>
      <c r="U2881" s="859"/>
      <c r="V2881" s="863"/>
      <c r="W2881" s="859"/>
      <c r="X2881" s="859"/>
      <c r="Y2881" s="755">
        <f t="shared" si="379"/>
        <v>0</v>
      </c>
      <c r="Z2881" s="864"/>
      <c r="AA2881" s="863"/>
      <c r="AB2881" s="756">
        <f t="shared" si="380"/>
        <v>0</v>
      </c>
      <c r="AC2881" s="859"/>
      <c r="AD2881" s="863"/>
      <c r="AE2881" s="859"/>
      <c r="AF2881" s="859"/>
      <c r="AG2881" s="864"/>
      <c r="AH2881" s="865"/>
      <c r="AI2881" s="757">
        <f t="shared" si="384"/>
        <v>500945941</v>
      </c>
      <c r="AJ2881" s="758">
        <f t="shared" si="385"/>
        <v>511912212</v>
      </c>
    </row>
    <row r="2882" spans="1:36" x14ac:dyDescent="0.2">
      <c r="A2882" s="1104" t="s">
        <v>156</v>
      </c>
      <c r="B2882" s="1105" t="s">
        <v>280</v>
      </c>
      <c r="C2882" s="1114" t="s">
        <v>453</v>
      </c>
      <c r="D2882" s="1115"/>
      <c r="E2882" s="1108">
        <v>233921</v>
      </c>
      <c r="F2882" s="1109">
        <v>1</v>
      </c>
      <c r="G2882" s="859"/>
      <c r="H2882" s="860"/>
      <c r="I2882" s="861"/>
      <c r="J2882" s="862"/>
      <c r="K2882" s="859"/>
      <c r="L2882" s="863"/>
      <c r="M2882" s="859"/>
      <c r="N2882" s="859"/>
      <c r="O2882" s="752">
        <f t="shared" si="378"/>
        <v>0</v>
      </c>
      <c r="P2882" s="862"/>
      <c r="Q2882" s="860"/>
      <c r="R2882" s="753">
        <f t="shared" si="381"/>
        <v>0</v>
      </c>
      <c r="S2882" s="752">
        <f t="shared" si="382"/>
        <v>0</v>
      </c>
      <c r="T2882" s="754">
        <f t="shared" si="383"/>
        <v>0</v>
      </c>
      <c r="U2882" s="859"/>
      <c r="V2882" s="863"/>
      <c r="W2882" s="859"/>
      <c r="X2882" s="859"/>
      <c r="Y2882" s="755">
        <f t="shared" si="379"/>
        <v>0</v>
      </c>
      <c r="Z2882" s="864"/>
      <c r="AA2882" s="863"/>
      <c r="AB2882" s="756">
        <f t="shared" si="380"/>
        <v>0</v>
      </c>
      <c r="AC2882" s="859">
        <v>11273617</v>
      </c>
      <c r="AD2882" s="863">
        <v>11862960</v>
      </c>
      <c r="AE2882" s="859">
        <v>13079815</v>
      </c>
      <c r="AF2882" s="859"/>
      <c r="AG2882" s="864">
        <v>15192231</v>
      </c>
      <c r="AH2882" s="865"/>
      <c r="AI2882" s="757">
        <f t="shared" si="384"/>
        <v>24353432</v>
      </c>
      <c r="AJ2882" s="758">
        <f t="shared" si="385"/>
        <v>27055191</v>
      </c>
    </row>
    <row r="2883" spans="1:36" x14ac:dyDescent="0.2">
      <c r="A2883" s="1104" t="s">
        <v>156</v>
      </c>
      <c r="B2883" s="1105" t="s">
        <v>268</v>
      </c>
      <c r="C2883" s="1116" t="s">
        <v>928</v>
      </c>
      <c r="D2883" s="1115"/>
      <c r="E2883" s="1108">
        <v>233921</v>
      </c>
      <c r="F2883" s="1109">
        <v>1</v>
      </c>
      <c r="G2883" s="859"/>
      <c r="H2883" s="860"/>
      <c r="I2883" s="861">
        <v>30461149</v>
      </c>
      <c r="J2883" s="862">
        <v>30877496</v>
      </c>
      <c r="K2883" s="859"/>
      <c r="L2883" s="863"/>
      <c r="M2883" s="859"/>
      <c r="N2883" s="859"/>
      <c r="O2883" s="752">
        <f t="shared" si="378"/>
        <v>0</v>
      </c>
      <c r="P2883" s="862"/>
      <c r="Q2883" s="860"/>
      <c r="R2883" s="753">
        <f t="shared" si="381"/>
        <v>0</v>
      </c>
      <c r="S2883" s="752">
        <f t="shared" si="382"/>
        <v>30461149</v>
      </c>
      <c r="T2883" s="754">
        <f t="shared" si="383"/>
        <v>30877496</v>
      </c>
      <c r="U2883" s="859"/>
      <c r="V2883" s="863"/>
      <c r="W2883" s="859"/>
      <c r="X2883" s="859"/>
      <c r="Y2883" s="755">
        <f t="shared" si="379"/>
        <v>0</v>
      </c>
      <c r="Z2883" s="864"/>
      <c r="AA2883" s="863"/>
      <c r="AB2883" s="756">
        <f t="shared" si="380"/>
        <v>0</v>
      </c>
      <c r="AC2883" s="859"/>
      <c r="AD2883" s="863"/>
      <c r="AE2883" s="859"/>
      <c r="AF2883" s="859"/>
      <c r="AG2883" s="864"/>
      <c r="AH2883" s="865"/>
      <c r="AI2883" s="757">
        <f t="shared" si="384"/>
        <v>30461149</v>
      </c>
      <c r="AJ2883" s="758">
        <f t="shared" si="385"/>
        <v>30877496</v>
      </c>
    </row>
    <row r="2884" spans="1:36" x14ac:dyDescent="0.2">
      <c r="A2884" s="1104" t="s">
        <v>156</v>
      </c>
      <c r="B2884" s="1105" t="s">
        <v>269</v>
      </c>
      <c r="C2884" s="1116" t="s">
        <v>929</v>
      </c>
      <c r="D2884" s="1115"/>
      <c r="E2884" s="1108">
        <v>233921</v>
      </c>
      <c r="F2884" s="1109">
        <v>1</v>
      </c>
      <c r="G2884" s="859"/>
      <c r="H2884" s="860"/>
      <c r="I2884" s="861">
        <v>30030646</v>
      </c>
      <c r="J2884" s="862">
        <v>31027270</v>
      </c>
      <c r="K2884" s="859"/>
      <c r="L2884" s="863"/>
      <c r="M2884" s="859"/>
      <c r="N2884" s="859"/>
      <c r="O2884" s="752">
        <f t="shared" si="378"/>
        <v>0</v>
      </c>
      <c r="P2884" s="862"/>
      <c r="Q2884" s="860"/>
      <c r="R2884" s="753">
        <f t="shared" si="381"/>
        <v>0</v>
      </c>
      <c r="S2884" s="752">
        <f t="shared" si="382"/>
        <v>30030646</v>
      </c>
      <c r="T2884" s="754">
        <f t="shared" si="383"/>
        <v>31027270</v>
      </c>
      <c r="U2884" s="859"/>
      <c r="V2884" s="863"/>
      <c r="W2884" s="859"/>
      <c r="X2884" s="859"/>
      <c r="Y2884" s="755">
        <f t="shared" si="379"/>
        <v>0</v>
      </c>
      <c r="Z2884" s="864"/>
      <c r="AA2884" s="863"/>
      <c r="AB2884" s="756">
        <f t="shared" si="380"/>
        <v>0</v>
      </c>
      <c r="AC2884" s="859"/>
      <c r="AD2884" s="863"/>
      <c r="AE2884" s="859"/>
      <c r="AF2884" s="859"/>
      <c r="AG2884" s="864"/>
      <c r="AH2884" s="865"/>
      <c r="AI2884" s="757">
        <f t="shared" si="384"/>
        <v>30030646</v>
      </c>
      <c r="AJ2884" s="758">
        <f t="shared" si="385"/>
        <v>31027270</v>
      </c>
    </row>
    <row r="2885" spans="1:36" x14ac:dyDescent="0.2">
      <c r="A2885" s="1104" t="s">
        <v>156</v>
      </c>
      <c r="B2885" s="1105" t="s">
        <v>264</v>
      </c>
      <c r="C2885" s="1106" t="s">
        <v>930</v>
      </c>
      <c r="D2885" s="1107"/>
      <c r="E2885" s="1108">
        <v>231624</v>
      </c>
      <c r="F2885" s="1109">
        <v>2</v>
      </c>
      <c r="G2885" s="859">
        <v>36843298</v>
      </c>
      <c r="H2885" s="860">
        <v>38343452</v>
      </c>
      <c r="I2885" s="861">
        <v>75000</v>
      </c>
      <c r="J2885" s="862">
        <v>75000</v>
      </c>
      <c r="K2885" s="859"/>
      <c r="L2885" s="863"/>
      <c r="M2885" s="859">
        <v>112748169</v>
      </c>
      <c r="N2885" s="859">
        <v>1412532</v>
      </c>
      <c r="O2885" s="752">
        <f t="shared" si="378"/>
        <v>114160701</v>
      </c>
      <c r="P2885" s="862">
        <v>139639459</v>
      </c>
      <c r="Q2885" s="860">
        <v>1493811</v>
      </c>
      <c r="R2885" s="753">
        <f t="shared" si="381"/>
        <v>141133270</v>
      </c>
      <c r="S2885" s="752">
        <f t="shared" si="382"/>
        <v>149666467</v>
      </c>
      <c r="T2885" s="754">
        <f t="shared" si="383"/>
        <v>178057911</v>
      </c>
      <c r="U2885" s="859"/>
      <c r="V2885" s="863"/>
      <c r="W2885" s="859"/>
      <c r="X2885" s="859"/>
      <c r="Y2885" s="755">
        <f t="shared" si="379"/>
        <v>0</v>
      </c>
      <c r="Z2885" s="864"/>
      <c r="AA2885" s="863"/>
      <c r="AB2885" s="756">
        <f t="shared" si="380"/>
        <v>0</v>
      </c>
      <c r="AC2885" s="859"/>
      <c r="AD2885" s="863"/>
      <c r="AE2885" s="859"/>
      <c r="AF2885" s="859"/>
      <c r="AG2885" s="864"/>
      <c r="AH2885" s="865"/>
      <c r="AI2885" s="757">
        <f t="shared" si="384"/>
        <v>149666467</v>
      </c>
      <c r="AJ2885" s="758">
        <f t="shared" si="385"/>
        <v>178057911</v>
      </c>
    </row>
    <row r="2886" spans="1:36" x14ac:dyDescent="0.2">
      <c r="A2886" s="1104" t="s">
        <v>156</v>
      </c>
      <c r="B2886" s="1105" t="s">
        <v>271</v>
      </c>
      <c r="C2886" s="1116" t="s">
        <v>309</v>
      </c>
      <c r="D2886" s="1115"/>
      <c r="E2886" s="1108">
        <v>231624</v>
      </c>
      <c r="F2886" s="1109">
        <v>2</v>
      </c>
      <c r="G2886" s="859"/>
      <c r="H2886" s="860"/>
      <c r="I2886" s="861"/>
      <c r="J2886" s="862"/>
      <c r="K2886" s="859"/>
      <c r="L2886" s="863"/>
      <c r="M2886" s="859"/>
      <c r="N2886" s="859"/>
      <c r="O2886" s="752">
        <f t="shared" si="378"/>
        <v>0</v>
      </c>
      <c r="P2886" s="862"/>
      <c r="Q2886" s="860"/>
      <c r="R2886" s="753">
        <f t="shared" si="381"/>
        <v>0</v>
      </c>
      <c r="S2886" s="752">
        <f t="shared" si="382"/>
        <v>0</v>
      </c>
      <c r="T2886" s="754">
        <f t="shared" si="383"/>
        <v>0</v>
      </c>
      <c r="U2886" s="859"/>
      <c r="V2886" s="863"/>
      <c r="W2886" s="859"/>
      <c r="X2886" s="859"/>
      <c r="Y2886" s="755">
        <f t="shared" si="379"/>
        <v>0</v>
      </c>
      <c r="Z2886" s="864"/>
      <c r="AA2886" s="863"/>
      <c r="AB2886" s="756">
        <f t="shared" si="380"/>
        <v>0</v>
      </c>
      <c r="AC2886" s="859"/>
      <c r="AD2886" s="863"/>
      <c r="AE2886" s="859"/>
      <c r="AF2886" s="859"/>
      <c r="AG2886" s="864"/>
      <c r="AH2886" s="865"/>
      <c r="AI2886" s="757">
        <f t="shared" si="384"/>
        <v>0</v>
      </c>
      <c r="AJ2886" s="758">
        <f t="shared" si="385"/>
        <v>0</v>
      </c>
    </row>
    <row r="2887" spans="1:36" x14ac:dyDescent="0.2">
      <c r="A2887" s="1104" t="s">
        <v>156</v>
      </c>
      <c r="B2887" s="1105" t="s">
        <v>271</v>
      </c>
      <c r="C2887" s="1114" t="s">
        <v>931</v>
      </c>
      <c r="D2887" s="1115"/>
      <c r="E2887" s="1108">
        <v>231624</v>
      </c>
      <c r="F2887" s="1109">
        <v>2</v>
      </c>
      <c r="G2887" s="859"/>
      <c r="H2887" s="860"/>
      <c r="I2887" s="861">
        <v>17160545</v>
      </c>
      <c r="J2887" s="862">
        <v>17491970</v>
      </c>
      <c r="K2887" s="859"/>
      <c r="L2887" s="863"/>
      <c r="M2887" s="859"/>
      <c r="N2887" s="859"/>
      <c r="O2887" s="752">
        <f t="shared" si="378"/>
        <v>0</v>
      </c>
      <c r="P2887" s="862"/>
      <c r="Q2887" s="860"/>
      <c r="R2887" s="753">
        <f t="shared" si="381"/>
        <v>0</v>
      </c>
      <c r="S2887" s="752">
        <f t="shared" si="382"/>
        <v>17160545</v>
      </c>
      <c r="T2887" s="754">
        <f t="shared" si="383"/>
        <v>17491970</v>
      </c>
      <c r="U2887" s="859"/>
      <c r="V2887" s="863"/>
      <c r="W2887" s="859"/>
      <c r="X2887" s="859"/>
      <c r="Y2887" s="755">
        <f t="shared" si="379"/>
        <v>0</v>
      </c>
      <c r="Z2887" s="864"/>
      <c r="AA2887" s="863"/>
      <c r="AB2887" s="756">
        <f t="shared" si="380"/>
        <v>0</v>
      </c>
      <c r="AC2887" s="859"/>
      <c r="AD2887" s="863"/>
      <c r="AE2887" s="859"/>
      <c r="AF2887" s="859"/>
      <c r="AG2887" s="864"/>
      <c r="AH2887" s="865"/>
      <c r="AI2887" s="757">
        <f t="shared" si="384"/>
        <v>17160545</v>
      </c>
      <c r="AJ2887" s="758">
        <f t="shared" si="385"/>
        <v>17491970</v>
      </c>
    </row>
    <row r="2888" spans="1:36" x14ac:dyDescent="0.2">
      <c r="A2888" s="1104" t="s">
        <v>156</v>
      </c>
      <c r="B2888" s="1105" t="s">
        <v>264</v>
      </c>
      <c r="C2888" s="1110" t="s">
        <v>932</v>
      </c>
      <c r="D2888" s="1111" t="s">
        <v>1661</v>
      </c>
      <c r="E2888" s="1108">
        <v>234030</v>
      </c>
      <c r="F2888" s="1109">
        <v>2</v>
      </c>
      <c r="G2888" s="859">
        <v>112508868</v>
      </c>
      <c r="H2888" s="860">
        <v>116820767</v>
      </c>
      <c r="I2888" s="861">
        <v>8912500</v>
      </c>
      <c r="J2888" s="862">
        <v>10162500</v>
      </c>
      <c r="K2888" s="859"/>
      <c r="L2888" s="863"/>
      <c r="M2888" s="859">
        <v>313162213</v>
      </c>
      <c r="N2888" s="859">
        <v>1714383</v>
      </c>
      <c r="O2888" s="752">
        <f t="shared" si="378"/>
        <v>314876596</v>
      </c>
      <c r="P2888" s="862">
        <v>290142227</v>
      </c>
      <c r="Q2888" s="860">
        <v>2132460</v>
      </c>
      <c r="R2888" s="753">
        <f t="shared" si="381"/>
        <v>292274687</v>
      </c>
      <c r="S2888" s="752">
        <f t="shared" si="382"/>
        <v>434583581</v>
      </c>
      <c r="T2888" s="754">
        <f t="shared" si="383"/>
        <v>417125494</v>
      </c>
      <c r="U2888" s="859"/>
      <c r="V2888" s="863"/>
      <c r="W2888" s="859"/>
      <c r="X2888" s="859"/>
      <c r="Y2888" s="755">
        <f t="shared" si="379"/>
        <v>0</v>
      </c>
      <c r="Z2888" s="864"/>
      <c r="AA2888" s="863"/>
      <c r="AB2888" s="756">
        <f t="shared" si="380"/>
        <v>0</v>
      </c>
      <c r="AC2888" s="859"/>
      <c r="AD2888" s="863"/>
      <c r="AE2888" s="859"/>
      <c r="AF2888" s="859"/>
      <c r="AG2888" s="864"/>
      <c r="AH2888" s="865"/>
      <c r="AI2888" s="757">
        <f t="shared" si="384"/>
        <v>434583581</v>
      </c>
      <c r="AJ2888" s="758">
        <f t="shared" si="385"/>
        <v>417125494</v>
      </c>
    </row>
    <row r="2889" spans="1:36" x14ac:dyDescent="0.2">
      <c r="A2889" s="1104" t="s">
        <v>156</v>
      </c>
      <c r="B2889" s="1105" t="s">
        <v>280</v>
      </c>
      <c r="C2889" s="1114" t="s">
        <v>678</v>
      </c>
      <c r="D2889" s="1115"/>
      <c r="E2889" s="1108">
        <v>234030</v>
      </c>
      <c r="F2889" s="1109">
        <v>2</v>
      </c>
      <c r="G2889" s="859"/>
      <c r="H2889" s="860"/>
      <c r="I2889" s="861"/>
      <c r="J2889" s="862"/>
      <c r="K2889" s="859"/>
      <c r="L2889" s="863"/>
      <c r="M2889" s="859"/>
      <c r="N2889" s="859"/>
      <c r="O2889" s="752">
        <f t="shared" si="378"/>
        <v>0</v>
      </c>
      <c r="P2889" s="862"/>
      <c r="Q2889" s="860"/>
      <c r="R2889" s="753">
        <f t="shared" si="381"/>
        <v>0</v>
      </c>
      <c r="S2889" s="752">
        <f t="shared" si="382"/>
        <v>0</v>
      </c>
      <c r="T2889" s="754">
        <f t="shared" si="383"/>
        <v>0</v>
      </c>
      <c r="U2889" s="859"/>
      <c r="V2889" s="863"/>
      <c r="W2889" s="859"/>
      <c r="X2889" s="859"/>
      <c r="Y2889" s="755">
        <f t="shared" si="379"/>
        <v>0</v>
      </c>
      <c r="Z2889" s="864"/>
      <c r="AA2889" s="863"/>
      <c r="AB2889" s="756">
        <f t="shared" si="380"/>
        <v>0</v>
      </c>
      <c r="AC2889" s="859">
        <v>38041247</v>
      </c>
      <c r="AD2889" s="863">
        <v>38068870</v>
      </c>
      <c r="AE2889" s="859">
        <v>42179650</v>
      </c>
      <c r="AF2889" s="859"/>
      <c r="AG2889" s="864">
        <v>43801240</v>
      </c>
      <c r="AH2889" s="865"/>
      <c r="AI2889" s="757">
        <f t="shared" si="384"/>
        <v>80220897</v>
      </c>
      <c r="AJ2889" s="758">
        <f t="shared" si="385"/>
        <v>81870110</v>
      </c>
    </row>
    <row r="2890" spans="1:36" x14ac:dyDescent="0.2">
      <c r="A2890" s="1104" t="s">
        <v>156</v>
      </c>
      <c r="B2890" s="1105" t="s">
        <v>264</v>
      </c>
      <c r="C2890" s="1106" t="s">
        <v>933</v>
      </c>
      <c r="D2890" s="1107"/>
      <c r="E2890" s="1108">
        <v>232423</v>
      </c>
      <c r="F2890" s="1109">
        <v>3</v>
      </c>
      <c r="G2890" s="859">
        <v>66728837</v>
      </c>
      <c r="H2890" s="860">
        <v>69808843</v>
      </c>
      <c r="I2890" s="861"/>
      <c r="J2890" s="862"/>
      <c r="K2890" s="859"/>
      <c r="L2890" s="863"/>
      <c r="M2890" s="859">
        <v>174002043</v>
      </c>
      <c r="N2890" s="859">
        <v>2672109</v>
      </c>
      <c r="O2890" s="752">
        <f t="shared" si="378"/>
        <v>176674152</v>
      </c>
      <c r="P2890" s="862">
        <v>188451376</v>
      </c>
      <c r="Q2890" s="860">
        <v>2635578</v>
      </c>
      <c r="R2890" s="753">
        <f t="shared" si="381"/>
        <v>191086954</v>
      </c>
      <c r="S2890" s="752">
        <f t="shared" si="382"/>
        <v>240730880</v>
      </c>
      <c r="T2890" s="754">
        <f t="shared" si="383"/>
        <v>258260219</v>
      </c>
      <c r="U2890" s="859"/>
      <c r="V2890" s="863"/>
      <c r="W2890" s="859"/>
      <c r="X2890" s="859"/>
      <c r="Y2890" s="755">
        <f t="shared" si="379"/>
        <v>0</v>
      </c>
      <c r="Z2890" s="864"/>
      <c r="AA2890" s="863"/>
      <c r="AB2890" s="756">
        <f t="shared" si="380"/>
        <v>0</v>
      </c>
      <c r="AC2890" s="859"/>
      <c r="AD2890" s="863"/>
      <c r="AE2890" s="859"/>
      <c r="AF2890" s="859"/>
      <c r="AG2890" s="864"/>
      <c r="AH2890" s="865"/>
      <c r="AI2890" s="757">
        <f t="shared" si="384"/>
        <v>240730880</v>
      </c>
      <c r="AJ2890" s="758">
        <f t="shared" si="385"/>
        <v>258260219</v>
      </c>
    </row>
    <row r="2891" spans="1:36" x14ac:dyDescent="0.2">
      <c r="A2891" s="1104" t="s">
        <v>156</v>
      </c>
      <c r="B2891" s="1105" t="s">
        <v>264</v>
      </c>
      <c r="C2891" s="1110" t="s">
        <v>934</v>
      </c>
      <c r="D2891" s="1111"/>
      <c r="E2891" s="1112">
        <v>232937</v>
      </c>
      <c r="F2891" s="1113">
        <v>3</v>
      </c>
      <c r="G2891" s="859">
        <v>39740782</v>
      </c>
      <c r="H2891" s="860">
        <v>40473227</v>
      </c>
      <c r="I2891" s="861"/>
      <c r="J2891" s="862"/>
      <c r="K2891" s="859"/>
      <c r="L2891" s="863"/>
      <c r="M2891" s="859">
        <v>36221177</v>
      </c>
      <c r="N2891" s="859">
        <v>499356</v>
      </c>
      <c r="O2891" s="752">
        <f t="shared" ref="O2891:O2954" si="386">SUM(M2891:N2891)</f>
        <v>36720533</v>
      </c>
      <c r="P2891" s="862">
        <v>40627201</v>
      </c>
      <c r="Q2891" s="860">
        <v>293535</v>
      </c>
      <c r="R2891" s="753">
        <f t="shared" si="381"/>
        <v>40920736</v>
      </c>
      <c r="S2891" s="752">
        <f t="shared" si="382"/>
        <v>75961959</v>
      </c>
      <c r="T2891" s="754">
        <f t="shared" si="383"/>
        <v>81100428</v>
      </c>
      <c r="U2891" s="859"/>
      <c r="V2891" s="863"/>
      <c r="W2891" s="859"/>
      <c r="X2891" s="859"/>
      <c r="Y2891" s="755">
        <f t="shared" ref="Y2891:Y2954" si="387">SUM(W2891:X2891)</f>
        <v>0</v>
      </c>
      <c r="Z2891" s="864"/>
      <c r="AA2891" s="863"/>
      <c r="AB2891" s="756">
        <f t="shared" ref="AB2891:AB2954" si="388">SUM(Z2891:AA2891)</f>
        <v>0</v>
      </c>
      <c r="AC2891" s="859"/>
      <c r="AD2891" s="863"/>
      <c r="AE2891" s="859"/>
      <c r="AF2891" s="859"/>
      <c r="AG2891" s="864"/>
      <c r="AH2891" s="865"/>
      <c r="AI2891" s="757">
        <f t="shared" si="384"/>
        <v>75961959</v>
      </c>
      <c r="AJ2891" s="758">
        <f t="shared" si="385"/>
        <v>81100428</v>
      </c>
    </row>
    <row r="2892" spans="1:36" x14ac:dyDescent="0.2">
      <c r="A2892" s="1104" t="s">
        <v>156</v>
      </c>
      <c r="B2892" s="1105" t="s">
        <v>264</v>
      </c>
      <c r="C2892" s="1110" t="s">
        <v>935</v>
      </c>
      <c r="D2892" s="1446" t="s">
        <v>1235</v>
      </c>
      <c r="E2892" s="1108">
        <v>232566</v>
      </c>
      <c r="F2892" s="1507">
        <v>3</v>
      </c>
      <c r="G2892" s="859">
        <v>23038180</v>
      </c>
      <c r="H2892" s="860">
        <v>23618254</v>
      </c>
      <c r="I2892" s="861"/>
      <c r="J2892" s="862"/>
      <c r="K2892" s="859"/>
      <c r="L2892" s="863"/>
      <c r="M2892" s="859">
        <v>31364011</v>
      </c>
      <c r="N2892" s="859">
        <v>118701</v>
      </c>
      <c r="O2892" s="752">
        <f t="shared" si="386"/>
        <v>31482712</v>
      </c>
      <c r="P2892" s="862">
        <v>32422104</v>
      </c>
      <c r="Q2892" s="860">
        <v>111276</v>
      </c>
      <c r="R2892" s="753">
        <f t="shared" ref="R2892:R2955" si="389">SUM(P2892:Q2892)</f>
        <v>32533380</v>
      </c>
      <c r="S2892" s="752">
        <f t="shared" ref="S2892:S2955" si="390">SUM(G2892,I2892,K2892,M2892)</f>
        <v>54402191</v>
      </c>
      <c r="T2892" s="754">
        <f t="shared" ref="T2892:T2955" si="391">SUM(H2892,J2892,L2892,P2892)</f>
        <v>56040358</v>
      </c>
      <c r="U2892" s="859"/>
      <c r="V2892" s="863"/>
      <c r="W2892" s="859"/>
      <c r="X2892" s="859"/>
      <c r="Y2892" s="755">
        <f t="shared" si="387"/>
        <v>0</v>
      </c>
      <c r="Z2892" s="864"/>
      <c r="AA2892" s="863"/>
      <c r="AB2892" s="756">
        <f t="shared" si="388"/>
        <v>0</v>
      </c>
      <c r="AC2892" s="859"/>
      <c r="AD2892" s="863"/>
      <c r="AE2892" s="859"/>
      <c r="AF2892" s="859"/>
      <c r="AG2892" s="864"/>
      <c r="AH2892" s="865"/>
      <c r="AI2892" s="757">
        <f t="shared" ref="AI2892:AI2955" si="392">SUM(S2892,U2892,W2892,AC2892,AE2892)</f>
        <v>54402191</v>
      </c>
      <c r="AJ2892" s="758">
        <f t="shared" ref="AJ2892:AJ2955" si="393">SUM(T2892,V2892,Z2892,AD2892,AG2892)</f>
        <v>56040358</v>
      </c>
    </row>
    <row r="2893" spans="1:36" x14ac:dyDescent="0.2">
      <c r="A2893" s="1104" t="s">
        <v>156</v>
      </c>
      <c r="B2893" s="1105" t="s">
        <v>264</v>
      </c>
      <c r="C2893" s="1110" t="s">
        <v>936</v>
      </c>
      <c r="D2893" s="1446" t="s">
        <v>1235</v>
      </c>
      <c r="E2893" s="1121">
        <v>233277</v>
      </c>
      <c r="F2893" s="1507">
        <v>3</v>
      </c>
      <c r="G2893" s="859">
        <v>42168708</v>
      </c>
      <c r="H2893" s="860">
        <v>43456527</v>
      </c>
      <c r="I2893" s="861"/>
      <c r="J2893" s="862"/>
      <c r="K2893" s="859"/>
      <c r="L2893" s="863"/>
      <c r="M2893" s="859">
        <v>57411711</v>
      </c>
      <c r="N2893" s="859">
        <v>277002</v>
      </c>
      <c r="O2893" s="752">
        <f t="shared" si="386"/>
        <v>57688713</v>
      </c>
      <c r="P2893" s="862">
        <v>66908803</v>
      </c>
      <c r="Q2893" s="860">
        <v>1059300</v>
      </c>
      <c r="R2893" s="753">
        <f t="shared" si="389"/>
        <v>67968103</v>
      </c>
      <c r="S2893" s="752">
        <f t="shared" si="390"/>
        <v>99580419</v>
      </c>
      <c r="T2893" s="754">
        <f t="shared" si="391"/>
        <v>110365330</v>
      </c>
      <c r="U2893" s="859"/>
      <c r="V2893" s="863"/>
      <c r="W2893" s="859"/>
      <c r="X2893" s="859"/>
      <c r="Y2893" s="755">
        <f t="shared" si="387"/>
        <v>0</v>
      </c>
      <c r="Z2893" s="864"/>
      <c r="AA2893" s="863"/>
      <c r="AB2893" s="756">
        <f t="shared" si="388"/>
        <v>0</v>
      </c>
      <c r="AC2893" s="859"/>
      <c r="AD2893" s="863"/>
      <c r="AE2893" s="859"/>
      <c r="AF2893" s="859"/>
      <c r="AG2893" s="864"/>
      <c r="AH2893" s="865"/>
      <c r="AI2893" s="757">
        <f t="shared" si="392"/>
        <v>99580419</v>
      </c>
      <c r="AJ2893" s="758">
        <f t="shared" si="393"/>
        <v>110365330</v>
      </c>
    </row>
    <row r="2894" spans="1:36" x14ac:dyDescent="0.2">
      <c r="A2894" s="1104" t="s">
        <v>156</v>
      </c>
      <c r="B2894" s="1105" t="s">
        <v>264</v>
      </c>
      <c r="C2894" s="1106" t="s">
        <v>937</v>
      </c>
      <c r="D2894" s="1446" t="s">
        <v>1235</v>
      </c>
      <c r="E2894" s="1121">
        <v>234155</v>
      </c>
      <c r="F2894" s="1507">
        <v>3</v>
      </c>
      <c r="G2894" s="859">
        <v>29672881</v>
      </c>
      <c r="H2894" s="860">
        <v>30167239</v>
      </c>
      <c r="I2894" s="861"/>
      <c r="J2894" s="862"/>
      <c r="K2894" s="859"/>
      <c r="L2894" s="863"/>
      <c r="M2894" s="859">
        <v>42881727</v>
      </c>
      <c r="N2894" s="859">
        <v>858726</v>
      </c>
      <c r="O2894" s="752">
        <f t="shared" si="386"/>
        <v>43740453</v>
      </c>
      <c r="P2894" s="862">
        <v>43020598</v>
      </c>
      <c r="Q2894" s="860">
        <v>845856</v>
      </c>
      <c r="R2894" s="753">
        <f t="shared" si="389"/>
        <v>43866454</v>
      </c>
      <c r="S2894" s="752">
        <f t="shared" si="390"/>
        <v>72554608</v>
      </c>
      <c r="T2894" s="754">
        <f t="shared" si="391"/>
        <v>73187837</v>
      </c>
      <c r="U2894" s="859"/>
      <c r="V2894" s="863"/>
      <c r="W2894" s="859"/>
      <c r="X2894" s="859"/>
      <c r="Y2894" s="755">
        <f t="shared" si="387"/>
        <v>0</v>
      </c>
      <c r="Z2894" s="864"/>
      <c r="AA2894" s="863"/>
      <c r="AB2894" s="756">
        <f t="shared" si="388"/>
        <v>0</v>
      </c>
      <c r="AC2894" s="859"/>
      <c r="AD2894" s="863"/>
      <c r="AE2894" s="859"/>
      <c r="AF2894" s="859"/>
      <c r="AG2894" s="864"/>
      <c r="AH2894" s="865"/>
      <c r="AI2894" s="757">
        <f t="shared" si="392"/>
        <v>72554608</v>
      </c>
      <c r="AJ2894" s="758">
        <f t="shared" si="393"/>
        <v>73187837</v>
      </c>
    </row>
    <row r="2895" spans="1:36" x14ac:dyDescent="0.2">
      <c r="A2895" s="1104" t="s">
        <v>156</v>
      </c>
      <c r="B2895" s="1105" t="s">
        <v>268</v>
      </c>
      <c r="C2895" s="1116" t="s">
        <v>257</v>
      </c>
      <c r="D2895" s="1111"/>
      <c r="E2895" s="1108">
        <v>234155</v>
      </c>
      <c r="F2895" s="1507">
        <v>3</v>
      </c>
      <c r="G2895" s="859"/>
      <c r="H2895" s="860"/>
      <c r="I2895" s="861">
        <v>5136690</v>
      </c>
      <c r="J2895" s="862">
        <v>5313900</v>
      </c>
      <c r="K2895" s="859"/>
      <c r="L2895" s="863"/>
      <c r="M2895" s="859"/>
      <c r="N2895" s="859"/>
      <c r="O2895" s="752">
        <f t="shared" si="386"/>
        <v>0</v>
      </c>
      <c r="P2895" s="862"/>
      <c r="Q2895" s="860"/>
      <c r="R2895" s="753">
        <f t="shared" si="389"/>
        <v>0</v>
      </c>
      <c r="S2895" s="752">
        <f t="shared" si="390"/>
        <v>5136690</v>
      </c>
      <c r="T2895" s="754">
        <f t="shared" si="391"/>
        <v>5313900</v>
      </c>
      <c r="U2895" s="859"/>
      <c r="V2895" s="863"/>
      <c r="W2895" s="859"/>
      <c r="X2895" s="859"/>
      <c r="Y2895" s="755">
        <f t="shared" si="387"/>
        <v>0</v>
      </c>
      <c r="Z2895" s="864"/>
      <c r="AA2895" s="863"/>
      <c r="AB2895" s="756">
        <f t="shared" si="388"/>
        <v>0</v>
      </c>
      <c r="AC2895" s="859"/>
      <c r="AD2895" s="863"/>
      <c r="AE2895" s="859"/>
      <c r="AF2895" s="859"/>
      <c r="AG2895" s="864"/>
      <c r="AH2895" s="865"/>
      <c r="AI2895" s="757">
        <f t="shared" si="392"/>
        <v>5136690</v>
      </c>
      <c r="AJ2895" s="758">
        <f t="shared" si="393"/>
        <v>5313900</v>
      </c>
    </row>
    <row r="2896" spans="1:36" x14ac:dyDescent="0.2">
      <c r="A2896" s="1104" t="s">
        <v>156</v>
      </c>
      <c r="B2896" s="1105" t="s">
        <v>264</v>
      </c>
      <c r="C2896" s="1110" t="s">
        <v>938</v>
      </c>
      <c r="D2896" s="1111" t="s">
        <v>1799</v>
      </c>
      <c r="E2896" s="1112">
        <v>231712</v>
      </c>
      <c r="F2896" s="1113">
        <v>5</v>
      </c>
      <c r="G2896" s="859">
        <v>23779417</v>
      </c>
      <c r="H2896" s="860">
        <v>24479716</v>
      </c>
      <c r="I2896" s="861"/>
      <c r="J2896" s="862"/>
      <c r="K2896" s="859"/>
      <c r="L2896" s="863"/>
      <c r="M2896" s="859">
        <v>32896824</v>
      </c>
      <c r="N2896" s="859">
        <v>119097</v>
      </c>
      <c r="O2896" s="752">
        <f t="shared" si="386"/>
        <v>33015921</v>
      </c>
      <c r="P2896" s="862">
        <v>34906536</v>
      </c>
      <c r="Q2896" s="860">
        <v>112167</v>
      </c>
      <c r="R2896" s="753">
        <f t="shared" si="389"/>
        <v>35018703</v>
      </c>
      <c r="S2896" s="752">
        <f t="shared" si="390"/>
        <v>56676241</v>
      </c>
      <c r="T2896" s="754">
        <f t="shared" si="391"/>
        <v>59386252</v>
      </c>
      <c r="U2896" s="859"/>
      <c r="V2896" s="863"/>
      <c r="W2896" s="859"/>
      <c r="X2896" s="859"/>
      <c r="Y2896" s="755">
        <f t="shared" si="387"/>
        <v>0</v>
      </c>
      <c r="Z2896" s="864"/>
      <c r="AA2896" s="863"/>
      <c r="AB2896" s="756">
        <f t="shared" si="388"/>
        <v>0</v>
      </c>
      <c r="AC2896" s="859"/>
      <c r="AD2896" s="863"/>
      <c r="AE2896" s="859"/>
      <c r="AF2896" s="859"/>
      <c r="AG2896" s="864"/>
      <c r="AH2896" s="865"/>
      <c r="AI2896" s="757">
        <f t="shared" si="392"/>
        <v>56676241</v>
      </c>
      <c r="AJ2896" s="758">
        <f t="shared" si="393"/>
        <v>59386252</v>
      </c>
    </row>
    <row r="2897" spans="1:36" x14ac:dyDescent="0.2">
      <c r="A2897" s="1104" t="s">
        <v>156</v>
      </c>
      <c r="B2897" s="1105" t="s">
        <v>264</v>
      </c>
      <c r="C2897" s="1117" t="s">
        <v>939</v>
      </c>
      <c r="D2897" s="1446" t="s">
        <v>1235</v>
      </c>
      <c r="E2897" s="1121">
        <v>232681</v>
      </c>
      <c r="F2897" s="1507">
        <v>3</v>
      </c>
      <c r="G2897" s="859">
        <v>19195775</v>
      </c>
      <c r="H2897" s="860">
        <v>19800128</v>
      </c>
      <c r="I2897" s="861">
        <v>1900000</v>
      </c>
      <c r="J2897" s="862">
        <v>1750000</v>
      </c>
      <c r="K2897" s="859"/>
      <c r="L2897" s="863"/>
      <c r="M2897" s="859">
        <v>40124236</v>
      </c>
      <c r="N2897" s="859">
        <v>339669</v>
      </c>
      <c r="O2897" s="752">
        <f t="shared" si="386"/>
        <v>40463905</v>
      </c>
      <c r="P2897" s="862">
        <v>41482855</v>
      </c>
      <c r="Q2897" s="860">
        <v>275022</v>
      </c>
      <c r="R2897" s="753">
        <f t="shared" si="389"/>
        <v>41757877</v>
      </c>
      <c r="S2897" s="752">
        <f t="shared" si="390"/>
        <v>61220011</v>
      </c>
      <c r="T2897" s="754">
        <f t="shared" si="391"/>
        <v>63032983</v>
      </c>
      <c r="U2897" s="859"/>
      <c r="V2897" s="863"/>
      <c r="W2897" s="859"/>
      <c r="X2897" s="859"/>
      <c r="Y2897" s="755">
        <f t="shared" si="387"/>
        <v>0</v>
      </c>
      <c r="Z2897" s="864"/>
      <c r="AA2897" s="863"/>
      <c r="AB2897" s="756">
        <f t="shared" si="388"/>
        <v>0</v>
      </c>
      <c r="AC2897" s="859"/>
      <c r="AD2897" s="863"/>
      <c r="AE2897" s="859"/>
      <c r="AF2897" s="859"/>
      <c r="AG2897" s="864"/>
      <c r="AH2897" s="865"/>
      <c r="AI2897" s="757">
        <f t="shared" si="392"/>
        <v>61220011</v>
      </c>
      <c r="AJ2897" s="758">
        <f t="shared" si="393"/>
        <v>63032983</v>
      </c>
    </row>
    <row r="2898" spans="1:36" x14ac:dyDescent="0.2">
      <c r="A2898" s="1104" t="s">
        <v>156</v>
      </c>
      <c r="B2898" s="1105" t="s">
        <v>264</v>
      </c>
      <c r="C2898" s="1106" t="s">
        <v>940</v>
      </c>
      <c r="D2898" s="1111"/>
      <c r="E2898" s="1108">
        <v>233897</v>
      </c>
      <c r="F2898" s="1109">
        <v>6</v>
      </c>
      <c r="G2898" s="859">
        <v>12560895</v>
      </c>
      <c r="H2898" s="860">
        <v>12937643</v>
      </c>
      <c r="I2898" s="861"/>
      <c r="J2898" s="862"/>
      <c r="K2898" s="859"/>
      <c r="L2898" s="863"/>
      <c r="M2898" s="859">
        <v>7603241</v>
      </c>
      <c r="N2898" s="859">
        <v>41085</v>
      </c>
      <c r="O2898" s="752">
        <f t="shared" si="386"/>
        <v>7644326</v>
      </c>
      <c r="P2898" s="862">
        <v>8039812</v>
      </c>
      <c r="Q2898" s="860">
        <v>48510</v>
      </c>
      <c r="R2898" s="753">
        <f t="shared" si="389"/>
        <v>8088322</v>
      </c>
      <c r="S2898" s="752">
        <f t="shared" si="390"/>
        <v>20164136</v>
      </c>
      <c r="T2898" s="754">
        <f t="shared" si="391"/>
        <v>20977455</v>
      </c>
      <c r="U2898" s="859"/>
      <c r="V2898" s="863"/>
      <c r="W2898" s="859"/>
      <c r="X2898" s="859"/>
      <c r="Y2898" s="755">
        <f t="shared" si="387"/>
        <v>0</v>
      </c>
      <c r="Z2898" s="864"/>
      <c r="AA2898" s="863"/>
      <c r="AB2898" s="756">
        <f t="shared" si="388"/>
        <v>0</v>
      </c>
      <c r="AC2898" s="859"/>
      <c r="AD2898" s="863"/>
      <c r="AE2898" s="859"/>
      <c r="AF2898" s="859"/>
      <c r="AG2898" s="864"/>
      <c r="AH2898" s="865"/>
      <c r="AI2898" s="757">
        <f t="shared" si="392"/>
        <v>20164136</v>
      </c>
      <c r="AJ2898" s="758">
        <f t="shared" si="393"/>
        <v>20977455</v>
      </c>
    </row>
    <row r="2899" spans="1:36" x14ac:dyDescent="0.2">
      <c r="A2899" s="1104" t="s">
        <v>156</v>
      </c>
      <c r="B2899" s="1105" t="s">
        <v>264</v>
      </c>
      <c r="C2899" s="1106" t="s">
        <v>941</v>
      </c>
      <c r="D2899" s="1111"/>
      <c r="E2899" s="1108">
        <v>232414</v>
      </c>
      <c r="F2899" s="1109">
        <v>8</v>
      </c>
      <c r="G2899" s="859"/>
      <c r="H2899" s="860"/>
      <c r="I2899" s="861"/>
      <c r="J2899" s="862"/>
      <c r="K2899" s="859"/>
      <c r="L2899" s="863"/>
      <c r="M2899" s="859"/>
      <c r="N2899" s="859"/>
      <c r="O2899" s="752">
        <f t="shared" si="386"/>
        <v>0</v>
      </c>
      <c r="P2899" s="862"/>
      <c r="Q2899" s="860"/>
      <c r="R2899" s="753">
        <f t="shared" si="389"/>
        <v>0</v>
      </c>
      <c r="S2899" s="752">
        <f t="shared" si="390"/>
        <v>0</v>
      </c>
      <c r="T2899" s="754">
        <f t="shared" si="391"/>
        <v>0</v>
      </c>
      <c r="U2899" s="859"/>
      <c r="V2899" s="863"/>
      <c r="W2899" s="859"/>
      <c r="X2899" s="859"/>
      <c r="Y2899" s="755">
        <f t="shared" si="387"/>
        <v>0</v>
      </c>
      <c r="Z2899" s="864"/>
      <c r="AA2899" s="863"/>
      <c r="AB2899" s="756">
        <f t="shared" si="388"/>
        <v>0</v>
      </c>
      <c r="AC2899" s="859"/>
      <c r="AD2899" s="863"/>
      <c r="AE2899" s="859"/>
      <c r="AF2899" s="859"/>
      <c r="AG2899" s="864"/>
      <c r="AH2899" s="865"/>
      <c r="AI2899" s="757">
        <f t="shared" si="392"/>
        <v>0</v>
      </c>
      <c r="AJ2899" s="758">
        <f t="shared" si="393"/>
        <v>0</v>
      </c>
    </row>
    <row r="2900" spans="1:36" x14ac:dyDescent="0.2">
      <c r="A2900" s="1104" t="s">
        <v>156</v>
      </c>
      <c r="B2900" s="1105" t="s">
        <v>264</v>
      </c>
      <c r="C2900" s="1106" t="s">
        <v>942</v>
      </c>
      <c r="D2900" s="1111"/>
      <c r="E2900" s="1108">
        <v>232946</v>
      </c>
      <c r="F2900" s="1109">
        <v>8</v>
      </c>
      <c r="G2900" s="859"/>
      <c r="H2900" s="860"/>
      <c r="I2900" s="861"/>
      <c r="J2900" s="862"/>
      <c r="K2900" s="859"/>
      <c r="L2900" s="863"/>
      <c r="M2900" s="859"/>
      <c r="N2900" s="859"/>
      <c r="O2900" s="752">
        <f t="shared" si="386"/>
        <v>0</v>
      </c>
      <c r="P2900" s="862"/>
      <c r="Q2900" s="860"/>
      <c r="R2900" s="753">
        <f t="shared" si="389"/>
        <v>0</v>
      </c>
      <c r="S2900" s="752">
        <f t="shared" si="390"/>
        <v>0</v>
      </c>
      <c r="T2900" s="754">
        <f t="shared" si="391"/>
        <v>0</v>
      </c>
      <c r="U2900" s="859"/>
      <c r="V2900" s="863"/>
      <c r="W2900" s="859"/>
      <c r="X2900" s="859"/>
      <c r="Y2900" s="755">
        <f t="shared" si="387"/>
        <v>0</v>
      </c>
      <c r="Z2900" s="864"/>
      <c r="AA2900" s="863"/>
      <c r="AB2900" s="756">
        <f t="shared" si="388"/>
        <v>0</v>
      </c>
      <c r="AC2900" s="859"/>
      <c r="AD2900" s="863"/>
      <c r="AE2900" s="859"/>
      <c r="AF2900" s="859"/>
      <c r="AG2900" s="864"/>
      <c r="AH2900" s="865"/>
      <c r="AI2900" s="757">
        <f t="shared" si="392"/>
        <v>0</v>
      </c>
      <c r="AJ2900" s="758">
        <f t="shared" si="393"/>
        <v>0</v>
      </c>
    </row>
    <row r="2901" spans="1:36" x14ac:dyDescent="0.2">
      <c r="A2901" s="1104" t="s">
        <v>156</v>
      </c>
      <c r="B2901" s="1105" t="s">
        <v>264</v>
      </c>
      <c r="C2901" s="1106" t="s">
        <v>943</v>
      </c>
      <c r="D2901" s="1111"/>
      <c r="E2901" s="1108">
        <v>233754</v>
      </c>
      <c r="F2901" s="1109">
        <v>8</v>
      </c>
      <c r="G2901" s="859"/>
      <c r="H2901" s="860"/>
      <c r="I2901" s="861"/>
      <c r="J2901" s="862"/>
      <c r="K2901" s="859"/>
      <c r="L2901" s="863"/>
      <c r="M2901" s="859"/>
      <c r="N2901" s="859"/>
      <c r="O2901" s="752">
        <f t="shared" si="386"/>
        <v>0</v>
      </c>
      <c r="P2901" s="862"/>
      <c r="Q2901" s="860"/>
      <c r="R2901" s="753">
        <f t="shared" si="389"/>
        <v>0</v>
      </c>
      <c r="S2901" s="752">
        <f t="shared" si="390"/>
        <v>0</v>
      </c>
      <c r="T2901" s="754">
        <f t="shared" si="391"/>
        <v>0</v>
      </c>
      <c r="U2901" s="859"/>
      <c r="V2901" s="863"/>
      <c r="W2901" s="859"/>
      <c r="X2901" s="859"/>
      <c r="Y2901" s="755">
        <f t="shared" si="387"/>
        <v>0</v>
      </c>
      <c r="Z2901" s="864"/>
      <c r="AA2901" s="863"/>
      <c r="AB2901" s="756">
        <f t="shared" si="388"/>
        <v>0</v>
      </c>
      <c r="AC2901" s="859"/>
      <c r="AD2901" s="863"/>
      <c r="AE2901" s="859"/>
      <c r="AF2901" s="859"/>
      <c r="AG2901" s="864"/>
      <c r="AH2901" s="865"/>
      <c r="AI2901" s="757">
        <f t="shared" si="392"/>
        <v>0</v>
      </c>
      <c r="AJ2901" s="758">
        <f t="shared" si="393"/>
        <v>0</v>
      </c>
    </row>
    <row r="2902" spans="1:36" x14ac:dyDescent="0.2">
      <c r="A2902" s="1104" t="s">
        <v>156</v>
      </c>
      <c r="B2902" s="1105" t="s">
        <v>264</v>
      </c>
      <c r="C2902" s="1106" t="s">
        <v>944</v>
      </c>
      <c r="D2902" s="1111"/>
      <c r="E2902" s="1108">
        <v>233772</v>
      </c>
      <c r="F2902" s="1109">
        <v>8</v>
      </c>
      <c r="G2902" s="859"/>
      <c r="H2902" s="860"/>
      <c r="I2902" s="861"/>
      <c r="J2902" s="862"/>
      <c r="K2902" s="859"/>
      <c r="L2902" s="863"/>
      <c r="M2902" s="859"/>
      <c r="N2902" s="859"/>
      <c r="O2902" s="752">
        <f t="shared" si="386"/>
        <v>0</v>
      </c>
      <c r="P2902" s="862"/>
      <c r="Q2902" s="860"/>
      <c r="R2902" s="753">
        <f t="shared" si="389"/>
        <v>0</v>
      </c>
      <c r="S2902" s="752">
        <f t="shared" si="390"/>
        <v>0</v>
      </c>
      <c r="T2902" s="754">
        <f t="shared" si="391"/>
        <v>0</v>
      </c>
      <c r="U2902" s="859"/>
      <c r="V2902" s="863"/>
      <c r="W2902" s="859"/>
      <c r="X2902" s="859"/>
      <c r="Y2902" s="755">
        <f t="shared" si="387"/>
        <v>0</v>
      </c>
      <c r="Z2902" s="864"/>
      <c r="AA2902" s="863"/>
      <c r="AB2902" s="756">
        <f t="shared" si="388"/>
        <v>0</v>
      </c>
      <c r="AC2902" s="859"/>
      <c r="AD2902" s="863"/>
      <c r="AE2902" s="859"/>
      <c r="AF2902" s="859"/>
      <c r="AG2902" s="864"/>
      <c r="AH2902" s="865"/>
      <c r="AI2902" s="757">
        <f t="shared" si="392"/>
        <v>0</v>
      </c>
      <c r="AJ2902" s="758">
        <f t="shared" si="393"/>
        <v>0</v>
      </c>
    </row>
    <row r="2903" spans="1:36" x14ac:dyDescent="0.2">
      <c r="A2903" s="1104" t="s">
        <v>156</v>
      </c>
      <c r="B2903" s="1105" t="s">
        <v>264</v>
      </c>
      <c r="C2903" s="1106" t="s">
        <v>945</v>
      </c>
      <c r="D2903" s="1111"/>
      <c r="E2903" s="1108">
        <v>231536</v>
      </c>
      <c r="F2903" s="1109">
        <v>9</v>
      </c>
      <c r="G2903" s="859"/>
      <c r="H2903" s="860"/>
      <c r="I2903" s="861"/>
      <c r="J2903" s="862"/>
      <c r="K2903" s="859"/>
      <c r="L2903" s="863"/>
      <c r="M2903" s="859"/>
      <c r="N2903" s="859"/>
      <c r="O2903" s="752">
        <f t="shared" si="386"/>
        <v>0</v>
      </c>
      <c r="P2903" s="862"/>
      <c r="Q2903" s="860"/>
      <c r="R2903" s="753">
        <f t="shared" si="389"/>
        <v>0</v>
      </c>
      <c r="S2903" s="752">
        <f t="shared" si="390"/>
        <v>0</v>
      </c>
      <c r="T2903" s="754">
        <f t="shared" si="391"/>
        <v>0</v>
      </c>
      <c r="U2903" s="859"/>
      <c r="V2903" s="863"/>
      <c r="W2903" s="859"/>
      <c r="X2903" s="859"/>
      <c r="Y2903" s="755">
        <f t="shared" si="387"/>
        <v>0</v>
      </c>
      <c r="Z2903" s="864"/>
      <c r="AA2903" s="863"/>
      <c r="AB2903" s="756">
        <f t="shared" si="388"/>
        <v>0</v>
      </c>
      <c r="AC2903" s="859"/>
      <c r="AD2903" s="863"/>
      <c r="AE2903" s="859"/>
      <c r="AF2903" s="859"/>
      <c r="AG2903" s="864"/>
      <c r="AH2903" s="865"/>
      <c r="AI2903" s="757">
        <f t="shared" si="392"/>
        <v>0</v>
      </c>
      <c r="AJ2903" s="758">
        <f t="shared" si="393"/>
        <v>0</v>
      </c>
    </row>
    <row r="2904" spans="1:36" x14ac:dyDescent="0.2">
      <c r="A2904" s="1104" t="s">
        <v>156</v>
      </c>
      <c r="B2904" s="1105" t="s">
        <v>264</v>
      </c>
      <c r="C2904" s="1106" t="s">
        <v>946</v>
      </c>
      <c r="D2904" s="1111"/>
      <c r="E2904" s="1108">
        <v>231697</v>
      </c>
      <c r="F2904" s="1109">
        <v>9</v>
      </c>
      <c r="G2904" s="859"/>
      <c r="H2904" s="860"/>
      <c r="I2904" s="861"/>
      <c r="J2904" s="862"/>
      <c r="K2904" s="859"/>
      <c r="L2904" s="863"/>
      <c r="M2904" s="859"/>
      <c r="N2904" s="859"/>
      <c r="O2904" s="752">
        <f t="shared" si="386"/>
        <v>0</v>
      </c>
      <c r="P2904" s="862"/>
      <c r="Q2904" s="860"/>
      <c r="R2904" s="753">
        <f t="shared" si="389"/>
        <v>0</v>
      </c>
      <c r="S2904" s="752">
        <f t="shared" si="390"/>
        <v>0</v>
      </c>
      <c r="T2904" s="754">
        <f t="shared" si="391"/>
        <v>0</v>
      </c>
      <c r="U2904" s="859"/>
      <c r="V2904" s="863"/>
      <c r="W2904" s="859"/>
      <c r="X2904" s="859"/>
      <c r="Y2904" s="755">
        <f t="shared" si="387"/>
        <v>0</v>
      </c>
      <c r="Z2904" s="864"/>
      <c r="AA2904" s="863"/>
      <c r="AB2904" s="756">
        <f t="shared" si="388"/>
        <v>0</v>
      </c>
      <c r="AC2904" s="859"/>
      <c r="AD2904" s="863"/>
      <c r="AE2904" s="859"/>
      <c r="AF2904" s="859"/>
      <c r="AG2904" s="864"/>
      <c r="AH2904" s="865"/>
      <c r="AI2904" s="757">
        <f t="shared" si="392"/>
        <v>0</v>
      </c>
      <c r="AJ2904" s="758">
        <f t="shared" si="393"/>
        <v>0</v>
      </c>
    </row>
    <row r="2905" spans="1:36" x14ac:dyDescent="0.2">
      <c r="A2905" s="1104" t="s">
        <v>156</v>
      </c>
      <c r="B2905" s="1105" t="s">
        <v>264</v>
      </c>
      <c r="C2905" s="1106" t="s">
        <v>947</v>
      </c>
      <c r="D2905" s="1111"/>
      <c r="E2905" s="1108">
        <v>231882</v>
      </c>
      <c r="F2905" s="1109">
        <v>9</v>
      </c>
      <c r="G2905" s="859"/>
      <c r="H2905" s="860"/>
      <c r="I2905" s="861"/>
      <c r="J2905" s="862"/>
      <c r="K2905" s="859"/>
      <c r="L2905" s="863"/>
      <c r="M2905" s="859"/>
      <c r="N2905" s="859"/>
      <c r="O2905" s="752">
        <f t="shared" si="386"/>
        <v>0</v>
      </c>
      <c r="P2905" s="862"/>
      <c r="Q2905" s="860"/>
      <c r="R2905" s="753">
        <f t="shared" si="389"/>
        <v>0</v>
      </c>
      <c r="S2905" s="752">
        <f t="shared" si="390"/>
        <v>0</v>
      </c>
      <c r="T2905" s="754">
        <f t="shared" si="391"/>
        <v>0</v>
      </c>
      <c r="U2905" s="859"/>
      <c r="V2905" s="863"/>
      <c r="W2905" s="859"/>
      <c r="X2905" s="859"/>
      <c r="Y2905" s="755">
        <f t="shared" si="387"/>
        <v>0</v>
      </c>
      <c r="Z2905" s="864"/>
      <c r="AA2905" s="863"/>
      <c r="AB2905" s="756">
        <f t="shared" si="388"/>
        <v>0</v>
      </c>
      <c r="AC2905" s="859"/>
      <c r="AD2905" s="863"/>
      <c r="AE2905" s="859"/>
      <c r="AF2905" s="859"/>
      <c r="AG2905" s="864"/>
      <c r="AH2905" s="865"/>
      <c r="AI2905" s="757">
        <f t="shared" si="392"/>
        <v>0</v>
      </c>
      <c r="AJ2905" s="758">
        <f t="shared" si="393"/>
        <v>0</v>
      </c>
    </row>
    <row r="2906" spans="1:36" x14ac:dyDescent="0.2">
      <c r="A2906" s="1104" t="s">
        <v>156</v>
      </c>
      <c r="B2906" s="1105" t="s">
        <v>264</v>
      </c>
      <c r="C2906" s="1106" t="s">
        <v>948</v>
      </c>
      <c r="D2906" s="1111"/>
      <c r="E2906" s="1108">
        <v>232195</v>
      </c>
      <c r="F2906" s="1109">
        <v>9</v>
      </c>
      <c r="G2906" s="859"/>
      <c r="H2906" s="860"/>
      <c r="I2906" s="861"/>
      <c r="J2906" s="862"/>
      <c r="K2906" s="859"/>
      <c r="L2906" s="863"/>
      <c r="M2906" s="859"/>
      <c r="N2906" s="859"/>
      <c r="O2906" s="752">
        <f t="shared" si="386"/>
        <v>0</v>
      </c>
      <c r="P2906" s="862"/>
      <c r="Q2906" s="860"/>
      <c r="R2906" s="753">
        <f t="shared" si="389"/>
        <v>0</v>
      </c>
      <c r="S2906" s="752">
        <f t="shared" si="390"/>
        <v>0</v>
      </c>
      <c r="T2906" s="754">
        <f t="shared" si="391"/>
        <v>0</v>
      </c>
      <c r="U2906" s="859"/>
      <c r="V2906" s="863"/>
      <c r="W2906" s="859"/>
      <c r="X2906" s="859"/>
      <c r="Y2906" s="755">
        <f t="shared" si="387"/>
        <v>0</v>
      </c>
      <c r="Z2906" s="864"/>
      <c r="AA2906" s="863"/>
      <c r="AB2906" s="756">
        <f t="shared" si="388"/>
        <v>0</v>
      </c>
      <c r="AC2906" s="859"/>
      <c r="AD2906" s="863"/>
      <c r="AE2906" s="859"/>
      <c r="AF2906" s="859"/>
      <c r="AG2906" s="864"/>
      <c r="AH2906" s="865"/>
      <c r="AI2906" s="757">
        <f t="shared" si="392"/>
        <v>0</v>
      </c>
      <c r="AJ2906" s="758">
        <f t="shared" si="393"/>
        <v>0</v>
      </c>
    </row>
    <row r="2907" spans="1:36" x14ac:dyDescent="0.2">
      <c r="A2907" s="1104" t="s">
        <v>156</v>
      </c>
      <c r="B2907" s="1105" t="s">
        <v>264</v>
      </c>
      <c r="C2907" s="1106" t="s">
        <v>949</v>
      </c>
      <c r="D2907" s="1447" t="s">
        <v>1800</v>
      </c>
      <c r="E2907" s="1121">
        <v>232450</v>
      </c>
      <c r="F2907" s="1359">
        <v>8</v>
      </c>
      <c r="G2907" s="859"/>
      <c r="H2907" s="860"/>
      <c r="I2907" s="861"/>
      <c r="J2907" s="862"/>
      <c r="K2907" s="859"/>
      <c r="L2907" s="863"/>
      <c r="M2907" s="859"/>
      <c r="N2907" s="859"/>
      <c r="O2907" s="752">
        <f t="shared" si="386"/>
        <v>0</v>
      </c>
      <c r="P2907" s="862"/>
      <c r="Q2907" s="860"/>
      <c r="R2907" s="753">
        <f t="shared" si="389"/>
        <v>0</v>
      </c>
      <c r="S2907" s="752">
        <f t="shared" si="390"/>
        <v>0</v>
      </c>
      <c r="T2907" s="754">
        <f t="shared" si="391"/>
        <v>0</v>
      </c>
      <c r="U2907" s="859"/>
      <c r="V2907" s="863"/>
      <c r="W2907" s="859"/>
      <c r="X2907" s="859"/>
      <c r="Y2907" s="755">
        <f t="shared" si="387"/>
        <v>0</v>
      </c>
      <c r="Z2907" s="864"/>
      <c r="AA2907" s="863"/>
      <c r="AB2907" s="756">
        <f t="shared" si="388"/>
        <v>0</v>
      </c>
      <c r="AC2907" s="859"/>
      <c r="AD2907" s="863"/>
      <c r="AE2907" s="859"/>
      <c r="AF2907" s="859"/>
      <c r="AG2907" s="864"/>
      <c r="AH2907" s="865"/>
      <c r="AI2907" s="757">
        <f t="shared" si="392"/>
        <v>0</v>
      </c>
      <c r="AJ2907" s="758">
        <f t="shared" si="393"/>
        <v>0</v>
      </c>
    </row>
    <row r="2908" spans="1:36" x14ac:dyDescent="0.2">
      <c r="A2908" s="1104" t="s">
        <v>156</v>
      </c>
      <c r="B2908" s="1105" t="s">
        <v>264</v>
      </c>
      <c r="C2908" s="1106" t="s">
        <v>950</v>
      </c>
      <c r="D2908" s="1111"/>
      <c r="E2908" s="1108">
        <v>232575</v>
      </c>
      <c r="F2908" s="1109">
        <v>9</v>
      </c>
      <c r="G2908" s="859"/>
      <c r="H2908" s="860"/>
      <c r="I2908" s="861"/>
      <c r="J2908" s="862"/>
      <c r="K2908" s="859"/>
      <c r="L2908" s="863"/>
      <c r="M2908" s="859"/>
      <c r="N2908" s="859"/>
      <c r="O2908" s="752">
        <f t="shared" si="386"/>
        <v>0</v>
      </c>
      <c r="P2908" s="862"/>
      <c r="Q2908" s="860"/>
      <c r="R2908" s="753">
        <f t="shared" si="389"/>
        <v>0</v>
      </c>
      <c r="S2908" s="752">
        <f t="shared" si="390"/>
        <v>0</v>
      </c>
      <c r="T2908" s="754">
        <f t="shared" si="391"/>
        <v>0</v>
      </c>
      <c r="U2908" s="859"/>
      <c r="V2908" s="863"/>
      <c r="W2908" s="859"/>
      <c r="X2908" s="859"/>
      <c r="Y2908" s="755">
        <f t="shared" si="387"/>
        <v>0</v>
      </c>
      <c r="Z2908" s="864"/>
      <c r="AA2908" s="863"/>
      <c r="AB2908" s="756">
        <f t="shared" si="388"/>
        <v>0</v>
      </c>
      <c r="AC2908" s="859"/>
      <c r="AD2908" s="863"/>
      <c r="AE2908" s="859"/>
      <c r="AF2908" s="859"/>
      <c r="AG2908" s="864"/>
      <c r="AH2908" s="865"/>
      <c r="AI2908" s="757">
        <f t="shared" si="392"/>
        <v>0</v>
      </c>
      <c r="AJ2908" s="758">
        <f t="shared" si="393"/>
        <v>0</v>
      </c>
    </row>
    <row r="2909" spans="1:36" x14ac:dyDescent="0.2">
      <c r="A2909" s="1104" t="s">
        <v>156</v>
      </c>
      <c r="B2909" s="1105" t="s">
        <v>264</v>
      </c>
      <c r="C2909" s="1110" t="s">
        <v>951</v>
      </c>
      <c r="D2909" s="1111" t="s">
        <v>1237</v>
      </c>
      <c r="E2909" s="1121">
        <v>232788</v>
      </c>
      <c r="F2909" s="1122">
        <v>9</v>
      </c>
      <c r="G2909" s="859"/>
      <c r="H2909" s="860"/>
      <c r="I2909" s="861"/>
      <c r="J2909" s="862"/>
      <c r="K2909" s="859"/>
      <c r="L2909" s="863"/>
      <c r="M2909" s="859"/>
      <c r="N2909" s="859"/>
      <c r="O2909" s="752">
        <f t="shared" si="386"/>
        <v>0</v>
      </c>
      <c r="P2909" s="862"/>
      <c r="Q2909" s="860"/>
      <c r="R2909" s="753">
        <f t="shared" si="389"/>
        <v>0</v>
      </c>
      <c r="S2909" s="752">
        <f t="shared" si="390"/>
        <v>0</v>
      </c>
      <c r="T2909" s="754">
        <f t="shared" si="391"/>
        <v>0</v>
      </c>
      <c r="U2909" s="859"/>
      <c r="V2909" s="863"/>
      <c r="W2909" s="859"/>
      <c r="X2909" s="859"/>
      <c r="Y2909" s="755">
        <f t="shared" si="387"/>
        <v>0</v>
      </c>
      <c r="Z2909" s="864"/>
      <c r="AA2909" s="863"/>
      <c r="AB2909" s="756">
        <f t="shared" si="388"/>
        <v>0</v>
      </c>
      <c r="AC2909" s="859"/>
      <c r="AD2909" s="863"/>
      <c r="AE2909" s="859"/>
      <c r="AF2909" s="859"/>
      <c r="AG2909" s="864"/>
      <c r="AH2909" s="865"/>
      <c r="AI2909" s="757">
        <f t="shared" si="392"/>
        <v>0</v>
      </c>
      <c r="AJ2909" s="758">
        <f t="shared" si="393"/>
        <v>0</v>
      </c>
    </row>
    <row r="2910" spans="1:36" x14ac:dyDescent="0.2">
      <c r="A2910" s="1104" t="s">
        <v>156</v>
      </c>
      <c r="B2910" s="1105" t="s">
        <v>264</v>
      </c>
      <c r="C2910" s="1106" t="s">
        <v>952</v>
      </c>
      <c r="D2910" s="1111"/>
      <c r="E2910" s="1108">
        <v>232867</v>
      </c>
      <c r="F2910" s="1109">
        <v>9</v>
      </c>
      <c r="G2910" s="859"/>
      <c r="H2910" s="860"/>
      <c r="I2910" s="861"/>
      <c r="J2910" s="862"/>
      <c r="K2910" s="859"/>
      <c r="L2910" s="863"/>
      <c r="M2910" s="859"/>
      <c r="N2910" s="859"/>
      <c r="O2910" s="752">
        <f t="shared" si="386"/>
        <v>0</v>
      </c>
      <c r="P2910" s="862"/>
      <c r="Q2910" s="860"/>
      <c r="R2910" s="753">
        <f t="shared" si="389"/>
        <v>0</v>
      </c>
      <c r="S2910" s="752">
        <f t="shared" si="390"/>
        <v>0</v>
      </c>
      <c r="T2910" s="754">
        <f t="shared" si="391"/>
        <v>0</v>
      </c>
      <c r="U2910" s="859"/>
      <c r="V2910" s="863"/>
      <c r="W2910" s="859"/>
      <c r="X2910" s="859"/>
      <c r="Y2910" s="755">
        <f t="shared" si="387"/>
        <v>0</v>
      </c>
      <c r="Z2910" s="864"/>
      <c r="AA2910" s="863"/>
      <c r="AB2910" s="756">
        <f t="shared" si="388"/>
        <v>0</v>
      </c>
      <c r="AC2910" s="859"/>
      <c r="AD2910" s="863"/>
      <c r="AE2910" s="859"/>
      <c r="AF2910" s="859"/>
      <c r="AG2910" s="864"/>
      <c r="AH2910" s="865"/>
      <c r="AI2910" s="757">
        <f t="shared" si="392"/>
        <v>0</v>
      </c>
      <c r="AJ2910" s="758">
        <f t="shared" si="393"/>
        <v>0</v>
      </c>
    </row>
    <row r="2911" spans="1:36" x14ac:dyDescent="0.2">
      <c r="A2911" s="1104" t="s">
        <v>156</v>
      </c>
      <c r="B2911" s="1105" t="s">
        <v>264</v>
      </c>
      <c r="C2911" s="1119" t="s">
        <v>953</v>
      </c>
      <c r="D2911" s="1120"/>
      <c r="E2911" s="1121">
        <v>233019</v>
      </c>
      <c r="F2911" s="1344">
        <v>9</v>
      </c>
      <c r="G2911" s="859"/>
      <c r="H2911" s="860"/>
      <c r="I2911" s="861"/>
      <c r="J2911" s="862"/>
      <c r="K2911" s="859"/>
      <c r="L2911" s="863"/>
      <c r="M2911" s="859"/>
      <c r="N2911" s="859"/>
      <c r="O2911" s="752">
        <f t="shared" si="386"/>
        <v>0</v>
      </c>
      <c r="P2911" s="862"/>
      <c r="Q2911" s="860"/>
      <c r="R2911" s="753">
        <f t="shared" si="389"/>
        <v>0</v>
      </c>
      <c r="S2911" s="752">
        <f t="shared" si="390"/>
        <v>0</v>
      </c>
      <c r="T2911" s="754">
        <f t="shared" si="391"/>
        <v>0</v>
      </c>
      <c r="U2911" s="859"/>
      <c r="V2911" s="863"/>
      <c r="W2911" s="859"/>
      <c r="X2911" s="859"/>
      <c r="Y2911" s="755">
        <f t="shared" si="387"/>
        <v>0</v>
      </c>
      <c r="Z2911" s="864"/>
      <c r="AA2911" s="863"/>
      <c r="AB2911" s="756">
        <f t="shared" si="388"/>
        <v>0</v>
      </c>
      <c r="AC2911" s="859"/>
      <c r="AD2911" s="863"/>
      <c r="AE2911" s="859"/>
      <c r="AF2911" s="859"/>
      <c r="AG2911" s="864"/>
      <c r="AH2911" s="865"/>
      <c r="AI2911" s="757">
        <f t="shared" si="392"/>
        <v>0</v>
      </c>
      <c r="AJ2911" s="758">
        <f t="shared" si="393"/>
        <v>0</v>
      </c>
    </row>
    <row r="2912" spans="1:36" x14ac:dyDescent="0.2">
      <c r="A2912" s="1104" t="s">
        <v>156</v>
      </c>
      <c r="B2912" s="1105" t="s">
        <v>264</v>
      </c>
      <c r="C2912" s="1106" t="s">
        <v>954</v>
      </c>
      <c r="D2912" s="1111"/>
      <c r="E2912" s="1108">
        <v>233116</v>
      </c>
      <c r="F2912" s="1109">
        <v>9</v>
      </c>
      <c r="G2912" s="859"/>
      <c r="H2912" s="860"/>
      <c r="I2912" s="861"/>
      <c r="J2912" s="862"/>
      <c r="K2912" s="859"/>
      <c r="L2912" s="863"/>
      <c r="M2912" s="859"/>
      <c r="N2912" s="859"/>
      <c r="O2912" s="752">
        <f t="shared" si="386"/>
        <v>0</v>
      </c>
      <c r="P2912" s="862"/>
      <c r="Q2912" s="860"/>
      <c r="R2912" s="753">
        <f t="shared" si="389"/>
        <v>0</v>
      </c>
      <c r="S2912" s="752">
        <f t="shared" si="390"/>
        <v>0</v>
      </c>
      <c r="T2912" s="754">
        <f t="shared" si="391"/>
        <v>0</v>
      </c>
      <c r="U2912" s="859"/>
      <c r="V2912" s="863"/>
      <c r="W2912" s="859"/>
      <c r="X2912" s="859"/>
      <c r="Y2912" s="755">
        <f t="shared" si="387"/>
        <v>0</v>
      </c>
      <c r="Z2912" s="864"/>
      <c r="AA2912" s="863"/>
      <c r="AB2912" s="756">
        <f t="shared" si="388"/>
        <v>0</v>
      </c>
      <c r="AC2912" s="859"/>
      <c r="AD2912" s="863"/>
      <c r="AE2912" s="859"/>
      <c r="AF2912" s="859"/>
      <c r="AG2912" s="864"/>
      <c r="AH2912" s="865"/>
      <c r="AI2912" s="757">
        <f t="shared" si="392"/>
        <v>0</v>
      </c>
      <c r="AJ2912" s="758">
        <f t="shared" si="393"/>
        <v>0</v>
      </c>
    </row>
    <row r="2913" spans="1:36" x14ac:dyDescent="0.2">
      <c r="A2913" s="1104" t="s">
        <v>156</v>
      </c>
      <c r="B2913" s="1105" t="s">
        <v>264</v>
      </c>
      <c r="C2913" s="1106" t="s">
        <v>955</v>
      </c>
      <c r="D2913" s="1111"/>
      <c r="E2913" s="1108">
        <v>233639</v>
      </c>
      <c r="F2913" s="1109">
        <v>9</v>
      </c>
      <c r="G2913" s="859"/>
      <c r="H2913" s="860"/>
      <c r="I2913" s="861"/>
      <c r="J2913" s="862"/>
      <c r="K2913" s="859"/>
      <c r="L2913" s="863"/>
      <c r="M2913" s="859"/>
      <c r="N2913" s="859"/>
      <c r="O2913" s="752">
        <f t="shared" si="386"/>
        <v>0</v>
      </c>
      <c r="P2913" s="862"/>
      <c r="Q2913" s="860"/>
      <c r="R2913" s="753">
        <f t="shared" si="389"/>
        <v>0</v>
      </c>
      <c r="S2913" s="752">
        <f t="shared" si="390"/>
        <v>0</v>
      </c>
      <c r="T2913" s="754">
        <f t="shared" si="391"/>
        <v>0</v>
      </c>
      <c r="U2913" s="859"/>
      <c r="V2913" s="863"/>
      <c r="W2913" s="859"/>
      <c r="X2913" s="859"/>
      <c r="Y2913" s="755">
        <f t="shared" si="387"/>
        <v>0</v>
      </c>
      <c r="Z2913" s="864"/>
      <c r="AA2913" s="863"/>
      <c r="AB2913" s="756">
        <f t="shared" si="388"/>
        <v>0</v>
      </c>
      <c r="AC2913" s="859"/>
      <c r="AD2913" s="863"/>
      <c r="AE2913" s="859"/>
      <c r="AF2913" s="859"/>
      <c r="AG2913" s="864"/>
      <c r="AH2913" s="865"/>
      <c r="AI2913" s="757">
        <f t="shared" si="392"/>
        <v>0</v>
      </c>
      <c r="AJ2913" s="758">
        <f t="shared" si="393"/>
        <v>0</v>
      </c>
    </row>
    <row r="2914" spans="1:36" x14ac:dyDescent="0.2">
      <c r="A2914" s="1104" t="s">
        <v>156</v>
      </c>
      <c r="B2914" s="1105" t="s">
        <v>264</v>
      </c>
      <c r="C2914" s="1106" t="s">
        <v>956</v>
      </c>
      <c r="D2914" s="1118" t="s">
        <v>1127</v>
      </c>
      <c r="E2914" s="1108">
        <v>233648</v>
      </c>
      <c r="F2914" s="1109">
        <v>9</v>
      </c>
      <c r="G2914" s="859"/>
      <c r="H2914" s="860"/>
      <c r="I2914" s="861"/>
      <c r="J2914" s="862"/>
      <c r="K2914" s="859"/>
      <c r="L2914" s="863"/>
      <c r="M2914" s="859"/>
      <c r="N2914" s="859"/>
      <c r="O2914" s="752">
        <f t="shared" si="386"/>
        <v>0</v>
      </c>
      <c r="P2914" s="862"/>
      <c r="Q2914" s="860"/>
      <c r="R2914" s="753">
        <f t="shared" si="389"/>
        <v>0</v>
      </c>
      <c r="S2914" s="752">
        <f t="shared" si="390"/>
        <v>0</v>
      </c>
      <c r="T2914" s="754">
        <f t="shared" si="391"/>
        <v>0</v>
      </c>
      <c r="U2914" s="859"/>
      <c r="V2914" s="863"/>
      <c r="W2914" s="859"/>
      <c r="X2914" s="859"/>
      <c r="Y2914" s="755">
        <f t="shared" si="387"/>
        <v>0</v>
      </c>
      <c r="Z2914" s="864"/>
      <c r="AA2914" s="863"/>
      <c r="AB2914" s="756">
        <f t="shared" si="388"/>
        <v>0</v>
      </c>
      <c r="AC2914" s="859"/>
      <c r="AD2914" s="863"/>
      <c r="AE2914" s="859"/>
      <c r="AF2914" s="859"/>
      <c r="AG2914" s="864"/>
      <c r="AH2914" s="865"/>
      <c r="AI2914" s="757">
        <f t="shared" si="392"/>
        <v>0</v>
      </c>
      <c r="AJ2914" s="758">
        <f t="shared" si="393"/>
        <v>0</v>
      </c>
    </row>
    <row r="2915" spans="1:36" x14ac:dyDescent="0.2">
      <c r="A2915" s="1104" t="s">
        <v>156</v>
      </c>
      <c r="B2915" s="1105" t="s">
        <v>264</v>
      </c>
      <c r="C2915" s="1110" t="s">
        <v>957</v>
      </c>
      <c r="D2915" s="1111"/>
      <c r="E2915" s="1108">
        <v>233949</v>
      </c>
      <c r="F2915" s="1109">
        <v>9</v>
      </c>
      <c r="G2915" s="859"/>
      <c r="H2915" s="860"/>
      <c r="I2915" s="861"/>
      <c r="J2915" s="862"/>
      <c r="K2915" s="859"/>
      <c r="L2915" s="863"/>
      <c r="M2915" s="859"/>
      <c r="N2915" s="859"/>
      <c r="O2915" s="752">
        <f t="shared" si="386"/>
        <v>0</v>
      </c>
      <c r="P2915" s="862"/>
      <c r="Q2915" s="860"/>
      <c r="R2915" s="753">
        <f t="shared" si="389"/>
        <v>0</v>
      </c>
      <c r="S2915" s="752">
        <f t="shared" si="390"/>
        <v>0</v>
      </c>
      <c r="T2915" s="754">
        <f t="shared" si="391"/>
        <v>0</v>
      </c>
      <c r="U2915" s="859"/>
      <c r="V2915" s="863"/>
      <c r="W2915" s="859"/>
      <c r="X2915" s="859"/>
      <c r="Y2915" s="755">
        <f t="shared" si="387"/>
        <v>0</v>
      </c>
      <c r="Z2915" s="864"/>
      <c r="AA2915" s="863"/>
      <c r="AB2915" s="756">
        <f t="shared" si="388"/>
        <v>0</v>
      </c>
      <c r="AC2915" s="859"/>
      <c r="AD2915" s="863"/>
      <c r="AE2915" s="859"/>
      <c r="AF2915" s="859"/>
      <c r="AG2915" s="864"/>
      <c r="AH2915" s="865"/>
      <c r="AI2915" s="757">
        <f t="shared" si="392"/>
        <v>0</v>
      </c>
      <c r="AJ2915" s="758">
        <f t="shared" si="393"/>
        <v>0</v>
      </c>
    </row>
    <row r="2916" spans="1:36" x14ac:dyDescent="0.2">
      <c r="A2916" s="1104" t="s">
        <v>156</v>
      </c>
      <c r="B2916" s="1105" t="s">
        <v>264</v>
      </c>
      <c r="C2916" s="1110" t="s">
        <v>958</v>
      </c>
      <c r="D2916" s="1120"/>
      <c r="E2916" s="1121">
        <v>234377</v>
      </c>
      <c r="F2916" s="1344">
        <v>9</v>
      </c>
      <c r="G2916" s="859"/>
      <c r="H2916" s="860"/>
      <c r="I2916" s="861"/>
      <c r="J2916" s="862"/>
      <c r="K2916" s="859"/>
      <c r="L2916" s="863"/>
      <c r="M2916" s="859"/>
      <c r="N2916" s="859"/>
      <c r="O2916" s="752">
        <f t="shared" si="386"/>
        <v>0</v>
      </c>
      <c r="P2916" s="862"/>
      <c r="Q2916" s="860"/>
      <c r="R2916" s="753">
        <f t="shared" si="389"/>
        <v>0</v>
      </c>
      <c r="S2916" s="752">
        <f t="shared" si="390"/>
        <v>0</v>
      </c>
      <c r="T2916" s="754">
        <f t="shared" si="391"/>
        <v>0</v>
      </c>
      <c r="U2916" s="859"/>
      <c r="V2916" s="863"/>
      <c r="W2916" s="859"/>
      <c r="X2916" s="859"/>
      <c r="Y2916" s="755">
        <f t="shared" si="387"/>
        <v>0</v>
      </c>
      <c r="Z2916" s="864"/>
      <c r="AA2916" s="863"/>
      <c r="AB2916" s="756">
        <f t="shared" si="388"/>
        <v>0</v>
      </c>
      <c r="AC2916" s="859"/>
      <c r="AD2916" s="863"/>
      <c r="AE2916" s="859"/>
      <c r="AF2916" s="859"/>
      <c r="AG2916" s="864"/>
      <c r="AH2916" s="865"/>
      <c r="AI2916" s="757">
        <f t="shared" si="392"/>
        <v>0</v>
      </c>
      <c r="AJ2916" s="758">
        <f t="shared" si="393"/>
        <v>0</v>
      </c>
    </row>
    <row r="2917" spans="1:36" x14ac:dyDescent="0.2">
      <c r="A2917" s="1104" t="s">
        <v>156</v>
      </c>
      <c r="B2917" s="1105" t="s">
        <v>264</v>
      </c>
      <c r="C2917" s="1106" t="s">
        <v>959</v>
      </c>
      <c r="D2917" s="1111"/>
      <c r="E2917" s="1108">
        <v>231873</v>
      </c>
      <c r="F2917" s="1109">
        <v>10</v>
      </c>
      <c r="G2917" s="859"/>
      <c r="H2917" s="860"/>
      <c r="I2917" s="861"/>
      <c r="J2917" s="862"/>
      <c r="K2917" s="859"/>
      <c r="L2917" s="863"/>
      <c r="M2917" s="859"/>
      <c r="N2917" s="859"/>
      <c r="O2917" s="752">
        <f t="shared" si="386"/>
        <v>0</v>
      </c>
      <c r="P2917" s="862"/>
      <c r="Q2917" s="860"/>
      <c r="R2917" s="753">
        <f t="shared" si="389"/>
        <v>0</v>
      </c>
      <c r="S2917" s="752">
        <f t="shared" si="390"/>
        <v>0</v>
      </c>
      <c r="T2917" s="754">
        <f t="shared" si="391"/>
        <v>0</v>
      </c>
      <c r="U2917" s="859"/>
      <c r="V2917" s="863"/>
      <c r="W2917" s="859"/>
      <c r="X2917" s="859"/>
      <c r="Y2917" s="755">
        <f t="shared" si="387"/>
        <v>0</v>
      </c>
      <c r="Z2917" s="864"/>
      <c r="AA2917" s="863"/>
      <c r="AB2917" s="756">
        <f t="shared" si="388"/>
        <v>0</v>
      </c>
      <c r="AC2917" s="859"/>
      <c r="AD2917" s="863"/>
      <c r="AE2917" s="859"/>
      <c r="AF2917" s="859"/>
      <c r="AG2917" s="864"/>
      <c r="AH2917" s="865"/>
      <c r="AI2917" s="757">
        <f t="shared" si="392"/>
        <v>0</v>
      </c>
      <c r="AJ2917" s="758">
        <f t="shared" si="393"/>
        <v>0</v>
      </c>
    </row>
    <row r="2918" spans="1:36" x14ac:dyDescent="0.2">
      <c r="A2918" s="1104" t="s">
        <v>156</v>
      </c>
      <c r="B2918" s="1105" t="s">
        <v>264</v>
      </c>
      <c r="C2918" s="1106" t="s">
        <v>960</v>
      </c>
      <c r="D2918" s="1111"/>
      <c r="E2918" s="1108">
        <v>232052</v>
      </c>
      <c r="F2918" s="1109">
        <v>10</v>
      </c>
      <c r="G2918" s="859"/>
      <c r="H2918" s="860"/>
      <c r="I2918" s="861"/>
      <c r="J2918" s="862"/>
      <c r="K2918" s="859"/>
      <c r="L2918" s="863"/>
      <c r="M2918" s="859"/>
      <c r="N2918" s="859"/>
      <c r="O2918" s="752">
        <f t="shared" si="386"/>
        <v>0</v>
      </c>
      <c r="P2918" s="862"/>
      <c r="Q2918" s="860"/>
      <c r="R2918" s="753">
        <f t="shared" si="389"/>
        <v>0</v>
      </c>
      <c r="S2918" s="752">
        <f t="shared" si="390"/>
        <v>0</v>
      </c>
      <c r="T2918" s="754">
        <f t="shared" si="391"/>
        <v>0</v>
      </c>
      <c r="U2918" s="859"/>
      <c r="V2918" s="863"/>
      <c r="W2918" s="859"/>
      <c r="X2918" s="859"/>
      <c r="Y2918" s="755">
        <f t="shared" si="387"/>
        <v>0</v>
      </c>
      <c r="Z2918" s="864"/>
      <c r="AA2918" s="863"/>
      <c r="AB2918" s="756">
        <f t="shared" si="388"/>
        <v>0</v>
      </c>
      <c r="AC2918" s="859"/>
      <c r="AD2918" s="863"/>
      <c r="AE2918" s="859"/>
      <c r="AF2918" s="859"/>
      <c r="AG2918" s="864"/>
      <c r="AH2918" s="865"/>
      <c r="AI2918" s="757">
        <f t="shared" si="392"/>
        <v>0</v>
      </c>
      <c r="AJ2918" s="758">
        <f t="shared" si="393"/>
        <v>0</v>
      </c>
    </row>
    <row r="2919" spans="1:36" x14ac:dyDescent="0.2">
      <c r="A2919" s="1104" t="s">
        <v>156</v>
      </c>
      <c r="B2919" s="1105" t="s">
        <v>264</v>
      </c>
      <c r="C2919" s="1106" t="s">
        <v>961</v>
      </c>
      <c r="D2919" s="1111"/>
      <c r="E2919" s="1108">
        <v>233037</v>
      </c>
      <c r="F2919" s="1109">
        <v>10</v>
      </c>
      <c r="G2919" s="859"/>
      <c r="H2919" s="860"/>
      <c r="I2919" s="861"/>
      <c r="J2919" s="862"/>
      <c r="K2919" s="859"/>
      <c r="L2919" s="863"/>
      <c r="M2919" s="859"/>
      <c r="N2919" s="859"/>
      <c r="O2919" s="752">
        <f t="shared" si="386"/>
        <v>0</v>
      </c>
      <c r="P2919" s="862"/>
      <c r="Q2919" s="860"/>
      <c r="R2919" s="753">
        <f t="shared" si="389"/>
        <v>0</v>
      </c>
      <c r="S2919" s="752">
        <f t="shared" si="390"/>
        <v>0</v>
      </c>
      <c r="T2919" s="754">
        <f t="shared" si="391"/>
        <v>0</v>
      </c>
      <c r="U2919" s="859"/>
      <c r="V2919" s="863"/>
      <c r="W2919" s="859"/>
      <c r="X2919" s="859"/>
      <c r="Y2919" s="755">
        <f t="shared" si="387"/>
        <v>0</v>
      </c>
      <c r="Z2919" s="864"/>
      <c r="AA2919" s="863"/>
      <c r="AB2919" s="756">
        <f t="shared" si="388"/>
        <v>0</v>
      </c>
      <c r="AC2919" s="859"/>
      <c r="AD2919" s="863"/>
      <c r="AE2919" s="859"/>
      <c r="AF2919" s="859"/>
      <c r="AG2919" s="864"/>
      <c r="AH2919" s="865"/>
      <c r="AI2919" s="757">
        <f t="shared" si="392"/>
        <v>0</v>
      </c>
      <c r="AJ2919" s="758">
        <f t="shared" si="393"/>
        <v>0</v>
      </c>
    </row>
    <row r="2920" spans="1:36" x14ac:dyDescent="0.2">
      <c r="A2920" s="1104" t="s">
        <v>156</v>
      </c>
      <c r="B2920" s="1105" t="s">
        <v>264</v>
      </c>
      <c r="C2920" s="1106" t="s">
        <v>962</v>
      </c>
      <c r="D2920" s="1111"/>
      <c r="E2920" s="1108">
        <v>233310</v>
      </c>
      <c r="F2920" s="1109">
        <v>10</v>
      </c>
      <c r="G2920" s="859"/>
      <c r="H2920" s="860"/>
      <c r="I2920" s="861"/>
      <c r="J2920" s="862"/>
      <c r="K2920" s="859"/>
      <c r="L2920" s="863"/>
      <c r="M2920" s="859"/>
      <c r="N2920" s="859"/>
      <c r="O2920" s="752">
        <f t="shared" si="386"/>
        <v>0</v>
      </c>
      <c r="P2920" s="862"/>
      <c r="Q2920" s="860"/>
      <c r="R2920" s="753">
        <f t="shared" si="389"/>
        <v>0</v>
      </c>
      <c r="S2920" s="752">
        <f t="shared" si="390"/>
        <v>0</v>
      </c>
      <c r="T2920" s="754">
        <f t="shared" si="391"/>
        <v>0</v>
      </c>
      <c r="U2920" s="859"/>
      <c r="V2920" s="863"/>
      <c r="W2920" s="859"/>
      <c r="X2920" s="859"/>
      <c r="Y2920" s="755">
        <f t="shared" si="387"/>
        <v>0</v>
      </c>
      <c r="Z2920" s="864"/>
      <c r="AA2920" s="863"/>
      <c r="AB2920" s="756">
        <f t="shared" si="388"/>
        <v>0</v>
      </c>
      <c r="AC2920" s="859"/>
      <c r="AD2920" s="863"/>
      <c r="AE2920" s="859"/>
      <c r="AF2920" s="859"/>
      <c r="AG2920" s="864"/>
      <c r="AH2920" s="865"/>
      <c r="AI2920" s="757">
        <f t="shared" si="392"/>
        <v>0</v>
      </c>
      <c r="AJ2920" s="758">
        <f t="shared" si="393"/>
        <v>0</v>
      </c>
    </row>
    <row r="2921" spans="1:36" x14ac:dyDescent="0.2">
      <c r="A2921" s="1104" t="s">
        <v>156</v>
      </c>
      <c r="B2921" s="1105" t="s">
        <v>264</v>
      </c>
      <c r="C2921" s="1106" t="s">
        <v>963</v>
      </c>
      <c r="D2921" s="1111"/>
      <c r="E2921" s="1108">
        <v>233338</v>
      </c>
      <c r="F2921" s="1109">
        <v>10</v>
      </c>
      <c r="G2921" s="859">
        <v>5238116</v>
      </c>
      <c r="H2921" s="860">
        <v>5473340</v>
      </c>
      <c r="I2921" s="861"/>
      <c r="J2921" s="862"/>
      <c r="K2921" s="859"/>
      <c r="L2921" s="863"/>
      <c r="M2921" s="859">
        <v>3998500</v>
      </c>
      <c r="N2921" s="859">
        <v>6930</v>
      </c>
      <c r="O2921" s="752">
        <f t="shared" si="386"/>
        <v>4005430</v>
      </c>
      <c r="P2921" s="862">
        <v>4453406</v>
      </c>
      <c r="Q2921" s="860">
        <v>9900</v>
      </c>
      <c r="R2921" s="753">
        <f t="shared" si="389"/>
        <v>4463306</v>
      </c>
      <c r="S2921" s="752">
        <f t="shared" si="390"/>
        <v>9236616</v>
      </c>
      <c r="T2921" s="754">
        <f t="shared" si="391"/>
        <v>9926746</v>
      </c>
      <c r="U2921" s="859"/>
      <c r="V2921" s="863"/>
      <c r="W2921" s="859"/>
      <c r="X2921" s="859"/>
      <c r="Y2921" s="755">
        <f t="shared" si="387"/>
        <v>0</v>
      </c>
      <c r="Z2921" s="864"/>
      <c r="AA2921" s="863"/>
      <c r="AB2921" s="756">
        <f t="shared" si="388"/>
        <v>0</v>
      </c>
      <c r="AC2921" s="859"/>
      <c r="AD2921" s="863"/>
      <c r="AE2921" s="859"/>
      <c r="AF2921" s="859"/>
      <c r="AG2921" s="864"/>
      <c r="AH2921" s="865"/>
      <c r="AI2921" s="757">
        <f t="shared" si="392"/>
        <v>9236616</v>
      </c>
      <c r="AJ2921" s="758">
        <f t="shared" si="393"/>
        <v>9926746</v>
      </c>
    </row>
    <row r="2922" spans="1:36" x14ac:dyDescent="0.2">
      <c r="A2922" s="1104" t="s">
        <v>156</v>
      </c>
      <c r="B2922" s="1105" t="s">
        <v>264</v>
      </c>
      <c r="C2922" s="1106" t="s">
        <v>964</v>
      </c>
      <c r="D2922" s="1111"/>
      <c r="E2922" s="1108">
        <v>233903</v>
      </c>
      <c r="F2922" s="1109">
        <v>10</v>
      </c>
      <c r="G2922" s="859"/>
      <c r="H2922" s="860"/>
      <c r="I2922" s="861"/>
      <c r="J2922" s="862"/>
      <c r="K2922" s="859"/>
      <c r="L2922" s="863"/>
      <c r="M2922" s="859"/>
      <c r="N2922" s="859"/>
      <c r="O2922" s="752">
        <f t="shared" si="386"/>
        <v>0</v>
      </c>
      <c r="P2922" s="862"/>
      <c r="Q2922" s="860"/>
      <c r="R2922" s="753">
        <f t="shared" si="389"/>
        <v>0</v>
      </c>
      <c r="S2922" s="752">
        <f t="shared" si="390"/>
        <v>0</v>
      </c>
      <c r="T2922" s="754">
        <f t="shared" si="391"/>
        <v>0</v>
      </c>
      <c r="U2922" s="859"/>
      <c r="V2922" s="863"/>
      <c r="W2922" s="859"/>
      <c r="X2922" s="859"/>
      <c r="Y2922" s="755">
        <f t="shared" si="387"/>
        <v>0</v>
      </c>
      <c r="Z2922" s="864"/>
      <c r="AA2922" s="863"/>
      <c r="AB2922" s="756">
        <f t="shared" si="388"/>
        <v>0</v>
      </c>
      <c r="AC2922" s="859"/>
      <c r="AD2922" s="863"/>
      <c r="AE2922" s="859"/>
      <c r="AF2922" s="859"/>
      <c r="AG2922" s="864"/>
      <c r="AH2922" s="865"/>
      <c r="AI2922" s="757">
        <f t="shared" si="392"/>
        <v>0</v>
      </c>
      <c r="AJ2922" s="758">
        <f t="shared" si="393"/>
        <v>0</v>
      </c>
    </row>
    <row r="2923" spans="1:36" x14ac:dyDescent="0.2">
      <c r="A2923" s="1104" t="s">
        <v>156</v>
      </c>
      <c r="B2923" s="1105" t="s">
        <v>264</v>
      </c>
      <c r="C2923" s="1106" t="s">
        <v>965</v>
      </c>
      <c r="D2923" s="1111"/>
      <c r="E2923" s="1108"/>
      <c r="F2923" s="1109">
        <v>11</v>
      </c>
      <c r="G2923" s="859">
        <v>316706416</v>
      </c>
      <c r="H2923" s="860">
        <v>324915521</v>
      </c>
      <c r="I2923" s="861">
        <v>0</v>
      </c>
      <c r="J2923" s="862"/>
      <c r="K2923" s="859">
        <v>10779805</v>
      </c>
      <c r="L2923" s="863">
        <v>10921170</v>
      </c>
      <c r="M2923" s="859">
        <v>550201661</v>
      </c>
      <c r="N2923" s="859">
        <v>3406095</v>
      </c>
      <c r="O2923" s="752">
        <f t="shared" si="386"/>
        <v>553607756</v>
      </c>
      <c r="P2923" s="862">
        <v>527527893</v>
      </c>
      <c r="Q2923" s="860">
        <v>3222450</v>
      </c>
      <c r="R2923" s="753">
        <f t="shared" si="389"/>
        <v>530750343</v>
      </c>
      <c r="S2923" s="752">
        <f t="shared" si="390"/>
        <v>877687882</v>
      </c>
      <c r="T2923" s="754">
        <f t="shared" si="391"/>
        <v>863364584</v>
      </c>
      <c r="U2923" s="859"/>
      <c r="V2923" s="863"/>
      <c r="W2923" s="859"/>
      <c r="X2923" s="859"/>
      <c r="Y2923" s="755">
        <f t="shared" si="387"/>
        <v>0</v>
      </c>
      <c r="Z2923" s="864"/>
      <c r="AA2923" s="863"/>
      <c r="AB2923" s="756">
        <f t="shared" si="388"/>
        <v>0</v>
      </c>
      <c r="AC2923" s="859"/>
      <c r="AD2923" s="863"/>
      <c r="AE2923" s="859"/>
      <c r="AF2923" s="859"/>
      <c r="AG2923" s="864"/>
      <c r="AH2923" s="865"/>
      <c r="AI2923" s="757">
        <f t="shared" si="392"/>
        <v>877687882</v>
      </c>
      <c r="AJ2923" s="758">
        <f t="shared" si="393"/>
        <v>863364584</v>
      </c>
    </row>
    <row r="2924" spans="1:36" x14ac:dyDescent="0.2">
      <c r="A2924" s="1104" t="s">
        <v>156</v>
      </c>
      <c r="B2924" s="1105" t="s">
        <v>302</v>
      </c>
      <c r="C2924" s="1106" t="s">
        <v>966</v>
      </c>
      <c r="D2924" s="1111"/>
      <c r="E2924" s="1108">
        <v>234085</v>
      </c>
      <c r="F2924" s="1109">
        <v>15</v>
      </c>
      <c r="G2924" s="859"/>
      <c r="H2924" s="860"/>
      <c r="I2924" s="861"/>
      <c r="J2924" s="862"/>
      <c r="K2924" s="859"/>
      <c r="L2924" s="863"/>
      <c r="M2924" s="859"/>
      <c r="N2924" s="859"/>
      <c r="O2924" s="752">
        <f t="shared" si="386"/>
        <v>0</v>
      </c>
      <c r="P2924" s="862"/>
      <c r="Q2924" s="860"/>
      <c r="R2924" s="753">
        <f t="shared" si="389"/>
        <v>0</v>
      </c>
      <c r="S2924" s="752">
        <f t="shared" si="390"/>
        <v>0</v>
      </c>
      <c r="T2924" s="754">
        <f t="shared" si="391"/>
        <v>0</v>
      </c>
      <c r="U2924" s="859">
        <v>11359955</v>
      </c>
      <c r="V2924" s="863">
        <v>11901908</v>
      </c>
      <c r="W2924" s="859">
        <v>25590717</v>
      </c>
      <c r="X2924" s="859">
        <v>347490</v>
      </c>
      <c r="Y2924" s="755">
        <f t="shared" si="387"/>
        <v>25938207</v>
      </c>
      <c r="Z2924" s="864">
        <v>27287237</v>
      </c>
      <c r="AA2924" s="863">
        <v>296208</v>
      </c>
      <c r="AB2924" s="756">
        <f t="shared" si="388"/>
        <v>27583445</v>
      </c>
      <c r="AC2924" s="859"/>
      <c r="AD2924" s="863"/>
      <c r="AE2924" s="859"/>
      <c r="AF2924" s="859"/>
      <c r="AG2924" s="864"/>
      <c r="AH2924" s="865"/>
      <c r="AI2924" s="757">
        <f t="shared" si="392"/>
        <v>36950672</v>
      </c>
      <c r="AJ2924" s="758">
        <f t="shared" si="393"/>
        <v>39189145</v>
      </c>
    </row>
    <row r="2925" spans="1:36" x14ac:dyDescent="0.2">
      <c r="A2925" s="1104" t="s">
        <v>156</v>
      </c>
      <c r="B2925" s="1105" t="s">
        <v>273</v>
      </c>
      <c r="C2925" s="1123" t="s">
        <v>787</v>
      </c>
      <c r="D2925" s="1111"/>
      <c r="E2925" s="1108"/>
      <c r="F2925" s="1109"/>
      <c r="G2925" s="859"/>
      <c r="H2925" s="860"/>
      <c r="I2925" s="861"/>
      <c r="J2925" s="862"/>
      <c r="K2925" s="859"/>
      <c r="L2925" s="863"/>
      <c r="M2925" s="859"/>
      <c r="N2925" s="859"/>
      <c r="O2925" s="752">
        <f t="shared" si="386"/>
        <v>0</v>
      </c>
      <c r="P2925" s="862"/>
      <c r="Q2925" s="860"/>
      <c r="R2925" s="753">
        <f t="shared" si="389"/>
        <v>0</v>
      </c>
      <c r="S2925" s="752">
        <f t="shared" si="390"/>
        <v>0</v>
      </c>
      <c r="T2925" s="754">
        <f t="shared" si="391"/>
        <v>0</v>
      </c>
      <c r="U2925" s="859"/>
      <c r="V2925" s="863"/>
      <c r="W2925" s="859"/>
      <c r="X2925" s="859"/>
      <c r="Y2925" s="755">
        <f t="shared" si="387"/>
        <v>0</v>
      </c>
      <c r="Z2925" s="864"/>
      <c r="AA2925" s="863"/>
      <c r="AB2925" s="756">
        <f t="shared" si="388"/>
        <v>0</v>
      </c>
      <c r="AC2925" s="859"/>
      <c r="AD2925" s="863"/>
      <c r="AE2925" s="859"/>
      <c r="AF2925" s="859"/>
      <c r="AG2925" s="864"/>
      <c r="AH2925" s="865"/>
      <c r="AI2925" s="757">
        <f t="shared" si="392"/>
        <v>0</v>
      </c>
      <c r="AJ2925" s="758">
        <f t="shared" si="393"/>
        <v>0</v>
      </c>
    </row>
    <row r="2926" spans="1:36" x14ac:dyDescent="0.2">
      <c r="A2926" s="1104" t="s">
        <v>156</v>
      </c>
      <c r="B2926" s="1105" t="s">
        <v>278</v>
      </c>
      <c r="C2926" s="1116" t="s">
        <v>309</v>
      </c>
      <c r="D2926" s="1111"/>
      <c r="E2926" s="1108"/>
      <c r="F2926" s="1109"/>
      <c r="G2926" s="859"/>
      <c r="H2926" s="860"/>
      <c r="I2926" s="861"/>
      <c r="J2926" s="862"/>
      <c r="K2926" s="859"/>
      <c r="L2926" s="863"/>
      <c r="M2926" s="859"/>
      <c r="N2926" s="859"/>
      <c r="O2926" s="752">
        <f t="shared" si="386"/>
        <v>0</v>
      </c>
      <c r="P2926" s="862"/>
      <c r="Q2926" s="860"/>
      <c r="R2926" s="753">
        <f t="shared" si="389"/>
        <v>0</v>
      </c>
      <c r="S2926" s="752">
        <f t="shared" si="390"/>
        <v>0</v>
      </c>
      <c r="T2926" s="754">
        <f t="shared" si="391"/>
        <v>0</v>
      </c>
      <c r="U2926" s="859"/>
      <c r="V2926" s="863"/>
      <c r="W2926" s="859"/>
      <c r="X2926" s="859"/>
      <c r="Y2926" s="755">
        <f t="shared" si="387"/>
        <v>0</v>
      </c>
      <c r="Z2926" s="864"/>
      <c r="AA2926" s="863"/>
      <c r="AB2926" s="756">
        <f t="shared" si="388"/>
        <v>0</v>
      </c>
      <c r="AC2926" s="859"/>
      <c r="AD2926" s="863"/>
      <c r="AE2926" s="859"/>
      <c r="AF2926" s="859"/>
      <c r="AG2926" s="864"/>
      <c r="AH2926" s="865"/>
      <c r="AI2926" s="757">
        <f t="shared" si="392"/>
        <v>0</v>
      </c>
      <c r="AJ2926" s="758">
        <f t="shared" si="393"/>
        <v>0</v>
      </c>
    </row>
    <row r="2927" spans="1:36" x14ac:dyDescent="0.2">
      <c r="A2927" s="1104" t="s">
        <v>156</v>
      </c>
      <c r="B2927" s="1105" t="s">
        <v>278</v>
      </c>
      <c r="C2927" s="1114" t="s">
        <v>967</v>
      </c>
      <c r="D2927" s="1111"/>
      <c r="E2927" s="1108"/>
      <c r="F2927" s="1109"/>
      <c r="G2927" s="859"/>
      <c r="H2927" s="860"/>
      <c r="I2927" s="861">
        <v>4973750</v>
      </c>
      <c r="J2927" s="862">
        <v>4973750</v>
      </c>
      <c r="K2927" s="859"/>
      <c r="L2927" s="863"/>
      <c r="M2927" s="859"/>
      <c r="N2927" s="859"/>
      <c r="O2927" s="752">
        <f t="shared" si="386"/>
        <v>0</v>
      </c>
      <c r="P2927" s="862"/>
      <c r="Q2927" s="860"/>
      <c r="R2927" s="753">
        <f t="shared" si="389"/>
        <v>0</v>
      </c>
      <c r="S2927" s="752">
        <f t="shared" si="390"/>
        <v>4973750</v>
      </c>
      <c r="T2927" s="754">
        <f t="shared" si="391"/>
        <v>4973750</v>
      </c>
      <c r="U2927" s="859"/>
      <c r="V2927" s="863"/>
      <c r="W2927" s="859"/>
      <c r="X2927" s="859"/>
      <c r="Y2927" s="755">
        <f t="shared" si="387"/>
        <v>0</v>
      </c>
      <c r="Z2927" s="864"/>
      <c r="AA2927" s="863"/>
      <c r="AB2927" s="756">
        <f t="shared" si="388"/>
        <v>0</v>
      </c>
      <c r="AC2927" s="859"/>
      <c r="AD2927" s="863"/>
      <c r="AE2927" s="859"/>
      <c r="AF2927" s="859"/>
      <c r="AG2927" s="864"/>
      <c r="AH2927" s="865"/>
      <c r="AI2927" s="757">
        <f t="shared" si="392"/>
        <v>4973750</v>
      </c>
      <c r="AJ2927" s="758">
        <f t="shared" si="393"/>
        <v>4973750</v>
      </c>
    </row>
    <row r="2928" spans="1:36" x14ac:dyDescent="0.2">
      <c r="A2928" s="1104" t="s">
        <v>156</v>
      </c>
      <c r="B2928" s="1105" t="s">
        <v>278</v>
      </c>
      <c r="C2928" s="1114" t="s">
        <v>968</v>
      </c>
      <c r="D2928" s="1111"/>
      <c r="E2928" s="1108"/>
      <c r="F2928" s="1109"/>
      <c r="G2928" s="859"/>
      <c r="H2928" s="860"/>
      <c r="I2928" s="861">
        <v>1149891</v>
      </c>
      <c r="J2928" s="862">
        <v>1149891</v>
      </c>
      <c r="K2928" s="859"/>
      <c r="L2928" s="863"/>
      <c r="M2928" s="859"/>
      <c r="N2928" s="859"/>
      <c r="O2928" s="752">
        <f t="shared" si="386"/>
        <v>0</v>
      </c>
      <c r="P2928" s="862"/>
      <c r="Q2928" s="860"/>
      <c r="R2928" s="753">
        <f t="shared" si="389"/>
        <v>0</v>
      </c>
      <c r="S2928" s="752">
        <f t="shared" si="390"/>
        <v>1149891</v>
      </c>
      <c r="T2928" s="754">
        <f t="shared" si="391"/>
        <v>1149891</v>
      </c>
      <c r="U2928" s="859"/>
      <c r="V2928" s="863"/>
      <c r="W2928" s="859"/>
      <c r="X2928" s="859"/>
      <c r="Y2928" s="755">
        <f t="shared" si="387"/>
        <v>0</v>
      </c>
      <c r="Z2928" s="864"/>
      <c r="AA2928" s="863"/>
      <c r="AB2928" s="756">
        <f t="shared" si="388"/>
        <v>0</v>
      </c>
      <c r="AC2928" s="859"/>
      <c r="AD2928" s="863"/>
      <c r="AE2928" s="859"/>
      <c r="AF2928" s="859"/>
      <c r="AG2928" s="864"/>
      <c r="AH2928" s="865"/>
      <c r="AI2928" s="757">
        <f t="shared" si="392"/>
        <v>1149891</v>
      </c>
      <c r="AJ2928" s="758">
        <f t="shared" si="393"/>
        <v>1149891</v>
      </c>
    </row>
    <row r="2929" spans="1:36" x14ac:dyDescent="0.2">
      <c r="A2929" s="1104" t="s">
        <v>156</v>
      </c>
      <c r="B2929" s="1105" t="s">
        <v>278</v>
      </c>
      <c r="C2929" s="1114" t="s">
        <v>969</v>
      </c>
      <c r="D2929" s="1111"/>
      <c r="E2929" s="1108"/>
      <c r="F2929" s="1109"/>
      <c r="G2929" s="859"/>
      <c r="H2929" s="860"/>
      <c r="I2929" s="861">
        <v>2980000</v>
      </c>
      <c r="J2929" s="862">
        <v>3020000</v>
      </c>
      <c r="K2929" s="859"/>
      <c r="L2929" s="863"/>
      <c r="M2929" s="859"/>
      <c r="N2929" s="859"/>
      <c r="O2929" s="752">
        <f t="shared" si="386"/>
        <v>0</v>
      </c>
      <c r="P2929" s="862"/>
      <c r="Q2929" s="860"/>
      <c r="R2929" s="753">
        <f t="shared" si="389"/>
        <v>0</v>
      </c>
      <c r="S2929" s="752">
        <f t="shared" si="390"/>
        <v>2980000</v>
      </c>
      <c r="T2929" s="754">
        <f t="shared" si="391"/>
        <v>3020000</v>
      </c>
      <c r="U2929" s="859"/>
      <c r="V2929" s="863"/>
      <c r="W2929" s="859"/>
      <c r="X2929" s="859"/>
      <c r="Y2929" s="755">
        <f t="shared" si="387"/>
        <v>0</v>
      </c>
      <c r="Z2929" s="864"/>
      <c r="AA2929" s="863"/>
      <c r="AB2929" s="756">
        <f t="shared" si="388"/>
        <v>0</v>
      </c>
      <c r="AC2929" s="859"/>
      <c r="AD2929" s="863"/>
      <c r="AE2929" s="859"/>
      <c r="AF2929" s="859"/>
      <c r="AG2929" s="864"/>
      <c r="AH2929" s="865"/>
      <c r="AI2929" s="757">
        <f t="shared" si="392"/>
        <v>2980000</v>
      </c>
      <c r="AJ2929" s="758">
        <f t="shared" si="393"/>
        <v>3020000</v>
      </c>
    </row>
    <row r="2930" spans="1:36" x14ac:dyDescent="0.2">
      <c r="A2930" s="1104" t="s">
        <v>156</v>
      </c>
      <c r="B2930" s="1105" t="s">
        <v>279</v>
      </c>
      <c r="C2930" s="1116" t="s">
        <v>970</v>
      </c>
      <c r="D2930" s="1111"/>
      <c r="E2930" s="1108"/>
      <c r="F2930" s="1109"/>
      <c r="G2930" s="859"/>
      <c r="H2930" s="860"/>
      <c r="I2930" s="861"/>
      <c r="J2930" s="862"/>
      <c r="K2930" s="859"/>
      <c r="L2930" s="863"/>
      <c r="M2930" s="859"/>
      <c r="N2930" s="859"/>
      <c r="O2930" s="752">
        <f t="shared" si="386"/>
        <v>0</v>
      </c>
      <c r="P2930" s="862"/>
      <c r="Q2930" s="860"/>
      <c r="R2930" s="753">
        <f t="shared" si="389"/>
        <v>0</v>
      </c>
      <c r="S2930" s="752">
        <f t="shared" si="390"/>
        <v>0</v>
      </c>
      <c r="T2930" s="754">
        <f t="shared" si="391"/>
        <v>0</v>
      </c>
      <c r="U2930" s="859"/>
      <c r="V2930" s="863"/>
      <c r="W2930" s="859"/>
      <c r="X2930" s="859"/>
      <c r="Y2930" s="755">
        <f t="shared" si="387"/>
        <v>0</v>
      </c>
      <c r="Z2930" s="864"/>
      <c r="AA2930" s="863"/>
      <c r="AB2930" s="756">
        <f t="shared" si="388"/>
        <v>0</v>
      </c>
      <c r="AC2930" s="859"/>
      <c r="AD2930" s="863"/>
      <c r="AE2930" s="859"/>
      <c r="AF2930" s="859"/>
      <c r="AG2930" s="864"/>
      <c r="AH2930" s="865"/>
      <c r="AI2930" s="757">
        <f t="shared" si="392"/>
        <v>0</v>
      </c>
      <c r="AJ2930" s="758">
        <f t="shared" si="393"/>
        <v>0</v>
      </c>
    </row>
    <row r="2931" spans="1:36" x14ac:dyDescent="0.2">
      <c r="A2931" s="1104" t="s">
        <v>156</v>
      </c>
      <c r="B2931" s="1105" t="s">
        <v>279</v>
      </c>
      <c r="C2931" s="1114" t="s">
        <v>971</v>
      </c>
      <c r="D2931" s="1111"/>
      <c r="E2931" s="1108"/>
      <c r="F2931" s="1109"/>
      <c r="G2931" s="859"/>
      <c r="H2931" s="860"/>
      <c r="I2931" s="861">
        <v>1471039</v>
      </c>
      <c r="J2931" s="862">
        <v>1471055</v>
      </c>
      <c r="K2931" s="859"/>
      <c r="L2931" s="863"/>
      <c r="M2931" s="859"/>
      <c r="N2931" s="859"/>
      <c r="O2931" s="752">
        <f t="shared" si="386"/>
        <v>0</v>
      </c>
      <c r="P2931" s="862"/>
      <c r="Q2931" s="860"/>
      <c r="R2931" s="753">
        <f t="shared" si="389"/>
        <v>0</v>
      </c>
      <c r="S2931" s="752">
        <f t="shared" si="390"/>
        <v>1471039</v>
      </c>
      <c r="T2931" s="754">
        <f t="shared" si="391"/>
        <v>1471055</v>
      </c>
      <c r="U2931" s="859"/>
      <c r="V2931" s="863"/>
      <c r="W2931" s="859"/>
      <c r="X2931" s="859"/>
      <c r="Y2931" s="755">
        <f t="shared" si="387"/>
        <v>0</v>
      </c>
      <c r="Z2931" s="864"/>
      <c r="AA2931" s="863"/>
      <c r="AB2931" s="756">
        <f t="shared" si="388"/>
        <v>0</v>
      </c>
      <c r="AC2931" s="859"/>
      <c r="AD2931" s="863"/>
      <c r="AE2931" s="859"/>
      <c r="AF2931" s="859"/>
      <c r="AG2931" s="864"/>
      <c r="AH2931" s="865"/>
      <c r="AI2931" s="757">
        <f t="shared" si="392"/>
        <v>1471039</v>
      </c>
      <c r="AJ2931" s="758">
        <f t="shared" si="393"/>
        <v>1471055</v>
      </c>
    </row>
    <row r="2932" spans="1:36" x14ac:dyDescent="0.2">
      <c r="A2932" s="1104" t="s">
        <v>156</v>
      </c>
      <c r="B2932" s="1105" t="s">
        <v>303</v>
      </c>
      <c r="C2932" s="1123" t="s">
        <v>919</v>
      </c>
      <c r="D2932" s="1111"/>
      <c r="E2932" s="1108"/>
      <c r="F2932" s="1109"/>
      <c r="G2932" s="859"/>
      <c r="H2932" s="860"/>
      <c r="I2932" s="861"/>
      <c r="J2932" s="862"/>
      <c r="K2932" s="859"/>
      <c r="L2932" s="863"/>
      <c r="M2932" s="859"/>
      <c r="N2932" s="859"/>
      <c r="O2932" s="752">
        <f t="shared" si="386"/>
        <v>0</v>
      </c>
      <c r="P2932" s="862"/>
      <c r="Q2932" s="860"/>
      <c r="R2932" s="753">
        <f t="shared" si="389"/>
        <v>0</v>
      </c>
      <c r="S2932" s="752">
        <f t="shared" si="390"/>
        <v>0</v>
      </c>
      <c r="T2932" s="754">
        <f t="shared" si="391"/>
        <v>0</v>
      </c>
      <c r="U2932" s="859"/>
      <c r="V2932" s="863"/>
      <c r="W2932" s="859"/>
      <c r="X2932" s="859"/>
      <c r="Y2932" s="755">
        <f t="shared" si="387"/>
        <v>0</v>
      </c>
      <c r="Z2932" s="864"/>
      <c r="AA2932" s="863"/>
      <c r="AB2932" s="756">
        <f t="shared" si="388"/>
        <v>0</v>
      </c>
      <c r="AC2932" s="859"/>
      <c r="AD2932" s="863"/>
      <c r="AE2932" s="859"/>
      <c r="AF2932" s="859"/>
      <c r="AG2932" s="864"/>
      <c r="AH2932" s="865"/>
      <c r="AI2932" s="757">
        <f t="shared" si="392"/>
        <v>0</v>
      </c>
      <c r="AJ2932" s="758">
        <f t="shared" si="393"/>
        <v>0</v>
      </c>
    </row>
    <row r="2933" spans="1:36" x14ac:dyDescent="0.2">
      <c r="A2933" s="1104" t="s">
        <v>156</v>
      </c>
      <c r="B2933" s="1105" t="s">
        <v>303</v>
      </c>
      <c r="C2933" s="1114" t="s">
        <v>972</v>
      </c>
      <c r="D2933" s="1111"/>
      <c r="E2933" s="1108"/>
      <c r="F2933" s="1109"/>
      <c r="G2933" s="859"/>
      <c r="H2933" s="860"/>
      <c r="I2933" s="861">
        <v>0</v>
      </c>
      <c r="J2933" s="862"/>
      <c r="K2933" s="859"/>
      <c r="L2933" s="863"/>
      <c r="M2933" s="859"/>
      <c r="N2933" s="859"/>
      <c r="O2933" s="752">
        <f t="shared" si="386"/>
        <v>0</v>
      </c>
      <c r="P2933" s="862"/>
      <c r="Q2933" s="860"/>
      <c r="R2933" s="753">
        <f t="shared" si="389"/>
        <v>0</v>
      </c>
      <c r="S2933" s="752">
        <f t="shared" si="390"/>
        <v>0</v>
      </c>
      <c r="T2933" s="754">
        <f t="shared" si="391"/>
        <v>0</v>
      </c>
      <c r="U2933" s="859"/>
      <c r="V2933" s="863"/>
      <c r="W2933" s="859"/>
      <c r="X2933" s="859"/>
      <c r="Y2933" s="755">
        <f t="shared" si="387"/>
        <v>0</v>
      </c>
      <c r="Z2933" s="864"/>
      <c r="AA2933" s="863"/>
      <c r="AB2933" s="756">
        <f t="shared" si="388"/>
        <v>0</v>
      </c>
      <c r="AC2933" s="859"/>
      <c r="AD2933" s="863"/>
      <c r="AE2933" s="859"/>
      <c r="AF2933" s="859"/>
      <c r="AG2933" s="864"/>
      <c r="AH2933" s="865"/>
      <c r="AI2933" s="757">
        <f t="shared" si="392"/>
        <v>0</v>
      </c>
      <c r="AJ2933" s="758">
        <f t="shared" si="393"/>
        <v>0</v>
      </c>
    </row>
    <row r="2934" spans="1:36" x14ac:dyDescent="0.2">
      <c r="A2934" s="1104" t="s">
        <v>156</v>
      </c>
      <c r="B2934" s="1105" t="s">
        <v>303</v>
      </c>
      <c r="C2934" s="1114" t="s">
        <v>973</v>
      </c>
      <c r="D2934" s="1111"/>
      <c r="E2934" s="1108"/>
      <c r="F2934" s="1109"/>
      <c r="G2934" s="859"/>
      <c r="H2934" s="860"/>
      <c r="I2934" s="861">
        <v>7403177</v>
      </c>
      <c r="J2934" s="862">
        <v>7403177</v>
      </c>
      <c r="K2934" s="859"/>
      <c r="L2934" s="863"/>
      <c r="M2934" s="859"/>
      <c r="N2934" s="859"/>
      <c r="O2934" s="752">
        <f t="shared" si="386"/>
        <v>0</v>
      </c>
      <c r="P2934" s="862"/>
      <c r="Q2934" s="860"/>
      <c r="R2934" s="753">
        <f t="shared" si="389"/>
        <v>0</v>
      </c>
      <c r="S2934" s="752">
        <f t="shared" si="390"/>
        <v>7403177</v>
      </c>
      <c r="T2934" s="754">
        <f t="shared" si="391"/>
        <v>7403177</v>
      </c>
      <c r="U2934" s="859"/>
      <c r="V2934" s="863"/>
      <c r="W2934" s="859"/>
      <c r="X2934" s="859"/>
      <c r="Y2934" s="755">
        <f t="shared" si="387"/>
        <v>0</v>
      </c>
      <c r="Z2934" s="864"/>
      <c r="AA2934" s="863"/>
      <c r="AB2934" s="756">
        <f t="shared" si="388"/>
        <v>0</v>
      </c>
      <c r="AC2934" s="859"/>
      <c r="AD2934" s="863"/>
      <c r="AE2934" s="859"/>
      <c r="AF2934" s="859"/>
      <c r="AG2934" s="864"/>
      <c r="AH2934" s="865"/>
      <c r="AI2934" s="757">
        <f t="shared" si="392"/>
        <v>7403177</v>
      </c>
      <c r="AJ2934" s="758">
        <f t="shared" si="393"/>
        <v>7403177</v>
      </c>
    </row>
    <row r="2935" spans="1:36" x14ac:dyDescent="0.2">
      <c r="A2935" s="1104" t="s">
        <v>156</v>
      </c>
      <c r="B2935" s="1105" t="s">
        <v>303</v>
      </c>
      <c r="C2935" s="1114" t="s">
        <v>974</v>
      </c>
      <c r="D2935" s="1111"/>
      <c r="E2935" s="1108"/>
      <c r="F2935" s="1109"/>
      <c r="G2935" s="859"/>
      <c r="H2935" s="860"/>
      <c r="I2935" s="861">
        <v>307899</v>
      </c>
      <c r="J2935" s="862">
        <v>307899</v>
      </c>
      <c r="K2935" s="859"/>
      <c r="L2935" s="863"/>
      <c r="M2935" s="859"/>
      <c r="N2935" s="859"/>
      <c r="O2935" s="752">
        <f t="shared" si="386"/>
        <v>0</v>
      </c>
      <c r="P2935" s="862"/>
      <c r="Q2935" s="860"/>
      <c r="R2935" s="753">
        <f t="shared" si="389"/>
        <v>0</v>
      </c>
      <c r="S2935" s="752">
        <f t="shared" si="390"/>
        <v>307899</v>
      </c>
      <c r="T2935" s="754">
        <f t="shared" si="391"/>
        <v>307899</v>
      </c>
      <c r="U2935" s="859"/>
      <c r="V2935" s="863"/>
      <c r="W2935" s="859"/>
      <c r="X2935" s="859"/>
      <c r="Y2935" s="755">
        <f t="shared" si="387"/>
        <v>0</v>
      </c>
      <c r="Z2935" s="864"/>
      <c r="AA2935" s="863"/>
      <c r="AB2935" s="756">
        <f t="shared" si="388"/>
        <v>0</v>
      </c>
      <c r="AC2935" s="859"/>
      <c r="AD2935" s="863"/>
      <c r="AE2935" s="859"/>
      <c r="AF2935" s="859"/>
      <c r="AG2935" s="864"/>
      <c r="AH2935" s="865"/>
      <c r="AI2935" s="757">
        <f t="shared" si="392"/>
        <v>307899</v>
      </c>
      <c r="AJ2935" s="758">
        <f t="shared" si="393"/>
        <v>307899</v>
      </c>
    </row>
    <row r="2936" spans="1:36" x14ac:dyDescent="0.2">
      <c r="A2936" s="1104" t="s">
        <v>156</v>
      </c>
      <c r="B2936" s="1105" t="s">
        <v>303</v>
      </c>
      <c r="C2936" s="1114" t="s">
        <v>975</v>
      </c>
      <c r="D2936" s="1111"/>
      <c r="E2936" s="1108"/>
      <c r="F2936" s="1109"/>
      <c r="G2936" s="859"/>
      <c r="H2936" s="860"/>
      <c r="I2936" s="861">
        <v>695000</v>
      </c>
      <c r="J2936" s="862">
        <v>695000</v>
      </c>
      <c r="K2936" s="859"/>
      <c r="L2936" s="863"/>
      <c r="M2936" s="859"/>
      <c r="N2936" s="859"/>
      <c r="O2936" s="752">
        <f t="shared" si="386"/>
        <v>0</v>
      </c>
      <c r="P2936" s="862"/>
      <c r="Q2936" s="860"/>
      <c r="R2936" s="753">
        <f t="shared" si="389"/>
        <v>0</v>
      </c>
      <c r="S2936" s="752">
        <f t="shared" si="390"/>
        <v>695000</v>
      </c>
      <c r="T2936" s="754">
        <f t="shared" si="391"/>
        <v>695000</v>
      </c>
      <c r="U2936" s="859"/>
      <c r="V2936" s="863"/>
      <c r="W2936" s="859"/>
      <c r="X2936" s="859"/>
      <c r="Y2936" s="755">
        <f t="shared" si="387"/>
        <v>0</v>
      </c>
      <c r="Z2936" s="864"/>
      <c r="AA2936" s="863"/>
      <c r="AB2936" s="756">
        <f t="shared" si="388"/>
        <v>0</v>
      </c>
      <c r="AC2936" s="859"/>
      <c r="AD2936" s="863"/>
      <c r="AE2936" s="859"/>
      <c r="AF2936" s="859"/>
      <c r="AG2936" s="864"/>
      <c r="AH2936" s="865"/>
      <c r="AI2936" s="757">
        <f t="shared" si="392"/>
        <v>695000</v>
      </c>
      <c r="AJ2936" s="758">
        <f t="shared" si="393"/>
        <v>695000</v>
      </c>
    </row>
    <row r="2937" spans="1:36" x14ac:dyDescent="0.2">
      <c r="A2937" s="1104" t="s">
        <v>156</v>
      </c>
      <c r="B2937" s="1105" t="s">
        <v>303</v>
      </c>
      <c r="C2937" s="1114" t="s">
        <v>976</v>
      </c>
      <c r="D2937" s="1111"/>
      <c r="E2937" s="1108"/>
      <c r="F2937" s="1109"/>
      <c r="G2937" s="859"/>
      <c r="H2937" s="860"/>
      <c r="I2937" s="861">
        <v>664969</v>
      </c>
      <c r="J2937" s="862">
        <v>674969</v>
      </c>
      <c r="K2937" s="859"/>
      <c r="L2937" s="863"/>
      <c r="M2937" s="859"/>
      <c r="N2937" s="859"/>
      <c r="O2937" s="752">
        <f t="shared" si="386"/>
        <v>0</v>
      </c>
      <c r="P2937" s="862"/>
      <c r="Q2937" s="860"/>
      <c r="R2937" s="753">
        <f t="shared" si="389"/>
        <v>0</v>
      </c>
      <c r="S2937" s="752">
        <f t="shared" si="390"/>
        <v>664969</v>
      </c>
      <c r="T2937" s="754">
        <f t="shared" si="391"/>
        <v>674969</v>
      </c>
      <c r="U2937" s="859"/>
      <c r="V2937" s="863"/>
      <c r="W2937" s="859"/>
      <c r="X2937" s="859"/>
      <c r="Y2937" s="755">
        <f t="shared" si="387"/>
        <v>0</v>
      </c>
      <c r="Z2937" s="864"/>
      <c r="AA2937" s="863"/>
      <c r="AB2937" s="756">
        <f t="shared" si="388"/>
        <v>0</v>
      </c>
      <c r="AC2937" s="859"/>
      <c r="AD2937" s="863"/>
      <c r="AE2937" s="859"/>
      <c r="AF2937" s="859"/>
      <c r="AG2937" s="864"/>
      <c r="AH2937" s="865"/>
      <c r="AI2937" s="757">
        <f t="shared" si="392"/>
        <v>664969</v>
      </c>
      <c r="AJ2937" s="758">
        <f t="shared" si="393"/>
        <v>674969</v>
      </c>
    </row>
    <row r="2938" spans="1:36" x14ac:dyDescent="0.2">
      <c r="A2938" s="1104" t="s">
        <v>156</v>
      </c>
      <c r="B2938" s="1105" t="s">
        <v>303</v>
      </c>
      <c r="C2938" s="1114" t="s">
        <v>977</v>
      </c>
      <c r="D2938" s="1111"/>
      <c r="E2938" s="1108"/>
      <c r="F2938" s="1109"/>
      <c r="G2938" s="859"/>
      <c r="H2938" s="860"/>
      <c r="I2938" s="861"/>
      <c r="J2938" s="862"/>
      <c r="K2938" s="859"/>
      <c r="L2938" s="863"/>
      <c r="M2938" s="859"/>
      <c r="N2938" s="859"/>
      <c r="O2938" s="752">
        <f t="shared" si="386"/>
        <v>0</v>
      </c>
      <c r="P2938" s="862"/>
      <c r="Q2938" s="860"/>
      <c r="R2938" s="753">
        <f t="shared" si="389"/>
        <v>0</v>
      </c>
      <c r="S2938" s="752">
        <f t="shared" si="390"/>
        <v>0</v>
      </c>
      <c r="T2938" s="754">
        <f t="shared" si="391"/>
        <v>0</v>
      </c>
      <c r="U2938" s="859"/>
      <c r="V2938" s="863"/>
      <c r="W2938" s="859"/>
      <c r="X2938" s="859"/>
      <c r="Y2938" s="755">
        <f t="shared" si="387"/>
        <v>0</v>
      </c>
      <c r="Z2938" s="864"/>
      <c r="AA2938" s="863"/>
      <c r="AB2938" s="756">
        <f t="shared" si="388"/>
        <v>0</v>
      </c>
      <c r="AC2938" s="859">
        <v>24145660</v>
      </c>
      <c r="AD2938" s="863">
        <v>24145660</v>
      </c>
      <c r="AE2938" s="859"/>
      <c r="AF2938" s="859"/>
      <c r="AG2938" s="864"/>
      <c r="AH2938" s="865"/>
      <c r="AI2938" s="757">
        <f t="shared" si="392"/>
        <v>24145660</v>
      </c>
      <c r="AJ2938" s="758">
        <f t="shared" si="393"/>
        <v>24145660</v>
      </c>
    </row>
    <row r="2939" spans="1:36" x14ac:dyDescent="0.2">
      <c r="A2939" s="1104" t="s">
        <v>156</v>
      </c>
      <c r="B2939" s="1105" t="s">
        <v>303</v>
      </c>
      <c r="C2939" s="1114" t="s">
        <v>978</v>
      </c>
      <c r="D2939" s="1111"/>
      <c r="E2939" s="1108"/>
      <c r="F2939" s="1109"/>
      <c r="G2939" s="859"/>
      <c r="H2939" s="860"/>
      <c r="I2939" s="861">
        <v>38491738</v>
      </c>
      <c r="J2939" s="862">
        <v>47995653</v>
      </c>
      <c r="K2939" s="859"/>
      <c r="L2939" s="863"/>
      <c r="M2939" s="859"/>
      <c r="N2939" s="859"/>
      <c r="O2939" s="752">
        <f t="shared" si="386"/>
        <v>0</v>
      </c>
      <c r="P2939" s="862"/>
      <c r="Q2939" s="860"/>
      <c r="R2939" s="753">
        <f t="shared" si="389"/>
        <v>0</v>
      </c>
      <c r="S2939" s="752">
        <f t="shared" si="390"/>
        <v>38491738</v>
      </c>
      <c r="T2939" s="754">
        <f t="shared" si="391"/>
        <v>47995653</v>
      </c>
      <c r="U2939" s="859"/>
      <c r="V2939" s="863"/>
      <c r="W2939" s="859"/>
      <c r="X2939" s="859"/>
      <c r="Y2939" s="755">
        <f t="shared" si="387"/>
        <v>0</v>
      </c>
      <c r="Z2939" s="864"/>
      <c r="AA2939" s="863"/>
      <c r="AB2939" s="756">
        <f t="shared" si="388"/>
        <v>0</v>
      </c>
      <c r="AC2939" s="859"/>
      <c r="AD2939" s="863"/>
      <c r="AE2939" s="859"/>
      <c r="AF2939" s="859"/>
      <c r="AG2939" s="864"/>
      <c r="AH2939" s="865"/>
      <c r="AI2939" s="757">
        <f t="shared" si="392"/>
        <v>38491738</v>
      </c>
      <c r="AJ2939" s="758">
        <f t="shared" si="393"/>
        <v>47995653</v>
      </c>
    </row>
    <row r="2940" spans="1:36" x14ac:dyDescent="0.2">
      <c r="A2940" s="1104" t="s">
        <v>156</v>
      </c>
      <c r="B2940" s="1105" t="s">
        <v>303</v>
      </c>
      <c r="C2940" s="1114" t="s">
        <v>979</v>
      </c>
      <c r="D2940" s="1111"/>
      <c r="E2940" s="1108"/>
      <c r="F2940" s="1109"/>
      <c r="G2940" s="859"/>
      <c r="H2940" s="860"/>
      <c r="I2940" s="861">
        <v>2158993</v>
      </c>
      <c r="J2940" s="862">
        <v>2159010</v>
      </c>
      <c r="K2940" s="859"/>
      <c r="L2940" s="863"/>
      <c r="M2940" s="859"/>
      <c r="N2940" s="859"/>
      <c r="O2940" s="752">
        <f t="shared" si="386"/>
        <v>0</v>
      </c>
      <c r="P2940" s="862"/>
      <c r="Q2940" s="860"/>
      <c r="R2940" s="753">
        <f t="shared" si="389"/>
        <v>0</v>
      </c>
      <c r="S2940" s="752">
        <f t="shared" si="390"/>
        <v>2158993</v>
      </c>
      <c r="T2940" s="754">
        <f t="shared" si="391"/>
        <v>2159010</v>
      </c>
      <c r="U2940" s="859"/>
      <c r="V2940" s="863"/>
      <c r="W2940" s="859"/>
      <c r="X2940" s="859"/>
      <c r="Y2940" s="755">
        <f t="shared" si="387"/>
        <v>0</v>
      </c>
      <c r="Z2940" s="864"/>
      <c r="AA2940" s="863"/>
      <c r="AB2940" s="756">
        <f t="shared" si="388"/>
        <v>0</v>
      </c>
      <c r="AC2940" s="859"/>
      <c r="AD2940" s="863"/>
      <c r="AE2940" s="859"/>
      <c r="AF2940" s="859"/>
      <c r="AG2940" s="864"/>
      <c r="AH2940" s="865"/>
      <c r="AI2940" s="757">
        <f t="shared" si="392"/>
        <v>2158993</v>
      </c>
      <c r="AJ2940" s="758">
        <f t="shared" si="393"/>
        <v>2159010</v>
      </c>
    </row>
    <row r="2941" spans="1:36" x14ac:dyDescent="0.2">
      <c r="A2941" s="1104" t="s">
        <v>156</v>
      </c>
      <c r="B2941" s="1105" t="s">
        <v>303</v>
      </c>
      <c r="C2941" s="1114" t="s">
        <v>980</v>
      </c>
      <c r="D2941" s="1111"/>
      <c r="E2941" s="1108"/>
      <c r="F2941" s="1109"/>
      <c r="G2941" s="859"/>
      <c r="H2941" s="860"/>
      <c r="I2941" s="861">
        <v>1815339</v>
      </c>
      <c r="J2941" s="862">
        <v>1815421</v>
      </c>
      <c r="K2941" s="859"/>
      <c r="L2941" s="863"/>
      <c r="M2941" s="859"/>
      <c r="N2941" s="859"/>
      <c r="O2941" s="752">
        <f t="shared" si="386"/>
        <v>0</v>
      </c>
      <c r="P2941" s="862"/>
      <c r="Q2941" s="860"/>
      <c r="R2941" s="753">
        <f t="shared" si="389"/>
        <v>0</v>
      </c>
      <c r="S2941" s="752">
        <f t="shared" si="390"/>
        <v>1815339</v>
      </c>
      <c r="T2941" s="754">
        <f t="shared" si="391"/>
        <v>1815421</v>
      </c>
      <c r="U2941" s="859"/>
      <c r="V2941" s="863"/>
      <c r="W2941" s="859"/>
      <c r="X2941" s="859"/>
      <c r="Y2941" s="755">
        <f t="shared" si="387"/>
        <v>0</v>
      </c>
      <c r="Z2941" s="864"/>
      <c r="AA2941" s="863"/>
      <c r="AB2941" s="756">
        <f t="shared" si="388"/>
        <v>0</v>
      </c>
      <c r="AC2941" s="859"/>
      <c r="AD2941" s="863"/>
      <c r="AE2941" s="859"/>
      <c r="AF2941" s="859"/>
      <c r="AG2941" s="864"/>
      <c r="AH2941" s="865"/>
      <c r="AI2941" s="757">
        <f t="shared" si="392"/>
        <v>1815339</v>
      </c>
      <c r="AJ2941" s="758">
        <f t="shared" si="393"/>
        <v>1815421</v>
      </c>
    </row>
    <row r="2942" spans="1:36" x14ac:dyDescent="0.2">
      <c r="A2942" s="1104" t="s">
        <v>156</v>
      </c>
      <c r="B2942" s="1105" t="s">
        <v>303</v>
      </c>
      <c r="C2942" s="1114" t="s">
        <v>981</v>
      </c>
      <c r="D2942" s="1111"/>
      <c r="E2942" s="1108"/>
      <c r="F2942" s="1109"/>
      <c r="G2942" s="859"/>
      <c r="H2942" s="860"/>
      <c r="I2942" s="861">
        <v>1121896</v>
      </c>
      <c r="J2942" s="862">
        <v>1121896</v>
      </c>
      <c r="K2942" s="859"/>
      <c r="L2942" s="863"/>
      <c r="M2942" s="859"/>
      <c r="N2942" s="859"/>
      <c r="O2942" s="752">
        <f t="shared" si="386"/>
        <v>0</v>
      </c>
      <c r="P2942" s="862"/>
      <c r="Q2942" s="860"/>
      <c r="R2942" s="753">
        <f t="shared" si="389"/>
        <v>0</v>
      </c>
      <c r="S2942" s="752">
        <f t="shared" si="390"/>
        <v>1121896</v>
      </c>
      <c r="T2942" s="754">
        <f t="shared" si="391"/>
        <v>1121896</v>
      </c>
      <c r="U2942" s="859"/>
      <c r="V2942" s="863"/>
      <c r="W2942" s="859"/>
      <c r="X2942" s="859"/>
      <c r="Y2942" s="755">
        <f t="shared" si="387"/>
        <v>0</v>
      </c>
      <c r="Z2942" s="864"/>
      <c r="AA2942" s="863"/>
      <c r="AB2942" s="756">
        <f t="shared" si="388"/>
        <v>0</v>
      </c>
      <c r="AC2942" s="859"/>
      <c r="AD2942" s="863"/>
      <c r="AE2942" s="859"/>
      <c r="AF2942" s="859"/>
      <c r="AG2942" s="864"/>
      <c r="AH2942" s="865"/>
      <c r="AI2942" s="757">
        <f t="shared" si="392"/>
        <v>1121896</v>
      </c>
      <c r="AJ2942" s="758">
        <f t="shared" si="393"/>
        <v>1121896</v>
      </c>
    </row>
    <row r="2943" spans="1:36" x14ac:dyDescent="0.2">
      <c r="A2943" s="1104" t="s">
        <v>156</v>
      </c>
      <c r="B2943" s="1105" t="s">
        <v>303</v>
      </c>
      <c r="C2943" s="1114" t="s">
        <v>982</v>
      </c>
      <c r="D2943" s="1111"/>
      <c r="E2943" s="1108"/>
      <c r="F2943" s="1109"/>
      <c r="G2943" s="859"/>
      <c r="H2943" s="860"/>
      <c r="I2943" s="861">
        <v>6122968</v>
      </c>
      <c r="J2943" s="862">
        <v>6122968</v>
      </c>
      <c r="K2943" s="859"/>
      <c r="L2943" s="863"/>
      <c r="M2943" s="859"/>
      <c r="N2943" s="859"/>
      <c r="O2943" s="752">
        <f t="shared" si="386"/>
        <v>0</v>
      </c>
      <c r="P2943" s="862"/>
      <c r="Q2943" s="860"/>
      <c r="R2943" s="753">
        <f t="shared" si="389"/>
        <v>0</v>
      </c>
      <c r="S2943" s="752">
        <f t="shared" si="390"/>
        <v>6122968</v>
      </c>
      <c r="T2943" s="754">
        <f t="shared" si="391"/>
        <v>6122968</v>
      </c>
      <c r="U2943" s="859"/>
      <c r="V2943" s="863"/>
      <c r="W2943" s="859"/>
      <c r="X2943" s="859"/>
      <c r="Y2943" s="755">
        <f t="shared" si="387"/>
        <v>0</v>
      </c>
      <c r="Z2943" s="864"/>
      <c r="AA2943" s="863"/>
      <c r="AB2943" s="756">
        <f t="shared" si="388"/>
        <v>0</v>
      </c>
      <c r="AC2943" s="859"/>
      <c r="AD2943" s="863"/>
      <c r="AE2943" s="859"/>
      <c r="AF2943" s="859"/>
      <c r="AG2943" s="864"/>
      <c r="AH2943" s="865"/>
      <c r="AI2943" s="757">
        <f t="shared" si="392"/>
        <v>6122968</v>
      </c>
      <c r="AJ2943" s="758">
        <f t="shared" si="393"/>
        <v>6122968</v>
      </c>
    </row>
    <row r="2944" spans="1:36" x14ac:dyDescent="0.2">
      <c r="A2944" s="1104" t="s">
        <v>156</v>
      </c>
      <c r="B2944" s="1105" t="s">
        <v>281</v>
      </c>
      <c r="C2944" s="1123" t="s">
        <v>109</v>
      </c>
      <c r="D2944" s="1111"/>
      <c r="E2944" s="1108"/>
      <c r="F2944" s="1109"/>
      <c r="G2944" s="859"/>
      <c r="H2944" s="860"/>
      <c r="I2944" s="861"/>
      <c r="J2944" s="862"/>
      <c r="K2944" s="859"/>
      <c r="L2944" s="863"/>
      <c r="M2944" s="859"/>
      <c r="N2944" s="859"/>
      <c r="O2944" s="752">
        <f t="shared" si="386"/>
        <v>0</v>
      </c>
      <c r="P2944" s="862"/>
      <c r="Q2944" s="860"/>
      <c r="R2944" s="753">
        <f t="shared" si="389"/>
        <v>0</v>
      </c>
      <c r="S2944" s="752">
        <f t="shared" si="390"/>
        <v>0</v>
      </c>
      <c r="T2944" s="754">
        <f t="shared" si="391"/>
        <v>0</v>
      </c>
      <c r="U2944" s="859"/>
      <c r="V2944" s="863"/>
      <c r="W2944" s="859"/>
      <c r="X2944" s="859"/>
      <c r="Y2944" s="755">
        <f t="shared" si="387"/>
        <v>0</v>
      </c>
      <c r="Z2944" s="864"/>
      <c r="AA2944" s="863"/>
      <c r="AB2944" s="756">
        <f t="shared" si="388"/>
        <v>0</v>
      </c>
      <c r="AC2944" s="859"/>
      <c r="AD2944" s="863"/>
      <c r="AE2944" s="859"/>
      <c r="AF2944" s="859"/>
      <c r="AG2944" s="864"/>
      <c r="AH2944" s="865"/>
      <c r="AI2944" s="757">
        <f t="shared" si="392"/>
        <v>0</v>
      </c>
      <c r="AJ2944" s="758">
        <f t="shared" si="393"/>
        <v>0</v>
      </c>
    </row>
    <row r="2945" spans="1:36" x14ac:dyDescent="0.2">
      <c r="A2945" s="1104" t="s">
        <v>156</v>
      </c>
      <c r="B2945" s="1105" t="s">
        <v>282</v>
      </c>
      <c r="C2945" s="1116" t="s">
        <v>140</v>
      </c>
      <c r="D2945" s="1111"/>
      <c r="E2945" s="1108"/>
      <c r="F2945" s="1109"/>
      <c r="G2945" s="859"/>
      <c r="H2945" s="860"/>
      <c r="I2945" s="861"/>
      <c r="J2945" s="862"/>
      <c r="K2945" s="859"/>
      <c r="L2945" s="863"/>
      <c r="M2945" s="859"/>
      <c r="N2945" s="859"/>
      <c r="O2945" s="752">
        <f t="shared" si="386"/>
        <v>0</v>
      </c>
      <c r="P2945" s="862"/>
      <c r="Q2945" s="860"/>
      <c r="R2945" s="753">
        <f t="shared" si="389"/>
        <v>0</v>
      </c>
      <c r="S2945" s="752">
        <f t="shared" si="390"/>
        <v>0</v>
      </c>
      <c r="T2945" s="754">
        <f t="shared" si="391"/>
        <v>0</v>
      </c>
      <c r="U2945" s="859">
        <v>3863369</v>
      </c>
      <c r="V2945" s="863">
        <v>3869255</v>
      </c>
      <c r="W2945" s="859"/>
      <c r="X2945" s="859"/>
      <c r="Y2945" s="755">
        <f t="shared" si="387"/>
        <v>0</v>
      </c>
      <c r="Z2945" s="864"/>
      <c r="AA2945" s="863"/>
      <c r="AB2945" s="756">
        <f t="shared" si="388"/>
        <v>0</v>
      </c>
      <c r="AC2945" s="859"/>
      <c r="AD2945" s="863"/>
      <c r="AE2945" s="859"/>
      <c r="AF2945" s="859"/>
      <c r="AG2945" s="864"/>
      <c r="AH2945" s="865"/>
      <c r="AI2945" s="757">
        <f t="shared" si="392"/>
        <v>3863369</v>
      </c>
      <c r="AJ2945" s="758">
        <f t="shared" si="393"/>
        <v>3869255</v>
      </c>
    </row>
    <row r="2946" spans="1:36" x14ac:dyDescent="0.2">
      <c r="A2946" s="1104" t="s">
        <v>156</v>
      </c>
      <c r="B2946" s="1105" t="s">
        <v>283</v>
      </c>
      <c r="C2946" s="1116" t="s">
        <v>139</v>
      </c>
      <c r="D2946" s="1111"/>
      <c r="E2946" s="1108"/>
      <c r="F2946" s="1109"/>
      <c r="G2946" s="859"/>
      <c r="H2946" s="860"/>
      <c r="I2946" s="861"/>
      <c r="J2946" s="862"/>
      <c r="K2946" s="859"/>
      <c r="L2946" s="863"/>
      <c r="M2946" s="859"/>
      <c r="N2946" s="859"/>
      <c r="O2946" s="752">
        <f t="shared" si="386"/>
        <v>0</v>
      </c>
      <c r="P2946" s="862"/>
      <c r="Q2946" s="860"/>
      <c r="R2946" s="753">
        <f t="shared" si="389"/>
        <v>0</v>
      </c>
      <c r="S2946" s="752">
        <f t="shared" si="390"/>
        <v>0</v>
      </c>
      <c r="T2946" s="754">
        <f t="shared" si="391"/>
        <v>0</v>
      </c>
      <c r="U2946" s="859">
        <v>15943079</v>
      </c>
      <c r="V2946" s="863">
        <v>16339851</v>
      </c>
      <c r="W2946" s="859"/>
      <c r="X2946" s="859"/>
      <c r="Y2946" s="755">
        <f t="shared" si="387"/>
        <v>0</v>
      </c>
      <c r="Z2946" s="864"/>
      <c r="AA2946" s="863"/>
      <c r="AB2946" s="756">
        <f t="shared" si="388"/>
        <v>0</v>
      </c>
      <c r="AC2946" s="859"/>
      <c r="AD2946" s="863"/>
      <c r="AE2946" s="859"/>
      <c r="AF2946" s="859"/>
      <c r="AG2946" s="864"/>
      <c r="AH2946" s="865"/>
      <c r="AI2946" s="757">
        <f t="shared" si="392"/>
        <v>15943079</v>
      </c>
      <c r="AJ2946" s="758">
        <f t="shared" si="393"/>
        <v>16339851</v>
      </c>
    </row>
    <row r="2947" spans="1:36" x14ac:dyDescent="0.2">
      <c r="A2947" s="1104" t="s">
        <v>156</v>
      </c>
      <c r="B2947" s="1105" t="s">
        <v>283</v>
      </c>
      <c r="C2947" s="1116" t="s">
        <v>983</v>
      </c>
      <c r="D2947" s="1111"/>
      <c r="E2947" s="1108"/>
      <c r="F2947" s="1109"/>
      <c r="G2947" s="859"/>
      <c r="H2947" s="860"/>
      <c r="I2947" s="861">
        <v>3233293</v>
      </c>
      <c r="J2947" s="862">
        <v>3886870</v>
      </c>
      <c r="K2947" s="859"/>
      <c r="L2947" s="863"/>
      <c r="M2947" s="859"/>
      <c r="N2947" s="859"/>
      <c r="O2947" s="752">
        <f t="shared" si="386"/>
        <v>0</v>
      </c>
      <c r="P2947" s="862"/>
      <c r="Q2947" s="860"/>
      <c r="R2947" s="753">
        <f t="shared" si="389"/>
        <v>0</v>
      </c>
      <c r="S2947" s="752">
        <f t="shared" si="390"/>
        <v>3233293</v>
      </c>
      <c r="T2947" s="754">
        <f t="shared" si="391"/>
        <v>3886870</v>
      </c>
      <c r="U2947" s="859"/>
      <c r="V2947" s="863"/>
      <c r="W2947" s="859"/>
      <c r="X2947" s="859"/>
      <c r="Y2947" s="755">
        <f t="shared" si="387"/>
        <v>0</v>
      </c>
      <c r="Z2947" s="864"/>
      <c r="AA2947" s="863"/>
      <c r="AB2947" s="756">
        <f t="shared" si="388"/>
        <v>0</v>
      </c>
      <c r="AC2947" s="859"/>
      <c r="AD2947" s="863"/>
      <c r="AE2947" s="859"/>
      <c r="AF2947" s="859"/>
      <c r="AG2947" s="864"/>
      <c r="AH2947" s="865"/>
      <c r="AI2947" s="757">
        <f t="shared" si="392"/>
        <v>3233293</v>
      </c>
      <c r="AJ2947" s="758">
        <f t="shared" si="393"/>
        <v>3886870</v>
      </c>
    </row>
    <row r="2948" spans="1:36" x14ac:dyDescent="0.2">
      <c r="A2948" s="1104" t="s">
        <v>156</v>
      </c>
      <c r="B2948" s="1105" t="s">
        <v>283</v>
      </c>
      <c r="C2948" s="1116" t="s">
        <v>984</v>
      </c>
      <c r="D2948" s="1111"/>
      <c r="E2948" s="1108"/>
      <c r="F2948" s="1109"/>
      <c r="G2948" s="859"/>
      <c r="H2948" s="860"/>
      <c r="I2948" s="861">
        <v>8992017</v>
      </c>
      <c r="J2948" s="862">
        <v>9217017</v>
      </c>
      <c r="K2948" s="859"/>
      <c r="L2948" s="863"/>
      <c r="M2948" s="859"/>
      <c r="N2948" s="859"/>
      <c r="O2948" s="752">
        <f t="shared" si="386"/>
        <v>0</v>
      </c>
      <c r="P2948" s="862"/>
      <c r="Q2948" s="860"/>
      <c r="R2948" s="753">
        <f t="shared" si="389"/>
        <v>0</v>
      </c>
      <c r="S2948" s="752">
        <f t="shared" si="390"/>
        <v>8992017</v>
      </c>
      <c r="T2948" s="754">
        <f t="shared" si="391"/>
        <v>9217017</v>
      </c>
      <c r="U2948" s="859"/>
      <c r="V2948" s="863"/>
      <c r="W2948" s="859"/>
      <c r="X2948" s="859"/>
      <c r="Y2948" s="755">
        <f t="shared" si="387"/>
        <v>0</v>
      </c>
      <c r="Z2948" s="864"/>
      <c r="AA2948" s="863"/>
      <c r="AB2948" s="756">
        <f t="shared" si="388"/>
        <v>0</v>
      </c>
      <c r="AC2948" s="859"/>
      <c r="AD2948" s="863"/>
      <c r="AE2948" s="859"/>
      <c r="AF2948" s="859"/>
      <c r="AG2948" s="864"/>
      <c r="AH2948" s="865"/>
      <c r="AI2948" s="757">
        <f t="shared" si="392"/>
        <v>8992017</v>
      </c>
      <c r="AJ2948" s="758">
        <f t="shared" si="393"/>
        <v>9217017</v>
      </c>
    </row>
    <row r="2949" spans="1:36" x14ac:dyDescent="0.2">
      <c r="A2949" s="1104" t="s">
        <v>156</v>
      </c>
      <c r="B2949" s="1105" t="s">
        <v>283</v>
      </c>
      <c r="C2949" s="1116" t="s">
        <v>985</v>
      </c>
      <c r="D2949" s="1111"/>
      <c r="E2949" s="1108"/>
      <c r="F2949" s="1109"/>
      <c r="G2949" s="859"/>
      <c r="H2949" s="860"/>
      <c r="I2949" s="861">
        <v>250000</v>
      </c>
      <c r="J2949" s="862"/>
      <c r="K2949" s="859"/>
      <c r="L2949" s="863"/>
      <c r="M2949" s="859"/>
      <c r="N2949" s="859"/>
      <c r="O2949" s="752">
        <f t="shared" si="386"/>
        <v>0</v>
      </c>
      <c r="P2949" s="862"/>
      <c r="Q2949" s="860"/>
      <c r="R2949" s="753">
        <f t="shared" si="389"/>
        <v>0</v>
      </c>
      <c r="S2949" s="752">
        <f t="shared" si="390"/>
        <v>250000</v>
      </c>
      <c r="T2949" s="754">
        <f t="shared" si="391"/>
        <v>0</v>
      </c>
      <c r="U2949" s="859"/>
      <c r="V2949" s="863"/>
      <c r="W2949" s="859"/>
      <c r="X2949" s="859"/>
      <c r="Y2949" s="755">
        <f t="shared" si="387"/>
        <v>0</v>
      </c>
      <c r="Z2949" s="864"/>
      <c r="AA2949" s="863"/>
      <c r="AB2949" s="756">
        <f t="shared" si="388"/>
        <v>0</v>
      </c>
      <c r="AC2949" s="859"/>
      <c r="AD2949" s="863"/>
      <c r="AE2949" s="859"/>
      <c r="AF2949" s="859"/>
      <c r="AG2949" s="864"/>
      <c r="AH2949" s="865"/>
      <c r="AI2949" s="757">
        <f t="shared" si="392"/>
        <v>250000</v>
      </c>
      <c r="AJ2949" s="758">
        <f t="shared" si="393"/>
        <v>0</v>
      </c>
    </row>
    <row r="2950" spans="1:36" x14ac:dyDescent="0.2">
      <c r="A2950" s="1104" t="s">
        <v>156</v>
      </c>
      <c r="B2950" s="1105" t="s">
        <v>284</v>
      </c>
      <c r="C2950" s="1114" t="s">
        <v>792</v>
      </c>
      <c r="D2950" s="1111"/>
      <c r="E2950" s="1108"/>
      <c r="F2950" s="1109"/>
      <c r="G2950" s="859"/>
      <c r="H2950" s="860"/>
      <c r="I2950" s="861"/>
      <c r="J2950" s="862"/>
      <c r="K2950" s="859"/>
      <c r="L2950" s="863"/>
      <c r="M2950" s="859"/>
      <c r="N2950" s="859"/>
      <c r="O2950" s="752">
        <f t="shared" si="386"/>
        <v>0</v>
      </c>
      <c r="P2950" s="862"/>
      <c r="Q2950" s="860"/>
      <c r="R2950" s="753">
        <f t="shared" si="389"/>
        <v>0</v>
      </c>
      <c r="S2950" s="752">
        <f t="shared" si="390"/>
        <v>0</v>
      </c>
      <c r="T2950" s="754">
        <f t="shared" si="391"/>
        <v>0</v>
      </c>
      <c r="U2950" s="859"/>
      <c r="V2950" s="863"/>
      <c r="W2950" s="859"/>
      <c r="X2950" s="859"/>
      <c r="Y2950" s="755">
        <f t="shared" si="387"/>
        <v>0</v>
      </c>
      <c r="Z2950" s="864"/>
      <c r="AA2950" s="863"/>
      <c r="AB2950" s="756">
        <f t="shared" si="388"/>
        <v>0</v>
      </c>
      <c r="AC2950" s="859"/>
      <c r="AD2950" s="863"/>
      <c r="AE2950" s="859"/>
      <c r="AF2950" s="859"/>
      <c r="AG2950" s="864"/>
      <c r="AH2950" s="865"/>
      <c r="AI2950" s="757">
        <f t="shared" si="392"/>
        <v>0</v>
      </c>
      <c r="AJ2950" s="758">
        <f t="shared" si="393"/>
        <v>0</v>
      </c>
    </row>
    <row r="2951" spans="1:36" x14ac:dyDescent="0.2">
      <c r="A2951" s="1104" t="s">
        <v>156</v>
      </c>
      <c r="B2951" s="1105" t="s">
        <v>285</v>
      </c>
      <c r="C2951" s="1116" t="s">
        <v>646</v>
      </c>
      <c r="D2951" s="1111"/>
      <c r="E2951" s="1108"/>
      <c r="F2951" s="1109"/>
      <c r="G2951" s="859"/>
      <c r="H2951" s="860"/>
      <c r="I2951" s="861"/>
      <c r="J2951" s="862"/>
      <c r="K2951" s="859"/>
      <c r="L2951" s="863"/>
      <c r="M2951" s="859"/>
      <c r="N2951" s="859"/>
      <c r="O2951" s="752">
        <f t="shared" si="386"/>
        <v>0</v>
      </c>
      <c r="P2951" s="862"/>
      <c r="Q2951" s="860"/>
      <c r="R2951" s="753">
        <f t="shared" si="389"/>
        <v>0</v>
      </c>
      <c r="S2951" s="752">
        <f t="shared" si="390"/>
        <v>0</v>
      </c>
      <c r="T2951" s="754">
        <f t="shared" si="391"/>
        <v>0</v>
      </c>
      <c r="U2951" s="859"/>
      <c r="V2951" s="863"/>
      <c r="W2951" s="859"/>
      <c r="X2951" s="859"/>
      <c r="Y2951" s="755">
        <f t="shared" si="387"/>
        <v>0</v>
      </c>
      <c r="Z2951" s="864"/>
      <c r="AA2951" s="863"/>
      <c r="AB2951" s="756">
        <f t="shared" si="388"/>
        <v>0</v>
      </c>
      <c r="AC2951" s="859"/>
      <c r="AD2951" s="863"/>
      <c r="AE2951" s="859"/>
      <c r="AF2951" s="859"/>
      <c r="AG2951" s="864"/>
      <c r="AH2951" s="865"/>
      <c r="AI2951" s="757">
        <f t="shared" si="392"/>
        <v>0</v>
      </c>
      <c r="AJ2951" s="758">
        <f t="shared" si="393"/>
        <v>0</v>
      </c>
    </row>
    <row r="2952" spans="1:36" x14ac:dyDescent="0.2">
      <c r="A2952" s="1104" t="s">
        <v>156</v>
      </c>
      <c r="B2952" s="1105" t="s">
        <v>286</v>
      </c>
      <c r="C2952" s="1123" t="s">
        <v>565</v>
      </c>
      <c r="D2952" s="1111"/>
      <c r="E2952" s="1108"/>
      <c r="F2952" s="1109"/>
      <c r="G2952" s="859"/>
      <c r="H2952" s="860"/>
      <c r="I2952" s="861"/>
      <c r="J2952" s="862"/>
      <c r="K2952" s="859"/>
      <c r="L2952" s="863"/>
      <c r="M2952" s="859"/>
      <c r="N2952" s="859"/>
      <c r="O2952" s="752">
        <f t="shared" si="386"/>
        <v>0</v>
      </c>
      <c r="P2952" s="862"/>
      <c r="Q2952" s="860"/>
      <c r="R2952" s="753">
        <f t="shared" si="389"/>
        <v>0</v>
      </c>
      <c r="S2952" s="752">
        <f t="shared" si="390"/>
        <v>0</v>
      </c>
      <c r="T2952" s="754">
        <f t="shared" si="391"/>
        <v>0</v>
      </c>
      <c r="U2952" s="859"/>
      <c r="V2952" s="863"/>
      <c r="W2952" s="859"/>
      <c r="X2952" s="859"/>
      <c r="Y2952" s="755">
        <f t="shared" si="387"/>
        <v>0</v>
      </c>
      <c r="Z2952" s="864"/>
      <c r="AA2952" s="863"/>
      <c r="AB2952" s="756">
        <f t="shared" si="388"/>
        <v>0</v>
      </c>
      <c r="AC2952" s="859"/>
      <c r="AD2952" s="863"/>
      <c r="AE2952" s="859"/>
      <c r="AF2952" s="859"/>
      <c r="AG2952" s="864"/>
      <c r="AH2952" s="865"/>
      <c r="AI2952" s="757">
        <f t="shared" si="392"/>
        <v>0</v>
      </c>
      <c r="AJ2952" s="758">
        <f t="shared" si="393"/>
        <v>0</v>
      </c>
    </row>
    <row r="2953" spans="1:36" x14ac:dyDescent="0.2">
      <c r="A2953" s="1104" t="s">
        <v>156</v>
      </c>
      <c r="B2953" s="1105" t="s">
        <v>287</v>
      </c>
      <c r="C2953" s="1123" t="s">
        <v>570</v>
      </c>
      <c r="D2953" s="1111"/>
      <c r="E2953" s="1108"/>
      <c r="F2953" s="1109"/>
      <c r="G2953" s="859"/>
      <c r="H2953" s="860"/>
      <c r="I2953" s="861"/>
      <c r="J2953" s="862"/>
      <c r="K2953" s="859"/>
      <c r="L2953" s="863"/>
      <c r="M2953" s="859"/>
      <c r="N2953" s="859"/>
      <c r="O2953" s="752">
        <f t="shared" si="386"/>
        <v>0</v>
      </c>
      <c r="P2953" s="862"/>
      <c r="Q2953" s="860"/>
      <c r="R2953" s="753">
        <f t="shared" si="389"/>
        <v>0</v>
      </c>
      <c r="S2953" s="752">
        <f t="shared" si="390"/>
        <v>0</v>
      </c>
      <c r="T2953" s="754">
        <f t="shared" si="391"/>
        <v>0</v>
      </c>
      <c r="U2953" s="859"/>
      <c r="V2953" s="863"/>
      <c r="W2953" s="859"/>
      <c r="X2953" s="859"/>
      <c r="Y2953" s="755">
        <f t="shared" si="387"/>
        <v>0</v>
      </c>
      <c r="Z2953" s="864"/>
      <c r="AA2953" s="863"/>
      <c r="AB2953" s="756">
        <f t="shared" si="388"/>
        <v>0</v>
      </c>
      <c r="AC2953" s="859"/>
      <c r="AD2953" s="863"/>
      <c r="AE2953" s="859"/>
      <c r="AF2953" s="859"/>
      <c r="AG2953" s="864"/>
      <c r="AH2953" s="865"/>
      <c r="AI2953" s="757">
        <f t="shared" si="392"/>
        <v>0</v>
      </c>
      <c r="AJ2953" s="758">
        <f t="shared" si="393"/>
        <v>0</v>
      </c>
    </row>
    <row r="2954" spans="1:36" x14ac:dyDescent="0.2">
      <c r="A2954" s="1104" t="s">
        <v>156</v>
      </c>
      <c r="B2954" s="1105" t="s">
        <v>288</v>
      </c>
      <c r="C2954" s="1116" t="s">
        <v>571</v>
      </c>
      <c r="D2954" s="1111"/>
      <c r="E2954" s="1108"/>
      <c r="F2954" s="1109"/>
      <c r="G2954" s="859"/>
      <c r="H2954" s="860"/>
      <c r="I2954" s="861"/>
      <c r="J2954" s="862"/>
      <c r="K2954" s="859"/>
      <c r="L2954" s="863"/>
      <c r="M2954" s="859"/>
      <c r="N2954" s="859"/>
      <c r="O2954" s="752">
        <f t="shared" si="386"/>
        <v>0</v>
      </c>
      <c r="P2954" s="862"/>
      <c r="Q2954" s="860"/>
      <c r="R2954" s="753">
        <f t="shared" si="389"/>
        <v>0</v>
      </c>
      <c r="S2954" s="752">
        <f t="shared" si="390"/>
        <v>0</v>
      </c>
      <c r="T2954" s="754">
        <f t="shared" si="391"/>
        <v>0</v>
      </c>
      <c r="U2954" s="859"/>
      <c r="V2954" s="863"/>
      <c r="W2954" s="859"/>
      <c r="X2954" s="859"/>
      <c r="Y2954" s="755">
        <f t="shared" si="387"/>
        <v>0</v>
      </c>
      <c r="Z2954" s="864"/>
      <c r="AA2954" s="863"/>
      <c r="AB2954" s="756">
        <f t="shared" si="388"/>
        <v>0</v>
      </c>
      <c r="AC2954" s="859"/>
      <c r="AD2954" s="863"/>
      <c r="AE2954" s="859"/>
      <c r="AF2954" s="859"/>
      <c r="AG2954" s="864"/>
      <c r="AH2954" s="865"/>
      <c r="AI2954" s="757">
        <f t="shared" si="392"/>
        <v>0</v>
      </c>
      <c r="AJ2954" s="758">
        <f t="shared" si="393"/>
        <v>0</v>
      </c>
    </row>
    <row r="2955" spans="1:36" x14ac:dyDescent="0.2">
      <c r="A2955" s="1104" t="s">
        <v>156</v>
      </c>
      <c r="B2955" s="1105" t="s">
        <v>288</v>
      </c>
      <c r="C2955" s="1114" t="s">
        <v>650</v>
      </c>
      <c r="D2955" s="1111"/>
      <c r="E2955" s="1108"/>
      <c r="F2955" s="1109"/>
      <c r="G2955" s="859"/>
      <c r="H2955" s="860"/>
      <c r="I2955" s="861"/>
      <c r="J2955" s="862"/>
      <c r="K2955" s="859"/>
      <c r="L2955" s="863"/>
      <c r="M2955" s="859"/>
      <c r="N2955" s="859"/>
      <c r="O2955" s="752">
        <f t="shared" ref="O2955:O3018" si="394">SUM(M2955:N2955)</f>
        <v>0</v>
      </c>
      <c r="P2955" s="862"/>
      <c r="Q2955" s="860"/>
      <c r="R2955" s="753">
        <f t="shared" si="389"/>
        <v>0</v>
      </c>
      <c r="S2955" s="752">
        <f t="shared" si="390"/>
        <v>0</v>
      </c>
      <c r="T2955" s="754">
        <f t="shared" si="391"/>
        <v>0</v>
      </c>
      <c r="U2955" s="859">
        <v>20000</v>
      </c>
      <c r="V2955" s="863">
        <v>20000</v>
      </c>
      <c r="W2955" s="859"/>
      <c r="X2955" s="859"/>
      <c r="Y2955" s="755">
        <f t="shared" ref="Y2955:Y3018" si="395">SUM(W2955:X2955)</f>
        <v>0</v>
      </c>
      <c r="Z2955" s="864"/>
      <c r="AA2955" s="863"/>
      <c r="AB2955" s="756">
        <f t="shared" ref="AB2955:AB3018" si="396">SUM(Z2955:AA2955)</f>
        <v>0</v>
      </c>
      <c r="AC2955" s="859"/>
      <c r="AD2955" s="863"/>
      <c r="AE2955" s="859"/>
      <c r="AF2955" s="859"/>
      <c r="AG2955" s="864"/>
      <c r="AH2955" s="865"/>
      <c r="AI2955" s="757">
        <f t="shared" si="392"/>
        <v>20000</v>
      </c>
      <c r="AJ2955" s="758">
        <f t="shared" si="393"/>
        <v>20000</v>
      </c>
    </row>
    <row r="2956" spans="1:36" x14ac:dyDescent="0.2">
      <c r="A2956" s="1104" t="s">
        <v>156</v>
      </c>
      <c r="B2956" s="1105" t="s">
        <v>289</v>
      </c>
      <c r="C2956" s="1116" t="s">
        <v>573</v>
      </c>
      <c r="D2956" s="1111"/>
      <c r="E2956" s="1108"/>
      <c r="F2956" s="1109"/>
      <c r="G2956" s="859"/>
      <c r="H2956" s="860"/>
      <c r="I2956" s="861"/>
      <c r="J2956" s="862"/>
      <c r="K2956" s="859"/>
      <c r="L2956" s="863"/>
      <c r="M2956" s="859"/>
      <c r="N2956" s="859"/>
      <c r="O2956" s="752">
        <f t="shared" si="394"/>
        <v>0</v>
      </c>
      <c r="P2956" s="862"/>
      <c r="Q2956" s="860"/>
      <c r="R2956" s="753">
        <f t="shared" ref="R2956:R3019" si="397">SUM(P2956:Q2956)</f>
        <v>0</v>
      </c>
      <c r="S2956" s="752">
        <f t="shared" ref="S2956:S3019" si="398">SUM(G2956,I2956,K2956,M2956)</f>
        <v>0</v>
      </c>
      <c r="T2956" s="754">
        <f t="shared" ref="T2956:T3019" si="399">SUM(H2956,J2956,L2956,P2956)</f>
        <v>0</v>
      </c>
      <c r="U2956" s="859"/>
      <c r="V2956" s="863"/>
      <c r="W2956" s="859"/>
      <c r="X2956" s="859"/>
      <c r="Y2956" s="755">
        <f t="shared" si="395"/>
        <v>0</v>
      </c>
      <c r="Z2956" s="864"/>
      <c r="AA2956" s="863"/>
      <c r="AB2956" s="756">
        <f t="shared" si="396"/>
        <v>0</v>
      </c>
      <c r="AC2956" s="859"/>
      <c r="AD2956" s="863"/>
      <c r="AE2956" s="859"/>
      <c r="AF2956" s="859"/>
      <c r="AG2956" s="864"/>
      <c r="AH2956" s="865"/>
      <c r="AI2956" s="757">
        <f t="shared" ref="AI2956:AI3019" si="400">SUM(S2956,U2956,W2956,AC2956,AE2956)</f>
        <v>0</v>
      </c>
      <c r="AJ2956" s="758">
        <f t="shared" ref="AJ2956:AJ3019" si="401">SUM(T2956,V2956,Z2956,AD2956,AG2956)</f>
        <v>0</v>
      </c>
    </row>
    <row r="2957" spans="1:36" x14ac:dyDescent="0.2">
      <c r="A2957" s="1104" t="s">
        <v>156</v>
      </c>
      <c r="B2957" s="1105" t="s">
        <v>289</v>
      </c>
      <c r="C2957" s="1114" t="s">
        <v>986</v>
      </c>
      <c r="D2957" s="1111"/>
      <c r="E2957" s="1108"/>
      <c r="F2957" s="1109"/>
      <c r="G2957" s="859"/>
      <c r="H2957" s="860"/>
      <c r="I2957" s="861"/>
      <c r="J2957" s="862"/>
      <c r="K2957" s="859"/>
      <c r="L2957" s="863"/>
      <c r="M2957" s="859"/>
      <c r="N2957" s="859"/>
      <c r="O2957" s="752">
        <f t="shared" si="394"/>
        <v>0</v>
      </c>
      <c r="P2957" s="862"/>
      <c r="Q2957" s="860"/>
      <c r="R2957" s="753">
        <f t="shared" si="397"/>
        <v>0</v>
      </c>
      <c r="S2957" s="752">
        <f t="shared" si="398"/>
        <v>0</v>
      </c>
      <c r="T2957" s="754">
        <f t="shared" si="399"/>
        <v>0</v>
      </c>
      <c r="U2957" s="859"/>
      <c r="V2957" s="863"/>
      <c r="W2957" s="859"/>
      <c r="X2957" s="859"/>
      <c r="Y2957" s="755">
        <f t="shared" si="395"/>
        <v>0</v>
      </c>
      <c r="Z2957" s="864"/>
      <c r="AA2957" s="863"/>
      <c r="AB2957" s="756">
        <f t="shared" si="396"/>
        <v>0</v>
      </c>
      <c r="AC2957" s="859"/>
      <c r="AD2957" s="863"/>
      <c r="AE2957" s="859"/>
      <c r="AF2957" s="859"/>
      <c r="AG2957" s="864"/>
      <c r="AH2957" s="865"/>
      <c r="AI2957" s="757">
        <f t="shared" si="400"/>
        <v>0</v>
      </c>
      <c r="AJ2957" s="758">
        <f t="shared" si="401"/>
        <v>0</v>
      </c>
    </row>
    <row r="2958" spans="1:36" x14ac:dyDescent="0.2">
      <c r="A2958" s="1104" t="s">
        <v>156</v>
      </c>
      <c r="B2958" s="1105" t="s">
        <v>289</v>
      </c>
      <c r="C2958" s="1114" t="s">
        <v>987</v>
      </c>
      <c r="D2958" s="1111"/>
      <c r="E2958" s="1108"/>
      <c r="F2958" s="1109"/>
      <c r="G2958" s="859"/>
      <c r="H2958" s="860"/>
      <c r="I2958" s="861"/>
      <c r="J2958" s="862"/>
      <c r="K2958" s="859"/>
      <c r="L2958" s="863"/>
      <c r="M2958" s="859"/>
      <c r="N2958" s="859"/>
      <c r="O2958" s="752">
        <f t="shared" si="394"/>
        <v>0</v>
      </c>
      <c r="P2958" s="862"/>
      <c r="Q2958" s="860"/>
      <c r="R2958" s="753">
        <f t="shared" si="397"/>
        <v>0</v>
      </c>
      <c r="S2958" s="752">
        <f t="shared" si="398"/>
        <v>0</v>
      </c>
      <c r="T2958" s="754">
        <f t="shared" si="399"/>
        <v>0</v>
      </c>
      <c r="U2958" s="859"/>
      <c r="V2958" s="863"/>
      <c r="W2958" s="859"/>
      <c r="X2958" s="859"/>
      <c r="Y2958" s="755">
        <f t="shared" si="395"/>
        <v>0</v>
      </c>
      <c r="Z2958" s="864"/>
      <c r="AA2958" s="863"/>
      <c r="AB2958" s="756">
        <f t="shared" si="396"/>
        <v>0</v>
      </c>
      <c r="AC2958" s="859"/>
      <c r="AD2958" s="863"/>
      <c r="AE2958" s="859"/>
      <c r="AF2958" s="859"/>
      <c r="AG2958" s="864"/>
      <c r="AH2958" s="865"/>
      <c r="AI2958" s="757">
        <f t="shared" si="400"/>
        <v>0</v>
      </c>
      <c r="AJ2958" s="758">
        <f t="shared" si="401"/>
        <v>0</v>
      </c>
    </row>
    <row r="2959" spans="1:36" x14ac:dyDescent="0.2">
      <c r="A2959" s="1104" t="s">
        <v>156</v>
      </c>
      <c r="B2959" s="1105" t="s">
        <v>289</v>
      </c>
      <c r="C2959" s="1114" t="s">
        <v>797</v>
      </c>
      <c r="D2959" s="1111"/>
      <c r="E2959" s="1108"/>
      <c r="F2959" s="1109"/>
      <c r="G2959" s="859"/>
      <c r="H2959" s="860"/>
      <c r="I2959" s="861"/>
      <c r="J2959" s="862"/>
      <c r="K2959" s="859"/>
      <c r="L2959" s="863"/>
      <c r="M2959" s="859"/>
      <c r="N2959" s="859"/>
      <c r="O2959" s="752">
        <f t="shared" si="394"/>
        <v>0</v>
      </c>
      <c r="P2959" s="862"/>
      <c r="Q2959" s="860"/>
      <c r="R2959" s="753">
        <f t="shared" si="397"/>
        <v>0</v>
      </c>
      <c r="S2959" s="752">
        <f t="shared" si="398"/>
        <v>0</v>
      </c>
      <c r="T2959" s="754">
        <f t="shared" si="399"/>
        <v>0</v>
      </c>
      <c r="U2959" s="859"/>
      <c r="V2959" s="863"/>
      <c r="W2959" s="859"/>
      <c r="X2959" s="859"/>
      <c r="Y2959" s="755">
        <f t="shared" si="395"/>
        <v>0</v>
      </c>
      <c r="Z2959" s="864"/>
      <c r="AA2959" s="863"/>
      <c r="AB2959" s="756">
        <f t="shared" si="396"/>
        <v>0</v>
      </c>
      <c r="AC2959" s="859"/>
      <c r="AD2959" s="863"/>
      <c r="AE2959" s="859"/>
      <c r="AF2959" s="859"/>
      <c r="AG2959" s="864"/>
      <c r="AH2959" s="865"/>
      <c r="AI2959" s="757">
        <f t="shared" si="400"/>
        <v>0</v>
      </c>
      <c r="AJ2959" s="758">
        <f t="shared" si="401"/>
        <v>0</v>
      </c>
    </row>
    <row r="2960" spans="1:36" x14ac:dyDescent="0.2">
      <c r="A2960" s="1104" t="s">
        <v>156</v>
      </c>
      <c r="B2960" s="1105" t="s">
        <v>289</v>
      </c>
      <c r="C2960" s="1114" t="s">
        <v>988</v>
      </c>
      <c r="D2960" s="1111"/>
      <c r="E2960" s="1108"/>
      <c r="F2960" s="1109"/>
      <c r="G2960" s="859"/>
      <c r="H2960" s="860"/>
      <c r="I2960" s="861"/>
      <c r="J2960" s="862"/>
      <c r="K2960" s="859"/>
      <c r="L2960" s="863"/>
      <c r="M2960" s="859"/>
      <c r="N2960" s="859"/>
      <c r="O2960" s="752">
        <f t="shared" si="394"/>
        <v>0</v>
      </c>
      <c r="P2960" s="862"/>
      <c r="Q2960" s="860"/>
      <c r="R2960" s="753">
        <f t="shared" si="397"/>
        <v>0</v>
      </c>
      <c r="S2960" s="752">
        <f t="shared" si="398"/>
        <v>0</v>
      </c>
      <c r="T2960" s="754">
        <f t="shared" si="399"/>
        <v>0</v>
      </c>
      <c r="U2960" s="859"/>
      <c r="V2960" s="863"/>
      <c r="W2960" s="859"/>
      <c r="X2960" s="859"/>
      <c r="Y2960" s="755">
        <f t="shared" si="395"/>
        <v>0</v>
      </c>
      <c r="Z2960" s="864"/>
      <c r="AA2960" s="863"/>
      <c r="AB2960" s="756">
        <f t="shared" si="396"/>
        <v>0</v>
      </c>
      <c r="AC2960" s="859"/>
      <c r="AD2960" s="863"/>
      <c r="AE2960" s="859"/>
      <c r="AF2960" s="859"/>
      <c r="AG2960" s="864"/>
      <c r="AH2960" s="865"/>
      <c r="AI2960" s="757">
        <f t="shared" si="400"/>
        <v>0</v>
      </c>
      <c r="AJ2960" s="758">
        <f t="shared" si="401"/>
        <v>0</v>
      </c>
    </row>
    <row r="2961" spans="1:36" x14ac:dyDescent="0.2">
      <c r="A2961" s="1104" t="s">
        <v>156</v>
      </c>
      <c r="B2961" s="1105" t="s">
        <v>290</v>
      </c>
      <c r="C2961" s="1116" t="s">
        <v>137</v>
      </c>
      <c r="D2961" s="1111"/>
      <c r="E2961" s="1108"/>
      <c r="F2961" s="1109"/>
      <c r="G2961" s="859"/>
      <c r="H2961" s="860"/>
      <c r="I2961" s="861"/>
      <c r="J2961" s="862"/>
      <c r="K2961" s="859"/>
      <c r="L2961" s="863"/>
      <c r="M2961" s="859"/>
      <c r="N2961" s="859"/>
      <c r="O2961" s="752">
        <f t="shared" si="394"/>
        <v>0</v>
      </c>
      <c r="P2961" s="862"/>
      <c r="Q2961" s="860"/>
      <c r="R2961" s="753">
        <f t="shared" si="397"/>
        <v>0</v>
      </c>
      <c r="S2961" s="752">
        <f t="shared" si="398"/>
        <v>0</v>
      </c>
      <c r="T2961" s="754">
        <f t="shared" si="399"/>
        <v>0</v>
      </c>
      <c r="U2961" s="859">
        <v>170000</v>
      </c>
      <c r="V2961" s="863">
        <v>170000</v>
      </c>
      <c r="W2961" s="859"/>
      <c r="X2961" s="859"/>
      <c r="Y2961" s="755">
        <f t="shared" si="395"/>
        <v>0</v>
      </c>
      <c r="Z2961" s="864"/>
      <c r="AA2961" s="863"/>
      <c r="AB2961" s="756">
        <f t="shared" si="396"/>
        <v>0</v>
      </c>
      <c r="AC2961" s="859"/>
      <c r="AD2961" s="863"/>
      <c r="AE2961" s="859"/>
      <c r="AF2961" s="859"/>
      <c r="AG2961" s="864"/>
      <c r="AH2961" s="865"/>
      <c r="AI2961" s="757">
        <f t="shared" si="400"/>
        <v>170000</v>
      </c>
      <c r="AJ2961" s="758">
        <f t="shared" si="401"/>
        <v>170000</v>
      </c>
    </row>
    <row r="2962" spans="1:36" x14ac:dyDescent="0.2">
      <c r="A2962" s="1104" t="s">
        <v>156</v>
      </c>
      <c r="B2962" s="1105" t="s">
        <v>291</v>
      </c>
      <c r="C2962" s="1124" t="s">
        <v>574</v>
      </c>
      <c r="D2962" s="1111"/>
      <c r="E2962" s="1108"/>
      <c r="F2962" s="1109"/>
      <c r="G2962" s="859"/>
      <c r="H2962" s="860"/>
      <c r="I2962" s="861"/>
      <c r="J2962" s="862"/>
      <c r="K2962" s="859"/>
      <c r="L2962" s="863"/>
      <c r="M2962" s="859"/>
      <c r="N2962" s="859"/>
      <c r="O2962" s="752">
        <f t="shared" si="394"/>
        <v>0</v>
      </c>
      <c r="P2962" s="862"/>
      <c r="Q2962" s="860"/>
      <c r="R2962" s="753">
        <f t="shared" si="397"/>
        <v>0</v>
      </c>
      <c r="S2962" s="752">
        <f t="shared" si="398"/>
        <v>0</v>
      </c>
      <c r="T2962" s="754">
        <f t="shared" si="399"/>
        <v>0</v>
      </c>
      <c r="U2962" s="859"/>
      <c r="V2962" s="863"/>
      <c r="W2962" s="859"/>
      <c r="X2962" s="859"/>
      <c r="Y2962" s="755">
        <f t="shared" si="395"/>
        <v>0</v>
      </c>
      <c r="Z2962" s="864"/>
      <c r="AA2962" s="863"/>
      <c r="AB2962" s="756">
        <f t="shared" si="396"/>
        <v>0</v>
      </c>
      <c r="AC2962" s="859"/>
      <c r="AD2962" s="863"/>
      <c r="AE2962" s="859"/>
      <c r="AF2962" s="859"/>
      <c r="AG2962" s="864"/>
      <c r="AH2962" s="865"/>
      <c r="AI2962" s="757">
        <f t="shared" si="400"/>
        <v>0</v>
      </c>
      <c r="AJ2962" s="758">
        <f t="shared" si="401"/>
        <v>0</v>
      </c>
    </row>
    <row r="2963" spans="1:36" x14ac:dyDescent="0.2">
      <c r="A2963" s="1104" t="s">
        <v>156</v>
      </c>
      <c r="B2963" s="1105" t="s">
        <v>292</v>
      </c>
      <c r="C2963" s="1125" t="s">
        <v>34</v>
      </c>
      <c r="D2963" s="1111"/>
      <c r="E2963" s="1108"/>
      <c r="F2963" s="1109"/>
      <c r="G2963" s="859"/>
      <c r="H2963" s="860"/>
      <c r="I2963" s="861"/>
      <c r="J2963" s="862"/>
      <c r="K2963" s="859"/>
      <c r="L2963" s="863"/>
      <c r="M2963" s="859"/>
      <c r="N2963" s="859"/>
      <c r="O2963" s="752">
        <f t="shared" si="394"/>
        <v>0</v>
      </c>
      <c r="P2963" s="862"/>
      <c r="Q2963" s="860"/>
      <c r="R2963" s="753">
        <f t="shared" si="397"/>
        <v>0</v>
      </c>
      <c r="S2963" s="752">
        <f t="shared" si="398"/>
        <v>0</v>
      </c>
      <c r="T2963" s="754">
        <f t="shared" si="399"/>
        <v>0</v>
      </c>
      <c r="U2963" s="859"/>
      <c r="V2963" s="863"/>
      <c r="W2963" s="859"/>
      <c r="X2963" s="859"/>
      <c r="Y2963" s="755">
        <f t="shared" si="395"/>
        <v>0</v>
      </c>
      <c r="Z2963" s="864"/>
      <c r="AA2963" s="863"/>
      <c r="AB2963" s="756">
        <f t="shared" si="396"/>
        <v>0</v>
      </c>
      <c r="AC2963" s="859"/>
      <c r="AD2963" s="863"/>
      <c r="AE2963" s="859"/>
      <c r="AF2963" s="859"/>
      <c r="AG2963" s="864"/>
      <c r="AH2963" s="865"/>
      <c r="AI2963" s="757">
        <f t="shared" si="400"/>
        <v>0</v>
      </c>
      <c r="AJ2963" s="758">
        <f t="shared" si="401"/>
        <v>0</v>
      </c>
    </row>
    <row r="2964" spans="1:36" x14ac:dyDescent="0.2">
      <c r="A2964" s="1104" t="s">
        <v>156</v>
      </c>
      <c r="B2964" s="1105" t="s">
        <v>292</v>
      </c>
      <c r="C2964" s="1126" t="s">
        <v>989</v>
      </c>
      <c r="D2964" s="1111"/>
      <c r="E2964" s="1108"/>
      <c r="F2964" s="1109"/>
      <c r="G2964" s="859"/>
      <c r="H2964" s="860"/>
      <c r="I2964" s="861"/>
      <c r="J2964" s="862"/>
      <c r="K2964" s="859"/>
      <c r="L2964" s="863"/>
      <c r="M2964" s="859"/>
      <c r="N2964" s="859"/>
      <c r="O2964" s="752">
        <f t="shared" si="394"/>
        <v>0</v>
      </c>
      <c r="P2964" s="862"/>
      <c r="Q2964" s="860"/>
      <c r="R2964" s="753">
        <f t="shared" si="397"/>
        <v>0</v>
      </c>
      <c r="S2964" s="752">
        <f t="shared" si="398"/>
        <v>0</v>
      </c>
      <c r="T2964" s="754">
        <f t="shared" si="399"/>
        <v>0</v>
      </c>
      <c r="U2964" s="859"/>
      <c r="V2964" s="863"/>
      <c r="W2964" s="859"/>
      <c r="X2964" s="859"/>
      <c r="Y2964" s="755">
        <f t="shared" si="395"/>
        <v>0</v>
      </c>
      <c r="Z2964" s="864"/>
      <c r="AA2964" s="863"/>
      <c r="AB2964" s="756">
        <f t="shared" si="396"/>
        <v>0</v>
      </c>
      <c r="AC2964" s="859"/>
      <c r="AD2964" s="863"/>
      <c r="AE2964" s="859"/>
      <c r="AF2964" s="859"/>
      <c r="AG2964" s="864"/>
      <c r="AH2964" s="865"/>
      <c r="AI2964" s="757">
        <f t="shared" si="400"/>
        <v>0</v>
      </c>
      <c r="AJ2964" s="758">
        <f t="shared" si="401"/>
        <v>0</v>
      </c>
    </row>
    <row r="2965" spans="1:36" x14ac:dyDescent="0.2">
      <c r="A2965" s="1104" t="s">
        <v>156</v>
      </c>
      <c r="B2965" s="1127" t="s">
        <v>209</v>
      </c>
      <c r="C2965" s="1128" t="s">
        <v>576</v>
      </c>
      <c r="D2965" s="1111"/>
      <c r="E2965" s="1129"/>
      <c r="F2965" s="1130"/>
      <c r="G2965" s="859"/>
      <c r="H2965" s="860"/>
      <c r="I2965" s="861"/>
      <c r="J2965" s="862"/>
      <c r="K2965" s="859"/>
      <c r="L2965" s="863"/>
      <c r="M2965" s="859"/>
      <c r="N2965" s="859"/>
      <c r="O2965" s="752">
        <f t="shared" si="394"/>
        <v>0</v>
      </c>
      <c r="P2965" s="862"/>
      <c r="Q2965" s="860"/>
      <c r="R2965" s="753">
        <f t="shared" si="397"/>
        <v>0</v>
      </c>
      <c r="S2965" s="752">
        <f t="shared" si="398"/>
        <v>0</v>
      </c>
      <c r="T2965" s="754">
        <f t="shared" si="399"/>
        <v>0</v>
      </c>
      <c r="U2965" s="859"/>
      <c r="V2965" s="863"/>
      <c r="W2965" s="859"/>
      <c r="X2965" s="859"/>
      <c r="Y2965" s="755">
        <f t="shared" si="395"/>
        <v>0</v>
      </c>
      <c r="Z2965" s="864"/>
      <c r="AA2965" s="863"/>
      <c r="AB2965" s="756">
        <f t="shared" si="396"/>
        <v>0</v>
      </c>
      <c r="AC2965" s="859"/>
      <c r="AD2965" s="863"/>
      <c r="AE2965" s="859"/>
      <c r="AF2965" s="859"/>
      <c r="AG2965" s="864"/>
      <c r="AH2965" s="865"/>
      <c r="AI2965" s="757">
        <f t="shared" si="400"/>
        <v>0</v>
      </c>
      <c r="AJ2965" s="758">
        <f t="shared" si="401"/>
        <v>0</v>
      </c>
    </row>
    <row r="2966" spans="1:36" x14ac:dyDescent="0.2">
      <c r="A2966" s="1104" t="s">
        <v>156</v>
      </c>
      <c r="B2966" s="1127" t="s">
        <v>210</v>
      </c>
      <c r="C2966" s="1128" t="s">
        <v>311</v>
      </c>
      <c r="D2966" s="1111"/>
      <c r="E2966" s="1129"/>
      <c r="F2966" s="1130"/>
      <c r="G2966" s="859"/>
      <c r="H2966" s="860"/>
      <c r="I2966" s="861"/>
      <c r="J2966" s="862"/>
      <c r="K2966" s="859"/>
      <c r="L2966" s="863"/>
      <c r="M2966" s="859"/>
      <c r="N2966" s="859"/>
      <c r="O2966" s="752">
        <f t="shared" si="394"/>
        <v>0</v>
      </c>
      <c r="P2966" s="862"/>
      <c r="Q2966" s="860"/>
      <c r="R2966" s="753">
        <f t="shared" si="397"/>
        <v>0</v>
      </c>
      <c r="S2966" s="752">
        <f t="shared" si="398"/>
        <v>0</v>
      </c>
      <c r="T2966" s="754">
        <f t="shared" si="399"/>
        <v>0</v>
      </c>
      <c r="U2966" s="859">
        <v>3372105</v>
      </c>
      <c r="V2966" s="863">
        <v>3372105</v>
      </c>
      <c r="W2966" s="859"/>
      <c r="X2966" s="859"/>
      <c r="Y2966" s="755">
        <f t="shared" si="395"/>
        <v>0</v>
      </c>
      <c r="Z2966" s="864"/>
      <c r="AA2966" s="863"/>
      <c r="AB2966" s="756">
        <f t="shared" si="396"/>
        <v>0</v>
      </c>
      <c r="AC2966" s="859"/>
      <c r="AD2966" s="863"/>
      <c r="AE2966" s="859"/>
      <c r="AF2966" s="859"/>
      <c r="AG2966" s="864"/>
      <c r="AH2966" s="865"/>
      <c r="AI2966" s="757">
        <f t="shared" si="400"/>
        <v>3372105</v>
      </c>
      <c r="AJ2966" s="758">
        <f t="shared" si="401"/>
        <v>3372105</v>
      </c>
    </row>
    <row r="2967" spans="1:36" x14ac:dyDescent="0.2">
      <c r="A2967" s="1104" t="s">
        <v>156</v>
      </c>
      <c r="B2967" s="1127" t="s">
        <v>204</v>
      </c>
      <c r="C2967" s="1128" t="s">
        <v>990</v>
      </c>
      <c r="D2967" s="1111"/>
      <c r="E2967" s="1129"/>
      <c r="F2967" s="1130"/>
      <c r="G2967" s="859"/>
      <c r="H2967" s="860"/>
      <c r="I2967" s="861"/>
      <c r="J2967" s="862"/>
      <c r="K2967" s="859"/>
      <c r="L2967" s="863"/>
      <c r="M2967" s="859"/>
      <c r="N2967" s="859"/>
      <c r="O2967" s="752">
        <f t="shared" si="394"/>
        <v>0</v>
      </c>
      <c r="P2967" s="862"/>
      <c r="Q2967" s="860"/>
      <c r="R2967" s="753">
        <f t="shared" si="397"/>
        <v>0</v>
      </c>
      <c r="S2967" s="752">
        <f t="shared" si="398"/>
        <v>0</v>
      </c>
      <c r="T2967" s="754">
        <f t="shared" si="399"/>
        <v>0</v>
      </c>
      <c r="U2967" s="859">
        <v>1250000</v>
      </c>
      <c r="V2967" s="863">
        <v>1250000</v>
      </c>
      <c r="W2967" s="859"/>
      <c r="X2967" s="859"/>
      <c r="Y2967" s="755">
        <f t="shared" si="395"/>
        <v>0</v>
      </c>
      <c r="Z2967" s="864"/>
      <c r="AA2967" s="863"/>
      <c r="AB2967" s="756">
        <f t="shared" si="396"/>
        <v>0</v>
      </c>
      <c r="AC2967" s="859"/>
      <c r="AD2967" s="863"/>
      <c r="AE2967" s="859"/>
      <c r="AF2967" s="859"/>
      <c r="AG2967" s="864"/>
      <c r="AH2967" s="865"/>
      <c r="AI2967" s="757">
        <f t="shared" si="400"/>
        <v>1250000</v>
      </c>
      <c r="AJ2967" s="758">
        <f t="shared" si="401"/>
        <v>1250000</v>
      </c>
    </row>
    <row r="2968" spans="1:36" x14ac:dyDescent="0.2">
      <c r="A2968" s="1104" t="s">
        <v>156</v>
      </c>
      <c r="B2968" s="1105" t="s">
        <v>205</v>
      </c>
      <c r="C2968" s="1128" t="s">
        <v>577</v>
      </c>
      <c r="D2968" s="1111"/>
      <c r="E2968" s="1129"/>
      <c r="F2968" s="1130"/>
      <c r="G2968" s="859"/>
      <c r="H2968" s="860"/>
      <c r="I2968" s="861"/>
      <c r="J2968" s="862"/>
      <c r="K2968" s="859"/>
      <c r="L2968" s="863"/>
      <c r="M2968" s="859"/>
      <c r="N2968" s="859"/>
      <c r="O2968" s="752">
        <f t="shared" si="394"/>
        <v>0</v>
      </c>
      <c r="P2968" s="862"/>
      <c r="Q2968" s="860"/>
      <c r="R2968" s="753">
        <f t="shared" si="397"/>
        <v>0</v>
      </c>
      <c r="S2968" s="752">
        <f t="shared" si="398"/>
        <v>0</v>
      </c>
      <c r="T2968" s="754">
        <f t="shared" si="399"/>
        <v>0</v>
      </c>
      <c r="U2968" s="859"/>
      <c r="V2968" s="863"/>
      <c r="W2968" s="859"/>
      <c r="X2968" s="859"/>
      <c r="Y2968" s="755">
        <f t="shared" si="395"/>
        <v>0</v>
      </c>
      <c r="Z2968" s="864"/>
      <c r="AA2968" s="863"/>
      <c r="AB2968" s="756">
        <f t="shared" si="396"/>
        <v>0</v>
      </c>
      <c r="AC2968" s="859"/>
      <c r="AD2968" s="863"/>
      <c r="AE2968" s="859"/>
      <c r="AF2968" s="859"/>
      <c r="AG2968" s="864"/>
      <c r="AH2968" s="865"/>
      <c r="AI2968" s="757">
        <f t="shared" si="400"/>
        <v>0</v>
      </c>
      <c r="AJ2968" s="758">
        <f t="shared" si="401"/>
        <v>0</v>
      </c>
    </row>
    <row r="2969" spans="1:36" x14ac:dyDescent="0.2">
      <c r="A2969" s="1104" t="s">
        <v>156</v>
      </c>
      <c r="B2969" s="1127" t="s">
        <v>218</v>
      </c>
      <c r="C2969" s="1128" t="s">
        <v>311</v>
      </c>
      <c r="D2969" s="1111"/>
      <c r="E2969" s="1129"/>
      <c r="F2969" s="1130"/>
      <c r="G2969" s="859"/>
      <c r="H2969" s="860"/>
      <c r="I2969" s="861"/>
      <c r="J2969" s="862"/>
      <c r="K2969" s="859"/>
      <c r="L2969" s="863"/>
      <c r="M2969" s="859"/>
      <c r="N2969" s="859"/>
      <c r="O2969" s="752">
        <f t="shared" si="394"/>
        <v>0</v>
      </c>
      <c r="P2969" s="862"/>
      <c r="Q2969" s="860"/>
      <c r="R2969" s="753">
        <f t="shared" si="397"/>
        <v>0</v>
      </c>
      <c r="S2969" s="752">
        <f t="shared" si="398"/>
        <v>0</v>
      </c>
      <c r="T2969" s="754">
        <f t="shared" si="399"/>
        <v>0</v>
      </c>
      <c r="U2969" s="859">
        <v>1041645</v>
      </c>
      <c r="V2969" s="863">
        <v>1041645</v>
      </c>
      <c r="W2969" s="859"/>
      <c r="X2969" s="859"/>
      <c r="Y2969" s="755">
        <f t="shared" si="395"/>
        <v>0</v>
      </c>
      <c r="Z2969" s="864"/>
      <c r="AA2969" s="863"/>
      <c r="AB2969" s="756">
        <f t="shared" si="396"/>
        <v>0</v>
      </c>
      <c r="AC2969" s="859"/>
      <c r="AD2969" s="863"/>
      <c r="AE2969" s="859"/>
      <c r="AF2969" s="859"/>
      <c r="AG2969" s="864"/>
      <c r="AH2969" s="865"/>
      <c r="AI2969" s="757">
        <f t="shared" si="400"/>
        <v>1041645</v>
      </c>
      <c r="AJ2969" s="758">
        <f t="shared" si="401"/>
        <v>1041645</v>
      </c>
    </row>
    <row r="2970" spans="1:36" x14ac:dyDescent="0.2">
      <c r="A2970" s="1104" t="s">
        <v>156</v>
      </c>
      <c r="B2970" s="1127" t="s">
        <v>219</v>
      </c>
      <c r="C2970" s="1128" t="s">
        <v>249</v>
      </c>
      <c r="D2970" s="1111"/>
      <c r="E2970" s="1129"/>
      <c r="F2970" s="1130"/>
      <c r="G2970" s="859"/>
      <c r="H2970" s="860"/>
      <c r="I2970" s="861"/>
      <c r="J2970" s="862"/>
      <c r="K2970" s="859"/>
      <c r="L2970" s="863"/>
      <c r="M2970" s="859"/>
      <c r="N2970" s="859"/>
      <c r="O2970" s="752">
        <f t="shared" si="394"/>
        <v>0</v>
      </c>
      <c r="P2970" s="862"/>
      <c r="Q2970" s="860"/>
      <c r="R2970" s="753">
        <f t="shared" si="397"/>
        <v>0</v>
      </c>
      <c r="S2970" s="752">
        <f t="shared" si="398"/>
        <v>0</v>
      </c>
      <c r="T2970" s="754">
        <f t="shared" si="399"/>
        <v>0</v>
      </c>
      <c r="U2970" s="859"/>
      <c r="V2970" s="863"/>
      <c r="W2970" s="859"/>
      <c r="X2970" s="859"/>
      <c r="Y2970" s="755">
        <f t="shared" si="395"/>
        <v>0</v>
      </c>
      <c r="Z2970" s="864"/>
      <c r="AA2970" s="863"/>
      <c r="AB2970" s="756">
        <f t="shared" si="396"/>
        <v>0</v>
      </c>
      <c r="AC2970" s="859"/>
      <c r="AD2970" s="863"/>
      <c r="AE2970" s="859"/>
      <c r="AF2970" s="859"/>
      <c r="AG2970" s="864"/>
      <c r="AH2970" s="865"/>
      <c r="AI2970" s="757">
        <f t="shared" si="400"/>
        <v>0</v>
      </c>
      <c r="AJ2970" s="758">
        <f t="shared" si="401"/>
        <v>0</v>
      </c>
    </row>
    <row r="2971" spans="1:36" x14ac:dyDescent="0.2">
      <c r="A2971" s="1104" t="s">
        <v>156</v>
      </c>
      <c r="B2971" s="1127" t="s">
        <v>293</v>
      </c>
      <c r="C2971" s="1131" t="s">
        <v>588</v>
      </c>
      <c r="D2971" s="1111"/>
      <c r="E2971" s="1129"/>
      <c r="F2971" s="1130"/>
      <c r="G2971" s="859"/>
      <c r="H2971" s="860"/>
      <c r="I2971" s="861"/>
      <c r="J2971" s="862"/>
      <c r="K2971" s="859"/>
      <c r="L2971" s="863"/>
      <c r="M2971" s="859"/>
      <c r="N2971" s="859"/>
      <c r="O2971" s="752">
        <f t="shared" si="394"/>
        <v>0</v>
      </c>
      <c r="P2971" s="862"/>
      <c r="Q2971" s="860"/>
      <c r="R2971" s="753">
        <f t="shared" si="397"/>
        <v>0</v>
      </c>
      <c r="S2971" s="752">
        <f t="shared" si="398"/>
        <v>0</v>
      </c>
      <c r="T2971" s="754">
        <f t="shared" si="399"/>
        <v>0</v>
      </c>
      <c r="U2971" s="859"/>
      <c r="V2971" s="863"/>
      <c r="W2971" s="859"/>
      <c r="X2971" s="859"/>
      <c r="Y2971" s="755">
        <f t="shared" si="395"/>
        <v>0</v>
      </c>
      <c r="Z2971" s="864"/>
      <c r="AA2971" s="863"/>
      <c r="AB2971" s="756">
        <f t="shared" si="396"/>
        <v>0</v>
      </c>
      <c r="AC2971" s="859"/>
      <c r="AD2971" s="863"/>
      <c r="AE2971" s="859"/>
      <c r="AF2971" s="859"/>
      <c r="AG2971" s="864"/>
      <c r="AH2971" s="865"/>
      <c r="AI2971" s="757">
        <f t="shared" si="400"/>
        <v>0</v>
      </c>
      <c r="AJ2971" s="758">
        <f t="shared" si="401"/>
        <v>0</v>
      </c>
    </row>
    <row r="2972" spans="1:36" x14ac:dyDescent="0.2">
      <c r="A2972" s="1104" t="s">
        <v>156</v>
      </c>
      <c r="B2972" s="1127" t="s">
        <v>293</v>
      </c>
      <c r="C2972" s="1126" t="s">
        <v>989</v>
      </c>
      <c r="D2972" s="1111"/>
      <c r="E2972" s="1129"/>
      <c r="F2972" s="1130"/>
      <c r="G2972" s="859"/>
      <c r="H2972" s="860"/>
      <c r="I2972" s="861"/>
      <c r="J2972" s="862"/>
      <c r="K2972" s="859"/>
      <c r="L2972" s="863"/>
      <c r="M2972" s="859"/>
      <c r="N2972" s="859"/>
      <c r="O2972" s="752">
        <f t="shared" si="394"/>
        <v>0</v>
      </c>
      <c r="P2972" s="862"/>
      <c r="Q2972" s="860"/>
      <c r="R2972" s="753">
        <f t="shared" si="397"/>
        <v>0</v>
      </c>
      <c r="S2972" s="752">
        <f t="shared" si="398"/>
        <v>0</v>
      </c>
      <c r="T2972" s="754">
        <f t="shared" si="399"/>
        <v>0</v>
      </c>
      <c r="U2972" s="859"/>
      <c r="V2972" s="863"/>
      <c r="W2972" s="859"/>
      <c r="X2972" s="859"/>
      <c r="Y2972" s="755">
        <f t="shared" si="395"/>
        <v>0</v>
      </c>
      <c r="Z2972" s="864"/>
      <c r="AA2972" s="863"/>
      <c r="AB2972" s="756">
        <f t="shared" si="396"/>
        <v>0</v>
      </c>
      <c r="AC2972" s="859"/>
      <c r="AD2972" s="863"/>
      <c r="AE2972" s="859"/>
      <c r="AF2972" s="859"/>
      <c r="AG2972" s="864"/>
      <c r="AH2972" s="865"/>
      <c r="AI2972" s="757">
        <f t="shared" si="400"/>
        <v>0</v>
      </c>
      <c r="AJ2972" s="758">
        <f t="shared" si="401"/>
        <v>0</v>
      </c>
    </row>
    <row r="2973" spans="1:36" x14ac:dyDescent="0.2">
      <c r="A2973" s="1104" t="s">
        <v>156</v>
      </c>
      <c r="B2973" s="1127" t="s">
        <v>252</v>
      </c>
      <c r="C2973" s="1128" t="s">
        <v>311</v>
      </c>
      <c r="D2973" s="1111"/>
      <c r="E2973" s="1129"/>
      <c r="F2973" s="1130"/>
      <c r="G2973" s="859"/>
      <c r="H2973" s="860"/>
      <c r="I2973" s="861"/>
      <c r="J2973" s="862"/>
      <c r="K2973" s="859"/>
      <c r="L2973" s="863"/>
      <c r="M2973" s="859"/>
      <c r="N2973" s="859"/>
      <c r="O2973" s="752">
        <f t="shared" si="394"/>
        <v>0</v>
      </c>
      <c r="P2973" s="862"/>
      <c r="Q2973" s="860"/>
      <c r="R2973" s="753">
        <f t="shared" si="397"/>
        <v>0</v>
      </c>
      <c r="S2973" s="752">
        <f t="shared" si="398"/>
        <v>0</v>
      </c>
      <c r="T2973" s="754">
        <f t="shared" si="399"/>
        <v>0</v>
      </c>
      <c r="U2973" s="859">
        <v>154794742</v>
      </c>
      <c r="V2973" s="863">
        <v>165133966</v>
      </c>
      <c r="W2973" s="859"/>
      <c r="X2973" s="859"/>
      <c r="Y2973" s="755">
        <f t="shared" si="395"/>
        <v>0</v>
      </c>
      <c r="Z2973" s="864"/>
      <c r="AA2973" s="863"/>
      <c r="AB2973" s="756">
        <f t="shared" si="396"/>
        <v>0</v>
      </c>
      <c r="AC2973" s="859"/>
      <c r="AD2973" s="863"/>
      <c r="AE2973" s="859"/>
      <c r="AF2973" s="859"/>
      <c r="AG2973" s="864"/>
      <c r="AH2973" s="865"/>
      <c r="AI2973" s="757">
        <f t="shared" si="400"/>
        <v>154794742</v>
      </c>
      <c r="AJ2973" s="758">
        <f t="shared" si="401"/>
        <v>165133966</v>
      </c>
    </row>
    <row r="2974" spans="1:36" x14ac:dyDescent="0.2">
      <c r="A2974" s="1104" t="s">
        <v>156</v>
      </c>
      <c r="B2974" s="1127" t="s">
        <v>253</v>
      </c>
      <c r="C2974" s="1128" t="s">
        <v>249</v>
      </c>
      <c r="D2974" s="1111"/>
      <c r="E2974" s="1129"/>
      <c r="F2974" s="1130"/>
      <c r="G2974" s="859"/>
      <c r="H2974" s="860"/>
      <c r="I2974" s="861"/>
      <c r="J2974" s="862"/>
      <c r="K2974" s="859"/>
      <c r="L2974" s="863"/>
      <c r="M2974" s="859"/>
      <c r="N2974" s="859"/>
      <c r="O2974" s="752">
        <f t="shared" si="394"/>
        <v>0</v>
      </c>
      <c r="P2974" s="862"/>
      <c r="Q2974" s="860"/>
      <c r="R2974" s="753">
        <f t="shared" si="397"/>
        <v>0</v>
      </c>
      <c r="S2974" s="752">
        <f t="shared" si="398"/>
        <v>0</v>
      </c>
      <c r="T2974" s="754">
        <f t="shared" si="399"/>
        <v>0</v>
      </c>
      <c r="U2974" s="859">
        <v>12359822</v>
      </c>
      <c r="V2974" s="863">
        <v>12359822</v>
      </c>
      <c r="W2974" s="859"/>
      <c r="X2974" s="859"/>
      <c r="Y2974" s="755">
        <f t="shared" si="395"/>
        <v>0</v>
      </c>
      <c r="Z2974" s="864"/>
      <c r="AA2974" s="863"/>
      <c r="AB2974" s="756">
        <f t="shared" si="396"/>
        <v>0</v>
      </c>
      <c r="AC2974" s="859"/>
      <c r="AD2974" s="863"/>
      <c r="AE2974" s="859"/>
      <c r="AF2974" s="859"/>
      <c r="AG2974" s="864"/>
      <c r="AH2974" s="865"/>
      <c r="AI2974" s="757">
        <f t="shared" si="400"/>
        <v>12359822</v>
      </c>
      <c r="AJ2974" s="758">
        <f t="shared" si="401"/>
        <v>12359822</v>
      </c>
    </row>
    <row r="2975" spans="1:36" x14ac:dyDescent="0.2">
      <c r="A2975" s="1104" t="s">
        <v>156</v>
      </c>
      <c r="B2975" s="1127" t="s">
        <v>293</v>
      </c>
      <c r="C2975" s="1128" t="s">
        <v>991</v>
      </c>
      <c r="D2975" s="1111"/>
      <c r="E2975" s="1129"/>
      <c r="F2975" s="1130"/>
      <c r="G2975" s="859"/>
      <c r="H2975" s="860"/>
      <c r="I2975" s="861"/>
      <c r="J2975" s="862"/>
      <c r="K2975" s="859"/>
      <c r="L2975" s="863"/>
      <c r="M2975" s="859"/>
      <c r="N2975" s="859"/>
      <c r="O2975" s="752">
        <f t="shared" si="394"/>
        <v>0</v>
      </c>
      <c r="P2975" s="862"/>
      <c r="Q2975" s="860"/>
      <c r="R2975" s="753">
        <f t="shared" si="397"/>
        <v>0</v>
      </c>
      <c r="S2975" s="752">
        <f t="shared" si="398"/>
        <v>0</v>
      </c>
      <c r="T2975" s="754">
        <f t="shared" si="399"/>
        <v>0</v>
      </c>
      <c r="U2975" s="859">
        <v>1650000</v>
      </c>
      <c r="V2975" s="863">
        <v>1650000</v>
      </c>
      <c r="W2975" s="859"/>
      <c r="X2975" s="859"/>
      <c r="Y2975" s="755">
        <f t="shared" si="395"/>
        <v>0</v>
      </c>
      <c r="Z2975" s="864"/>
      <c r="AA2975" s="863"/>
      <c r="AB2975" s="756">
        <f t="shared" si="396"/>
        <v>0</v>
      </c>
      <c r="AC2975" s="859"/>
      <c r="AD2975" s="863"/>
      <c r="AE2975" s="859"/>
      <c r="AF2975" s="859"/>
      <c r="AG2975" s="864"/>
      <c r="AH2975" s="865"/>
      <c r="AI2975" s="757">
        <f t="shared" si="400"/>
        <v>1650000</v>
      </c>
      <c r="AJ2975" s="758">
        <f t="shared" si="401"/>
        <v>1650000</v>
      </c>
    </row>
    <row r="2976" spans="1:36" x14ac:dyDescent="0.2">
      <c r="A2976" s="1104" t="s">
        <v>156</v>
      </c>
      <c r="B2976" s="1105" t="s">
        <v>294</v>
      </c>
      <c r="C2976" s="1125" t="s">
        <v>307</v>
      </c>
      <c r="D2976" s="1111"/>
      <c r="E2976" s="1108"/>
      <c r="F2976" s="1109"/>
      <c r="G2976" s="859"/>
      <c r="H2976" s="860"/>
      <c r="I2976" s="861"/>
      <c r="J2976" s="862"/>
      <c r="K2976" s="859"/>
      <c r="L2976" s="863"/>
      <c r="M2976" s="859"/>
      <c r="N2976" s="859"/>
      <c r="O2976" s="752">
        <f t="shared" si="394"/>
        <v>0</v>
      </c>
      <c r="P2976" s="862"/>
      <c r="Q2976" s="860"/>
      <c r="R2976" s="753">
        <f t="shared" si="397"/>
        <v>0</v>
      </c>
      <c r="S2976" s="752">
        <f t="shared" si="398"/>
        <v>0</v>
      </c>
      <c r="T2976" s="754">
        <f t="shared" si="399"/>
        <v>0</v>
      </c>
      <c r="U2976" s="859"/>
      <c r="V2976" s="863"/>
      <c r="W2976" s="859"/>
      <c r="X2976" s="859"/>
      <c r="Y2976" s="755">
        <f t="shared" si="395"/>
        <v>0</v>
      </c>
      <c r="Z2976" s="864"/>
      <c r="AA2976" s="863"/>
      <c r="AB2976" s="756">
        <f t="shared" si="396"/>
        <v>0</v>
      </c>
      <c r="AC2976" s="859"/>
      <c r="AD2976" s="863"/>
      <c r="AE2976" s="859"/>
      <c r="AF2976" s="859"/>
      <c r="AG2976" s="864"/>
      <c r="AH2976" s="865"/>
      <c r="AI2976" s="757">
        <f t="shared" si="400"/>
        <v>0</v>
      </c>
      <c r="AJ2976" s="758">
        <f t="shared" si="401"/>
        <v>0</v>
      </c>
    </row>
    <row r="2977" spans="1:36" x14ac:dyDescent="0.2">
      <c r="A2977" s="1104" t="s">
        <v>156</v>
      </c>
      <c r="B2977" s="1105" t="s">
        <v>294</v>
      </c>
      <c r="C2977" s="1132" t="s">
        <v>992</v>
      </c>
      <c r="D2977" s="1111"/>
      <c r="E2977" s="1108"/>
      <c r="F2977" s="1109"/>
      <c r="G2977" s="859"/>
      <c r="H2977" s="860"/>
      <c r="I2977" s="861"/>
      <c r="J2977" s="862"/>
      <c r="K2977" s="859"/>
      <c r="L2977" s="863"/>
      <c r="M2977" s="859"/>
      <c r="N2977" s="859"/>
      <c r="O2977" s="752">
        <f t="shared" si="394"/>
        <v>0</v>
      </c>
      <c r="P2977" s="862"/>
      <c r="Q2977" s="860"/>
      <c r="R2977" s="753">
        <f t="shared" si="397"/>
        <v>0</v>
      </c>
      <c r="S2977" s="752">
        <f t="shared" si="398"/>
        <v>0</v>
      </c>
      <c r="T2977" s="754">
        <f t="shared" si="399"/>
        <v>0</v>
      </c>
      <c r="U2977" s="859"/>
      <c r="V2977" s="863"/>
      <c r="W2977" s="859"/>
      <c r="X2977" s="859"/>
      <c r="Y2977" s="755">
        <f t="shared" si="395"/>
        <v>0</v>
      </c>
      <c r="Z2977" s="864"/>
      <c r="AA2977" s="863"/>
      <c r="AB2977" s="756">
        <f t="shared" si="396"/>
        <v>0</v>
      </c>
      <c r="AC2977" s="859"/>
      <c r="AD2977" s="863"/>
      <c r="AE2977" s="859"/>
      <c r="AF2977" s="859"/>
      <c r="AG2977" s="864"/>
      <c r="AH2977" s="865"/>
      <c r="AI2977" s="757">
        <f t="shared" si="400"/>
        <v>0</v>
      </c>
      <c r="AJ2977" s="758">
        <f t="shared" si="401"/>
        <v>0</v>
      </c>
    </row>
    <row r="2978" spans="1:36" x14ac:dyDescent="0.2">
      <c r="A2978" s="1104" t="s">
        <v>156</v>
      </c>
      <c r="B2978" s="1127" t="s">
        <v>254</v>
      </c>
      <c r="C2978" s="1128" t="s">
        <v>311</v>
      </c>
      <c r="D2978" s="1111"/>
      <c r="E2978" s="1129"/>
      <c r="F2978" s="1130"/>
      <c r="G2978" s="859"/>
      <c r="H2978" s="860"/>
      <c r="I2978" s="861"/>
      <c r="J2978" s="862"/>
      <c r="K2978" s="859"/>
      <c r="L2978" s="863"/>
      <c r="M2978" s="859"/>
      <c r="N2978" s="859"/>
      <c r="O2978" s="752">
        <f t="shared" si="394"/>
        <v>0</v>
      </c>
      <c r="P2978" s="862"/>
      <c r="Q2978" s="860"/>
      <c r="R2978" s="753">
        <f t="shared" si="397"/>
        <v>0</v>
      </c>
      <c r="S2978" s="752">
        <f t="shared" si="398"/>
        <v>0</v>
      </c>
      <c r="T2978" s="754">
        <f t="shared" si="399"/>
        <v>0</v>
      </c>
      <c r="U2978" s="859"/>
      <c r="V2978" s="863"/>
      <c r="W2978" s="859"/>
      <c r="X2978" s="859"/>
      <c r="Y2978" s="755">
        <f t="shared" si="395"/>
        <v>0</v>
      </c>
      <c r="Z2978" s="864"/>
      <c r="AA2978" s="863"/>
      <c r="AB2978" s="756">
        <f t="shared" si="396"/>
        <v>0</v>
      </c>
      <c r="AC2978" s="859"/>
      <c r="AD2978" s="863"/>
      <c r="AE2978" s="859"/>
      <c r="AF2978" s="859"/>
      <c r="AG2978" s="864"/>
      <c r="AH2978" s="865"/>
      <c r="AI2978" s="757">
        <f t="shared" si="400"/>
        <v>0</v>
      </c>
      <c r="AJ2978" s="758">
        <f t="shared" si="401"/>
        <v>0</v>
      </c>
    </row>
    <row r="2979" spans="1:36" x14ac:dyDescent="0.2">
      <c r="A2979" s="1104" t="s">
        <v>156</v>
      </c>
      <c r="B2979" s="1127" t="s">
        <v>255</v>
      </c>
      <c r="C2979" s="1128" t="s">
        <v>249</v>
      </c>
      <c r="D2979" s="1111"/>
      <c r="E2979" s="1129"/>
      <c r="F2979" s="1130"/>
      <c r="G2979" s="859"/>
      <c r="H2979" s="860"/>
      <c r="I2979" s="861"/>
      <c r="J2979" s="862"/>
      <c r="K2979" s="859"/>
      <c r="L2979" s="863"/>
      <c r="M2979" s="859"/>
      <c r="N2979" s="859"/>
      <c r="O2979" s="752">
        <f t="shared" si="394"/>
        <v>0</v>
      </c>
      <c r="P2979" s="862"/>
      <c r="Q2979" s="860"/>
      <c r="R2979" s="753">
        <f t="shared" si="397"/>
        <v>0</v>
      </c>
      <c r="S2979" s="752">
        <f t="shared" si="398"/>
        <v>0</v>
      </c>
      <c r="T2979" s="754">
        <f t="shared" si="399"/>
        <v>0</v>
      </c>
      <c r="U2979" s="859">
        <v>61812665</v>
      </c>
      <c r="V2979" s="863">
        <v>61812665</v>
      </c>
      <c r="W2979" s="859"/>
      <c r="X2979" s="859"/>
      <c r="Y2979" s="755">
        <f t="shared" si="395"/>
        <v>0</v>
      </c>
      <c r="Z2979" s="864"/>
      <c r="AA2979" s="863"/>
      <c r="AB2979" s="756">
        <f t="shared" si="396"/>
        <v>0</v>
      </c>
      <c r="AC2979" s="859"/>
      <c r="AD2979" s="863"/>
      <c r="AE2979" s="859"/>
      <c r="AF2979" s="859"/>
      <c r="AG2979" s="864"/>
      <c r="AH2979" s="865"/>
      <c r="AI2979" s="757">
        <f t="shared" si="400"/>
        <v>61812665</v>
      </c>
      <c r="AJ2979" s="758">
        <f t="shared" si="401"/>
        <v>61812665</v>
      </c>
    </row>
    <row r="2980" spans="1:36" x14ac:dyDescent="0.2">
      <c r="A2980" s="1104" t="s">
        <v>156</v>
      </c>
      <c r="B2980" s="1105" t="s">
        <v>294</v>
      </c>
      <c r="C2980" s="1132" t="s">
        <v>993</v>
      </c>
      <c r="D2980" s="1111"/>
      <c r="E2980" s="1108"/>
      <c r="F2980" s="1109"/>
      <c r="G2980" s="859"/>
      <c r="H2980" s="860"/>
      <c r="I2980" s="861"/>
      <c r="J2980" s="862"/>
      <c r="K2980" s="859"/>
      <c r="L2980" s="863"/>
      <c r="M2980" s="859"/>
      <c r="N2980" s="859"/>
      <c r="O2980" s="752">
        <f t="shared" si="394"/>
        <v>0</v>
      </c>
      <c r="P2980" s="862"/>
      <c r="Q2980" s="860"/>
      <c r="R2980" s="753">
        <f t="shared" si="397"/>
        <v>0</v>
      </c>
      <c r="S2980" s="752">
        <f t="shared" si="398"/>
        <v>0</v>
      </c>
      <c r="T2980" s="754">
        <f t="shared" si="399"/>
        <v>0</v>
      </c>
      <c r="U2980" s="859"/>
      <c r="V2980" s="863"/>
      <c r="W2980" s="859"/>
      <c r="X2980" s="859"/>
      <c r="Y2980" s="755">
        <f t="shared" si="395"/>
        <v>0</v>
      </c>
      <c r="Z2980" s="864"/>
      <c r="AA2980" s="863"/>
      <c r="AB2980" s="756">
        <f t="shared" si="396"/>
        <v>0</v>
      </c>
      <c r="AC2980" s="859"/>
      <c r="AD2980" s="863"/>
      <c r="AE2980" s="859"/>
      <c r="AF2980" s="859"/>
      <c r="AG2980" s="864"/>
      <c r="AH2980" s="865"/>
      <c r="AI2980" s="757">
        <f t="shared" si="400"/>
        <v>0</v>
      </c>
      <c r="AJ2980" s="758">
        <f t="shared" si="401"/>
        <v>0</v>
      </c>
    </row>
    <row r="2981" spans="1:36" x14ac:dyDescent="0.2">
      <c r="A2981" s="1104" t="s">
        <v>156</v>
      </c>
      <c r="B2981" s="1127" t="s">
        <v>254</v>
      </c>
      <c r="C2981" s="1128" t="s">
        <v>311</v>
      </c>
      <c r="D2981" s="1111"/>
      <c r="E2981" s="1129"/>
      <c r="F2981" s="1130"/>
      <c r="G2981" s="859"/>
      <c r="H2981" s="860"/>
      <c r="I2981" s="861"/>
      <c r="J2981" s="862"/>
      <c r="K2981" s="859"/>
      <c r="L2981" s="863"/>
      <c r="M2981" s="859"/>
      <c r="N2981" s="859"/>
      <c r="O2981" s="752">
        <f t="shared" si="394"/>
        <v>0</v>
      </c>
      <c r="P2981" s="862"/>
      <c r="Q2981" s="860"/>
      <c r="R2981" s="753">
        <f t="shared" si="397"/>
        <v>0</v>
      </c>
      <c r="S2981" s="752">
        <f t="shared" si="398"/>
        <v>0</v>
      </c>
      <c r="T2981" s="754">
        <f t="shared" si="399"/>
        <v>0</v>
      </c>
      <c r="U2981" s="859"/>
      <c r="V2981" s="863"/>
      <c r="W2981" s="859"/>
      <c r="X2981" s="859"/>
      <c r="Y2981" s="755">
        <f t="shared" si="395"/>
        <v>0</v>
      </c>
      <c r="Z2981" s="864"/>
      <c r="AA2981" s="863"/>
      <c r="AB2981" s="756">
        <f t="shared" si="396"/>
        <v>0</v>
      </c>
      <c r="AC2981" s="859"/>
      <c r="AD2981" s="863"/>
      <c r="AE2981" s="859"/>
      <c r="AF2981" s="859"/>
      <c r="AG2981" s="864"/>
      <c r="AH2981" s="865"/>
      <c r="AI2981" s="757">
        <f t="shared" si="400"/>
        <v>0</v>
      </c>
      <c r="AJ2981" s="758">
        <f t="shared" si="401"/>
        <v>0</v>
      </c>
    </row>
    <row r="2982" spans="1:36" x14ac:dyDescent="0.2">
      <c r="A2982" s="1104" t="s">
        <v>156</v>
      </c>
      <c r="B2982" s="1127" t="s">
        <v>255</v>
      </c>
      <c r="C2982" s="1128" t="s">
        <v>249</v>
      </c>
      <c r="D2982" s="1111"/>
      <c r="E2982" s="1129"/>
      <c r="F2982" s="1130"/>
      <c r="G2982" s="859"/>
      <c r="H2982" s="860"/>
      <c r="I2982" s="861"/>
      <c r="J2982" s="862"/>
      <c r="K2982" s="859"/>
      <c r="L2982" s="863"/>
      <c r="M2982" s="859"/>
      <c r="N2982" s="859"/>
      <c r="O2982" s="752">
        <f t="shared" si="394"/>
        <v>0</v>
      </c>
      <c r="P2982" s="862"/>
      <c r="Q2982" s="860"/>
      <c r="R2982" s="753">
        <f t="shared" si="397"/>
        <v>0</v>
      </c>
      <c r="S2982" s="752">
        <f t="shared" si="398"/>
        <v>0</v>
      </c>
      <c r="T2982" s="754">
        <f t="shared" si="399"/>
        <v>0</v>
      </c>
      <c r="U2982" s="859">
        <v>3139944</v>
      </c>
      <c r="V2982" s="863">
        <v>3139944</v>
      </c>
      <c r="W2982" s="859"/>
      <c r="X2982" s="859"/>
      <c r="Y2982" s="755">
        <f t="shared" si="395"/>
        <v>0</v>
      </c>
      <c r="Z2982" s="864"/>
      <c r="AA2982" s="863"/>
      <c r="AB2982" s="756">
        <f t="shared" si="396"/>
        <v>0</v>
      </c>
      <c r="AC2982" s="859"/>
      <c r="AD2982" s="863"/>
      <c r="AE2982" s="859"/>
      <c r="AF2982" s="859"/>
      <c r="AG2982" s="864"/>
      <c r="AH2982" s="865"/>
      <c r="AI2982" s="757">
        <f t="shared" si="400"/>
        <v>3139944</v>
      </c>
      <c r="AJ2982" s="758">
        <f t="shared" si="401"/>
        <v>3139944</v>
      </c>
    </row>
    <row r="2983" spans="1:36" x14ac:dyDescent="0.2">
      <c r="A2983" s="1022" t="s">
        <v>157</v>
      </c>
      <c r="B2983" s="1023" t="s">
        <v>264</v>
      </c>
      <c r="C2983" s="1024" t="s">
        <v>994</v>
      </c>
      <c r="D2983" s="1025"/>
      <c r="E2983" s="1133">
        <v>238032</v>
      </c>
      <c r="F2983" s="1027">
        <v>1</v>
      </c>
      <c r="G2983" s="859">
        <v>78213821</v>
      </c>
      <c r="H2983" s="1134">
        <v>66460225</v>
      </c>
      <c r="I2983" s="861"/>
      <c r="J2983" s="862"/>
      <c r="K2983" s="859"/>
      <c r="L2983" s="863"/>
      <c r="M2983" s="859">
        <v>274842576</v>
      </c>
      <c r="N2983" s="859">
        <v>10615063</v>
      </c>
      <c r="O2983" s="752">
        <f t="shared" si="394"/>
        <v>285457639</v>
      </c>
      <c r="P2983" s="1517">
        <v>288649003</v>
      </c>
      <c r="Q2983" s="860">
        <v>10614313</v>
      </c>
      <c r="R2983" s="753">
        <f t="shared" si="397"/>
        <v>299263316</v>
      </c>
      <c r="S2983" s="752">
        <f t="shared" si="398"/>
        <v>353056397</v>
      </c>
      <c r="T2983" s="754">
        <f t="shared" si="399"/>
        <v>355109228</v>
      </c>
      <c r="U2983" s="859"/>
      <c r="V2983" s="863"/>
      <c r="W2983" s="859"/>
      <c r="X2983" s="859"/>
      <c r="Y2983" s="755">
        <f t="shared" si="395"/>
        <v>0</v>
      </c>
      <c r="Z2983" s="864"/>
      <c r="AA2983" s="863"/>
      <c r="AB2983" s="756">
        <f t="shared" si="396"/>
        <v>0</v>
      </c>
      <c r="AC2983" s="859"/>
      <c r="AD2983" s="863"/>
      <c r="AE2983" s="859"/>
      <c r="AF2983" s="859"/>
      <c r="AG2983" s="864"/>
      <c r="AH2983" s="865"/>
      <c r="AI2983" s="757">
        <f t="shared" si="400"/>
        <v>353056397</v>
      </c>
      <c r="AJ2983" s="758">
        <f t="shared" si="401"/>
        <v>355109228</v>
      </c>
    </row>
    <row r="2984" spans="1:36" x14ac:dyDescent="0.2">
      <c r="A2984" s="1022" t="s">
        <v>157</v>
      </c>
      <c r="B2984" s="1023" t="s">
        <v>280</v>
      </c>
      <c r="C2984" s="1135" t="s">
        <v>814</v>
      </c>
      <c r="D2984" s="1136"/>
      <c r="E2984" s="1133">
        <v>238032</v>
      </c>
      <c r="F2984" s="1027">
        <v>1</v>
      </c>
      <c r="G2984" s="859"/>
      <c r="H2984" s="1137"/>
      <c r="I2984" s="861"/>
      <c r="J2984" s="862"/>
      <c r="K2984" s="859"/>
      <c r="L2984" s="863"/>
      <c r="M2984" s="859"/>
      <c r="N2984" s="859"/>
      <c r="O2984" s="752">
        <f t="shared" si="394"/>
        <v>0</v>
      </c>
      <c r="P2984" s="862"/>
      <c r="Q2984" s="860"/>
      <c r="R2984" s="753">
        <f t="shared" si="397"/>
        <v>0</v>
      </c>
      <c r="S2984" s="752">
        <f t="shared" si="398"/>
        <v>0</v>
      </c>
      <c r="T2984" s="754">
        <f t="shared" si="399"/>
        <v>0</v>
      </c>
      <c r="U2984" s="859"/>
      <c r="V2984" s="863"/>
      <c r="W2984" s="859"/>
      <c r="X2984" s="859"/>
      <c r="Y2984" s="755">
        <f t="shared" si="395"/>
        <v>0</v>
      </c>
      <c r="Z2984" s="864"/>
      <c r="AA2984" s="863"/>
      <c r="AB2984" s="756">
        <f t="shared" si="396"/>
        <v>0</v>
      </c>
      <c r="AC2984" s="859"/>
      <c r="AD2984" s="863"/>
      <c r="AE2984" s="859"/>
      <c r="AF2984" s="859"/>
      <c r="AG2984" s="864"/>
      <c r="AH2984" s="865"/>
      <c r="AI2984" s="757">
        <f t="shared" si="400"/>
        <v>0</v>
      </c>
      <c r="AJ2984" s="758">
        <f t="shared" si="401"/>
        <v>0</v>
      </c>
    </row>
    <row r="2985" spans="1:36" x14ac:dyDescent="0.2">
      <c r="A2985" s="1022" t="s">
        <v>157</v>
      </c>
      <c r="B2985" s="1023" t="s">
        <v>280</v>
      </c>
      <c r="C2985" s="1028" t="s">
        <v>995</v>
      </c>
      <c r="D2985" s="1029"/>
      <c r="E2985" s="1133">
        <v>238032</v>
      </c>
      <c r="F2985" s="1027">
        <v>1</v>
      </c>
      <c r="G2985" s="859"/>
      <c r="H2985" s="1137"/>
      <c r="I2985" s="861"/>
      <c r="J2985" s="862"/>
      <c r="K2985" s="859"/>
      <c r="L2985" s="863"/>
      <c r="M2985" s="859"/>
      <c r="N2985" s="859"/>
      <c r="O2985" s="752">
        <f t="shared" si="394"/>
        <v>0</v>
      </c>
      <c r="P2985" s="862"/>
      <c r="Q2985" s="860"/>
      <c r="R2985" s="753">
        <f t="shared" si="397"/>
        <v>0</v>
      </c>
      <c r="S2985" s="752">
        <f t="shared" si="398"/>
        <v>0</v>
      </c>
      <c r="T2985" s="754">
        <f t="shared" si="399"/>
        <v>0</v>
      </c>
      <c r="U2985" s="859"/>
      <c r="V2985" s="863"/>
      <c r="W2985" s="859"/>
      <c r="X2985" s="859"/>
      <c r="Y2985" s="755">
        <f t="shared" si="395"/>
        <v>0</v>
      </c>
      <c r="Z2985" s="864"/>
      <c r="AA2985" s="863"/>
      <c r="AB2985" s="756">
        <f t="shared" si="396"/>
        <v>0</v>
      </c>
      <c r="AC2985" s="859">
        <v>69527816</v>
      </c>
      <c r="AD2985" s="863">
        <v>67078611</v>
      </c>
      <c r="AE2985" s="859">
        <v>45880496</v>
      </c>
      <c r="AF2985" s="859"/>
      <c r="AG2985" s="1518">
        <v>48091056</v>
      </c>
      <c r="AH2985" s="865"/>
      <c r="AI2985" s="757">
        <f t="shared" si="400"/>
        <v>115408312</v>
      </c>
      <c r="AJ2985" s="758">
        <f t="shared" si="401"/>
        <v>115169667</v>
      </c>
    </row>
    <row r="2986" spans="1:36" x14ac:dyDescent="0.2">
      <c r="A2986" s="1022" t="s">
        <v>157</v>
      </c>
      <c r="B2986" s="1023" t="s">
        <v>280</v>
      </c>
      <c r="C2986" s="1028" t="s">
        <v>996</v>
      </c>
      <c r="D2986" s="1029"/>
      <c r="E2986" s="1133">
        <v>238032</v>
      </c>
      <c r="F2986" s="1027">
        <v>1</v>
      </c>
      <c r="G2986" s="859"/>
      <c r="H2986" s="1137"/>
      <c r="I2986" s="861"/>
      <c r="J2986" s="862"/>
      <c r="K2986" s="859"/>
      <c r="L2986" s="863"/>
      <c r="M2986" s="859"/>
      <c r="N2986" s="859"/>
      <c r="O2986" s="752">
        <f t="shared" si="394"/>
        <v>0</v>
      </c>
      <c r="P2986" s="862"/>
      <c r="Q2986" s="860"/>
      <c r="R2986" s="753">
        <f t="shared" si="397"/>
        <v>0</v>
      </c>
      <c r="S2986" s="752">
        <f t="shared" si="398"/>
        <v>0</v>
      </c>
      <c r="T2986" s="754">
        <f t="shared" si="399"/>
        <v>0</v>
      </c>
      <c r="U2986" s="859"/>
      <c r="V2986" s="863"/>
      <c r="W2986" s="859"/>
      <c r="X2986" s="859"/>
      <c r="Y2986" s="755">
        <f t="shared" si="395"/>
        <v>0</v>
      </c>
      <c r="Z2986" s="864"/>
      <c r="AA2986" s="863"/>
      <c r="AB2986" s="756">
        <f t="shared" si="396"/>
        <v>0</v>
      </c>
      <c r="AC2986" s="859">
        <v>1400038</v>
      </c>
      <c r="AD2986" s="863">
        <v>1274838</v>
      </c>
      <c r="AE2986" s="859"/>
      <c r="AF2986" s="859"/>
      <c r="AG2986" s="864"/>
      <c r="AH2986" s="865"/>
      <c r="AI2986" s="757">
        <f t="shared" si="400"/>
        <v>1400038</v>
      </c>
      <c r="AJ2986" s="758">
        <f t="shared" si="401"/>
        <v>1274838</v>
      </c>
    </row>
    <row r="2987" spans="1:36" x14ac:dyDescent="0.2">
      <c r="A2987" s="1022" t="s">
        <v>157</v>
      </c>
      <c r="B2987" s="1023" t="s">
        <v>303</v>
      </c>
      <c r="C2987" s="1028" t="s">
        <v>997</v>
      </c>
      <c r="D2987" s="1029"/>
      <c r="E2987" s="1133">
        <v>238032</v>
      </c>
      <c r="F2987" s="1027">
        <v>1</v>
      </c>
      <c r="G2987" s="859"/>
      <c r="H2987" s="1137"/>
      <c r="I2987" s="861">
        <v>1543868</v>
      </c>
      <c r="J2987" s="1138">
        <v>1750000</v>
      </c>
      <c r="K2987" s="859"/>
      <c r="L2987" s="863"/>
      <c r="M2987" s="859"/>
      <c r="N2987" s="859"/>
      <c r="O2987" s="752">
        <f t="shared" si="394"/>
        <v>0</v>
      </c>
      <c r="P2987" s="862"/>
      <c r="Q2987" s="860"/>
      <c r="R2987" s="753">
        <f t="shared" si="397"/>
        <v>0</v>
      </c>
      <c r="S2987" s="752">
        <f t="shared" si="398"/>
        <v>1543868</v>
      </c>
      <c r="T2987" s="754">
        <f t="shared" si="399"/>
        <v>1750000</v>
      </c>
      <c r="U2987" s="859"/>
      <c r="V2987" s="863"/>
      <c r="W2987" s="859"/>
      <c r="X2987" s="859"/>
      <c r="Y2987" s="755">
        <f t="shared" si="395"/>
        <v>0</v>
      </c>
      <c r="Z2987" s="864"/>
      <c r="AA2987" s="863"/>
      <c r="AB2987" s="756">
        <f t="shared" si="396"/>
        <v>0</v>
      </c>
      <c r="AC2987" s="859">
        <v>0</v>
      </c>
      <c r="AD2987" s="1139"/>
      <c r="AE2987" s="859"/>
      <c r="AF2987" s="859"/>
      <c r="AG2987" s="864"/>
      <c r="AH2987" s="865"/>
      <c r="AI2987" s="757">
        <f t="shared" si="400"/>
        <v>1543868</v>
      </c>
      <c r="AJ2987" s="758">
        <f t="shared" si="401"/>
        <v>1750000</v>
      </c>
    </row>
    <row r="2988" spans="1:36" x14ac:dyDescent="0.2">
      <c r="A2988" s="1022" t="s">
        <v>157</v>
      </c>
      <c r="B2988" s="1023" t="s">
        <v>303</v>
      </c>
      <c r="C2988" s="1028" t="s">
        <v>998</v>
      </c>
      <c r="D2988" s="1029"/>
      <c r="E2988" s="1133">
        <v>238032</v>
      </c>
      <c r="F2988" s="1027">
        <v>1</v>
      </c>
      <c r="G2988" s="859"/>
      <c r="H2988" s="1137"/>
      <c r="I2988" s="861">
        <v>378192</v>
      </c>
      <c r="J2988" s="1138">
        <v>344372</v>
      </c>
      <c r="K2988" s="859"/>
      <c r="L2988" s="863"/>
      <c r="M2988" s="859"/>
      <c r="N2988" s="859"/>
      <c r="O2988" s="752">
        <f t="shared" si="394"/>
        <v>0</v>
      </c>
      <c r="P2988" s="862"/>
      <c r="Q2988" s="860"/>
      <c r="R2988" s="753">
        <f t="shared" si="397"/>
        <v>0</v>
      </c>
      <c r="S2988" s="752">
        <f t="shared" si="398"/>
        <v>378192</v>
      </c>
      <c r="T2988" s="754">
        <f t="shared" si="399"/>
        <v>344372</v>
      </c>
      <c r="U2988" s="859"/>
      <c r="V2988" s="863"/>
      <c r="W2988" s="859"/>
      <c r="X2988" s="859"/>
      <c r="Y2988" s="755">
        <f t="shared" si="395"/>
        <v>0</v>
      </c>
      <c r="Z2988" s="864"/>
      <c r="AA2988" s="863"/>
      <c r="AB2988" s="756">
        <f t="shared" si="396"/>
        <v>0</v>
      </c>
      <c r="AC2988" s="859">
        <v>0</v>
      </c>
      <c r="AD2988" s="1139"/>
      <c r="AE2988" s="859"/>
      <c r="AF2988" s="859"/>
      <c r="AG2988" s="864"/>
      <c r="AH2988" s="865"/>
      <c r="AI2988" s="757">
        <f t="shared" si="400"/>
        <v>378192</v>
      </c>
      <c r="AJ2988" s="758">
        <f t="shared" si="401"/>
        <v>344372</v>
      </c>
    </row>
    <row r="2989" spans="1:36" x14ac:dyDescent="0.2">
      <c r="A2989" s="1022" t="s">
        <v>157</v>
      </c>
      <c r="B2989" s="1023" t="s">
        <v>280</v>
      </c>
      <c r="C2989" s="1030" t="s">
        <v>319</v>
      </c>
      <c r="D2989" s="1029"/>
      <c r="E2989" s="1140">
        <v>238032</v>
      </c>
      <c r="F2989" s="1027">
        <v>1</v>
      </c>
      <c r="G2989" s="859"/>
      <c r="H2989" s="1137"/>
      <c r="I2989" s="861">
        <v>2267147</v>
      </c>
      <c r="J2989" s="1138">
        <v>2264539</v>
      </c>
      <c r="K2989" s="859"/>
      <c r="L2989" s="863"/>
      <c r="M2989" s="859"/>
      <c r="N2989" s="859"/>
      <c r="O2989" s="752">
        <f t="shared" si="394"/>
        <v>0</v>
      </c>
      <c r="P2989" s="862"/>
      <c r="Q2989" s="860"/>
      <c r="R2989" s="753">
        <f t="shared" si="397"/>
        <v>0</v>
      </c>
      <c r="S2989" s="752">
        <f t="shared" si="398"/>
        <v>2267147</v>
      </c>
      <c r="T2989" s="754">
        <f t="shared" si="399"/>
        <v>2264539</v>
      </c>
      <c r="U2989" s="859"/>
      <c r="V2989" s="863"/>
      <c r="W2989" s="859"/>
      <c r="X2989" s="859"/>
      <c r="Y2989" s="755">
        <f t="shared" si="395"/>
        <v>0</v>
      </c>
      <c r="Z2989" s="864"/>
      <c r="AA2989" s="863"/>
      <c r="AB2989" s="756">
        <f t="shared" si="396"/>
        <v>0</v>
      </c>
      <c r="AC2989" s="859">
        <v>0</v>
      </c>
      <c r="AD2989" s="928"/>
      <c r="AE2989" s="859"/>
      <c r="AF2989" s="859"/>
      <c r="AG2989" s="864"/>
      <c r="AH2989" s="865"/>
      <c r="AI2989" s="757">
        <f t="shared" si="400"/>
        <v>2267147</v>
      </c>
      <c r="AJ2989" s="758">
        <f t="shared" si="401"/>
        <v>2264539</v>
      </c>
    </row>
    <row r="2990" spans="1:36" x14ac:dyDescent="0.2">
      <c r="A2990" s="1022" t="s">
        <v>157</v>
      </c>
      <c r="B2990" s="1023" t="s">
        <v>280</v>
      </c>
      <c r="C2990" s="1028" t="s">
        <v>999</v>
      </c>
      <c r="D2990" s="1029"/>
      <c r="E2990" s="1140">
        <v>238032</v>
      </c>
      <c r="F2990" s="1027">
        <v>1</v>
      </c>
      <c r="G2990" s="859"/>
      <c r="H2990" s="1137"/>
      <c r="I2990" s="861"/>
      <c r="J2990" s="1138" t="s">
        <v>91</v>
      </c>
      <c r="K2990" s="859"/>
      <c r="L2990" s="863"/>
      <c r="M2990" s="859"/>
      <c r="N2990" s="859"/>
      <c r="O2990" s="752">
        <f t="shared" si="394"/>
        <v>0</v>
      </c>
      <c r="P2990" s="862"/>
      <c r="Q2990" s="860"/>
      <c r="R2990" s="753">
        <f t="shared" si="397"/>
        <v>0</v>
      </c>
      <c r="S2990" s="752">
        <f t="shared" si="398"/>
        <v>0</v>
      </c>
      <c r="T2990" s="754">
        <f t="shared" si="399"/>
        <v>0</v>
      </c>
      <c r="U2990" s="859"/>
      <c r="V2990" s="863"/>
      <c r="W2990" s="859"/>
      <c r="X2990" s="859"/>
      <c r="Y2990" s="755">
        <f t="shared" si="395"/>
        <v>0</v>
      </c>
      <c r="Z2990" s="864"/>
      <c r="AA2990" s="863"/>
      <c r="AB2990" s="756">
        <f t="shared" si="396"/>
        <v>0</v>
      </c>
      <c r="AC2990" s="859">
        <v>1000000</v>
      </c>
      <c r="AD2990" s="863">
        <v>1000000</v>
      </c>
      <c r="AE2990" s="859"/>
      <c r="AF2990" s="859"/>
      <c r="AG2990" s="864"/>
      <c r="AH2990" s="865"/>
      <c r="AI2990" s="757">
        <f t="shared" si="400"/>
        <v>1000000</v>
      </c>
      <c r="AJ2990" s="758">
        <f t="shared" si="401"/>
        <v>1000000</v>
      </c>
    </row>
    <row r="2991" spans="1:36" x14ac:dyDescent="0.2">
      <c r="A2991" s="1022" t="s">
        <v>157</v>
      </c>
      <c r="B2991" s="1023" t="s">
        <v>303</v>
      </c>
      <c r="C2991" s="1028" t="s">
        <v>1000</v>
      </c>
      <c r="D2991" s="1029"/>
      <c r="E2991" s="1133">
        <v>238032</v>
      </c>
      <c r="F2991" s="1027">
        <v>1</v>
      </c>
      <c r="G2991" s="859"/>
      <c r="H2991" s="1137"/>
      <c r="I2991" s="861">
        <v>62483</v>
      </c>
      <c r="J2991" s="1138">
        <v>56895</v>
      </c>
      <c r="K2991" s="859"/>
      <c r="L2991" s="863"/>
      <c r="M2991" s="859"/>
      <c r="N2991" s="859"/>
      <c r="O2991" s="752">
        <f t="shared" si="394"/>
        <v>0</v>
      </c>
      <c r="P2991" s="862"/>
      <c r="Q2991" s="860"/>
      <c r="R2991" s="753">
        <f t="shared" si="397"/>
        <v>0</v>
      </c>
      <c r="S2991" s="752">
        <f t="shared" si="398"/>
        <v>62483</v>
      </c>
      <c r="T2991" s="754">
        <f t="shared" si="399"/>
        <v>56895</v>
      </c>
      <c r="U2991" s="859"/>
      <c r="V2991" s="863"/>
      <c r="W2991" s="859"/>
      <c r="X2991" s="859"/>
      <c r="Y2991" s="755">
        <f t="shared" si="395"/>
        <v>0</v>
      </c>
      <c r="Z2991" s="864"/>
      <c r="AA2991" s="863"/>
      <c r="AB2991" s="756">
        <f t="shared" si="396"/>
        <v>0</v>
      </c>
      <c r="AC2991" s="859">
        <v>0</v>
      </c>
      <c r="AD2991" s="1139"/>
      <c r="AE2991" s="859"/>
      <c r="AF2991" s="859"/>
      <c r="AG2991" s="864"/>
      <c r="AH2991" s="865"/>
      <c r="AI2991" s="757">
        <f t="shared" si="400"/>
        <v>62483</v>
      </c>
      <c r="AJ2991" s="758">
        <f t="shared" si="401"/>
        <v>56895</v>
      </c>
    </row>
    <row r="2992" spans="1:36" x14ac:dyDescent="0.2">
      <c r="A2992" s="1022" t="s">
        <v>157</v>
      </c>
      <c r="B2992" s="1023" t="s">
        <v>280</v>
      </c>
      <c r="C2992" s="1028" t="s">
        <v>1001</v>
      </c>
      <c r="D2992" s="1029"/>
      <c r="E2992" s="1140">
        <v>238032</v>
      </c>
      <c r="F2992" s="1027">
        <v>1</v>
      </c>
      <c r="G2992" s="859"/>
      <c r="H2992" s="1137"/>
      <c r="I2992" s="861"/>
      <c r="J2992" s="1138" t="s">
        <v>91</v>
      </c>
      <c r="K2992" s="859"/>
      <c r="L2992" s="863"/>
      <c r="M2992" s="859"/>
      <c r="N2992" s="859"/>
      <c r="O2992" s="752">
        <f t="shared" si="394"/>
        <v>0</v>
      </c>
      <c r="P2992" s="862"/>
      <c r="Q2992" s="860"/>
      <c r="R2992" s="753">
        <f t="shared" si="397"/>
        <v>0</v>
      </c>
      <c r="S2992" s="752">
        <f t="shared" si="398"/>
        <v>0</v>
      </c>
      <c r="T2992" s="754">
        <f t="shared" si="399"/>
        <v>0</v>
      </c>
      <c r="U2992" s="859"/>
      <c r="V2992" s="863"/>
      <c r="W2992" s="859"/>
      <c r="X2992" s="859"/>
      <c r="Y2992" s="755">
        <f t="shared" si="395"/>
        <v>0</v>
      </c>
      <c r="Z2992" s="864"/>
      <c r="AA2992" s="863"/>
      <c r="AB2992" s="756">
        <f t="shared" si="396"/>
        <v>0</v>
      </c>
      <c r="AC2992" s="859">
        <v>943080</v>
      </c>
      <c r="AD2992" s="863">
        <v>943080</v>
      </c>
      <c r="AE2992" s="859"/>
      <c r="AF2992" s="859"/>
      <c r="AG2992" s="864"/>
      <c r="AH2992" s="865"/>
      <c r="AI2992" s="757">
        <f t="shared" si="400"/>
        <v>943080</v>
      </c>
      <c r="AJ2992" s="758">
        <f t="shared" si="401"/>
        <v>943080</v>
      </c>
    </row>
    <row r="2993" spans="1:36" x14ac:dyDescent="0.2">
      <c r="A2993" s="1022" t="s">
        <v>157</v>
      </c>
      <c r="B2993" s="1023" t="s">
        <v>280</v>
      </c>
      <c r="C2993" s="1028" t="s">
        <v>1002</v>
      </c>
      <c r="D2993" s="1029"/>
      <c r="E2993" s="1140">
        <v>238032</v>
      </c>
      <c r="F2993" s="1027">
        <v>1</v>
      </c>
      <c r="G2993" s="859"/>
      <c r="H2993" s="1137"/>
      <c r="I2993" s="861"/>
      <c r="J2993" s="1138" t="s">
        <v>91</v>
      </c>
      <c r="K2993" s="859"/>
      <c r="L2993" s="863"/>
      <c r="M2993" s="859"/>
      <c r="N2993" s="859"/>
      <c r="O2993" s="752">
        <f t="shared" si="394"/>
        <v>0</v>
      </c>
      <c r="P2993" s="862"/>
      <c r="Q2993" s="860"/>
      <c r="R2993" s="753">
        <f t="shared" si="397"/>
        <v>0</v>
      </c>
      <c r="S2993" s="752">
        <f t="shared" si="398"/>
        <v>0</v>
      </c>
      <c r="T2993" s="754">
        <f t="shared" si="399"/>
        <v>0</v>
      </c>
      <c r="U2993" s="859"/>
      <c r="V2993" s="863"/>
      <c r="W2993" s="859"/>
      <c r="X2993" s="859"/>
      <c r="Y2993" s="755">
        <f t="shared" si="395"/>
        <v>0</v>
      </c>
      <c r="Z2993" s="864"/>
      <c r="AA2993" s="863"/>
      <c r="AB2993" s="756">
        <f t="shared" si="396"/>
        <v>0</v>
      </c>
      <c r="AC2993" s="859">
        <v>5000</v>
      </c>
      <c r="AD2993" s="863">
        <v>5000</v>
      </c>
      <c r="AE2993" s="859"/>
      <c r="AF2993" s="859"/>
      <c r="AG2993" s="864"/>
      <c r="AH2993" s="865"/>
      <c r="AI2993" s="757">
        <f t="shared" si="400"/>
        <v>5000</v>
      </c>
      <c r="AJ2993" s="758">
        <f t="shared" si="401"/>
        <v>5000</v>
      </c>
    </row>
    <row r="2994" spans="1:36" x14ac:dyDescent="0.2">
      <c r="A2994" s="1022" t="s">
        <v>157</v>
      </c>
      <c r="B2994" s="1023" t="s">
        <v>268</v>
      </c>
      <c r="C2994" s="1030" t="s">
        <v>257</v>
      </c>
      <c r="D2994" s="1029"/>
      <c r="E2994" s="1140">
        <v>238032</v>
      </c>
      <c r="F2994" s="1027">
        <v>1</v>
      </c>
      <c r="G2994" s="859"/>
      <c r="H2994" s="1137"/>
      <c r="I2994" s="861">
        <v>17735741</v>
      </c>
      <c r="J2994" s="1138">
        <v>17844171</v>
      </c>
      <c r="K2994" s="859"/>
      <c r="L2994" s="863"/>
      <c r="M2994" s="859"/>
      <c r="N2994" s="859"/>
      <c r="O2994" s="752">
        <f t="shared" si="394"/>
        <v>0</v>
      </c>
      <c r="P2994" s="862"/>
      <c r="Q2994" s="860"/>
      <c r="R2994" s="753">
        <f t="shared" si="397"/>
        <v>0</v>
      </c>
      <c r="S2994" s="752">
        <f t="shared" si="398"/>
        <v>17735741</v>
      </c>
      <c r="T2994" s="754">
        <f t="shared" si="399"/>
        <v>17844171</v>
      </c>
      <c r="U2994" s="859"/>
      <c r="V2994" s="863"/>
      <c r="W2994" s="859"/>
      <c r="X2994" s="859"/>
      <c r="Y2994" s="755">
        <f t="shared" si="395"/>
        <v>0</v>
      </c>
      <c r="Z2994" s="864"/>
      <c r="AA2994" s="863"/>
      <c r="AB2994" s="756">
        <f t="shared" si="396"/>
        <v>0</v>
      </c>
      <c r="AC2994" s="859">
        <v>0</v>
      </c>
      <c r="AD2994" s="863"/>
      <c r="AE2994" s="859"/>
      <c r="AF2994" s="859"/>
      <c r="AG2994" s="864"/>
      <c r="AH2994" s="865"/>
      <c r="AI2994" s="757">
        <f t="shared" si="400"/>
        <v>17735741</v>
      </c>
      <c r="AJ2994" s="758">
        <f t="shared" si="401"/>
        <v>17844171</v>
      </c>
    </row>
    <row r="2995" spans="1:36" x14ac:dyDescent="0.2">
      <c r="A2995" s="1022" t="s">
        <v>157</v>
      </c>
      <c r="B2995" s="1023" t="s">
        <v>269</v>
      </c>
      <c r="C2995" s="1030" t="s">
        <v>256</v>
      </c>
      <c r="D2995" s="1029"/>
      <c r="E2995" s="1140">
        <v>238032</v>
      </c>
      <c r="F2995" s="1027">
        <v>1</v>
      </c>
      <c r="G2995" s="859"/>
      <c r="H2995" s="1137"/>
      <c r="I2995" s="861">
        <v>8785626</v>
      </c>
      <c r="J2995" s="1138">
        <v>9073860</v>
      </c>
      <c r="K2995" s="859"/>
      <c r="L2995" s="863"/>
      <c r="M2995" s="859"/>
      <c r="N2995" s="859"/>
      <c r="O2995" s="752">
        <f t="shared" si="394"/>
        <v>0</v>
      </c>
      <c r="P2995" s="862"/>
      <c r="Q2995" s="860"/>
      <c r="R2995" s="753">
        <f t="shared" si="397"/>
        <v>0</v>
      </c>
      <c r="S2995" s="752">
        <f t="shared" si="398"/>
        <v>8785626</v>
      </c>
      <c r="T2995" s="754">
        <f t="shared" si="399"/>
        <v>9073860</v>
      </c>
      <c r="U2995" s="859"/>
      <c r="V2995" s="863"/>
      <c r="W2995" s="859"/>
      <c r="X2995" s="859"/>
      <c r="Y2995" s="755">
        <f t="shared" si="395"/>
        <v>0</v>
      </c>
      <c r="Z2995" s="864"/>
      <c r="AA2995" s="863"/>
      <c r="AB2995" s="756">
        <f t="shared" si="396"/>
        <v>0</v>
      </c>
      <c r="AC2995" s="859">
        <v>0</v>
      </c>
      <c r="AD2995" s="863"/>
      <c r="AE2995" s="859"/>
      <c r="AF2995" s="859"/>
      <c r="AG2995" s="864"/>
      <c r="AH2995" s="865"/>
      <c r="AI2995" s="757">
        <f t="shared" si="400"/>
        <v>8785626</v>
      </c>
      <c r="AJ2995" s="758">
        <f t="shared" si="401"/>
        <v>9073860</v>
      </c>
    </row>
    <row r="2996" spans="1:36" x14ac:dyDescent="0.2">
      <c r="A2996" s="1022" t="s">
        <v>157</v>
      </c>
      <c r="B2996" s="1023" t="s">
        <v>270</v>
      </c>
      <c r="C2996" s="1030" t="s">
        <v>308</v>
      </c>
      <c r="D2996" s="1029"/>
      <c r="E2996" s="1140">
        <v>238032</v>
      </c>
      <c r="F2996" s="1027">
        <v>1</v>
      </c>
      <c r="G2996" s="859"/>
      <c r="H2996" s="1137"/>
      <c r="I2996" s="861">
        <v>3285798</v>
      </c>
      <c r="J2996" s="1138">
        <v>3696549</v>
      </c>
      <c r="K2996" s="859"/>
      <c r="L2996" s="863"/>
      <c r="M2996" s="859"/>
      <c r="N2996" s="859"/>
      <c r="O2996" s="752">
        <f t="shared" si="394"/>
        <v>0</v>
      </c>
      <c r="P2996" s="862"/>
      <c r="Q2996" s="860"/>
      <c r="R2996" s="753">
        <f t="shared" si="397"/>
        <v>0</v>
      </c>
      <c r="S2996" s="752">
        <f t="shared" si="398"/>
        <v>3285798</v>
      </c>
      <c r="T2996" s="754">
        <f t="shared" si="399"/>
        <v>3696549</v>
      </c>
      <c r="U2996" s="859"/>
      <c r="V2996" s="863"/>
      <c r="W2996" s="859"/>
      <c r="X2996" s="859"/>
      <c r="Y2996" s="755">
        <f t="shared" si="395"/>
        <v>0</v>
      </c>
      <c r="Z2996" s="864"/>
      <c r="AA2996" s="863"/>
      <c r="AB2996" s="756">
        <f t="shared" si="396"/>
        <v>0</v>
      </c>
      <c r="AC2996" s="859">
        <v>0</v>
      </c>
      <c r="AD2996" s="863"/>
      <c r="AE2996" s="859"/>
      <c r="AF2996" s="859"/>
      <c r="AG2996" s="864"/>
      <c r="AH2996" s="865"/>
      <c r="AI2996" s="757">
        <f t="shared" si="400"/>
        <v>3285798</v>
      </c>
      <c r="AJ2996" s="758">
        <f t="shared" si="401"/>
        <v>3696549</v>
      </c>
    </row>
    <row r="2997" spans="1:36" x14ac:dyDescent="0.2">
      <c r="A2997" s="1022" t="s">
        <v>157</v>
      </c>
      <c r="B2997" s="1023" t="s">
        <v>271</v>
      </c>
      <c r="C2997" s="1030" t="s">
        <v>309</v>
      </c>
      <c r="D2997" s="1029"/>
      <c r="E2997" s="1140">
        <v>238032</v>
      </c>
      <c r="F2997" s="1027">
        <v>1</v>
      </c>
      <c r="G2997" s="859"/>
      <c r="H2997" s="1137"/>
      <c r="I2997" s="861">
        <v>2748978</v>
      </c>
      <c r="J2997" s="1138">
        <v>2754959</v>
      </c>
      <c r="K2997" s="859"/>
      <c r="L2997" s="863"/>
      <c r="M2997" s="859"/>
      <c r="N2997" s="859"/>
      <c r="O2997" s="752">
        <f t="shared" si="394"/>
        <v>0</v>
      </c>
      <c r="P2997" s="862"/>
      <c r="Q2997" s="860"/>
      <c r="R2997" s="753">
        <f t="shared" si="397"/>
        <v>0</v>
      </c>
      <c r="S2997" s="752">
        <f t="shared" si="398"/>
        <v>2748978</v>
      </c>
      <c r="T2997" s="754">
        <f t="shared" si="399"/>
        <v>2754959</v>
      </c>
      <c r="U2997" s="859"/>
      <c r="V2997" s="863"/>
      <c r="W2997" s="859"/>
      <c r="X2997" s="859"/>
      <c r="Y2997" s="755">
        <f t="shared" si="395"/>
        <v>0</v>
      </c>
      <c r="Z2997" s="864"/>
      <c r="AA2997" s="863"/>
      <c r="AB2997" s="756">
        <f t="shared" si="396"/>
        <v>0</v>
      </c>
      <c r="AC2997" s="859">
        <v>0</v>
      </c>
      <c r="AD2997" s="863"/>
      <c r="AE2997" s="859"/>
      <c r="AF2997" s="859"/>
      <c r="AG2997" s="864"/>
      <c r="AH2997" s="865"/>
      <c r="AI2997" s="757">
        <f t="shared" si="400"/>
        <v>2748978</v>
      </c>
      <c r="AJ2997" s="758">
        <f t="shared" si="401"/>
        <v>2754959</v>
      </c>
    </row>
    <row r="2998" spans="1:36" x14ac:dyDescent="0.2">
      <c r="A2998" s="1022" t="s">
        <v>157</v>
      </c>
      <c r="B2998" s="1023" t="s">
        <v>271</v>
      </c>
      <c r="C2998" s="1028" t="s">
        <v>1003</v>
      </c>
      <c r="D2998" s="1029"/>
      <c r="E2998" s="1140">
        <v>238032</v>
      </c>
      <c r="F2998" s="1027">
        <v>1</v>
      </c>
      <c r="G2998" s="859"/>
      <c r="H2998" s="1137"/>
      <c r="I2998" s="861">
        <v>2134245</v>
      </c>
      <c r="J2998" s="1138">
        <v>2117392</v>
      </c>
      <c r="K2998" s="859"/>
      <c r="L2998" s="863"/>
      <c r="M2998" s="859"/>
      <c r="N2998" s="859"/>
      <c r="O2998" s="752">
        <f t="shared" si="394"/>
        <v>0</v>
      </c>
      <c r="P2998" s="862"/>
      <c r="Q2998" s="860"/>
      <c r="R2998" s="753">
        <f t="shared" si="397"/>
        <v>0</v>
      </c>
      <c r="S2998" s="752">
        <f t="shared" si="398"/>
        <v>2134245</v>
      </c>
      <c r="T2998" s="754">
        <f t="shared" si="399"/>
        <v>2117392</v>
      </c>
      <c r="U2998" s="859"/>
      <c r="V2998" s="863"/>
      <c r="W2998" s="859"/>
      <c r="X2998" s="859"/>
      <c r="Y2998" s="755">
        <f t="shared" si="395"/>
        <v>0</v>
      </c>
      <c r="Z2998" s="864"/>
      <c r="AA2998" s="863"/>
      <c r="AB2998" s="756">
        <f t="shared" si="396"/>
        <v>0</v>
      </c>
      <c r="AC2998" s="859">
        <v>0</v>
      </c>
      <c r="AD2998" s="863"/>
      <c r="AE2998" s="859"/>
      <c r="AF2998" s="859"/>
      <c r="AG2998" s="864"/>
      <c r="AH2998" s="865"/>
      <c r="AI2998" s="757">
        <f t="shared" si="400"/>
        <v>2134245</v>
      </c>
      <c r="AJ2998" s="758">
        <f t="shared" si="401"/>
        <v>2117392</v>
      </c>
    </row>
    <row r="2999" spans="1:36" x14ac:dyDescent="0.2">
      <c r="A2999" s="1022" t="s">
        <v>157</v>
      </c>
      <c r="B2999" s="1023" t="s">
        <v>272</v>
      </c>
      <c r="C2999" s="1030" t="s">
        <v>970</v>
      </c>
      <c r="D2999" s="1029"/>
      <c r="E2999" s="1140">
        <v>238032</v>
      </c>
      <c r="F2999" s="1027">
        <v>1</v>
      </c>
      <c r="G2999" s="859"/>
      <c r="H2999" s="1137"/>
      <c r="I2999" s="861">
        <v>2155508</v>
      </c>
      <c r="J2999" s="1138">
        <v>1420977</v>
      </c>
      <c r="K2999" s="859"/>
      <c r="L2999" s="863"/>
      <c r="M2999" s="859"/>
      <c r="N2999" s="859"/>
      <c r="O2999" s="752">
        <f t="shared" si="394"/>
        <v>0</v>
      </c>
      <c r="P2999" s="862"/>
      <c r="Q2999" s="860"/>
      <c r="R2999" s="753">
        <f t="shared" si="397"/>
        <v>0</v>
      </c>
      <c r="S2999" s="752">
        <f t="shared" si="398"/>
        <v>2155508</v>
      </c>
      <c r="T2999" s="754">
        <f t="shared" si="399"/>
        <v>1420977</v>
      </c>
      <c r="U2999" s="859"/>
      <c r="V2999" s="863"/>
      <c r="W2999" s="859"/>
      <c r="X2999" s="859"/>
      <c r="Y2999" s="755">
        <f t="shared" si="395"/>
        <v>0</v>
      </c>
      <c r="Z2999" s="864"/>
      <c r="AA2999" s="863"/>
      <c r="AB2999" s="756">
        <f t="shared" si="396"/>
        <v>0</v>
      </c>
      <c r="AC2999" s="859">
        <v>0</v>
      </c>
      <c r="AD2999" s="863"/>
      <c r="AE2999" s="859"/>
      <c r="AF2999" s="859"/>
      <c r="AG2999" s="864"/>
      <c r="AH2999" s="865"/>
      <c r="AI2999" s="757">
        <f t="shared" si="400"/>
        <v>2155508</v>
      </c>
      <c r="AJ2999" s="758">
        <f t="shared" si="401"/>
        <v>1420977</v>
      </c>
    </row>
    <row r="3000" spans="1:36" x14ac:dyDescent="0.2">
      <c r="A3000" s="1022" t="s">
        <v>157</v>
      </c>
      <c r="B3000" s="1023" t="s">
        <v>272</v>
      </c>
      <c r="C3000" s="1028" t="s">
        <v>1004</v>
      </c>
      <c r="D3000" s="1029"/>
      <c r="E3000" s="1140">
        <v>238032</v>
      </c>
      <c r="F3000" s="1027">
        <v>1</v>
      </c>
      <c r="G3000" s="859"/>
      <c r="H3000" s="1137"/>
      <c r="I3000" s="861">
        <v>350000</v>
      </c>
      <c r="J3000" s="1138">
        <v>318701</v>
      </c>
      <c r="K3000" s="859"/>
      <c r="L3000" s="863"/>
      <c r="M3000" s="859"/>
      <c r="N3000" s="859"/>
      <c r="O3000" s="752">
        <f t="shared" si="394"/>
        <v>0</v>
      </c>
      <c r="P3000" s="862"/>
      <c r="Q3000" s="860"/>
      <c r="R3000" s="753">
        <f t="shared" si="397"/>
        <v>0</v>
      </c>
      <c r="S3000" s="752">
        <f t="shared" si="398"/>
        <v>350000</v>
      </c>
      <c r="T3000" s="754">
        <f t="shared" si="399"/>
        <v>318701</v>
      </c>
      <c r="U3000" s="859"/>
      <c r="V3000" s="863"/>
      <c r="W3000" s="859"/>
      <c r="X3000" s="859"/>
      <c r="Y3000" s="755">
        <f t="shared" si="395"/>
        <v>0</v>
      </c>
      <c r="Z3000" s="864"/>
      <c r="AA3000" s="863"/>
      <c r="AB3000" s="756">
        <f t="shared" si="396"/>
        <v>0</v>
      </c>
      <c r="AC3000" s="859">
        <v>0</v>
      </c>
      <c r="AD3000" s="1139"/>
      <c r="AE3000" s="859"/>
      <c r="AF3000" s="859"/>
      <c r="AG3000" s="864"/>
      <c r="AH3000" s="865"/>
      <c r="AI3000" s="757">
        <f t="shared" si="400"/>
        <v>350000</v>
      </c>
      <c r="AJ3000" s="758">
        <f t="shared" si="401"/>
        <v>318701</v>
      </c>
    </row>
    <row r="3001" spans="1:36" x14ac:dyDescent="0.2">
      <c r="A3001" s="1022" t="s">
        <v>157</v>
      </c>
      <c r="B3001" s="1023" t="s">
        <v>264</v>
      </c>
      <c r="C3001" s="1024" t="s">
        <v>1005</v>
      </c>
      <c r="D3001" s="1025"/>
      <c r="E3001" s="1140">
        <v>237525</v>
      </c>
      <c r="F3001" s="1027">
        <v>3</v>
      </c>
      <c r="G3001" s="859">
        <v>51457526</v>
      </c>
      <c r="H3001" s="1137">
        <v>45819526</v>
      </c>
      <c r="I3001" s="861"/>
      <c r="J3001" s="1138" t="s">
        <v>91</v>
      </c>
      <c r="K3001" s="859"/>
      <c r="L3001" s="863"/>
      <c r="M3001" s="859">
        <v>84076531</v>
      </c>
      <c r="N3001" s="859">
        <v>2446270</v>
      </c>
      <c r="O3001" s="752">
        <f t="shared" si="394"/>
        <v>86522801</v>
      </c>
      <c r="P3001" s="1517">
        <v>89336470</v>
      </c>
      <c r="Q3001" s="860">
        <v>2454065</v>
      </c>
      <c r="R3001" s="753">
        <f t="shared" si="397"/>
        <v>91790535</v>
      </c>
      <c r="S3001" s="752">
        <f t="shared" si="398"/>
        <v>135534057</v>
      </c>
      <c r="T3001" s="754">
        <f t="shared" si="399"/>
        <v>135155996</v>
      </c>
      <c r="U3001" s="859"/>
      <c r="V3001" s="863"/>
      <c r="W3001" s="859"/>
      <c r="X3001" s="859"/>
      <c r="Y3001" s="755">
        <f t="shared" si="395"/>
        <v>0</v>
      </c>
      <c r="Z3001" s="864"/>
      <c r="AA3001" s="863"/>
      <c r="AB3001" s="756">
        <f t="shared" si="396"/>
        <v>0</v>
      </c>
      <c r="AC3001" s="859"/>
      <c r="AD3001" s="863"/>
      <c r="AE3001" s="859"/>
      <c r="AF3001" s="859"/>
      <c r="AG3001" s="864"/>
      <c r="AH3001" s="865"/>
      <c r="AI3001" s="757">
        <f t="shared" si="400"/>
        <v>135534057</v>
      </c>
      <c r="AJ3001" s="758">
        <f t="shared" si="401"/>
        <v>135155996</v>
      </c>
    </row>
    <row r="3002" spans="1:36" x14ac:dyDescent="0.2">
      <c r="A3002" s="1022" t="s">
        <v>157</v>
      </c>
      <c r="B3002" s="1023" t="s">
        <v>271</v>
      </c>
      <c r="C3002" s="1030" t="s">
        <v>309</v>
      </c>
      <c r="D3002" s="1029"/>
      <c r="E3002" s="1140">
        <v>237525</v>
      </c>
      <c r="F3002" s="1027">
        <v>3</v>
      </c>
      <c r="G3002" s="859"/>
      <c r="H3002" s="860"/>
      <c r="I3002" s="861"/>
      <c r="J3002" s="1138" t="s">
        <v>91</v>
      </c>
      <c r="K3002" s="859"/>
      <c r="L3002" s="863"/>
      <c r="M3002" s="859"/>
      <c r="N3002" s="859"/>
      <c r="O3002" s="752">
        <f t="shared" si="394"/>
        <v>0</v>
      </c>
      <c r="P3002" s="862"/>
      <c r="Q3002" s="860"/>
      <c r="R3002" s="753">
        <f t="shared" si="397"/>
        <v>0</v>
      </c>
      <c r="S3002" s="752">
        <f t="shared" si="398"/>
        <v>0</v>
      </c>
      <c r="T3002" s="754">
        <f t="shared" si="399"/>
        <v>0</v>
      </c>
      <c r="U3002" s="859"/>
      <c r="V3002" s="863"/>
      <c r="W3002" s="859"/>
      <c r="X3002" s="859"/>
      <c r="Y3002" s="755">
        <f t="shared" si="395"/>
        <v>0</v>
      </c>
      <c r="Z3002" s="864"/>
      <c r="AA3002" s="863"/>
      <c r="AB3002" s="756">
        <f t="shared" si="396"/>
        <v>0</v>
      </c>
      <c r="AC3002" s="859"/>
      <c r="AD3002" s="863"/>
      <c r="AE3002" s="859"/>
      <c r="AF3002" s="859"/>
      <c r="AG3002" s="864"/>
      <c r="AH3002" s="865"/>
      <c r="AI3002" s="757">
        <f t="shared" si="400"/>
        <v>0</v>
      </c>
      <c r="AJ3002" s="758">
        <f t="shared" si="401"/>
        <v>0</v>
      </c>
    </row>
    <row r="3003" spans="1:36" x14ac:dyDescent="0.2">
      <c r="A3003" s="1022" t="s">
        <v>157</v>
      </c>
      <c r="B3003" s="1023" t="s">
        <v>272</v>
      </c>
      <c r="C3003" s="1028" t="s">
        <v>1006</v>
      </c>
      <c r="D3003" s="1029"/>
      <c r="E3003" s="1140">
        <v>237525</v>
      </c>
      <c r="F3003" s="1027">
        <v>3</v>
      </c>
      <c r="G3003" s="859"/>
      <c r="H3003" s="860"/>
      <c r="I3003" s="861">
        <v>181280</v>
      </c>
      <c r="J3003" s="1138">
        <v>181280</v>
      </c>
      <c r="K3003" s="859"/>
      <c r="L3003" s="863"/>
      <c r="M3003" s="859"/>
      <c r="N3003" s="859"/>
      <c r="O3003" s="752">
        <f t="shared" si="394"/>
        <v>0</v>
      </c>
      <c r="P3003" s="862"/>
      <c r="Q3003" s="860"/>
      <c r="R3003" s="753">
        <f t="shared" si="397"/>
        <v>0</v>
      </c>
      <c r="S3003" s="752">
        <f t="shared" si="398"/>
        <v>181280</v>
      </c>
      <c r="T3003" s="754">
        <f t="shared" si="399"/>
        <v>181280</v>
      </c>
      <c r="U3003" s="859"/>
      <c r="V3003" s="863"/>
      <c r="W3003" s="859"/>
      <c r="X3003" s="859"/>
      <c r="Y3003" s="755">
        <f t="shared" si="395"/>
        <v>0</v>
      </c>
      <c r="Z3003" s="864"/>
      <c r="AA3003" s="863"/>
      <c r="AB3003" s="756">
        <f t="shared" si="396"/>
        <v>0</v>
      </c>
      <c r="AC3003" s="859"/>
      <c r="AD3003" s="863"/>
      <c r="AE3003" s="859"/>
      <c r="AF3003" s="859"/>
      <c r="AG3003" s="864"/>
      <c r="AH3003" s="865"/>
      <c r="AI3003" s="757">
        <f t="shared" si="400"/>
        <v>181280</v>
      </c>
      <c r="AJ3003" s="758">
        <f t="shared" si="401"/>
        <v>181280</v>
      </c>
    </row>
    <row r="3004" spans="1:36" x14ac:dyDescent="0.2">
      <c r="A3004" s="1022" t="s">
        <v>157</v>
      </c>
      <c r="B3004" s="1023" t="s">
        <v>271</v>
      </c>
      <c r="C3004" s="1028" t="s">
        <v>1007</v>
      </c>
      <c r="D3004" s="1029"/>
      <c r="E3004" s="1140">
        <v>237525</v>
      </c>
      <c r="F3004" s="1027">
        <v>3</v>
      </c>
      <c r="G3004" s="859"/>
      <c r="H3004" s="860"/>
      <c r="I3004" s="861">
        <v>2111572</v>
      </c>
      <c r="J3004" s="1138">
        <v>1901774</v>
      </c>
      <c r="K3004" s="859"/>
      <c r="L3004" s="863"/>
      <c r="M3004" s="859"/>
      <c r="N3004" s="859"/>
      <c r="O3004" s="752">
        <f t="shared" si="394"/>
        <v>0</v>
      </c>
      <c r="P3004" s="862"/>
      <c r="Q3004" s="860"/>
      <c r="R3004" s="753">
        <f t="shared" si="397"/>
        <v>0</v>
      </c>
      <c r="S3004" s="752">
        <f t="shared" si="398"/>
        <v>2111572</v>
      </c>
      <c r="T3004" s="754">
        <f t="shared" si="399"/>
        <v>1901774</v>
      </c>
      <c r="U3004" s="859"/>
      <c r="V3004" s="863"/>
      <c r="W3004" s="859"/>
      <c r="X3004" s="859"/>
      <c r="Y3004" s="755">
        <f t="shared" si="395"/>
        <v>0</v>
      </c>
      <c r="Z3004" s="864"/>
      <c r="AA3004" s="863"/>
      <c r="AB3004" s="756">
        <f t="shared" si="396"/>
        <v>0</v>
      </c>
      <c r="AC3004" s="859"/>
      <c r="AD3004" s="863"/>
      <c r="AE3004" s="859"/>
      <c r="AF3004" s="859"/>
      <c r="AG3004" s="864"/>
      <c r="AH3004" s="865"/>
      <c r="AI3004" s="757">
        <f t="shared" si="400"/>
        <v>2111572</v>
      </c>
      <c r="AJ3004" s="758">
        <f t="shared" si="401"/>
        <v>1901774</v>
      </c>
    </row>
    <row r="3005" spans="1:36" x14ac:dyDescent="0.2">
      <c r="A3005" s="1022" t="s">
        <v>157</v>
      </c>
      <c r="B3005" s="1023" t="s">
        <v>272</v>
      </c>
      <c r="C3005" s="1030" t="s">
        <v>970</v>
      </c>
      <c r="D3005" s="1029"/>
      <c r="E3005" s="1140">
        <v>237525</v>
      </c>
      <c r="F3005" s="1027">
        <v>3</v>
      </c>
      <c r="G3005" s="859"/>
      <c r="H3005" s="860"/>
      <c r="I3005" s="861">
        <v>703099</v>
      </c>
      <c r="J3005" s="1138">
        <v>662987</v>
      </c>
      <c r="K3005" s="859"/>
      <c r="L3005" s="863"/>
      <c r="M3005" s="859"/>
      <c r="N3005" s="859"/>
      <c r="O3005" s="752">
        <f t="shared" si="394"/>
        <v>0</v>
      </c>
      <c r="P3005" s="862"/>
      <c r="Q3005" s="860"/>
      <c r="R3005" s="753">
        <f t="shared" si="397"/>
        <v>0</v>
      </c>
      <c r="S3005" s="752">
        <f t="shared" si="398"/>
        <v>703099</v>
      </c>
      <c r="T3005" s="754">
        <f t="shared" si="399"/>
        <v>662987</v>
      </c>
      <c r="U3005" s="859"/>
      <c r="V3005" s="863"/>
      <c r="W3005" s="859"/>
      <c r="X3005" s="859"/>
      <c r="Y3005" s="755">
        <f t="shared" si="395"/>
        <v>0</v>
      </c>
      <c r="Z3005" s="864"/>
      <c r="AA3005" s="863"/>
      <c r="AB3005" s="756">
        <f t="shared" si="396"/>
        <v>0</v>
      </c>
      <c r="AC3005" s="859"/>
      <c r="AD3005" s="863"/>
      <c r="AE3005" s="859"/>
      <c r="AF3005" s="859"/>
      <c r="AG3005" s="864"/>
      <c r="AH3005" s="865"/>
      <c r="AI3005" s="757">
        <f t="shared" si="400"/>
        <v>703099</v>
      </c>
      <c r="AJ3005" s="758">
        <f t="shared" si="401"/>
        <v>662987</v>
      </c>
    </row>
    <row r="3006" spans="1:36" x14ac:dyDescent="0.2">
      <c r="A3006" s="1022" t="s">
        <v>157</v>
      </c>
      <c r="B3006" s="1023" t="s">
        <v>280</v>
      </c>
      <c r="C3006" s="1030" t="s">
        <v>678</v>
      </c>
      <c r="D3006" s="1029"/>
      <c r="E3006" s="1140">
        <v>237525</v>
      </c>
      <c r="F3006" s="1027">
        <v>3</v>
      </c>
      <c r="G3006" s="859"/>
      <c r="H3006" s="860"/>
      <c r="I3006" s="861"/>
      <c r="J3006" s="862"/>
      <c r="K3006" s="859"/>
      <c r="L3006" s="863"/>
      <c r="M3006" s="859"/>
      <c r="N3006" s="859"/>
      <c r="O3006" s="752">
        <f t="shared" si="394"/>
        <v>0</v>
      </c>
      <c r="P3006" s="862"/>
      <c r="Q3006" s="860"/>
      <c r="R3006" s="753">
        <f t="shared" si="397"/>
        <v>0</v>
      </c>
      <c r="S3006" s="752">
        <f t="shared" si="398"/>
        <v>0</v>
      </c>
      <c r="T3006" s="754">
        <f t="shared" si="399"/>
        <v>0</v>
      </c>
      <c r="U3006" s="859"/>
      <c r="V3006" s="863"/>
      <c r="W3006" s="859"/>
      <c r="X3006" s="859"/>
      <c r="Y3006" s="755">
        <f t="shared" si="395"/>
        <v>0</v>
      </c>
      <c r="Z3006" s="864"/>
      <c r="AA3006" s="863"/>
      <c r="AB3006" s="756">
        <f t="shared" si="396"/>
        <v>0</v>
      </c>
      <c r="AC3006" s="859">
        <v>19286846</v>
      </c>
      <c r="AD3006" s="863">
        <v>19428921</v>
      </c>
      <c r="AE3006" s="859">
        <v>8855321</v>
      </c>
      <c r="AF3006" s="859"/>
      <c r="AG3006" s="1518">
        <v>8801006</v>
      </c>
      <c r="AH3006" s="865"/>
      <c r="AI3006" s="757">
        <f t="shared" si="400"/>
        <v>28142167</v>
      </c>
      <c r="AJ3006" s="758">
        <f t="shared" si="401"/>
        <v>28229927</v>
      </c>
    </row>
    <row r="3007" spans="1:36" x14ac:dyDescent="0.2">
      <c r="A3007" s="1022" t="s">
        <v>157</v>
      </c>
      <c r="B3007" s="1023" t="s">
        <v>280</v>
      </c>
      <c r="C3007" s="1028" t="s">
        <v>1008</v>
      </c>
      <c r="D3007" s="1029"/>
      <c r="E3007" s="1140">
        <v>237525</v>
      </c>
      <c r="F3007" s="1027">
        <v>3</v>
      </c>
      <c r="G3007" s="859"/>
      <c r="H3007" s="860"/>
      <c r="I3007" s="861"/>
      <c r="J3007" s="862"/>
      <c r="K3007" s="859"/>
      <c r="L3007" s="863"/>
      <c r="M3007" s="859"/>
      <c r="N3007" s="859"/>
      <c r="O3007" s="752">
        <f t="shared" si="394"/>
        <v>0</v>
      </c>
      <c r="P3007" s="862"/>
      <c r="Q3007" s="860"/>
      <c r="R3007" s="753">
        <f t="shared" si="397"/>
        <v>0</v>
      </c>
      <c r="S3007" s="752">
        <f t="shared" si="398"/>
        <v>0</v>
      </c>
      <c r="T3007" s="754">
        <f t="shared" si="399"/>
        <v>0</v>
      </c>
      <c r="U3007" s="859"/>
      <c r="V3007" s="863"/>
      <c r="W3007" s="859"/>
      <c r="X3007" s="859"/>
      <c r="Y3007" s="755">
        <f t="shared" si="395"/>
        <v>0</v>
      </c>
      <c r="Z3007" s="864"/>
      <c r="AA3007" s="863"/>
      <c r="AB3007" s="756">
        <f t="shared" si="396"/>
        <v>0</v>
      </c>
      <c r="AC3007" s="859">
        <v>295477</v>
      </c>
      <c r="AD3007" s="863">
        <v>295477</v>
      </c>
      <c r="AE3007" s="859"/>
      <c r="AF3007" s="859"/>
      <c r="AG3007" s="864"/>
      <c r="AH3007" s="865"/>
      <c r="AI3007" s="757">
        <f t="shared" si="400"/>
        <v>295477</v>
      </c>
      <c r="AJ3007" s="758">
        <f t="shared" si="401"/>
        <v>295477</v>
      </c>
    </row>
    <row r="3008" spans="1:36" x14ac:dyDescent="0.2">
      <c r="A3008" s="1022" t="s">
        <v>157</v>
      </c>
      <c r="B3008" s="1023" t="s">
        <v>280</v>
      </c>
      <c r="C3008" s="1028" t="s">
        <v>1009</v>
      </c>
      <c r="D3008" s="1029"/>
      <c r="E3008" s="1140">
        <v>237525</v>
      </c>
      <c r="F3008" s="1027">
        <v>3</v>
      </c>
      <c r="G3008" s="859"/>
      <c r="H3008" s="860"/>
      <c r="I3008" s="861"/>
      <c r="J3008" s="862"/>
      <c r="K3008" s="859"/>
      <c r="L3008" s="863"/>
      <c r="M3008" s="859"/>
      <c r="N3008" s="859"/>
      <c r="O3008" s="752">
        <f t="shared" si="394"/>
        <v>0</v>
      </c>
      <c r="P3008" s="862"/>
      <c r="Q3008" s="860"/>
      <c r="R3008" s="753">
        <f t="shared" si="397"/>
        <v>0</v>
      </c>
      <c r="S3008" s="752">
        <f t="shared" si="398"/>
        <v>0</v>
      </c>
      <c r="T3008" s="754">
        <f t="shared" si="399"/>
        <v>0</v>
      </c>
      <c r="U3008" s="859"/>
      <c r="V3008" s="863"/>
      <c r="W3008" s="859"/>
      <c r="X3008" s="859"/>
      <c r="Y3008" s="755">
        <f t="shared" si="395"/>
        <v>0</v>
      </c>
      <c r="Z3008" s="864"/>
      <c r="AA3008" s="863"/>
      <c r="AB3008" s="756">
        <f t="shared" si="396"/>
        <v>0</v>
      </c>
      <c r="AC3008" s="859">
        <v>5000</v>
      </c>
      <c r="AD3008" s="863">
        <v>5000</v>
      </c>
      <c r="AE3008" s="859"/>
      <c r="AF3008" s="859"/>
      <c r="AG3008" s="864"/>
      <c r="AH3008" s="865"/>
      <c r="AI3008" s="757">
        <f t="shared" si="400"/>
        <v>5000</v>
      </c>
      <c r="AJ3008" s="758">
        <f t="shared" si="401"/>
        <v>5000</v>
      </c>
    </row>
    <row r="3009" spans="1:36" x14ac:dyDescent="0.2">
      <c r="A3009" s="1022" t="s">
        <v>157</v>
      </c>
      <c r="B3009" s="1023" t="s">
        <v>280</v>
      </c>
      <c r="C3009" s="1028" t="s">
        <v>1010</v>
      </c>
      <c r="D3009" s="1029"/>
      <c r="E3009" s="1140">
        <v>237525</v>
      </c>
      <c r="F3009" s="1027">
        <v>3</v>
      </c>
      <c r="G3009" s="859"/>
      <c r="H3009" s="860"/>
      <c r="I3009" s="861"/>
      <c r="J3009" s="862"/>
      <c r="K3009" s="859"/>
      <c r="L3009" s="863"/>
      <c r="M3009" s="859"/>
      <c r="N3009" s="859"/>
      <c r="O3009" s="752">
        <f t="shared" si="394"/>
        <v>0</v>
      </c>
      <c r="P3009" s="862"/>
      <c r="Q3009" s="860"/>
      <c r="R3009" s="753">
        <f t="shared" si="397"/>
        <v>0</v>
      </c>
      <c r="S3009" s="752">
        <f t="shared" si="398"/>
        <v>0</v>
      </c>
      <c r="T3009" s="754">
        <f t="shared" si="399"/>
        <v>0</v>
      </c>
      <c r="U3009" s="859"/>
      <c r="V3009" s="863"/>
      <c r="W3009" s="859"/>
      <c r="X3009" s="859"/>
      <c r="Y3009" s="755">
        <f t="shared" si="395"/>
        <v>0</v>
      </c>
      <c r="Z3009" s="864"/>
      <c r="AA3009" s="863"/>
      <c r="AB3009" s="756">
        <f t="shared" si="396"/>
        <v>0</v>
      </c>
      <c r="AC3009" s="859">
        <v>275061</v>
      </c>
      <c r="AD3009" s="863">
        <v>275061</v>
      </c>
      <c r="AE3009" s="859"/>
      <c r="AF3009" s="859"/>
      <c r="AG3009" s="864"/>
      <c r="AH3009" s="865"/>
      <c r="AI3009" s="757">
        <f t="shared" si="400"/>
        <v>275061</v>
      </c>
      <c r="AJ3009" s="758">
        <f t="shared" si="401"/>
        <v>275061</v>
      </c>
    </row>
    <row r="3010" spans="1:36" x14ac:dyDescent="0.2">
      <c r="A3010" s="1022" t="s">
        <v>157</v>
      </c>
      <c r="B3010" s="1023" t="s">
        <v>271</v>
      </c>
      <c r="C3010" s="1028" t="s">
        <v>1011</v>
      </c>
      <c r="D3010" s="1029"/>
      <c r="E3010" s="1140">
        <v>237525</v>
      </c>
      <c r="F3010" s="1027">
        <v>3</v>
      </c>
      <c r="G3010" s="859"/>
      <c r="H3010" s="860"/>
      <c r="I3010" s="861"/>
      <c r="J3010" s="862"/>
      <c r="K3010" s="859"/>
      <c r="L3010" s="863"/>
      <c r="M3010" s="859"/>
      <c r="N3010" s="859"/>
      <c r="O3010" s="752">
        <f t="shared" si="394"/>
        <v>0</v>
      </c>
      <c r="P3010" s="862"/>
      <c r="Q3010" s="860"/>
      <c r="R3010" s="753">
        <f t="shared" si="397"/>
        <v>0</v>
      </c>
      <c r="S3010" s="752">
        <f t="shared" si="398"/>
        <v>0</v>
      </c>
      <c r="T3010" s="754">
        <f t="shared" si="399"/>
        <v>0</v>
      </c>
      <c r="U3010" s="859"/>
      <c r="V3010" s="863"/>
      <c r="W3010" s="859"/>
      <c r="X3010" s="859"/>
      <c r="Y3010" s="755">
        <f t="shared" si="395"/>
        <v>0</v>
      </c>
      <c r="Z3010" s="864"/>
      <c r="AA3010" s="863"/>
      <c r="AB3010" s="756">
        <f t="shared" si="396"/>
        <v>0</v>
      </c>
      <c r="AC3010" s="859">
        <v>417351</v>
      </c>
      <c r="AD3010" s="863">
        <v>417351</v>
      </c>
      <c r="AE3010" s="859"/>
      <c r="AF3010" s="859"/>
      <c r="AG3010" s="864"/>
      <c r="AH3010" s="865"/>
      <c r="AI3010" s="757">
        <f t="shared" si="400"/>
        <v>417351</v>
      </c>
      <c r="AJ3010" s="758">
        <f t="shared" si="401"/>
        <v>417351</v>
      </c>
    </row>
    <row r="3011" spans="1:36" x14ac:dyDescent="0.2">
      <c r="A3011" s="1022" t="s">
        <v>157</v>
      </c>
      <c r="B3011" s="1023" t="s">
        <v>272</v>
      </c>
      <c r="C3011" s="1028" t="s">
        <v>996</v>
      </c>
      <c r="D3011" s="1029"/>
      <c r="E3011" s="1140">
        <v>237525</v>
      </c>
      <c r="F3011" s="1027">
        <v>3</v>
      </c>
      <c r="G3011" s="859"/>
      <c r="H3011" s="860"/>
      <c r="I3011" s="861"/>
      <c r="J3011" s="862"/>
      <c r="K3011" s="859"/>
      <c r="L3011" s="863"/>
      <c r="M3011" s="859"/>
      <c r="N3011" s="859"/>
      <c r="O3011" s="752">
        <f t="shared" si="394"/>
        <v>0</v>
      </c>
      <c r="P3011" s="862"/>
      <c r="Q3011" s="860"/>
      <c r="R3011" s="753">
        <f t="shared" si="397"/>
        <v>0</v>
      </c>
      <c r="S3011" s="752">
        <f t="shared" si="398"/>
        <v>0</v>
      </c>
      <c r="T3011" s="754">
        <f t="shared" si="399"/>
        <v>0</v>
      </c>
      <c r="U3011" s="859"/>
      <c r="V3011" s="863"/>
      <c r="W3011" s="859"/>
      <c r="X3011" s="859"/>
      <c r="Y3011" s="755">
        <f t="shared" si="395"/>
        <v>0</v>
      </c>
      <c r="Z3011" s="864"/>
      <c r="AA3011" s="863"/>
      <c r="AB3011" s="756">
        <f t="shared" si="396"/>
        <v>0</v>
      </c>
      <c r="AC3011" s="859">
        <v>1015462</v>
      </c>
      <c r="AD3011" s="863">
        <v>924653</v>
      </c>
      <c r="AE3011" s="859"/>
      <c r="AF3011" s="859"/>
      <c r="AG3011" s="864"/>
      <c r="AH3011" s="865"/>
      <c r="AI3011" s="757">
        <f t="shared" si="400"/>
        <v>1015462</v>
      </c>
      <c r="AJ3011" s="758">
        <f t="shared" si="401"/>
        <v>924653</v>
      </c>
    </row>
    <row r="3012" spans="1:36" x14ac:dyDescent="0.2">
      <c r="A3012" s="1022" t="s">
        <v>157</v>
      </c>
      <c r="B3012" s="1023" t="s">
        <v>264</v>
      </c>
      <c r="C3012" s="1031" t="s">
        <v>1012</v>
      </c>
      <c r="D3012" s="1034"/>
      <c r="E3012" s="1140">
        <v>237367</v>
      </c>
      <c r="F3012" s="1141">
        <v>5</v>
      </c>
      <c r="G3012" s="859">
        <v>17880671</v>
      </c>
      <c r="H3012" s="860">
        <v>16104114</v>
      </c>
      <c r="I3012" s="861"/>
      <c r="J3012" s="862"/>
      <c r="K3012" s="859"/>
      <c r="L3012" s="863"/>
      <c r="M3012" s="859">
        <v>20637027</v>
      </c>
      <c r="N3012" s="859">
        <v>1528367</v>
      </c>
      <c r="O3012" s="752">
        <f t="shared" si="394"/>
        <v>22165394</v>
      </c>
      <c r="P3012" s="1517">
        <v>20980269</v>
      </c>
      <c r="Q3012" s="860">
        <v>1522545</v>
      </c>
      <c r="R3012" s="753">
        <f t="shared" si="397"/>
        <v>22502814</v>
      </c>
      <c r="S3012" s="752">
        <f t="shared" si="398"/>
        <v>38517698</v>
      </c>
      <c r="T3012" s="754">
        <f t="shared" si="399"/>
        <v>37084383</v>
      </c>
      <c r="U3012" s="859"/>
      <c r="V3012" s="863"/>
      <c r="W3012" s="859"/>
      <c r="X3012" s="859"/>
      <c r="Y3012" s="755">
        <f t="shared" si="395"/>
        <v>0</v>
      </c>
      <c r="Z3012" s="864"/>
      <c r="AA3012" s="863"/>
      <c r="AB3012" s="756">
        <f t="shared" si="396"/>
        <v>0</v>
      </c>
      <c r="AC3012" s="859"/>
      <c r="AD3012" s="863"/>
      <c r="AE3012" s="859"/>
      <c r="AF3012" s="859"/>
      <c r="AG3012" s="864"/>
      <c r="AH3012" s="865"/>
      <c r="AI3012" s="757">
        <f t="shared" si="400"/>
        <v>38517698</v>
      </c>
      <c r="AJ3012" s="758">
        <f t="shared" si="401"/>
        <v>37084383</v>
      </c>
    </row>
    <row r="3013" spans="1:36" x14ac:dyDescent="0.2">
      <c r="A3013" s="1022" t="s">
        <v>157</v>
      </c>
      <c r="B3013" s="1023" t="s">
        <v>264</v>
      </c>
      <c r="C3013" s="1031" t="s">
        <v>1013</v>
      </c>
      <c r="D3013" s="1034"/>
      <c r="E3013" s="1140">
        <v>237792</v>
      </c>
      <c r="F3013" s="1141">
        <v>5</v>
      </c>
      <c r="G3013" s="859">
        <v>11128474</v>
      </c>
      <c r="H3013" s="1134">
        <v>10012854</v>
      </c>
      <c r="I3013" s="861"/>
      <c r="J3013" s="862"/>
      <c r="K3013" s="859"/>
      <c r="L3013" s="863"/>
      <c r="M3013" s="859">
        <v>28099686</v>
      </c>
      <c r="N3013" s="859">
        <v>636945</v>
      </c>
      <c r="O3013" s="752">
        <f t="shared" si="394"/>
        <v>28736631</v>
      </c>
      <c r="P3013" s="1517">
        <v>28920229</v>
      </c>
      <c r="Q3013" s="860">
        <v>635813</v>
      </c>
      <c r="R3013" s="753">
        <f t="shared" si="397"/>
        <v>29556042</v>
      </c>
      <c r="S3013" s="752">
        <f t="shared" si="398"/>
        <v>39228160</v>
      </c>
      <c r="T3013" s="754">
        <f t="shared" si="399"/>
        <v>38933083</v>
      </c>
      <c r="U3013" s="859"/>
      <c r="V3013" s="863"/>
      <c r="W3013" s="859"/>
      <c r="X3013" s="859"/>
      <c r="Y3013" s="755">
        <f t="shared" si="395"/>
        <v>0</v>
      </c>
      <c r="Z3013" s="864"/>
      <c r="AA3013" s="863"/>
      <c r="AB3013" s="756">
        <f t="shared" si="396"/>
        <v>0</v>
      </c>
      <c r="AC3013" s="859"/>
      <c r="AD3013" s="863"/>
      <c r="AE3013" s="859"/>
      <c r="AF3013" s="859"/>
      <c r="AG3013" s="864"/>
      <c r="AH3013" s="865"/>
      <c r="AI3013" s="757">
        <f t="shared" si="400"/>
        <v>39228160</v>
      </c>
      <c r="AJ3013" s="758">
        <f t="shared" si="401"/>
        <v>38933083</v>
      </c>
    </row>
    <row r="3014" spans="1:36" x14ac:dyDescent="0.2">
      <c r="A3014" s="1022" t="s">
        <v>157</v>
      </c>
      <c r="B3014" s="1023" t="s">
        <v>272</v>
      </c>
      <c r="C3014" s="1030" t="s">
        <v>970</v>
      </c>
      <c r="D3014" s="1029"/>
      <c r="E3014" s="1140">
        <v>237792</v>
      </c>
      <c r="F3014" s="1141">
        <v>5</v>
      </c>
      <c r="G3014" s="859">
        <v>0</v>
      </c>
      <c r="H3014" s="1134"/>
      <c r="I3014" s="861">
        <v>100000</v>
      </c>
      <c r="J3014" s="862">
        <v>100000</v>
      </c>
      <c r="K3014" s="859"/>
      <c r="L3014" s="863"/>
      <c r="M3014" s="859"/>
      <c r="N3014" s="859"/>
      <c r="O3014" s="752">
        <f t="shared" si="394"/>
        <v>0</v>
      </c>
      <c r="P3014" s="862"/>
      <c r="Q3014" s="860"/>
      <c r="R3014" s="753">
        <f t="shared" si="397"/>
        <v>0</v>
      </c>
      <c r="S3014" s="752">
        <f t="shared" si="398"/>
        <v>100000</v>
      </c>
      <c r="T3014" s="754">
        <f t="shared" si="399"/>
        <v>100000</v>
      </c>
      <c r="U3014" s="859"/>
      <c r="V3014" s="863"/>
      <c r="W3014" s="859"/>
      <c r="X3014" s="859"/>
      <c r="Y3014" s="755">
        <f t="shared" si="395"/>
        <v>0</v>
      </c>
      <c r="Z3014" s="864"/>
      <c r="AA3014" s="863"/>
      <c r="AB3014" s="756">
        <f t="shared" si="396"/>
        <v>0</v>
      </c>
      <c r="AC3014" s="859"/>
      <c r="AD3014" s="863"/>
      <c r="AE3014" s="859"/>
      <c r="AF3014" s="859"/>
      <c r="AG3014" s="864"/>
      <c r="AH3014" s="865"/>
      <c r="AI3014" s="757">
        <f t="shared" si="400"/>
        <v>100000</v>
      </c>
      <c r="AJ3014" s="758">
        <f t="shared" si="401"/>
        <v>100000</v>
      </c>
    </row>
    <row r="3015" spans="1:36" x14ac:dyDescent="0.2">
      <c r="A3015" s="1022" t="s">
        <v>157</v>
      </c>
      <c r="B3015" s="1023" t="s">
        <v>264</v>
      </c>
      <c r="C3015" s="1023" t="s">
        <v>1014</v>
      </c>
      <c r="D3015" s="1043"/>
      <c r="E3015" s="1140">
        <v>237215</v>
      </c>
      <c r="F3015" s="1027">
        <v>6</v>
      </c>
      <c r="G3015" s="859">
        <v>6593442</v>
      </c>
      <c r="H3015" s="860">
        <v>5938342</v>
      </c>
      <c r="I3015" s="861"/>
      <c r="J3015" s="862"/>
      <c r="K3015" s="859"/>
      <c r="L3015" s="863"/>
      <c r="M3015" s="859">
        <v>10386668</v>
      </c>
      <c r="N3015" s="859" t="s">
        <v>91</v>
      </c>
      <c r="O3015" s="752">
        <f t="shared" si="394"/>
        <v>10386668</v>
      </c>
      <c r="P3015" s="1517">
        <v>10369182</v>
      </c>
      <c r="Q3015" s="860"/>
      <c r="R3015" s="753">
        <f t="shared" si="397"/>
        <v>10369182</v>
      </c>
      <c r="S3015" s="752">
        <f t="shared" si="398"/>
        <v>16980110</v>
      </c>
      <c r="T3015" s="754">
        <f t="shared" si="399"/>
        <v>16307524</v>
      </c>
      <c r="U3015" s="859"/>
      <c r="V3015" s="863"/>
      <c r="W3015" s="859"/>
      <c r="X3015" s="859"/>
      <c r="Y3015" s="755">
        <f t="shared" si="395"/>
        <v>0</v>
      </c>
      <c r="Z3015" s="864"/>
      <c r="AA3015" s="863"/>
      <c r="AB3015" s="756">
        <f t="shared" si="396"/>
        <v>0</v>
      </c>
      <c r="AC3015" s="859"/>
      <c r="AD3015" s="863"/>
      <c r="AE3015" s="859"/>
      <c r="AF3015" s="859"/>
      <c r="AG3015" s="864"/>
      <c r="AH3015" s="865"/>
      <c r="AI3015" s="757">
        <f t="shared" si="400"/>
        <v>16980110</v>
      </c>
      <c r="AJ3015" s="758">
        <f t="shared" si="401"/>
        <v>16307524</v>
      </c>
    </row>
    <row r="3016" spans="1:36" x14ac:dyDescent="0.2">
      <c r="A3016" s="1022" t="s">
        <v>157</v>
      </c>
      <c r="B3016" s="1023" t="s">
        <v>264</v>
      </c>
      <c r="C3016" s="1024" t="s">
        <v>1015</v>
      </c>
      <c r="D3016" s="1025"/>
      <c r="E3016" s="1140">
        <v>237330</v>
      </c>
      <c r="F3016" s="1027">
        <v>6</v>
      </c>
      <c r="G3016" s="859">
        <v>10106804</v>
      </c>
      <c r="H3016" s="860">
        <v>9092694</v>
      </c>
      <c r="I3016" s="861"/>
      <c r="J3016" s="862"/>
      <c r="K3016" s="859"/>
      <c r="L3016" s="863"/>
      <c r="M3016" s="859">
        <v>16510509</v>
      </c>
      <c r="N3016" s="859" t="s">
        <v>91</v>
      </c>
      <c r="O3016" s="752">
        <f t="shared" si="394"/>
        <v>16510509</v>
      </c>
      <c r="P3016" s="1517">
        <v>16716550</v>
      </c>
      <c r="Q3016" s="860"/>
      <c r="R3016" s="753">
        <f t="shared" si="397"/>
        <v>16716550</v>
      </c>
      <c r="S3016" s="752">
        <f t="shared" si="398"/>
        <v>26617313</v>
      </c>
      <c r="T3016" s="754">
        <f t="shared" si="399"/>
        <v>25809244</v>
      </c>
      <c r="U3016" s="859"/>
      <c r="V3016" s="863"/>
      <c r="W3016" s="859"/>
      <c r="X3016" s="859"/>
      <c r="Y3016" s="755">
        <f t="shared" si="395"/>
        <v>0</v>
      </c>
      <c r="Z3016" s="864"/>
      <c r="AA3016" s="863"/>
      <c r="AB3016" s="756">
        <f t="shared" si="396"/>
        <v>0</v>
      </c>
      <c r="AC3016" s="859"/>
      <c r="AD3016" s="863"/>
      <c r="AE3016" s="859"/>
      <c r="AF3016" s="859"/>
      <c r="AG3016" s="864"/>
      <c r="AH3016" s="865"/>
      <c r="AI3016" s="757">
        <f t="shared" si="400"/>
        <v>26617313</v>
      </c>
      <c r="AJ3016" s="758">
        <f t="shared" si="401"/>
        <v>25809244</v>
      </c>
    </row>
    <row r="3017" spans="1:36" x14ac:dyDescent="0.2">
      <c r="A3017" s="1022" t="s">
        <v>157</v>
      </c>
      <c r="B3017" s="1023" t="s">
        <v>272</v>
      </c>
      <c r="C3017" s="1030" t="s">
        <v>970</v>
      </c>
      <c r="D3017" s="1029"/>
      <c r="E3017" s="1140">
        <v>237330</v>
      </c>
      <c r="F3017" s="1027">
        <v>6</v>
      </c>
      <c r="G3017" s="859"/>
      <c r="H3017" s="860"/>
      <c r="I3017" s="861">
        <v>100000</v>
      </c>
      <c r="J3017" s="862">
        <v>100000</v>
      </c>
      <c r="K3017" s="859"/>
      <c r="L3017" s="863"/>
      <c r="M3017" s="859"/>
      <c r="N3017" s="859"/>
      <c r="O3017" s="752">
        <f t="shared" si="394"/>
        <v>0</v>
      </c>
      <c r="P3017" s="862"/>
      <c r="Q3017" s="860"/>
      <c r="R3017" s="753">
        <f t="shared" si="397"/>
        <v>0</v>
      </c>
      <c r="S3017" s="752">
        <f t="shared" si="398"/>
        <v>100000</v>
      </c>
      <c r="T3017" s="754">
        <f t="shared" si="399"/>
        <v>100000</v>
      </c>
      <c r="U3017" s="859"/>
      <c r="V3017" s="863"/>
      <c r="W3017" s="859"/>
      <c r="X3017" s="859"/>
      <c r="Y3017" s="755">
        <f t="shared" si="395"/>
        <v>0</v>
      </c>
      <c r="Z3017" s="864"/>
      <c r="AA3017" s="863"/>
      <c r="AB3017" s="756">
        <f t="shared" si="396"/>
        <v>0</v>
      </c>
      <c r="AC3017" s="859"/>
      <c r="AD3017" s="863"/>
      <c r="AE3017" s="859"/>
      <c r="AF3017" s="859"/>
      <c r="AG3017" s="864"/>
      <c r="AH3017" s="865"/>
      <c r="AI3017" s="757">
        <f t="shared" si="400"/>
        <v>100000</v>
      </c>
      <c r="AJ3017" s="758">
        <f t="shared" si="401"/>
        <v>100000</v>
      </c>
    </row>
    <row r="3018" spans="1:36" x14ac:dyDescent="0.2">
      <c r="A3018" s="1022" t="s">
        <v>157</v>
      </c>
      <c r="B3018" s="1023" t="s">
        <v>264</v>
      </c>
      <c r="C3018" s="1024" t="s">
        <v>1016</v>
      </c>
      <c r="D3018" s="1025"/>
      <c r="E3018" s="1140">
        <v>237385</v>
      </c>
      <c r="F3018" s="1027">
        <v>6</v>
      </c>
      <c r="G3018" s="859">
        <v>6606804</v>
      </c>
      <c r="H3018" s="1134">
        <v>5818711</v>
      </c>
      <c r="I3018" s="861"/>
      <c r="J3018" s="862"/>
      <c r="K3018" s="859"/>
      <c r="L3018" s="863"/>
      <c r="M3018" s="859">
        <v>7547782</v>
      </c>
      <c r="N3018" s="859">
        <v>351436</v>
      </c>
      <c r="O3018" s="752">
        <f t="shared" si="394"/>
        <v>7899218</v>
      </c>
      <c r="P3018" s="1517">
        <v>7294563</v>
      </c>
      <c r="Q3018" s="860">
        <v>350887</v>
      </c>
      <c r="R3018" s="753">
        <f t="shared" si="397"/>
        <v>7645450</v>
      </c>
      <c r="S3018" s="752">
        <f t="shared" si="398"/>
        <v>14154586</v>
      </c>
      <c r="T3018" s="754">
        <f t="shared" si="399"/>
        <v>13113274</v>
      </c>
      <c r="U3018" s="859"/>
      <c r="V3018" s="863"/>
      <c r="W3018" s="859"/>
      <c r="X3018" s="859"/>
      <c r="Y3018" s="755">
        <f t="shared" si="395"/>
        <v>0</v>
      </c>
      <c r="Z3018" s="864"/>
      <c r="AA3018" s="863"/>
      <c r="AB3018" s="756">
        <f t="shared" si="396"/>
        <v>0</v>
      </c>
      <c r="AC3018" s="859"/>
      <c r="AD3018" s="863"/>
      <c r="AE3018" s="859"/>
      <c r="AF3018" s="859"/>
      <c r="AG3018" s="864"/>
      <c r="AH3018" s="865"/>
      <c r="AI3018" s="757">
        <f t="shared" si="400"/>
        <v>14154586</v>
      </c>
      <c r="AJ3018" s="758">
        <f t="shared" si="401"/>
        <v>13113274</v>
      </c>
    </row>
    <row r="3019" spans="1:36" x14ac:dyDescent="0.2">
      <c r="A3019" s="1022" t="s">
        <v>157</v>
      </c>
      <c r="B3019" s="1023" t="s">
        <v>272</v>
      </c>
      <c r="C3019" s="1030" t="s">
        <v>970</v>
      </c>
      <c r="D3019" s="1029"/>
      <c r="E3019" s="1140">
        <v>237385</v>
      </c>
      <c r="F3019" s="1027">
        <v>6</v>
      </c>
      <c r="G3019" s="859"/>
      <c r="H3019" s="1134"/>
      <c r="I3019" s="861">
        <v>600000</v>
      </c>
      <c r="J3019" s="862">
        <v>600000</v>
      </c>
      <c r="K3019" s="859"/>
      <c r="L3019" s="863"/>
      <c r="M3019" s="859"/>
      <c r="N3019" s="859"/>
      <c r="O3019" s="752">
        <f t="shared" ref="O3019:O3082" si="402">SUM(M3019:N3019)</f>
        <v>0</v>
      </c>
      <c r="P3019" s="862"/>
      <c r="Q3019" s="860"/>
      <c r="R3019" s="753">
        <f t="shared" si="397"/>
        <v>0</v>
      </c>
      <c r="S3019" s="752">
        <f t="shared" si="398"/>
        <v>600000</v>
      </c>
      <c r="T3019" s="754">
        <f t="shared" si="399"/>
        <v>600000</v>
      </c>
      <c r="U3019" s="859"/>
      <c r="V3019" s="863"/>
      <c r="W3019" s="859"/>
      <c r="X3019" s="859"/>
      <c r="Y3019" s="755">
        <f t="shared" ref="Y3019:Y3082" si="403">SUM(W3019:X3019)</f>
        <v>0</v>
      </c>
      <c r="Z3019" s="864"/>
      <c r="AA3019" s="863"/>
      <c r="AB3019" s="756">
        <f t="shared" ref="AB3019:AB3082" si="404">SUM(Z3019:AA3019)</f>
        <v>0</v>
      </c>
      <c r="AC3019" s="859"/>
      <c r="AD3019" s="863"/>
      <c r="AE3019" s="859"/>
      <c r="AF3019" s="859"/>
      <c r="AG3019" s="864"/>
      <c r="AH3019" s="865"/>
      <c r="AI3019" s="757">
        <f t="shared" si="400"/>
        <v>600000</v>
      </c>
      <c r="AJ3019" s="758">
        <f t="shared" si="401"/>
        <v>600000</v>
      </c>
    </row>
    <row r="3020" spans="1:36" x14ac:dyDescent="0.2">
      <c r="A3020" s="1022" t="s">
        <v>157</v>
      </c>
      <c r="B3020" s="1023" t="s">
        <v>264</v>
      </c>
      <c r="C3020" s="1024" t="s">
        <v>1017</v>
      </c>
      <c r="D3020" s="1025"/>
      <c r="E3020" s="1140">
        <v>237932</v>
      </c>
      <c r="F3020" s="1027">
        <v>6</v>
      </c>
      <c r="G3020" s="859">
        <v>9322524</v>
      </c>
      <c r="H3020" s="1134">
        <v>8396273</v>
      </c>
      <c r="I3020" s="861"/>
      <c r="J3020" s="862"/>
      <c r="K3020" s="859"/>
      <c r="L3020" s="863"/>
      <c r="M3020" s="859">
        <v>18904099</v>
      </c>
      <c r="N3020" s="859">
        <v>530118</v>
      </c>
      <c r="O3020" s="752">
        <f t="shared" si="402"/>
        <v>19434217</v>
      </c>
      <c r="P3020" s="1517">
        <v>19941858</v>
      </c>
      <c r="Q3020" s="860">
        <v>527783</v>
      </c>
      <c r="R3020" s="753">
        <f t="shared" ref="R3020:R3083" si="405">SUM(P3020:Q3020)</f>
        <v>20469641</v>
      </c>
      <c r="S3020" s="752">
        <f t="shared" ref="S3020:S3083" si="406">SUM(G3020,I3020,K3020,M3020)</f>
        <v>28226623</v>
      </c>
      <c r="T3020" s="754">
        <f t="shared" ref="T3020:T3083" si="407">SUM(H3020,J3020,L3020,P3020)</f>
        <v>28338131</v>
      </c>
      <c r="U3020" s="859"/>
      <c r="V3020" s="863"/>
      <c r="W3020" s="859"/>
      <c r="X3020" s="859"/>
      <c r="Y3020" s="755">
        <f t="shared" si="403"/>
        <v>0</v>
      </c>
      <c r="Z3020" s="864"/>
      <c r="AA3020" s="863"/>
      <c r="AB3020" s="756">
        <f t="shared" si="404"/>
        <v>0</v>
      </c>
      <c r="AC3020" s="859"/>
      <c r="AD3020" s="863"/>
      <c r="AE3020" s="859"/>
      <c r="AF3020" s="859"/>
      <c r="AG3020" s="864"/>
      <c r="AH3020" s="865"/>
      <c r="AI3020" s="757">
        <f t="shared" ref="AI3020:AI3083" si="408">SUM(S3020,U3020,W3020,AC3020,AE3020)</f>
        <v>28226623</v>
      </c>
      <c r="AJ3020" s="758">
        <f t="shared" ref="AJ3020:AJ3083" si="409">SUM(T3020,V3020,Z3020,AD3020,AG3020)</f>
        <v>28338131</v>
      </c>
    </row>
    <row r="3021" spans="1:36" x14ac:dyDescent="0.2">
      <c r="A3021" s="1022" t="s">
        <v>157</v>
      </c>
      <c r="B3021" s="1023" t="s">
        <v>264</v>
      </c>
      <c r="C3021" s="1024" t="s">
        <v>1018</v>
      </c>
      <c r="D3021" s="1025"/>
      <c r="E3021" s="1140">
        <v>237899</v>
      </c>
      <c r="F3021" s="1027">
        <v>6</v>
      </c>
      <c r="G3021" s="859">
        <v>13612389</v>
      </c>
      <c r="H3021" s="1134">
        <v>12449485</v>
      </c>
      <c r="I3021" s="861"/>
      <c r="J3021" s="862"/>
      <c r="K3021" s="859"/>
      <c r="L3021" s="863"/>
      <c r="M3021" s="859">
        <v>12242153</v>
      </c>
      <c r="N3021" s="859" t="s">
        <v>91</v>
      </c>
      <c r="O3021" s="752">
        <f t="shared" si="402"/>
        <v>12242153</v>
      </c>
      <c r="P3021" s="1517">
        <v>15387812</v>
      </c>
      <c r="Q3021" s="860"/>
      <c r="R3021" s="753">
        <f t="shared" si="405"/>
        <v>15387812</v>
      </c>
      <c r="S3021" s="752">
        <f t="shared" si="406"/>
        <v>25854542</v>
      </c>
      <c r="T3021" s="754">
        <f t="shared" si="407"/>
        <v>27837297</v>
      </c>
      <c r="U3021" s="859"/>
      <c r="V3021" s="863"/>
      <c r="W3021" s="859"/>
      <c r="X3021" s="859"/>
      <c r="Y3021" s="755">
        <f t="shared" si="403"/>
        <v>0</v>
      </c>
      <c r="Z3021" s="864"/>
      <c r="AA3021" s="863"/>
      <c r="AB3021" s="756">
        <f t="shared" si="404"/>
        <v>0</v>
      </c>
      <c r="AC3021" s="859"/>
      <c r="AD3021" s="863"/>
      <c r="AE3021" s="859"/>
      <c r="AF3021" s="859"/>
      <c r="AG3021" s="864"/>
      <c r="AH3021" s="865"/>
      <c r="AI3021" s="757">
        <f t="shared" si="408"/>
        <v>25854542</v>
      </c>
      <c r="AJ3021" s="758">
        <f t="shared" si="409"/>
        <v>27837297</v>
      </c>
    </row>
    <row r="3022" spans="1:36" x14ac:dyDescent="0.2">
      <c r="A3022" s="1022" t="s">
        <v>157</v>
      </c>
      <c r="B3022" s="1023" t="s">
        <v>264</v>
      </c>
      <c r="C3022" s="1142" t="s">
        <v>1019</v>
      </c>
      <c r="D3022" s="1143"/>
      <c r="E3022" s="1140">
        <v>237950</v>
      </c>
      <c r="F3022" s="1027">
        <v>6</v>
      </c>
      <c r="G3022" s="859">
        <v>9467640</v>
      </c>
      <c r="H3022" s="1134">
        <v>8526970</v>
      </c>
      <c r="I3022" s="861"/>
      <c r="J3022" s="862"/>
      <c r="K3022" s="859"/>
      <c r="L3022" s="863"/>
      <c r="M3022" s="859">
        <v>6990246</v>
      </c>
      <c r="N3022" s="859" t="s">
        <v>91</v>
      </c>
      <c r="O3022" s="752">
        <f t="shared" si="402"/>
        <v>6990246</v>
      </c>
      <c r="P3022" s="1517">
        <v>8763808</v>
      </c>
      <c r="Q3022" s="860"/>
      <c r="R3022" s="753">
        <f t="shared" si="405"/>
        <v>8763808</v>
      </c>
      <c r="S3022" s="752">
        <f t="shared" si="406"/>
        <v>16457886</v>
      </c>
      <c r="T3022" s="754">
        <f t="shared" si="407"/>
        <v>17290778</v>
      </c>
      <c r="U3022" s="859"/>
      <c r="V3022" s="863"/>
      <c r="W3022" s="859"/>
      <c r="X3022" s="859"/>
      <c r="Y3022" s="755">
        <f t="shared" si="403"/>
        <v>0</v>
      </c>
      <c r="Z3022" s="864"/>
      <c r="AA3022" s="863"/>
      <c r="AB3022" s="756">
        <f t="shared" si="404"/>
        <v>0</v>
      </c>
      <c r="AC3022" s="859"/>
      <c r="AD3022" s="863"/>
      <c r="AE3022" s="859"/>
      <c r="AF3022" s="859"/>
      <c r="AG3022" s="864"/>
      <c r="AH3022" s="865"/>
      <c r="AI3022" s="757">
        <f t="shared" si="408"/>
        <v>16457886</v>
      </c>
      <c r="AJ3022" s="758">
        <f t="shared" si="409"/>
        <v>17290778</v>
      </c>
    </row>
    <row r="3023" spans="1:36" x14ac:dyDescent="0.2">
      <c r="A3023" s="1022" t="s">
        <v>157</v>
      </c>
      <c r="B3023" s="1023" t="s">
        <v>272</v>
      </c>
      <c r="C3023" s="1144" t="s">
        <v>1020</v>
      </c>
      <c r="D3023" s="1145"/>
      <c r="E3023" s="1140">
        <v>237950</v>
      </c>
      <c r="F3023" s="1027">
        <v>6</v>
      </c>
      <c r="G3023" s="859"/>
      <c r="H3023" s="1137"/>
      <c r="I3023" s="861"/>
      <c r="J3023" s="862"/>
      <c r="K3023" s="859"/>
      <c r="L3023" s="863"/>
      <c r="M3023" s="859" t="s">
        <v>91</v>
      </c>
      <c r="N3023" s="859" t="s">
        <v>91</v>
      </c>
      <c r="O3023" s="752">
        <f t="shared" si="402"/>
        <v>0</v>
      </c>
      <c r="P3023" s="862"/>
      <c r="Q3023" s="860"/>
      <c r="R3023" s="753">
        <f t="shared" si="405"/>
        <v>0</v>
      </c>
      <c r="S3023" s="752">
        <f t="shared" si="406"/>
        <v>0</v>
      </c>
      <c r="T3023" s="754">
        <f t="shared" si="407"/>
        <v>0</v>
      </c>
      <c r="U3023" s="859"/>
      <c r="V3023" s="863"/>
      <c r="W3023" s="859"/>
      <c r="X3023" s="859"/>
      <c r="Y3023" s="755">
        <f t="shared" si="403"/>
        <v>0</v>
      </c>
      <c r="Z3023" s="864"/>
      <c r="AA3023" s="863"/>
      <c r="AB3023" s="756">
        <f t="shared" si="404"/>
        <v>0</v>
      </c>
      <c r="AC3023" s="859"/>
      <c r="AD3023" s="863"/>
      <c r="AE3023" s="859"/>
      <c r="AF3023" s="859"/>
      <c r="AG3023" s="864"/>
      <c r="AH3023" s="865"/>
      <c r="AI3023" s="757">
        <f t="shared" si="408"/>
        <v>0</v>
      </c>
      <c r="AJ3023" s="758">
        <f t="shared" si="409"/>
        <v>0</v>
      </c>
    </row>
    <row r="3024" spans="1:36" x14ac:dyDescent="0.2">
      <c r="A3024" s="1022" t="s">
        <v>157</v>
      </c>
      <c r="B3024" s="1023" t="s">
        <v>264</v>
      </c>
      <c r="C3024" s="1146" t="s">
        <v>1021</v>
      </c>
      <c r="D3024" s="1147"/>
      <c r="E3024" s="1140">
        <v>237701</v>
      </c>
      <c r="F3024" s="1141">
        <v>7</v>
      </c>
      <c r="G3024" s="859">
        <v>4482689</v>
      </c>
      <c r="H3024" s="1134">
        <v>4016689</v>
      </c>
      <c r="I3024" s="861"/>
      <c r="J3024" s="862"/>
      <c r="K3024" s="859"/>
      <c r="L3024" s="863"/>
      <c r="M3024" s="859">
        <v>6322687</v>
      </c>
      <c r="N3024" s="859" t="s">
        <v>91</v>
      </c>
      <c r="O3024" s="752">
        <f t="shared" si="402"/>
        <v>6322687</v>
      </c>
      <c r="P3024" s="1517">
        <v>6387004</v>
      </c>
      <c r="Q3024" s="860" t="s">
        <v>91</v>
      </c>
      <c r="R3024" s="753">
        <f t="shared" si="405"/>
        <v>6387004</v>
      </c>
      <c r="S3024" s="752">
        <f t="shared" si="406"/>
        <v>10805376</v>
      </c>
      <c r="T3024" s="754">
        <f t="shared" si="407"/>
        <v>10403693</v>
      </c>
      <c r="U3024" s="859"/>
      <c r="V3024" s="863"/>
      <c r="W3024" s="859"/>
      <c r="X3024" s="859"/>
      <c r="Y3024" s="755">
        <f t="shared" si="403"/>
        <v>0</v>
      </c>
      <c r="Z3024" s="864"/>
      <c r="AA3024" s="863"/>
      <c r="AB3024" s="756">
        <f t="shared" si="404"/>
        <v>0</v>
      </c>
      <c r="AC3024" s="859"/>
      <c r="AD3024" s="863"/>
      <c r="AE3024" s="859"/>
      <c r="AF3024" s="859"/>
      <c r="AG3024" s="864"/>
      <c r="AH3024" s="865"/>
      <c r="AI3024" s="757">
        <f t="shared" si="408"/>
        <v>10805376</v>
      </c>
      <c r="AJ3024" s="758">
        <f t="shared" si="409"/>
        <v>10403693</v>
      </c>
    </row>
    <row r="3025" spans="1:36" x14ac:dyDescent="0.2">
      <c r="A3025" s="1022" t="s">
        <v>157</v>
      </c>
      <c r="B3025" s="1023" t="s">
        <v>272</v>
      </c>
      <c r="C3025" s="1030" t="s">
        <v>970</v>
      </c>
      <c r="D3025" s="1029"/>
      <c r="E3025" s="1140">
        <v>237701</v>
      </c>
      <c r="F3025" s="1141">
        <v>7</v>
      </c>
      <c r="G3025" s="859"/>
      <c r="H3025" s="1134"/>
      <c r="I3025" s="861">
        <v>207500</v>
      </c>
      <c r="J3025" s="862">
        <v>207500</v>
      </c>
      <c r="K3025" s="859"/>
      <c r="L3025" s="863"/>
      <c r="M3025" s="859"/>
      <c r="N3025" s="859"/>
      <c r="O3025" s="752">
        <f t="shared" si="402"/>
        <v>0</v>
      </c>
      <c r="P3025" s="862"/>
      <c r="Q3025" s="860"/>
      <c r="R3025" s="753">
        <f t="shared" si="405"/>
        <v>0</v>
      </c>
      <c r="S3025" s="752">
        <f t="shared" si="406"/>
        <v>207500</v>
      </c>
      <c r="T3025" s="754">
        <f t="shared" si="407"/>
        <v>207500</v>
      </c>
      <c r="U3025" s="859"/>
      <c r="V3025" s="863"/>
      <c r="W3025" s="859"/>
      <c r="X3025" s="859"/>
      <c r="Y3025" s="755">
        <f t="shared" si="403"/>
        <v>0</v>
      </c>
      <c r="Z3025" s="864"/>
      <c r="AA3025" s="863"/>
      <c r="AB3025" s="756">
        <f t="shared" si="404"/>
        <v>0</v>
      </c>
      <c r="AC3025" s="859"/>
      <c r="AD3025" s="863"/>
      <c r="AE3025" s="859"/>
      <c r="AF3025" s="859"/>
      <c r="AG3025" s="864"/>
      <c r="AH3025" s="865"/>
      <c r="AI3025" s="757">
        <f t="shared" si="408"/>
        <v>207500</v>
      </c>
      <c r="AJ3025" s="758">
        <f t="shared" si="409"/>
        <v>207500</v>
      </c>
    </row>
    <row r="3026" spans="1:36" x14ac:dyDescent="0.2">
      <c r="A3026" s="1022" t="s">
        <v>157</v>
      </c>
      <c r="B3026" s="1023" t="s">
        <v>264</v>
      </c>
      <c r="C3026" s="1142" t="s">
        <v>1022</v>
      </c>
      <c r="D3026" s="1143"/>
      <c r="E3026" s="1140">
        <v>237686</v>
      </c>
      <c r="F3026" s="1027">
        <v>7</v>
      </c>
      <c r="G3026" s="859">
        <v>10916188</v>
      </c>
      <c r="H3026" s="1134">
        <v>10230191</v>
      </c>
      <c r="I3026" s="861"/>
      <c r="J3026" s="862"/>
      <c r="K3026" s="859"/>
      <c r="L3026" s="863"/>
      <c r="M3026" s="859">
        <v>10537000</v>
      </c>
      <c r="N3026" s="859" t="s">
        <v>91</v>
      </c>
      <c r="O3026" s="752">
        <f t="shared" si="402"/>
        <v>10537000</v>
      </c>
      <c r="P3026" s="862">
        <v>11485330</v>
      </c>
      <c r="Q3026" s="860" t="s">
        <v>91</v>
      </c>
      <c r="R3026" s="753">
        <f t="shared" si="405"/>
        <v>11485330</v>
      </c>
      <c r="S3026" s="752">
        <f t="shared" si="406"/>
        <v>21453188</v>
      </c>
      <c r="T3026" s="754">
        <f t="shared" si="407"/>
        <v>21715521</v>
      </c>
      <c r="U3026" s="859"/>
      <c r="V3026" s="863"/>
      <c r="W3026" s="859"/>
      <c r="X3026" s="859"/>
      <c r="Y3026" s="755">
        <f t="shared" si="403"/>
        <v>0</v>
      </c>
      <c r="Z3026" s="864"/>
      <c r="AA3026" s="863"/>
      <c r="AB3026" s="756">
        <f t="shared" si="404"/>
        <v>0</v>
      </c>
      <c r="AC3026" s="859"/>
      <c r="AD3026" s="863"/>
      <c r="AE3026" s="859"/>
      <c r="AF3026" s="859"/>
      <c r="AG3026" s="864"/>
      <c r="AH3026" s="865"/>
      <c r="AI3026" s="757">
        <f t="shared" si="408"/>
        <v>21453188</v>
      </c>
      <c r="AJ3026" s="758">
        <f t="shared" si="409"/>
        <v>21715521</v>
      </c>
    </row>
    <row r="3027" spans="1:36" x14ac:dyDescent="0.2">
      <c r="A3027" s="1022" t="s">
        <v>157</v>
      </c>
      <c r="B3027" s="1023" t="s">
        <v>272</v>
      </c>
      <c r="C3027" s="1030" t="s">
        <v>970</v>
      </c>
      <c r="D3027" s="1188" t="s">
        <v>1134</v>
      </c>
      <c r="E3027" s="1140">
        <v>237686</v>
      </c>
      <c r="F3027" s="1027">
        <v>7</v>
      </c>
      <c r="G3027" s="859"/>
      <c r="H3027" s="1134"/>
      <c r="I3027" s="861"/>
      <c r="J3027" s="862"/>
      <c r="K3027" s="859"/>
      <c r="L3027" s="863"/>
      <c r="M3027" s="859"/>
      <c r="N3027" s="859"/>
      <c r="O3027" s="752">
        <f t="shared" si="402"/>
        <v>0</v>
      </c>
      <c r="P3027" s="862"/>
      <c r="Q3027" s="860"/>
      <c r="R3027" s="753">
        <f t="shared" si="405"/>
        <v>0</v>
      </c>
      <c r="S3027" s="752">
        <f t="shared" si="406"/>
        <v>0</v>
      </c>
      <c r="T3027" s="754">
        <f t="shared" si="407"/>
        <v>0</v>
      </c>
      <c r="U3027" s="859"/>
      <c r="V3027" s="863"/>
      <c r="W3027" s="859"/>
      <c r="X3027" s="859"/>
      <c r="Y3027" s="755">
        <f t="shared" si="403"/>
        <v>0</v>
      </c>
      <c r="Z3027" s="864"/>
      <c r="AA3027" s="863"/>
      <c r="AB3027" s="756">
        <f t="shared" si="404"/>
        <v>0</v>
      </c>
      <c r="AC3027" s="859"/>
      <c r="AD3027" s="863"/>
      <c r="AE3027" s="859"/>
      <c r="AF3027" s="859"/>
      <c r="AG3027" s="864"/>
      <c r="AH3027" s="865"/>
      <c r="AI3027" s="757">
        <f t="shared" si="408"/>
        <v>0</v>
      </c>
      <c r="AJ3027" s="758">
        <f t="shared" si="409"/>
        <v>0</v>
      </c>
    </row>
    <row r="3028" spans="1:36" x14ac:dyDescent="0.2">
      <c r="A3028" s="1022" t="s">
        <v>157</v>
      </c>
      <c r="B3028" s="1023" t="s">
        <v>264</v>
      </c>
      <c r="C3028" s="1031" t="s">
        <v>1023</v>
      </c>
      <c r="D3028" s="1032"/>
      <c r="E3028" s="1140">
        <v>447582</v>
      </c>
      <c r="F3028" s="1033">
        <v>9</v>
      </c>
      <c r="G3028" s="859">
        <v>6305522</v>
      </c>
      <c r="H3028" s="1134">
        <v>5775692</v>
      </c>
      <c r="I3028" s="861"/>
      <c r="J3028" s="862"/>
      <c r="K3028" s="859"/>
      <c r="L3028" s="863"/>
      <c r="M3028" s="859">
        <v>8904211</v>
      </c>
      <c r="N3028" s="859" t="s">
        <v>91</v>
      </c>
      <c r="O3028" s="752">
        <f t="shared" si="402"/>
        <v>8904211</v>
      </c>
      <c r="P3028" s="1517">
        <v>9431495</v>
      </c>
      <c r="Q3028" s="860"/>
      <c r="R3028" s="753">
        <f t="shared" si="405"/>
        <v>9431495</v>
      </c>
      <c r="S3028" s="752">
        <f t="shared" si="406"/>
        <v>15209733</v>
      </c>
      <c r="T3028" s="754">
        <f t="shared" si="407"/>
        <v>15207187</v>
      </c>
      <c r="U3028" s="859"/>
      <c r="V3028" s="863"/>
      <c r="W3028" s="859"/>
      <c r="X3028" s="859"/>
      <c r="Y3028" s="755">
        <f t="shared" si="403"/>
        <v>0</v>
      </c>
      <c r="Z3028" s="864"/>
      <c r="AA3028" s="863"/>
      <c r="AB3028" s="756">
        <f t="shared" si="404"/>
        <v>0</v>
      </c>
      <c r="AC3028" s="859"/>
      <c r="AD3028" s="863"/>
      <c r="AE3028" s="859"/>
      <c r="AF3028" s="859"/>
      <c r="AG3028" s="864"/>
      <c r="AH3028" s="865"/>
      <c r="AI3028" s="757">
        <f t="shared" si="408"/>
        <v>15209733</v>
      </c>
      <c r="AJ3028" s="758">
        <f t="shared" si="409"/>
        <v>15207187</v>
      </c>
    </row>
    <row r="3029" spans="1:36" x14ac:dyDescent="0.2">
      <c r="A3029" s="1022" t="s">
        <v>157</v>
      </c>
      <c r="B3029" s="1023" t="s">
        <v>272</v>
      </c>
      <c r="C3029" s="1030" t="s">
        <v>970</v>
      </c>
      <c r="D3029" s="1029"/>
      <c r="E3029" s="1140">
        <v>447582</v>
      </c>
      <c r="F3029" s="1033">
        <v>9</v>
      </c>
      <c r="G3029" s="859"/>
      <c r="H3029" s="1134"/>
      <c r="I3029" s="861"/>
      <c r="J3029" s="862"/>
      <c r="K3029" s="859"/>
      <c r="L3029" s="863"/>
      <c r="M3029" s="859"/>
      <c r="N3029" s="859"/>
      <c r="O3029" s="752">
        <f t="shared" si="402"/>
        <v>0</v>
      </c>
      <c r="P3029" s="862"/>
      <c r="Q3029" s="860"/>
      <c r="R3029" s="753">
        <f t="shared" si="405"/>
        <v>0</v>
      </c>
      <c r="S3029" s="752">
        <f t="shared" si="406"/>
        <v>0</v>
      </c>
      <c r="T3029" s="754">
        <f t="shared" si="407"/>
        <v>0</v>
      </c>
      <c r="U3029" s="859"/>
      <c r="V3029" s="863"/>
      <c r="W3029" s="859"/>
      <c r="X3029" s="859"/>
      <c r="Y3029" s="755">
        <f t="shared" si="403"/>
        <v>0</v>
      </c>
      <c r="Z3029" s="864"/>
      <c r="AA3029" s="863"/>
      <c r="AB3029" s="756">
        <f t="shared" si="404"/>
        <v>0</v>
      </c>
      <c r="AC3029" s="859"/>
      <c r="AD3029" s="863"/>
      <c r="AE3029" s="859"/>
      <c r="AF3029" s="859"/>
      <c r="AG3029" s="864"/>
      <c r="AH3029" s="865"/>
      <c r="AI3029" s="757">
        <f t="shared" si="408"/>
        <v>0</v>
      </c>
      <c r="AJ3029" s="758">
        <f t="shared" si="409"/>
        <v>0</v>
      </c>
    </row>
    <row r="3030" spans="1:36" x14ac:dyDescent="0.2">
      <c r="A3030" s="1022" t="s">
        <v>157</v>
      </c>
      <c r="B3030" s="1023" t="s">
        <v>264</v>
      </c>
      <c r="C3030" s="1146" t="s">
        <v>1024</v>
      </c>
      <c r="D3030" s="1032"/>
      <c r="E3030" s="1140">
        <v>443492</v>
      </c>
      <c r="F3030" s="1033">
        <v>9</v>
      </c>
      <c r="G3030" s="859">
        <v>8443703</v>
      </c>
      <c r="H3030" s="1134">
        <v>7734209</v>
      </c>
      <c r="I3030" s="861"/>
      <c r="J3030" s="862"/>
      <c r="K3030" s="859"/>
      <c r="L3030" s="863"/>
      <c r="M3030" s="859">
        <v>9127755</v>
      </c>
      <c r="N3030" s="859"/>
      <c r="O3030" s="752">
        <f t="shared" si="402"/>
        <v>9127755</v>
      </c>
      <c r="P3030" s="1517">
        <v>8554548</v>
      </c>
      <c r="Q3030" s="860"/>
      <c r="R3030" s="753">
        <f t="shared" si="405"/>
        <v>8554548</v>
      </c>
      <c r="S3030" s="752">
        <f t="shared" si="406"/>
        <v>17571458</v>
      </c>
      <c r="T3030" s="754">
        <f t="shared" si="407"/>
        <v>16288757</v>
      </c>
      <c r="U3030" s="859"/>
      <c r="V3030" s="863"/>
      <c r="W3030" s="859"/>
      <c r="X3030" s="859"/>
      <c r="Y3030" s="755">
        <f t="shared" si="403"/>
        <v>0</v>
      </c>
      <c r="Z3030" s="864"/>
      <c r="AA3030" s="863"/>
      <c r="AB3030" s="756">
        <f t="shared" si="404"/>
        <v>0</v>
      </c>
      <c r="AC3030" s="859"/>
      <c r="AD3030" s="863"/>
      <c r="AE3030" s="859"/>
      <c r="AF3030" s="859"/>
      <c r="AG3030" s="864"/>
      <c r="AH3030" s="865"/>
      <c r="AI3030" s="757">
        <f t="shared" si="408"/>
        <v>17571458</v>
      </c>
      <c r="AJ3030" s="758">
        <f t="shared" si="409"/>
        <v>16288757</v>
      </c>
    </row>
    <row r="3031" spans="1:36" x14ac:dyDescent="0.2">
      <c r="A3031" s="1022" t="s">
        <v>157</v>
      </c>
      <c r="B3031" s="1023" t="s">
        <v>272</v>
      </c>
      <c r="C3031" s="1030" t="s">
        <v>970</v>
      </c>
      <c r="D3031" s="1029"/>
      <c r="E3031" s="1140">
        <v>443492</v>
      </c>
      <c r="F3031" s="1033">
        <v>9</v>
      </c>
      <c r="G3031" s="859"/>
      <c r="H3031" s="1134"/>
      <c r="I3031" s="861"/>
      <c r="J3031" s="862"/>
      <c r="K3031" s="859"/>
      <c r="L3031" s="863"/>
      <c r="M3031" s="859"/>
      <c r="N3031" s="859"/>
      <c r="O3031" s="752">
        <f t="shared" si="402"/>
        <v>0</v>
      </c>
      <c r="P3031" s="862"/>
      <c r="Q3031" s="860"/>
      <c r="R3031" s="753">
        <f t="shared" si="405"/>
        <v>0</v>
      </c>
      <c r="S3031" s="752">
        <f t="shared" si="406"/>
        <v>0</v>
      </c>
      <c r="T3031" s="754">
        <f t="shared" si="407"/>
        <v>0</v>
      </c>
      <c r="U3031" s="859"/>
      <c r="V3031" s="863"/>
      <c r="W3031" s="859"/>
      <c r="X3031" s="859"/>
      <c r="Y3031" s="755">
        <f t="shared" si="403"/>
        <v>0</v>
      </c>
      <c r="Z3031" s="864"/>
      <c r="AA3031" s="863"/>
      <c r="AB3031" s="756">
        <f t="shared" si="404"/>
        <v>0</v>
      </c>
      <c r="AC3031" s="859"/>
      <c r="AD3031" s="863"/>
      <c r="AE3031" s="859"/>
      <c r="AF3031" s="859"/>
      <c r="AG3031" s="864"/>
      <c r="AH3031" s="865"/>
      <c r="AI3031" s="757">
        <f t="shared" si="408"/>
        <v>0</v>
      </c>
      <c r="AJ3031" s="758">
        <f t="shared" si="409"/>
        <v>0</v>
      </c>
    </row>
    <row r="3032" spans="1:36" x14ac:dyDescent="0.2">
      <c r="A3032" s="1022" t="s">
        <v>157</v>
      </c>
      <c r="B3032" s="1023" t="s">
        <v>264</v>
      </c>
      <c r="C3032" s="1031" t="s">
        <v>1025</v>
      </c>
      <c r="D3032" s="1034" t="s">
        <v>1127</v>
      </c>
      <c r="E3032" s="1140">
        <v>238014</v>
      </c>
      <c r="F3032" s="1141">
        <v>9</v>
      </c>
      <c r="G3032" s="859">
        <v>7893643</v>
      </c>
      <c r="H3032" s="1134">
        <v>7230369</v>
      </c>
      <c r="I3032" s="861"/>
      <c r="J3032" s="862"/>
      <c r="K3032" s="859"/>
      <c r="L3032" s="863"/>
      <c r="M3032" s="859">
        <v>5792012</v>
      </c>
      <c r="N3032" s="859" t="s">
        <v>91</v>
      </c>
      <c r="O3032" s="752">
        <f t="shared" si="402"/>
        <v>5792012</v>
      </c>
      <c r="P3032" s="1517">
        <v>5487559</v>
      </c>
      <c r="Q3032" s="860"/>
      <c r="R3032" s="753">
        <f t="shared" si="405"/>
        <v>5487559</v>
      </c>
      <c r="S3032" s="752">
        <f t="shared" si="406"/>
        <v>13685655</v>
      </c>
      <c r="T3032" s="754">
        <f t="shared" si="407"/>
        <v>12717928</v>
      </c>
      <c r="U3032" s="859"/>
      <c r="V3032" s="863"/>
      <c r="W3032" s="859"/>
      <c r="X3032" s="859"/>
      <c r="Y3032" s="755">
        <f t="shared" si="403"/>
        <v>0</v>
      </c>
      <c r="Z3032" s="864"/>
      <c r="AA3032" s="863"/>
      <c r="AB3032" s="756">
        <f t="shared" si="404"/>
        <v>0</v>
      </c>
      <c r="AC3032" s="859"/>
      <c r="AD3032" s="863"/>
      <c r="AE3032" s="859"/>
      <c r="AF3032" s="859"/>
      <c r="AG3032" s="864"/>
      <c r="AH3032" s="865"/>
      <c r="AI3032" s="757">
        <f t="shared" si="408"/>
        <v>13685655</v>
      </c>
      <c r="AJ3032" s="758">
        <f t="shared" si="409"/>
        <v>12717928</v>
      </c>
    </row>
    <row r="3033" spans="1:36" x14ac:dyDescent="0.2">
      <c r="A3033" s="1022" t="s">
        <v>157</v>
      </c>
      <c r="B3033" s="1023" t="s">
        <v>272</v>
      </c>
      <c r="C3033" s="1030" t="s">
        <v>970</v>
      </c>
      <c r="D3033" s="1029"/>
      <c r="E3033" s="1140">
        <v>238014</v>
      </c>
      <c r="F3033" s="1141">
        <v>9</v>
      </c>
      <c r="G3033" s="859"/>
      <c r="H3033" s="1134"/>
      <c r="I3033" s="861"/>
      <c r="J3033" s="862"/>
      <c r="K3033" s="859"/>
      <c r="L3033" s="863"/>
      <c r="M3033" s="859"/>
      <c r="N3033" s="859"/>
      <c r="O3033" s="752">
        <f t="shared" si="402"/>
        <v>0</v>
      </c>
      <c r="P3033" s="862"/>
      <c r="Q3033" s="860"/>
      <c r="R3033" s="753">
        <f t="shared" si="405"/>
        <v>0</v>
      </c>
      <c r="S3033" s="752">
        <f t="shared" si="406"/>
        <v>0</v>
      </c>
      <c r="T3033" s="754">
        <f t="shared" si="407"/>
        <v>0</v>
      </c>
      <c r="U3033" s="859"/>
      <c r="V3033" s="863"/>
      <c r="W3033" s="859"/>
      <c r="X3033" s="859"/>
      <c r="Y3033" s="755">
        <f t="shared" si="403"/>
        <v>0</v>
      </c>
      <c r="Z3033" s="864"/>
      <c r="AA3033" s="863"/>
      <c r="AB3033" s="756">
        <f t="shared" si="404"/>
        <v>0</v>
      </c>
      <c r="AC3033" s="859"/>
      <c r="AD3033" s="863"/>
      <c r="AE3033" s="859"/>
      <c r="AF3033" s="859"/>
      <c r="AG3033" s="864"/>
      <c r="AH3033" s="865"/>
      <c r="AI3033" s="757">
        <f t="shared" si="408"/>
        <v>0</v>
      </c>
      <c r="AJ3033" s="758">
        <f t="shared" si="409"/>
        <v>0</v>
      </c>
    </row>
    <row r="3034" spans="1:36" x14ac:dyDescent="0.2">
      <c r="A3034" s="1022" t="s">
        <v>157</v>
      </c>
      <c r="B3034" s="1023" t="s">
        <v>264</v>
      </c>
      <c r="C3034" s="1024" t="s">
        <v>1026</v>
      </c>
      <c r="D3034" s="1025"/>
      <c r="E3034" s="1140">
        <v>446774</v>
      </c>
      <c r="F3034" s="1027">
        <v>10</v>
      </c>
      <c r="G3034" s="859">
        <v>5138415</v>
      </c>
      <c r="H3034" s="1134">
        <v>4706653</v>
      </c>
      <c r="I3034" s="861"/>
      <c r="J3034" s="862"/>
      <c r="K3034" s="859"/>
      <c r="L3034" s="863"/>
      <c r="M3034" s="859">
        <v>6751053</v>
      </c>
      <c r="N3034" s="859" t="s">
        <v>91</v>
      </c>
      <c r="O3034" s="752">
        <f t="shared" si="402"/>
        <v>6751053</v>
      </c>
      <c r="P3034" s="862">
        <v>6751053</v>
      </c>
      <c r="Q3034" s="860"/>
      <c r="R3034" s="753">
        <f t="shared" si="405"/>
        <v>6751053</v>
      </c>
      <c r="S3034" s="752">
        <f t="shared" si="406"/>
        <v>11889468</v>
      </c>
      <c r="T3034" s="754">
        <f t="shared" si="407"/>
        <v>11457706</v>
      </c>
      <c r="U3034" s="859"/>
      <c r="V3034" s="863"/>
      <c r="W3034" s="859"/>
      <c r="X3034" s="859"/>
      <c r="Y3034" s="755">
        <f t="shared" si="403"/>
        <v>0</v>
      </c>
      <c r="Z3034" s="864"/>
      <c r="AA3034" s="863"/>
      <c r="AB3034" s="756">
        <f t="shared" si="404"/>
        <v>0</v>
      </c>
      <c r="AC3034" s="859"/>
      <c r="AD3034" s="863"/>
      <c r="AE3034" s="859"/>
      <c r="AF3034" s="859"/>
      <c r="AG3034" s="864"/>
      <c r="AH3034" s="865"/>
      <c r="AI3034" s="757">
        <f t="shared" si="408"/>
        <v>11889468</v>
      </c>
      <c r="AJ3034" s="758">
        <f t="shared" si="409"/>
        <v>11457706</v>
      </c>
    </row>
    <row r="3035" spans="1:36" x14ac:dyDescent="0.2">
      <c r="A3035" s="1022" t="s">
        <v>157</v>
      </c>
      <c r="B3035" s="1023" t="s">
        <v>272</v>
      </c>
      <c r="C3035" s="1030" t="s">
        <v>970</v>
      </c>
      <c r="D3035" s="1029"/>
      <c r="E3035" s="1140">
        <v>446774</v>
      </c>
      <c r="F3035" s="1027">
        <v>10</v>
      </c>
      <c r="G3035" s="859"/>
      <c r="H3035" s="1134"/>
      <c r="I3035" s="861"/>
      <c r="J3035" s="862"/>
      <c r="K3035" s="859"/>
      <c r="L3035" s="863"/>
      <c r="M3035" s="859"/>
      <c r="N3035" s="859"/>
      <c r="O3035" s="752">
        <f t="shared" si="402"/>
        <v>0</v>
      </c>
      <c r="P3035" s="862"/>
      <c r="Q3035" s="860"/>
      <c r="R3035" s="753">
        <f t="shared" si="405"/>
        <v>0</v>
      </c>
      <c r="S3035" s="752">
        <f t="shared" si="406"/>
        <v>0</v>
      </c>
      <c r="T3035" s="754">
        <f t="shared" si="407"/>
        <v>0</v>
      </c>
      <c r="U3035" s="859"/>
      <c r="V3035" s="863"/>
      <c r="W3035" s="859"/>
      <c r="X3035" s="859"/>
      <c r="Y3035" s="755">
        <f t="shared" si="403"/>
        <v>0</v>
      </c>
      <c r="Z3035" s="864"/>
      <c r="AA3035" s="863"/>
      <c r="AB3035" s="756">
        <f t="shared" si="404"/>
        <v>0</v>
      </c>
      <c r="AC3035" s="859"/>
      <c r="AD3035" s="863"/>
      <c r="AE3035" s="859"/>
      <c r="AF3035" s="859"/>
      <c r="AG3035" s="864"/>
      <c r="AH3035" s="865"/>
      <c r="AI3035" s="757">
        <f t="shared" si="408"/>
        <v>0</v>
      </c>
      <c r="AJ3035" s="758">
        <f t="shared" si="409"/>
        <v>0</v>
      </c>
    </row>
    <row r="3036" spans="1:36" x14ac:dyDescent="0.2">
      <c r="A3036" s="1022" t="s">
        <v>157</v>
      </c>
      <c r="B3036" s="1023" t="s">
        <v>264</v>
      </c>
      <c r="C3036" s="1142" t="s">
        <v>1027</v>
      </c>
      <c r="D3036" s="1143"/>
      <c r="E3036" s="1140">
        <v>445674</v>
      </c>
      <c r="F3036" s="1027">
        <v>10</v>
      </c>
      <c r="G3036" s="859">
        <v>3973597</v>
      </c>
      <c r="H3036" s="1134">
        <v>4134831</v>
      </c>
      <c r="I3036" s="861"/>
      <c r="J3036" s="862"/>
      <c r="K3036" s="859"/>
      <c r="L3036" s="863"/>
      <c r="M3036" s="859">
        <v>2040157</v>
      </c>
      <c r="N3036" s="859" t="s">
        <v>91</v>
      </c>
      <c r="O3036" s="752">
        <f t="shared" si="402"/>
        <v>2040157</v>
      </c>
      <c r="P3036" s="1517">
        <v>2084010</v>
      </c>
      <c r="Q3036" s="860"/>
      <c r="R3036" s="753">
        <f t="shared" si="405"/>
        <v>2084010</v>
      </c>
      <c r="S3036" s="752">
        <f t="shared" si="406"/>
        <v>6013754</v>
      </c>
      <c r="T3036" s="754">
        <f t="shared" si="407"/>
        <v>6218841</v>
      </c>
      <c r="U3036" s="859"/>
      <c r="V3036" s="863"/>
      <c r="W3036" s="859"/>
      <c r="X3036" s="859"/>
      <c r="Y3036" s="755">
        <f t="shared" si="403"/>
        <v>0</v>
      </c>
      <c r="Z3036" s="864"/>
      <c r="AA3036" s="863"/>
      <c r="AB3036" s="756">
        <f t="shared" si="404"/>
        <v>0</v>
      </c>
      <c r="AC3036" s="859"/>
      <c r="AD3036" s="863"/>
      <c r="AE3036" s="859"/>
      <c r="AF3036" s="859"/>
      <c r="AG3036" s="864"/>
      <c r="AH3036" s="865"/>
      <c r="AI3036" s="757">
        <f t="shared" si="408"/>
        <v>6013754</v>
      </c>
      <c r="AJ3036" s="758">
        <f t="shared" si="409"/>
        <v>6218841</v>
      </c>
    </row>
    <row r="3037" spans="1:36" x14ac:dyDescent="0.2">
      <c r="A3037" s="1022" t="s">
        <v>157</v>
      </c>
      <c r="B3037" s="1023" t="s">
        <v>272</v>
      </c>
      <c r="C3037" s="1030" t="s">
        <v>970</v>
      </c>
      <c r="D3037" s="1029"/>
      <c r="E3037" s="1140">
        <v>445674</v>
      </c>
      <c r="F3037" s="1027">
        <v>10</v>
      </c>
      <c r="G3037" s="859"/>
      <c r="H3037" s="1134"/>
      <c r="I3037" s="861"/>
      <c r="J3037" s="862"/>
      <c r="K3037" s="859"/>
      <c r="L3037" s="863"/>
      <c r="M3037" s="859"/>
      <c r="N3037" s="859"/>
      <c r="O3037" s="752">
        <f t="shared" si="402"/>
        <v>0</v>
      </c>
      <c r="P3037" s="862"/>
      <c r="Q3037" s="860"/>
      <c r="R3037" s="753">
        <f t="shared" si="405"/>
        <v>0</v>
      </c>
      <c r="S3037" s="752">
        <f t="shared" si="406"/>
        <v>0</v>
      </c>
      <c r="T3037" s="754">
        <f t="shared" si="407"/>
        <v>0</v>
      </c>
      <c r="U3037" s="859"/>
      <c r="V3037" s="863"/>
      <c r="W3037" s="859"/>
      <c r="X3037" s="859"/>
      <c r="Y3037" s="755">
        <f t="shared" si="403"/>
        <v>0</v>
      </c>
      <c r="Z3037" s="864"/>
      <c r="AA3037" s="863"/>
      <c r="AB3037" s="756">
        <f t="shared" si="404"/>
        <v>0</v>
      </c>
      <c r="AC3037" s="859"/>
      <c r="AD3037" s="863"/>
      <c r="AE3037" s="859"/>
      <c r="AF3037" s="859"/>
      <c r="AG3037" s="864"/>
      <c r="AH3037" s="865"/>
      <c r="AI3037" s="757">
        <f t="shared" si="408"/>
        <v>0</v>
      </c>
      <c r="AJ3037" s="758">
        <f t="shared" si="409"/>
        <v>0</v>
      </c>
    </row>
    <row r="3038" spans="1:36" x14ac:dyDescent="0.2">
      <c r="A3038" s="1022" t="s">
        <v>157</v>
      </c>
      <c r="B3038" s="1023" t="s">
        <v>264</v>
      </c>
      <c r="C3038" s="1142" t="s">
        <v>1028</v>
      </c>
      <c r="D3038" s="1143"/>
      <c r="E3038" s="1140">
        <v>438708</v>
      </c>
      <c r="F3038" s="1027">
        <v>10</v>
      </c>
      <c r="G3038" s="859">
        <v>2100509</v>
      </c>
      <c r="H3038" s="1134">
        <v>1924011</v>
      </c>
      <c r="I3038" s="861"/>
      <c r="J3038" s="862"/>
      <c r="K3038" s="859"/>
      <c r="L3038" s="863"/>
      <c r="M3038" s="859">
        <v>1585677</v>
      </c>
      <c r="N3038" s="859"/>
      <c r="O3038" s="752">
        <f t="shared" si="402"/>
        <v>1585677</v>
      </c>
      <c r="P3038" s="1517">
        <v>1734129</v>
      </c>
      <c r="Q3038" s="860"/>
      <c r="R3038" s="753">
        <f t="shared" si="405"/>
        <v>1734129</v>
      </c>
      <c r="S3038" s="752">
        <f t="shared" si="406"/>
        <v>3686186</v>
      </c>
      <c r="T3038" s="754">
        <f t="shared" si="407"/>
        <v>3658140</v>
      </c>
      <c r="U3038" s="859"/>
      <c r="V3038" s="863"/>
      <c r="W3038" s="859"/>
      <c r="X3038" s="859"/>
      <c r="Y3038" s="755">
        <f t="shared" si="403"/>
        <v>0</v>
      </c>
      <c r="Z3038" s="864"/>
      <c r="AA3038" s="863"/>
      <c r="AB3038" s="756">
        <f t="shared" si="404"/>
        <v>0</v>
      </c>
      <c r="AC3038" s="859"/>
      <c r="AD3038" s="863"/>
      <c r="AE3038" s="859"/>
      <c r="AF3038" s="859"/>
      <c r="AG3038" s="864"/>
      <c r="AH3038" s="865"/>
      <c r="AI3038" s="757">
        <f t="shared" si="408"/>
        <v>3686186</v>
      </c>
      <c r="AJ3038" s="758">
        <f t="shared" si="409"/>
        <v>3658140</v>
      </c>
    </row>
    <row r="3039" spans="1:36" x14ac:dyDescent="0.2">
      <c r="A3039" s="1022" t="s">
        <v>157</v>
      </c>
      <c r="B3039" s="1023" t="s">
        <v>272</v>
      </c>
      <c r="C3039" s="1030" t="s">
        <v>970</v>
      </c>
      <c r="D3039" s="1029"/>
      <c r="E3039" s="1140">
        <v>438708</v>
      </c>
      <c r="F3039" s="1027">
        <v>10</v>
      </c>
      <c r="G3039" s="859"/>
      <c r="H3039" s="1134"/>
      <c r="I3039" s="861"/>
      <c r="J3039" s="862"/>
      <c r="K3039" s="859"/>
      <c r="L3039" s="863"/>
      <c r="M3039" s="859"/>
      <c r="N3039" s="859"/>
      <c r="O3039" s="752">
        <f t="shared" si="402"/>
        <v>0</v>
      </c>
      <c r="P3039" s="862"/>
      <c r="Q3039" s="860"/>
      <c r="R3039" s="753">
        <f t="shared" si="405"/>
        <v>0</v>
      </c>
      <c r="S3039" s="752">
        <f t="shared" si="406"/>
        <v>0</v>
      </c>
      <c r="T3039" s="754">
        <f t="shared" si="407"/>
        <v>0</v>
      </c>
      <c r="U3039" s="859"/>
      <c r="V3039" s="863"/>
      <c r="W3039" s="859"/>
      <c r="X3039" s="859"/>
      <c r="Y3039" s="755">
        <f t="shared" si="403"/>
        <v>0</v>
      </c>
      <c r="Z3039" s="864"/>
      <c r="AA3039" s="863"/>
      <c r="AB3039" s="756">
        <f t="shared" si="404"/>
        <v>0</v>
      </c>
      <c r="AC3039" s="859"/>
      <c r="AD3039" s="863"/>
      <c r="AE3039" s="859"/>
      <c r="AF3039" s="859"/>
      <c r="AG3039" s="864"/>
      <c r="AH3039" s="865"/>
      <c r="AI3039" s="757">
        <f t="shared" si="408"/>
        <v>0</v>
      </c>
      <c r="AJ3039" s="758">
        <f t="shared" si="409"/>
        <v>0</v>
      </c>
    </row>
    <row r="3040" spans="1:36" x14ac:dyDescent="0.2">
      <c r="A3040" s="1022" t="s">
        <v>157</v>
      </c>
      <c r="B3040" s="1023" t="s">
        <v>264</v>
      </c>
      <c r="C3040" s="1031" t="s">
        <v>1029</v>
      </c>
      <c r="D3040" s="1034"/>
      <c r="E3040" s="1140">
        <v>237899</v>
      </c>
      <c r="F3040" s="1027">
        <v>10</v>
      </c>
      <c r="G3040" s="859">
        <v>4125664</v>
      </c>
      <c r="H3040" s="1134">
        <v>3778999</v>
      </c>
      <c r="I3040" s="861"/>
      <c r="J3040" s="862"/>
      <c r="K3040" s="859"/>
      <c r="L3040" s="863"/>
      <c r="M3040" s="859">
        <v>5193308</v>
      </c>
      <c r="N3040" s="859" t="s">
        <v>91</v>
      </c>
      <c r="O3040" s="752">
        <f t="shared" si="402"/>
        <v>5193308</v>
      </c>
      <c r="P3040" s="1517">
        <v>5864998</v>
      </c>
      <c r="Q3040" s="860"/>
      <c r="R3040" s="753">
        <f t="shared" si="405"/>
        <v>5864998</v>
      </c>
      <c r="S3040" s="752">
        <f t="shared" si="406"/>
        <v>9318972</v>
      </c>
      <c r="T3040" s="754">
        <f t="shared" si="407"/>
        <v>9643997</v>
      </c>
      <c r="U3040" s="859"/>
      <c r="V3040" s="863"/>
      <c r="W3040" s="859"/>
      <c r="X3040" s="859"/>
      <c r="Y3040" s="755">
        <f t="shared" si="403"/>
        <v>0</v>
      </c>
      <c r="Z3040" s="864"/>
      <c r="AA3040" s="863"/>
      <c r="AB3040" s="756">
        <f t="shared" si="404"/>
        <v>0</v>
      </c>
      <c r="AC3040" s="859"/>
      <c r="AD3040" s="863"/>
      <c r="AE3040" s="859"/>
      <c r="AF3040" s="859"/>
      <c r="AG3040" s="864"/>
      <c r="AH3040" s="865"/>
      <c r="AI3040" s="757">
        <f t="shared" si="408"/>
        <v>9318972</v>
      </c>
      <c r="AJ3040" s="758">
        <f t="shared" si="409"/>
        <v>9643997</v>
      </c>
    </row>
    <row r="3041" spans="1:36" x14ac:dyDescent="0.2">
      <c r="A3041" s="1022" t="s">
        <v>157</v>
      </c>
      <c r="B3041" s="1023" t="s">
        <v>272</v>
      </c>
      <c r="C3041" s="1030" t="s">
        <v>970</v>
      </c>
      <c r="D3041" s="1029"/>
      <c r="E3041" s="1140">
        <v>237899</v>
      </c>
      <c r="F3041" s="1027">
        <v>10</v>
      </c>
      <c r="G3041" s="859"/>
      <c r="H3041" s="1134"/>
      <c r="I3041" s="861"/>
      <c r="J3041" s="862"/>
      <c r="K3041" s="859"/>
      <c r="L3041" s="863"/>
      <c r="M3041" s="859"/>
      <c r="N3041" s="859"/>
      <c r="O3041" s="752">
        <f t="shared" si="402"/>
        <v>0</v>
      </c>
      <c r="P3041" s="862"/>
      <c r="Q3041" s="860"/>
      <c r="R3041" s="753">
        <f t="shared" si="405"/>
        <v>0</v>
      </c>
      <c r="S3041" s="752">
        <f t="shared" si="406"/>
        <v>0</v>
      </c>
      <c r="T3041" s="754">
        <f t="shared" si="407"/>
        <v>0</v>
      </c>
      <c r="U3041" s="859"/>
      <c r="V3041" s="863"/>
      <c r="W3041" s="859"/>
      <c r="X3041" s="859"/>
      <c r="Y3041" s="755">
        <f t="shared" si="403"/>
        <v>0</v>
      </c>
      <c r="Z3041" s="864"/>
      <c r="AA3041" s="863"/>
      <c r="AB3041" s="756">
        <f t="shared" si="404"/>
        <v>0</v>
      </c>
      <c r="AC3041" s="859"/>
      <c r="AD3041" s="863"/>
      <c r="AE3041" s="859"/>
      <c r="AF3041" s="859"/>
      <c r="AG3041" s="864"/>
      <c r="AH3041" s="865"/>
      <c r="AI3041" s="757">
        <f t="shared" si="408"/>
        <v>0</v>
      </c>
      <c r="AJ3041" s="758">
        <f t="shared" si="409"/>
        <v>0</v>
      </c>
    </row>
    <row r="3042" spans="1:36" x14ac:dyDescent="0.2">
      <c r="A3042" s="1022" t="s">
        <v>157</v>
      </c>
      <c r="B3042" s="1023" t="s">
        <v>264</v>
      </c>
      <c r="C3042" s="1031" t="s">
        <v>1030</v>
      </c>
      <c r="D3042" s="1034"/>
      <c r="E3042" s="1140">
        <v>444954</v>
      </c>
      <c r="F3042" s="1027">
        <v>10</v>
      </c>
      <c r="G3042" s="859">
        <v>6352577</v>
      </c>
      <c r="H3042" s="1134">
        <v>5818793</v>
      </c>
      <c r="I3042" s="861"/>
      <c r="J3042" s="862"/>
      <c r="K3042" s="859"/>
      <c r="L3042" s="863"/>
      <c r="M3042" s="859">
        <v>9711715</v>
      </c>
      <c r="N3042" s="859">
        <v>212880</v>
      </c>
      <c r="O3042" s="752">
        <f t="shared" si="402"/>
        <v>9924595</v>
      </c>
      <c r="P3042" s="1517">
        <v>9711310</v>
      </c>
      <c r="Q3042" s="860">
        <v>213285</v>
      </c>
      <c r="R3042" s="753">
        <f t="shared" si="405"/>
        <v>9924595</v>
      </c>
      <c r="S3042" s="752">
        <f t="shared" si="406"/>
        <v>16064292</v>
      </c>
      <c r="T3042" s="754">
        <f t="shared" si="407"/>
        <v>15530103</v>
      </c>
      <c r="U3042" s="859"/>
      <c r="V3042" s="863"/>
      <c r="W3042" s="859"/>
      <c r="X3042" s="859"/>
      <c r="Y3042" s="755">
        <f t="shared" si="403"/>
        <v>0</v>
      </c>
      <c r="Z3042" s="864"/>
      <c r="AA3042" s="863"/>
      <c r="AB3042" s="756">
        <f t="shared" si="404"/>
        <v>0</v>
      </c>
      <c r="AC3042" s="859"/>
      <c r="AD3042" s="863"/>
      <c r="AE3042" s="859"/>
      <c r="AF3042" s="859"/>
      <c r="AG3042" s="864"/>
      <c r="AH3042" s="865"/>
      <c r="AI3042" s="757">
        <f t="shared" si="408"/>
        <v>16064292</v>
      </c>
      <c r="AJ3042" s="758">
        <f t="shared" si="409"/>
        <v>15530103</v>
      </c>
    </row>
    <row r="3043" spans="1:36" x14ac:dyDescent="0.2">
      <c r="A3043" s="1022" t="s">
        <v>157</v>
      </c>
      <c r="B3043" s="1023" t="s">
        <v>272</v>
      </c>
      <c r="C3043" s="1030" t="s">
        <v>970</v>
      </c>
      <c r="D3043" s="1029"/>
      <c r="E3043" s="1140">
        <v>444954</v>
      </c>
      <c r="F3043" s="1027">
        <v>10</v>
      </c>
      <c r="G3043" s="859"/>
      <c r="H3043" s="1134"/>
      <c r="I3043" s="861"/>
      <c r="J3043" s="862"/>
      <c r="K3043" s="859"/>
      <c r="L3043" s="863"/>
      <c r="M3043" s="859"/>
      <c r="N3043" s="859"/>
      <c r="O3043" s="752">
        <f t="shared" si="402"/>
        <v>0</v>
      </c>
      <c r="P3043" s="862"/>
      <c r="Q3043" s="860"/>
      <c r="R3043" s="753">
        <f t="shared" si="405"/>
        <v>0</v>
      </c>
      <c r="S3043" s="752">
        <f t="shared" si="406"/>
        <v>0</v>
      </c>
      <c r="T3043" s="754">
        <f t="shared" si="407"/>
        <v>0</v>
      </c>
      <c r="U3043" s="859"/>
      <c r="V3043" s="863"/>
      <c r="W3043" s="859"/>
      <c r="X3043" s="859"/>
      <c r="Y3043" s="755">
        <f t="shared" si="403"/>
        <v>0</v>
      </c>
      <c r="Z3043" s="864"/>
      <c r="AA3043" s="863"/>
      <c r="AB3043" s="756">
        <f t="shared" si="404"/>
        <v>0</v>
      </c>
      <c r="AC3043" s="859"/>
      <c r="AD3043" s="863"/>
      <c r="AE3043" s="859"/>
      <c r="AF3043" s="859"/>
      <c r="AG3043" s="864"/>
      <c r="AH3043" s="865"/>
      <c r="AI3043" s="757">
        <f t="shared" si="408"/>
        <v>0</v>
      </c>
      <c r="AJ3043" s="758">
        <f t="shared" si="409"/>
        <v>0</v>
      </c>
    </row>
    <row r="3044" spans="1:36" x14ac:dyDescent="0.2">
      <c r="A3044" s="1022" t="s">
        <v>157</v>
      </c>
      <c r="B3044" s="1023" t="s">
        <v>264</v>
      </c>
      <c r="C3044" s="1142" t="s">
        <v>1031</v>
      </c>
      <c r="D3044" s="1143"/>
      <c r="E3044" s="1140">
        <v>237817</v>
      </c>
      <c r="F3044" s="1027">
        <v>10</v>
      </c>
      <c r="G3044" s="859">
        <v>8748731</v>
      </c>
      <c r="H3044" s="1134">
        <v>7973274</v>
      </c>
      <c r="I3044" s="861"/>
      <c r="J3044" s="862"/>
      <c r="K3044" s="859"/>
      <c r="L3044" s="863"/>
      <c r="M3044" s="859">
        <v>4784399</v>
      </c>
      <c r="N3044" s="859"/>
      <c r="O3044" s="752">
        <f t="shared" si="402"/>
        <v>4784399</v>
      </c>
      <c r="P3044" s="1517">
        <v>5044606</v>
      </c>
      <c r="Q3044" s="860"/>
      <c r="R3044" s="753">
        <f t="shared" si="405"/>
        <v>5044606</v>
      </c>
      <c r="S3044" s="752">
        <f t="shared" si="406"/>
        <v>13533130</v>
      </c>
      <c r="T3044" s="754">
        <f t="shared" si="407"/>
        <v>13017880</v>
      </c>
      <c r="U3044" s="859"/>
      <c r="V3044" s="863"/>
      <c r="W3044" s="859"/>
      <c r="X3044" s="859"/>
      <c r="Y3044" s="755">
        <f t="shared" si="403"/>
        <v>0</v>
      </c>
      <c r="Z3044" s="864"/>
      <c r="AA3044" s="863"/>
      <c r="AB3044" s="756">
        <f t="shared" si="404"/>
        <v>0</v>
      </c>
      <c r="AC3044" s="859"/>
      <c r="AD3044" s="863"/>
      <c r="AE3044" s="859"/>
      <c r="AF3044" s="859"/>
      <c r="AG3044" s="864"/>
      <c r="AH3044" s="865"/>
      <c r="AI3044" s="757">
        <f t="shared" si="408"/>
        <v>13533130</v>
      </c>
      <c r="AJ3044" s="758">
        <f t="shared" si="409"/>
        <v>13017880</v>
      </c>
    </row>
    <row r="3045" spans="1:36" x14ac:dyDescent="0.2">
      <c r="A3045" s="1022" t="s">
        <v>157</v>
      </c>
      <c r="B3045" s="1023" t="s">
        <v>272</v>
      </c>
      <c r="C3045" s="1030" t="s">
        <v>970</v>
      </c>
      <c r="D3045" s="1029"/>
      <c r="E3045" s="1140">
        <v>237817</v>
      </c>
      <c r="F3045" s="1027">
        <v>10</v>
      </c>
      <c r="G3045" s="859"/>
      <c r="H3045" s="1134"/>
      <c r="I3045" s="861">
        <v>480000</v>
      </c>
      <c r="J3045" s="862">
        <v>480000</v>
      </c>
      <c r="K3045" s="859"/>
      <c r="L3045" s="863"/>
      <c r="M3045" s="859"/>
      <c r="N3045" s="859"/>
      <c r="O3045" s="752">
        <f t="shared" si="402"/>
        <v>0</v>
      </c>
      <c r="P3045" s="862"/>
      <c r="Q3045" s="860"/>
      <c r="R3045" s="753">
        <f t="shared" si="405"/>
        <v>0</v>
      </c>
      <c r="S3045" s="752">
        <f t="shared" si="406"/>
        <v>480000</v>
      </c>
      <c r="T3045" s="754">
        <f t="shared" si="407"/>
        <v>480000</v>
      </c>
      <c r="U3045" s="859"/>
      <c r="V3045" s="863"/>
      <c r="W3045" s="859"/>
      <c r="X3045" s="859"/>
      <c r="Y3045" s="755">
        <f t="shared" si="403"/>
        <v>0</v>
      </c>
      <c r="Z3045" s="864"/>
      <c r="AA3045" s="863"/>
      <c r="AB3045" s="756">
        <f t="shared" si="404"/>
        <v>0</v>
      </c>
      <c r="AC3045" s="859"/>
      <c r="AD3045" s="863"/>
      <c r="AE3045" s="859"/>
      <c r="AF3045" s="859"/>
      <c r="AG3045" s="864"/>
      <c r="AH3045" s="865"/>
      <c r="AI3045" s="757">
        <f t="shared" si="408"/>
        <v>480000</v>
      </c>
      <c r="AJ3045" s="758">
        <f t="shared" si="409"/>
        <v>480000</v>
      </c>
    </row>
    <row r="3046" spans="1:36" x14ac:dyDescent="0.2">
      <c r="A3046" s="1022" t="s">
        <v>157</v>
      </c>
      <c r="B3046" s="1023" t="s">
        <v>301</v>
      </c>
      <c r="C3046" s="1142" t="s">
        <v>1032</v>
      </c>
      <c r="D3046" s="1143"/>
      <c r="E3046" s="1140">
        <v>237880</v>
      </c>
      <c r="F3046" s="1027">
        <v>15</v>
      </c>
      <c r="G3046" s="859"/>
      <c r="H3046" s="1134"/>
      <c r="I3046" s="861"/>
      <c r="J3046" s="862"/>
      <c r="K3046" s="859"/>
      <c r="L3046" s="863"/>
      <c r="M3046" s="859" t="s">
        <v>91</v>
      </c>
      <c r="N3046" s="859"/>
      <c r="O3046" s="752">
        <f t="shared" si="402"/>
        <v>0</v>
      </c>
      <c r="P3046" s="862"/>
      <c r="Q3046" s="860"/>
      <c r="R3046" s="753">
        <f t="shared" si="405"/>
        <v>0</v>
      </c>
      <c r="S3046" s="752">
        <f t="shared" si="406"/>
        <v>0</v>
      </c>
      <c r="T3046" s="754">
        <f t="shared" si="407"/>
        <v>0</v>
      </c>
      <c r="U3046" s="859"/>
      <c r="V3046" s="863"/>
      <c r="W3046" s="859"/>
      <c r="X3046" s="859"/>
      <c r="Y3046" s="755">
        <f t="shared" si="403"/>
        <v>0</v>
      </c>
      <c r="Z3046" s="864"/>
      <c r="AA3046" s="863"/>
      <c r="AB3046" s="756">
        <f t="shared" si="404"/>
        <v>0</v>
      </c>
      <c r="AC3046" s="859">
        <v>7978095</v>
      </c>
      <c r="AD3046" s="863">
        <v>7185421</v>
      </c>
      <c r="AE3046" s="859">
        <v>32324710</v>
      </c>
      <c r="AF3046" s="859"/>
      <c r="AG3046" s="1518">
        <v>32275498</v>
      </c>
      <c r="AH3046" s="865"/>
      <c r="AI3046" s="757">
        <f t="shared" si="408"/>
        <v>40302805</v>
      </c>
      <c r="AJ3046" s="758">
        <f t="shared" si="409"/>
        <v>39460919</v>
      </c>
    </row>
    <row r="3047" spans="1:36" x14ac:dyDescent="0.2">
      <c r="A3047" s="1022" t="s">
        <v>157</v>
      </c>
      <c r="B3047" s="1023" t="s">
        <v>272</v>
      </c>
      <c r="C3047" s="1030" t="s">
        <v>970</v>
      </c>
      <c r="D3047" s="1029"/>
      <c r="E3047" s="1140">
        <v>237880</v>
      </c>
      <c r="F3047" s="1027">
        <v>15</v>
      </c>
      <c r="G3047" s="859"/>
      <c r="H3047" s="1134"/>
      <c r="I3047" s="861"/>
      <c r="J3047" s="862"/>
      <c r="K3047" s="859"/>
      <c r="L3047" s="863"/>
      <c r="M3047" s="859"/>
      <c r="N3047" s="859"/>
      <c r="O3047" s="752">
        <f t="shared" si="402"/>
        <v>0</v>
      </c>
      <c r="P3047" s="862"/>
      <c r="Q3047" s="860"/>
      <c r="R3047" s="753">
        <f t="shared" si="405"/>
        <v>0</v>
      </c>
      <c r="S3047" s="752">
        <f t="shared" si="406"/>
        <v>0</v>
      </c>
      <c r="T3047" s="754">
        <f t="shared" si="407"/>
        <v>0</v>
      </c>
      <c r="U3047" s="859"/>
      <c r="V3047" s="863"/>
      <c r="W3047" s="859"/>
      <c r="X3047" s="859"/>
      <c r="Y3047" s="755">
        <f t="shared" si="403"/>
        <v>0</v>
      </c>
      <c r="Z3047" s="864"/>
      <c r="AA3047" s="863"/>
      <c r="AB3047" s="756">
        <f t="shared" si="404"/>
        <v>0</v>
      </c>
      <c r="AC3047" s="859"/>
      <c r="AD3047" s="863"/>
      <c r="AE3047" s="859"/>
      <c r="AF3047" s="859"/>
      <c r="AG3047" s="864"/>
      <c r="AH3047" s="865"/>
      <c r="AI3047" s="757">
        <f t="shared" si="408"/>
        <v>0</v>
      </c>
      <c r="AJ3047" s="758">
        <f t="shared" si="409"/>
        <v>0</v>
      </c>
    </row>
    <row r="3048" spans="1:36" x14ac:dyDescent="0.2">
      <c r="A3048" s="1022" t="s">
        <v>157</v>
      </c>
      <c r="B3048" s="1023" t="s">
        <v>272</v>
      </c>
      <c r="C3048" s="1028" t="s">
        <v>996</v>
      </c>
      <c r="D3048" s="1029"/>
      <c r="E3048" s="1140">
        <v>237880</v>
      </c>
      <c r="F3048" s="1027">
        <v>15</v>
      </c>
      <c r="G3048" s="859"/>
      <c r="H3048" s="1134"/>
      <c r="I3048" s="861"/>
      <c r="J3048" s="862"/>
      <c r="K3048" s="859"/>
      <c r="L3048" s="863"/>
      <c r="M3048" s="859"/>
      <c r="N3048" s="859"/>
      <c r="O3048" s="752">
        <f t="shared" si="402"/>
        <v>0</v>
      </c>
      <c r="P3048" s="862"/>
      <c r="Q3048" s="860"/>
      <c r="R3048" s="753">
        <f t="shared" si="405"/>
        <v>0</v>
      </c>
      <c r="S3048" s="752">
        <f t="shared" si="406"/>
        <v>0</v>
      </c>
      <c r="T3048" s="754">
        <f t="shared" si="407"/>
        <v>0</v>
      </c>
      <c r="U3048" s="859"/>
      <c r="V3048" s="863"/>
      <c r="W3048" s="859"/>
      <c r="X3048" s="859"/>
      <c r="Y3048" s="755">
        <f t="shared" si="403"/>
        <v>0</v>
      </c>
      <c r="Z3048" s="864"/>
      <c r="AA3048" s="863"/>
      <c r="AB3048" s="756">
        <f t="shared" si="404"/>
        <v>0</v>
      </c>
      <c r="AC3048" s="859">
        <v>174476</v>
      </c>
      <c r="AD3048" s="863">
        <v>158872</v>
      </c>
      <c r="AE3048" s="859"/>
      <c r="AF3048" s="859"/>
      <c r="AG3048" s="864"/>
      <c r="AH3048" s="865"/>
      <c r="AI3048" s="757">
        <f t="shared" si="408"/>
        <v>174476</v>
      </c>
      <c r="AJ3048" s="758">
        <f t="shared" si="409"/>
        <v>158872</v>
      </c>
    </row>
    <row r="3049" spans="1:36" x14ac:dyDescent="0.2">
      <c r="A3049" s="1022" t="s">
        <v>157</v>
      </c>
      <c r="B3049" s="1023" t="s">
        <v>273</v>
      </c>
      <c r="C3049" s="1037" t="s">
        <v>787</v>
      </c>
      <c r="D3049" s="1025"/>
      <c r="E3049" s="1148"/>
      <c r="F3049" s="1149"/>
      <c r="G3049" s="859"/>
      <c r="H3049" s="1134"/>
      <c r="I3049" s="861"/>
      <c r="J3049" s="862"/>
      <c r="K3049" s="859"/>
      <c r="L3049" s="863"/>
      <c r="M3049" s="859"/>
      <c r="N3049" s="859"/>
      <c r="O3049" s="752">
        <f t="shared" si="402"/>
        <v>0</v>
      </c>
      <c r="P3049" s="862"/>
      <c r="Q3049" s="860"/>
      <c r="R3049" s="753">
        <f t="shared" si="405"/>
        <v>0</v>
      </c>
      <c r="S3049" s="752">
        <f t="shared" si="406"/>
        <v>0</v>
      </c>
      <c r="T3049" s="754">
        <f t="shared" si="407"/>
        <v>0</v>
      </c>
      <c r="U3049" s="859"/>
      <c r="V3049" s="863"/>
      <c r="W3049" s="859"/>
      <c r="X3049" s="859"/>
      <c r="Y3049" s="755">
        <f t="shared" si="403"/>
        <v>0</v>
      </c>
      <c r="Z3049" s="864"/>
      <c r="AA3049" s="863"/>
      <c r="AB3049" s="756">
        <f t="shared" si="404"/>
        <v>0</v>
      </c>
      <c r="AC3049" s="859"/>
      <c r="AD3049" s="863"/>
      <c r="AE3049" s="859"/>
      <c r="AF3049" s="859"/>
      <c r="AG3049" s="864"/>
      <c r="AH3049" s="865"/>
      <c r="AI3049" s="757">
        <f t="shared" si="408"/>
        <v>0</v>
      </c>
      <c r="AJ3049" s="758">
        <f t="shared" si="409"/>
        <v>0</v>
      </c>
    </row>
    <row r="3050" spans="1:36" x14ac:dyDescent="0.2">
      <c r="A3050" s="1022" t="s">
        <v>157</v>
      </c>
      <c r="B3050" s="1023" t="s">
        <v>274</v>
      </c>
      <c r="C3050" s="1030" t="s">
        <v>319</v>
      </c>
      <c r="D3050" s="1029"/>
      <c r="E3050" s="1148"/>
      <c r="F3050" s="1149"/>
      <c r="G3050" s="859"/>
      <c r="H3050" s="1134"/>
      <c r="I3050" s="861"/>
      <c r="J3050" s="862"/>
      <c r="K3050" s="859"/>
      <c r="L3050" s="863"/>
      <c r="M3050" s="859"/>
      <c r="N3050" s="859"/>
      <c r="O3050" s="752">
        <f t="shared" si="402"/>
        <v>0</v>
      </c>
      <c r="P3050" s="862"/>
      <c r="Q3050" s="860"/>
      <c r="R3050" s="753">
        <f t="shared" si="405"/>
        <v>0</v>
      </c>
      <c r="S3050" s="752">
        <f t="shared" si="406"/>
        <v>0</v>
      </c>
      <c r="T3050" s="754">
        <f t="shared" si="407"/>
        <v>0</v>
      </c>
      <c r="U3050" s="859"/>
      <c r="V3050" s="863"/>
      <c r="W3050" s="859"/>
      <c r="X3050" s="859"/>
      <c r="Y3050" s="755">
        <f t="shared" si="403"/>
        <v>0</v>
      </c>
      <c r="Z3050" s="864"/>
      <c r="AA3050" s="863"/>
      <c r="AB3050" s="756">
        <f t="shared" si="404"/>
        <v>0</v>
      </c>
      <c r="AC3050" s="859"/>
      <c r="AD3050" s="863"/>
      <c r="AE3050" s="859"/>
      <c r="AF3050" s="859"/>
      <c r="AG3050" s="864"/>
      <c r="AH3050" s="865"/>
      <c r="AI3050" s="757">
        <f t="shared" si="408"/>
        <v>0</v>
      </c>
      <c r="AJ3050" s="758">
        <f t="shared" si="409"/>
        <v>0</v>
      </c>
    </row>
    <row r="3051" spans="1:36" x14ac:dyDescent="0.2">
      <c r="A3051" s="1022" t="s">
        <v>157</v>
      </c>
      <c r="B3051" s="1023" t="s">
        <v>274</v>
      </c>
      <c r="C3051" s="1028" t="s">
        <v>1033</v>
      </c>
      <c r="D3051" s="1029"/>
      <c r="E3051" s="1148"/>
      <c r="F3051" s="1149"/>
      <c r="G3051" s="859"/>
      <c r="H3051" s="1134"/>
      <c r="I3051" s="861"/>
      <c r="J3051" s="862"/>
      <c r="K3051" s="859"/>
      <c r="L3051" s="863"/>
      <c r="M3051" s="859"/>
      <c r="N3051" s="859"/>
      <c r="O3051" s="752">
        <f t="shared" si="402"/>
        <v>0</v>
      </c>
      <c r="P3051" s="862"/>
      <c r="Q3051" s="860"/>
      <c r="R3051" s="753">
        <f t="shared" si="405"/>
        <v>0</v>
      </c>
      <c r="S3051" s="752">
        <f t="shared" si="406"/>
        <v>0</v>
      </c>
      <c r="T3051" s="754">
        <f t="shared" si="407"/>
        <v>0</v>
      </c>
      <c r="U3051" s="859">
        <v>2819700</v>
      </c>
      <c r="V3051" s="863">
        <v>2598296</v>
      </c>
      <c r="W3051" s="859"/>
      <c r="X3051" s="859"/>
      <c r="Y3051" s="755">
        <f t="shared" si="403"/>
        <v>0</v>
      </c>
      <c r="Z3051" s="864"/>
      <c r="AA3051" s="863"/>
      <c r="AB3051" s="756">
        <f t="shared" si="404"/>
        <v>0</v>
      </c>
      <c r="AC3051" s="859"/>
      <c r="AD3051" s="863"/>
      <c r="AE3051" s="859"/>
      <c r="AF3051" s="859"/>
      <c r="AG3051" s="864"/>
      <c r="AH3051" s="865"/>
      <c r="AI3051" s="757">
        <f t="shared" si="408"/>
        <v>2819700</v>
      </c>
      <c r="AJ3051" s="758">
        <f t="shared" si="409"/>
        <v>2598296</v>
      </c>
    </row>
    <row r="3052" spans="1:36" x14ac:dyDescent="0.2">
      <c r="A3052" s="1022" t="s">
        <v>157</v>
      </c>
      <c r="B3052" s="1023" t="s">
        <v>274</v>
      </c>
      <c r="C3052" s="1028" t="s">
        <v>1034</v>
      </c>
      <c r="D3052" s="1029"/>
      <c r="E3052" s="1148"/>
      <c r="F3052" s="1149"/>
      <c r="G3052" s="859"/>
      <c r="H3052" s="1134"/>
      <c r="I3052" s="861"/>
      <c r="J3052" s="862"/>
      <c r="K3052" s="859"/>
      <c r="L3052" s="863"/>
      <c r="M3052" s="859"/>
      <c r="N3052" s="859"/>
      <c r="O3052" s="752">
        <f t="shared" si="402"/>
        <v>0</v>
      </c>
      <c r="P3052" s="862"/>
      <c r="Q3052" s="860"/>
      <c r="R3052" s="753">
        <f t="shared" si="405"/>
        <v>0</v>
      </c>
      <c r="S3052" s="752">
        <f t="shared" si="406"/>
        <v>0</v>
      </c>
      <c r="T3052" s="754">
        <f t="shared" si="407"/>
        <v>0</v>
      </c>
      <c r="U3052" s="859">
        <v>98709</v>
      </c>
      <c r="V3052" s="863">
        <v>89882</v>
      </c>
      <c r="W3052" s="859"/>
      <c r="X3052" s="859"/>
      <c r="Y3052" s="755">
        <f t="shared" si="403"/>
        <v>0</v>
      </c>
      <c r="Z3052" s="864"/>
      <c r="AA3052" s="863"/>
      <c r="AB3052" s="756">
        <f t="shared" si="404"/>
        <v>0</v>
      </c>
      <c r="AC3052" s="859"/>
      <c r="AD3052" s="863"/>
      <c r="AE3052" s="859"/>
      <c r="AF3052" s="859"/>
      <c r="AG3052" s="864"/>
      <c r="AH3052" s="865"/>
      <c r="AI3052" s="757">
        <f t="shared" si="408"/>
        <v>98709</v>
      </c>
      <c r="AJ3052" s="758">
        <f t="shared" si="409"/>
        <v>89882</v>
      </c>
    </row>
    <row r="3053" spans="1:36" x14ac:dyDescent="0.2">
      <c r="A3053" s="1150" t="s">
        <v>157</v>
      </c>
      <c r="B3053" s="1023" t="s">
        <v>274</v>
      </c>
      <c r="C3053" s="1028" t="s">
        <v>1035</v>
      </c>
      <c r="D3053" s="1029"/>
      <c r="E3053" s="1148"/>
      <c r="F3053" s="1149"/>
      <c r="G3053" s="859"/>
      <c r="H3053" s="1134"/>
      <c r="I3053" s="861"/>
      <c r="J3053" s="862"/>
      <c r="K3053" s="859"/>
      <c r="L3053" s="863"/>
      <c r="M3053" s="859"/>
      <c r="N3053" s="859"/>
      <c r="O3053" s="752">
        <f t="shared" si="402"/>
        <v>0</v>
      </c>
      <c r="P3053" s="862"/>
      <c r="Q3053" s="860"/>
      <c r="R3053" s="753">
        <f t="shared" si="405"/>
        <v>0</v>
      </c>
      <c r="S3053" s="752">
        <f t="shared" si="406"/>
        <v>0</v>
      </c>
      <c r="T3053" s="754">
        <f t="shared" si="407"/>
        <v>0</v>
      </c>
      <c r="U3053" s="859">
        <v>2416972</v>
      </c>
      <c r="V3053" s="863">
        <v>2354085</v>
      </c>
      <c r="W3053" s="859"/>
      <c r="X3053" s="859"/>
      <c r="Y3053" s="755">
        <f t="shared" si="403"/>
        <v>0</v>
      </c>
      <c r="Z3053" s="864"/>
      <c r="AA3053" s="863"/>
      <c r="AB3053" s="756">
        <f t="shared" si="404"/>
        <v>0</v>
      </c>
      <c r="AC3053" s="859"/>
      <c r="AD3053" s="863"/>
      <c r="AE3053" s="859"/>
      <c r="AF3053" s="859"/>
      <c r="AG3053" s="864"/>
      <c r="AH3053" s="865"/>
      <c r="AI3053" s="757">
        <f t="shared" si="408"/>
        <v>2416972</v>
      </c>
      <c r="AJ3053" s="758">
        <f t="shared" si="409"/>
        <v>2354085</v>
      </c>
    </row>
    <row r="3054" spans="1:36" x14ac:dyDescent="0.2">
      <c r="A3054" s="1150" t="s">
        <v>157</v>
      </c>
      <c r="B3054" s="1023" t="s">
        <v>275</v>
      </c>
      <c r="C3054" s="1028" t="s">
        <v>1036</v>
      </c>
      <c r="D3054" s="1029"/>
      <c r="E3054" s="1148"/>
      <c r="F3054" s="1149"/>
      <c r="G3054" s="859"/>
      <c r="H3054" s="1134"/>
      <c r="I3054" s="861"/>
      <c r="J3054" s="862"/>
      <c r="K3054" s="859"/>
      <c r="L3054" s="863"/>
      <c r="M3054" s="859"/>
      <c r="N3054" s="859"/>
      <c r="O3054" s="752">
        <f t="shared" si="402"/>
        <v>0</v>
      </c>
      <c r="P3054" s="862"/>
      <c r="Q3054" s="860"/>
      <c r="R3054" s="753">
        <f t="shared" si="405"/>
        <v>0</v>
      </c>
      <c r="S3054" s="752">
        <f t="shared" si="406"/>
        <v>0</v>
      </c>
      <c r="T3054" s="754">
        <f t="shared" si="407"/>
        <v>0</v>
      </c>
      <c r="U3054" s="859">
        <v>267882</v>
      </c>
      <c r="V3054" s="863">
        <v>243926</v>
      </c>
      <c r="W3054" s="859"/>
      <c r="X3054" s="859"/>
      <c r="Y3054" s="755">
        <f t="shared" si="403"/>
        <v>0</v>
      </c>
      <c r="Z3054" s="864"/>
      <c r="AA3054" s="863"/>
      <c r="AB3054" s="756">
        <f t="shared" si="404"/>
        <v>0</v>
      </c>
      <c r="AC3054" s="859"/>
      <c r="AD3054" s="863"/>
      <c r="AE3054" s="859"/>
      <c r="AF3054" s="859"/>
      <c r="AG3054" s="864"/>
      <c r="AH3054" s="865"/>
      <c r="AI3054" s="757">
        <f t="shared" si="408"/>
        <v>267882</v>
      </c>
      <c r="AJ3054" s="758">
        <f t="shared" si="409"/>
        <v>243926</v>
      </c>
    </row>
    <row r="3055" spans="1:36" x14ac:dyDescent="0.2">
      <c r="A3055" s="1150" t="s">
        <v>157</v>
      </c>
      <c r="B3055" s="1023" t="s">
        <v>303</v>
      </c>
      <c r="C3055" s="1037" t="s">
        <v>919</v>
      </c>
      <c r="D3055" s="1025"/>
      <c r="E3055" s="1148"/>
      <c r="F3055" s="1149"/>
      <c r="G3055" s="859"/>
      <c r="H3055" s="1134"/>
      <c r="I3055" s="861"/>
      <c r="J3055" s="862"/>
      <c r="K3055" s="859"/>
      <c r="L3055" s="863"/>
      <c r="M3055" s="859"/>
      <c r="N3055" s="859"/>
      <c r="O3055" s="752">
        <f t="shared" si="402"/>
        <v>0</v>
      </c>
      <c r="P3055" s="862"/>
      <c r="Q3055" s="860"/>
      <c r="R3055" s="753">
        <f t="shared" si="405"/>
        <v>0</v>
      </c>
      <c r="S3055" s="752">
        <f t="shared" si="406"/>
        <v>0</v>
      </c>
      <c r="T3055" s="754">
        <f t="shared" si="407"/>
        <v>0</v>
      </c>
      <c r="U3055" s="859"/>
      <c r="V3055" s="863"/>
      <c r="W3055" s="859"/>
      <c r="X3055" s="859"/>
      <c r="Y3055" s="755">
        <f t="shared" si="403"/>
        <v>0</v>
      </c>
      <c r="Z3055" s="864"/>
      <c r="AA3055" s="863"/>
      <c r="AB3055" s="756">
        <f t="shared" si="404"/>
        <v>0</v>
      </c>
      <c r="AC3055" s="859"/>
      <c r="AD3055" s="863"/>
      <c r="AE3055" s="859"/>
      <c r="AF3055" s="859"/>
      <c r="AG3055" s="864"/>
      <c r="AH3055" s="865"/>
      <c r="AI3055" s="757">
        <f t="shared" si="408"/>
        <v>0</v>
      </c>
      <c r="AJ3055" s="758">
        <f t="shared" si="409"/>
        <v>0</v>
      </c>
    </row>
    <row r="3056" spans="1:36" x14ac:dyDescent="0.2">
      <c r="A3056" s="1150" t="s">
        <v>157</v>
      </c>
      <c r="B3056" s="1023" t="s">
        <v>303</v>
      </c>
      <c r="C3056" s="1028" t="s">
        <v>1037</v>
      </c>
      <c r="D3056" s="1029"/>
      <c r="E3056" s="1148"/>
      <c r="F3056" s="1149"/>
      <c r="G3056" s="859"/>
      <c r="H3056" s="1134"/>
      <c r="I3056" s="861">
        <v>333500</v>
      </c>
      <c r="J3056" s="862">
        <v>305478</v>
      </c>
      <c r="K3056" s="859"/>
      <c r="L3056" s="863"/>
      <c r="M3056" s="859"/>
      <c r="N3056" s="859"/>
      <c r="O3056" s="752">
        <f t="shared" si="402"/>
        <v>0</v>
      </c>
      <c r="P3056" s="862"/>
      <c r="Q3056" s="860"/>
      <c r="R3056" s="753">
        <f t="shared" si="405"/>
        <v>0</v>
      </c>
      <c r="S3056" s="752">
        <f t="shared" si="406"/>
        <v>333500</v>
      </c>
      <c r="T3056" s="754">
        <f t="shared" si="407"/>
        <v>305478</v>
      </c>
      <c r="U3056" s="859"/>
      <c r="V3056" s="863"/>
      <c r="W3056" s="859"/>
      <c r="X3056" s="859"/>
      <c r="Y3056" s="755">
        <f t="shared" si="403"/>
        <v>0</v>
      </c>
      <c r="Z3056" s="864"/>
      <c r="AA3056" s="863"/>
      <c r="AB3056" s="756">
        <f t="shared" si="404"/>
        <v>0</v>
      </c>
      <c r="AC3056" s="859"/>
      <c r="AD3056" s="863"/>
      <c r="AE3056" s="859"/>
      <c r="AF3056" s="859"/>
      <c r="AG3056" s="864"/>
      <c r="AH3056" s="865"/>
      <c r="AI3056" s="757">
        <f t="shared" si="408"/>
        <v>333500</v>
      </c>
      <c r="AJ3056" s="758">
        <f t="shared" si="409"/>
        <v>305478</v>
      </c>
    </row>
    <row r="3057" spans="1:36" x14ac:dyDescent="0.2">
      <c r="A3057" s="1150" t="s">
        <v>157</v>
      </c>
      <c r="B3057" s="1023" t="s">
        <v>303</v>
      </c>
      <c r="C3057" s="1028" t="s">
        <v>1038</v>
      </c>
      <c r="D3057" s="1029"/>
      <c r="E3057" s="1148"/>
      <c r="F3057" s="1149"/>
      <c r="G3057" s="859"/>
      <c r="H3057" s="1134"/>
      <c r="I3057" s="861"/>
      <c r="J3057" s="862"/>
      <c r="K3057" s="859"/>
      <c r="L3057" s="863"/>
      <c r="M3057" s="859"/>
      <c r="N3057" s="859"/>
      <c r="O3057" s="752">
        <f t="shared" si="402"/>
        <v>0</v>
      </c>
      <c r="P3057" s="862"/>
      <c r="Q3057" s="860"/>
      <c r="R3057" s="753">
        <f t="shared" si="405"/>
        <v>0</v>
      </c>
      <c r="S3057" s="752">
        <f t="shared" si="406"/>
        <v>0</v>
      </c>
      <c r="T3057" s="754">
        <f t="shared" si="407"/>
        <v>0</v>
      </c>
      <c r="U3057" s="859">
        <v>80000</v>
      </c>
      <c r="V3057" s="863">
        <v>73278</v>
      </c>
      <c r="W3057" s="859"/>
      <c r="X3057" s="859"/>
      <c r="Y3057" s="755">
        <f t="shared" si="403"/>
        <v>0</v>
      </c>
      <c r="Z3057" s="864"/>
      <c r="AA3057" s="863"/>
      <c r="AB3057" s="756">
        <f t="shared" si="404"/>
        <v>0</v>
      </c>
      <c r="AC3057" s="859"/>
      <c r="AD3057" s="863"/>
      <c r="AE3057" s="859"/>
      <c r="AF3057" s="859"/>
      <c r="AG3057" s="864"/>
      <c r="AH3057" s="865"/>
      <c r="AI3057" s="757">
        <f t="shared" si="408"/>
        <v>80000</v>
      </c>
      <c r="AJ3057" s="758">
        <f t="shared" si="409"/>
        <v>73278</v>
      </c>
    </row>
    <row r="3058" spans="1:36" x14ac:dyDescent="0.2">
      <c r="A3058" s="1150" t="s">
        <v>157</v>
      </c>
      <c r="B3058" s="1023" t="s">
        <v>303</v>
      </c>
      <c r="C3058" s="1028" t="s">
        <v>1039</v>
      </c>
      <c r="D3058" s="1029"/>
      <c r="E3058" s="1148"/>
      <c r="F3058" s="1149"/>
      <c r="G3058" s="859"/>
      <c r="H3058" s="1134"/>
      <c r="I3058" s="861"/>
      <c r="J3058" s="862"/>
      <c r="K3058" s="859"/>
      <c r="L3058" s="863"/>
      <c r="M3058" s="859"/>
      <c r="N3058" s="859"/>
      <c r="O3058" s="752">
        <f t="shared" si="402"/>
        <v>0</v>
      </c>
      <c r="P3058" s="862"/>
      <c r="Q3058" s="860"/>
      <c r="R3058" s="753">
        <f t="shared" si="405"/>
        <v>0</v>
      </c>
      <c r="S3058" s="752">
        <f t="shared" si="406"/>
        <v>0</v>
      </c>
      <c r="T3058" s="754">
        <f t="shared" si="407"/>
        <v>0</v>
      </c>
      <c r="U3058" s="859">
        <v>6823120</v>
      </c>
      <c r="V3058" s="863">
        <v>6249800</v>
      </c>
      <c r="W3058" s="859"/>
      <c r="X3058" s="859"/>
      <c r="Y3058" s="755">
        <f t="shared" si="403"/>
        <v>0</v>
      </c>
      <c r="Z3058" s="864"/>
      <c r="AA3058" s="863"/>
      <c r="AB3058" s="756">
        <f t="shared" si="404"/>
        <v>0</v>
      </c>
      <c r="AC3058" s="859"/>
      <c r="AD3058" s="863"/>
      <c r="AE3058" s="859"/>
      <c r="AF3058" s="859"/>
      <c r="AG3058" s="864"/>
      <c r="AH3058" s="865"/>
      <c r="AI3058" s="757">
        <f t="shared" si="408"/>
        <v>6823120</v>
      </c>
      <c r="AJ3058" s="758">
        <f t="shared" si="409"/>
        <v>6249800</v>
      </c>
    </row>
    <row r="3059" spans="1:36" x14ac:dyDescent="0.2">
      <c r="A3059" s="1150" t="s">
        <v>157</v>
      </c>
      <c r="B3059" s="1023" t="s">
        <v>281</v>
      </c>
      <c r="C3059" s="1037" t="s">
        <v>109</v>
      </c>
      <c r="D3059" s="1025"/>
      <c r="E3059" s="1148"/>
      <c r="F3059" s="1149"/>
      <c r="G3059" s="859"/>
      <c r="H3059" s="1134"/>
      <c r="I3059" s="861"/>
      <c r="J3059" s="862"/>
      <c r="K3059" s="859"/>
      <c r="L3059" s="863"/>
      <c r="M3059" s="859"/>
      <c r="N3059" s="859"/>
      <c r="O3059" s="752">
        <f t="shared" si="402"/>
        <v>0</v>
      </c>
      <c r="P3059" s="862"/>
      <c r="Q3059" s="860"/>
      <c r="R3059" s="753">
        <f t="shared" si="405"/>
        <v>0</v>
      </c>
      <c r="S3059" s="752">
        <f t="shared" si="406"/>
        <v>0</v>
      </c>
      <c r="T3059" s="754">
        <f t="shared" si="407"/>
        <v>0</v>
      </c>
      <c r="U3059" s="859"/>
      <c r="V3059" s="863"/>
      <c r="W3059" s="859"/>
      <c r="X3059" s="859"/>
      <c r="Y3059" s="755">
        <f t="shared" si="403"/>
        <v>0</v>
      </c>
      <c r="Z3059" s="864"/>
      <c r="AA3059" s="863"/>
      <c r="AB3059" s="756">
        <f t="shared" si="404"/>
        <v>0</v>
      </c>
      <c r="AC3059" s="859"/>
      <c r="AD3059" s="863"/>
      <c r="AE3059" s="859"/>
      <c r="AF3059" s="859"/>
      <c r="AG3059" s="864"/>
      <c r="AH3059" s="865"/>
      <c r="AI3059" s="757">
        <f t="shared" si="408"/>
        <v>0</v>
      </c>
      <c r="AJ3059" s="758">
        <f t="shared" si="409"/>
        <v>0</v>
      </c>
    </row>
    <row r="3060" spans="1:36" x14ac:dyDescent="0.2">
      <c r="A3060" s="1150" t="s">
        <v>157</v>
      </c>
      <c r="B3060" s="1023" t="s">
        <v>282</v>
      </c>
      <c r="C3060" s="1030" t="s">
        <v>140</v>
      </c>
      <c r="D3060" s="1029"/>
      <c r="E3060" s="1148"/>
      <c r="F3060" s="1149"/>
      <c r="G3060" s="859"/>
      <c r="H3060" s="1134"/>
      <c r="I3060" s="861"/>
      <c r="J3060" s="862"/>
      <c r="K3060" s="859"/>
      <c r="L3060" s="863"/>
      <c r="M3060" s="859"/>
      <c r="N3060" s="859"/>
      <c r="O3060" s="752">
        <f t="shared" si="402"/>
        <v>0</v>
      </c>
      <c r="P3060" s="862"/>
      <c r="Q3060" s="860"/>
      <c r="R3060" s="753">
        <f t="shared" si="405"/>
        <v>0</v>
      </c>
      <c r="S3060" s="752">
        <f t="shared" si="406"/>
        <v>0</v>
      </c>
      <c r="T3060" s="754">
        <f t="shared" si="407"/>
        <v>0</v>
      </c>
      <c r="U3060" s="859"/>
      <c r="V3060" s="863"/>
      <c r="W3060" s="859"/>
      <c r="X3060" s="859"/>
      <c r="Y3060" s="755">
        <f t="shared" si="403"/>
        <v>0</v>
      </c>
      <c r="Z3060" s="864"/>
      <c r="AA3060" s="863"/>
      <c r="AB3060" s="756">
        <f t="shared" si="404"/>
        <v>0</v>
      </c>
      <c r="AC3060" s="859"/>
      <c r="AD3060" s="863"/>
      <c r="AE3060" s="859"/>
      <c r="AF3060" s="859"/>
      <c r="AG3060" s="864"/>
      <c r="AH3060" s="865"/>
      <c r="AI3060" s="757">
        <f t="shared" si="408"/>
        <v>0</v>
      </c>
      <c r="AJ3060" s="758">
        <f t="shared" si="409"/>
        <v>0</v>
      </c>
    </row>
    <row r="3061" spans="1:36" x14ac:dyDescent="0.2">
      <c r="A3061" s="1150" t="s">
        <v>157</v>
      </c>
      <c r="B3061" s="1023" t="s">
        <v>282</v>
      </c>
      <c r="C3061" s="1030" t="s">
        <v>1040</v>
      </c>
      <c r="D3061" s="1029"/>
      <c r="E3061" s="1148"/>
      <c r="F3061" s="1149"/>
      <c r="G3061" s="859"/>
      <c r="H3061" s="1134"/>
      <c r="I3061" s="861"/>
      <c r="J3061" s="862"/>
      <c r="K3061" s="859"/>
      <c r="L3061" s="863"/>
      <c r="M3061" s="859"/>
      <c r="N3061" s="859"/>
      <c r="O3061" s="752">
        <f t="shared" si="402"/>
        <v>0</v>
      </c>
      <c r="P3061" s="862"/>
      <c r="Q3061" s="860"/>
      <c r="R3061" s="753">
        <f t="shared" si="405"/>
        <v>0</v>
      </c>
      <c r="S3061" s="752">
        <f t="shared" si="406"/>
        <v>0</v>
      </c>
      <c r="T3061" s="754">
        <f t="shared" si="407"/>
        <v>0</v>
      </c>
      <c r="U3061" s="859">
        <v>3110997</v>
      </c>
      <c r="V3061" s="863">
        <v>2802089</v>
      </c>
      <c r="W3061" s="859"/>
      <c r="X3061" s="859"/>
      <c r="Y3061" s="755">
        <f t="shared" si="403"/>
        <v>0</v>
      </c>
      <c r="Z3061" s="864"/>
      <c r="AA3061" s="863"/>
      <c r="AB3061" s="756">
        <f t="shared" si="404"/>
        <v>0</v>
      </c>
      <c r="AC3061" s="859"/>
      <c r="AD3061" s="863"/>
      <c r="AE3061" s="859"/>
      <c r="AF3061" s="859"/>
      <c r="AG3061" s="864"/>
      <c r="AH3061" s="865"/>
      <c r="AI3061" s="757">
        <f t="shared" si="408"/>
        <v>3110997</v>
      </c>
      <c r="AJ3061" s="758">
        <f t="shared" si="409"/>
        <v>2802089</v>
      </c>
    </row>
    <row r="3062" spans="1:36" x14ac:dyDescent="0.2">
      <c r="A3062" s="1150" t="s">
        <v>157</v>
      </c>
      <c r="B3062" s="1023" t="s">
        <v>282</v>
      </c>
      <c r="C3062" s="1030" t="s">
        <v>1041</v>
      </c>
      <c r="D3062" s="1029"/>
      <c r="E3062" s="1148"/>
      <c r="F3062" s="1149"/>
      <c r="G3062" s="859"/>
      <c r="H3062" s="1134"/>
      <c r="I3062" s="861"/>
      <c r="J3062" s="862"/>
      <c r="K3062" s="859"/>
      <c r="L3062" s="863"/>
      <c r="M3062" s="859"/>
      <c r="N3062" s="859"/>
      <c r="O3062" s="752">
        <f t="shared" si="402"/>
        <v>0</v>
      </c>
      <c r="P3062" s="862"/>
      <c r="Q3062" s="860"/>
      <c r="R3062" s="753">
        <f t="shared" si="405"/>
        <v>0</v>
      </c>
      <c r="S3062" s="752">
        <f t="shared" si="406"/>
        <v>0</v>
      </c>
      <c r="T3062" s="754">
        <f t="shared" si="407"/>
        <v>0</v>
      </c>
      <c r="U3062" s="859">
        <v>1948443</v>
      </c>
      <c r="V3062" s="863">
        <v>1754853</v>
      </c>
      <c r="W3062" s="859"/>
      <c r="X3062" s="859"/>
      <c r="Y3062" s="755">
        <f t="shared" si="403"/>
        <v>0</v>
      </c>
      <c r="Z3062" s="864"/>
      <c r="AA3062" s="863"/>
      <c r="AB3062" s="756">
        <f t="shared" si="404"/>
        <v>0</v>
      </c>
      <c r="AC3062" s="859"/>
      <c r="AD3062" s="863"/>
      <c r="AE3062" s="859"/>
      <c r="AF3062" s="859"/>
      <c r="AG3062" s="864"/>
      <c r="AH3062" s="865"/>
      <c r="AI3062" s="757">
        <f t="shared" si="408"/>
        <v>1948443</v>
      </c>
      <c r="AJ3062" s="758">
        <f t="shared" si="409"/>
        <v>1754853</v>
      </c>
    </row>
    <row r="3063" spans="1:36" x14ac:dyDescent="0.2">
      <c r="A3063" s="1150" t="s">
        <v>157</v>
      </c>
      <c r="B3063" s="1023" t="s">
        <v>283</v>
      </c>
      <c r="C3063" s="1030" t="s">
        <v>139</v>
      </c>
      <c r="D3063" s="1029"/>
      <c r="E3063" s="1148"/>
      <c r="F3063" s="1149"/>
      <c r="G3063" s="859"/>
      <c r="H3063" s="1134"/>
      <c r="I3063" s="861"/>
      <c r="J3063" s="862"/>
      <c r="K3063" s="859"/>
      <c r="L3063" s="863"/>
      <c r="M3063" s="859"/>
      <c r="N3063" s="859"/>
      <c r="O3063" s="752">
        <f t="shared" si="402"/>
        <v>0</v>
      </c>
      <c r="P3063" s="862"/>
      <c r="Q3063" s="860"/>
      <c r="R3063" s="753">
        <f t="shared" si="405"/>
        <v>0</v>
      </c>
      <c r="S3063" s="752">
        <f t="shared" si="406"/>
        <v>0</v>
      </c>
      <c r="T3063" s="754">
        <f t="shared" si="407"/>
        <v>0</v>
      </c>
      <c r="U3063" s="859"/>
      <c r="V3063" s="863"/>
      <c r="W3063" s="859"/>
      <c r="X3063" s="859"/>
      <c r="Y3063" s="755">
        <f t="shared" si="403"/>
        <v>0</v>
      </c>
      <c r="Z3063" s="864"/>
      <c r="AA3063" s="863"/>
      <c r="AB3063" s="756">
        <f t="shared" si="404"/>
        <v>0</v>
      </c>
      <c r="AC3063" s="859"/>
      <c r="AD3063" s="863"/>
      <c r="AE3063" s="859"/>
      <c r="AF3063" s="859"/>
      <c r="AG3063" s="864"/>
      <c r="AH3063" s="865"/>
      <c r="AI3063" s="757">
        <f t="shared" si="408"/>
        <v>0</v>
      </c>
      <c r="AJ3063" s="758">
        <f t="shared" si="409"/>
        <v>0</v>
      </c>
    </row>
    <row r="3064" spans="1:36" x14ac:dyDescent="0.2">
      <c r="A3064" s="1150" t="s">
        <v>157</v>
      </c>
      <c r="B3064" s="1023" t="s">
        <v>283</v>
      </c>
      <c r="C3064" s="1028" t="s">
        <v>1042</v>
      </c>
      <c r="D3064" s="1029"/>
      <c r="E3064" s="1148"/>
      <c r="F3064" s="1149"/>
      <c r="G3064" s="859"/>
      <c r="H3064" s="1134"/>
      <c r="I3064" s="861"/>
      <c r="J3064" s="862"/>
      <c r="K3064" s="859"/>
      <c r="L3064" s="863"/>
      <c r="M3064" s="859"/>
      <c r="N3064" s="859"/>
      <c r="O3064" s="752">
        <f t="shared" si="402"/>
        <v>0</v>
      </c>
      <c r="P3064" s="862"/>
      <c r="Q3064" s="860"/>
      <c r="R3064" s="753">
        <f t="shared" si="405"/>
        <v>0</v>
      </c>
      <c r="S3064" s="752">
        <f t="shared" si="406"/>
        <v>0</v>
      </c>
      <c r="T3064" s="754">
        <f t="shared" si="407"/>
        <v>0</v>
      </c>
      <c r="U3064" s="859">
        <v>863576</v>
      </c>
      <c r="V3064" s="863">
        <v>791013</v>
      </c>
      <c r="W3064" s="859"/>
      <c r="X3064" s="859"/>
      <c r="Y3064" s="755">
        <f t="shared" si="403"/>
        <v>0</v>
      </c>
      <c r="Z3064" s="864"/>
      <c r="AA3064" s="863"/>
      <c r="AB3064" s="756">
        <f t="shared" si="404"/>
        <v>0</v>
      </c>
      <c r="AC3064" s="859"/>
      <c r="AD3064" s="863"/>
      <c r="AE3064" s="859"/>
      <c r="AF3064" s="859"/>
      <c r="AG3064" s="864"/>
      <c r="AH3064" s="865"/>
      <c r="AI3064" s="757">
        <f t="shared" si="408"/>
        <v>863576</v>
      </c>
      <c r="AJ3064" s="758">
        <f t="shared" si="409"/>
        <v>791013</v>
      </c>
    </row>
    <row r="3065" spans="1:36" x14ac:dyDescent="0.2">
      <c r="A3065" s="1150" t="s">
        <v>157</v>
      </c>
      <c r="B3065" s="1023" t="s">
        <v>284</v>
      </c>
      <c r="C3065" s="1030" t="s">
        <v>138</v>
      </c>
      <c r="D3065" s="1029"/>
      <c r="E3065" s="1148"/>
      <c r="F3065" s="1149"/>
      <c r="G3065" s="859"/>
      <c r="H3065" s="1134"/>
      <c r="I3065" s="861"/>
      <c r="J3065" s="862"/>
      <c r="K3065" s="859"/>
      <c r="L3065" s="863"/>
      <c r="M3065" s="859"/>
      <c r="N3065" s="859"/>
      <c r="O3065" s="752">
        <f t="shared" si="402"/>
        <v>0</v>
      </c>
      <c r="P3065" s="862"/>
      <c r="Q3065" s="860"/>
      <c r="R3065" s="753">
        <f t="shared" si="405"/>
        <v>0</v>
      </c>
      <c r="S3065" s="752">
        <f t="shared" si="406"/>
        <v>0</v>
      </c>
      <c r="T3065" s="754">
        <f t="shared" si="407"/>
        <v>0</v>
      </c>
      <c r="U3065" s="859"/>
      <c r="V3065" s="863"/>
      <c r="W3065" s="859"/>
      <c r="X3065" s="859"/>
      <c r="Y3065" s="755">
        <f t="shared" si="403"/>
        <v>0</v>
      </c>
      <c r="Z3065" s="864"/>
      <c r="AA3065" s="863"/>
      <c r="AB3065" s="756">
        <f t="shared" si="404"/>
        <v>0</v>
      </c>
      <c r="AC3065" s="859"/>
      <c r="AD3065" s="863"/>
      <c r="AE3065" s="859"/>
      <c r="AF3065" s="859"/>
      <c r="AG3065" s="864"/>
      <c r="AH3065" s="865"/>
      <c r="AI3065" s="757">
        <f t="shared" si="408"/>
        <v>0</v>
      </c>
      <c r="AJ3065" s="758">
        <f t="shared" si="409"/>
        <v>0</v>
      </c>
    </row>
    <row r="3066" spans="1:36" x14ac:dyDescent="0.2">
      <c r="A3066" s="1150" t="s">
        <v>157</v>
      </c>
      <c r="B3066" s="1023" t="s">
        <v>285</v>
      </c>
      <c r="C3066" s="1030" t="s">
        <v>646</v>
      </c>
      <c r="D3066" s="1029"/>
      <c r="E3066" s="1148"/>
      <c r="F3066" s="1149"/>
      <c r="G3066" s="859"/>
      <c r="H3066" s="1134"/>
      <c r="I3066" s="861"/>
      <c r="J3066" s="862"/>
      <c r="K3066" s="859"/>
      <c r="L3066" s="863"/>
      <c r="M3066" s="859"/>
      <c r="N3066" s="859"/>
      <c r="O3066" s="752">
        <f t="shared" si="402"/>
        <v>0</v>
      </c>
      <c r="P3066" s="862"/>
      <c r="Q3066" s="860"/>
      <c r="R3066" s="753">
        <f t="shared" si="405"/>
        <v>0</v>
      </c>
      <c r="S3066" s="752">
        <f t="shared" si="406"/>
        <v>0</v>
      </c>
      <c r="T3066" s="754">
        <f t="shared" si="407"/>
        <v>0</v>
      </c>
      <c r="U3066" s="859">
        <v>1544258</v>
      </c>
      <c r="V3066" s="863">
        <v>1653122</v>
      </c>
      <c r="W3066" s="859"/>
      <c r="X3066" s="859"/>
      <c r="Y3066" s="755">
        <f t="shared" si="403"/>
        <v>0</v>
      </c>
      <c r="Z3066" s="864"/>
      <c r="AA3066" s="863"/>
      <c r="AB3066" s="756">
        <f t="shared" si="404"/>
        <v>0</v>
      </c>
      <c r="AC3066" s="859"/>
      <c r="AD3066" s="863"/>
      <c r="AE3066" s="859"/>
      <c r="AF3066" s="859"/>
      <c r="AG3066" s="864"/>
      <c r="AH3066" s="865"/>
      <c r="AI3066" s="757">
        <f t="shared" si="408"/>
        <v>1544258</v>
      </c>
      <c r="AJ3066" s="758">
        <f t="shared" si="409"/>
        <v>1653122</v>
      </c>
    </row>
    <row r="3067" spans="1:36" x14ac:dyDescent="0.2">
      <c r="A3067" s="1150" t="s">
        <v>157</v>
      </c>
      <c r="B3067" s="1023" t="s">
        <v>286</v>
      </c>
      <c r="C3067" s="1037" t="s">
        <v>565</v>
      </c>
      <c r="D3067" s="1025"/>
      <c r="E3067" s="1148"/>
      <c r="F3067" s="1149"/>
      <c r="G3067" s="859"/>
      <c r="H3067" s="1134"/>
      <c r="I3067" s="861"/>
      <c r="J3067" s="862"/>
      <c r="K3067" s="859"/>
      <c r="L3067" s="863"/>
      <c r="M3067" s="859"/>
      <c r="N3067" s="859"/>
      <c r="O3067" s="752">
        <f t="shared" si="402"/>
        <v>0</v>
      </c>
      <c r="P3067" s="862"/>
      <c r="Q3067" s="860"/>
      <c r="R3067" s="753">
        <f t="shared" si="405"/>
        <v>0</v>
      </c>
      <c r="S3067" s="752">
        <f t="shared" si="406"/>
        <v>0</v>
      </c>
      <c r="T3067" s="754">
        <f t="shared" si="407"/>
        <v>0</v>
      </c>
      <c r="U3067" s="859"/>
      <c r="V3067" s="863"/>
      <c r="W3067" s="859"/>
      <c r="X3067" s="859"/>
      <c r="Y3067" s="755">
        <f t="shared" si="403"/>
        <v>0</v>
      </c>
      <c r="Z3067" s="864"/>
      <c r="AA3067" s="863"/>
      <c r="AB3067" s="756">
        <f t="shared" si="404"/>
        <v>0</v>
      </c>
      <c r="AC3067" s="859"/>
      <c r="AD3067" s="863"/>
      <c r="AE3067" s="859"/>
      <c r="AF3067" s="859"/>
      <c r="AG3067" s="864"/>
      <c r="AH3067" s="865"/>
      <c r="AI3067" s="757">
        <f t="shared" si="408"/>
        <v>0</v>
      </c>
      <c r="AJ3067" s="758">
        <f t="shared" si="409"/>
        <v>0</v>
      </c>
    </row>
    <row r="3068" spans="1:36" x14ac:dyDescent="0.2">
      <c r="A3068" s="1150" t="s">
        <v>157</v>
      </c>
      <c r="B3068" s="1023" t="s">
        <v>287</v>
      </c>
      <c r="C3068" s="1037" t="s">
        <v>570</v>
      </c>
      <c r="D3068" s="1025"/>
      <c r="E3068" s="1148"/>
      <c r="F3068" s="1149"/>
      <c r="G3068" s="859"/>
      <c r="H3068" s="1134"/>
      <c r="I3068" s="861"/>
      <c r="J3068" s="862"/>
      <c r="K3068" s="859"/>
      <c r="L3068" s="863"/>
      <c r="M3068" s="859"/>
      <c r="N3068" s="859"/>
      <c r="O3068" s="752">
        <f t="shared" si="402"/>
        <v>0</v>
      </c>
      <c r="P3068" s="862"/>
      <c r="Q3068" s="860"/>
      <c r="R3068" s="753">
        <f t="shared" si="405"/>
        <v>0</v>
      </c>
      <c r="S3068" s="752">
        <f t="shared" si="406"/>
        <v>0</v>
      </c>
      <c r="T3068" s="754">
        <f t="shared" si="407"/>
        <v>0</v>
      </c>
      <c r="U3068" s="859"/>
      <c r="V3068" s="863"/>
      <c r="W3068" s="859"/>
      <c r="X3068" s="859"/>
      <c r="Y3068" s="755">
        <f t="shared" si="403"/>
        <v>0</v>
      </c>
      <c r="Z3068" s="864"/>
      <c r="AA3068" s="863"/>
      <c r="AB3068" s="756">
        <f t="shared" si="404"/>
        <v>0</v>
      </c>
      <c r="AC3068" s="859"/>
      <c r="AD3068" s="863"/>
      <c r="AE3068" s="859"/>
      <c r="AF3068" s="859"/>
      <c r="AG3068" s="864"/>
      <c r="AH3068" s="865"/>
      <c r="AI3068" s="757">
        <f t="shared" si="408"/>
        <v>0</v>
      </c>
      <c r="AJ3068" s="758">
        <f t="shared" si="409"/>
        <v>0</v>
      </c>
    </row>
    <row r="3069" spans="1:36" x14ac:dyDescent="0.2">
      <c r="A3069" s="1150" t="s">
        <v>157</v>
      </c>
      <c r="B3069" s="1023" t="s">
        <v>288</v>
      </c>
      <c r="C3069" s="1030" t="s">
        <v>571</v>
      </c>
      <c r="D3069" s="1029"/>
      <c r="E3069" s="1148"/>
      <c r="F3069" s="1149"/>
      <c r="G3069" s="859"/>
      <c r="H3069" s="1134"/>
      <c r="I3069" s="861"/>
      <c r="J3069" s="862"/>
      <c r="K3069" s="859"/>
      <c r="L3069" s="863"/>
      <c r="M3069" s="859"/>
      <c r="N3069" s="859"/>
      <c r="O3069" s="752">
        <f t="shared" si="402"/>
        <v>0</v>
      </c>
      <c r="P3069" s="862"/>
      <c r="Q3069" s="860"/>
      <c r="R3069" s="753">
        <f t="shared" si="405"/>
        <v>0</v>
      </c>
      <c r="S3069" s="752">
        <f t="shared" si="406"/>
        <v>0</v>
      </c>
      <c r="T3069" s="754">
        <f t="shared" si="407"/>
        <v>0</v>
      </c>
      <c r="U3069" s="859"/>
      <c r="V3069" s="863"/>
      <c r="W3069" s="859"/>
      <c r="X3069" s="859"/>
      <c r="Y3069" s="755">
        <f t="shared" si="403"/>
        <v>0</v>
      </c>
      <c r="Z3069" s="864"/>
      <c r="AA3069" s="863"/>
      <c r="AB3069" s="756">
        <f t="shared" si="404"/>
        <v>0</v>
      </c>
      <c r="AC3069" s="859"/>
      <c r="AD3069" s="863"/>
      <c r="AE3069" s="859"/>
      <c r="AF3069" s="859"/>
      <c r="AG3069" s="864"/>
      <c r="AH3069" s="865"/>
      <c r="AI3069" s="757">
        <f t="shared" si="408"/>
        <v>0</v>
      </c>
      <c r="AJ3069" s="758">
        <f t="shared" si="409"/>
        <v>0</v>
      </c>
    </row>
    <row r="3070" spans="1:36" x14ac:dyDescent="0.2">
      <c r="A3070" s="1150" t="s">
        <v>157</v>
      </c>
      <c r="B3070" s="1023" t="s">
        <v>288</v>
      </c>
      <c r="C3070" s="1028" t="s">
        <v>647</v>
      </c>
      <c r="D3070" s="1029"/>
      <c r="E3070" s="1148"/>
      <c r="F3070" s="1149"/>
      <c r="G3070" s="859"/>
      <c r="H3070" s="1134"/>
      <c r="I3070" s="861"/>
      <c r="J3070" s="862"/>
      <c r="K3070" s="859"/>
      <c r="L3070" s="863"/>
      <c r="M3070" s="859"/>
      <c r="N3070" s="859"/>
      <c r="O3070" s="752">
        <f t="shared" si="402"/>
        <v>0</v>
      </c>
      <c r="P3070" s="862"/>
      <c r="Q3070" s="860"/>
      <c r="R3070" s="753">
        <f t="shared" si="405"/>
        <v>0</v>
      </c>
      <c r="S3070" s="752">
        <f t="shared" si="406"/>
        <v>0</v>
      </c>
      <c r="T3070" s="754">
        <f t="shared" si="407"/>
        <v>0</v>
      </c>
      <c r="U3070" s="859">
        <v>19831</v>
      </c>
      <c r="V3070" s="863">
        <v>17586</v>
      </c>
      <c r="W3070" s="859"/>
      <c r="X3070" s="859"/>
      <c r="Y3070" s="755">
        <f t="shared" si="403"/>
        <v>0</v>
      </c>
      <c r="Z3070" s="864"/>
      <c r="AA3070" s="863"/>
      <c r="AB3070" s="756">
        <f t="shared" si="404"/>
        <v>0</v>
      </c>
      <c r="AC3070" s="859"/>
      <c r="AD3070" s="863"/>
      <c r="AE3070" s="859"/>
      <c r="AF3070" s="859"/>
      <c r="AG3070" s="864"/>
      <c r="AH3070" s="865"/>
      <c r="AI3070" s="757">
        <f t="shared" si="408"/>
        <v>19831</v>
      </c>
      <c r="AJ3070" s="758">
        <f t="shared" si="409"/>
        <v>17586</v>
      </c>
    </row>
    <row r="3071" spans="1:36" x14ac:dyDescent="0.2">
      <c r="A3071" s="1150" t="s">
        <v>157</v>
      </c>
      <c r="B3071" s="1023" t="s">
        <v>288</v>
      </c>
      <c r="C3071" s="1028" t="s">
        <v>1043</v>
      </c>
      <c r="D3071" s="1029"/>
      <c r="E3071" s="1148"/>
      <c r="F3071" s="1149"/>
      <c r="G3071" s="859"/>
      <c r="H3071" s="1134"/>
      <c r="I3071" s="861"/>
      <c r="J3071" s="862"/>
      <c r="K3071" s="859"/>
      <c r="L3071" s="863"/>
      <c r="M3071" s="859"/>
      <c r="N3071" s="859"/>
      <c r="O3071" s="752">
        <f t="shared" si="402"/>
        <v>0</v>
      </c>
      <c r="P3071" s="862"/>
      <c r="Q3071" s="860"/>
      <c r="R3071" s="753">
        <f t="shared" si="405"/>
        <v>0</v>
      </c>
      <c r="S3071" s="752">
        <f t="shared" si="406"/>
        <v>0</v>
      </c>
      <c r="T3071" s="754">
        <f t="shared" si="407"/>
        <v>0</v>
      </c>
      <c r="U3071" s="859"/>
      <c r="V3071" s="863"/>
      <c r="W3071" s="859"/>
      <c r="X3071" s="859"/>
      <c r="Y3071" s="755">
        <f t="shared" si="403"/>
        <v>0</v>
      </c>
      <c r="Z3071" s="864"/>
      <c r="AA3071" s="863"/>
      <c r="AB3071" s="756">
        <f t="shared" si="404"/>
        <v>0</v>
      </c>
      <c r="AC3071" s="859"/>
      <c r="AD3071" s="863"/>
      <c r="AE3071" s="859"/>
      <c r="AF3071" s="859"/>
      <c r="AG3071" s="864"/>
      <c r="AH3071" s="865"/>
      <c r="AI3071" s="757">
        <f t="shared" si="408"/>
        <v>0</v>
      </c>
      <c r="AJ3071" s="758">
        <f t="shared" si="409"/>
        <v>0</v>
      </c>
    </row>
    <row r="3072" spans="1:36" x14ac:dyDescent="0.2">
      <c r="A3072" s="1150" t="s">
        <v>157</v>
      </c>
      <c r="B3072" s="1023" t="s">
        <v>288</v>
      </c>
      <c r="C3072" s="1028" t="s">
        <v>650</v>
      </c>
      <c r="D3072" s="1029"/>
      <c r="E3072" s="1148"/>
      <c r="F3072" s="1149"/>
      <c r="G3072" s="859"/>
      <c r="H3072" s="860"/>
      <c r="I3072" s="861"/>
      <c r="J3072" s="862"/>
      <c r="K3072" s="859"/>
      <c r="L3072" s="863"/>
      <c r="M3072" s="859"/>
      <c r="N3072" s="859"/>
      <c r="O3072" s="752">
        <f t="shared" si="402"/>
        <v>0</v>
      </c>
      <c r="P3072" s="862"/>
      <c r="Q3072" s="860"/>
      <c r="R3072" s="753">
        <f t="shared" si="405"/>
        <v>0</v>
      </c>
      <c r="S3072" s="752">
        <f t="shared" si="406"/>
        <v>0</v>
      </c>
      <c r="T3072" s="754">
        <f t="shared" si="407"/>
        <v>0</v>
      </c>
      <c r="U3072" s="859">
        <v>101702</v>
      </c>
      <c r="V3072" s="863">
        <v>116421</v>
      </c>
      <c r="W3072" s="859"/>
      <c r="X3072" s="859"/>
      <c r="Y3072" s="755">
        <f t="shared" si="403"/>
        <v>0</v>
      </c>
      <c r="Z3072" s="864"/>
      <c r="AA3072" s="863"/>
      <c r="AB3072" s="756">
        <f t="shared" si="404"/>
        <v>0</v>
      </c>
      <c r="AC3072" s="859"/>
      <c r="AD3072" s="863"/>
      <c r="AE3072" s="859"/>
      <c r="AF3072" s="859"/>
      <c r="AG3072" s="864"/>
      <c r="AH3072" s="865"/>
      <c r="AI3072" s="757">
        <f t="shared" si="408"/>
        <v>101702</v>
      </c>
      <c r="AJ3072" s="758">
        <f t="shared" si="409"/>
        <v>116421</v>
      </c>
    </row>
    <row r="3073" spans="1:36" x14ac:dyDescent="0.2">
      <c r="A3073" s="1150" t="s">
        <v>157</v>
      </c>
      <c r="B3073" s="1023" t="s">
        <v>289</v>
      </c>
      <c r="C3073" s="1030" t="s">
        <v>573</v>
      </c>
      <c r="D3073" s="1029"/>
      <c r="E3073" s="1148"/>
      <c r="F3073" s="1149"/>
      <c r="G3073" s="859"/>
      <c r="H3073" s="860"/>
      <c r="I3073" s="861"/>
      <c r="J3073" s="862"/>
      <c r="K3073" s="859"/>
      <c r="L3073" s="863"/>
      <c r="M3073" s="859"/>
      <c r="N3073" s="859"/>
      <c r="O3073" s="752">
        <f t="shared" si="402"/>
        <v>0</v>
      </c>
      <c r="P3073" s="862"/>
      <c r="Q3073" s="860"/>
      <c r="R3073" s="753">
        <f t="shared" si="405"/>
        <v>0</v>
      </c>
      <c r="S3073" s="752">
        <f t="shared" si="406"/>
        <v>0</v>
      </c>
      <c r="T3073" s="754">
        <f t="shared" si="407"/>
        <v>0</v>
      </c>
      <c r="U3073" s="859"/>
      <c r="V3073" s="863"/>
      <c r="W3073" s="859"/>
      <c r="X3073" s="859"/>
      <c r="Y3073" s="755">
        <f t="shared" si="403"/>
        <v>0</v>
      </c>
      <c r="Z3073" s="864"/>
      <c r="AA3073" s="863"/>
      <c r="AB3073" s="756">
        <f t="shared" si="404"/>
        <v>0</v>
      </c>
      <c r="AC3073" s="859"/>
      <c r="AD3073" s="863"/>
      <c r="AE3073" s="859"/>
      <c r="AF3073" s="859"/>
      <c r="AG3073" s="864"/>
      <c r="AH3073" s="865"/>
      <c r="AI3073" s="757">
        <f t="shared" si="408"/>
        <v>0</v>
      </c>
      <c r="AJ3073" s="758">
        <f t="shared" si="409"/>
        <v>0</v>
      </c>
    </row>
    <row r="3074" spans="1:36" x14ac:dyDescent="0.2">
      <c r="A3074" s="1150" t="s">
        <v>157</v>
      </c>
      <c r="B3074" s="1023" t="s">
        <v>289</v>
      </c>
      <c r="C3074" s="1028" t="s">
        <v>1044</v>
      </c>
      <c r="D3074" s="1029"/>
      <c r="E3074" s="1148"/>
      <c r="F3074" s="1149"/>
      <c r="G3074" s="859"/>
      <c r="H3074" s="860"/>
      <c r="I3074" s="861"/>
      <c r="J3074" s="862"/>
      <c r="K3074" s="859"/>
      <c r="L3074" s="863"/>
      <c r="M3074" s="859"/>
      <c r="N3074" s="859"/>
      <c r="O3074" s="752">
        <f t="shared" si="402"/>
        <v>0</v>
      </c>
      <c r="P3074" s="862"/>
      <c r="Q3074" s="860"/>
      <c r="R3074" s="753">
        <f t="shared" si="405"/>
        <v>0</v>
      </c>
      <c r="S3074" s="752">
        <f t="shared" si="406"/>
        <v>0</v>
      </c>
      <c r="T3074" s="754">
        <f t="shared" si="407"/>
        <v>0</v>
      </c>
      <c r="U3074" s="859">
        <v>405235</v>
      </c>
      <c r="V3074" s="863">
        <v>224896</v>
      </c>
      <c r="W3074" s="859"/>
      <c r="X3074" s="859"/>
      <c r="Y3074" s="755">
        <f t="shared" si="403"/>
        <v>0</v>
      </c>
      <c r="Z3074" s="864"/>
      <c r="AA3074" s="863"/>
      <c r="AB3074" s="756">
        <f t="shared" si="404"/>
        <v>0</v>
      </c>
      <c r="AC3074" s="859"/>
      <c r="AD3074" s="863"/>
      <c r="AE3074" s="859"/>
      <c r="AF3074" s="859"/>
      <c r="AG3074" s="864"/>
      <c r="AH3074" s="865"/>
      <c r="AI3074" s="757">
        <f t="shared" si="408"/>
        <v>405235</v>
      </c>
      <c r="AJ3074" s="758">
        <f t="shared" si="409"/>
        <v>224896</v>
      </c>
    </row>
    <row r="3075" spans="1:36" x14ac:dyDescent="0.2">
      <c r="A3075" s="1150" t="s">
        <v>157</v>
      </c>
      <c r="B3075" s="1023" t="s">
        <v>289</v>
      </c>
      <c r="C3075" s="1028" t="s">
        <v>1045</v>
      </c>
      <c r="D3075" s="1029"/>
      <c r="E3075" s="1148"/>
      <c r="F3075" s="1149"/>
      <c r="G3075" s="859"/>
      <c r="H3075" s="860"/>
      <c r="I3075" s="861"/>
      <c r="J3075" s="862"/>
      <c r="K3075" s="859"/>
      <c r="L3075" s="863"/>
      <c r="M3075" s="859"/>
      <c r="N3075" s="859"/>
      <c r="O3075" s="752">
        <f t="shared" si="402"/>
        <v>0</v>
      </c>
      <c r="P3075" s="862"/>
      <c r="Q3075" s="860"/>
      <c r="R3075" s="753">
        <f t="shared" si="405"/>
        <v>0</v>
      </c>
      <c r="S3075" s="752">
        <f t="shared" si="406"/>
        <v>0</v>
      </c>
      <c r="T3075" s="754">
        <f t="shared" si="407"/>
        <v>0</v>
      </c>
      <c r="U3075" s="859">
        <v>202618</v>
      </c>
      <c r="V3075" s="863">
        <v>179916</v>
      </c>
      <c r="W3075" s="859"/>
      <c r="X3075" s="859"/>
      <c r="Y3075" s="755">
        <f t="shared" si="403"/>
        <v>0</v>
      </c>
      <c r="Z3075" s="864"/>
      <c r="AA3075" s="863"/>
      <c r="AB3075" s="756">
        <f t="shared" si="404"/>
        <v>0</v>
      </c>
      <c r="AC3075" s="859"/>
      <c r="AD3075" s="863"/>
      <c r="AE3075" s="859"/>
      <c r="AF3075" s="859"/>
      <c r="AG3075" s="864"/>
      <c r="AH3075" s="865"/>
      <c r="AI3075" s="757">
        <f t="shared" si="408"/>
        <v>202618</v>
      </c>
      <c r="AJ3075" s="758">
        <f t="shared" si="409"/>
        <v>179916</v>
      </c>
    </row>
    <row r="3076" spans="1:36" x14ac:dyDescent="0.2">
      <c r="A3076" s="1150" t="s">
        <v>157</v>
      </c>
      <c r="B3076" s="1023" t="s">
        <v>289</v>
      </c>
      <c r="C3076" s="1028" t="s">
        <v>757</v>
      </c>
      <c r="D3076" s="1029"/>
      <c r="E3076" s="1148"/>
      <c r="F3076" s="1149"/>
      <c r="G3076" s="859"/>
      <c r="H3076" s="860"/>
      <c r="I3076" s="861"/>
      <c r="J3076" s="862"/>
      <c r="K3076" s="859"/>
      <c r="L3076" s="863"/>
      <c r="M3076" s="859"/>
      <c r="N3076" s="859"/>
      <c r="O3076" s="752">
        <f t="shared" si="402"/>
        <v>0</v>
      </c>
      <c r="P3076" s="862"/>
      <c r="Q3076" s="860"/>
      <c r="R3076" s="753">
        <f t="shared" si="405"/>
        <v>0</v>
      </c>
      <c r="S3076" s="752">
        <f t="shared" si="406"/>
        <v>0</v>
      </c>
      <c r="T3076" s="754">
        <f t="shared" si="407"/>
        <v>0</v>
      </c>
      <c r="U3076" s="859">
        <v>506544</v>
      </c>
      <c r="V3076" s="863">
        <v>449792</v>
      </c>
      <c r="W3076" s="859"/>
      <c r="X3076" s="859"/>
      <c r="Y3076" s="755">
        <f t="shared" si="403"/>
        <v>0</v>
      </c>
      <c r="Z3076" s="864"/>
      <c r="AA3076" s="863"/>
      <c r="AB3076" s="756">
        <f t="shared" si="404"/>
        <v>0</v>
      </c>
      <c r="AC3076" s="859"/>
      <c r="AD3076" s="863"/>
      <c r="AE3076" s="859"/>
      <c r="AF3076" s="859"/>
      <c r="AG3076" s="864"/>
      <c r="AH3076" s="865"/>
      <c r="AI3076" s="757">
        <f t="shared" si="408"/>
        <v>506544</v>
      </c>
      <c r="AJ3076" s="758">
        <f t="shared" si="409"/>
        <v>449792</v>
      </c>
    </row>
    <row r="3077" spans="1:36" x14ac:dyDescent="0.2">
      <c r="A3077" s="1150" t="s">
        <v>157</v>
      </c>
      <c r="B3077" s="1023" t="s">
        <v>289</v>
      </c>
      <c r="C3077" s="1028" t="s">
        <v>1046</v>
      </c>
      <c r="D3077" s="1029"/>
      <c r="E3077" s="1148"/>
      <c r="F3077" s="1149"/>
      <c r="G3077" s="859"/>
      <c r="H3077" s="860"/>
      <c r="I3077" s="861"/>
      <c r="J3077" s="862"/>
      <c r="K3077" s="859"/>
      <c r="L3077" s="863"/>
      <c r="M3077" s="859"/>
      <c r="N3077" s="859"/>
      <c r="O3077" s="752">
        <f t="shared" si="402"/>
        <v>0</v>
      </c>
      <c r="P3077" s="862"/>
      <c r="Q3077" s="860"/>
      <c r="R3077" s="753">
        <f t="shared" si="405"/>
        <v>0</v>
      </c>
      <c r="S3077" s="752">
        <f t="shared" si="406"/>
        <v>0</v>
      </c>
      <c r="T3077" s="754">
        <f t="shared" si="407"/>
        <v>0</v>
      </c>
      <c r="U3077" s="859">
        <v>14529</v>
      </c>
      <c r="V3077" s="863">
        <v>19404</v>
      </c>
      <c r="W3077" s="859"/>
      <c r="X3077" s="859"/>
      <c r="Y3077" s="755">
        <f t="shared" si="403"/>
        <v>0</v>
      </c>
      <c r="Z3077" s="864"/>
      <c r="AA3077" s="863"/>
      <c r="AB3077" s="756">
        <f t="shared" si="404"/>
        <v>0</v>
      </c>
      <c r="AC3077" s="859"/>
      <c r="AD3077" s="863"/>
      <c r="AE3077" s="859"/>
      <c r="AF3077" s="859"/>
      <c r="AG3077" s="864"/>
      <c r="AH3077" s="865"/>
      <c r="AI3077" s="757">
        <f t="shared" si="408"/>
        <v>14529</v>
      </c>
      <c r="AJ3077" s="758">
        <f t="shared" si="409"/>
        <v>19404</v>
      </c>
    </row>
    <row r="3078" spans="1:36" x14ac:dyDescent="0.2">
      <c r="A3078" s="1150" t="s">
        <v>157</v>
      </c>
      <c r="B3078" s="1023" t="s">
        <v>290</v>
      </c>
      <c r="C3078" s="1030" t="s">
        <v>137</v>
      </c>
      <c r="D3078" s="1029"/>
      <c r="E3078" s="1148"/>
      <c r="F3078" s="1149"/>
      <c r="G3078" s="859"/>
      <c r="H3078" s="860"/>
      <c r="I3078" s="861"/>
      <c r="J3078" s="862"/>
      <c r="K3078" s="859"/>
      <c r="L3078" s="863"/>
      <c r="M3078" s="859"/>
      <c r="N3078" s="859"/>
      <c r="O3078" s="752">
        <f t="shared" si="402"/>
        <v>0</v>
      </c>
      <c r="P3078" s="862"/>
      <c r="Q3078" s="860"/>
      <c r="R3078" s="753">
        <f t="shared" si="405"/>
        <v>0</v>
      </c>
      <c r="S3078" s="752">
        <f t="shared" si="406"/>
        <v>0</v>
      </c>
      <c r="T3078" s="754">
        <f t="shared" si="407"/>
        <v>0</v>
      </c>
      <c r="U3078" s="859">
        <v>195549</v>
      </c>
      <c r="V3078" s="863">
        <v>308682</v>
      </c>
      <c r="W3078" s="859"/>
      <c r="X3078" s="859"/>
      <c r="Y3078" s="755">
        <f t="shared" si="403"/>
        <v>0</v>
      </c>
      <c r="Z3078" s="864"/>
      <c r="AA3078" s="863"/>
      <c r="AB3078" s="756">
        <f t="shared" si="404"/>
        <v>0</v>
      </c>
      <c r="AC3078" s="859"/>
      <c r="AD3078" s="863"/>
      <c r="AE3078" s="859"/>
      <c r="AF3078" s="859"/>
      <c r="AG3078" s="864"/>
      <c r="AH3078" s="865"/>
      <c r="AI3078" s="757">
        <f t="shared" si="408"/>
        <v>195549</v>
      </c>
      <c r="AJ3078" s="758">
        <f t="shared" si="409"/>
        <v>308682</v>
      </c>
    </row>
    <row r="3079" spans="1:36" x14ac:dyDescent="0.2">
      <c r="A3079" s="1150" t="s">
        <v>157</v>
      </c>
      <c r="B3079" s="1023" t="s">
        <v>291</v>
      </c>
      <c r="C3079" s="1037" t="s">
        <v>574</v>
      </c>
      <c r="D3079" s="1025"/>
      <c r="E3079" s="1148"/>
      <c r="F3079" s="1149"/>
      <c r="G3079" s="859"/>
      <c r="H3079" s="860"/>
      <c r="I3079" s="861"/>
      <c r="J3079" s="862"/>
      <c r="K3079" s="859"/>
      <c r="L3079" s="863"/>
      <c r="M3079" s="859"/>
      <c r="N3079" s="859"/>
      <c r="O3079" s="752">
        <f t="shared" si="402"/>
        <v>0</v>
      </c>
      <c r="P3079" s="862"/>
      <c r="Q3079" s="860"/>
      <c r="R3079" s="753">
        <f t="shared" si="405"/>
        <v>0</v>
      </c>
      <c r="S3079" s="752">
        <f t="shared" si="406"/>
        <v>0</v>
      </c>
      <c r="T3079" s="754">
        <f t="shared" si="407"/>
        <v>0</v>
      </c>
      <c r="U3079" s="859"/>
      <c r="V3079" s="863"/>
      <c r="W3079" s="859"/>
      <c r="X3079" s="859"/>
      <c r="Y3079" s="755">
        <f t="shared" si="403"/>
        <v>0</v>
      </c>
      <c r="Z3079" s="864"/>
      <c r="AA3079" s="863"/>
      <c r="AB3079" s="756">
        <f t="shared" si="404"/>
        <v>0</v>
      </c>
      <c r="AC3079" s="859"/>
      <c r="AD3079" s="863"/>
      <c r="AE3079" s="859"/>
      <c r="AF3079" s="859"/>
      <c r="AG3079" s="864"/>
      <c r="AH3079" s="865"/>
      <c r="AI3079" s="757">
        <f t="shared" si="408"/>
        <v>0</v>
      </c>
      <c r="AJ3079" s="758">
        <f t="shared" si="409"/>
        <v>0</v>
      </c>
    </row>
    <row r="3080" spans="1:36" x14ac:dyDescent="0.2">
      <c r="A3080" s="1150" t="s">
        <v>157</v>
      </c>
      <c r="B3080" s="1023" t="s">
        <v>292</v>
      </c>
      <c r="C3080" s="1042" t="s">
        <v>34</v>
      </c>
      <c r="D3080" s="1043"/>
      <c r="E3080" s="1148"/>
      <c r="F3080" s="1149"/>
      <c r="G3080" s="859"/>
      <c r="H3080" s="860"/>
      <c r="I3080" s="861"/>
      <c r="J3080" s="862"/>
      <c r="K3080" s="859"/>
      <c r="L3080" s="863"/>
      <c r="M3080" s="859"/>
      <c r="N3080" s="859"/>
      <c r="O3080" s="752">
        <f t="shared" si="402"/>
        <v>0</v>
      </c>
      <c r="P3080" s="862"/>
      <c r="Q3080" s="860"/>
      <c r="R3080" s="753">
        <f t="shared" si="405"/>
        <v>0</v>
      </c>
      <c r="S3080" s="752">
        <f t="shared" si="406"/>
        <v>0</v>
      </c>
      <c r="T3080" s="754">
        <f t="shared" si="407"/>
        <v>0</v>
      </c>
      <c r="U3080" s="859"/>
      <c r="V3080" s="863"/>
      <c r="W3080" s="859"/>
      <c r="X3080" s="859"/>
      <c r="Y3080" s="755">
        <f t="shared" si="403"/>
        <v>0</v>
      </c>
      <c r="Z3080" s="864"/>
      <c r="AA3080" s="863"/>
      <c r="AB3080" s="756">
        <f t="shared" si="404"/>
        <v>0</v>
      </c>
      <c r="AC3080" s="859"/>
      <c r="AD3080" s="863"/>
      <c r="AE3080" s="859"/>
      <c r="AF3080" s="859"/>
      <c r="AG3080" s="864"/>
      <c r="AH3080" s="865"/>
      <c r="AI3080" s="757">
        <f t="shared" si="408"/>
        <v>0</v>
      </c>
      <c r="AJ3080" s="758">
        <f t="shared" si="409"/>
        <v>0</v>
      </c>
    </row>
    <row r="3081" spans="1:36" x14ac:dyDescent="0.2">
      <c r="A3081" s="1150" t="s">
        <v>157</v>
      </c>
      <c r="B3081" s="1023" t="s">
        <v>292</v>
      </c>
      <c r="C3081" s="1044" t="s">
        <v>1047</v>
      </c>
      <c r="D3081" s="1029"/>
      <c r="E3081" s="1148"/>
      <c r="F3081" s="1149"/>
      <c r="G3081" s="859"/>
      <c r="H3081" s="860"/>
      <c r="I3081" s="861"/>
      <c r="J3081" s="862"/>
      <c r="K3081" s="859"/>
      <c r="L3081" s="863"/>
      <c r="M3081" s="859"/>
      <c r="N3081" s="859"/>
      <c r="O3081" s="752">
        <f t="shared" si="402"/>
        <v>0</v>
      </c>
      <c r="P3081" s="862"/>
      <c r="Q3081" s="860"/>
      <c r="R3081" s="753">
        <f t="shared" si="405"/>
        <v>0</v>
      </c>
      <c r="S3081" s="752">
        <f t="shared" si="406"/>
        <v>0</v>
      </c>
      <c r="T3081" s="754">
        <f t="shared" si="407"/>
        <v>0</v>
      </c>
      <c r="U3081" s="859"/>
      <c r="V3081" s="1151"/>
      <c r="W3081" s="859"/>
      <c r="X3081" s="859"/>
      <c r="Y3081" s="755">
        <f t="shared" si="403"/>
        <v>0</v>
      </c>
      <c r="Z3081" s="864"/>
      <c r="AA3081" s="863"/>
      <c r="AB3081" s="756">
        <f t="shared" si="404"/>
        <v>0</v>
      </c>
      <c r="AC3081" s="859"/>
      <c r="AD3081" s="863"/>
      <c r="AE3081" s="859"/>
      <c r="AF3081" s="859"/>
      <c r="AG3081" s="864"/>
      <c r="AH3081" s="865"/>
      <c r="AI3081" s="757">
        <f t="shared" si="408"/>
        <v>0</v>
      </c>
      <c r="AJ3081" s="758">
        <f t="shared" si="409"/>
        <v>0</v>
      </c>
    </row>
    <row r="3082" spans="1:36" x14ac:dyDescent="0.2">
      <c r="A3082" s="1150" t="s">
        <v>157</v>
      </c>
      <c r="B3082" s="1064" t="s">
        <v>209</v>
      </c>
      <c r="C3082" s="1045" t="s">
        <v>1048</v>
      </c>
      <c r="D3082" s="1046"/>
      <c r="E3082" s="1040"/>
      <c r="F3082" s="1152"/>
      <c r="G3082" s="859"/>
      <c r="H3082" s="860"/>
      <c r="I3082" s="861"/>
      <c r="J3082" s="862"/>
      <c r="K3082" s="859"/>
      <c r="L3082" s="863"/>
      <c r="M3082" s="859"/>
      <c r="N3082" s="859"/>
      <c r="O3082" s="752">
        <f t="shared" si="402"/>
        <v>0</v>
      </c>
      <c r="P3082" s="862"/>
      <c r="Q3082" s="860"/>
      <c r="R3082" s="753">
        <f t="shared" si="405"/>
        <v>0</v>
      </c>
      <c r="S3082" s="752">
        <f t="shared" si="406"/>
        <v>0</v>
      </c>
      <c r="T3082" s="754">
        <f t="shared" si="407"/>
        <v>0</v>
      </c>
      <c r="U3082" s="859"/>
      <c r="V3082" s="863"/>
      <c r="W3082" s="859"/>
      <c r="X3082" s="859"/>
      <c r="Y3082" s="755">
        <f t="shared" si="403"/>
        <v>0</v>
      </c>
      <c r="Z3082" s="864"/>
      <c r="AA3082" s="863"/>
      <c r="AB3082" s="756">
        <f t="shared" si="404"/>
        <v>0</v>
      </c>
      <c r="AC3082" s="859"/>
      <c r="AD3082" s="863"/>
      <c r="AE3082" s="859"/>
      <c r="AF3082" s="859"/>
      <c r="AG3082" s="864"/>
      <c r="AH3082" s="865"/>
      <c r="AI3082" s="757">
        <f t="shared" si="408"/>
        <v>0</v>
      </c>
      <c r="AJ3082" s="758">
        <f t="shared" si="409"/>
        <v>0</v>
      </c>
    </row>
    <row r="3083" spans="1:36" x14ac:dyDescent="0.2">
      <c r="A3083" s="1022" t="s">
        <v>157</v>
      </c>
      <c r="B3083" s="1064" t="s">
        <v>210</v>
      </c>
      <c r="C3083" s="1045" t="s">
        <v>311</v>
      </c>
      <c r="D3083" s="1046"/>
      <c r="E3083" s="1040"/>
      <c r="F3083" s="1152"/>
      <c r="G3083" s="859"/>
      <c r="H3083" s="860"/>
      <c r="I3083" s="861"/>
      <c r="J3083" s="862"/>
      <c r="K3083" s="859"/>
      <c r="L3083" s="863"/>
      <c r="M3083" s="859"/>
      <c r="N3083" s="859"/>
      <c r="O3083" s="752">
        <f t="shared" ref="O3083:O3146" si="410">SUM(M3083:N3083)</f>
        <v>0</v>
      </c>
      <c r="P3083" s="862"/>
      <c r="Q3083" s="860"/>
      <c r="R3083" s="753">
        <f t="shared" si="405"/>
        <v>0</v>
      </c>
      <c r="S3083" s="752">
        <f t="shared" si="406"/>
        <v>0</v>
      </c>
      <c r="T3083" s="754">
        <f t="shared" si="407"/>
        <v>0</v>
      </c>
      <c r="U3083" s="859">
        <v>33365503</v>
      </c>
      <c r="V3083" s="863">
        <v>33809522</v>
      </c>
      <c r="W3083" s="859"/>
      <c r="X3083" s="859"/>
      <c r="Y3083" s="755">
        <f t="shared" ref="Y3083:Y3146" si="411">SUM(W3083:X3083)</f>
        <v>0</v>
      </c>
      <c r="Z3083" s="864"/>
      <c r="AA3083" s="863"/>
      <c r="AB3083" s="756">
        <f t="shared" ref="AB3083:AB3146" si="412">SUM(Z3083:AA3083)</f>
        <v>0</v>
      </c>
      <c r="AC3083" s="859"/>
      <c r="AD3083" s="863"/>
      <c r="AE3083" s="859"/>
      <c r="AF3083" s="859"/>
      <c r="AG3083" s="864"/>
      <c r="AH3083" s="865"/>
      <c r="AI3083" s="757">
        <f t="shared" si="408"/>
        <v>33365503</v>
      </c>
      <c r="AJ3083" s="758">
        <f t="shared" si="409"/>
        <v>33809522</v>
      </c>
    </row>
    <row r="3084" spans="1:36" x14ac:dyDescent="0.2">
      <c r="A3084" s="1022" t="s">
        <v>157</v>
      </c>
      <c r="B3084" s="1064" t="s">
        <v>204</v>
      </c>
      <c r="C3084" s="1045" t="s">
        <v>249</v>
      </c>
      <c r="D3084" s="1046"/>
      <c r="E3084" s="1040"/>
      <c r="F3084" s="1152"/>
      <c r="G3084" s="859"/>
      <c r="H3084" s="860"/>
      <c r="I3084" s="861"/>
      <c r="J3084" s="862"/>
      <c r="K3084" s="859"/>
      <c r="L3084" s="863"/>
      <c r="M3084" s="859"/>
      <c r="N3084" s="859"/>
      <c r="O3084" s="752">
        <f t="shared" si="410"/>
        <v>0</v>
      </c>
      <c r="P3084" s="862"/>
      <c r="Q3084" s="860"/>
      <c r="R3084" s="753">
        <f t="shared" ref="R3084:R3147" si="413">SUM(P3084:Q3084)</f>
        <v>0</v>
      </c>
      <c r="S3084" s="752">
        <f t="shared" ref="S3084:S3147" si="414">SUM(G3084,I3084,K3084,M3084)</f>
        <v>0</v>
      </c>
      <c r="T3084" s="754">
        <f t="shared" ref="T3084:T3147" si="415">SUM(H3084,J3084,L3084,P3084)</f>
        <v>0</v>
      </c>
      <c r="U3084" s="859"/>
      <c r="V3084" s="863"/>
      <c r="W3084" s="859"/>
      <c r="X3084" s="859"/>
      <c r="Y3084" s="755">
        <f t="shared" si="411"/>
        <v>0</v>
      </c>
      <c r="Z3084" s="864"/>
      <c r="AA3084" s="863"/>
      <c r="AB3084" s="756">
        <f t="shared" si="412"/>
        <v>0</v>
      </c>
      <c r="AC3084" s="859"/>
      <c r="AD3084" s="863"/>
      <c r="AE3084" s="859"/>
      <c r="AF3084" s="859"/>
      <c r="AG3084" s="864"/>
      <c r="AH3084" s="865"/>
      <c r="AI3084" s="757">
        <f t="shared" ref="AI3084:AI3147" si="416">SUM(S3084,U3084,W3084,AC3084,AE3084)</f>
        <v>0</v>
      </c>
      <c r="AJ3084" s="758">
        <f t="shared" ref="AJ3084:AJ3147" si="417">SUM(T3084,V3084,Z3084,AD3084,AG3084)</f>
        <v>0</v>
      </c>
    </row>
    <row r="3085" spans="1:36" x14ac:dyDescent="0.2">
      <c r="A3085" s="1022" t="s">
        <v>157</v>
      </c>
      <c r="B3085" s="1023" t="s">
        <v>205</v>
      </c>
      <c r="C3085" s="1045" t="s">
        <v>1049</v>
      </c>
      <c r="D3085" s="1046"/>
      <c r="E3085" s="1040"/>
      <c r="F3085" s="1152"/>
      <c r="G3085" s="859"/>
      <c r="H3085" s="860"/>
      <c r="I3085" s="861"/>
      <c r="J3085" s="862"/>
      <c r="K3085" s="859"/>
      <c r="L3085" s="863"/>
      <c r="M3085" s="859"/>
      <c r="N3085" s="859"/>
      <c r="O3085" s="752">
        <f t="shared" si="410"/>
        <v>0</v>
      </c>
      <c r="P3085" s="862"/>
      <c r="Q3085" s="860"/>
      <c r="R3085" s="753">
        <f t="shared" si="413"/>
        <v>0</v>
      </c>
      <c r="S3085" s="752">
        <f t="shared" si="414"/>
        <v>0</v>
      </c>
      <c r="T3085" s="754">
        <f t="shared" si="415"/>
        <v>0</v>
      </c>
      <c r="U3085" s="859"/>
      <c r="V3085" s="863"/>
      <c r="W3085" s="859"/>
      <c r="X3085" s="859"/>
      <c r="Y3085" s="755">
        <f t="shared" si="411"/>
        <v>0</v>
      </c>
      <c r="Z3085" s="864"/>
      <c r="AA3085" s="863"/>
      <c r="AB3085" s="756">
        <f t="shared" si="412"/>
        <v>0</v>
      </c>
      <c r="AC3085" s="859"/>
      <c r="AD3085" s="863"/>
      <c r="AE3085" s="859"/>
      <c r="AF3085" s="859"/>
      <c r="AG3085" s="864"/>
      <c r="AH3085" s="865"/>
      <c r="AI3085" s="757">
        <f t="shared" si="416"/>
        <v>0</v>
      </c>
      <c r="AJ3085" s="758">
        <f t="shared" si="417"/>
        <v>0</v>
      </c>
    </row>
    <row r="3086" spans="1:36" x14ac:dyDescent="0.2">
      <c r="A3086" s="1022" t="s">
        <v>157</v>
      </c>
      <c r="B3086" s="1064" t="s">
        <v>218</v>
      </c>
      <c r="C3086" s="1045" t="s">
        <v>311</v>
      </c>
      <c r="D3086" s="1046"/>
      <c r="E3086" s="1040"/>
      <c r="F3086" s="1152"/>
      <c r="G3086" s="859"/>
      <c r="H3086" s="860"/>
      <c r="I3086" s="861"/>
      <c r="J3086" s="862"/>
      <c r="K3086" s="859"/>
      <c r="L3086" s="863"/>
      <c r="M3086" s="859"/>
      <c r="N3086" s="859"/>
      <c r="O3086" s="752">
        <f t="shared" si="410"/>
        <v>0</v>
      </c>
      <c r="P3086" s="862"/>
      <c r="Q3086" s="860"/>
      <c r="R3086" s="753">
        <f t="shared" si="413"/>
        <v>0</v>
      </c>
      <c r="S3086" s="752">
        <f t="shared" si="414"/>
        <v>0</v>
      </c>
      <c r="T3086" s="754">
        <f t="shared" si="415"/>
        <v>0</v>
      </c>
      <c r="U3086" s="859">
        <v>4838293</v>
      </c>
      <c r="V3086" s="863">
        <v>4359412</v>
      </c>
      <c r="W3086" s="859"/>
      <c r="X3086" s="859"/>
      <c r="Y3086" s="755">
        <f t="shared" si="411"/>
        <v>0</v>
      </c>
      <c r="Z3086" s="864"/>
      <c r="AA3086" s="863"/>
      <c r="AB3086" s="756">
        <f t="shared" si="412"/>
        <v>0</v>
      </c>
      <c r="AC3086" s="859"/>
      <c r="AD3086" s="863"/>
      <c r="AE3086" s="859"/>
      <c r="AF3086" s="859"/>
      <c r="AG3086" s="864"/>
      <c r="AH3086" s="865"/>
      <c r="AI3086" s="757">
        <f t="shared" si="416"/>
        <v>4838293</v>
      </c>
      <c r="AJ3086" s="758">
        <f t="shared" si="417"/>
        <v>4359412</v>
      </c>
    </row>
    <row r="3087" spans="1:36" x14ac:dyDescent="0.2">
      <c r="A3087" s="1022" t="s">
        <v>157</v>
      </c>
      <c r="B3087" s="1064" t="s">
        <v>219</v>
      </c>
      <c r="C3087" s="1045" t="s">
        <v>249</v>
      </c>
      <c r="D3087" s="1046"/>
      <c r="E3087" s="1040"/>
      <c r="F3087" s="1152"/>
      <c r="G3087" s="859"/>
      <c r="H3087" s="860"/>
      <c r="I3087" s="861"/>
      <c r="J3087" s="862"/>
      <c r="K3087" s="859"/>
      <c r="L3087" s="863"/>
      <c r="M3087" s="859"/>
      <c r="N3087" s="859"/>
      <c r="O3087" s="752">
        <f t="shared" si="410"/>
        <v>0</v>
      </c>
      <c r="P3087" s="862"/>
      <c r="Q3087" s="860"/>
      <c r="R3087" s="753">
        <f t="shared" si="413"/>
        <v>0</v>
      </c>
      <c r="S3087" s="752">
        <f t="shared" si="414"/>
        <v>0</v>
      </c>
      <c r="T3087" s="754">
        <f t="shared" si="415"/>
        <v>0</v>
      </c>
      <c r="U3087" s="859"/>
      <c r="V3087" s="863"/>
      <c r="W3087" s="859"/>
      <c r="X3087" s="859"/>
      <c r="Y3087" s="755">
        <f t="shared" si="411"/>
        <v>0</v>
      </c>
      <c r="Z3087" s="864"/>
      <c r="AA3087" s="863"/>
      <c r="AB3087" s="756">
        <f t="shared" si="412"/>
        <v>0</v>
      </c>
      <c r="AC3087" s="859"/>
      <c r="AD3087" s="863"/>
      <c r="AE3087" s="859"/>
      <c r="AF3087" s="859"/>
      <c r="AG3087" s="864"/>
      <c r="AH3087" s="865"/>
      <c r="AI3087" s="757">
        <f t="shared" si="416"/>
        <v>0</v>
      </c>
      <c r="AJ3087" s="758">
        <f t="shared" si="417"/>
        <v>0</v>
      </c>
    </row>
    <row r="3088" spans="1:36" x14ac:dyDescent="0.2">
      <c r="A3088" s="1022" t="s">
        <v>157</v>
      </c>
      <c r="B3088" s="1023" t="s">
        <v>292</v>
      </c>
      <c r="C3088" s="1044" t="s">
        <v>1050</v>
      </c>
      <c r="D3088" s="1029"/>
      <c r="E3088" s="1040"/>
      <c r="F3088" s="1152"/>
      <c r="G3088" s="859"/>
      <c r="H3088" s="860"/>
      <c r="I3088" s="861"/>
      <c r="J3088" s="862"/>
      <c r="K3088" s="859"/>
      <c r="L3088" s="863"/>
      <c r="M3088" s="859"/>
      <c r="N3088" s="859"/>
      <c r="O3088" s="752">
        <f t="shared" si="410"/>
        <v>0</v>
      </c>
      <c r="P3088" s="862"/>
      <c r="Q3088" s="860"/>
      <c r="R3088" s="753">
        <f t="shared" si="413"/>
        <v>0</v>
      </c>
      <c r="S3088" s="752">
        <f t="shared" si="414"/>
        <v>0</v>
      </c>
      <c r="T3088" s="754">
        <f t="shared" si="415"/>
        <v>0</v>
      </c>
      <c r="U3088" s="859"/>
      <c r="V3088" s="863"/>
      <c r="W3088" s="859"/>
      <c r="X3088" s="859"/>
      <c r="Y3088" s="755">
        <f t="shared" si="411"/>
        <v>0</v>
      </c>
      <c r="Z3088" s="864"/>
      <c r="AA3088" s="863"/>
      <c r="AB3088" s="756">
        <f t="shared" si="412"/>
        <v>0</v>
      </c>
      <c r="AC3088" s="859"/>
      <c r="AD3088" s="863"/>
      <c r="AE3088" s="859"/>
      <c r="AF3088" s="859"/>
      <c r="AG3088" s="864"/>
      <c r="AH3088" s="865"/>
      <c r="AI3088" s="757">
        <f t="shared" si="416"/>
        <v>0</v>
      </c>
      <c r="AJ3088" s="758">
        <f t="shared" si="417"/>
        <v>0</v>
      </c>
    </row>
    <row r="3089" spans="1:36" x14ac:dyDescent="0.2">
      <c r="A3089" s="1022" t="s">
        <v>157</v>
      </c>
      <c r="B3089" s="1064" t="s">
        <v>209</v>
      </c>
      <c r="C3089" s="1045" t="s">
        <v>1048</v>
      </c>
      <c r="D3089" s="1046"/>
      <c r="E3089" s="1040"/>
      <c r="F3089" s="1152"/>
      <c r="G3089" s="859"/>
      <c r="H3089" s="860"/>
      <c r="I3089" s="861"/>
      <c r="J3089" s="862"/>
      <c r="K3089" s="859"/>
      <c r="L3089" s="863"/>
      <c r="M3089" s="859"/>
      <c r="N3089" s="859"/>
      <c r="O3089" s="752">
        <f t="shared" si="410"/>
        <v>0</v>
      </c>
      <c r="P3089" s="862"/>
      <c r="Q3089" s="860"/>
      <c r="R3089" s="753">
        <f t="shared" si="413"/>
        <v>0</v>
      </c>
      <c r="S3089" s="752">
        <f t="shared" si="414"/>
        <v>0</v>
      </c>
      <c r="T3089" s="754">
        <f t="shared" si="415"/>
        <v>0</v>
      </c>
      <c r="U3089" s="859"/>
      <c r="V3089" s="863"/>
      <c r="W3089" s="859"/>
      <c r="X3089" s="859"/>
      <c r="Y3089" s="755">
        <f t="shared" si="411"/>
        <v>0</v>
      </c>
      <c r="Z3089" s="864"/>
      <c r="AA3089" s="863"/>
      <c r="AB3089" s="756">
        <f t="shared" si="412"/>
        <v>0</v>
      </c>
      <c r="AC3089" s="859"/>
      <c r="AD3089" s="863"/>
      <c r="AE3089" s="859"/>
      <c r="AF3089" s="859"/>
      <c r="AG3089" s="864"/>
      <c r="AH3089" s="865"/>
      <c r="AI3089" s="757">
        <f t="shared" si="416"/>
        <v>0</v>
      </c>
      <c r="AJ3089" s="758">
        <f t="shared" si="417"/>
        <v>0</v>
      </c>
    </row>
    <row r="3090" spans="1:36" x14ac:dyDescent="0.2">
      <c r="A3090" s="1022" t="s">
        <v>157</v>
      </c>
      <c r="B3090" s="1064" t="s">
        <v>210</v>
      </c>
      <c r="C3090" s="1045" t="s">
        <v>311</v>
      </c>
      <c r="D3090" s="1046"/>
      <c r="E3090" s="1040"/>
      <c r="F3090" s="1152"/>
      <c r="G3090" s="859"/>
      <c r="H3090" s="860"/>
      <c r="I3090" s="861"/>
      <c r="J3090" s="862"/>
      <c r="K3090" s="859"/>
      <c r="L3090" s="863"/>
      <c r="M3090" s="859"/>
      <c r="N3090" s="859"/>
      <c r="O3090" s="752">
        <f t="shared" si="410"/>
        <v>0</v>
      </c>
      <c r="P3090" s="862"/>
      <c r="Q3090" s="860"/>
      <c r="R3090" s="753">
        <f t="shared" si="413"/>
        <v>0</v>
      </c>
      <c r="S3090" s="752">
        <f t="shared" si="414"/>
        <v>0</v>
      </c>
      <c r="T3090" s="754">
        <f t="shared" si="415"/>
        <v>0</v>
      </c>
      <c r="U3090" s="859"/>
      <c r="V3090" s="863"/>
      <c r="W3090" s="859"/>
      <c r="X3090" s="859"/>
      <c r="Y3090" s="755">
        <f t="shared" si="411"/>
        <v>0</v>
      </c>
      <c r="Z3090" s="864"/>
      <c r="AA3090" s="863"/>
      <c r="AB3090" s="756">
        <f t="shared" si="412"/>
        <v>0</v>
      </c>
      <c r="AC3090" s="859"/>
      <c r="AD3090" s="863"/>
      <c r="AE3090" s="859"/>
      <c r="AF3090" s="859"/>
      <c r="AG3090" s="864"/>
      <c r="AH3090" s="865"/>
      <c r="AI3090" s="757">
        <f t="shared" si="416"/>
        <v>0</v>
      </c>
      <c r="AJ3090" s="758">
        <f t="shared" si="417"/>
        <v>0</v>
      </c>
    </row>
    <row r="3091" spans="1:36" x14ac:dyDescent="0.2">
      <c r="A3091" s="1022" t="s">
        <v>157</v>
      </c>
      <c r="B3091" s="1064" t="s">
        <v>204</v>
      </c>
      <c r="C3091" s="1045" t="s">
        <v>249</v>
      </c>
      <c r="D3091" s="1046"/>
      <c r="E3091" s="1040"/>
      <c r="F3091" s="1152"/>
      <c r="G3091" s="859"/>
      <c r="H3091" s="860"/>
      <c r="I3091" s="861"/>
      <c r="J3091" s="862"/>
      <c r="K3091" s="859"/>
      <c r="L3091" s="863"/>
      <c r="M3091" s="859"/>
      <c r="N3091" s="859"/>
      <c r="O3091" s="752">
        <f t="shared" si="410"/>
        <v>0</v>
      </c>
      <c r="P3091" s="862"/>
      <c r="Q3091" s="860"/>
      <c r="R3091" s="753">
        <f t="shared" si="413"/>
        <v>0</v>
      </c>
      <c r="S3091" s="752">
        <f t="shared" si="414"/>
        <v>0</v>
      </c>
      <c r="T3091" s="754">
        <f t="shared" si="415"/>
        <v>0</v>
      </c>
      <c r="U3091" s="859">
        <v>42442641</v>
      </c>
      <c r="V3091" s="863">
        <v>41989420</v>
      </c>
      <c r="W3091" s="859"/>
      <c r="X3091" s="859"/>
      <c r="Y3091" s="755">
        <f t="shared" si="411"/>
        <v>0</v>
      </c>
      <c r="Z3091" s="864"/>
      <c r="AA3091" s="863"/>
      <c r="AB3091" s="756">
        <f t="shared" si="412"/>
        <v>0</v>
      </c>
      <c r="AC3091" s="859"/>
      <c r="AD3091" s="863"/>
      <c r="AE3091" s="859"/>
      <c r="AF3091" s="859"/>
      <c r="AG3091" s="864"/>
      <c r="AH3091" s="865"/>
      <c r="AI3091" s="757">
        <f t="shared" si="416"/>
        <v>42442641</v>
      </c>
      <c r="AJ3091" s="758">
        <f t="shared" si="417"/>
        <v>41989420</v>
      </c>
    </row>
    <row r="3092" spans="1:36" x14ac:dyDescent="0.2">
      <c r="A3092" s="1022" t="s">
        <v>157</v>
      </c>
      <c r="B3092" s="1023" t="s">
        <v>205</v>
      </c>
      <c r="C3092" s="1045" t="s">
        <v>1049</v>
      </c>
      <c r="D3092" s="1046"/>
      <c r="E3092" s="1040"/>
      <c r="F3092" s="1152"/>
      <c r="G3092" s="859"/>
      <c r="H3092" s="860"/>
      <c r="I3092" s="861"/>
      <c r="J3092" s="862"/>
      <c r="K3092" s="859"/>
      <c r="L3092" s="863"/>
      <c r="M3092" s="859"/>
      <c r="N3092" s="859"/>
      <c r="O3092" s="752">
        <f t="shared" si="410"/>
        <v>0</v>
      </c>
      <c r="P3092" s="862"/>
      <c r="Q3092" s="860"/>
      <c r="R3092" s="753">
        <f t="shared" si="413"/>
        <v>0</v>
      </c>
      <c r="S3092" s="752">
        <f t="shared" si="414"/>
        <v>0</v>
      </c>
      <c r="T3092" s="754">
        <f t="shared" si="415"/>
        <v>0</v>
      </c>
      <c r="U3092" s="859"/>
      <c r="V3092" s="863"/>
      <c r="W3092" s="859"/>
      <c r="X3092" s="859"/>
      <c r="Y3092" s="755">
        <f t="shared" si="411"/>
        <v>0</v>
      </c>
      <c r="Z3092" s="864"/>
      <c r="AA3092" s="863"/>
      <c r="AB3092" s="756">
        <f t="shared" si="412"/>
        <v>0</v>
      </c>
      <c r="AC3092" s="859"/>
      <c r="AD3092" s="863"/>
      <c r="AE3092" s="859"/>
      <c r="AF3092" s="859"/>
      <c r="AG3092" s="864"/>
      <c r="AH3092" s="865"/>
      <c r="AI3092" s="757">
        <f t="shared" si="416"/>
        <v>0</v>
      </c>
      <c r="AJ3092" s="758">
        <f t="shared" si="417"/>
        <v>0</v>
      </c>
    </row>
    <row r="3093" spans="1:36" x14ac:dyDescent="0.2">
      <c r="A3093" s="1022" t="s">
        <v>157</v>
      </c>
      <c r="B3093" s="1064" t="s">
        <v>218</v>
      </c>
      <c r="C3093" s="1045" t="s">
        <v>311</v>
      </c>
      <c r="D3093" s="1046"/>
      <c r="E3093" s="1040"/>
      <c r="F3093" s="1152"/>
      <c r="G3093" s="859"/>
      <c r="H3093" s="860"/>
      <c r="I3093" s="861"/>
      <c r="J3093" s="862"/>
      <c r="K3093" s="859"/>
      <c r="L3093" s="863"/>
      <c r="M3093" s="859"/>
      <c r="N3093" s="859"/>
      <c r="O3093" s="752">
        <f t="shared" si="410"/>
        <v>0</v>
      </c>
      <c r="P3093" s="862"/>
      <c r="Q3093" s="860"/>
      <c r="R3093" s="753">
        <f t="shared" si="413"/>
        <v>0</v>
      </c>
      <c r="S3093" s="752">
        <f t="shared" si="414"/>
        <v>0</v>
      </c>
      <c r="T3093" s="754">
        <f t="shared" si="415"/>
        <v>0</v>
      </c>
      <c r="U3093" s="859"/>
      <c r="V3093" s="863"/>
      <c r="W3093" s="859"/>
      <c r="X3093" s="859"/>
      <c r="Y3093" s="755">
        <f t="shared" si="411"/>
        <v>0</v>
      </c>
      <c r="Z3093" s="864"/>
      <c r="AA3093" s="863"/>
      <c r="AB3093" s="756">
        <f t="shared" si="412"/>
        <v>0</v>
      </c>
      <c r="AC3093" s="859"/>
      <c r="AD3093" s="863"/>
      <c r="AE3093" s="859"/>
      <c r="AF3093" s="859"/>
      <c r="AG3093" s="864"/>
      <c r="AH3093" s="865"/>
      <c r="AI3093" s="757">
        <f t="shared" si="416"/>
        <v>0</v>
      </c>
      <c r="AJ3093" s="758">
        <f t="shared" si="417"/>
        <v>0</v>
      </c>
    </row>
    <row r="3094" spans="1:36" x14ac:dyDescent="0.2">
      <c r="A3094" s="1022" t="s">
        <v>157</v>
      </c>
      <c r="B3094" s="1064" t="s">
        <v>219</v>
      </c>
      <c r="C3094" s="1045" t="s">
        <v>249</v>
      </c>
      <c r="D3094" s="1046"/>
      <c r="E3094" s="1040"/>
      <c r="F3094" s="1152"/>
      <c r="G3094" s="859"/>
      <c r="H3094" s="860"/>
      <c r="I3094" s="861"/>
      <c r="J3094" s="862"/>
      <c r="K3094" s="859"/>
      <c r="L3094" s="863"/>
      <c r="M3094" s="859"/>
      <c r="N3094" s="859"/>
      <c r="O3094" s="752">
        <f t="shared" si="410"/>
        <v>0</v>
      </c>
      <c r="P3094" s="862"/>
      <c r="Q3094" s="860"/>
      <c r="R3094" s="753">
        <f t="shared" si="413"/>
        <v>0</v>
      </c>
      <c r="S3094" s="752">
        <f t="shared" si="414"/>
        <v>0</v>
      </c>
      <c r="T3094" s="754">
        <f t="shared" si="415"/>
        <v>0</v>
      </c>
      <c r="U3094" s="859">
        <v>4529854</v>
      </c>
      <c r="V3094" s="863">
        <v>4908107</v>
      </c>
      <c r="W3094" s="859"/>
      <c r="X3094" s="859"/>
      <c r="Y3094" s="755">
        <f t="shared" si="411"/>
        <v>0</v>
      </c>
      <c r="Z3094" s="864"/>
      <c r="AA3094" s="863"/>
      <c r="AB3094" s="756">
        <f t="shared" si="412"/>
        <v>0</v>
      </c>
      <c r="AC3094" s="859"/>
      <c r="AD3094" s="863"/>
      <c r="AE3094" s="859"/>
      <c r="AF3094" s="859"/>
      <c r="AG3094" s="864"/>
      <c r="AH3094" s="865"/>
      <c r="AI3094" s="757">
        <f t="shared" si="416"/>
        <v>4529854</v>
      </c>
      <c r="AJ3094" s="758">
        <f t="shared" si="417"/>
        <v>4908107</v>
      </c>
    </row>
    <row r="3095" spans="1:36" x14ac:dyDescent="0.2">
      <c r="A3095" s="1022" t="s">
        <v>157</v>
      </c>
      <c r="B3095" s="1023" t="s">
        <v>292</v>
      </c>
      <c r="C3095" s="1044" t="s">
        <v>1051</v>
      </c>
      <c r="D3095" s="1029"/>
      <c r="E3095" s="1148"/>
      <c r="F3095" s="1149"/>
      <c r="G3095" s="859"/>
      <c r="H3095" s="860"/>
      <c r="I3095" s="861"/>
      <c r="J3095" s="862"/>
      <c r="K3095" s="859"/>
      <c r="L3095" s="863"/>
      <c r="M3095" s="859"/>
      <c r="N3095" s="859"/>
      <c r="O3095" s="752">
        <f t="shared" si="410"/>
        <v>0</v>
      </c>
      <c r="P3095" s="862"/>
      <c r="Q3095" s="860"/>
      <c r="R3095" s="753">
        <f t="shared" si="413"/>
        <v>0</v>
      </c>
      <c r="S3095" s="752">
        <f t="shared" si="414"/>
        <v>0</v>
      </c>
      <c r="T3095" s="754">
        <f t="shared" si="415"/>
        <v>0</v>
      </c>
      <c r="U3095" s="859"/>
      <c r="V3095" s="863"/>
      <c r="W3095" s="859"/>
      <c r="X3095" s="859"/>
      <c r="Y3095" s="755">
        <f t="shared" si="411"/>
        <v>0</v>
      </c>
      <c r="Z3095" s="864"/>
      <c r="AA3095" s="863"/>
      <c r="AB3095" s="756">
        <f t="shared" si="412"/>
        <v>0</v>
      </c>
      <c r="AC3095" s="859"/>
      <c r="AD3095" s="863"/>
      <c r="AE3095" s="859"/>
      <c r="AF3095" s="859"/>
      <c r="AG3095" s="864"/>
      <c r="AH3095" s="865"/>
      <c r="AI3095" s="757">
        <f t="shared" si="416"/>
        <v>0</v>
      </c>
      <c r="AJ3095" s="758">
        <f t="shared" si="417"/>
        <v>0</v>
      </c>
    </row>
    <row r="3096" spans="1:36" x14ac:dyDescent="0.2">
      <c r="A3096" s="1022" t="s">
        <v>157</v>
      </c>
      <c r="B3096" s="1064" t="s">
        <v>209</v>
      </c>
      <c r="C3096" s="1045" t="s">
        <v>1048</v>
      </c>
      <c r="D3096" s="1046"/>
      <c r="E3096" s="1040"/>
      <c r="F3096" s="1152"/>
      <c r="G3096" s="859"/>
      <c r="H3096" s="860"/>
      <c r="I3096" s="861"/>
      <c r="J3096" s="862"/>
      <c r="K3096" s="859"/>
      <c r="L3096" s="863"/>
      <c r="M3096" s="859"/>
      <c r="N3096" s="859"/>
      <c r="O3096" s="752">
        <f t="shared" si="410"/>
        <v>0</v>
      </c>
      <c r="P3096" s="862"/>
      <c r="Q3096" s="860"/>
      <c r="R3096" s="753">
        <f t="shared" si="413"/>
        <v>0</v>
      </c>
      <c r="S3096" s="752">
        <f t="shared" si="414"/>
        <v>0</v>
      </c>
      <c r="T3096" s="754">
        <f t="shared" si="415"/>
        <v>0</v>
      </c>
      <c r="U3096" s="859"/>
      <c r="V3096" s="863"/>
      <c r="W3096" s="859"/>
      <c r="X3096" s="859"/>
      <c r="Y3096" s="755">
        <f t="shared" si="411"/>
        <v>0</v>
      </c>
      <c r="Z3096" s="864"/>
      <c r="AA3096" s="863"/>
      <c r="AB3096" s="756">
        <f t="shared" si="412"/>
        <v>0</v>
      </c>
      <c r="AC3096" s="859"/>
      <c r="AD3096" s="863"/>
      <c r="AE3096" s="859"/>
      <c r="AF3096" s="859"/>
      <c r="AG3096" s="864"/>
      <c r="AH3096" s="865"/>
      <c r="AI3096" s="757">
        <f t="shared" si="416"/>
        <v>0</v>
      </c>
      <c r="AJ3096" s="758">
        <f t="shared" si="417"/>
        <v>0</v>
      </c>
    </row>
    <row r="3097" spans="1:36" x14ac:dyDescent="0.2">
      <c r="A3097" s="1022" t="s">
        <v>157</v>
      </c>
      <c r="B3097" s="1064" t="s">
        <v>210</v>
      </c>
      <c r="C3097" s="1045" t="s">
        <v>311</v>
      </c>
      <c r="D3097" s="1046"/>
      <c r="E3097" s="1040"/>
      <c r="F3097" s="1152"/>
      <c r="G3097" s="859"/>
      <c r="H3097" s="860"/>
      <c r="I3097" s="861"/>
      <c r="J3097" s="862"/>
      <c r="K3097" s="859"/>
      <c r="L3097" s="863"/>
      <c r="M3097" s="859"/>
      <c r="N3097" s="859"/>
      <c r="O3097" s="752">
        <f t="shared" si="410"/>
        <v>0</v>
      </c>
      <c r="P3097" s="862"/>
      <c r="Q3097" s="860"/>
      <c r="R3097" s="753">
        <f t="shared" si="413"/>
        <v>0</v>
      </c>
      <c r="S3097" s="752">
        <f t="shared" si="414"/>
        <v>0</v>
      </c>
      <c r="T3097" s="754">
        <f t="shared" si="415"/>
        <v>0</v>
      </c>
      <c r="U3097" s="859">
        <v>150000</v>
      </c>
      <c r="V3097" s="863">
        <v>136586</v>
      </c>
      <c r="W3097" s="859"/>
      <c r="X3097" s="859"/>
      <c r="Y3097" s="755">
        <f t="shared" si="411"/>
        <v>0</v>
      </c>
      <c r="Z3097" s="864"/>
      <c r="AA3097" s="863"/>
      <c r="AB3097" s="756">
        <f t="shared" si="412"/>
        <v>0</v>
      </c>
      <c r="AC3097" s="859"/>
      <c r="AD3097" s="863"/>
      <c r="AE3097" s="859"/>
      <c r="AF3097" s="859"/>
      <c r="AG3097" s="864"/>
      <c r="AH3097" s="865"/>
      <c r="AI3097" s="757">
        <f t="shared" si="416"/>
        <v>150000</v>
      </c>
      <c r="AJ3097" s="758">
        <f t="shared" si="417"/>
        <v>136586</v>
      </c>
    </row>
    <row r="3098" spans="1:36" x14ac:dyDescent="0.2">
      <c r="A3098" s="1022" t="s">
        <v>157</v>
      </c>
      <c r="B3098" s="1064" t="s">
        <v>204</v>
      </c>
      <c r="C3098" s="1045" t="s">
        <v>249</v>
      </c>
      <c r="D3098" s="1046"/>
      <c r="E3098" s="1040"/>
      <c r="F3098" s="1152"/>
      <c r="G3098" s="859"/>
      <c r="H3098" s="860"/>
      <c r="I3098" s="861"/>
      <c r="J3098" s="862"/>
      <c r="K3098" s="859"/>
      <c r="L3098" s="863"/>
      <c r="M3098" s="859"/>
      <c r="N3098" s="859"/>
      <c r="O3098" s="752">
        <f t="shared" si="410"/>
        <v>0</v>
      </c>
      <c r="P3098" s="862"/>
      <c r="Q3098" s="860"/>
      <c r="R3098" s="753">
        <f t="shared" si="413"/>
        <v>0</v>
      </c>
      <c r="S3098" s="752">
        <f t="shared" si="414"/>
        <v>0</v>
      </c>
      <c r="T3098" s="754">
        <f t="shared" si="415"/>
        <v>0</v>
      </c>
      <c r="U3098" s="859"/>
      <c r="V3098" s="863"/>
      <c r="W3098" s="859"/>
      <c r="X3098" s="859"/>
      <c r="Y3098" s="755">
        <f t="shared" si="411"/>
        <v>0</v>
      </c>
      <c r="Z3098" s="864"/>
      <c r="AA3098" s="863"/>
      <c r="AB3098" s="756">
        <f t="shared" si="412"/>
        <v>0</v>
      </c>
      <c r="AC3098" s="859"/>
      <c r="AD3098" s="863"/>
      <c r="AE3098" s="859"/>
      <c r="AF3098" s="859"/>
      <c r="AG3098" s="864"/>
      <c r="AH3098" s="865"/>
      <c r="AI3098" s="757">
        <f t="shared" si="416"/>
        <v>0</v>
      </c>
      <c r="AJ3098" s="758">
        <f t="shared" si="417"/>
        <v>0</v>
      </c>
    </row>
    <row r="3099" spans="1:36" x14ac:dyDescent="0.2">
      <c r="A3099" s="1022" t="s">
        <v>157</v>
      </c>
      <c r="B3099" s="1023" t="s">
        <v>205</v>
      </c>
      <c r="C3099" s="1045" t="s">
        <v>1049</v>
      </c>
      <c r="D3099" s="1046"/>
      <c r="E3099" s="1040"/>
      <c r="F3099" s="1152"/>
      <c r="G3099" s="859"/>
      <c r="H3099" s="860"/>
      <c r="I3099" s="861"/>
      <c r="J3099" s="862"/>
      <c r="K3099" s="859"/>
      <c r="L3099" s="863"/>
      <c r="M3099" s="859"/>
      <c r="N3099" s="859"/>
      <c r="O3099" s="752">
        <f t="shared" si="410"/>
        <v>0</v>
      </c>
      <c r="P3099" s="862"/>
      <c r="Q3099" s="860"/>
      <c r="R3099" s="753">
        <f t="shared" si="413"/>
        <v>0</v>
      </c>
      <c r="S3099" s="752">
        <f t="shared" si="414"/>
        <v>0</v>
      </c>
      <c r="T3099" s="754">
        <f t="shared" si="415"/>
        <v>0</v>
      </c>
      <c r="U3099" s="859"/>
      <c r="V3099" s="863"/>
      <c r="W3099" s="859"/>
      <c r="X3099" s="859"/>
      <c r="Y3099" s="755">
        <f t="shared" si="411"/>
        <v>0</v>
      </c>
      <c r="Z3099" s="864"/>
      <c r="AA3099" s="863"/>
      <c r="AB3099" s="756">
        <f t="shared" si="412"/>
        <v>0</v>
      </c>
      <c r="AC3099" s="859"/>
      <c r="AD3099" s="863"/>
      <c r="AE3099" s="859"/>
      <c r="AF3099" s="859"/>
      <c r="AG3099" s="864"/>
      <c r="AH3099" s="865"/>
      <c r="AI3099" s="757">
        <f t="shared" si="416"/>
        <v>0</v>
      </c>
      <c r="AJ3099" s="758">
        <f t="shared" si="417"/>
        <v>0</v>
      </c>
    </row>
    <row r="3100" spans="1:36" x14ac:dyDescent="0.2">
      <c r="A3100" s="1022" t="s">
        <v>157</v>
      </c>
      <c r="B3100" s="1064" t="s">
        <v>218</v>
      </c>
      <c r="C3100" s="1045" t="s">
        <v>311</v>
      </c>
      <c r="D3100" s="1046"/>
      <c r="E3100" s="1040"/>
      <c r="F3100" s="1152"/>
      <c r="G3100" s="859"/>
      <c r="H3100" s="860"/>
      <c r="I3100" s="861"/>
      <c r="J3100" s="862"/>
      <c r="K3100" s="859"/>
      <c r="L3100" s="863"/>
      <c r="M3100" s="859"/>
      <c r="N3100" s="859"/>
      <c r="O3100" s="752">
        <f t="shared" si="410"/>
        <v>0</v>
      </c>
      <c r="P3100" s="862"/>
      <c r="Q3100" s="860"/>
      <c r="R3100" s="753">
        <f t="shared" si="413"/>
        <v>0</v>
      </c>
      <c r="S3100" s="752">
        <f t="shared" si="414"/>
        <v>0</v>
      </c>
      <c r="T3100" s="754">
        <f t="shared" si="415"/>
        <v>0</v>
      </c>
      <c r="U3100" s="859"/>
      <c r="V3100" s="863"/>
      <c r="W3100" s="859"/>
      <c r="X3100" s="859"/>
      <c r="Y3100" s="755">
        <f t="shared" si="411"/>
        <v>0</v>
      </c>
      <c r="Z3100" s="864"/>
      <c r="AA3100" s="863"/>
      <c r="AB3100" s="756">
        <f t="shared" si="412"/>
        <v>0</v>
      </c>
      <c r="AC3100" s="859"/>
      <c r="AD3100" s="863"/>
      <c r="AE3100" s="859"/>
      <c r="AF3100" s="859"/>
      <c r="AG3100" s="864"/>
      <c r="AH3100" s="865"/>
      <c r="AI3100" s="757">
        <f t="shared" si="416"/>
        <v>0</v>
      </c>
      <c r="AJ3100" s="758">
        <f t="shared" si="417"/>
        <v>0</v>
      </c>
    </row>
    <row r="3101" spans="1:36" x14ac:dyDescent="0.2">
      <c r="A3101" s="1022" t="s">
        <v>157</v>
      </c>
      <c r="B3101" s="1064" t="s">
        <v>219</v>
      </c>
      <c r="C3101" s="1045" t="s">
        <v>249</v>
      </c>
      <c r="D3101" s="1046"/>
      <c r="E3101" s="1040"/>
      <c r="F3101" s="1152"/>
      <c r="G3101" s="859"/>
      <c r="H3101" s="860"/>
      <c r="I3101" s="861"/>
      <c r="J3101" s="862"/>
      <c r="K3101" s="859"/>
      <c r="L3101" s="863"/>
      <c r="M3101" s="859"/>
      <c r="N3101" s="859"/>
      <c r="O3101" s="752">
        <f t="shared" si="410"/>
        <v>0</v>
      </c>
      <c r="P3101" s="862"/>
      <c r="Q3101" s="860"/>
      <c r="R3101" s="753">
        <f t="shared" si="413"/>
        <v>0</v>
      </c>
      <c r="S3101" s="752">
        <f t="shared" si="414"/>
        <v>0</v>
      </c>
      <c r="T3101" s="754">
        <f t="shared" si="415"/>
        <v>0</v>
      </c>
      <c r="U3101" s="859"/>
      <c r="V3101" s="863"/>
      <c r="W3101" s="859"/>
      <c r="X3101" s="859"/>
      <c r="Y3101" s="755">
        <f t="shared" si="411"/>
        <v>0</v>
      </c>
      <c r="Z3101" s="864"/>
      <c r="AA3101" s="863"/>
      <c r="AB3101" s="756">
        <f t="shared" si="412"/>
        <v>0</v>
      </c>
      <c r="AC3101" s="859"/>
      <c r="AD3101" s="863"/>
      <c r="AE3101" s="859"/>
      <c r="AF3101" s="859"/>
      <c r="AG3101" s="864"/>
      <c r="AH3101" s="865"/>
      <c r="AI3101" s="757">
        <f t="shared" si="416"/>
        <v>0</v>
      </c>
      <c r="AJ3101" s="758">
        <f t="shared" si="417"/>
        <v>0</v>
      </c>
    </row>
    <row r="3102" spans="1:36" x14ac:dyDescent="0.2">
      <c r="A3102" s="1022" t="s">
        <v>157</v>
      </c>
      <c r="B3102" s="1023" t="s">
        <v>292</v>
      </c>
      <c r="C3102" s="1044" t="s">
        <v>1052</v>
      </c>
      <c r="D3102" s="1029"/>
      <c r="E3102" s="1148"/>
      <c r="F3102" s="1149"/>
      <c r="G3102" s="859"/>
      <c r="H3102" s="860"/>
      <c r="I3102" s="861"/>
      <c r="J3102" s="862"/>
      <c r="K3102" s="859"/>
      <c r="L3102" s="863"/>
      <c r="M3102" s="859"/>
      <c r="N3102" s="859"/>
      <c r="O3102" s="752">
        <f t="shared" si="410"/>
        <v>0</v>
      </c>
      <c r="P3102" s="862"/>
      <c r="Q3102" s="860"/>
      <c r="R3102" s="753">
        <f t="shared" si="413"/>
        <v>0</v>
      </c>
      <c r="S3102" s="752">
        <f t="shared" si="414"/>
        <v>0</v>
      </c>
      <c r="T3102" s="754">
        <f t="shared" si="415"/>
        <v>0</v>
      </c>
      <c r="U3102" s="859"/>
      <c r="V3102" s="863"/>
      <c r="W3102" s="859"/>
      <c r="X3102" s="859"/>
      <c r="Y3102" s="755">
        <f t="shared" si="411"/>
        <v>0</v>
      </c>
      <c r="Z3102" s="864"/>
      <c r="AA3102" s="863"/>
      <c r="AB3102" s="756">
        <f t="shared" si="412"/>
        <v>0</v>
      </c>
      <c r="AC3102" s="859"/>
      <c r="AD3102" s="863"/>
      <c r="AE3102" s="859"/>
      <c r="AF3102" s="859"/>
      <c r="AG3102" s="864"/>
      <c r="AH3102" s="865"/>
      <c r="AI3102" s="757">
        <f t="shared" si="416"/>
        <v>0</v>
      </c>
      <c r="AJ3102" s="758">
        <f t="shared" si="417"/>
        <v>0</v>
      </c>
    </row>
    <row r="3103" spans="1:36" x14ac:dyDescent="0.2">
      <c r="A3103" s="1022" t="s">
        <v>157</v>
      </c>
      <c r="B3103" s="1064" t="s">
        <v>209</v>
      </c>
      <c r="C3103" s="1045" t="s">
        <v>1048</v>
      </c>
      <c r="D3103" s="1046"/>
      <c r="E3103" s="1040"/>
      <c r="F3103" s="1152"/>
      <c r="G3103" s="859"/>
      <c r="H3103" s="860"/>
      <c r="I3103" s="861"/>
      <c r="J3103" s="862"/>
      <c r="K3103" s="859"/>
      <c r="L3103" s="863"/>
      <c r="M3103" s="859"/>
      <c r="N3103" s="859"/>
      <c r="O3103" s="752">
        <f t="shared" si="410"/>
        <v>0</v>
      </c>
      <c r="P3103" s="862"/>
      <c r="Q3103" s="860"/>
      <c r="R3103" s="753">
        <f t="shared" si="413"/>
        <v>0</v>
      </c>
      <c r="S3103" s="752">
        <f t="shared" si="414"/>
        <v>0</v>
      </c>
      <c r="T3103" s="754">
        <f t="shared" si="415"/>
        <v>0</v>
      </c>
      <c r="U3103" s="859"/>
      <c r="V3103" s="863"/>
      <c r="W3103" s="859"/>
      <c r="X3103" s="859"/>
      <c r="Y3103" s="755">
        <f t="shared" si="411"/>
        <v>0</v>
      </c>
      <c r="Z3103" s="864"/>
      <c r="AA3103" s="863"/>
      <c r="AB3103" s="756">
        <f t="shared" si="412"/>
        <v>0</v>
      </c>
      <c r="AC3103" s="859"/>
      <c r="AD3103" s="863"/>
      <c r="AE3103" s="859"/>
      <c r="AF3103" s="859"/>
      <c r="AG3103" s="864"/>
      <c r="AH3103" s="865"/>
      <c r="AI3103" s="757">
        <f t="shared" si="416"/>
        <v>0</v>
      </c>
      <c r="AJ3103" s="758">
        <f t="shared" si="417"/>
        <v>0</v>
      </c>
    </row>
    <row r="3104" spans="1:36" x14ac:dyDescent="0.2">
      <c r="A3104" s="1022" t="s">
        <v>157</v>
      </c>
      <c r="B3104" s="1064" t="s">
        <v>210</v>
      </c>
      <c r="C3104" s="1045" t="s">
        <v>311</v>
      </c>
      <c r="D3104" s="1046"/>
      <c r="E3104" s="1040"/>
      <c r="F3104" s="1152"/>
      <c r="G3104" s="859"/>
      <c r="H3104" s="860"/>
      <c r="I3104" s="861"/>
      <c r="J3104" s="862"/>
      <c r="K3104" s="859"/>
      <c r="L3104" s="863"/>
      <c r="M3104" s="859"/>
      <c r="N3104" s="859"/>
      <c r="O3104" s="752">
        <f t="shared" si="410"/>
        <v>0</v>
      </c>
      <c r="P3104" s="862"/>
      <c r="Q3104" s="860"/>
      <c r="R3104" s="753">
        <f t="shared" si="413"/>
        <v>0</v>
      </c>
      <c r="S3104" s="752">
        <f t="shared" si="414"/>
        <v>0</v>
      </c>
      <c r="T3104" s="754">
        <f t="shared" si="415"/>
        <v>0</v>
      </c>
      <c r="U3104" s="859"/>
      <c r="V3104" s="863"/>
      <c r="W3104" s="859"/>
      <c r="X3104" s="859"/>
      <c r="Y3104" s="755">
        <f t="shared" si="411"/>
        <v>0</v>
      </c>
      <c r="Z3104" s="864"/>
      <c r="AA3104" s="863"/>
      <c r="AB3104" s="756">
        <f t="shared" si="412"/>
        <v>0</v>
      </c>
      <c r="AC3104" s="859"/>
      <c r="AD3104" s="863"/>
      <c r="AE3104" s="859"/>
      <c r="AF3104" s="859"/>
      <c r="AG3104" s="864"/>
      <c r="AH3104" s="865"/>
      <c r="AI3104" s="757">
        <f t="shared" si="416"/>
        <v>0</v>
      </c>
      <c r="AJ3104" s="758">
        <f t="shared" si="417"/>
        <v>0</v>
      </c>
    </row>
    <row r="3105" spans="1:36" x14ac:dyDescent="0.2">
      <c r="A3105" s="1022" t="s">
        <v>157</v>
      </c>
      <c r="B3105" s="1064" t="s">
        <v>204</v>
      </c>
      <c r="C3105" s="1045" t="s">
        <v>249</v>
      </c>
      <c r="D3105" s="1046"/>
      <c r="E3105" s="1040"/>
      <c r="F3105" s="1152"/>
      <c r="G3105" s="859"/>
      <c r="H3105" s="860"/>
      <c r="I3105" s="861"/>
      <c r="J3105" s="862"/>
      <c r="K3105" s="859"/>
      <c r="L3105" s="863"/>
      <c r="M3105" s="859"/>
      <c r="N3105" s="859"/>
      <c r="O3105" s="752">
        <f t="shared" si="410"/>
        <v>0</v>
      </c>
      <c r="P3105" s="862"/>
      <c r="Q3105" s="860"/>
      <c r="R3105" s="753">
        <f t="shared" si="413"/>
        <v>0</v>
      </c>
      <c r="S3105" s="752">
        <f t="shared" si="414"/>
        <v>0</v>
      </c>
      <c r="T3105" s="754">
        <f t="shared" si="415"/>
        <v>0</v>
      </c>
      <c r="U3105" s="859">
        <v>125883</v>
      </c>
      <c r="V3105" s="863">
        <v>277690</v>
      </c>
      <c r="W3105" s="859"/>
      <c r="X3105" s="859"/>
      <c r="Y3105" s="755">
        <f t="shared" si="411"/>
        <v>0</v>
      </c>
      <c r="Z3105" s="864"/>
      <c r="AA3105" s="863"/>
      <c r="AB3105" s="756">
        <f t="shared" si="412"/>
        <v>0</v>
      </c>
      <c r="AC3105" s="859"/>
      <c r="AD3105" s="863"/>
      <c r="AE3105" s="859"/>
      <c r="AF3105" s="859"/>
      <c r="AG3105" s="864"/>
      <c r="AH3105" s="865"/>
      <c r="AI3105" s="757">
        <f t="shared" si="416"/>
        <v>125883</v>
      </c>
      <c r="AJ3105" s="758">
        <f t="shared" si="417"/>
        <v>277690</v>
      </c>
    </row>
    <row r="3106" spans="1:36" x14ac:dyDescent="0.2">
      <c r="A3106" s="1022" t="s">
        <v>157</v>
      </c>
      <c r="B3106" s="1023" t="s">
        <v>205</v>
      </c>
      <c r="C3106" s="1045" t="s">
        <v>1049</v>
      </c>
      <c r="D3106" s="1046"/>
      <c r="E3106" s="1040"/>
      <c r="F3106" s="1152"/>
      <c r="G3106" s="859"/>
      <c r="H3106" s="860"/>
      <c r="I3106" s="861"/>
      <c r="J3106" s="862"/>
      <c r="K3106" s="859"/>
      <c r="L3106" s="863"/>
      <c r="M3106" s="859"/>
      <c r="N3106" s="859"/>
      <c r="O3106" s="752">
        <f t="shared" si="410"/>
        <v>0</v>
      </c>
      <c r="P3106" s="862"/>
      <c r="Q3106" s="860"/>
      <c r="R3106" s="753">
        <f t="shared" si="413"/>
        <v>0</v>
      </c>
      <c r="S3106" s="752">
        <f t="shared" si="414"/>
        <v>0</v>
      </c>
      <c r="T3106" s="754">
        <f t="shared" si="415"/>
        <v>0</v>
      </c>
      <c r="U3106" s="859"/>
      <c r="V3106" s="863"/>
      <c r="W3106" s="859"/>
      <c r="X3106" s="859"/>
      <c r="Y3106" s="755">
        <f t="shared" si="411"/>
        <v>0</v>
      </c>
      <c r="Z3106" s="864"/>
      <c r="AA3106" s="863"/>
      <c r="AB3106" s="756">
        <f t="shared" si="412"/>
        <v>0</v>
      </c>
      <c r="AC3106" s="859"/>
      <c r="AD3106" s="863"/>
      <c r="AE3106" s="859"/>
      <c r="AF3106" s="859"/>
      <c r="AG3106" s="864"/>
      <c r="AH3106" s="865"/>
      <c r="AI3106" s="757">
        <f t="shared" si="416"/>
        <v>0</v>
      </c>
      <c r="AJ3106" s="758">
        <f t="shared" si="417"/>
        <v>0</v>
      </c>
    </row>
    <row r="3107" spans="1:36" x14ac:dyDescent="0.2">
      <c r="A3107" s="1022" t="s">
        <v>157</v>
      </c>
      <c r="B3107" s="1064" t="s">
        <v>218</v>
      </c>
      <c r="C3107" s="1045" t="s">
        <v>311</v>
      </c>
      <c r="D3107" s="1046"/>
      <c r="E3107" s="1040"/>
      <c r="F3107" s="1152"/>
      <c r="G3107" s="859"/>
      <c r="H3107" s="860"/>
      <c r="I3107" s="861"/>
      <c r="J3107" s="862"/>
      <c r="K3107" s="859"/>
      <c r="L3107" s="863"/>
      <c r="M3107" s="859"/>
      <c r="N3107" s="859"/>
      <c r="O3107" s="752">
        <f t="shared" si="410"/>
        <v>0</v>
      </c>
      <c r="P3107" s="862"/>
      <c r="Q3107" s="860"/>
      <c r="R3107" s="753">
        <f t="shared" si="413"/>
        <v>0</v>
      </c>
      <c r="S3107" s="752">
        <f t="shared" si="414"/>
        <v>0</v>
      </c>
      <c r="T3107" s="754">
        <f t="shared" si="415"/>
        <v>0</v>
      </c>
      <c r="U3107" s="859"/>
      <c r="V3107" s="863"/>
      <c r="W3107" s="859"/>
      <c r="X3107" s="859"/>
      <c r="Y3107" s="755">
        <f t="shared" si="411"/>
        <v>0</v>
      </c>
      <c r="Z3107" s="864"/>
      <c r="AA3107" s="863"/>
      <c r="AB3107" s="756">
        <f t="shared" si="412"/>
        <v>0</v>
      </c>
      <c r="AC3107" s="859"/>
      <c r="AD3107" s="863"/>
      <c r="AE3107" s="859"/>
      <c r="AF3107" s="859"/>
      <c r="AG3107" s="864"/>
      <c r="AH3107" s="865"/>
      <c r="AI3107" s="757">
        <f t="shared" si="416"/>
        <v>0</v>
      </c>
      <c r="AJ3107" s="758">
        <f t="shared" si="417"/>
        <v>0</v>
      </c>
    </row>
    <row r="3108" spans="1:36" x14ac:dyDescent="0.2">
      <c r="A3108" s="1022" t="s">
        <v>157</v>
      </c>
      <c r="B3108" s="1064" t="s">
        <v>219</v>
      </c>
      <c r="C3108" s="1045" t="s">
        <v>249</v>
      </c>
      <c r="D3108" s="1046"/>
      <c r="E3108" s="1040"/>
      <c r="F3108" s="1152"/>
      <c r="G3108" s="859"/>
      <c r="H3108" s="860"/>
      <c r="I3108" s="861"/>
      <c r="J3108" s="862"/>
      <c r="K3108" s="859"/>
      <c r="L3108" s="863"/>
      <c r="M3108" s="859"/>
      <c r="N3108" s="859"/>
      <c r="O3108" s="752">
        <f t="shared" si="410"/>
        <v>0</v>
      </c>
      <c r="P3108" s="862"/>
      <c r="Q3108" s="860"/>
      <c r="R3108" s="753">
        <f t="shared" si="413"/>
        <v>0</v>
      </c>
      <c r="S3108" s="752">
        <f t="shared" si="414"/>
        <v>0</v>
      </c>
      <c r="T3108" s="754">
        <f t="shared" si="415"/>
        <v>0</v>
      </c>
      <c r="U3108" s="859">
        <v>15259</v>
      </c>
      <c r="V3108" s="863">
        <v>63452</v>
      </c>
      <c r="W3108" s="859"/>
      <c r="X3108" s="859"/>
      <c r="Y3108" s="755">
        <f t="shared" si="411"/>
        <v>0</v>
      </c>
      <c r="Z3108" s="864"/>
      <c r="AA3108" s="863"/>
      <c r="AB3108" s="756">
        <f t="shared" si="412"/>
        <v>0</v>
      </c>
      <c r="AC3108" s="859"/>
      <c r="AD3108" s="863"/>
      <c r="AE3108" s="859"/>
      <c r="AF3108" s="859"/>
      <c r="AG3108" s="864"/>
      <c r="AH3108" s="865"/>
      <c r="AI3108" s="757">
        <f t="shared" si="416"/>
        <v>15259</v>
      </c>
      <c r="AJ3108" s="758">
        <f t="shared" si="417"/>
        <v>63452</v>
      </c>
    </row>
    <row r="3109" spans="1:36" x14ac:dyDescent="0.2">
      <c r="A3109" s="1022" t="s">
        <v>157</v>
      </c>
      <c r="B3109" s="1023" t="s">
        <v>292</v>
      </c>
      <c r="C3109" s="1044" t="s">
        <v>1053</v>
      </c>
      <c r="D3109" s="1029"/>
      <c r="E3109" s="1040"/>
      <c r="F3109" s="1152"/>
      <c r="G3109" s="859"/>
      <c r="H3109" s="860"/>
      <c r="I3109" s="861"/>
      <c r="J3109" s="862"/>
      <c r="K3109" s="859"/>
      <c r="L3109" s="863"/>
      <c r="M3109" s="859"/>
      <c r="N3109" s="859"/>
      <c r="O3109" s="752">
        <f t="shared" si="410"/>
        <v>0</v>
      </c>
      <c r="P3109" s="862"/>
      <c r="Q3109" s="860"/>
      <c r="R3109" s="753">
        <f t="shared" si="413"/>
        <v>0</v>
      </c>
      <c r="S3109" s="752">
        <f t="shared" si="414"/>
        <v>0</v>
      </c>
      <c r="T3109" s="754">
        <f t="shared" si="415"/>
        <v>0</v>
      </c>
      <c r="U3109" s="859"/>
      <c r="V3109" s="863"/>
      <c r="W3109" s="859"/>
      <c r="X3109" s="859"/>
      <c r="Y3109" s="755">
        <f t="shared" si="411"/>
        <v>0</v>
      </c>
      <c r="Z3109" s="864"/>
      <c r="AA3109" s="863"/>
      <c r="AB3109" s="756">
        <f t="shared" si="412"/>
        <v>0</v>
      </c>
      <c r="AC3109" s="859"/>
      <c r="AD3109" s="863"/>
      <c r="AE3109" s="859"/>
      <c r="AF3109" s="859"/>
      <c r="AG3109" s="864"/>
      <c r="AH3109" s="865"/>
      <c r="AI3109" s="757">
        <f t="shared" si="416"/>
        <v>0</v>
      </c>
      <c r="AJ3109" s="758">
        <f t="shared" si="417"/>
        <v>0</v>
      </c>
    </row>
    <row r="3110" spans="1:36" x14ac:dyDescent="0.2">
      <c r="A3110" s="1022" t="s">
        <v>157</v>
      </c>
      <c r="B3110" s="1064" t="s">
        <v>209</v>
      </c>
      <c r="C3110" s="1045" t="s">
        <v>1048</v>
      </c>
      <c r="D3110" s="1046"/>
      <c r="E3110" s="1040"/>
      <c r="F3110" s="1152"/>
      <c r="G3110" s="859"/>
      <c r="H3110" s="860"/>
      <c r="I3110" s="861"/>
      <c r="J3110" s="862"/>
      <c r="K3110" s="859"/>
      <c r="L3110" s="863"/>
      <c r="M3110" s="859"/>
      <c r="N3110" s="859"/>
      <c r="O3110" s="752">
        <f t="shared" si="410"/>
        <v>0</v>
      </c>
      <c r="P3110" s="862"/>
      <c r="Q3110" s="860"/>
      <c r="R3110" s="753">
        <f t="shared" si="413"/>
        <v>0</v>
      </c>
      <c r="S3110" s="752">
        <f t="shared" si="414"/>
        <v>0</v>
      </c>
      <c r="T3110" s="754">
        <f t="shared" si="415"/>
        <v>0</v>
      </c>
      <c r="U3110" s="859"/>
      <c r="V3110" s="863"/>
      <c r="W3110" s="859"/>
      <c r="X3110" s="859"/>
      <c r="Y3110" s="755">
        <f t="shared" si="411"/>
        <v>0</v>
      </c>
      <c r="Z3110" s="864"/>
      <c r="AA3110" s="863"/>
      <c r="AB3110" s="756">
        <f t="shared" si="412"/>
        <v>0</v>
      </c>
      <c r="AC3110" s="859"/>
      <c r="AD3110" s="863"/>
      <c r="AE3110" s="859"/>
      <c r="AF3110" s="859"/>
      <c r="AG3110" s="864"/>
      <c r="AH3110" s="865"/>
      <c r="AI3110" s="757">
        <f t="shared" si="416"/>
        <v>0</v>
      </c>
      <c r="AJ3110" s="758">
        <f t="shared" si="417"/>
        <v>0</v>
      </c>
    </row>
    <row r="3111" spans="1:36" x14ac:dyDescent="0.2">
      <c r="A3111" s="1022" t="s">
        <v>157</v>
      </c>
      <c r="B3111" s="1064" t="s">
        <v>210</v>
      </c>
      <c r="C3111" s="1045" t="s">
        <v>311</v>
      </c>
      <c r="D3111" s="1046"/>
      <c r="E3111" s="1040"/>
      <c r="F3111" s="1152"/>
      <c r="G3111" s="859"/>
      <c r="H3111" s="860"/>
      <c r="I3111" s="861"/>
      <c r="J3111" s="862"/>
      <c r="K3111" s="859"/>
      <c r="L3111" s="863"/>
      <c r="M3111" s="859"/>
      <c r="N3111" s="859"/>
      <c r="O3111" s="752">
        <f t="shared" si="410"/>
        <v>0</v>
      </c>
      <c r="P3111" s="862"/>
      <c r="Q3111" s="860"/>
      <c r="R3111" s="753">
        <f t="shared" si="413"/>
        <v>0</v>
      </c>
      <c r="S3111" s="752">
        <f t="shared" si="414"/>
        <v>0</v>
      </c>
      <c r="T3111" s="754">
        <f t="shared" si="415"/>
        <v>0</v>
      </c>
      <c r="U3111" s="859"/>
      <c r="V3111" s="863"/>
      <c r="W3111" s="859"/>
      <c r="X3111" s="859"/>
      <c r="Y3111" s="755">
        <f t="shared" si="411"/>
        <v>0</v>
      </c>
      <c r="Z3111" s="864"/>
      <c r="AA3111" s="863"/>
      <c r="AB3111" s="756">
        <f t="shared" si="412"/>
        <v>0</v>
      </c>
      <c r="AC3111" s="859"/>
      <c r="AD3111" s="863"/>
      <c r="AE3111" s="859"/>
      <c r="AF3111" s="859"/>
      <c r="AG3111" s="864"/>
      <c r="AH3111" s="865"/>
      <c r="AI3111" s="757">
        <f t="shared" si="416"/>
        <v>0</v>
      </c>
      <c r="AJ3111" s="758">
        <f t="shared" si="417"/>
        <v>0</v>
      </c>
    </row>
    <row r="3112" spans="1:36" x14ac:dyDescent="0.2">
      <c r="A3112" s="1022" t="s">
        <v>157</v>
      </c>
      <c r="B3112" s="1064" t="s">
        <v>204</v>
      </c>
      <c r="C3112" s="1045" t="s">
        <v>249</v>
      </c>
      <c r="D3112" s="1046"/>
      <c r="E3112" s="1040"/>
      <c r="F3112" s="1152"/>
      <c r="G3112" s="859"/>
      <c r="H3112" s="860"/>
      <c r="I3112" s="861"/>
      <c r="J3112" s="862"/>
      <c r="K3112" s="859"/>
      <c r="L3112" s="863"/>
      <c r="M3112" s="859"/>
      <c r="N3112" s="859"/>
      <c r="O3112" s="752">
        <f t="shared" si="410"/>
        <v>0</v>
      </c>
      <c r="P3112" s="862"/>
      <c r="Q3112" s="860"/>
      <c r="R3112" s="753">
        <f t="shared" si="413"/>
        <v>0</v>
      </c>
      <c r="S3112" s="752">
        <f t="shared" si="414"/>
        <v>0</v>
      </c>
      <c r="T3112" s="754">
        <f t="shared" si="415"/>
        <v>0</v>
      </c>
      <c r="U3112" s="859">
        <v>431711</v>
      </c>
      <c r="V3112" s="863">
        <v>430012</v>
      </c>
      <c r="W3112" s="859"/>
      <c r="X3112" s="859"/>
      <c r="Y3112" s="755">
        <f t="shared" si="411"/>
        <v>0</v>
      </c>
      <c r="Z3112" s="864"/>
      <c r="AA3112" s="863"/>
      <c r="AB3112" s="756">
        <f t="shared" si="412"/>
        <v>0</v>
      </c>
      <c r="AC3112" s="859"/>
      <c r="AD3112" s="863"/>
      <c r="AE3112" s="859"/>
      <c r="AF3112" s="859"/>
      <c r="AG3112" s="864"/>
      <c r="AH3112" s="865"/>
      <c r="AI3112" s="757">
        <f t="shared" si="416"/>
        <v>431711</v>
      </c>
      <c r="AJ3112" s="758">
        <f t="shared" si="417"/>
        <v>430012</v>
      </c>
    </row>
    <row r="3113" spans="1:36" x14ac:dyDescent="0.2">
      <c r="A3113" s="1022" t="s">
        <v>157</v>
      </c>
      <c r="B3113" s="1064" t="s">
        <v>205</v>
      </c>
      <c r="C3113" s="1045" t="s">
        <v>1049</v>
      </c>
      <c r="D3113" s="1046"/>
      <c r="E3113" s="1040"/>
      <c r="F3113" s="1152"/>
      <c r="G3113" s="859"/>
      <c r="H3113" s="860"/>
      <c r="I3113" s="861"/>
      <c r="J3113" s="862"/>
      <c r="K3113" s="859"/>
      <c r="L3113" s="863"/>
      <c r="M3113" s="859"/>
      <c r="N3113" s="859"/>
      <c r="O3113" s="752">
        <f t="shared" si="410"/>
        <v>0</v>
      </c>
      <c r="P3113" s="862"/>
      <c r="Q3113" s="860"/>
      <c r="R3113" s="753">
        <f t="shared" si="413"/>
        <v>0</v>
      </c>
      <c r="S3113" s="752">
        <f t="shared" si="414"/>
        <v>0</v>
      </c>
      <c r="T3113" s="754">
        <f t="shared" si="415"/>
        <v>0</v>
      </c>
      <c r="U3113" s="859"/>
      <c r="V3113" s="863"/>
      <c r="W3113" s="859"/>
      <c r="X3113" s="859"/>
      <c r="Y3113" s="755">
        <f t="shared" si="411"/>
        <v>0</v>
      </c>
      <c r="Z3113" s="864"/>
      <c r="AA3113" s="863"/>
      <c r="AB3113" s="756">
        <f t="shared" si="412"/>
        <v>0</v>
      </c>
      <c r="AC3113" s="859"/>
      <c r="AD3113" s="863"/>
      <c r="AE3113" s="859"/>
      <c r="AF3113" s="859"/>
      <c r="AG3113" s="864"/>
      <c r="AH3113" s="865"/>
      <c r="AI3113" s="757">
        <f t="shared" si="416"/>
        <v>0</v>
      </c>
      <c r="AJ3113" s="758">
        <f t="shared" si="417"/>
        <v>0</v>
      </c>
    </row>
    <row r="3114" spans="1:36" x14ac:dyDescent="0.2">
      <c r="A3114" s="1022" t="s">
        <v>157</v>
      </c>
      <c r="B3114" s="1064" t="s">
        <v>218</v>
      </c>
      <c r="C3114" s="1045" t="s">
        <v>311</v>
      </c>
      <c r="D3114" s="1046"/>
      <c r="E3114" s="1040"/>
      <c r="F3114" s="1152"/>
      <c r="G3114" s="859"/>
      <c r="H3114" s="860"/>
      <c r="I3114" s="861"/>
      <c r="J3114" s="862"/>
      <c r="K3114" s="859"/>
      <c r="L3114" s="863"/>
      <c r="M3114" s="859"/>
      <c r="N3114" s="859"/>
      <c r="O3114" s="752">
        <f t="shared" si="410"/>
        <v>0</v>
      </c>
      <c r="P3114" s="862"/>
      <c r="Q3114" s="860"/>
      <c r="R3114" s="753">
        <f t="shared" si="413"/>
        <v>0</v>
      </c>
      <c r="S3114" s="752">
        <f t="shared" si="414"/>
        <v>0</v>
      </c>
      <c r="T3114" s="754">
        <f t="shared" si="415"/>
        <v>0</v>
      </c>
      <c r="U3114" s="859"/>
      <c r="V3114" s="863"/>
      <c r="W3114" s="859"/>
      <c r="X3114" s="859"/>
      <c r="Y3114" s="755">
        <f t="shared" si="411"/>
        <v>0</v>
      </c>
      <c r="Z3114" s="864"/>
      <c r="AA3114" s="863"/>
      <c r="AB3114" s="756">
        <f t="shared" si="412"/>
        <v>0</v>
      </c>
      <c r="AC3114" s="859"/>
      <c r="AD3114" s="863"/>
      <c r="AE3114" s="859"/>
      <c r="AF3114" s="859"/>
      <c r="AG3114" s="864"/>
      <c r="AH3114" s="865"/>
      <c r="AI3114" s="757">
        <f t="shared" si="416"/>
        <v>0</v>
      </c>
      <c r="AJ3114" s="758">
        <f t="shared" si="417"/>
        <v>0</v>
      </c>
    </row>
    <row r="3115" spans="1:36" x14ac:dyDescent="0.2">
      <c r="A3115" s="1022" t="s">
        <v>157</v>
      </c>
      <c r="B3115" s="1064" t="s">
        <v>219</v>
      </c>
      <c r="C3115" s="1045" t="s">
        <v>249</v>
      </c>
      <c r="D3115" s="1046"/>
      <c r="E3115" s="1040"/>
      <c r="F3115" s="1152"/>
      <c r="G3115" s="859"/>
      <c r="H3115" s="860"/>
      <c r="I3115" s="861"/>
      <c r="J3115" s="862"/>
      <c r="K3115" s="859"/>
      <c r="L3115" s="863"/>
      <c r="M3115" s="859"/>
      <c r="N3115" s="859"/>
      <c r="O3115" s="752">
        <f t="shared" si="410"/>
        <v>0</v>
      </c>
      <c r="P3115" s="862"/>
      <c r="Q3115" s="860"/>
      <c r="R3115" s="753">
        <f t="shared" si="413"/>
        <v>0</v>
      </c>
      <c r="S3115" s="752">
        <f t="shared" si="414"/>
        <v>0</v>
      </c>
      <c r="T3115" s="754">
        <f t="shared" si="415"/>
        <v>0</v>
      </c>
      <c r="U3115" s="859">
        <v>38762</v>
      </c>
      <c r="V3115" s="863">
        <v>40461</v>
      </c>
      <c r="W3115" s="859"/>
      <c r="X3115" s="859"/>
      <c r="Y3115" s="755">
        <f t="shared" si="411"/>
        <v>0</v>
      </c>
      <c r="Z3115" s="864"/>
      <c r="AA3115" s="863"/>
      <c r="AB3115" s="756">
        <f t="shared" si="412"/>
        <v>0</v>
      </c>
      <c r="AC3115" s="859"/>
      <c r="AD3115" s="863"/>
      <c r="AE3115" s="859"/>
      <c r="AF3115" s="859"/>
      <c r="AG3115" s="864"/>
      <c r="AH3115" s="865"/>
      <c r="AI3115" s="757">
        <f t="shared" si="416"/>
        <v>38762</v>
      </c>
      <c r="AJ3115" s="758">
        <f t="shared" si="417"/>
        <v>40461</v>
      </c>
    </row>
    <row r="3116" spans="1:36" x14ac:dyDescent="0.2">
      <c r="A3116" s="1022" t="s">
        <v>157</v>
      </c>
      <c r="B3116" s="1023" t="s">
        <v>292</v>
      </c>
      <c r="C3116" s="1044" t="s">
        <v>1054</v>
      </c>
      <c r="D3116" s="1029"/>
      <c r="E3116" s="1148"/>
      <c r="F3116" s="1149"/>
      <c r="G3116" s="859"/>
      <c r="H3116" s="860"/>
      <c r="I3116" s="861"/>
      <c r="J3116" s="862"/>
      <c r="K3116" s="859"/>
      <c r="L3116" s="863"/>
      <c r="M3116" s="859"/>
      <c r="N3116" s="859"/>
      <c r="O3116" s="752">
        <f t="shared" si="410"/>
        <v>0</v>
      </c>
      <c r="P3116" s="862"/>
      <c r="Q3116" s="860"/>
      <c r="R3116" s="753">
        <f t="shared" si="413"/>
        <v>0</v>
      </c>
      <c r="S3116" s="752">
        <f t="shared" si="414"/>
        <v>0</v>
      </c>
      <c r="T3116" s="754">
        <f t="shared" si="415"/>
        <v>0</v>
      </c>
      <c r="U3116" s="859"/>
      <c r="V3116" s="863"/>
      <c r="W3116" s="859"/>
      <c r="X3116" s="859"/>
      <c r="Y3116" s="755">
        <f t="shared" si="411"/>
        <v>0</v>
      </c>
      <c r="Z3116" s="864"/>
      <c r="AA3116" s="863"/>
      <c r="AB3116" s="756">
        <f t="shared" si="412"/>
        <v>0</v>
      </c>
      <c r="AC3116" s="859"/>
      <c r="AD3116" s="863"/>
      <c r="AE3116" s="859"/>
      <c r="AF3116" s="859"/>
      <c r="AG3116" s="864"/>
      <c r="AH3116" s="865"/>
      <c r="AI3116" s="757">
        <f t="shared" si="416"/>
        <v>0</v>
      </c>
      <c r="AJ3116" s="758">
        <f t="shared" si="417"/>
        <v>0</v>
      </c>
    </row>
    <row r="3117" spans="1:36" x14ac:dyDescent="0.2">
      <c r="A3117" s="1022" t="s">
        <v>157</v>
      </c>
      <c r="B3117" s="1064" t="s">
        <v>209</v>
      </c>
      <c r="C3117" s="1045" t="s">
        <v>1055</v>
      </c>
      <c r="D3117" s="1046"/>
      <c r="E3117" s="1040"/>
      <c r="F3117" s="1152"/>
      <c r="G3117" s="859"/>
      <c r="H3117" s="860"/>
      <c r="I3117" s="861"/>
      <c r="J3117" s="862"/>
      <c r="K3117" s="859"/>
      <c r="L3117" s="863"/>
      <c r="M3117" s="859"/>
      <c r="N3117" s="859"/>
      <c r="O3117" s="752">
        <f t="shared" si="410"/>
        <v>0</v>
      </c>
      <c r="P3117" s="862"/>
      <c r="Q3117" s="860"/>
      <c r="R3117" s="753">
        <f t="shared" si="413"/>
        <v>0</v>
      </c>
      <c r="S3117" s="752">
        <f t="shared" si="414"/>
        <v>0</v>
      </c>
      <c r="T3117" s="754">
        <f t="shared" si="415"/>
        <v>0</v>
      </c>
      <c r="U3117" s="859"/>
      <c r="V3117" s="863"/>
      <c r="W3117" s="859"/>
      <c r="X3117" s="859"/>
      <c r="Y3117" s="755">
        <f t="shared" si="411"/>
        <v>0</v>
      </c>
      <c r="Z3117" s="864"/>
      <c r="AA3117" s="863"/>
      <c r="AB3117" s="756">
        <f t="shared" si="412"/>
        <v>0</v>
      </c>
      <c r="AC3117" s="859"/>
      <c r="AD3117" s="863"/>
      <c r="AE3117" s="859"/>
      <c r="AF3117" s="859"/>
      <c r="AG3117" s="864"/>
      <c r="AH3117" s="865"/>
      <c r="AI3117" s="757">
        <f t="shared" si="416"/>
        <v>0</v>
      </c>
      <c r="AJ3117" s="758">
        <f t="shared" si="417"/>
        <v>0</v>
      </c>
    </row>
    <row r="3118" spans="1:36" x14ac:dyDescent="0.2">
      <c r="A3118" s="1022" t="s">
        <v>157</v>
      </c>
      <c r="B3118" s="1064" t="s">
        <v>210</v>
      </c>
      <c r="C3118" s="1045" t="s">
        <v>311</v>
      </c>
      <c r="D3118" s="1046"/>
      <c r="E3118" s="1040"/>
      <c r="F3118" s="1152"/>
      <c r="G3118" s="859"/>
      <c r="H3118" s="860"/>
      <c r="I3118" s="861"/>
      <c r="J3118" s="862"/>
      <c r="K3118" s="859"/>
      <c r="L3118" s="863"/>
      <c r="M3118" s="859"/>
      <c r="N3118" s="859"/>
      <c r="O3118" s="752">
        <f t="shared" si="410"/>
        <v>0</v>
      </c>
      <c r="P3118" s="862"/>
      <c r="Q3118" s="860"/>
      <c r="R3118" s="753">
        <f t="shared" si="413"/>
        <v>0</v>
      </c>
      <c r="S3118" s="752">
        <f t="shared" si="414"/>
        <v>0</v>
      </c>
      <c r="T3118" s="754">
        <f t="shared" si="415"/>
        <v>0</v>
      </c>
      <c r="U3118" s="859"/>
      <c r="V3118" s="863"/>
      <c r="W3118" s="859"/>
      <c r="X3118" s="859"/>
      <c r="Y3118" s="755">
        <f t="shared" si="411"/>
        <v>0</v>
      </c>
      <c r="Z3118" s="864"/>
      <c r="AA3118" s="863"/>
      <c r="AB3118" s="756">
        <f t="shared" si="412"/>
        <v>0</v>
      </c>
      <c r="AC3118" s="859"/>
      <c r="AD3118" s="863"/>
      <c r="AE3118" s="859"/>
      <c r="AF3118" s="859"/>
      <c r="AG3118" s="864"/>
      <c r="AH3118" s="865"/>
      <c r="AI3118" s="757">
        <f t="shared" si="416"/>
        <v>0</v>
      </c>
      <c r="AJ3118" s="758">
        <f t="shared" si="417"/>
        <v>0</v>
      </c>
    </row>
    <row r="3119" spans="1:36" x14ac:dyDescent="0.2">
      <c r="A3119" s="1022" t="s">
        <v>157</v>
      </c>
      <c r="B3119" s="1064" t="s">
        <v>204</v>
      </c>
      <c r="C3119" s="1045" t="s">
        <v>249</v>
      </c>
      <c r="D3119" s="1046"/>
      <c r="E3119" s="1040"/>
      <c r="F3119" s="1152"/>
      <c r="G3119" s="859"/>
      <c r="H3119" s="860"/>
      <c r="I3119" s="861"/>
      <c r="J3119" s="862"/>
      <c r="K3119" s="859"/>
      <c r="L3119" s="863"/>
      <c r="M3119" s="859"/>
      <c r="N3119" s="859"/>
      <c r="O3119" s="752">
        <f t="shared" si="410"/>
        <v>0</v>
      </c>
      <c r="P3119" s="862"/>
      <c r="Q3119" s="860"/>
      <c r="R3119" s="753">
        <f t="shared" si="413"/>
        <v>0</v>
      </c>
      <c r="S3119" s="752">
        <f t="shared" si="414"/>
        <v>0</v>
      </c>
      <c r="T3119" s="754">
        <f t="shared" si="415"/>
        <v>0</v>
      </c>
      <c r="U3119" s="859">
        <v>251542</v>
      </c>
      <c r="V3119" s="863">
        <v>199271</v>
      </c>
      <c r="W3119" s="859"/>
      <c r="X3119" s="859"/>
      <c r="Y3119" s="755">
        <f t="shared" si="411"/>
        <v>0</v>
      </c>
      <c r="Z3119" s="864"/>
      <c r="AA3119" s="863"/>
      <c r="AB3119" s="756">
        <f t="shared" si="412"/>
        <v>0</v>
      </c>
      <c r="AC3119" s="859"/>
      <c r="AD3119" s="863"/>
      <c r="AE3119" s="859"/>
      <c r="AF3119" s="859"/>
      <c r="AG3119" s="864"/>
      <c r="AH3119" s="865"/>
      <c r="AI3119" s="757">
        <f t="shared" si="416"/>
        <v>251542</v>
      </c>
      <c r="AJ3119" s="758">
        <f t="shared" si="417"/>
        <v>199271</v>
      </c>
    </row>
    <row r="3120" spans="1:36" x14ac:dyDescent="0.2">
      <c r="A3120" s="1022" t="s">
        <v>157</v>
      </c>
      <c r="B3120" s="1023" t="s">
        <v>205</v>
      </c>
      <c r="C3120" s="1045" t="s">
        <v>1049</v>
      </c>
      <c r="D3120" s="1046"/>
      <c r="E3120" s="1040"/>
      <c r="F3120" s="1152"/>
      <c r="G3120" s="859"/>
      <c r="H3120" s="860"/>
      <c r="I3120" s="861"/>
      <c r="J3120" s="862"/>
      <c r="K3120" s="859"/>
      <c r="L3120" s="863"/>
      <c r="M3120" s="859"/>
      <c r="N3120" s="859"/>
      <c r="O3120" s="752">
        <f t="shared" si="410"/>
        <v>0</v>
      </c>
      <c r="P3120" s="862"/>
      <c r="Q3120" s="860"/>
      <c r="R3120" s="753">
        <f t="shared" si="413"/>
        <v>0</v>
      </c>
      <c r="S3120" s="752">
        <f t="shared" si="414"/>
        <v>0</v>
      </c>
      <c r="T3120" s="754">
        <f t="shared" si="415"/>
        <v>0</v>
      </c>
      <c r="U3120" s="859"/>
      <c r="V3120" s="863"/>
      <c r="W3120" s="859"/>
      <c r="X3120" s="859"/>
      <c r="Y3120" s="755">
        <f t="shared" si="411"/>
        <v>0</v>
      </c>
      <c r="Z3120" s="864"/>
      <c r="AA3120" s="863"/>
      <c r="AB3120" s="756">
        <f t="shared" si="412"/>
        <v>0</v>
      </c>
      <c r="AC3120" s="859"/>
      <c r="AD3120" s="863"/>
      <c r="AE3120" s="859"/>
      <c r="AF3120" s="859"/>
      <c r="AG3120" s="864"/>
      <c r="AH3120" s="865"/>
      <c r="AI3120" s="757">
        <f t="shared" si="416"/>
        <v>0</v>
      </c>
      <c r="AJ3120" s="758">
        <f t="shared" si="417"/>
        <v>0</v>
      </c>
    </row>
    <row r="3121" spans="1:36" x14ac:dyDescent="0.2">
      <c r="A3121" s="1022" t="s">
        <v>157</v>
      </c>
      <c r="B3121" s="1064" t="s">
        <v>218</v>
      </c>
      <c r="C3121" s="1045" t="s">
        <v>311</v>
      </c>
      <c r="D3121" s="1046"/>
      <c r="E3121" s="1040"/>
      <c r="F3121" s="1152"/>
      <c r="G3121" s="859"/>
      <c r="H3121" s="860"/>
      <c r="I3121" s="861"/>
      <c r="J3121" s="862"/>
      <c r="K3121" s="859"/>
      <c r="L3121" s="863"/>
      <c r="M3121" s="859"/>
      <c r="N3121" s="859"/>
      <c r="O3121" s="752">
        <f t="shared" si="410"/>
        <v>0</v>
      </c>
      <c r="P3121" s="862"/>
      <c r="Q3121" s="860"/>
      <c r="R3121" s="753">
        <f t="shared" si="413"/>
        <v>0</v>
      </c>
      <c r="S3121" s="752">
        <f t="shared" si="414"/>
        <v>0</v>
      </c>
      <c r="T3121" s="754">
        <f t="shared" si="415"/>
        <v>0</v>
      </c>
      <c r="U3121" s="859"/>
      <c r="V3121" s="863"/>
      <c r="W3121" s="859"/>
      <c r="X3121" s="859"/>
      <c r="Y3121" s="755">
        <f t="shared" si="411"/>
        <v>0</v>
      </c>
      <c r="Z3121" s="864"/>
      <c r="AA3121" s="863"/>
      <c r="AB3121" s="756">
        <f t="shared" si="412"/>
        <v>0</v>
      </c>
      <c r="AC3121" s="859"/>
      <c r="AD3121" s="863"/>
      <c r="AE3121" s="859"/>
      <c r="AF3121" s="859"/>
      <c r="AG3121" s="864"/>
      <c r="AH3121" s="865"/>
      <c r="AI3121" s="757">
        <f t="shared" si="416"/>
        <v>0</v>
      </c>
      <c r="AJ3121" s="758">
        <f t="shared" si="417"/>
        <v>0</v>
      </c>
    </row>
    <row r="3122" spans="1:36" x14ac:dyDescent="0.2">
      <c r="A3122" s="1022" t="s">
        <v>157</v>
      </c>
      <c r="B3122" s="1064" t="s">
        <v>219</v>
      </c>
      <c r="C3122" s="1045" t="s">
        <v>249</v>
      </c>
      <c r="D3122" s="1046"/>
      <c r="E3122" s="1040"/>
      <c r="F3122" s="1152"/>
      <c r="G3122" s="859"/>
      <c r="H3122" s="860"/>
      <c r="I3122" s="861"/>
      <c r="J3122" s="862"/>
      <c r="K3122" s="859"/>
      <c r="L3122" s="863"/>
      <c r="M3122" s="859"/>
      <c r="N3122" s="859"/>
      <c r="O3122" s="752">
        <f t="shared" si="410"/>
        <v>0</v>
      </c>
      <c r="P3122" s="862"/>
      <c r="Q3122" s="860"/>
      <c r="R3122" s="753">
        <f t="shared" si="413"/>
        <v>0</v>
      </c>
      <c r="S3122" s="752">
        <f t="shared" si="414"/>
        <v>0</v>
      </c>
      <c r="T3122" s="754">
        <f t="shared" si="415"/>
        <v>0</v>
      </c>
      <c r="U3122" s="859">
        <v>0</v>
      </c>
      <c r="V3122" s="863">
        <v>29776</v>
      </c>
      <c r="W3122" s="859"/>
      <c r="X3122" s="859"/>
      <c r="Y3122" s="755">
        <f t="shared" si="411"/>
        <v>0</v>
      </c>
      <c r="Z3122" s="864"/>
      <c r="AA3122" s="863"/>
      <c r="AB3122" s="756">
        <f t="shared" si="412"/>
        <v>0</v>
      </c>
      <c r="AC3122" s="859"/>
      <c r="AD3122" s="863"/>
      <c r="AE3122" s="859"/>
      <c r="AF3122" s="859"/>
      <c r="AG3122" s="864"/>
      <c r="AH3122" s="865"/>
      <c r="AI3122" s="757">
        <f t="shared" si="416"/>
        <v>0</v>
      </c>
      <c r="AJ3122" s="758">
        <f t="shared" si="417"/>
        <v>29776</v>
      </c>
    </row>
    <row r="3123" spans="1:36" x14ac:dyDescent="0.2">
      <c r="A3123" s="1022" t="s">
        <v>157</v>
      </c>
      <c r="B3123" s="1023" t="s">
        <v>292</v>
      </c>
      <c r="C3123" s="1044" t="s">
        <v>1056</v>
      </c>
      <c r="D3123" s="1029"/>
      <c r="E3123" s="1148"/>
      <c r="F3123" s="1149"/>
      <c r="G3123" s="859"/>
      <c r="H3123" s="860"/>
      <c r="I3123" s="861"/>
      <c r="J3123" s="862"/>
      <c r="K3123" s="859"/>
      <c r="L3123" s="863"/>
      <c r="M3123" s="859"/>
      <c r="N3123" s="859"/>
      <c r="O3123" s="752">
        <f t="shared" si="410"/>
        <v>0</v>
      </c>
      <c r="P3123" s="862"/>
      <c r="Q3123" s="860"/>
      <c r="R3123" s="753">
        <f t="shared" si="413"/>
        <v>0</v>
      </c>
      <c r="S3123" s="752">
        <f t="shared" si="414"/>
        <v>0</v>
      </c>
      <c r="T3123" s="754">
        <f t="shared" si="415"/>
        <v>0</v>
      </c>
      <c r="U3123" s="859"/>
      <c r="V3123" s="863"/>
      <c r="W3123" s="859"/>
      <c r="X3123" s="859"/>
      <c r="Y3123" s="755">
        <f t="shared" si="411"/>
        <v>0</v>
      </c>
      <c r="Z3123" s="864"/>
      <c r="AA3123" s="863"/>
      <c r="AB3123" s="756">
        <f t="shared" si="412"/>
        <v>0</v>
      </c>
      <c r="AC3123" s="859"/>
      <c r="AD3123" s="863"/>
      <c r="AE3123" s="859"/>
      <c r="AF3123" s="859"/>
      <c r="AG3123" s="864"/>
      <c r="AH3123" s="865"/>
      <c r="AI3123" s="757">
        <f t="shared" si="416"/>
        <v>0</v>
      </c>
      <c r="AJ3123" s="758">
        <f t="shared" si="417"/>
        <v>0</v>
      </c>
    </row>
    <row r="3124" spans="1:36" x14ac:dyDescent="0.2">
      <c r="A3124" s="1022" t="s">
        <v>157</v>
      </c>
      <c r="B3124" s="1064" t="s">
        <v>209</v>
      </c>
      <c r="C3124" s="1045" t="s">
        <v>1048</v>
      </c>
      <c r="D3124" s="1046"/>
      <c r="E3124" s="1040"/>
      <c r="F3124" s="1152"/>
      <c r="G3124" s="859"/>
      <c r="H3124" s="860"/>
      <c r="I3124" s="861"/>
      <c r="J3124" s="862"/>
      <c r="K3124" s="859"/>
      <c r="L3124" s="863"/>
      <c r="M3124" s="859"/>
      <c r="N3124" s="859"/>
      <c r="O3124" s="752">
        <f t="shared" si="410"/>
        <v>0</v>
      </c>
      <c r="P3124" s="862"/>
      <c r="Q3124" s="860"/>
      <c r="R3124" s="753">
        <f t="shared" si="413"/>
        <v>0</v>
      </c>
      <c r="S3124" s="752">
        <f t="shared" si="414"/>
        <v>0</v>
      </c>
      <c r="T3124" s="754">
        <f t="shared" si="415"/>
        <v>0</v>
      </c>
      <c r="U3124" s="859"/>
      <c r="V3124" s="863"/>
      <c r="W3124" s="859"/>
      <c r="X3124" s="859"/>
      <c r="Y3124" s="755">
        <f t="shared" si="411"/>
        <v>0</v>
      </c>
      <c r="Z3124" s="864"/>
      <c r="AA3124" s="863"/>
      <c r="AB3124" s="756">
        <f t="shared" si="412"/>
        <v>0</v>
      </c>
      <c r="AC3124" s="859"/>
      <c r="AD3124" s="863"/>
      <c r="AE3124" s="859"/>
      <c r="AF3124" s="859"/>
      <c r="AG3124" s="864"/>
      <c r="AH3124" s="865"/>
      <c r="AI3124" s="757">
        <f t="shared" si="416"/>
        <v>0</v>
      </c>
      <c r="AJ3124" s="758">
        <f t="shared" si="417"/>
        <v>0</v>
      </c>
    </row>
    <row r="3125" spans="1:36" x14ac:dyDescent="0.2">
      <c r="A3125" s="1022" t="s">
        <v>157</v>
      </c>
      <c r="B3125" s="1064" t="s">
        <v>210</v>
      </c>
      <c r="C3125" s="1045" t="s">
        <v>311</v>
      </c>
      <c r="D3125" s="1046"/>
      <c r="E3125" s="1040"/>
      <c r="F3125" s="1152"/>
      <c r="G3125" s="859"/>
      <c r="H3125" s="860"/>
      <c r="I3125" s="861"/>
      <c r="J3125" s="862"/>
      <c r="K3125" s="859"/>
      <c r="L3125" s="863"/>
      <c r="M3125" s="859"/>
      <c r="N3125" s="859"/>
      <c r="O3125" s="752">
        <f t="shared" si="410"/>
        <v>0</v>
      </c>
      <c r="P3125" s="862"/>
      <c r="Q3125" s="860"/>
      <c r="R3125" s="753">
        <f t="shared" si="413"/>
        <v>0</v>
      </c>
      <c r="S3125" s="752">
        <f t="shared" si="414"/>
        <v>0</v>
      </c>
      <c r="T3125" s="754">
        <f t="shared" si="415"/>
        <v>0</v>
      </c>
      <c r="U3125" s="859">
        <v>3753334</v>
      </c>
      <c r="V3125" s="863">
        <v>3405513</v>
      </c>
      <c r="W3125" s="859"/>
      <c r="X3125" s="859"/>
      <c r="Y3125" s="755">
        <f t="shared" si="411"/>
        <v>0</v>
      </c>
      <c r="Z3125" s="864"/>
      <c r="AA3125" s="863"/>
      <c r="AB3125" s="756">
        <f t="shared" si="412"/>
        <v>0</v>
      </c>
      <c r="AC3125" s="859"/>
      <c r="AD3125" s="863"/>
      <c r="AE3125" s="859"/>
      <c r="AF3125" s="859"/>
      <c r="AG3125" s="864"/>
      <c r="AH3125" s="865"/>
      <c r="AI3125" s="757">
        <f t="shared" si="416"/>
        <v>3753334</v>
      </c>
      <c r="AJ3125" s="758">
        <f t="shared" si="417"/>
        <v>3405513</v>
      </c>
    </row>
    <row r="3126" spans="1:36" x14ac:dyDescent="0.2">
      <c r="A3126" s="1022" t="s">
        <v>157</v>
      </c>
      <c r="B3126" s="1064" t="s">
        <v>204</v>
      </c>
      <c r="C3126" s="1045" t="s">
        <v>249</v>
      </c>
      <c r="D3126" s="1046"/>
      <c r="E3126" s="1040"/>
      <c r="F3126" s="1152"/>
      <c r="G3126" s="859"/>
      <c r="H3126" s="860"/>
      <c r="I3126" s="861"/>
      <c r="J3126" s="862"/>
      <c r="K3126" s="859"/>
      <c r="L3126" s="863"/>
      <c r="M3126" s="859"/>
      <c r="N3126" s="859"/>
      <c r="O3126" s="752">
        <f t="shared" si="410"/>
        <v>0</v>
      </c>
      <c r="P3126" s="862"/>
      <c r="Q3126" s="860"/>
      <c r="R3126" s="753">
        <f t="shared" si="413"/>
        <v>0</v>
      </c>
      <c r="S3126" s="752">
        <f t="shared" si="414"/>
        <v>0</v>
      </c>
      <c r="T3126" s="754">
        <f t="shared" si="415"/>
        <v>0</v>
      </c>
      <c r="U3126" s="859"/>
      <c r="V3126" s="863"/>
      <c r="W3126" s="859"/>
      <c r="X3126" s="859"/>
      <c r="Y3126" s="755">
        <f t="shared" si="411"/>
        <v>0</v>
      </c>
      <c r="Z3126" s="864"/>
      <c r="AA3126" s="863"/>
      <c r="AB3126" s="756">
        <f t="shared" si="412"/>
        <v>0</v>
      </c>
      <c r="AC3126" s="859"/>
      <c r="AD3126" s="863"/>
      <c r="AE3126" s="859"/>
      <c r="AF3126" s="859"/>
      <c r="AG3126" s="864"/>
      <c r="AH3126" s="865"/>
      <c r="AI3126" s="757">
        <f t="shared" si="416"/>
        <v>0</v>
      </c>
      <c r="AJ3126" s="758">
        <f t="shared" si="417"/>
        <v>0</v>
      </c>
    </row>
    <row r="3127" spans="1:36" x14ac:dyDescent="0.2">
      <c r="A3127" s="1022" t="s">
        <v>157</v>
      </c>
      <c r="B3127" s="1023" t="s">
        <v>205</v>
      </c>
      <c r="C3127" s="1045" t="s">
        <v>1049</v>
      </c>
      <c r="D3127" s="1046"/>
      <c r="E3127" s="1040"/>
      <c r="F3127" s="1152"/>
      <c r="G3127" s="859"/>
      <c r="H3127" s="860"/>
      <c r="I3127" s="861"/>
      <c r="J3127" s="862"/>
      <c r="K3127" s="859"/>
      <c r="L3127" s="863"/>
      <c r="M3127" s="859"/>
      <c r="N3127" s="859"/>
      <c r="O3127" s="752">
        <f t="shared" si="410"/>
        <v>0</v>
      </c>
      <c r="P3127" s="862"/>
      <c r="Q3127" s="860"/>
      <c r="R3127" s="753">
        <f t="shared" si="413"/>
        <v>0</v>
      </c>
      <c r="S3127" s="752">
        <f t="shared" si="414"/>
        <v>0</v>
      </c>
      <c r="T3127" s="754">
        <f t="shared" si="415"/>
        <v>0</v>
      </c>
      <c r="U3127" s="859"/>
      <c r="V3127" s="863"/>
      <c r="W3127" s="859"/>
      <c r="X3127" s="859"/>
      <c r="Y3127" s="755">
        <f t="shared" si="411"/>
        <v>0</v>
      </c>
      <c r="Z3127" s="864"/>
      <c r="AA3127" s="863"/>
      <c r="AB3127" s="756">
        <f t="shared" si="412"/>
        <v>0</v>
      </c>
      <c r="AC3127" s="859"/>
      <c r="AD3127" s="863"/>
      <c r="AE3127" s="859"/>
      <c r="AF3127" s="859"/>
      <c r="AG3127" s="864"/>
      <c r="AH3127" s="865"/>
      <c r="AI3127" s="757">
        <f t="shared" si="416"/>
        <v>0</v>
      </c>
      <c r="AJ3127" s="758">
        <f t="shared" si="417"/>
        <v>0</v>
      </c>
    </row>
    <row r="3128" spans="1:36" x14ac:dyDescent="0.2">
      <c r="A3128" s="1022" t="s">
        <v>157</v>
      </c>
      <c r="B3128" s="1064" t="s">
        <v>218</v>
      </c>
      <c r="C3128" s="1045" t="s">
        <v>311</v>
      </c>
      <c r="D3128" s="1046"/>
      <c r="E3128" s="1040"/>
      <c r="F3128" s="1152"/>
      <c r="G3128" s="859"/>
      <c r="H3128" s="860"/>
      <c r="I3128" s="861"/>
      <c r="J3128" s="862"/>
      <c r="K3128" s="859"/>
      <c r="L3128" s="863"/>
      <c r="M3128" s="859"/>
      <c r="N3128" s="859"/>
      <c r="O3128" s="752">
        <f t="shared" si="410"/>
        <v>0</v>
      </c>
      <c r="P3128" s="862"/>
      <c r="Q3128" s="860"/>
      <c r="R3128" s="753">
        <f t="shared" si="413"/>
        <v>0</v>
      </c>
      <c r="S3128" s="752">
        <f t="shared" si="414"/>
        <v>0</v>
      </c>
      <c r="T3128" s="754">
        <f t="shared" si="415"/>
        <v>0</v>
      </c>
      <c r="U3128" s="859">
        <v>1051668</v>
      </c>
      <c r="V3128" s="863">
        <v>1400455</v>
      </c>
      <c r="W3128" s="859"/>
      <c r="X3128" s="859"/>
      <c r="Y3128" s="755">
        <f t="shared" si="411"/>
        <v>0</v>
      </c>
      <c r="Z3128" s="864"/>
      <c r="AA3128" s="863"/>
      <c r="AB3128" s="756">
        <f t="shared" si="412"/>
        <v>0</v>
      </c>
      <c r="AC3128" s="859"/>
      <c r="AD3128" s="863"/>
      <c r="AE3128" s="859"/>
      <c r="AF3128" s="859"/>
      <c r="AG3128" s="864"/>
      <c r="AH3128" s="865"/>
      <c r="AI3128" s="757">
        <f t="shared" si="416"/>
        <v>1051668</v>
      </c>
      <c r="AJ3128" s="758">
        <f t="shared" si="417"/>
        <v>1400455</v>
      </c>
    </row>
    <row r="3129" spans="1:36" x14ac:dyDescent="0.2">
      <c r="A3129" s="1022" t="s">
        <v>157</v>
      </c>
      <c r="B3129" s="1064" t="s">
        <v>219</v>
      </c>
      <c r="C3129" s="1045" t="s">
        <v>249</v>
      </c>
      <c r="D3129" s="1046"/>
      <c r="E3129" s="1040"/>
      <c r="F3129" s="1152"/>
      <c r="G3129" s="859"/>
      <c r="H3129" s="860"/>
      <c r="I3129" s="861"/>
      <c r="J3129" s="862"/>
      <c r="K3129" s="859"/>
      <c r="L3129" s="863"/>
      <c r="M3129" s="859"/>
      <c r="N3129" s="859"/>
      <c r="O3129" s="752">
        <f t="shared" si="410"/>
        <v>0</v>
      </c>
      <c r="P3129" s="862"/>
      <c r="Q3129" s="860"/>
      <c r="R3129" s="753">
        <f t="shared" si="413"/>
        <v>0</v>
      </c>
      <c r="S3129" s="752">
        <f t="shared" si="414"/>
        <v>0</v>
      </c>
      <c r="T3129" s="754">
        <f t="shared" si="415"/>
        <v>0</v>
      </c>
      <c r="U3129" s="859"/>
      <c r="V3129" s="863"/>
      <c r="W3129" s="859"/>
      <c r="X3129" s="859"/>
      <c r="Y3129" s="755">
        <f t="shared" si="411"/>
        <v>0</v>
      </c>
      <c r="Z3129" s="864"/>
      <c r="AA3129" s="863"/>
      <c r="AB3129" s="756">
        <f t="shared" si="412"/>
        <v>0</v>
      </c>
      <c r="AC3129" s="859"/>
      <c r="AD3129" s="863"/>
      <c r="AE3129" s="859"/>
      <c r="AF3129" s="859"/>
      <c r="AG3129" s="864"/>
      <c r="AH3129" s="865"/>
      <c r="AI3129" s="757">
        <f t="shared" si="416"/>
        <v>0</v>
      </c>
      <c r="AJ3129" s="758">
        <f t="shared" si="417"/>
        <v>0</v>
      </c>
    </row>
    <row r="3130" spans="1:36" x14ac:dyDescent="0.2">
      <c r="A3130" s="1022" t="s">
        <v>157</v>
      </c>
      <c r="B3130" s="1064" t="s">
        <v>293</v>
      </c>
      <c r="C3130" s="1065" t="s">
        <v>588</v>
      </c>
      <c r="D3130" s="1066"/>
      <c r="E3130" s="1040"/>
      <c r="F3130" s="1152"/>
      <c r="G3130" s="859"/>
      <c r="H3130" s="860"/>
      <c r="I3130" s="861"/>
      <c r="J3130" s="862"/>
      <c r="K3130" s="859"/>
      <c r="L3130" s="863"/>
      <c r="M3130" s="859"/>
      <c r="N3130" s="859"/>
      <c r="O3130" s="752">
        <f t="shared" si="410"/>
        <v>0</v>
      </c>
      <c r="P3130" s="862"/>
      <c r="Q3130" s="860"/>
      <c r="R3130" s="753">
        <f t="shared" si="413"/>
        <v>0</v>
      </c>
      <c r="S3130" s="752">
        <f t="shared" si="414"/>
        <v>0</v>
      </c>
      <c r="T3130" s="754">
        <f t="shared" si="415"/>
        <v>0</v>
      </c>
      <c r="U3130" s="859"/>
      <c r="V3130" s="863"/>
      <c r="W3130" s="859"/>
      <c r="X3130" s="859"/>
      <c r="Y3130" s="755">
        <f t="shared" si="411"/>
        <v>0</v>
      </c>
      <c r="Z3130" s="864"/>
      <c r="AA3130" s="863"/>
      <c r="AB3130" s="756">
        <f t="shared" si="412"/>
        <v>0</v>
      </c>
      <c r="AC3130" s="859"/>
      <c r="AD3130" s="863"/>
      <c r="AE3130" s="859"/>
      <c r="AF3130" s="859"/>
      <c r="AG3130" s="864"/>
      <c r="AH3130" s="865"/>
      <c r="AI3130" s="757">
        <f t="shared" si="416"/>
        <v>0</v>
      </c>
      <c r="AJ3130" s="758">
        <f t="shared" si="417"/>
        <v>0</v>
      </c>
    </row>
    <row r="3131" spans="1:36" x14ac:dyDescent="0.2">
      <c r="A3131" s="1022" t="s">
        <v>157</v>
      </c>
      <c r="B3131" s="1064" t="s">
        <v>252</v>
      </c>
      <c r="C3131" s="1045" t="s">
        <v>311</v>
      </c>
      <c r="D3131" s="1046"/>
      <c r="E3131" s="1040"/>
      <c r="F3131" s="1152"/>
      <c r="G3131" s="859"/>
      <c r="H3131" s="860"/>
      <c r="I3131" s="861"/>
      <c r="J3131" s="862"/>
      <c r="K3131" s="859"/>
      <c r="L3131" s="863"/>
      <c r="M3131" s="859"/>
      <c r="N3131" s="859"/>
      <c r="O3131" s="752">
        <f t="shared" si="410"/>
        <v>0</v>
      </c>
      <c r="P3131" s="862"/>
      <c r="Q3131" s="860"/>
      <c r="R3131" s="753">
        <f t="shared" si="413"/>
        <v>0</v>
      </c>
      <c r="S3131" s="752">
        <f t="shared" si="414"/>
        <v>0</v>
      </c>
      <c r="T3131" s="754">
        <f t="shared" si="415"/>
        <v>0</v>
      </c>
      <c r="U3131" s="859"/>
      <c r="V3131" s="863"/>
      <c r="W3131" s="859"/>
      <c r="X3131" s="859"/>
      <c r="Y3131" s="755">
        <f t="shared" si="411"/>
        <v>0</v>
      </c>
      <c r="Z3131" s="864"/>
      <c r="AA3131" s="863"/>
      <c r="AB3131" s="756">
        <f t="shared" si="412"/>
        <v>0</v>
      </c>
      <c r="AC3131" s="859"/>
      <c r="AD3131" s="863"/>
      <c r="AE3131" s="859"/>
      <c r="AF3131" s="859"/>
      <c r="AG3131" s="864"/>
      <c r="AH3131" s="865"/>
      <c r="AI3131" s="757">
        <f t="shared" si="416"/>
        <v>0</v>
      </c>
      <c r="AJ3131" s="758">
        <f t="shared" si="417"/>
        <v>0</v>
      </c>
    </row>
    <row r="3132" spans="1:36" x14ac:dyDescent="0.2">
      <c r="A3132" s="1022" t="s">
        <v>157</v>
      </c>
      <c r="B3132" s="1064" t="s">
        <v>253</v>
      </c>
      <c r="C3132" s="1045" t="s">
        <v>249</v>
      </c>
      <c r="D3132" s="1046"/>
      <c r="E3132" s="1040"/>
      <c r="F3132" s="1152"/>
      <c r="G3132" s="859"/>
      <c r="H3132" s="860"/>
      <c r="I3132" s="861"/>
      <c r="J3132" s="862"/>
      <c r="K3132" s="859"/>
      <c r="L3132" s="863"/>
      <c r="M3132" s="859"/>
      <c r="N3132" s="859"/>
      <c r="O3132" s="752">
        <f t="shared" si="410"/>
        <v>0</v>
      </c>
      <c r="P3132" s="862"/>
      <c r="Q3132" s="860"/>
      <c r="R3132" s="753">
        <f t="shared" si="413"/>
        <v>0</v>
      </c>
      <c r="S3132" s="752">
        <f t="shared" si="414"/>
        <v>0</v>
      </c>
      <c r="T3132" s="754">
        <f t="shared" si="415"/>
        <v>0</v>
      </c>
      <c r="U3132" s="859"/>
      <c r="V3132" s="863"/>
      <c r="W3132" s="859"/>
      <c r="X3132" s="859"/>
      <c r="Y3132" s="755">
        <f t="shared" si="411"/>
        <v>0</v>
      </c>
      <c r="Z3132" s="864"/>
      <c r="AA3132" s="863"/>
      <c r="AB3132" s="756">
        <f t="shared" si="412"/>
        <v>0</v>
      </c>
      <c r="AC3132" s="859"/>
      <c r="AD3132" s="863"/>
      <c r="AE3132" s="859"/>
      <c r="AF3132" s="859"/>
      <c r="AG3132" s="864"/>
      <c r="AH3132" s="865"/>
      <c r="AI3132" s="757">
        <f t="shared" si="416"/>
        <v>0</v>
      </c>
      <c r="AJ3132" s="758">
        <f t="shared" si="417"/>
        <v>0</v>
      </c>
    </row>
    <row r="3133" spans="1:36" x14ac:dyDescent="0.2">
      <c r="A3133" s="1022" t="s">
        <v>157</v>
      </c>
      <c r="B3133" s="1064" t="s">
        <v>293</v>
      </c>
      <c r="C3133" s="1065" t="s">
        <v>591</v>
      </c>
      <c r="D3133" s="1066"/>
      <c r="E3133" s="1040"/>
      <c r="F3133" s="1152"/>
      <c r="G3133" s="859"/>
      <c r="H3133" s="860"/>
      <c r="I3133" s="861"/>
      <c r="J3133" s="862"/>
      <c r="K3133" s="859"/>
      <c r="L3133" s="863"/>
      <c r="M3133" s="859"/>
      <c r="N3133" s="859"/>
      <c r="O3133" s="752">
        <f t="shared" si="410"/>
        <v>0</v>
      </c>
      <c r="P3133" s="862"/>
      <c r="Q3133" s="860"/>
      <c r="R3133" s="753">
        <f t="shared" si="413"/>
        <v>0</v>
      </c>
      <c r="S3133" s="752">
        <f t="shared" si="414"/>
        <v>0</v>
      </c>
      <c r="T3133" s="754">
        <f t="shared" si="415"/>
        <v>0</v>
      </c>
      <c r="U3133" s="859"/>
      <c r="V3133" s="863"/>
      <c r="W3133" s="859"/>
      <c r="X3133" s="859"/>
      <c r="Y3133" s="755">
        <f t="shared" si="411"/>
        <v>0</v>
      </c>
      <c r="Z3133" s="864"/>
      <c r="AA3133" s="863"/>
      <c r="AB3133" s="756">
        <f t="shared" si="412"/>
        <v>0</v>
      </c>
      <c r="AC3133" s="859"/>
      <c r="AD3133" s="863"/>
      <c r="AE3133" s="859"/>
      <c r="AF3133" s="859"/>
      <c r="AG3133" s="864"/>
      <c r="AH3133" s="865"/>
      <c r="AI3133" s="757">
        <f t="shared" si="416"/>
        <v>0</v>
      </c>
      <c r="AJ3133" s="758">
        <f t="shared" si="417"/>
        <v>0</v>
      </c>
    </row>
    <row r="3134" spans="1:36" x14ac:dyDescent="0.2">
      <c r="A3134" s="1022" t="s">
        <v>157</v>
      </c>
      <c r="B3134" s="1064" t="s">
        <v>252</v>
      </c>
      <c r="C3134" s="1045" t="s">
        <v>311</v>
      </c>
      <c r="D3134" s="1046"/>
      <c r="E3134" s="1040"/>
      <c r="F3134" s="1152"/>
      <c r="G3134" s="859"/>
      <c r="H3134" s="860"/>
      <c r="I3134" s="861"/>
      <c r="J3134" s="862"/>
      <c r="K3134" s="859"/>
      <c r="L3134" s="863"/>
      <c r="M3134" s="859"/>
      <c r="N3134" s="859"/>
      <c r="O3134" s="752">
        <f t="shared" si="410"/>
        <v>0</v>
      </c>
      <c r="P3134" s="862"/>
      <c r="Q3134" s="860"/>
      <c r="R3134" s="753">
        <f t="shared" si="413"/>
        <v>0</v>
      </c>
      <c r="S3134" s="752">
        <f t="shared" si="414"/>
        <v>0</v>
      </c>
      <c r="T3134" s="754">
        <f t="shared" si="415"/>
        <v>0</v>
      </c>
      <c r="U3134" s="859"/>
      <c r="V3134" s="863"/>
      <c r="W3134" s="859"/>
      <c r="X3134" s="859"/>
      <c r="Y3134" s="755">
        <f t="shared" si="411"/>
        <v>0</v>
      </c>
      <c r="Z3134" s="864"/>
      <c r="AA3134" s="863"/>
      <c r="AB3134" s="756">
        <f t="shared" si="412"/>
        <v>0</v>
      </c>
      <c r="AC3134" s="859"/>
      <c r="AD3134" s="863"/>
      <c r="AE3134" s="859"/>
      <c r="AF3134" s="859"/>
      <c r="AG3134" s="864"/>
      <c r="AH3134" s="865"/>
      <c r="AI3134" s="757">
        <f t="shared" si="416"/>
        <v>0</v>
      </c>
      <c r="AJ3134" s="758">
        <f t="shared" si="417"/>
        <v>0</v>
      </c>
    </row>
    <row r="3135" spans="1:36" x14ac:dyDescent="0.2">
      <c r="A3135" s="1022" t="s">
        <v>157</v>
      </c>
      <c r="B3135" s="1064" t="s">
        <v>253</v>
      </c>
      <c r="C3135" s="1045" t="s">
        <v>249</v>
      </c>
      <c r="D3135" s="1046"/>
      <c r="E3135" s="1040"/>
      <c r="F3135" s="1152"/>
      <c r="G3135" s="859"/>
      <c r="H3135" s="860"/>
      <c r="I3135" s="861"/>
      <c r="J3135" s="862"/>
      <c r="K3135" s="859"/>
      <c r="L3135" s="863"/>
      <c r="M3135" s="859"/>
      <c r="N3135" s="859"/>
      <c r="O3135" s="752">
        <f t="shared" si="410"/>
        <v>0</v>
      </c>
      <c r="P3135" s="862"/>
      <c r="Q3135" s="860"/>
      <c r="R3135" s="753">
        <f t="shared" si="413"/>
        <v>0</v>
      </c>
      <c r="S3135" s="752">
        <f t="shared" si="414"/>
        <v>0</v>
      </c>
      <c r="T3135" s="754">
        <f t="shared" si="415"/>
        <v>0</v>
      </c>
      <c r="U3135" s="859"/>
      <c r="V3135" s="863"/>
      <c r="W3135" s="859"/>
      <c r="X3135" s="859"/>
      <c r="Y3135" s="755">
        <f t="shared" si="411"/>
        <v>0</v>
      </c>
      <c r="Z3135" s="864"/>
      <c r="AA3135" s="863"/>
      <c r="AB3135" s="756">
        <f t="shared" si="412"/>
        <v>0</v>
      </c>
      <c r="AC3135" s="859"/>
      <c r="AD3135" s="863"/>
      <c r="AE3135" s="859"/>
      <c r="AF3135" s="859"/>
      <c r="AG3135" s="864"/>
      <c r="AH3135" s="865"/>
      <c r="AI3135" s="757">
        <f t="shared" si="416"/>
        <v>0</v>
      </c>
      <c r="AJ3135" s="758">
        <f t="shared" si="417"/>
        <v>0</v>
      </c>
    </row>
    <row r="3136" spans="1:36" x14ac:dyDescent="0.2">
      <c r="A3136" s="1448" t="s">
        <v>157</v>
      </c>
      <c r="B3136" s="1303" t="s">
        <v>264</v>
      </c>
      <c r="C3136" s="1303" t="s">
        <v>1806</v>
      </c>
      <c r="D3136" s="1449"/>
      <c r="E3136" s="1309">
        <v>237172</v>
      </c>
      <c r="F3136" s="1231">
        <v>14</v>
      </c>
      <c r="G3136" s="859"/>
      <c r="H3136" s="860">
        <v>384949</v>
      </c>
      <c r="I3136" s="861"/>
      <c r="J3136" s="862"/>
      <c r="K3136" s="859"/>
      <c r="L3136" s="863"/>
      <c r="M3136" s="859"/>
      <c r="N3136" s="859"/>
      <c r="O3136" s="752">
        <f t="shared" si="410"/>
        <v>0</v>
      </c>
      <c r="P3136" s="862"/>
      <c r="Q3136" s="860"/>
      <c r="R3136" s="753">
        <f t="shared" si="413"/>
        <v>0</v>
      </c>
      <c r="S3136" s="752">
        <f t="shared" si="414"/>
        <v>0</v>
      </c>
      <c r="T3136" s="754">
        <f t="shared" si="415"/>
        <v>384949</v>
      </c>
      <c r="U3136" s="859"/>
      <c r="V3136" s="863"/>
      <c r="W3136" s="859"/>
      <c r="X3136" s="859"/>
      <c r="Y3136" s="755">
        <f t="shared" si="411"/>
        <v>0</v>
      </c>
      <c r="Z3136" s="864"/>
      <c r="AA3136" s="863"/>
      <c r="AB3136" s="756">
        <f t="shared" si="412"/>
        <v>0</v>
      </c>
      <c r="AC3136" s="859"/>
      <c r="AD3136" s="863"/>
      <c r="AE3136" s="859"/>
      <c r="AF3136" s="859"/>
      <c r="AG3136" s="864"/>
      <c r="AH3136" s="865"/>
      <c r="AI3136" s="757">
        <f t="shared" si="416"/>
        <v>0</v>
      </c>
      <c r="AJ3136" s="758">
        <f t="shared" si="417"/>
        <v>384949</v>
      </c>
    </row>
    <row r="3137" spans="1:36" x14ac:dyDescent="0.2">
      <c r="A3137" s="1448" t="s">
        <v>157</v>
      </c>
      <c r="B3137" s="1303" t="s">
        <v>264</v>
      </c>
      <c r="C3137" s="1303" t="s">
        <v>1807</v>
      </c>
      <c r="D3137" s="1449"/>
      <c r="E3137" s="1309">
        <v>237224</v>
      </c>
      <c r="F3137" s="1231">
        <v>14</v>
      </c>
      <c r="G3137" s="859"/>
      <c r="H3137" s="860">
        <v>353431</v>
      </c>
      <c r="I3137" s="861"/>
      <c r="J3137" s="862"/>
      <c r="K3137" s="859"/>
      <c r="L3137" s="863"/>
      <c r="M3137" s="859"/>
      <c r="N3137" s="859"/>
      <c r="O3137" s="752">
        <f t="shared" si="410"/>
        <v>0</v>
      </c>
      <c r="P3137" s="862"/>
      <c r="Q3137" s="860"/>
      <c r="R3137" s="753">
        <f t="shared" si="413"/>
        <v>0</v>
      </c>
      <c r="S3137" s="752">
        <f t="shared" si="414"/>
        <v>0</v>
      </c>
      <c r="T3137" s="754">
        <f t="shared" si="415"/>
        <v>353431</v>
      </c>
      <c r="U3137" s="859"/>
      <c r="V3137" s="863"/>
      <c r="W3137" s="859"/>
      <c r="X3137" s="859"/>
      <c r="Y3137" s="755">
        <f t="shared" si="411"/>
        <v>0</v>
      </c>
      <c r="Z3137" s="864"/>
      <c r="AA3137" s="863"/>
      <c r="AB3137" s="756">
        <f t="shared" si="412"/>
        <v>0</v>
      </c>
      <c r="AC3137" s="859"/>
      <c r="AD3137" s="863"/>
      <c r="AE3137" s="859"/>
      <c r="AF3137" s="859"/>
      <c r="AG3137" s="864"/>
      <c r="AH3137" s="865"/>
      <c r="AI3137" s="757">
        <f t="shared" si="416"/>
        <v>0</v>
      </c>
      <c r="AJ3137" s="758">
        <f t="shared" si="417"/>
        <v>353431</v>
      </c>
    </row>
    <row r="3138" spans="1:36" x14ac:dyDescent="0.2">
      <c r="A3138" s="1300" t="s">
        <v>157</v>
      </c>
      <c r="B3138" s="1303" t="s">
        <v>264</v>
      </c>
      <c r="C3138" s="1303" t="s">
        <v>1808</v>
      </c>
      <c r="D3138" s="1449"/>
      <c r="E3138" s="1309">
        <v>237242</v>
      </c>
      <c r="F3138" s="1231">
        <v>14</v>
      </c>
      <c r="G3138" s="859"/>
      <c r="H3138" s="860">
        <v>460803</v>
      </c>
      <c r="I3138" s="861"/>
      <c r="J3138" s="862"/>
      <c r="K3138" s="859"/>
      <c r="L3138" s="863"/>
      <c r="M3138" s="859"/>
      <c r="N3138" s="859"/>
      <c r="O3138" s="752">
        <f t="shared" si="410"/>
        <v>0</v>
      </c>
      <c r="P3138" s="862"/>
      <c r="Q3138" s="860"/>
      <c r="R3138" s="753">
        <f t="shared" si="413"/>
        <v>0</v>
      </c>
      <c r="S3138" s="752">
        <f t="shared" si="414"/>
        <v>0</v>
      </c>
      <c r="T3138" s="754">
        <f t="shared" si="415"/>
        <v>460803</v>
      </c>
      <c r="U3138" s="859"/>
      <c r="V3138" s="863"/>
      <c r="W3138" s="859"/>
      <c r="X3138" s="859"/>
      <c r="Y3138" s="755">
        <f t="shared" si="411"/>
        <v>0</v>
      </c>
      <c r="Z3138" s="864"/>
      <c r="AA3138" s="863"/>
      <c r="AB3138" s="756">
        <f t="shared" si="412"/>
        <v>0</v>
      </c>
      <c r="AC3138" s="859"/>
      <c r="AD3138" s="863"/>
      <c r="AE3138" s="859"/>
      <c r="AF3138" s="859"/>
      <c r="AG3138" s="864"/>
      <c r="AH3138" s="865"/>
      <c r="AI3138" s="757">
        <f t="shared" si="416"/>
        <v>0</v>
      </c>
      <c r="AJ3138" s="758">
        <f t="shared" si="417"/>
        <v>460803</v>
      </c>
    </row>
    <row r="3139" spans="1:36" x14ac:dyDescent="0.2">
      <c r="A3139" s="1300" t="s">
        <v>157</v>
      </c>
      <c r="B3139" s="1303" t="s">
        <v>264</v>
      </c>
      <c r="C3139" s="1303" t="s">
        <v>1809</v>
      </c>
      <c r="D3139" s="1449"/>
      <c r="E3139" s="1309">
        <v>430795</v>
      </c>
      <c r="F3139" s="1231">
        <v>14</v>
      </c>
      <c r="G3139" s="859"/>
      <c r="H3139" s="1450">
        <v>732192</v>
      </c>
      <c r="I3139" s="861"/>
      <c r="J3139" s="862"/>
      <c r="K3139" s="859"/>
      <c r="L3139" s="863"/>
      <c r="M3139" s="859"/>
      <c r="N3139" s="859"/>
      <c r="O3139" s="752">
        <f t="shared" si="410"/>
        <v>0</v>
      </c>
      <c r="P3139" s="862"/>
      <c r="Q3139" s="860"/>
      <c r="R3139" s="753">
        <f t="shared" si="413"/>
        <v>0</v>
      </c>
      <c r="S3139" s="752">
        <f t="shared" si="414"/>
        <v>0</v>
      </c>
      <c r="T3139" s="754">
        <f t="shared" si="415"/>
        <v>732192</v>
      </c>
      <c r="U3139" s="859"/>
      <c r="V3139" s="863"/>
      <c r="W3139" s="859"/>
      <c r="X3139" s="859"/>
      <c r="Y3139" s="755">
        <f t="shared" si="411"/>
        <v>0</v>
      </c>
      <c r="Z3139" s="864"/>
      <c r="AA3139" s="863"/>
      <c r="AB3139" s="756">
        <f t="shared" si="412"/>
        <v>0</v>
      </c>
      <c r="AC3139" s="859"/>
      <c r="AD3139" s="863"/>
      <c r="AE3139" s="859"/>
      <c r="AF3139" s="859"/>
      <c r="AG3139" s="864"/>
      <c r="AH3139" s="865"/>
      <c r="AI3139" s="757">
        <f t="shared" si="416"/>
        <v>0</v>
      </c>
      <c r="AJ3139" s="758">
        <f t="shared" si="417"/>
        <v>732192</v>
      </c>
    </row>
    <row r="3140" spans="1:36" x14ac:dyDescent="0.2">
      <c r="A3140" s="1448" t="s">
        <v>157</v>
      </c>
      <c r="B3140" s="1303" t="s">
        <v>264</v>
      </c>
      <c r="C3140" s="1303" t="s">
        <v>1810</v>
      </c>
      <c r="D3140" s="1449"/>
      <c r="E3140" s="1309">
        <v>413176</v>
      </c>
      <c r="F3140" s="1231">
        <v>14</v>
      </c>
      <c r="G3140" s="859"/>
      <c r="H3140" s="860">
        <v>258765</v>
      </c>
      <c r="I3140" s="861"/>
      <c r="J3140" s="862"/>
      <c r="K3140" s="859"/>
      <c r="L3140" s="863"/>
      <c r="M3140" s="859"/>
      <c r="N3140" s="859"/>
      <c r="O3140" s="752">
        <f t="shared" si="410"/>
        <v>0</v>
      </c>
      <c r="P3140" s="862"/>
      <c r="Q3140" s="860"/>
      <c r="R3140" s="753">
        <f t="shared" si="413"/>
        <v>0</v>
      </c>
      <c r="S3140" s="752">
        <f t="shared" si="414"/>
        <v>0</v>
      </c>
      <c r="T3140" s="754">
        <f t="shared" si="415"/>
        <v>258765</v>
      </c>
      <c r="U3140" s="859"/>
      <c r="V3140" s="863"/>
      <c r="W3140" s="859"/>
      <c r="X3140" s="859"/>
      <c r="Y3140" s="755">
        <f t="shared" si="411"/>
        <v>0</v>
      </c>
      <c r="Z3140" s="864"/>
      <c r="AA3140" s="863"/>
      <c r="AB3140" s="756">
        <f t="shared" si="412"/>
        <v>0</v>
      </c>
      <c r="AC3140" s="859"/>
      <c r="AD3140" s="863"/>
      <c r="AE3140" s="859"/>
      <c r="AF3140" s="859"/>
      <c r="AG3140" s="864"/>
      <c r="AH3140" s="865"/>
      <c r="AI3140" s="757">
        <f t="shared" si="416"/>
        <v>0</v>
      </c>
      <c r="AJ3140" s="758">
        <f t="shared" si="417"/>
        <v>258765</v>
      </c>
    </row>
    <row r="3141" spans="1:36" x14ac:dyDescent="0.2">
      <c r="A3141" s="1448" t="s">
        <v>157</v>
      </c>
      <c r="B3141" s="1303" t="s">
        <v>264</v>
      </c>
      <c r="C3141" s="1303" t="s">
        <v>1811</v>
      </c>
      <c r="D3141" s="1449"/>
      <c r="E3141" s="1309">
        <v>237844</v>
      </c>
      <c r="F3141" s="1231">
        <v>14</v>
      </c>
      <c r="G3141" s="859"/>
      <c r="H3141" s="860">
        <v>232717</v>
      </c>
      <c r="I3141" s="861"/>
      <c r="J3141" s="862"/>
      <c r="K3141" s="859"/>
      <c r="L3141" s="863"/>
      <c r="M3141" s="859"/>
      <c r="N3141" s="859"/>
      <c r="O3141" s="752">
        <f t="shared" si="410"/>
        <v>0</v>
      </c>
      <c r="P3141" s="862"/>
      <c r="Q3141" s="860"/>
      <c r="R3141" s="753">
        <f t="shared" si="413"/>
        <v>0</v>
      </c>
      <c r="S3141" s="752">
        <f t="shared" si="414"/>
        <v>0</v>
      </c>
      <c r="T3141" s="754">
        <f t="shared" si="415"/>
        <v>232717</v>
      </c>
      <c r="U3141" s="859"/>
      <c r="V3141" s="863"/>
      <c r="W3141" s="859"/>
      <c r="X3141" s="859"/>
      <c r="Y3141" s="755">
        <f t="shared" si="411"/>
        <v>0</v>
      </c>
      <c r="Z3141" s="864"/>
      <c r="AA3141" s="863"/>
      <c r="AB3141" s="756">
        <f t="shared" si="412"/>
        <v>0</v>
      </c>
      <c r="AC3141" s="859"/>
      <c r="AD3141" s="863"/>
      <c r="AE3141" s="859"/>
      <c r="AF3141" s="859"/>
      <c r="AG3141" s="864"/>
      <c r="AH3141" s="865"/>
      <c r="AI3141" s="757">
        <f t="shared" si="416"/>
        <v>0</v>
      </c>
      <c r="AJ3141" s="758">
        <f t="shared" si="417"/>
        <v>232717</v>
      </c>
    </row>
    <row r="3142" spans="1:36" x14ac:dyDescent="0.2">
      <c r="A3142" s="1300" t="s">
        <v>157</v>
      </c>
      <c r="B3142" s="1303" t="s">
        <v>264</v>
      </c>
      <c r="C3142" s="1303" t="s">
        <v>1812</v>
      </c>
      <c r="D3142" s="1449"/>
      <c r="E3142" s="1309">
        <v>431169</v>
      </c>
      <c r="F3142" s="1231">
        <v>14</v>
      </c>
      <c r="G3142" s="859"/>
      <c r="H3142" s="860">
        <v>977319</v>
      </c>
      <c r="I3142" s="861"/>
      <c r="J3142" s="862"/>
      <c r="K3142" s="859"/>
      <c r="L3142" s="863"/>
      <c r="M3142" s="859"/>
      <c r="N3142" s="859"/>
      <c r="O3142" s="752">
        <f t="shared" si="410"/>
        <v>0</v>
      </c>
      <c r="P3142" s="862"/>
      <c r="Q3142" s="860"/>
      <c r="R3142" s="753">
        <f t="shared" si="413"/>
        <v>0</v>
      </c>
      <c r="S3142" s="752">
        <f t="shared" si="414"/>
        <v>0</v>
      </c>
      <c r="T3142" s="754">
        <f t="shared" si="415"/>
        <v>977319</v>
      </c>
      <c r="U3142" s="859"/>
      <c r="V3142" s="863"/>
      <c r="W3142" s="859"/>
      <c r="X3142" s="859"/>
      <c r="Y3142" s="755">
        <f t="shared" si="411"/>
        <v>0</v>
      </c>
      <c r="Z3142" s="864"/>
      <c r="AA3142" s="863"/>
      <c r="AB3142" s="756">
        <f t="shared" si="412"/>
        <v>0</v>
      </c>
      <c r="AC3142" s="859"/>
      <c r="AD3142" s="863"/>
      <c r="AE3142" s="859"/>
      <c r="AF3142" s="859"/>
      <c r="AG3142" s="864"/>
      <c r="AH3142" s="865"/>
      <c r="AI3142" s="757">
        <f t="shared" si="416"/>
        <v>0</v>
      </c>
      <c r="AJ3142" s="758">
        <f t="shared" si="417"/>
        <v>977319</v>
      </c>
    </row>
    <row r="3143" spans="1:36" x14ac:dyDescent="0.2">
      <c r="A3143" s="1448" t="s">
        <v>157</v>
      </c>
      <c r="B3143" s="1303" t="s">
        <v>264</v>
      </c>
      <c r="C3143" s="1303" t="s">
        <v>1813</v>
      </c>
      <c r="D3143" s="1449"/>
      <c r="E3143" s="1309">
        <v>237473</v>
      </c>
      <c r="F3143" s="1231">
        <v>14</v>
      </c>
      <c r="G3143" s="859"/>
      <c r="H3143" s="860">
        <v>983838</v>
      </c>
      <c r="I3143" s="861"/>
      <c r="J3143" s="862"/>
      <c r="K3143" s="859"/>
      <c r="L3143" s="863"/>
      <c r="M3143" s="859"/>
      <c r="N3143" s="859"/>
      <c r="O3143" s="752">
        <f t="shared" si="410"/>
        <v>0</v>
      </c>
      <c r="P3143" s="862"/>
      <c r="Q3143" s="860"/>
      <c r="R3143" s="753">
        <f t="shared" si="413"/>
        <v>0</v>
      </c>
      <c r="S3143" s="752">
        <f t="shared" si="414"/>
        <v>0</v>
      </c>
      <c r="T3143" s="754">
        <f t="shared" si="415"/>
        <v>983838</v>
      </c>
      <c r="U3143" s="859"/>
      <c r="V3143" s="863"/>
      <c r="W3143" s="859"/>
      <c r="X3143" s="859"/>
      <c r="Y3143" s="755">
        <f t="shared" si="411"/>
        <v>0</v>
      </c>
      <c r="Z3143" s="864"/>
      <c r="AA3143" s="863"/>
      <c r="AB3143" s="756">
        <f t="shared" si="412"/>
        <v>0</v>
      </c>
      <c r="AC3143" s="859"/>
      <c r="AD3143" s="863"/>
      <c r="AE3143" s="859"/>
      <c r="AF3143" s="859"/>
      <c r="AG3143" s="864"/>
      <c r="AH3143" s="865"/>
      <c r="AI3143" s="757">
        <f t="shared" si="416"/>
        <v>0</v>
      </c>
      <c r="AJ3143" s="758">
        <f t="shared" si="417"/>
        <v>983838</v>
      </c>
    </row>
    <row r="3144" spans="1:36" x14ac:dyDescent="0.2">
      <c r="A3144" s="1448" t="s">
        <v>157</v>
      </c>
      <c r="B3144" s="1303" t="s">
        <v>264</v>
      </c>
      <c r="C3144" s="1303" t="s">
        <v>1814</v>
      </c>
      <c r="D3144" s="1449"/>
      <c r="E3144" s="1309">
        <v>446349</v>
      </c>
      <c r="F3144" s="1231">
        <v>14</v>
      </c>
      <c r="G3144" s="859"/>
      <c r="H3144" s="860">
        <v>233879</v>
      </c>
      <c r="I3144" s="861"/>
      <c r="J3144" s="862"/>
      <c r="K3144" s="859"/>
      <c r="L3144" s="863"/>
      <c r="M3144" s="859"/>
      <c r="N3144" s="859"/>
      <c r="O3144" s="752">
        <f t="shared" si="410"/>
        <v>0</v>
      </c>
      <c r="P3144" s="862"/>
      <c r="Q3144" s="860"/>
      <c r="R3144" s="753">
        <f t="shared" si="413"/>
        <v>0</v>
      </c>
      <c r="S3144" s="752">
        <f t="shared" si="414"/>
        <v>0</v>
      </c>
      <c r="T3144" s="754">
        <f t="shared" si="415"/>
        <v>233879</v>
      </c>
      <c r="U3144" s="859"/>
      <c r="V3144" s="863"/>
      <c r="W3144" s="859"/>
      <c r="X3144" s="859"/>
      <c r="Y3144" s="755">
        <f t="shared" si="411"/>
        <v>0</v>
      </c>
      <c r="Z3144" s="864"/>
      <c r="AA3144" s="863"/>
      <c r="AB3144" s="756">
        <f t="shared" si="412"/>
        <v>0</v>
      </c>
      <c r="AC3144" s="859"/>
      <c r="AD3144" s="863"/>
      <c r="AE3144" s="859"/>
      <c r="AF3144" s="859"/>
      <c r="AG3144" s="864"/>
      <c r="AH3144" s="865"/>
      <c r="AI3144" s="757">
        <f t="shared" si="416"/>
        <v>0</v>
      </c>
      <c r="AJ3144" s="758">
        <f t="shared" si="417"/>
        <v>233879</v>
      </c>
    </row>
    <row r="3145" spans="1:36" x14ac:dyDescent="0.2">
      <c r="A3145" s="1448" t="s">
        <v>157</v>
      </c>
      <c r="B3145" s="1303" t="s">
        <v>264</v>
      </c>
      <c r="C3145" s="1303" t="s">
        <v>1815</v>
      </c>
      <c r="D3145" s="1449"/>
      <c r="E3145" s="1309">
        <v>237516</v>
      </c>
      <c r="F3145" s="1231">
        <v>14</v>
      </c>
      <c r="G3145" s="859"/>
      <c r="H3145" s="860">
        <v>174411</v>
      </c>
      <c r="I3145" s="861"/>
      <c r="J3145" s="862"/>
      <c r="K3145" s="859"/>
      <c r="L3145" s="863"/>
      <c r="M3145" s="859"/>
      <c r="N3145" s="859"/>
      <c r="O3145" s="752">
        <f t="shared" si="410"/>
        <v>0</v>
      </c>
      <c r="P3145" s="862"/>
      <c r="Q3145" s="860"/>
      <c r="R3145" s="753">
        <f t="shared" si="413"/>
        <v>0</v>
      </c>
      <c r="S3145" s="752">
        <f t="shared" si="414"/>
        <v>0</v>
      </c>
      <c r="T3145" s="754">
        <f t="shared" si="415"/>
        <v>174411</v>
      </c>
      <c r="U3145" s="859"/>
      <c r="V3145" s="863"/>
      <c r="W3145" s="859"/>
      <c r="X3145" s="859"/>
      <c r="Y3145" s="755">
        <f t="shared" si="411"/>
        <v>0</v>
      </c>
      <c r="Z3145" s="864"/>
      <c r="AA3145" s="863"/>
      <c r="AB3145" s="756">
        <f t="shared" si="412"/>
        <v>0</v>
      </c>
      <c r="AC3145" s="859"/>
      <c r="AD3145" s="863"/>
      <c r="AE3145" s="859"/>
      <c r="AF3145" s="859"/>
      <c r="AG3145" s="864"/>
      <c r="AH3145" s="865"/>
      <c r="AI3145" s="757">
        <f t="shared" si="416"/>
        <v>0</v>
      </c>
      <c r="AJ3145" s="758">
        <f t="shared" si="417"/>
        <v>174411</v>
      </c>
    </row>
    <row r="3146" spans="1:36" x14ac:dyDescent="0.2">
      <c r="A3146" s="1300" t="s">
        <v>157</v>
      </c>
      <c r="B3146" s="1303" t="s">
        <v>264</v>
      </c>
      <c r="C3146" s="1303" t="s">
        <v>1816</v>
      </c>
      <c r="D3146" s="1449"/>
      <c r="E3146" s="1309">
        <v>237534</v>
      </c>
      <c r="F3146" s="1231">
        <v>14</v>
      </c>
      <c r="G3146" s="859"/>
      <c r="H3146" s="860">
        <v>130809</v>
      </c>
      <c r="I3146" s="861"/>
      <c r="J3146" s="862"/>
      <c r="K3146" s="859"/>
      <c r="L3146" s="863"/>
      <c r="M3146" s="859"/>
      <c r="N3146" s="859"/>
      <c r="O3146" s="752">
        <f t="shared" si="410"/>
        <v>0</v>
      </c>
      <c r="P3146" s="862"/>
      <c r="Q3146" s="860"/>
      <c r="R3146" s="753">
        <f t="shared" si="413"/>
        <v>0</v>
      </c>
      <c r="S3146" s="752">
        <f t="shared" si="414"/>
        <v>0</v>
      </c>
      <c r="T3146" s="754">
        <f t="shared" si="415"/>
        <v>130809</v>
      </c>
      <c r="U3146" s="859"/>
      <c r="V3146" s="863"/>
      <c r="W3146" s="859"/>
      <c r="X3146" s="859"/>
      <c r="Y3146" s="755">
        <f t="shared" si="411"/>
        <v>0</v>
      </c>
      <c r="Z3146" s="864"/>
      <c r="AA3146" s="863"/>
      <c r="AB3146" s="756">
        <f t="shared" si="412"/>
        <v>0</v>
      </c>
      <c r="AC3146" s="859"/>
      <c r="AD3146" s="863"/>
      <c r="AE3146" s="859"/>
      <c r="AF3146" s="859"/>
      <c r="AG3146" s="864"/>
      <c r="AH3146" s="865"/>
      <c r="AI3146" s="757">
        <f t="shared" si="416"/>
        <v>0</v>
      </c>
      <c r="AJ3146" s="758">
        <f t="shared" si="417"/>
        <v>130809</v>
      </c>
    </row>
    <row r="3147" spans="1:36" x14ac:dyDescent="0.2">
      <c r="A3147" s="1448" t="s">
        <v>157</v>
      </c>
      <c r="B3147" s="1303" t="s">
        <v>264</v>
      </c>
      <c r="C3147" s="1303" t="s">
        <v>1817</v>
      </c>
      <c r="D3147" s="1449"/>
      <c r="E3147" s="1309">
        <v>237543</v>
      </c>
      <c r="F3147" s="1231">
        <v>14</v>
      </c>
      <c r="G3147" s="859"/>
      <c r="H3147" s="860">
        <v>502433</v>
      </c>
      <c r="I3147" s="861"/>
      <c r="J3147" s="862"/>
      <c r="K3147" s="859"/>
      <c r="L3147" s="863"/>
      <c r="M3147" s="859"/>
      <c r="N3147" s="859"/>
      <c r="O3147" s="752">
        <f t="shared" ref="O3147:O3161" si="418">SUM(M3147:N3147)</f>
        <v>0</v>
      </c>
      <c r="P3147" s="862"/>
      <c r="Q3147" s="860"/>
      <c r="R3147" s="753">
        <f t="shared" si="413"/>
        <v>0</v>
      </c>
      <c r="S3147" s="752">
        <f t="shared" si="414"/>
        <v>0</v>
      </c>
      <c r="T3147" s="754">
        <f t="shared" si="415"/>
        <v>502433</v>
      </c>
      <c r="U3147" s="859"/>
      <c r="V3147" s="863"/>
      <c r="W3147" s="859"/>
      <c r="X3147" s="859"/>
      <c r="Y3147" s="755">
        <f t="shared" ref="Y3147:Y3161" si="419">SUM(W3147:X3147)</f>
        <v>0</v>
      </c>
      <c r="Z3147" s="864"/>
      <c r="AA3147" s="863"/>
      <c r="AB3147" s="756">
        <f t="shared" ref="AB3147:AB3161" si="420">SUM(Z3147:AA3147)</f>
        <v>0</v>
      </c>
      <c r="AC3147" s="859"/>
      <c r="AD3147" s="863"/>
      <c r="AE3147" s="859"/>
      <c r="AF3147" s="859"/>
      <c r="AG3147" s="864"/>
      <c r="AH3147" s="865"/>
      <c r="AI3147" s="757">
        <f t="shared" si="416"/>
        <v>0</v>
      </c>
      <c r="AJ3147" s="758">
        <f t="shared" si="417"/>
        <v>502433</v>
      </c>
    </row>
    <row r="3148" spans="1:36" x14ac:dyDescent="0.2">
      <c r="A3148" s="1448" t="s">
        <v>157</v>
      </c>
      <c r="B3148" s="1303" t="s">
        <v>264</v>
      </c>
      <c r="C3148" s="1303" t="s">
        <v>1818</v>
      </c>
      <c r="D3148" s="1449"/>
      <c r="E3148" s="1309">
        <v>368647</v>
      </c>
      <c r="F3148" s="1231">
        <v>14</v>
      </c>
      <c r="G3148" s="859"/>
      <c r="H3148" s="860">
        <v>192698</v>
      </c>
      <c r="I3148" s="861"/>
      <c r="J3148" s="862"/>
      <c r="K3148" s="859"/>
      <c r="L3148" s="863"/>
      <c r="M3148" s="859"/>
      <c r="N3148" s="859"/>
      <c r="O3148" s="752">
        <f t="shared" si="418"/>
        <v>0</v>
      </c>
      <c r="P3148" s="862"/>
      <c r="Q3148" s="860"/>
      <c r="R3148" s="753">
        <f t="shared" ref="R3148:R3161" si="421">SUM(P3148:Q3148)</f>
        <v>0</v>
      </c>
      <c r="S3148" s="752">
        <f t="shared" ref="S3148:S3161" si="422">SUM(G3148,I3148,K3148,M3148)</f>
        <v>0</v>
      </c>
      <c r="T3148" s="754">
        <f t="shared" ref="T3148:T3161" si="423">SUM(H3148,J3148,L3148,P3148)</f>
        <v>192698</v>
      </c>
      <c r="U3148" s="859"/>
      <c r="V3148" s="863"/>
      <c r="W3148" s="859"/>
      <c r="X3148" s="859"/>
      <c r="Y3148" s="755">
        <f t="shared" si="419"/>
        <v>0</v>
      </c>
      <c r="Z3148" s="864"/>
      <c r="AA3148" s="863"/>
      <c r="AB3148" s="756">
        <f t="shared" si="420"/>
        <v>0</v>
      </c>
      <c r="AC3148" s="859"/>
      <c r="AD3148" s="863"/>
      <c r="AE3148" s="859"/>
      <c r="AF3148" s="859"/>
      <c r="AG3148" s="864"/>
      <c r="AH3148" s="865"/>
      <c r="AI3148" s="757">
        <f t="shared" ref="AI3148:AI3161" si="424">SUM(S3148,U3148,W3148,AC3148,AE3148)</f>
        <v>0</v>
      </c>
      <c r="AJ3148" s="758">
        <f t="shared" ref="AJ3148:AJ3161" si="425">SUM(T3148,V3148,Z3148,AD3148,AG3148)</f>
        <v>192698</v>
      </c>
    </row>
    <row r="3149" spans="1:36" x14ac:dyDescent="0.2">
      <c r="A3149" s="1448" t="s">
        <v>157</v>
      </c>
      <c r="B3149" s="1303" t="s">
        <v>264</v>
      </c>
      <c r="C3149" s="1303" t="s">
        <v>1819</v>
      </c>
      <c r="D3149" s="1449"/>
      <c r="E3149" s="1309">
        <v>237561</v>
      </c>
      <c r="F3149" s="1231">
        <v>14</v>
      </c>
      <c r="G3149" s="859"/>
      <c r="H3149" s="860">
        <v>787076</v>
      </c>
      <c r="I3149" s="861"/>
      <c r="J3149" s="862"/>
      <c r="K3149" s="859"/>
      <c r="L3149" s="863"/>
      <c r="M3149" s="859"/>
      <c r="N3149" s="859"/>
      <c r="O3149" s="752">
        <f t="shared" si="418"/>
        <v>0</v>
      </c>
      <c r="P3149" s="862"/>
      <c r="Q3149" s="860"/>
      <c r="R3149" s="753">
        <f t="shared" si="421"/>
        <v>0</v>
      </c>
      <c r="S3149" s="752">
        <f t="shared" si="422"/>
        <v>0</v>
      </c>
      <c r="T3149" s="754">
        <f t="shared" si="423"/>
        <v>787076</v>
      </c>
      <c r="U3149" s="859"/>
      <c r="V3149" s="863"/>
      <c r="W3149" s="859"/>
      <c r="X3149" s="859"/>
      <c r="Y3149" s="755">
        <f t="shared" si="419"/>
        <v>0</v>
      </c>
      <c r="Z3149" s="864"/>
      <c r="AA3149" s="863"/>
      <c r="AB3149" s="756">
        <f t="shared" si="420"/>
        <v>0</v>
      </c>
      <c r="AC3149" s="859"/>
      <c r="AD3149" s="863"/>
      <c r="AE3149" s="859"/>
      <c r="AF3149" s="859"/>
      <c r="AG3149" s="864"/>
      <c r="AH3149" s="865"/>
      <c r="AI3149" s="757">
        <f t="shared" si="424"/>
        <v>0</v>
      </c>
      <c r="AJ3149" s="758">
        <f t="shared" si="425"/>
        <v>787076</v>
      </c>
    </row>
    <row r="3150" spans="1:36" x14ac:dyDescent="0.2">
      <c r="A3150" s="1448" t="s">
        <v>157</v>
      </c>
      <c r="B3150" s="1303" t="s">
        <v>264</v>
      </c>
      <c r="C3150" s="1303" t="s">
        <v>1820</v>
      </c>
      <c r="D3150" s="1449"/>
      <c r="E3150" s="1309">
        <v>419420</v>
      </c>
      <c r="F3150" s="1231">
        <v>14</v>
      </c>
      <c r="G3150" s="859"/>
      <c r="H3150" s="860">
        <v>304202</v>
      </c>
      <c r="I3150" s="861"/>
      <c r="J3150" s="862"/>
      <c r="K3150" s="859"/>
      <c r="L3150" s="863"/>
      <c r="M3150" s="859"/>
      <c r="N3150" s="859"/>
      <c r="O3150" s="752">
        <f t="shared" si="418"/>
        <v>0</v>
      </c>
      <c r="P3150" s="862"/>
      <c r="Q3150" s="860"/>
      <c r="R3150" s="753">
        <f t="shared" si="421"/>
        <v>0</v>
      </c>
      <c r="S3150" s="752">
        <f t="shared" si="422"/>
        <v>0</v>
      </c>
      <c r="T3150" s="754">
        <f t="shared" si="423"/>
        <v>304202</v>
      </c>
      <c r="U3150" s="859"/>
      <c r="V3150" s="863"/>
      <c r="W3150" s="859"/>
      <c r="X3150" s="859"/>
      <c r="Y3150" s="755">
        <f t="shared" si="419"/>
        <v>0</v>
      </c>
      <c r="Z3150" s="864"/>
      <c r="AA3150" s="863"/>
      <c r="AB3150" s="756">
        <f t="shared" si="420"/>
        <v>0</v>
      </c>
      <c r="AC3150" s="859"/>
      <c r="AD3150" s="863"/>
      <c r="AE3150" s="859"/>
      <c r="AF3150" s="859"/>
      <c r="AG3150" s="864"/>
      <c r="AH3150" s="865"/>
      <c r="AI3150" s="757">
        <f t="shared" si="424"/>
        <v>0</v>
      </c>
      <c r="AJ3150" s="758">
        <f t="shared" si="425"/>
        <v>304202</v>
      </c>
    </row>
    <row r="3151" spans="1:36" x14ac:dyDescent="0.2">
      <c r="A3151" s="1448" t="s">
        <v>157</v>
      </c>
      <c r="B3151" s="1303" t="s">
        <v>264</v>
      </c>
      <c r="C3151" s="1303" t="s">
        <v>1821</v>
      </c>
      <c r="D3151" s="1449"/>
      <c r="E3151" s="1309">
        <v>237729</v>
      </c>
      <c r="F3151" s="1231">
        <v>14</v>
      </c>
      <c r="G3151" s="859"/>
      <c r="H3151" s="860">
        <v>414472</v>
      </c>
      <c r="I3151" s="861"/>
      <c r="J3151" s="862"/>
      <c r="K3151" s="859"/>
      <c r="L3151" s="863"/>
      <c r="M3151" s="859"/>
      <c r="N3151" s="859"/>
      <c r="O3151" s="752">
        <f t="shared" si="418"/>
        <v>0</v>
      </c>
      <c r="P3151" s="862"/>
      <c r="Q3151" s="860"/>
      <c r="R3151" s="753">
        <f t="shared" si="421"/>
        <v>0</v>
      </c>
      <c r="S3151" s="752">
        <f t="shared" si="422"/>
        <v>0</v>
      </c>
      <c r="T3151" s="754">
        <f t="shared" si="423"/>
        <v>414472</v>
      </c>
      <c r="U3151" s="859"/>
      <c r="V3151" s="863"/>
      <c r="W3151" s="859"/>
      <c r="X3151" s="859"/>
      <c r="Y3151" s="755">
        <f t="shared" si="419"/>
        <v>0</v>
      </c>
      <c r="Z3151" s="864"/>
      <c r="AA3151" s="863"/>
      <c r="AB3151" s="756">
        <f t="shared" si="420"/>
        <v>0</v>
      </c>
      <c r="AC3151" s="859"/>
      <c r="AD3151" s="863"/>
      <c r="AE3151" s="859"/>
      <c r="AF3151" s="859"/>
      <c r="AG3151" s="864"/>
      <c r="AH3151" s="865"/>
      <c r="AI3151" s="757">
        <f t="shared" si="424"/>
        <v>0</v>
      </c>
      <c r="AJ3151" s="758">
        <f t="shared" si="425"/>
        <v>414472</v>
      </c>
    </row>
    <row r="3152" spans="1:36" x14ac:dyDescent="0.2">
      <c r="A3152" s="1448" t="s">
        <v>157</v>
      </c>
      <c r="B3152" s="1303" t="s">
        <v>264</v>
      </c>
      <c r="C3152" s="1303" t="s">
        <v>1822</v>
      </c>
      <c r="D3152" s="1449"/>
      <c r="E3152" s="1309">
        <v>237491</v>
      </c>
      <c r="F3152" s="1231">
        <v>14</v>
      </c>
      <c r="G3152" s="859"/>
      <c r="H3152" s="860">
        <v>167859</v>
      </c>
      <c r="I3152" s="861"/>
      <c r="J3152" s="862"/>
      <c r="K3152" s="859"/>
      <c r="L3152" s="863"/>
      <c r="M3152" s="859"/>
      <c r="N3152" s="859"/>
      <c r="O3152" s="752">
        <f t="shared" si="418"/>
        <v>0</v>
      </c>
      <c r="P3152" s="862"/>
      <c r="Q3152" s="860"/>
      <c r="R3152" s="753">
        <f t="shared" si="421"/>
        <v>0</v>
      </c>
      <c r="S3152" s="752">
        <f t="shared" si="422"/>
        <v>0</v>
      </c>
      <c r="T3152" s="754">
        <f t="shared" si="423"/>
        <v>167859</v>
      </c>
      <c r="U3152" s="859"/>
      <c r="V3152" s="863"/>
      <c r="W3152" s="859"/>
      <c r="X3152" s="859"/>
      <c r="Y3152" s="755">
        <f t="shared" si="419"/>
        <v>0</v>
      </c>
      <c r="Z3152" s="864"/>
      <c r="AA3152" s="863"/>
      <c r="AB3152" s="756">
        <f t="shared" si="420"/>
        <v>0</v>
      </c>
      <c r="AC3152" s="859"/>
      <c r="AD3152" s="863"/>
      <c r="AE3152" s="859"/>
      <c r="AF3152" s="859"/>
      <c r="AG3152" s="864"/>
      <c r="AH3152" s="865"/>
      <c r="AI3152" s="757">
        <f t="shared" si="424"/>
        <v>0</v>
      </c>
      <c r="AJ3152" s="758">
        <f t="shared" si="425"/>
        <v>167859</v>
      </c>
    </row>
    <row r="3153" spans="1:36" x14ac:dyDescent="0.2">
      <c r="A3153" s="1448" t="s">
        <v>157</v>
      </c>
      <c r="B3153" s="1303" t="s">
        <v>264</v>
      </c>
      <c r="C3153" s="1303" t="s">
        <v>1823</v>
      </c>
      <c r="D3153" s="1449"/>
      <c r="E3153" s="1309">
        <v>364575</v>
      </c>
      <c r="F3153" s="1231">
        <v>14</v>
      </c>
      <c r="G3153" s="859"/>
      <c r="H3153" s="860">
        <v>283374</v>
      </c>
      <c r="I3153" s="861"/>
      <c r="J3153" s="862"/>
      <c r="K3153" s="859"/>
      <c r="L3153" s="863"/>
      <c r="M3153" s="859"/>
      <c r="N3153" s="859"/>
      <c r="O3153" s="752">
        <f t="shared" si="418"/>
        <v>0</v>
      </c>
      <c r="P3153" s="862"/>
      <c r="Q3153" s="860"/>
      <c r="R3153" s="753">
        <f t="shared" si="421"/>
        <v>0</v>
      </c>
      <c r="S3153" s="752">
        <f t="shared" si="422"/>
        <v>0</v>
      </c>
      <c r="T3153" s="754">
        <f t="shared" si="423"/>
        <v>283374</v>
      </c>
      <c r="U3153" s="859"/>
      <c r="V3153" s="863"/>
      <c r="W3153" s="859"/>
      <c r="X3153" s="859"/>
      <c r="Y3153" s="755">
        <f t="shared" si="419"/>
        <v>0</v>
      </c>
      <c r="Z3153" s="864"/>
      <c r="AA3153" s="863"/>
      <c r="AB3153" s="756">
        <f t="shared" si="420"/>
        <v>0</v>
      </c>
      <c r="AC3153" s="859"/>
      <c r="AD3153" s="863"/>
      <c r="AE3153" s="859"/>
      <c r="AF3153" s="859"/>
      <c r="AG3153" s="864"/>
      <c r="AH3153" s="865"/>
      <c r="AI3153" s="757">
        <f t="shared" si="424"/>
        <v>0</v>
      </c>
      <c r="AJ3153" s="758">
        <f t="shared" si="425"/>
        <v>283374</v>
      </c>
    </row>
    <row r="3154" spans="1:36" x14ac:dyDescent="0.2">
      <c r="A3154" s="1448" t="s">
        <v>157</v>
      </c>
      <c r="B3154" s="1303" t="s">
        <v>264</v>
      </c>
      <c r="C3154" s="1303" t="s">
        <v>1824</v>
      </c>
      <c r="D3154" s="1449"/>
      <c r="E3154" s="1309">
        <v>441894</v>
      </c>
      <c r="F3154" s="1231">
        <v>14</v>
      </c>
      <c r="G3154" s="859"/>
      <c r="H3154" s="860">
        <v>88650</v>
      </c>
      <c r="I3154" s="861"/>
      <c r="J3154" s="862"/>
      <c r="K3154" s="859"/>
      <c r="L3154" s="863"/>
      <c r="M3154" s="859"/>
      <c r="N3154" s="859"/>
      <c r="O3154" s="752">
        <f t="shared" si="418"/>
        <v>0</v>
      </c>
      <c r="P3154" s="862"/>
      <c r="Q3154" s="860"/>
      <c r="R3154" s="753">
        <f t="shared" si="421"/>
        <v>0</v>
      </c>
      <c r="S3154" s="752">
        <f t="shared" si="422"/>
        <v>0</v>
      </c>
      <c r="T3154" s="754">
        <f t="shared" si="423"/>
        <v>88650</v>
      </c>
      <c r="U3154" s="859"/>
      <c r="V3154" s="863"/>
      <c r="W3154" s="859"/>
      <c r="X3154" s="859"/>
      <c r="Y3154" s="755">
        <f t="shared" si="419"/>
        <v>0</v>
      </c>
      <c r="Z3154" s="864"/>
      <c r="AA3154" s="863"/>
      <c r="AB3154" s="756">
        <f t="shared" si="420"/>
        <v>0</v>
      </c>
      <c r="AC3154" s="859"/>
      <c r="AD3154" s="863"/>
      <c r="AE3154" s="859"/>
      <c r="AF3154" s="859"/>
      <c r="AG3154" s="864"/>
      <c r="AH3154" s="865"/>
      <c r="AI3154" s="757">
        <f t="shared" si="424"/>
        <v>0</v>
      </c>
      <c r="AJ3154" s="758">
        <f t="shared" si="425"/>
        <v>88650</v>
      </c>
    </row>
    <row r="3155" spans="1:36" x14ac:dyDescent="0.2">
      <c r="A3155" s="1448" t="s">
        <v>157</v>
      </c>
      <c r="B3155" s="1303" t="s">
        <v>264</v>
      </c>
      <c r="C3155" s="1303" t="s">
        <v>1825</v>
      </c>
      <c r="D3155" s="1449"/>
      <c r="E3155" s="1309">
        <v>419031</v>
      </c>
      <c r="F3155" s="1231">
        <v>14</v>
      </c>
      <c r="G3155" s="859"/>
      <c r="H3155" s="860">
        <v>226199</v>
      </c>
      <c r="I3155" s="861"/>
      <c r="J3155" s="862"/>
      <c r="K3155" s="859"/>
      <c r="L3155" s="863"/>
      <c r="M3155" s="859"/>
      <c r="N3155" s="859"/>
      <c r="O3155" s="752">
        <f t="shared" si="418"/>
        <v>0</v>
      </c>
      <c r="P3155" s="862"/>
      <c r="Q3155" s="860"/>
      <c r="R3155" s="753">
        <f t="shared" si="421"/>
        <v>0</v>
      </c>
      <c r="S3155" s="752">
        <f t="shared" si="422"/>
        <v>0</v>
      </c>
      <c r="T3155" s="754">
        <f t="shared" si="423"/>
        <v>226199</v>
      </c>
      <c r="U3155" s="859"/>
      <c r="V3155" s="863"/>
      <c r="W3155" s="859"/>
      <c r="X3155" s="859"/>
      <c r="Y3155" s="755">
        <f t="shared" si="419"/>
        <v>0</v>
      </c>
      <c r="Z3155" s="864"/>
      <c r="AA3155" s="863"/>
      <c r="AB3155" s="756">
        <f t="shared" si="420"/>
        <v>0</v>
      </c>
      <c r="AC3155" s="859"/>
      <c r="AD3155" s="863"/>
      <c r="AE3155" s="859"/>
      <c r="AF3155" s="859"/>
      <c r="AG3155" s="864"/>
      <c r="AH3155" s="865"/>
      <c r="AI3155" s="757">
        <f t="shared" si="424"/>
        <v>0</v>
      </c>
      <c r="AJ3155" s="758">
        <f t="shared" si="425"/>
        <v>226199</v>
      </c>
    </row>
    <row r="3156" spans="1:36" x14ac:dyDescent="0.2">
      <c r="A3156" s="1448" t="s">
        <v>157</v>
      </c>
      <c r="B3156" s="1303" t="s">
        <v>264</v>
      </c>
      <c r="C3156" s="1303" t="s">
        <v>1826</v>
      </c>
      <c r="D3156" s="1449"/>
      <c r="E3156" s="1451" t="s">
        <v>1559</v>
      </c>
      <c r="F3156" s="1231">
        <v>15</v>
      </c>
      <c r="G3156" s="859"/>
      <c r="H3156" s="860">
        <v>117065</v>
      </c>
      <c r="I3156" s="861"/>
      <c r="J3156" s="862"/>
      <c r="K3156" s="859"/>
      <c r="L3156" s="863"/>
      <c r="M3156" s="859"/>
      <c r="N3156" s="859"/>
      <c r="O3156" s="752">
        <f t="shared" si="418"/>
        <v>0</v>
      </c>
      <c r="P3156" s="862"/>
      <c r="Q3156" s="860"/>
      <c r="R3156" s="753">
        <f t="shared" si="421"/>
        <v>0</v>
      </c>
      <c r="S3156" s="752">
        <f t="shared" si="422"/>
        <v>0</v>
      </c>
      <c r="T3156" s="754">
        <f t="shared" si="423"/>
        <v>117065</v>
      </c>
      <c r="U3156" s="859"/>
      <c r="V3156" s="863"/>
      <c r="W3156" s="859"/>
      <c r="X3156" s="859"/>
      <c r="Y3156" s="755">
        <f t="shared" si="419"/>
        <v>0</v>
      </c>
      <c r="Z3156" s="864"/>
      <c r="AA3156" s="863"/>
      <c r="AB3156" s="756">
        <f t="shared" si="420"/>
        <v>0</v>
      </c>
      <c r="AC3156" s="859"/>
      <c r="AD3156" s="863"/>
      <c r="AE3156" s="859"/>
      <c r="AF3156" s="859"/>
      <c r="AG3156" s="864"/>
      <c r="AH3156" s="865"/>
      <c r="AI3156" s="757">
        <f t="shared" si="424"/>
        <v>0</v>
      </c>
      <c r="AJ3156" s="758">
        <f t="shared" si="425"/>
        <v>117065</v>
      </c>
    </row>
    <row r="3157" spans="1:36" x14ac:dyDescent="0.2">
      <c r="A3157" s="1448" t="s">
        <v>157</v>
      </c>
      <c r="B3157" s="1303" t="s">
        <v>264</v>
      </c>
      <c r="C3157" s="1303" t="s">
        <v>1827</v>
      </c>
      <c r="D3157" s="1449"/>
      <c r="E3157" s="1451" t="s">
        <v>1559</v>
      </c>
      <c r="F3157" s="1231">
        <v>15</v>
      </c>
      <c r="G3157" s="859"/>
      <c r="H3157" s="860">
        <v>263591</v>
      </c>
      <c r="I3157" s="861"/>
      <c r="J3157" s="862"/>
      <c r="K3157" s="859"/>
      <c r="L3157" s="863"/>
      <c r="M3157" s="859"/>
      <c r="N3157" s="859"/>
      <c r="O3157" s="752">
        <f t="shared" si="418"/>
        <v>0</v>
      </c>
      <c r="P3157" s="862"/>
      <c r="Q3157" s="860"/>
      <c r="R3157" s="753">
        <f t="shared" si="421"/>
        <v>0</v>
      </c>
      <c r="S3157" s="752">
        <f t="shared" si="422"/>
        <v>0</v>
      </c>
      <c r="T3157" s="754">
        <f t="shared" si="423"/>
        <v>263591</v>
      </c>
      <c r="U3157" s="859"/>
      <c r="V3157" s="863"/>
      <c r="W3157" s="859"/>
      <c r="X3157" s="859"/>
      <c r="Y3157" s="755">
        <f t="shared" si="419"/>
        <v>0</v>
      </c>
      <c r="Z3157" s="864"/>
      <c r="AA3157" s="863"/>
      <c r="AB3157" s="756">
        <f t="shared" si="420"/>
        <v>0</v>
      </c>
      <c r="AC3157" s="859"/>
      <c r="AD3157" s="863"/>
      <c r="AE3157" s="859"/>
      <c r="AF3157" s="859"/>
      <c r="AG3157" s="864"/>
      <c r="AH3157" s="865"/>
      <c r="AI3157" s="757">
        <f t="shared" si="424"/>
        <v>0</v>
      </c>
      <c r="AJ3157" s="758">
        <f t="shared" si="425"/>
        <v>263591</v>
      </c>
    </row>
    <row r="3158" spans="1:36" x14ac:dyDescent="0.2">
      <c r="A3158" s="1300" t="s">
        <v>157</v>
      </c>
      <c r="B3158" s="1303" t="s">
        <v>264</v>
      </c>
      <c r="C3158" s="1303" t="s">
        <v>1828</v>
      </c>
      <c r="D3158" s="1449"/>
      <c r="E3158" s="1451" t="s">
        <v>1559</v>
      </c>
      <c r="F3158" s="1231">
        <v>15</v>
      </c>
      <c r="G3158" s="859"/>
      <c r="H3158" s="860">
        <v>135055</v>
      </c>
      <c r="I3158" s="861"/>
      <c r="J3158" s="862"/>
      <c r="K3158" s="859"/>
      <c r="L3158" s="863"/>
      <c r="M3158" s="859"/>
      <c r="N3158" s="859"/>
      <c r="O3158" s="752">
        <f t="shared" si="418"/>
        <v>0</v>
      </c>
      <c r="P3158" s="862"/>
      <c r="Q3158" s="860"/>
      <c r="R3158" s="753">
        <f t="shared" si="421"/>
        <v>0</v>
      </c>
      <c r="S3158" s="752">
        <f t="shared" si="422"/>
        <v>0</v>
      </c>
      <c r="T3158" s="754">
        <f t="shared" si="423"/>
        <v>135055</v>
      </c>
      <c r="U3158" s="859"/>
      <c r="V3158" s="863"/>
      <c r="W3158" s="859"/>
      <c r="X3158" s="859"/>
      <c r="Y3158" s="755">
        <f t="shared" si="419"/>
        <v>0</v>
      </c>
      <c r="Z3158" s="864"/>
      <c r="AA3158" s="863"/>
      <c r="AB3158" s="756">
        <f t="shared" si="420"/>
        <v>0</v>
      </c>
      <c r="AC3158" s="859"/>
      <c r="AD3158" s="863"/>
      <c r="AE3158" s="859"/>
      <c r="AF3158" s="859"/>
      <c r="AG3158" s="864"/>
      <c r="AH3158" s="865"/>
      <c r="AI3158" s="757">
        <f t="shared" si="424"/>
        <v>0</v>
      </c>
      <c r="AJ3158" s="758">
        <f t="shared" si="425"/>
        <v>135055</v>
      </c>
    </row>
    <row r="3159" spans="1:36" x14ac:dyDescent="0.2">
      <c r="A3159" s="1300" t="s">
        <v>157</v>
      </c>
      <c r="B3159" s="1303" t="s">
        <v>264</v>
      </c>
      <c r="C3159" s="1303" t="s">
        <v>1829</v>
      </c>
      <c r="D3159" s="1449"/>
      <c r="E3159" s="1451" t="s">
        <v>1559</v>
      </c>
      <c r="F3159" s="1231">
        <v>15</v>
      </c>
      <c r="G3159" s="859"/>
      <c r="H3159" s="860">
        <v>145761</v>
      </c>
      <c r="I3159" s="861"/>
      <c r="J3159" s="862"/>
      <c r="K3159" s="859"/>
      <c r="L3159" s="863"/>
      <c r="M3159" s="859"/>
      <c r="N3159" s="859"/>
      <c r="O3159" s="752">
        <f t="shared" si="418"/>
        <v>0</v>
      </c>
      <c r="P3159" s="862"/>
      <c r="Q3159" s="860"/>
      <c r="R3159" s="753">
        <f t="shared" si="421"/>
        <v>0</v>
      </c>
      <c r="S3159" s="752">
        <f t="shared" si="422"/>
        <v>0</v>
      </c>
      <c r="T3159" s="754">
        <f t="shared" si="423"/>
        <v>145761</v>
      </c>
      <c r="U3159" s="859"/>
      <c r="V3159" s="863"/>
      <c r="W3159" s="859"/>
      <c r="X3159" s="859"/>
      <c r="Y3159" s="755">
        <f t="shared" si="419"/>
        <v>0</v>
      </c>
      <c r="Z3159" s="864"/>
      <c r="AA3159" s="863"/>
      <c r="AB3159" s="756">
        <f t="shared" si="420"/>
        <v>0</v>
      </c>
      <c r="AC3159" s="859"/>
      <c r="AD3159" s="863"/>
      <c r="AE3159" s="859"/>
      <c r="AF3159" s="859"/>
      <c r="AG3159" s="864"/>
      <c r="AH3159" s="865"/>
      <c r="AI3159" s="757">
        <f t="shared" si="424"/>
        <v>0</v>
      </c>
      <c r="AJ3159" s="758">
        <f t="shared" si="425"/>
        <v>145761</v>
      </c>
    </row>
    <row r="3160" spans="1:36" x14ac:dyDescent="0.2">
      <c r="A3160" s="1300" t="s">
        <v>157</v>
      </c>
      <c r="B3160" s="1303" t="s">
        <v>264</v>
      </c>
      <c r="C3160" s="1303" t="s">
        <v>1830</v>
      </c>
      <c r="D3160" s="1449"/>
      <c r="E3160" s="1309">
        <v>238096</v>
      </c>
      <c r="F3160" s="1231">
        <v>15</v>
      </c>
      <c r="G3160" s="859"/>
      <c r="H3160" s="860">
        <v>269947</v>
      </c>
      <c r="I3160" s="861"/>
      <c r="J3160" s="862"/>
      <c r="K3160" s="859"/>
      <c r="L3160" s="863"/>
      <c r="M3160" s="859"/>
      <c r="N3160" s="859"/>
      <c r="O3160" s="752">
        <f t="shared" si="418"/>
        <v>0</v>
      </c>
      <c r="P3160" s="862"/>
      <c r="Q3160" s="860"/>
      <c r="R3160" s="753">
        <f t="shared" si="421"/>
        <v>0</v>
      </c>
      <c r="S3160" s="752">
        <f t="shared" si="422"/>
        <v>0</v>
      </c>
      <c r="T3160" s="754">
        <f t="shared" si="423"/>
        <v>269947</v>
      </c>
      <c r="U3160" s="859"/>
      <c r="V3160" s="863"/>
      <c r="W3160" s="859"/>
      <c r="X3160" s="859"/>
      <c r="Y3160" s="755">
        <f t="shared" si="419"/>
        <v>0</v>
      </c>
      <c r="Z3160" s="864"/>
      <c r="AA3160" s="863"/>
      <c r="AB3160" s="756">
        <f t="shared" si="420"/>
        <v>0</v>
      </c>
      <c r="AC3160" s="859"/>
      <c r="AD3160" s="863"/>
      <c r="AE3160" s="859"/>
      <c r="AF3160" s="859"/>
      <c r="AG3160" s="864"/>
      <c r="AH3160" s="865"/>
      <c r="AI3160" s="757">
        <f t="shared" si="424"/>
        <v>0</v>
      </c>
      <c r="AJ3160" s="758">
        <f t="shared" si="425"/>
        <v>269947</v>
      </c>
    </row>
    <row r="3161" spans="1:36" x14ac:dyDescent="0.2">
      <c r="A3161" s="1300" t="s">
        <v>157</v>
      </c>
      <c r="B3161" s="1303" t="s">
        <v>264</v>
      </c>
      <c r="C3161" s="1303" t="s">
        <v>1831</v>
      </c>
      <c r="D3161" s="1449"/>
      <c r="E3161" s="1451" t="s">
        <v>1559</v>
      </c>
      <c r="F3161" s="1231">
        <v>15</v>
      </c>
      <c r="G3161" s="859"/>
      <c r="H3161" s="860">
        <v>156941</v>
      </c>
      <c r="I3161" s="861"/>
      <c r="J3161" s="862"/>
      <c r="K3161" s="859"/>
      <c r="L3161" s="863"/>
      <c r="M3161" s="859"/>
      <c r="N3161" s="859"/>
      <c r="O3161" s="752">
        <f t="shared" si="418"/>
        <v>0</v>
      </c>
      <c r="P3161" s="862"/>
      <c r="Q3161" s="860"/>
      <c r="R3161" s="753">
        <f t="shared" si="421"/>
        <v>0</v>
      </c>
      <c r="S3161" s="752">
        <f t="shared" si="422"/>
        <v>0</v>
      </c>
      <c r="T3161" s="754">
        <f t="shared" si="423"/>
        <v>156941</v>
      </c>
      <c r="U3161" s="859"/>
      <c r="V3161" s="863"/>
      <c r="W3161" s="859"/>
      <c r="X3161" s="859"/>
      <c r="Y3161" s="755">
        <f t="shared" si="419"/>
        <v>0</v>
      </c>
      <c r="Z3161" s="864"/>
      <c r="AA3161" s="863"/>
      <c r="AB3161" s="756">
        <f t="shared" si="420"/>
        <v>0</v>
      </c>
      <c r="AC3161" s="859"/>
      <c r="AD3161" s="863"/>
      <c r="AE3161" s="859"/>
      <c r="AF3161" s="859"/>
      <c r="AG3161" s="864"/>
      <c r="AH3161" s="865"/>
      <c r="AI3161" s="757">
        <f t="shared" si="424"/>
        <v>0</v>
      </c>
      <c r="AJ3161" s="758">
        <f t="shared" si="425"/>
        <v>156941</v>
      </c>
    </row>
    <row r="3162" spans="1:36" x14ac:dyDescent="0.2">
      <c r="B3162" s="352"/>
      <c r="C3162" s="352"/>
      <c r="D3162" s="352"/>
      <c r="E3162" s="352"/>
      <c r="F3162" s="352"/>
      <c r="H3162" s="352"/>
      <c r="J3162" s="352"/>
      <c r="L3162" s="352"/>
      <c r="M3162" s="352"/>
      <c r="N3162" s="352"/>
      <c r="O3162" s="352"/>
      <c r="P3162" s="352"/>
      <c r="Q3162" s="352"/>
      <c r="R3162" s="352"/>
      <c r="S3162" s="352"/>
      <c r="T3162" s="352"/>
      <c r="U3162" s="352"/>
      <c r="V3162" s="352"/>
      <c r="W3162" s="352"/>
      <c r="X3162" s="352"/>
      <c r="Y3162" s="352"/>
      <c r="Z3162" s="352"/>
      <c r="AA3162" s="352"/>
      <c r="AB3162" s="352"/>
      <c r="AC3162" s="352"/>
      <c r="AD3162" s="352"/>
      <c r="AE3162" s="352"/>
      <c r="AF3162" s="352"/>
      <c r="AG3162" s="352"/>
      <c r="AH3162" s="352"/>
      <c r="AI3162" s="352"/>
      <c r="AJ3162" s="352"/>
    </row>
    <row r="3163" spans="1:36" x14ac:dyDescent="0.2">
      <c r="B3163" s="352"/>
      <c r="C3163" s="352"/>
      <c r="D3163" s="352"/>
      <c r="E3163" s="352"/>
      <c r="F3163" s="352"/>
      <c r="H3163" s="352"/>
      <c r="J3163" s="352"/>
      <c r="L3163" s="352"/>
      <c r="M3163" s="352"/>
      <c r="N3163" s="352"/>
      <c r="O3163" s="352"/>
      <c r="P3163" s="352"/>
      <c r="Q3163" s="352"/>
      <c r="R3163" s="352"/>
      <c r="S3163" s="352"/>
      <c r="T3163" s="352"/>
      <c r="U3163" s="352"/>
      <c r="V3163" s="352"/>
      <c r="W3163" s="352"/>
      <c r="X3163" s="352"/>
      <c r="Y3163" s="352"/>
      <c r="Z3163" s="352"/>
      <c r="AA3163" s="352"/>
      <c r="AB3163" s="352"/>
      <c r="AC3163" s="352"/>
      <c r="AD3163" s="352"/>
      <c r="AE3163" s="352"/>
      <c r="AF3163" s="352"/>
      <c r="AG3163" s="352"/>
      <c r="AH3163" s="352"/>
      <c r="AI3163" s="352"/>
      <c r="AJ3163" s="352"/>
    </row>
    <row r="3164" spans="1:36" x14ac:dyDescent="0.2">
      <c r="B3164" s="352"/>
      <c r="C3164" s="352"/>
      <c r="D3164" s="352"/>
      <c r="E3164" s="352"/>
      <c r="F3164" s="352"/>
      <c r="H3164" s="352"/>
      <c r="J3164" s="352"/>
      <c r="L3164" s="352"/>
      <c r="M3164" s="352"/>
      <c r="N3164" s="352"/>
      <c r="O3164" s="352"/>
      <c r="P3164" s="352"/>
      <c r="Q3164" s="352"/>
      <c r="R3164" s="352"/>
      <c r="S3164" s="352"/>
      <c r="T3164" s="352"/>
      <c r="U3164" s="352"/>
      <c r="V3164" s="352"/>
      <c r="W3164" s="352"/>
      <c r="X3164" s="352"/>
      <c r="Y3164" s="352"/>
      <c r="Z3164" s="352"/>
      <c r="AA3164" s="352"/>
      <c r="AB3164" s="352"/>
      <c r="AC3164" s="352"/>
      <c r="AD3164" s="352"/>
      <c r="AE3164" s="352"/>
      <c r="AF3164" s="352"/>
      <c r="AG3164" s="352"/>
      <c r="AH3164" s="352"/>
      <c r="AI3164" s="352"/>
      <c r="AJ3164" s="352"/>
    </row>
    <row r="3165" spans="1:36" x14ac:dyDescent="0.2">
      <c r="B3165" s="352"/>
      <c r="C3165" s="352"/>
      <c r="D3165" s="352"/>
      <c r="E3165" s="352"/>
      <c r="F3165" s="352"/>
      <c r="H3165" s="352"/>
      <c r="J3165" s="352"/>
      <c r="L3165" s="352"/>
      <c r="M3165" s="352"/>
      <c r="N3165" s="352"/>
      <c r="O3165" s="352"/>
      <c r="P3165" s="352"/>
      <c r="Q3165" s="352"/>
      <c r="R3165" s="352"/>
      <c r="S3165" s="352"/>
      <c r="T3165" s="352"/>
      <c r="U3165" s="352"/>
      <c r="V3165" s="352"/>
      <c r="W3165" s="352"/>
      <c r="X3165" s="352"/>
      <c r="Y3165" s="352"/>
      <c r="Z3165" s="352"/>
      <c r="AA3165" s="352"/>
      <c r="AB3165" s="352"/>
      <c r="AC3165" s="352"/>
      <c r="AD3165" s="352"/>
      <c r="AE3165" s="352"/>
      <c r="AF3165" s="352"/>
      <c r="AG3165" s="352"/>
      <c r="AH3165" s="352"/>
      <c r="AI3165" s="352"/>
      <c r="AJ3165" s="352"/>
    </row>
    <row r="3166" spans="1:36" x14ac:dyDescent="0.2">
      <c r="B3166" s="352"/>
      <c r="C3166" s="352"/>
      <c r="D3166" s="352"/>
      <c r="E3166" s="352"/>
      <c r="F3166" s="352"/>
      <c r="H3166" s="352"/>
      <c r="J3166" s="352"/>
      <c r="L3166" s="352"/>
      <c r="M3166" s="352"/>
      <c r="N3166" s="352"/>
      <c r="O3166" s="352"/>
      <c r="P3166" s="352"/>
      <c r="Q3166" s="352"/>
      <c r="R3166" s="352"/>
      <c r="S3166" s="352"/>
      <c r="T3166" s="352"/>
      <c r="U3166" s="352"/>
      <c r="V3166" s="352"/>
      <c r="W3166" s="352"/>
      <c r="X3166" s="352"/>
      <c r="Y3166" s="352"/>
      <c r="Z3166" s="352"/>
      <c r="AA3166" s="352"/>
      <c r="AB3166" s="352"/>
      <c r="AC3166" s="352"/>
      <c r="AD3166" s="352"/>
      <c r="AE3166" s="352"/>
      <c r="AF3166" s="352"/>
      <c r="AG3166" s="352"/>
      <c r="AH3166" s="352"/>
      <c r="AI3166" s="352"/>
      <c r="AJ3166" s="352"/>
    </row>
    <row r="3167" spans="1:36" x14ac:dyDescent="0.2">
      <c r="B3167" s="352"/>
      <c r="C3167" s="352"/>
      <c r="D3167" s="352"/>
      <c r="E3167" s="352"/>
      <c r="F3167" s="352"/>
      <c r="H3167" s="352"/>
      <c r="J3167" s="352"/>
      <c r="L3167" s="352"/>
      <c r="M3167" s="352"/>
      <c r="N3167" s="352"/>
      <c r="O3167" s="352"/>
      <c r="P3167" s="352"/>
      <c r="Q3167" s="352"/>
      <c r="R3167" s="352"/>
      <c r="S3167" s="352"/>
      <c r="T3167" s="352"/>
      <c r="U3167" s="352"/>
      <c r="V3167" s="352"/>
      <c r="W3167" s="352"/>
      <c r="X3167" s="352"/>
      <c r="Y3167" s="352"/>
      <c r="Z3167" s="352"/>
      <c r="AA3167" s="352"/>
      <c r="AB3167" s="352"/>
      <c r="AC3167" s="352"/>
      <c r="AD3167" s="352"/>
      <c r="AE3167" s="352"/>
      <c r="AF3167" s="352"/>
      <c r="AG3167" s="352"/>
      <c r="AH3167" s="352"/>
      <c r="AI3167" s="352"/>
      <c r="AJ3167" s="352"/>
    </row>
    <row r="3168" spans="1:36" x14ac:dyDescent="0.2">
      <c r="B3168" s="352"/>
      <c r="C3168" s="352"/>
      <c r="D3168" s="352"/>
      <c r="E3168" s="352"/>
      <c r="F3168" s="352"/>
      <c r="H3168" s="352"/>
      <c r="J3168" s="352"/>
      <c r="L3168" s="352"/>
      <c r="M3168" s="352"/>
      <c r="N3168" s="352"/>
      <c r="O3168" s="352"/>
      <c r="P3168" s="352"/>
      <c r="Q3168" s="352"/>
      <c r="R3168" s="352"/>
      <c r="S3168" s="352"/>
      <c r="T3168" s="352"/>
      <c r="U3168" s="352"/>
      <c r="V3168" s="352"/>
      <c r="W3168" s="352"/>
      <c r="X3168" s="352"/>
      <c r="Y3168" s="352"/>
      <c r="Z3168" s="352"/>
      <c r="AA3168" s="352"/>
      <c r="AB3168" s="352"/>
      <c r="AC3168" s="352"/>
      <c r="AD3168" s="352"/>
      <c r="AE3168" s="352"/>
      <c r="AF3168" s="352"/>
      <c r="AG3168" s="352"/>
      <c r="AH3168" s="352"/>
      <c r="AI3168" s="352"/>
      <c r="AJ3168" s="352"/>
    </row>
    <row r="3169" spans="2:36" x14ac:dyDescent="0.2">
      <c r="B3169" s="352"/>
      <c r="C3169" s="352"/>
      <c r="D3169" s="352"/>
      <c r="E3169" s="352"/>
      <c r="F3169" s="352"/>
      <c r="H3169" s="352"/>
      <c r="J3169" s="352"/>
      <c r="L3169" s="352"/>
      <c r="M3169" s="352"/>
      <c r="N3169" s="352"/>
      <c r="O3169" s="352"/>
      <c r="P3169" s="352"/>
      <c r="Q3169" s="352"/>
      <c r="R3169" s="352"/>
      <c r="S3169" s="352"/>
      <c r="T3169" s="352"/>
      <c r="U3169" s="352"/>
      <c r="V3169" s="352"/>
      <c r="W3169" s="352"/>
      <c r="X3169" s="352"/>
      <c r="Y3169" s="352"/>
      <c r="Z3169" s="352"/>
      <c r="AA3169" s="352"/>
      <c r="AB3169" s="352"/>
      <c r="AC3169" s="352"/>
      <c r="AD3169" s="352"/>
      <c r="AE3169" s="352"/>
      <c r="AF3169" s="352"/>
      <c r="AG3169" s="352"/>
      <c r="AH3169" s="352"/>
      <c r="AI3169" s="352"/>
      <c r="AJ3169" s="352"/>
    </row>
    <row r="3170" spans="2:36" x14ac:dyDescent="0.2">
      <c r="B3170" s="352"/>
      <c r="C3170" s="352"/>
      <c r="D3170" s="352"/>
      <c r="E3170" s="352"/>
      <c r="F3170" s="352"/>
      <c r="H3170" s="352"/>
      <c r="J3170" s="352"/>
      <c r="L3170" s="352"/>
      <c r="M3170" s="352"/>
      <c r="N3170" s="352"/>
      <c r="O3170" s="352"/>
      <c r="P3170" s="352"/>
      <c r="Q3170" s="352"/>
      <c r="R3170" s="352"/>
      <c r="S3170" s="352"/>
      <c r="T3170" s="352"/>
      <c r="U3170" s="352"/>
      <c r="V3170" s="352"/>
      <c r="W3170" s="352"/>
      <c r="X3170" s="352"/>
      <c r="Y3170" s="352"/>
      <c r="Z3170" s="352"/>
      <c r="AA3170" s="352"/>
      <c r="AB3170" s="352"/>
      <c r="AC3170" s="352"/>
      <c r="AD3170" s="352"/>
      <c r="AE3170" s="352"/>
      <c r="AF3170" s="352"/>
      <c r="AG3170" s="352"/>
      <c r="AH3170" s="352"/>
      <c r="AI3170" s="352"/>
      <c r="AJ3170" s="352"/>
    </row>
    <row r="3171" spans="2:36" x14ac:dyDescent="0.2">
      <c r="B3171" s="352"/>
      <c r="C3171" s="352"/>
      <c r="D3171" s="352"/>
      <c r="E3171" s="352"/>
      <c r="F3171" s="352"/>
      <c r="H3171" s="352"/>
      <c r="J3171" s="352"/>
      <c r="L3171" s="352"/>
      <c r="M3171" s="352"/>
      <c r="N3171" s="352"/>
      <c r="O3171" s="352"/>
      <c r="P3171" s="352"/>
      <c r="Q3171" s="352"/>
      <c r="R3171" s="352"/>
      <c r="S3171" s="352"/>
      <c r="T3171" s="352"/>
      <c r="U3171" s="352"/>
      <c r="V3171" s="352"/>
      <c r="W3171" s="352"/>
      <c r="X3171" s="352"/>
      <c r="Y3171" s="352"/>
      <c r="Z3171" s="352"/>
      <c r="AA3171" s="352"/>
      <c r="AB3171" s="352"/>
      <c r="AC3171" s="352"/>
      <c r="AD3171" s="352"/>
      <c r="AE3171" s="352"/>
      <c r="AF3171" s="352"/>
      <c r="AG3171" s="352"/>
      <c r="AH3171" s="352"/>
      <c r="AI3171" s="352"/>
      <c r="AJ3171" s="352"/>
    </row>
    <row r="3172" spans="2:36" x14ac:dyDescent="0.2">
      <c r="B3172" s="352"/>
      <c r="C3172" s="352"/>
      <c r="D3172" s="352"/>
      <c r="E3172" s="352"/>
      <c r="F3172" s="352"/>
      <c r="H3172" s="352"/>
      <c r="J3172" s="352"/>
      <c r="L3172" s="352"/>
      <c r="M3172" s="352"/>
      <c r="N3172" s="352"/>
      <c r="O3172" s="352"/>
      <c r="P3172" s="352"/>
      <c r="Q3172" s="352"/>
      <c r="R3172" s="352"/>
      <c r="S3172" s="352"/>
      <c r="T3172" s="352"/>
      <c r="U3172" s="352"/>
      <c r="V3172" s="352"/>
      <c r="W3172" s="352"/>
      <c r="X3172" s="352"/>
      <c r="Y3172" s="352"/>
      <c r="Z3172" s="352"/>
      <c r="AA3172" s="352"/>
      <c r="AB3172" s="352"/>
      <c r="AC3172" s="352"/>
      <c r="AD3172" s="352"/>
      <c r="AE3172" s="352"/>
      <c r="AF3172" s="352"/>
      <c r="AG3172" s="352"/>
      <c r="AH3172" s="352"/>
      <c r="AI3172" s="352"/>
      <c r="AJ3172" s="352"/>
    </row>
    <row r="3173" spans="2:36" x14ac:dyDescent="0.2">
      <c r="B3173" s="352"/>
      <c r="C3173" s="352"/>
      <c r="D3173" s="352"/>
      <c r="E3173" s="352"/>
      <c r="F3173" s="352"/>
      <c r="H3173" s="352"/>
      <c r="J3173" s="352"/>
      <c r="L3173" s="352"/>
      <c r="M3173" s="352"/>
      <c r="N3173" s="352"/>
      <c r="O3173" s="352"/>
      <c r="P3173" s="352"/>
      <c r="Q3173" s="352"/>
      <c r="R3173" s="352"/>
      <c r="S3173" s="352"/>
      <c r="T3173" s="352"/>
      <c r="U3173" s="352"/>
      <c r="V3173" s="352"/>
      <c r="W3173" s="352"/>
      <c r="X3173" s="352"/>
      <c r="Y3173" s="352"/>
      <c r="Z3173" s="352"/>
      <c r="AA3173" s="352"/>
      <c r="AB3173" s="352"/>
      <c r="AC3173" s="352"/>
      <c r="AD3173" s="352"/>
      <c r="AE3173" s="352"/>
      <c r="AF3173" s="352"/>
      <c r="AG3173" s="352"/>
      <c r="AH3173" s="352"/>
      <c r="AI3173" s="352"/>
      <c r="AJ3173" s="352"/>
    </row>
    <row r="3174" spans="2:36" x14ac:dyDescent="0.2">
      <c r="B3174" s="352"/>
      <c r="C3174" s="352"/>
      <c r="D3174" s="352"/>
      <c r="E3174" s="352"/>
      <c r="F3174" s="352"/>
      <c r="H3174" s="352"/>
      <c r="J3174" s="352"/>
      <c r="L3174" s="352"/>
      <c r="M3174" s="352"/>
      <c r="N3174" s="352"/>
      <c r="O3174" s="352"/>
      <c r="P3174" s="352"/>
      <c r="Q3174" s="352"/>
      <c r="R3174" s="352"/>
      <c r="S3174" s="352"/>
      <c r="T3174" s="352"/>
      <c r="U3174" s="352"/>
      <c r="V3174" s="352"/>
      <c r="W3174" s="352"/>
      <c r="X3174" s="352"/>
      <c r="Y3174" s="352"/>
      <c r="Z3174" s="352"/>
      <c r="AA3174" s="352"/>
      <c r="AB3174" s="352"/>
      <c r="AC3174" s="352"/>
      <c r="AD3174" s="352"/>
      <c r="AE3174" s="352"/>
      <c r="AF3174" s="352"/>
      <c r="AG3174" s="352"/>
      <c r="AH3174" s="352"/>
      <c r="AI3174" s="352"/>
      <c r="AJ3174" s="352"/>
    </row>
    <row r="3175" spans="2:36" x14ac:dyDescent="0.2">
      <c r="B3175" s="352"/>
      <c r="C3175" s="352"/>
      <c r="D3175" s="352"/>
      <c r="E3175" s="352"/>
      <c r="F3175" s="352"/>
      <c r="H3175" s="352"/>
      <c r="J3175" s="352"/>
      <c r="L3175" s="352"/>
      <c r="M3175" s="352"/>
      <c r="N3175" s="352"/>
      <c r="O3175" s="352"/>
      <c r="P3175" s="352"/>
      <c r="Q3175" s="352"/>
      <c r="R3175" s="352"/>
      <c r="S3175" s="352"/>
      <c r="T3175" s="352"/>
      <c r="U3175" s="352"/>
      <c r="V3175" s="352"/>
      <c r="W3175" s="352"/>
      <c r="X3175" s="352"/>
      <c r="Y3175" s="352"/>
      <c r="Z3175" s="352"/>
      <c r="AA3175" s="352"/>
      <c r="AB3175" s="352"/>
      <c r="AC3175" s="352"/>
      <c r="AD3175" s="352"/>
      <c r="AE3175" s="352"/>
      <c r="AF3175" s="352"/>
      <c r="AG3175" s="352"/>
      <c r="AH3175" s="352"/>
      <c r="AI3175" s="352"/>
      <c r="AJ3175" s="352"/>
    </row>
    <row r="3176" spans="2:36" x14ac:dyDescent="0.2">
      <c r="B3176" s="352"/>
      <c r="C3176" s="352"/>
      <c r="D3176" s="352"/>
      <c r="E3176" s="352"/>
      <c r="F3176" s="352"/>
      <c r="H3176" s="352"/>
      <c r="J3176" s="352"/>
      <c r="L3176" s="352"/>
      <c r="M3176" s="352"/>
      <c r="N3176" s="352"/>
      <c r="O3176" s="352"/>
      <c r="P3176" s="352"/>
      <c r="Q3176" s="352"/>
      <c r="R3176" s="352"/>
      <c r="S3176" s="352"/>
      <c r="T3176" s="352"/>
      <c r="U3176" s="352"/>
      <c r="V3176" s="352"/>
      <c r="W3176" s="352"/>
      <c r="X3176" s="352"/>
      <c r="Y3176" s="352"/>
      <c r="Z3176" s="352"/>
      <c r="AA3176" s="352"/>
      <c r="AB3176" s="352"/>
      <c r="AC3176" s="352"/>
      <c r="AD3176" s="352"/>
      <c r="AE3176" s="352"/>
      <c r="AF3176" s="352"/>
      <c r="AG3176" s="352"/>
      <c r="AH3176" s="352"/>
      <c r="AI3176" s="352"/>
      <c r="AJ3176" s="352"/>
    </row>
    <row r="3177" spans="2:36" x14ac:dyDescent="0.2">
      <c r="B3177" s="352"/>
      <c r="C3177" s="352"/>
      <c r="D3177" s="352"/>
      <c r="E3177" s="352"/>
      <c r="F3177" s="352"/>
      <c r="H3177" s="352"/>
      <c r="J3177" s="352"/>
      <c r="L3177" s="352"/>
      <c r="M3177" s="352"/>
      <c r="N3177" s="352"/>
      <c r="O3177" s="352"/>
      <c r="P3177" s="352"/>
      <c r="Q3177" s="352"/>
      <c r="R3177" s="352"/>
      <c r="S3177" s="352"/>
      <c r="T3177" s="352"/>
      <c r="U3177" s="352"/>
      <c r="V3177" s="352"/>
      <c r="W3177" s="352"/>
      <c r="X3177" s="352"/>
      <c r="Y3177" s="352"/>
      <c r="Z3177" s="352"/>
      <c r="AA3177" s="352"/>
      <c r="AB3177" s="352"/>
      <c r="AC3177" s="352"/>
      <c r="AD3177" s="352"/>
      <c r="AE3177" s="352"/>
      <c r="AF3177" s="352"/>
      <c r="AG3177" s="352"/>
      <c r="AH3177" s="352"/>
      <c r="AI3177" s="352"/>
      <c r="AJ3177" s="352"/>
    </row>
    <row r="3178" spans="2:36" x14ac:dyDescent="0.2">
      <c r="B3178" s="352"/>
      <c r="C3178" s="352"/>
      <c r="D3178" s="352"/>
      <c r="E3178" s="352"/>
      <c r="F3178" s="352"/>
      <c r="H3178" s="352"/>
      <c r="J3178" s="352"/>
      <c r="L3178" s="352"/>
      <c r="M3178" s="352"/>
      <c r="N3178" s="352"/>
      <c r="O3178" s="352"/>
      <c r="P3178" s="352"/>
      <c r="Q3178" s="352"/>
      <c r="R3178" s="352"/>
      <c r="S3178" s="352"/>
      <c r="T3178" s="352"/>
      <c r="U3178" s="352"/>
      <c r="V3178" s="352"/>
      <c r="W3178" s="352"/>
      <c r="X3178" s="352"/>
      <c r="Y3178" s="352"/>
      <c r="Z3178" s="352"/>
      <c r="AA3178" s="352"/>
      <c r="AB3178" s="352"/>
      <c r="AC3178" s="352"/>
      <c r="AD3178" s="352"/>
      <c r="AE3178" s="352"/>
      <c r="AF3178" s="352"/>
      <c r="AG3178" s="352"/>
      <c r="AH3178" s="352"/>
      <c r="AI3178" s="352"/>
      <c r="AJ3178" s="352"/>
    </row>
    <row r="3179" spans="2:36" x14ac:dyDescent="0.2">
      <c r="B3179" s="352"/>
      <c r="C3179" s="352"/>
      <c r="D3179" s="352"/>
      <c r="E3179" s="352"/>
      <c r="F3179" s="352"/>
      <c r="H3179" s="352"/>
      <c r="J3179" s="352"/>
      <c r="L3179" s="352"/>
      <c r="M3179" s="352"/>
      <c r="N3179" s="352"/>
      <c r="O3179" s="352"/>
      <c r="P3179" s="352"/>
      <c r="Q3179" s="352"/>
      <c r="R3179" s="352"/>
      <c r="S3179" s="352"/>
      <c r="T3179" s="352"/>
      <c r="U3179" s="352"/>
      <c r="V3179" s="352"/>
      <c r="W3179" s="352"/>
      <c r="X3179" s="352"/>
      <c r="Y3179" s="352"/>
      <c r="Z3179" s="352"/>
      <c r="AA3179" s="352"/>
      <c r="AB3179" s="352"/>
      <c r="AC3179" s="352"/>
      <c r="AD3179" s="352"/>
      <c r="AE3179" s="352"/>
      <c r="AF3179" s="352"/>
      <c r="AG3179" s="352"/>
      <c r="AH3179" s="352"/>
      <c r="AI3179" s="352"/>
      <c r="AJ3179" s="352"/>
    </row>
    <row r="3180" spans="2:36" x14ac:dyDescent="0.2">
      <c r="B3180" s="352"/>
      <c r="C3180" s="352"/>
      <c r="D3180" s="352"/>
      <c r="E3180" s="352"/>
      <c r="F3180" s="352"/>
      <c r="H3180" s="352"/>
      <c r="J3180" s="352"/>
      <c r="L3180" s="352"/>
      <c r="M3180" s="352"/>
      <c r="N3180" s="352"/>
      <c r="O3180" s="352"/>
      <c r="P3180" s="352"/>
      <c r="Q3180" s="352"/>
      <c r="R3180" s="352"/>
      <c r="S3180" s="352"/>
      <c r="T3180" s="352"/>
      <c r="U3180" s="352"/>
      <c r="V3180" s="352"/>
      <c r="W3180" s="352"/>
      <c r="X3180" s="352"/>
      <c r="Y3180" s="352"/>
      <c r="Z3180" s="352"/>
      <c r="AA3180" s="352"/>
      <c r="AB3180" s="352"/>
      <c r="AC3180" s="352"/>
      <c r="AD3180" s="352"/>
      <c r="AE3180" s="352"/>
      <c r="AF3180" s="352"/>
      <c r="AG3180" s="352"/>
      <c r="AH3180" s="352"/>
      <c r="AI3180" s="352"/>
      <c r="AJ3180" s="352"/>
    </row>
    <row r="3181" spans="2:36" x14ac:dyDescent="0.2">
      <c r="B3181" s="352"/>
      <c r="C3181" s="352"/>
      <c r="D3181" s="352"/>
      <c r="E3181" s="352"/>
      <c r="F3181" s="352"/>
      <c r="H3181" s="352"/>
      <c r="J3181" s="352"/>
      <c r="L3181" s="352"/>
      <c r="M3181" s="352"/>
      <c r="N3181" s="352"/>
      <c r="O3181" s="352"/>
      <c r="P3181" s="352"/>
      <c r="Q3181" s="352"/>
      <c r="R3181" s="352"/>
      <c r="S3181" s="352"/>
      <c r="T3181" s="352"/>
      <c r="U3181" s="352"/>
      <c r="V3181" s="352"/>
      <c r="W3181" s="352"/>
      <c r="X3181" s="352"/>
      <c r="Y3181" s="352"/>
      <c r="Z3181" s="352"/>
      <c r="AA3181" s="352"/>
      <c r="AB3181" s="352"/>
      <c r="AC3181" s="352"/>
      <c r="AD3181" s="352"/>
      <c r="AE3181" s="352"/>
      <c r="AF3181" s="352"/>
      <c r="AG3181" s="352"/>
      <c r="AH3181" s="352"/>
      <c r="AI3181" s="352"/>
      <c r="AJ3181" s="352"/>
    </row>
    <row r="3182" spans="2:36" x14ac:dyDescent="0.2">
      <c r="B3182" s="352"/>
      <c r="C3182" s="352"/>
      <c r="D3182" s="352"/>
      <c r="E3182" s="352"/>
      <c r="F3182" s="352"/>
      <c r="H3182" s="352"/>
      <c r="J3182" s="352"/>
      <c r="L3182" s="352"/>
      <c r="M3182" s="352"/>
      <c r="N3182" s="352"/>
      <c r="O3182" s="352"/>
      <c r="P3182" s="352"/>
      <c r="Q3182" s="352"/>
      <c r="R3182" s="352"/>
      <c r="S3182" s="352"/>
      <c r="T3182" s="352"/>
      <c r="U3182" s="352"/>
      <c r="V3182" s="352"/>
      <c r="W3182" s="352"/>
      <c r="X3182" s="352"/>
      <c r="Y3182" s="352"/>
      <c r="Z3182" s="352"/>
      <c r="AA3182" s="352"/>
      <c r="AB3182" s="352"/>
      <c r="AC3182" s="352"/>
      <c r="AD3182" s="352"/>
      <c r="AE3182" s="352"/>
      <c r="AF3182" s="352"/>
      <c r="AG3182" s="352"/>
      <c r="AH3182" s="352"/>
      <c r="AI3182" s="352"/>
      <c r="AJ3182" s="352"/>
    </row>
    <row r="3183" spans="2:36" x14ac:dyDescent="0.2">
      <c r="B3183" s="352"/>
      <c r="C3183" s="352"/>
      <c r="D3183" s="352"/>
      <c r="E3183" s="352"/>
      <c r="F3183" s="352"/>
      <c r="H3183" s="352"/>
      <c r="J3183" s="352"/>
      <c r="L3183" s="352"/>
      <c r="M3183" s="352"/>
      <c r="N3183" s="352"/>
      <c r="O3183" s="352"/>
      <c r="P3183" s="352"/>
      <c r="Q3183" s="352"/>
      <c r="R3183" s="352"/>
      <c r="S3183" s="352"/>
      <c r="T3183" s="352"/>
      <c r="U3183" s="352"/>
      <c r="V3183" s="352"/>
      <c r="W3183" s="352"/>
      <c r="X3183" s="352"/>
      <c r="Y3183" s="352"/>
      <c r="Z3183" s="352"/>
      <c r="AA3183" s="352"/>
      <c r="AB3183" s="352"/>
      <c r="AC3183" s="352"/>
      <c r="AD3183" s="352"/>
      <c r="AE3183" s="352"/>
      <c r="AF3183" s="352"/>
      <c r="AG3183" s="352"/>
      <c r="AH3183" s="352"/>
      <c r="AI3183" s="352"/>
      <c r="AJ3183" s="352"/>
    </row>
    <row r="3184" spans="2:36" x14ac:dyDescent="0.2">
      <c r="B3184" s="352"/>
      <c r="C3184" s="352"/>
      <c r="D3184" s="352"/>
      <c r="E3184" s="352"/>
      <c r="F3184" s="352"/>
      <c r="H3184" s="352"/>
      <c r="J3184" s="352"/>
      <c r="L3184" s="352"/>
      <c r="M3184" s="352"/>
      <c r="N3184" s="352"/>
      <c r="O3184" s="352"/>
      <c r="P3184" s="352"/>
      <c r="Q3184" s="352"/>
      <c r="R3184" s="352"/>
      <c r="S3184" s="352"/>
      <c r="T3184" s="352"/>
      <c r="U3184" s="352"/>
      <c r="V3184" s="352"/>
      <c r="W3184" s="352"/>
      <c r="X3184" s="352"/>
      <c r="Y3184" s="352"/>
      <c r="Z3184" s="352"/>
      <c r="AA3184" s="352"/>
      <c r="AB3184" s="352"/>
      <c r="AC3184" s="352"/>
      <c r="AD3184" s="352"/>
      <c r="AE3184" s="352"/>
      <c r="AF3184" s="352"/>
      <c r="AG3184" s="352"/>
      <c r="AH3184" s="352"/>
      <c r="AI3184" s="352"/>
      <c r="AJ3184" s="352"/>
    </row>
    <row r="3185" spans="2:36" x14ac:dyDescent="0.2">
      <c r="B3185" s="352"/>
      <c r="C3185" s="352"/>
      <c r="D3185" s="352"/>
      <c r="E3185" s="352"/>
      <c r="F3185" s="352"/>
      <c r="H3185" s="352"/>
      <c r="J3185" s="352"/>
      <c r="L3185" s="352"/>
      <c r="M3185" s="352"/>
      <c r="N3185" s="352"/>
      <c r="O3185" s="352"/>
      <c r="P3185" s="352"/>
      <c r="Q3185" s="352"/>
      <c r="R3185" s="352"/>
      <c r="S3185" s="352"/>
      <c r="T3185" s="352"/>
      <c r="U3185" s="352"/>
      <c r="V3185" s="352"/>
      <c r="W3185" s="352"/>
      <c r="X3185" s="352"/>
      <c r="Y3185" s="352"/>
      <c r="Z3185" s="352"/>
      <c r="AA3185" s="352"/>
      <c r="AB3185" s="352"/>
      <c r="AC3185" s="352"/>
      <c r="AD3185" s="352"/>
      <c r="AE3185" s="352"/>
      <c r="AF3185" s="352"/>
      <c r="AG3185" s="352"/>
      <c r="AH3185" s="352"/>
      <c r="AI3185" s="352"/>
      <c r="AJ3185" s="352"/>
    </row>
    <row r="3186" spans="2:36" x14ac:dyDescent="0.2">
      <c r="B3186" s="352"/>
      <c r="C3186" s="352"/>
      <c r="D3186" s="352"/>
      <c r="E3186" s="352"/>
      <c r="F3186" s="352"/>
      <c r="H3186" s="352"/>
      <c r="J3186" s="352"/>
      <c r="L3186" s="352"/>
      <c r="M3186" s="352"/>
      <c r="N3186" s="352"/>
      <c r="O3186" s="352"/>
      <c r="P3186" s="352"/>
      <c r="Q3186" s="352"/>
      <c r="R3186" s="352"/>
      <c r="S3186" s="352"/>
      <c r="T3186" s="352"/>
      <c r="U3186" s="352"/>
      <c r="V3186" s="352"/>
      <c r="W3186" s="352"/>
      <c r="X3186" s="352"/>
      <c r="Y3186" s="352"/>
      <c r="Z3186" s="352"/>
      <c r="AA3186" s="352"/>
      <c r="AB3186" s="352"/>
      <c r="AC3186" s="352"/>
      <c r="AD3186" s="352"/>
      <c r="AE3186" s="352"/>
      <c r="AF3186" s="352"/>
      <c r="AG3186" s="352"/>
      <c r="AH3186" s="352"/>
      <c r="AI3186" s="352"/>
      <c r="AJ3186" s="352"/>
    </row>
    <row r="3187" spans="2:36" x14ac:dyDescent="0.2">
      <c r="B3187" s="352"/>
      <c r="C3187" s="352"/>
      <c r="D3187" s="352"/>
      <c r="E3187" s="352"/>
      <c r="F3187" s="352"/>
      <c r="H3187" s="352"/>
      <c r="J3187" s="352"/>
      <c r="L3187" s="352"/>
      <c r="M3187" s="352"/>
      <c r="N3187" s="352"/>
      <c r="O3187" s="352"/>
      <c r="P3187" s="352"/>
      <c r="Q3187" s="352"/>
      <c r="R3187" s="352"/>
      <c r="S3187" s="352"/>
      <c r="T3187" s="352"/>
      <c r="U3187" s="352"/>
      <c r="V3187" s="352"/>
      <c r="W3187" s="352"/>
      <c r="X3187" s="352"/>
      <c r="Y3187" s="352"/>
      <c r="Z3187" s="352"/>
      <c r="AA3187" s="352"/>
      <c r="AB3187" s="352"/>
      <c r="AC3187" s="352"/>
      <c r="AD3187" s="352"/>
      <c r="AE3187" s="352"/>
      <c r="AF3187" s="352"/>
      <c r="AG3187" s="352"/>
      <c r="AH3187" s="352"/>
      <c r="AI3187" s="352"/>
      <c r="AJ3187" s="352"/>
    </row>
    <row r="3188" spans="2:36" x14ac:dyDescent="0.2">
      <c r="B3188" s="352"/>
      <c r="C3188" s="352"/>
      <c r="D3188" s="352"/>
      <c r="E3188" s="352"/>
      <c r="F3188" s="352"/>
      <c r="H3188" s="352"/>
      <c r="J3188" s="352"/>
      <c r="L3188" s="352"/>
      <c r="M3188" s="352"/>
      <c r="N3188" s="352"/>
      <c r="O3188" s="352"/>
      <c r="P3188" s="352"/>
      <c r="Q3188" s="352"/>
      <c r="R3188" s="352"/>
      <c r="S3188" s="352"/>
      <c r="T3188" s="352"/>
      <c r="U3188" s="352"/>
      <c r="V3188" s="352"/>
      <c r="W3188" s="352"/>
      <c r="X3188" s="352"/>
      <c r="Y3188" s="352"/>
      <c r="Z3188" s="352"/>
      <c r="AA3188" s="352"/>
      <c r="AB3188" s="352"/>
      <c r="AC3188" s="352"/>
      <c r="AD3188" s="352"/>
      <c r="AE3188" s="352"/>
      <c r="AF3188" s="352"/>
      <c r="AG3188" s="352"/>
      <c r="AH3188" s="352"/>
      <c r="AI3188" s="352"/>
      <c r="AJ3188" s="352"/>
    </row>
    <row r="3189" spans="2:36" x14ac:dyDescent="0.2">
      <c r="B3189" s="352"/>
      <c r="C3189" s="352"/>
      <c r="D3189" s="352"/>
      <c r="E3189" s="352"/>
      <c r="F3189" s="352"/>
      <c r="H3189" s="352"/>
      <c r="J3189" s="352"/>
      <c r="L3189" s="352"/>
      <c r="M3189" s="352"/>
      <c r="N3189" s="352"/>
      <c r="O3189" s="352"/>
      <c r="P3189" s="352"/>
      <c r="Q3189" s="352"/>
      <c r="R3189" s="352"/>
      <c r="S3189" s="352"/>
      <c r="T3189" s="352"/>
      <c r="U3189" s="352"/>
      <c r="V3189" s="352"/>
      <c r="W3189" s="352"/>
      <c r="X3189" s="352"/>
      <c r="Y3189" s="352"/>
      <c r="Z3189" s="352"/>
      <c r="AA3189" s="352"/>
      <c r="AB3189" s="352"/>
      <c r="AC3189" s="352"/>
      <c r="AD3189" s="352"/>
      <c r="AE3189" s="352"/>
      <c r="AF3189" s="352"/>
      <c r="AG3189" s="352"/>
      <c r="AH3189" s="352"/>
      <c r="AI3189" s="352"/>
      <c r="AJ3189" s="352"/>
    </row>
    <row r="3190" spans="2:36" x14ac:dyDescent="0.2">
      <c r="B3190" s="352"/>
      <c r="C3190" s="352"/>
      <c r="D3190" s="352"/>
      <c r="E3190" s="352"/>
      <c r="F3190" s="352"/>
      <c r="H3190" s="352"/>
      <c r="J3190" s="352"/>
      <c r="L3190" s="352"/>
      <c r="M3190" s="352"/>
      <c r="N3190" s="352"/>
      <c r="O3190" s="352"/>
      <c r="P3190" s="352"/>
      <c r="Q3190" s="352"/>
      <c r="R3190" s="352"/>
      <c r="S3190" s="352"/>
      <c r="T3190" s="352"/>
      <c r="U3190" s="352"/>
      <c r="V3190" s="352"/>
      <c r="W3190" s="352"/>
      <c r="X3190" s="352"/>
      <c r="Y3190" s="352"/>
      <c r="Z3190" s="352"/>
      <c r="AA3190" s="352"/>
      <c r="AB3190" s="352"/>
      <c r="AC3190" s="352"/>
      <c r="AD3190" s="352"/>
      <c r="AE3190" s="352"/>
      <c r="AF3190" s="352"/>
      <c r="AG3190" s="352"/>
      <c r="AH3190" s="352"/>
      <c r="AI3190" s="352"/>
      <c r="AJ3190" s="352"/>
    </row>
    <row r="3191" spans="2:36" x14ac:dyDescent="0.2">
      <c r="B3191" s="352"/>
      <c r="C3191" s="352"/>
      <c r="D3191" s="352"/>
      <c r="E3191" s="352"/>
      <c r="F3191" s="352"/>
      <c r="H3191" s="352"/>
      <c r="J3191" s="352"/>
      <c r="L3191" s="352"/>
      <c r="M3191" s="352"/>
      <c r="N3191" s="352"/>
      <c r="O3191" s="352"/>
      <c r="P3191" s="352"/>
      <c r="Q3191" s="352"/>
      <c r="R3191" s="352"/>
      <c r="S3191" s="352"/>
      <c r="T3191" s="352"/>
      <c r="U3191" s="352"/>
      <c r="V3191" s="352"/>
      <c r="W3191" s="352"/>
      <c r="X3191" s="352"/>
      <c r="Y3191" s="352"/>
      <c r="Z3191" s="352"/>
      <c r="AA3191" s="352"/>
      <c r="AB3191" s="352"/>
      <c r="AC3191" s="352"/>
      <c r="AD3191" s="352"/>
      <c r="AE3191" s="352"/>
      <c r="AF3191" s="352"/>
      <c r="AG3191" s="352"/>
      <c r="AH3191" s="352"/>
      <c r="AI3191" s="352"/>
      <c r="AJ3191" s="352"/>
    </row>
    <row r="3192" spans="2:36" x14ac:dyDescent="0.2">
      <c r="B3192" s="352"/>
      <c r="C3192" s="352"/>
      <c r="D3192" s="352"/>
      <c r="E3192" s="352"/>
      <c r="F3192" s="352"/>
      <c r="H3192" s="352"/>
      <c r="J3192" s="352"/>
      <c r="L3192" s="352"/>
      <c r="M3192" s="352"/>
      <c r="N3192" s="352"/>
      <c r="O3192" s="352"/>
      <c r="P3192" s="352"/>
      <c r="Q3192" s="352"/>
      <c r="R3192" s="352"/>
      <c r="S3192" s="352"/>
      <c r="T3192" s="352"/>
      <c r="U3192" s="352"/>
      <c r="V3192" s="352"/>
      <c r="W3192" s="352"/>
      <c r="X3192" s="352"/>
      <c r="Y3192" s="352"/>
      <c r="Z3192" s="352"/>
      <c r="AA3192" s="352"/>
      <c r="AB3192" s="352"/>
      <c r="AC3192" s="352"/>
      <c r="AD3192" s="352"/>
      <c r="AE3192" s="352"/>
      <c r="AF3192" s="352"/>
      <c r="AG3192" s="352"/>
      <c r="AH3192" s="352"/>
      <c r="AI3192" s="352"/>
      <c r="AJ3192" s="352"/>
    </row>
    <row r="3193" spans="2:36" x14ac:dyDescent="0.2">
      <c r="B3193" s="352"/>
      <c r="C3193" s="352"/>
      <c r="D3193" s="352"/>
      <c r="E3193" s="352"/>
      <c r="F3193" s="352"/>
      <c r="H3193" s="352"/>
      <c r="J3193" s="352"/>
      <c r="L3193" s="352"/>
      <c r="M3193" s="352"/>
      <c r="N3193" s="352"/>
      <c r="O3193" s="352"/>
      <c r="P3193" s="352"/>
      <c r="Q3193" s="352"/>
      <c r="R3193" s="352"/>
      <c r="S3193" s="352"/>
      <c r="T3193" s="352"/>
      <c r="U3193" s="352"/>
      <c r="V3193" s="352"/>
      <c r="W3193" s="352"/>
      <c r="X3193" s="352"/>
      <c r="Y3193" s="352"/>
      <c r="Z3193" s="352"/>
      <c r="AA3193" s="352"/>
      <c r="AB3193" s="352"/>
      <c r="AC3193" s="352"/>
      <c r="AD3193" s="352"/>
      <c r="AE3193" s="352"/>
      <c r="AF3193" s="352"/>
      <c r="AG3193" s="352"/>
      <c r="AH3193" s="352"/>
      <c r="AI3193" s="352"/>
      <c r="AJ3193" s="352"/>
    </row>
    <row r="3194" spans="2:36" x14ac:dyDescent="0.2">
      <c r="B3194" s="352"/>
      <c r="C3194" s="352"/>
      <c r="D3194" s="352"/>
      <c r="E3194" s="352"/>
      <c r="F3194" s="352"/>
      <c r="H3194" s="352"/>
      <c r="J3194" s="352"/>
      <c r="L3194" s="352"/>
      <c r="M3194" s="352"/>
      <c r="N3194" s="352"/>
      <c r="O3194" s="352"/>
      <c r="P3194" s="352"/>
      <c r="Q3194" s="352"/>
      <c r="R3194" s="352"/>
      <c r="S3194" s="352"/>
      <c r="T3194" s="352"/>
      <c r="U3194" s="352"/>
      <c r="V3194" s="352"/>
      <c r="W3194" s="352"/>
      <c r="X3194" s="352"/>
      <c r="Y3194" s="352"/>
      <c r="Z3194" s="352"/>
      <c r="AA3194" s="352"/>
      <c r="AB3194" s="352"/>
      <c r="AC3194" s="352"/>
      <c r="AD3194" s="352"/>
      <c r="AE3194" s="352"/>
      <c r="AF3194" s="352"/>
      <c r="AG3194" s="352"/>
      <c r="AH3194" s="352"/>
      <c r="AI3194" s="352"/>
      <c r="AJ3194" s="352"/>
    </row>
    <row r="3195" spans="2:36" x14ac:dyDescent="0.2">
      <c r="B3195" s="352"/>
      <c r="C3195" s="352"/>
      <c r="D3195" s="352"/>
      <c r="E3195" s="352"/>
      <c r="F3195" s="352"/>
      <c r="H3195" s="352"/>
      <c r="J3195" s="352"/>
      <c r="L3195" s="352"/>
      <c r="M3195" s="352"/>
      <c r="N3195" s="352"/>
      <c r="O3195" s="352"/>
      <c r="P3195" s="352"/>
      <c r="Q3195" s="352"/>
      <c r="R3195" s="352"/>
      <c r="S3195" s="352"/>
      <c r="T3195" s="352"/>
      <c r="U3195" s="352"/>
      <c r="V3195" s="352"/>
      <c r="W3195" s="352"/>
      <c r="X3195" s="352"/>
      <c r="Y3195" s="352"/>
      <c r="Z3195" s="352"/>
      <c r="AA3195" s="352"/>
      <c r="AB3195" s="352"/>
      <c r="AC3195" s="352"/>
      <c r="AD3195" s="352"/>
      <c r="AE3195" s="352"/>
      <c r="AF3195" s="352"/>
      <c r="AG3195" s="352"/>
      <c r="AH3195" s="352"/>
      <c r="AI3195" s="352"/>
      <c r="AJ3195" s="352"/>
    </row>
    <row r="3196" spans="2:36" x14ac:dyDescent="0.2">
      <c r="B3196" s="352"/>
      <c r="C3196" s="352"/>
      <c r="D3196" s="352"/>
      <c r="E3196" s="352"/>
      <c r="F3196" s="352"/>
      <c r="H3196" s="352"/>
      <c r="J3196" s="352"/>
      <c r="L3196" s="352"/>
      <c r="M3196" s="352"/>
      <c r="N3196" s="352"/>
      <c r="O3196" s="352"/>
      <c r="P3196" s="352"/>
      <c r="Q3196" s="352"/>
      <c r="R3196" s="352"/>
      <c r="S3196" s="352"/>
      <c r="T3196" s="352"/>
      <c r="U3196" s="352"/>
      <c r="V3196" s="352"/>
      <c r="W3196" s="352"/>
      <c r="X3196" s="352"/>
      <c r="Y3196" s="352"/>
      <c r="Z3196" s="352"/>
      <c r="AA3196" s="352"/>
      <c r="AB3196" s="352"/>
      <c r="AC3196" s="352"/>
      <c r="AD3196" s="352"/>
      <c r="AE3196" s="352"/>
      <c r="AF3196" s="352"/>
      <c r="AG3196" s="352"/>
      <c r="AH3196" s="352"/>
      <c r="AI3196" s="352"/>
      <c r="AJ3196" s="352"/>
    </row>
    <row r="3197" spans="2:36" x14ac:dyDescent="0.2">
      <c r="B3197" s="352"/>
      <c r="C3197" s="352"/>
      <c r="D3197" s="352"/>
      <c r="E3197" s="352"/>
      <c r="F3197" s="352"/>
      <c r="H3197" s="352"/>
      <c r="J3197" s="352"/>
      <c r="L3197" s="352"/>
      <c r="M3197" s="352"/>
      <c r="N3197" s="352"/>
      <c r="O3197" s="352"/>
      <c r="P3197" s="352"/>
      <c r="Q3197" s="352"/>
      <c r="R3197" s="352"/>
      <c r="S3197" s="352"/>
      <c r="T3197" s="352"/>
      <c r="U3197" s="352"/>
      <c r="V3197" s="352"/>
      <c r="W3197" s="352"/>
      <c r="X3197" s="352"/>
      <c r="Y3197" s="352"/>
      <c r="Z3197" s="352"/>
      <c r="AA3197" s="352"/>
      <c r="AB3197" s="352"/>
      <c r="AC3197" s="352"/>
      <c r="AD3197" s="352"/>
      <c r="AE3197" s="352"/>
      <c r="AF3197" s="352"/>
      <c r="AG3197" s="352"/>
      <c r="AH3197" s="352"/>
      <c r="AI3197" s="352"/>
      <c r="AJ3197" s="352"/>
    </row>
    <row r="3198" spans="2:36" x14ac:dyDescent="0.2">
      <c r="B3198" s="352"/>
      <c r="C3198" s="352"/>
      <c r="D3198" s="352"/>
      <c r="E3198" s="352"/>
      <c r="F3198" s="352"/>
      <c r="H3198" s="352"/>
      <c r="J3198" s="352"/>
      <c r="L3198" s="352"/>
      <c r="M3198" s="352"/>
      <c r="N3198" s="352"/>
      <c r="O3198" s="352"/>
      <c r="P3198" s="352"/>
      <c r="Q3198" s="352"/>
      <c r="R3198" s="352"/>
      <c r="S3198" s="352"/>
      <c r="T3198" s="352"/>
      <c r="U3198" s="352"/>
      <c r="V3198" s="352"/>
      <c r="W3198" s="352"/>
      <c r="X3198" s="352"/>
      <c r="Y3198" s="352"/>
      <c r="Z3198" s="352"/>
      <c r="AA3198" s="352"/>
      <c r="AB3198" s="352"/>
      <c r="AC3198" s="352"/>
      <c r="AD3198" s="352"/>
      <c r="AE3198" s="352"/>
      <c r="AF3198" s="352"/>
      <c r="AG3198" s="352"/>
      <c r="AH3198" s="352"/>
      <c r="AI3198" s="352"/>
      <c r="AJ3198" s="352"/>
    </row>
    <row r="3199" spans="2:36" x14ac:dyDescent="0.2">
      <c r="B3199" s="352"/>
      <c r="C3199" s="352"/>
      <c r="D3199" s="352"/>
      <c r="E3199" s="352"/>
      <c r="F3199" s="352"/>
      <c r="H3199" s="352"/>
      <c r="J3199" s="352"/>
      <c r="L3199" s="352"/>
      <c r="M3199" s="352"/>
      <c r="N3199" s="352"/>
      <c r="O3199" s="352"/>
      <c r="P3199" s="352"/>
      <c r="Q3199" s="352"/>
      <c r="R3199" s="352"/>
      <c r="S3199" s="352"/>
      <c r="T3199" s="352"/>
      <c r="U3199" s="352"/>
      <c r="V3199" s="352"/>
      <c r="W3199" s="352"/>
      <c r="X3199" s="352"/>
      <c r="Y3199" s="352"/>
      <c r="Z3199" s="352"/>
      <c r="AA3199" s="352"/>
      <c r="AB3199" s="352"/>
      <c r="AC3199" s="352"/>
      <c r="AD3199" s="352"/>
      <c r="AE3199" s="352"/>
      <c r="AF3199" s="352"/>
      <c r="AG3199" s="352"/>
      <c r="AH3199" s="352"/>
      <c r="AI3199" s="352"/>
      <c r="AJ3199" s="352"/>
    </row>
    <row r="3200" spans="2:36" x14ac:dyDescent="0.2">
      <c r="B3200" s="352"/>
      <c r="C3200" s="352"/>
      <c r="D3200" s="352"/>
      <c r="E3200" s="352"/>
      <c r="F3200" s="352"/>
      <c r="H3200" s="352"/>
      <c r="J3200" s="352"/>
      <c r="L3200" s="352"/>
      <c r="M3200" s="352"/>
      <c r="N3200" s="352"/>
      <c r="O3200" s="352"/>
      <c r="P3200" s="352"/>
      <c r="Q3200" s="352"/>
      <c r="R3200" s="352"/>
      <c r="S3200" s="352"/>
      <c r="T3200" s="352"/>
      <c r="U3200" s="352"/>
      <c r="V3200" s="352"/>
      <c r="W3200" s="352"/>
      <c r="X3200" s="352"/>
      <c r="Y3200" s="352"/>
      <c r="Z3200" s="352"/>
      <c r="AA3200" s="352"/>
      <c r="AB3200" s="352"/>
      <c r="AC3200" s="352"/>
      <c r="AD3200" s="352"/>
      <c r="AE3200" s="352"/>
      <c r="AF3200" s="352"/>
      <c r="AG3200" s="352"/>
      <c r="AH3200" s="352"/>
      <c r="AI3200" s="352"/>
      <c r="AJ3200" s="352"/>
    </row>
    <row r="3201" spans="2:36" x14ac:dyDescent="0.2">
      <c r="B3201" s="352"/>
      <c r="C3201" s="352"/>
      <c r="D3201" s="352"/>
      <c r="E3201" s="352"/>
      <c r="F3201" s="352"/>
      <c r="H3201" s="352"/>
      <c r="J3201" s="352"/>
      <c r="L3201" s="352"/>
      <c r="M3201" s="352"/>
      <c r="N3201" s="352"/>
      <c r="O3201" s="352"/>
      <c r="P3201" s="352"/>
      <c r="Q3201" s="352"/>
      <c r="R3201" s="352"/>
      <c r="S3201" s="352"/>
      <c r="T3201" s="352"/>
      <c r="U3201" s="352"/>
      <c r="V3201" s="352"/>
      <c r="W3201" s="352"/>
      <c r="X3201" s="352"/>
      <c r="Y3201" s="352"/>
      <c r="Z3201" s="352"/>
      <c r="AA3201" s="352"/>
      <c r="AB3201" s="352"/>
      <c r="AC3201" s="352"/>
      <c r="AD3201" s="352"/>
      <c r="AE3201" s="352"/>
      <c r="AF3201" s="352"/>
      <c r="AG3201" s="352"/>
      <c r="AH3201" s="352"/>
      <c r="AI3201" s="352"/>
      <c r="AJ3201" s="352"/>
    </row>
    <row r="3202" spans="2:36" x14ac:dyDescent="0.2">
      <c r="B3202" s="352"/>
      <c r="C3202" s="352"/>
      <c r="D3202" s="352"/>
      <c r="E3202" s="352"/>
      <c r="F3202" s="352"/>
      <c r="H3202" s="352"/>
      <c r="J3202" s="352"/>
      <c r="L3202" s="352"/>
      <c r="M3202" s="352"/>
      <c r="N3202" s="352"/>
      <c r="O3202" s="352"/>
      <c r="P3202" s="352"/>
      <c r="Q3202" s="352"/>
      <c r="R3202" s="352"/>
      <c r="S3202" s="352"/>
      <c r="T3202" s="352"/>
      <c r="U3202" s="352"/>
      <c r="V3202" s="352"/>
      <c r="W3202" s="352"/>
      <c r="X3202" s="352"/>
      <c r="Y3202" s="352"/>
      <c r="Z3202" s="352"/>
      <c r="AA3202" s="352"/>
      <c r="AB3202" s="352"/>
      <c r="AC3202" s="352"/>
      <c r="AD3202" s="352"/>
      <c r="AE3202" s="352"/>
      <c r="AF3202" s="352"/>
      <c r="AG3202" s="352"/>
      <c r="AH3202" s="352"/>
      <c r="AI3202" s="352"/>
      <c r="AJ3202" s="352"/>
    </row>
    <row r="3203" spans="2:36" x14ac:dyDescent="0.2">
      <c r="B3203" s="352"/>
      <c r="C3203" s="352"/>
      <c r="D3203" s="352"/>
      <c r="E3203" s="352"/>
      <c r="F3203" s="352"/>
      <c r="H3203" s="352"/>
      <c r="J3203" s="352"/>
      <c r="L3203" s="352"/>
      <c r="M3203" s="352"/>
      <c r="N3203" s="352"/>
      <c r="O3203" s="352"/>
      <c r="P3203" s="352"/>
      <c r="Q3203" s="352"/>
      <c r="R3203" s="352"/>
      <c r="S3203" s="352"/>
      <c r="T3203" s="352"/>
      <c r="U3203" s="352"/>
      <c r="V3203" s="352"/>
      <c r="W3203" s="352"/>
      <c r="X3203" s="352"/>
      <c r="Y3203" s="352"/>
      <c r="Z3203" s="352"/>
      <c r="AA3203" s="352"/>
      <c r="AB3203" s="352"/>
      <c r="AC3203" s="352"/>
      <c r="AD3203" s="352"/>
      <c r="AE3203" s="352"/>
      <c r="AF3203" s="352"/>
      <c r="AG3203" s="352"/>
      <c r="AH3203" s="352"/>
      <c r="AI3203" s="352"/>
      <c r="AJ3203" s="352"/>
    </row>
    <row r="3204" spans="2:36" x14ac:dyDescent="0.2">
      <c r="B3204" s="352"/>
      <c r="C3204" s="352"/>
      <c r="D3204" s="352"/>
      <c r="E3204" s="352"/>
      <c r="F3204" s="352"/>
      <c r="H3204" s="352"/>
      <c r="J3204" s="352"/>
      <c r="L3204" s="352"/>
      <c r="M3204" s="352"/>
      <c r="N3204" s="352"/>
      <c r="O3204" s="352"/>
      <c r="P3204" s="352"/>
      <c r="Q3204" s="352"/>
      <c r="R3204" s="352"/>
      <c r="S3204" s="352"/>
      <c r="T3204" s="352"/>
      <c r="U3204" s="352"/>
      <c r="V3204" s="352"/>
      <c r="W3204" s="352"/>
      <c r="X3204" s="352"/>
      <c r="Y3204" s="352"/>
      <c r="Z3204" s="352"/>
      <c r="AA3204" s="352"/>
      <c r="AB3204" s="352"/>
      <c r="AC3204" s="352"/>
      <c r="AD3204" s="352"/>
      <c r="AE3204" s="352"/>
      <c r="AF3204" s="352"/>
      <c r="AG3204" s="352"/>
      <c r="AH3204" s="352"/>
      <c r="AI3204" s="352"/>
      <c r="AJ3204" s="352"/>
    </row>
    <row r="3205" spans="2:36" x14ac:dyDescent="0.2">
      <c r="B3205" s="352"/>
      <c r="C3205" s="352"/>
      <c r="D3205" s="352"/>
      <c r="E3205" s="352"/>
      <c r="F3205" s="352"/>
      <c r="H3205" s="352"/>
      <c r="J3205" s="352"/>
      <c r="L3205" s="352"/>
      <c r="M3205" s="352"/>
      <c r="N3205" s="352"/>
      <c r="O3205" s="352"/>
      <c r="P3205" s="352"/>
      <c r="Q3205" s="352"/>
      <c r="R3205" s="352"/>
      <c r="S3205" s="352"/>
      <c r="T3205" s="352"/>
      <c r="U3205" s="352"/>
      <c r="V3205" s="352"/>
      <c r="W3205" s="352"/>
      <c r="X3205" s="352"/>
      <c r="Y3205" s="352"/>
      <c r="Z3205" s="352"/>
      <c r="AA3205" s="352"/>
      <c r="AB3205" s="352"/>
      <c r="AC3205" s="352"/>
      <c r="AD3205" s="352"/>
      <c r="AE3205" s="352"/>
      <c r="AF3205" s="352"/>
      <c r="AG3205" s="352"/>
      <c r="AH3205" s="352"/>
      <c r="AI3205" s="352"/>
      <c r="AJ3205" s="352"/>
    </row>
    <row r="3206" spans="2:36" x14ac:dyDescent="0.2">
      <c r="B3206" s="352"/>
      <c r="C3206" s="352"/>
      <c r="D3206" s="352"/>
      <c r="E3206" s="352"/>
      <c r="F3206" s="352"/>
      <c r="H3206" s="352"/>
      <c r="J3206" s="352"/>
      <c r="L3206" s="352"/>
      <c r="M3206" s="352"/>
      <c r="N3206" s="352"/>
      <c r="O3206" s="352"/>
      <c r="P3206" s="352"/>
      <c r="Q3206" s="352"/>
      <c r="R3206" s="352"/>
      <c r="S3206" s="352"/>
      <c r="T3206" s="352"/>
      <c r="U3206" s="352"/>
      <c r="V3206" s="352"/>
      <c r="W3206" s="352"/>
      <c r="X3206" s="352"/>
      <c r="Y3206" s="352"/>
      <c r="Z3206" s="352"/>
      <c r="AA3206" s="352"/>
      <c r="AB3206" s="352"/>
      <c r="AC3206" s="352"/>
      <c r="AD3206" s="352"/>
      <c r="AE3206" s="352"/>
      <c r="AF3206" s="352"/>
      <c r="AG3206" s="352"/>
      <c r="AH3206" s="352"/>
      <c r="AI3206" s="352"/>
      <c r="AJ3206" s="352"/>
    </row>
    <row r="3207" spans="2:36" x14ac:dyDescent="0.2">
      <c r="B3207" s="352"/>
      <c r="C3207" s="352"/>
      <c r="D3207" s="352"/>
      <c r="E3207" s="352"/>
      <c r="F3207" s="352"/>
      <c r="H3207" s="352"/>
      <c r="J3207" s="352"/>
      <c r="L3207" s="352"/>
      <c r="M3207" s="352"/>
      <c r="N3207" s="352"/>
      <c r="O3207" s="352"/>
      <c r="P3207" s="352"/>
      <c r="Q3207" s="352"/>
      <c r="R3207" s="352"/>
      <c r="S3207" s="352"/>
      <c r="T3207" s="352"/>
      <c r="U3207" s="352"/>
      <c r="V3207" s="352"/>
      <c r="W3207" s="352"/>
      <c r="X3207" s="352"/>
      <c r="Y3207" s="352"/>
      <c r="Z3207" s="352"/>
      <c r="AA3207" s="352"/>
      <c r="AB3207" s="352"/>
      <c r="AC3207" s="352"/>
      <c r="AD3207" s="352"/>
      <c r="AE3207" s="352"/>
      <c r="AF3207" s="352"/>
      <c r="AG3207" s="352"/>
      <c r="AH3207" s="352"/>
      <c r="AI3207" s="352"/>
      <c r="AJ3207" s="352"/>
    </row>
    <row r="3208" spans="2:36" x14ac:dyDescent="0.2">
      <c r="B3208" s="352"/>
      <c r="C3208" s="352"/>
      <c r="D3208" s="352"/>
      <c r="E3208" s="352"/>
      <c r="F3208" s="352"/>
      <c r="H3208" s="352"/>
      <c r="J3208" s="352"/>
      <c r="L3208" s="352"/>
      <c r="M3208" s="352"/>
      <c r="N3208" s="352"/>
      <c r="O3208" s="352"/>
      <c r="P3208" s="352"/>
      <c r="Q3208" s="352"/>
      <c r="R3208" s="352"/>
      <c r="S3208" s="352"/>
      <c r="T3208" s="352"/>
      <c r="U3208" s="352"/>
      <c r="V3208" s="352"/>
      <c r="W3208" s="352"/>
      <c r="X3208" s="352"/>
      <c r="Y3208" s="352"/>
      <c r="Z3208" s="352"/>
      <c r="AA3208" s="352"/>
      <c r="AB3208" s="352"/>
      <c r="AC3208" s="352"/>
      <c r="AD3208" s="352"/>
      <c r="AE3208" s="352"/>
      <c r="AF3208" s="352"/>
      <c r="AG3208" s="352"/>
      <c r="AH3208" s="352"/>
      <c r="AI3208" s="352"/>
      <c r="AJ3208" s="352"/>
    </row>
    <row r="3209" spans="2:36" x14ac:dyDescent="0.2">
      <c r="B3209" s="352"/>
      <c r="C3209" s="352"/>
      <c r="D3209" s="352"/>
      <c r="E3209" s="352"/>
      <c r="F3209" s="352"/>
      <c r="H3209" s="352"/>
      <c r="J3209" s="352"/>
      <c r="L3209" s="352"/>
      <c r="M3209" s="352"/>
      <c r="N3209" s="352"/>
      <c r="O3209" s="352"/>
      <c r="P3209" s="352"/>
      <c r="Q3209" s="352"/>
      <c r="R3209" s="352"/>
      <c r="S3209" s="352"/>
      <c r="T3209" s="352"/>
      <c r="U3209" s="352"/>
      <c r="V3209" s="352"/>
      <c r="W3209" s="352"/>
      <c r="X3209" s="352"/>
      <c r="Y3209" s="352"/>
      <c r="Z3209" s="352"/>
      <c r="AA3209" s="352"/>
      <c r="AB3209" s="352"/>
      <c r="AC3209" s="352"/>
      <c r="AD3209" s="352"/>
      <c r="AE3209" s="352"/>
      <c r="AF3209" s="352"/>
      <c r="AG3209" s="352"/>
      <c r="AH3209" s="352"/>
      <c r="AI3209" s="352"/>
      <c r="AJ3209" s="352"/>
    </row>
    <row r="3210" spans="2:36" x14ac:dyDescent="0.2">
      <c r="B3210" s="352"/>
      <c r="C3210" s="352"/>
      <c r="D3210" s="352"/>
      <c r="E3210" s="352"/>
      <c r="F3210" s="352"/>
      <c r="H3210" s="352"/>
      <c r="J3210" s="352"/>
      <c r="L3210" s="352"/>
      <c r="M3210" s="352"/>
      <c r="N3210" s="352"/>
      <c r="O3210" s="352"/>
      <c r="P3210" s="352"/>
      <c r="Q3210" s="352"/>
      <c r="R3210" s="352"/>
      <c r="S3210" s="352"/>
      <c r="T3210" s="352"/>
      <c r="U3210" s="352"/>
      <c r="V3210" s="352"/>
      <c r="W3210" s="352"/>
      <c r="X3210" s="352"/>
      <c r="Y3210" s="352"/>
      <c r="Z3210" s="352"/>
      <c r="AA3210" s="352"/>
      <c r="AB3210" s="352"/>
      <c r="AC3210" s="352"/>
      <c r="AD3210" s="352"/>
      <c r="AE3210" s="352"/>
      <c r="AF3210" s="352"/>
      <c r="AG3210" s="352"/>
      <c r="AH3210" s="352"/>
      <c r="AI3210" s="352"/>
      <c r="AJ3210" s="352"/>
    </row>
    <row r="3211" spans="2:36" x14ac:dyDescent="0.2">
      <c r="B3211" s="352"/>
      <c r="C3211" s="352"/>
      <c r="D3211" s="352"/>
      <c r="E3211" s="352"/>
      <c r="F3211" s="352"/>
      <c r="H3211" s="352"/>
      <c r="J3211" s="352"/>
      <c r="L3211" s="352"/>
      <c r="M3211" s="352"/>
      <c r="N3211" s="352"/>
      <c r="O3211" s="352"/>
      <c r="P3211" s="352"/>
      <c r="Q3211" s="352"/>
      <c r="R3211" s="352"/>
      <c r="S3211" s="352"/>
      <c r="T3211" s="352"/>
      <c r="U3211" s="352"/>
      <c r="V3211" s="352"/>
      <c r="W3211" s="352"/>
      <c r="X3211" s="352"/>
      <c r="Y3211" s="352"/>
      <c r="Z3211" s="352"/>
      <c r="AA3211" s="352"/>
      <c r="AB3211" s="352"/>
      <c r="AC3211" s="352"/>
      <c r="AD3211" s="352"/>
      <c r="AE3211" s="352"/>
      <c r="AF3211" s="352"/>
      <c r="AG3211" s="352"/>
      <c r="AH3211" s="352"/>
      <c r="AI3211" s="352"/>
      <c r="AJ3211" s="352"/>
    </row>
    <row r="3212" spans="2:36" x14ac:dyDescent="0.2">
      <c r="B3212" s="352"/>
      <c r="C3212" s="352"/>
      <c r="D3212" s="352"/>
      <c r="E3212" s="352"/>
      <c r="F3212" s="352"/>
      <c r="H3212" s="352"/>
      <c r="J3212" s="352"/>
      <c r="L3212" s="352"/>
      <c r="M3212" s="352"/>
      <c r="N3212" s="352"/>
      <c r="O3212" s="352"/>
      <c r="P3212" s="352"/>
      <c r="Q3212" s="352"/>
      <c r="R3212" s="352"/>
      <c r="S3212" s="352"/>
      <c r="T3212" s="352"/>
      <c r="U3212" s="352"/>
      <c r="V3212" s="352"/>
      <c r="W3212" s="352"/>
      <c r="X3212" s="352"/>
      <c r="Y3212" s="352"/>
      <c r="Z3212" s="352"/>
      <c r="AA3212" s="352"/>
      <c r="AB3212" s="352"/>
      <c r="AC3212" s="352"/>
      <c r="AD3212" s="352"/>
      <c r="AE3212" s="352"/>
      <c r="AF3212" s="352"/>
      <c r="AG3212" s="352"/>
      <c r="AH3212" s="352"/>
      <c r="AI3212" s="352"/>
      <c r="AJ3212" s="352"/>
    </row>
    <row r="3213" spans="2:36" x14ac:dyDescent="0.2">
      <c r="B3213" s="352"/>
      <c r="C3213" s="352"/>
      <c r="D3213" s="352"/>
      <c r="E3213" s="352"/>
      <c r="F3213" s="352"/>
      <c r="H3213" s="352"/>
      <c r="J3213" s="352"/>
      <c r="L3213" s="352"/>
      <c r="M3213" s="352"/>
      <c r="N3213" s="352"/>
      <c r="O3213" s="352"/>
      <c r="P3213" s="352"/>
      <c r="Q3213" s="352"/>
      <c r="R3213" s="352"/>
      <c r="S3213" s="352"/>
      <c r="T3213" s="352"/>
      <c r="U3213" s="352"/>
      <c r="V3213" s="352"/>
      <c r="W3213" s="352"/>
      <c r="X3213" s="352"/>
      <c r="Y3213" s="352"/>
      <c r="Z3213" s="352"/>
      <c r="AA3213" s="352"/>
      <c r="AB3213" s="352"/>
      <c r="AC3213" s="352"/>
      <c r="AD3213" s="352"/>
      <c r="AE3213" s="352"/>
      <c r="AF3213" s="352"/>
      <c r="AG3213" s="352"/>
      <c r="AH3213" s="352"/>
      <c r="AI3213" s="352"/>
      <c r="AJ3213" s="352"/>
    </row>
    <row r="3214" spans="2:36" x14ac:dyDescent="0.2">
      <c r="B3214" s="352"/>
      <c r="C3214" s="352"/>
      <c r="D3214" s="352"/>
      <c r="E3214" s="352"/>
      <c r="F3214" s="352"/>
      <c r="H3214" s="352"/>
      <c r="J3214" s="352"/>
      <c r="L3214" s="352"/>
      <c r="M3214" s="352"/>
      <c r="N3214" s="352"/>
      <c r="O3214" s="352"/>
      <c r="P3214" s="352"/>
      <c r="Q3214" s="352"/>
      <c r="R3214" s="352"/>
      <c r="S3214" s="352"/>
      <c r="T3214" s="352"/>
      <c r="U3214" s="352"/>
      <c r="V3214" s="352"/>
      <c r="W3214" s="352"/>
      <c r="X3214" s="352"/>
      <c r="Y3214" s="352"/>
      <c r="Z3214" s="352"/>
      <c r="AA3214" s="352"/>
      <c r="AB3214" s="352"/>
      <c r="AC3214" s="352"/>
      <c r="AD3214" s="352"/>
      <c r="AE3214" s="352"/>
      <c r="AF3214" s="352"/>
      <c r="AG3214" s="352"/>
      <c r="AH3214" s="352"/>
      <c r="AI3214" s="352"/>
      <c r="AJ3214" s="352"/>
    </row>
    <row r="3215" spans="2:36" x14ac:dyDescent="0.2">
      <c r="B3215" s="352"/>
      <c r="C3215" s="352"/>
      <c r="D3215" s="352"/>
      <c r="E3215" s="352"/>
      <c r="F3215" s="352"/>
      <c r="H3215" s="352"/>
      <c r="J3215" s="352"/>
      <c r="L3215" s="352"/>
      <c r="M3215" s="352"/>
      <c r="N3215" s="352"/>
      <c r="O3215" s="352"/>
      <c r="P3215" s="352"/>
      <c r="Q3215" s="352"/>
      <c r="R3215" s="352"/>
      <c r="S3215" s="352"/>
      <c r="T3215" s="352"/>
      <c r="U3215" s="352"/>
      <c r="V3215" s="352"/>
      <c r="W3215" s="352"/>
      <c r="X3215" s="352"/>
      <c r="Y3215" s="352"/>
      <c r="Z3215" s="352"/>
      <c r="AA3215" s="352"/>
      <c r="AB3215" s="352"/>
      <c r="AC3215" s="352"/>
      <c r="AD3215" s="352"/>
      <c r="AE3215" s="352"/>
      <c r="AF3215" s="352"/>
      <c r="AG3215" s="352"/>
      <c r="AH3215" s="352"/>
      <c r="AI3215" s="352"/>
      <c r="AJ3215" s="352"/>
    </row>
    <row r="3216" spans="2:36" x14ac:dyDescent="0.2">
      <c r="B3216" s="352"/>
      <c r="C3216" s="352"/>
      <c r="D3216" s="352"/>
      <c r="E3216" s="352"/>
      <c r="F3216" s="352"/>
      <c r="H3216" s="352"/>
      <c r="J3216" s="352"/>
      <c r="L3216" s="352"/>
      <c r="M3216" s="352"/>
      <c r="N3216" s="352"/>
      <c r="O3216" s="352"/>
      <c r="P3216" s="352"/>
      <c r="Q3216" s="352"/>
      <c r="R3216" s="352"/>
      <c r="S3216" s="352"/>
      <c r="T3216" s="352"/>
      <c r="U3216" s="352"/>
      <c r="V3216" s="352"/>
      <c r="W3216" s="352"/>
      <c r="X3216" s="352"/>
      <c r="Y3216" s="352"/>
      <c r="Z3216" s="352"/>
      <c r="AA3216" s="352"/>
      <c r="AB3216" s="352"/>
      <c r="AC3216" s="352"/>
      <c r="AD3216" s="352"/>
      <c r="AE3216" s="352"/>
      <c r="AF3216" s="352"/>
      <c r="AG3216" s="352"/>
      <c r="AH3216" s="352"/>
      <c r="AI3216" s="352"/>
      <c r="AJ3216" s="352"/>
    </row>
    <row r="3217" spans="2:36" x14ac:dyDescent="0.2">
      <c r="B3217" s="352"/>
      <c r="C3217" s="352"/>
      <c r="D3217" s="352"/>
      <c r="E3217" s="352"/>
      <c r="F3217" s="352"/>
      <c r="H3217" s="352"/>
      <c r="J3217" s="352"/>
      <c r="L3217" s="352"/>
      <c r="M3217" s="352"/>
      <c r="N3217" s="352"/>
      <c r="O3217" s="352"/>
      <c r="P3217" s="352"/>
      <c r="Q3217" s="352"/>
      <c r="R3217" s="352"/>
      <c r="S3217" s="352"/>
      <c r="T3217" s="352"/>
      <c r="U3217" s="352"/>
      <c r="V3217" s="352"/>
      <c r="W3217" s="352"/>
      <c r="X3217" s="352"/>
      <c r="Y3217" s="352"/>
      <c r="Z3217" s="352"/>
      <c r="AA3217" s="352"/>
      <c r="AB3217" s="352"/>
      <c r="AC3217" s="352"/>
      <c r="AD3217" s="352"/>
      <c r="AE3217" s="352"/>
      <c r="AF3217" s="352"/>
      <c r="AG3217" s="352"/>
      <c r="AH3217" s="352"/>
      <c r="AI3217" s="352"/>
      <c r="AJ3217" s="352"/>
    </row>
    <row r="3218" spans="2:36" x14ac:dyDescent="0.2">
      <c r="B3218" s="352"/>
      <c r="C3218" s="352"/>
      <c r="D3218" s="352"/>
      <c r="E3218" s="352"/>
      <c r="F3218" s="352"/>
      <c r="H3218" s="352"/>
      <c r="J3218" s="352"/>
      <c r="L3218" s="352"/>
      <c r="M3218" s="352"/>
      <c r="N3218" s="352"/>
      <c r="O3218" s="352"/>
      <c r="P3218" s="352"/>
      <c r="Q3218" s="352"/>
      <c r="R3218" s="352"/>
      <c r="S3218" s="352"/>
      <c r="T3218" s="352"/>
      <c r="U3218" s="352"/>
      <c r="V3218" s="352"/>
      <c r="W3218" s="352"/>
      <c r="X3218" s="352"/>
      <c r="Y3218" s="352"/>
      <c r="Z3218" s="352"/>
      <c r="AA3218" s="352"/>
      <c r="AB3218" s="352"/>
      <c r="AC3218" s="352"/>
      <c r="AD3218" s="352"/>
      <c r="AE3218" s="352"/>
      <c r="AF3218" s="352"/>
      <c r="AG3218" s="352"/>
      <c r="AH3218" s="352"/>
      <c r="AI3218" s="352"/>
      <c r="AJ3218" s="352"/>
    </row>
    <row r="3219" spans="2:36" x14ac:dyDescent="0.2">
      <c r="B3219" s="352"/>
      <c r="C3219" s="352"/>
      <c r="D3219" s="352"/>
      <c r="E3219" s="352"/>
      <c r="F3219" s="352"/>
      <c r="H3219" s="352"/>
      <c r="J3219" s="352"/>
      <c r="L3219" s="352"/>
      <c r="M3219" s="352"/>
      <c r="N3219" s="352"/>
      <c r="O3219" s="352"/>
      <c r="P3219" s="352"/>
      <c r="Q3219" s="352"/>
      <c r="R3219" s="352"/>
      <c r="S3219" s="352"/>
      <c r="T3219" s="352"/>
      <c r="U3219" s="352"/>
      <c r="V3219" s="352"/>
      <c r="W3219" s="352"/>
      <c r="X3219" s="352"/>
      <c r="Y3219" s="352"/>
      <c r="Z3219" s="352"/>
      <c r="AA3219" s="352"/>
      <c r="AB3219" s="352"/>
      <c r="AC3219" s="352"/>
      <c r="AD3219" s="352"/>
      <c r="AE3219" s="352"/>
      <c r="AF3219" s="352"/>
      <c r="AG3219" s="352"/>
      <c r="AH3219" s="352"/>
      <c r="AI3219" s="352"/>
      <c r="AJ3219" s="352"/>
    </row>
    <row r="3220" spans="2:36" x14ac:dyDescent="0.2">
      <c r="B3220" s="352"/>
      <c r="C3220" s="352"/>
      <c r="D3220" s="352"/>
      <c r="E3220" s="352"/>
      <c r="F3220" s="352"/>
      <c r="H3220" s="352"/>
      <c r="J3220" s="352"/>
      <c r="L3220" s="352"/>
      <c r="M3220" s="352"/>
      <c r="N3220" s="352"/>
      <c r="O3220" s="352"/>
      <c r="P3220" s="352"/>
      <c r="Q3220" s="352"/>
      <c r="R3220" s="352"/>
      <c r="S3220" s="352"/>
      <c r="T3220" s="352"/>
      <c r="U3220" s="352"/>
      <c r="V3220" s="352"/>
      <c r="W3220" s="352"/>
      <c r="X3220" s="352"/>
      <c r="Y3220" s="352"/>
      <c r="Z3220" s="352"/>
      <c r="AA3220" s="352"/>
      <c r="AB3220" s="352"/>
      <c r="AC3220" s="352"/>
      <c r="AD3220" s="352"/>
      <c r="AE3220" s="352"/>
      <c r="AF3220" s="352"/>
      <c r="AG3220" s="352"/>
      <c r="AH3220" s="352"/>
      <c r="AI3220" s="352"/>
      <c r="AJ3220" s="352"/>
    </row>
    <row r="3221" spans="2:36" x14ac:dyDescent="0.2">
      <c r="B3221" s="352"/>
      <c r="C3221" s="352"/>
      <c r="D3221" s="352"/>
      <c r="E3221" s="352"/>
      <c r="F3221" s="352"/>
      <c r="H3221" s="352"/>
      <c r="J3221" s="352"/>
      <c r="L3221" s="352"/>
      <c r="M3221" s="352"/>
      <c r="N3221" s="352"/>
      <c r="O3221" s="352"/>
      <c r="P3221" s="352"/>
      <c r="Q3221" s="352"/>
      <c r="R3221" s="352"/>
      <c r="S3221" s="352"/>
      <c r="T3221" s="352"/>
      <c r="U3221" s="352"/>
      <c r="V3221" s="352"/>
      <c r="W3221" s="352"/>
      <c r="X3221" s="352"/>
      <c r="Y3221" s="352"/>
      <c r="Z3221" s="352"/>
      <c r="AA3221" s="352"/>
      <c r="AB3221" s="352"/>
      <c r="AC3221" s="352"/>
      <c r="AD3221" s="352"/>
      <c r="AE3221" s="352"/>
      <c r="AF3221" s="352"/>
      <c r="AG3221" s="352"/>
      <c r="AH3221" s="352"/>
      <c r="AI3221" s="352"/>
      <c r="AJ3221" s="352"/>
    </row>
    <row r="3222" spans="2:36" x14ac:dyDescent="0.2">
      <c r="B3222" s="352"/>
      <c r="C3222" s="352"/>
      <c r="D3222" s="352"/>
      <c r="E3222" s="352"/>
      <c r="F3222" s="352"/>
      <c r="H3222" s="352"/>
      <c r="J3222" s="352"/>
      <c r="L3222" s="352"/>
      <c r="M3222" s="352"/>
      <c r="N3222" s="352"/>
      <c r="O3222" s="352"/>
      <c r="P3222" s="352"/>
      <c r="Q3222" s="352"/>
      <c r="R3222" s="352"/>
      <c r="S3222" s="352"/>
      <c r="T3222" s="352"/>
      <c r="U3222" s="352"/>
      <c r="V3222" s="352"/>
      <c r="W3222" s="352"/>
      <c r="X3222" s="352"/>
      <c r="Y3222" s="352"/>
      <c r="Z3222" s="352"/>
      <c r="AA3222" s="352"/>
      <c r="AB3222" s="352"/>
      <c r="AC3222" s="352"/>
      <c r="AD3222" s="352"/>
      <c r="AE3222" s="352"/>
      <c r="AF3222" s="352"/>
      <c r="AG3222" s="352"/>
      <c r="AH3222" s="352"/>
      <c r="AI3222" s="352"/>
      <c r="AJ3222" s="352"/>
    </row>
    <row r="3223" spans="2:36" x14ac:dyDescent="0.2">
      <c r="B3223" s="352"/>
      <c r="C3223" s="352"/>
      <c r="D3223" s="352"/>
      <c r="E3223" s="352"/>
      <c r="F3223" s="352"/>
      <c r="H3223" s="352"/>
      <c r="J3223" s="352"/>
      <c r="L3223" s="352"/>
      <c r="M3223" s="352"/>
      <c r="N3223" s="352"/>
      <c r="O3223" s="352"/>
      <c r="P3223" s="352"/>
      <c r="Q3223" s="352"/>
      <c r="R3223" s="352"/>
      <c r="S3223" s="352"/>
      <c r="T3223" s="352"/>
      <c r="U3223" s="352"/>
      <c r="V3223" s="352"/>
      <c r="W3223" s="352"/>
      <c r="X3223" s="352"/>
      <c r="Y3223" s="352"/>
      <c r="Z3223" s="352"/>
      <c r="AA3223" s="352"/>
      <c r="AB3223" s="352"/>
      <c r="AC3223" s="352"/>
      <c r="AD3223" s="352"/>
      <c r="AE3223" s="352"/>
      <c r="AF3223" s="352"/>
      <c r="AG3223" s="352"/>
      <c r="AH3223" s="352"/>
      <c r="AI3223" s="352"/>
      <c r="AJ3223" s="352"/>
    </row>
    <row r="3224" spans="2:36" x14ac:dyDescent="0.2">
      <c r="B3224" s="352"/>
      <c r="C3224" s="352"/>
      <c r="D3224" s="352"/>
      <c r="E3224" s="352"/>
      <c r="F3224" s="352"/>
      <c r="H3224" s="352"/>
      <c r="J3224" s="352"/>
      <c r="L3224" s="352"/>
      <c r="M3224" s="352"/>
      <c r="N3224" s="352"/>
      <c r="O3224" s="352"/>
      <c r="P3224" s="352"/>
      <c r="Q3224" s="352"/>
      <c r="R3224" s="352"/>
      <c r="S3224" s="352"/>
      <c r="T3224" s="352"/>
      <c r="U3224" s="352"/>
      <c r="V3224" s="352"/>
      <c r="W3224" s="352"/>
      <c r="X3224" s="352"/>
      <c r="Y3224" s="352"/>
      <c r="Z3224" s="352"/>
      <c r="AA3224" s="352"/>
      <c r="AB3224" s="352"/>
      <c r="AC3224" s="352"/>
      <c r="AD3224" s="352"/>
      <c r="AE3224" s="352"/>
      <c r="AF3224" s="352"/>
      <c r="AG3224" s="352"/>
      <c r="AH3224" s="352"/>
      <c r="AI3224" s="352"/>
      <c r="AJ3224" s="352"/>
    </row>
    <row r="3225" spans="2:36" x14ac:dyDescent="0.2">
      <c r="B3225" s="352"/>
      <c r="C3225" s="352"/>
      <c r="D3225" s="352"/>
      <c r="E3225" s="352"/>
      <c r="F3225" s="352"/>
      <c r="H3225" s="352"/>
      <c r="J3225" s="352"/>
      <c r="L3225" s="352"/>
      <c r="M3225" s="352"/>
      <c r="N3225" s="352"/>
      <c r="O3225" s="352"/>
      <c r="P3225" s="352"/>
      <c r="Q3225" s="352"/>
      <c r="R3225" s="352"/>
      <c r="S3225" s="352"/>
      <c r="T3225" s="352"/>
      <c r="U3225" s="352"/>
      <c r="V3225" s="352"/>
      <c r="W3225" s="352"/>
      <c r="X3225" s="352"/>
      <c r="Y3225" s="352"/>
      <c r="Z3225" s="352"/>
      <c r="AA3225" s="352"/>
      <c r="AB3225" s="352"/>
      <c r="AC3225" s="352"/>
      <c r="AD3225" s="352"/>
      <c r="AE3225" s="352"/>
      <c r="AF3225" s="352"/>
      <c r="AG3225" s="352"/>
      <c r="AH3225" s="352"/>
      <c r="AI3225" s="352"/>
      <c r="AJ3225" s="352"/>
    </row>
    <row r="3226" spans="2:36" x14ac:dyDescent="0.2">
      <c r="B3226" s="352"/>
      <c r="C3226" s="352"/>
      <c r="D3226" s="352"/>
      <c r="E3226" s="352"/>
      <c r="F3226" s="352"/>
      <c r="H3226" s="352"/>
      <c r="J3226" s="352"/>
      <c r="L3226" s="352"/>
      <c r="M3226" s="352"/>
      <c r="N3226" s="352"/>
      <c r="O3226" s="352"/>
      <c r="P3226" s="352"/>
      <c r="Q3226" s="352"/>
      <c r="R3226" s="352"/>
      <c r="S3226" s="352"/>
      <c r="T3226" s="352"/>
      <c r="U3226" s="352"/>
      <c r="V3226" s="352"/>
      <c r="W3226" s="352"/>
      <c r="X3226" s="352"/>
      <c r="Y3226" s="352"/>
      <c r="Z3226" s="352"/>
      <c r="AA3226" s="352"/>
      <c r="AB3226" s="352"/>
      <c r="AC3226" s="352"/>
      <c r="AD3226" s="352"/>
      <c r="AE3226" s="352"/>
      <c r="AF3226" s="352"/>
      <c r="AG3226" s="352"/>
      <c r="AH3226" s="352"/>
      <c r="AI3226" s="352"/>
      <c r="AJ3226" s="352"/>
    </row>
    <row r="3227" spans="2:36" x14ac:dyDescent="0.2">
      <c r="B3227" s="352"/>
      <c r="C3227" s="352"/>
      <c r="D3227" s="352"/>
      <c r="E3227" s="352"/>
      <c r="F3227" s="352"/>
      <c r="H3227" s="352"/>
      <c r="J3227" s="352"/>
      <c r="L3227" s="352"/>
      <c r="M3227" s="352"/>
      <c r="N3227" s="352"/>
      <c r="O3227" s="352"/>
      <c r="P3227" s="352"/>
      <c r="Q3227" s="352"/>
      <c r="R3227" s="352"/>
      <c r="S3227" s="352"/>
      <c r="T3227" s="352"/>
      <c r="U3227" s="352"/>
      <c r="V3227" s="352"/>
      <c r="W3227" s="352"/>
      <c r="X3227" s="352"/>
      <c r="Y3227" s="352"/>
      <c r="Z3227" s="352"/>
      <c r="AA3227" s="352"/>
      <c r="AB3227" s="352"/>
      <c r="AC3227" s="352"/>
      <c r="AD3227" s="352"/>
      <c r="AE3227" s="352"/>
      <c r="AF3227" s="352"/>
      <c r="AG3227" s="352"/>
      <c r="AH3227" s="352"/>
      <c r="AI3227" s="352"/>
      <c r="AJ3227" s="352"/>
    </row>
    <row r="3228" spans="2:36" x14ac:dyDescent="0.2">
      <c r="B3228" s="352"/>
      <c r="C3228" s="352"/>
      <c r="D3228" s="352"/>
      <c r="E3228" s="352"/>
      <c r="F3228" s="352"/>
      <c r="H3228" s="352"/>
      <c r="J3228" s="352"/>
      <c r="L3228" s="352"/>
      <c r="M3228" s="352"/>
      <c r="N3228" s="352"/>
      <c r="O3228" s="352"/>
      <c r="P3228" s="352"/>
      <c r="Q3228" s="352"/>
      <c r="R3228" s="352"/>
      <c r="S3228" s="352"/>
      <c r="T3228" s="352"/>
      <c r="U3228" s="352"/>
      <c r="V3228" s="352"/>
      <c r="W3228" s="352"/>
      <c r="X3228" s="352"/>
      <c r="Y3228" s="352"/>
      <c r="Z3228" s="352"/>
      <c r="AA3228" s="352"/>
      <c r="AB3228" s="352"/>
      <c r="AC3228" s="352"/>
      <c r="AD3228" s="352"/>
      <c r="AE3228" s="352"/>
      <c r="AF3228" s="352"/>
      <c r="AG3228" s="352"/>
      <c r="AH3228" s="352"/>
      <c r="AI3228" s="352"/>
      <c r="AJ3228" s="352"/>
    </row>
    <row r="3229" spans="2:36" x14ac:dyDescent="0.2">
      <c r="B3229" s="352"/>
      <c r="C3229" s="352"/>
      <c r="D3229" s="352"/>
      <c r="E3229" s="352"/>
      <c r="F3229" s="352"/>
      <c r="H3229" s="352"/>
      <c r="J3229" s="352"/>
      <c r="L3229" s="352"/>
      <c r="M3229" s="352"/>
      <c r="N3229" s="352"/>
      <c r="O3229" s="352"/>
      <c r="P3229" s="352"/>
      <c r="Q3229" s="352"/>
      <c r="R3229" s="352"/>
      <c r="S3229" s="352"/>
      <c r="T3229" s="352"/>
      <c r="U3229" s="352"/>
      <c r="V3229" s="352"/>
      <c r="W3229" s="352"/>
      <c r="X3229" s="352"/>
      <c r="Y3229" s="352"/>
      <c r="Z3229" s="352"/>
      <c r="AA3229" s="352"/>
      <c r="AB3229" s="352"/>
      <c r="AC3229" s="352"/>
      <c r="AD3229" s="352"/>
      <c r="AE3229" s="352"/>
      <c r="AF3229" s="352"/>
      <c r="AG3229" s="352"/>
      <c r="AH3229" s="352"/>
      <c r="AI3229" s="352"/>
      <c r="AJ3229" s="352"/>
    </row>
    <row r="3230" spans="2:36" x14ac:dyDescent="0.2">
      <c r="B3230" s="352"/>
      <c r="C3230" s="352"/>
      <c r="D3230" s="352"/>
      <c r="E3230" s="352"/>
      <c r="F3230" s="352"/>
      <c r="H3230" s="352"/>
      <c r="J3230" s="352"/>
      <c r="L3230" s="352"/>
      <c r="M3230" s="352"/>
      <c r="N3230" s="352"/>
      <c r="O3230" s="352"/>
      <c r="P3230" s="352"/>
      <c r="Q3230" s="352"/>
      <c r="R3230" s="352"/>
      <c r="S3230" s="352"/>
      <c r="T3230" s="352"/>
      <c r="U3230" s="352"/>
      <c r="V3230" s="352"/>
      <c r="W3230" s="352"/>
      <c r="X3230" s="352"/>
      <c r="Y3230" s="352"/>
      <c r="Z3230" s="352"/>
      <c r="AA3230" s="352"/>
      <c r="AB3230" s="352"/>
      <c r="AC3230" s="352"/>
      <c r="AD3230" s="352"/>
      <c r="AE3230" s="352"/>
      <c r="AF3230" s="352"/>
      <c r="AG3230" s="352"/>
      <c r="AH3230" s="352"/>
      <c r="AI3230" s="352"/>
      <c r="AJ3230" s="352"/>
    </row>
    <row r="3231" spans="2:36" x14ac:dyDescent="0.2">
      <c r="B3231" s="352"/>
      <c r="C3231" s="352"/>
      <c r="D3231" s="352"/>
      <c r="E3231" s="352"/>
      <c r="F3231" s="352"/>
      <c r="H3231" s="352"/>
      <c r="J3231" s="352"/>
      <c r="L3231" s="352"/>
      <c r="M3231" s="352"/>
      <c r="N3231" s="352"/>
      <c r="O3231" s="352"/>
      <c r="P3231" s="352"/>
      <c r="Q3231" s="352"/>
      <c r="R3231" s="352"/>
      <c r="S3231" s="352"/>
      <c r="T3231" s="352"/>
      <c r="U3231" s="352"/>
      <c r="V3231" s="352"/>
      <c r="W3231" s="352"/>
      <c r="X3231" s="352"/>
      <c r="Y3231" s="352"/>
      <c r="Z3231" s="352"/>
      <c r="AA3231" s="352"/>
      <c r="AB3231" s="352"/>
      <c r="AC3231" s="352"/>
      <c r="AD3231" s="352"/>
      <c r="AE3231" s="352"/>
      <c r="AF3231" s="352"/>
      <c r="AG3231" s="352"/>
      <c r="AH3231" s="352"/>
      <c r="AI3231" s="352"/>
      <c r="AJ3231" s="352"/>
    </row>
    <row r="3232" spans="2:36" x14ac:dyDescent="0.2">
      <c r="B3232" s="352"/>
      <c r="C3232" s="352"/>
      <c r="D3232" s="352"/>
      <c r="E3232" s="352"/>
      <c r="F3232" s="352"/>
      <c r="H3232" s="352"/>
      <c r="J3232" s="352"/>
      <c r="L3232" s="352"/>
      <c r="M3232" s="352"/>
      <c r="N3232" s="352"/>
      <c r="O3232" s="352"/>
      <c r="P3232" s="352"/>
      <c r="Q3232" s="352"/>
      <c r="R3232" s="352"/>
      <c r="S3232" s="352"/>
      <c r="T3232" s="352"/>
      <c r="U3232" s="352"/>
      <c r="V3232" s="352"/>
      <c r="W3232" s="352"/>
      <c r="X3232" s="352"/>
      <c r="Y3232" s="352"/>
      <c r="Z3232" s="352"/>
      <c r="AA3232" s="352"/>
      <c r="AB3232" s="352"/>
      <c r="AC3232" s="352"/>
      <c r="AD3232" s="352"/>
      <c r="AE3232" s="352"/>
      <c r="AF3232" s="352"/>
      <c r="AG3232" s="352"/>
      <c r="AH3232" s="352"/>
      <c r="AI3232" s="352"/>
      <c r="AJ3232" s="352"/>
    </row>
    <row r="3233" spans="2:36" x14ac:dyDescent="0.2">
      <c r="B3233" s="352"/>
      <c r="C3233" s="352"/>
      <c r="D3233" s="352"/>
      <c r="E3233" s="352"/>
      <c r="F3233" s="352"/>
      <c r="H3233" s="352"/>
      <c r="J3233" s="352"/>
      <c r="L3233" s="352"/>
      <c r="M3233" s="352"/>
      <c r="N3233" s="352"/>
      <c r="O3233" s="352"/>
      <c r="P3233" s="352"/>
      <c r="Q3233" s="352"/>
      <c r="R3233" s="352"/>
      <c r="S3233" s="352"/>
      <c r="T3233" s="352"/>
      <c r="U3233" s="352"/>
      <c r="V3233" s="352"/>
      <c r="W3233" s="352"/>
      <c r="X3233" s="352"/>
      <c r="Y3233" s="352"/>
      <c r="Z3233" s="352"/>
      <c r="AA3233" s="352"/>
      <c r="AB3233" s="352"/>
      <c r="AC3233" s="352"/>
      <c r="AD3233" s="352"/>
      <c r="AE3233" s="352"/>
      <c r="AF3233" s="352"/>
      <c r="AG3233" s="352"/>
      <c r="AH3233" s="352"/>
      <c r="AI3233" s="352"/>
      <c r="AJ3233" s="352"/>
    </row>
    <row r="3234" spans="2:36" x14ac:dyDescent="0.2">
      <c r="B3234" s="352"/>
      <c r="C3234" s="352"/>
      <c r="D3234" s="352"/>
      <c r="E3234" s="352"/>
      <c r="F3234" s="352"/>
      <c r="H3234" s="352"/>
      <c r="J3234" s="352"/>
      <c r="L3234" s="352"/>
      <c r="M3234" s="352"/>
      <c r="N3234" s="352"/>
      <c r="O3234" s="352"/>
      <c r="P3234" s="352"/>
      <c r="Q3234" s="352"/>
      <c r="R3234" s="352"/>
      <c r="S3234" s="352"/>
      <c r="T3234" s="352"/>
      <c r="U3234" s="352"/>
      <c r="V3234" s="352"/>
      <c r="W3234" s="352"/>
      <c r="X3234" s="352"/>
      <c r="Y3234" s="352"/>
      <c r="Z3234" s="352"/>
      <c r="AA3234" s="352"/>
      <c r="AB3234" s="352"/>
      <c r="AC3234" s="352"/>
      <c r="AD3234" s="352"/>
      <c r="AE3234" s="352"/>
      <c r="AF3234" s="352"/>
      <c r="AG3234" s="352"/>
      <c r="AH3234" s="352"/>
      <c r="AI3234" s="352"/>
      <c r="AJ3234" s="352"/>
    </row>
    <row r="3235" spans="2:36" x14ac:dyDescent="0.2">
      <c r="B3235" s="352"/>
      <c r="C3235" s="352"/>
      <c r="D3235" s="352"/>
      <c r="E3235" s="352"/>
      <c r="F3235" s="352"/>
      <c r="H3235" s="352"/>
      <c r="J3235" s="352"/>
      <c r="L3235" s="352"/>
      <c r="M3235" s="352"/>
      <c r="N3235" s="352"/>
      <c r="O3235" s="352"/>
      <c r="P3235" s="352"/>
      <c r="Q3235" s="352"/>
      <c r="R3235" s="352"/>
      <c r="S3235" s="352"/>
      <c r="T3235" s="352"/>
      <c r="U3235" s="352"/>
      <c r="V3235" s="352"/>
      <c r="W3235" s="352"/>
      <c r="X3235" s="352"/>
      <c r="Y3235" s="352"/>
      <c r="Z3235" s="352"/>
      <c r="AA3235" s="352"/>
      <c r="AB3235" s="352"/>
      <c r="AC3235" s="352"/>
      <c r="AD3235" s="352"/>
      <c r="AE3235" s="352"/>
      <c r="AF3235" s="352"/>
      <c r="AG3235" s="352"/>
      <c r="AH3235" s="352"/>
      <c r="AI3235" s="352"/>
      <c r="AJ3235" s="352"/>
    </row>
    <row r="3236" spans="2:36" x14ac:dyDescent="0.2">
      <c r="B3236" s="352"/>
      <c r="C3236" s="352"/>
      <c r="D3236" s="352"/>
      <c r="E3236" s="352"/>
      <c r="F3236" s="352"/>
      <c r="H3236" s="352"/>
      <c r="J3236" s="352"/>
      <c r="L3236" s="352"/>
      <c r="M3236" s="352"/>
      <c r="N3236" s="352"/>
      <c r="O3236" s="352"/>
      <c r="P3236" s="352"/>
      <c r="Q3236" s="352"/>
      <c r="R3236" s="352"/>
      <c r="S3236" s="352"/>
      <c r="T3236" s="352"/>
      <c r="U3236" s="352"/>
      <c r="V3236" s="352"/>
      <c r="W3236" s="352"/>
      <c r="X3236" s="352"/>
      <c r="Y3236" s="352"/>
      <c r="Z3236" s="352"/>
      <c r="AA3236" s="352"/>
      <c r="AB3236" s="352"/>
      <c r="AC3236" s="352"/>
      <c r="AD3236" s="352"/>
      <c r="AE3236" s="352"/>
      <c r="AF3236" s="352"/>
      <c r="AG3236" s="352"/>
      <c r="AH3236" s="352"/>
      <c r="AI3236" s="352"/>
      <c r="AJ3236" s="352"/>
    </row>
    <row r="3237" spans="2:36" x14ac:dyDescent="0.2">
      <c r="B3237" s="352"/>
      <c r="C3237" s="352"/>
      <c r="D3237" s="352"/>
      <c r="E3237" s="352"/>
      <c r="F3237" s="352"/>
      <c r="H3237" s="352"/>
      <c r="J3237" s="352"/>
      <c r="L3237" s="352"/>
      <c r="M3237" s="352"/>
      <c r="N3237" s="352"/>
      <c r="O3237" s="352"/>
      <c r="P3237" s="352"/>
      <c r="Q3237" s="352"/>
      <c r="R3237" s="352"/>
      <c r="S3237" s="352"/>
      <c r="T3237" s="352"/>
      <c r="U3237" s="352"/>
      <c r="V3237" s="352"/>
      <c r="W3237" s="352"/>
      <c r="X3237" s="352"/>
      <c r="Y3237" s="352"/>
      <c r="Z3237" s="352"/>
      <c r="AA3237" s="352"/>
      <c r="AB3237" s="352"/>
      <c r="AC3237" s="352"/>
      <c r="AD3237" s="352"/>
      <c r="AE3237" s="352"/>
      <c r="AF3237" s="352"/>
      <c r="AG3237" s="352"/>
      <c r="AH3237" s="352"/>
      <c r="AI3237" s="352"/>
      <c r="AJ3237" s="352"/>
    </row>
    <row r="3238" spans="2:36" x14ac:dyDescent="0.2">
      <c r="B3238" s="352"/>
      <c r="C3238" s="352"/>
      <c r="D3238" s="352"/>
      <c r="E3238" s="352"/>
      <c r="F3238" s="352"/>
      <c r="H3238" s="352"/>
      <c r="J3238" s="352"/>
      <c r="L3238" s="352"/>
      <c r="M3238" s="352"/>
      <c r="N3238" s="352"/>
      <c r="O3238" s="352"/>
      <c r="P3238" s="352"/>
      <c r="Q3238" s="352"/>
      <c r="R3238" s="352"/>
      <c r="S3238" s="352"/>
      <c r="T3238" s="352"/>
      <c r="U3238" s="352"/>
      <c r="V3238" s="352"/>
      <c r="W3238" s="352"/>
      <c r="X3238" s="352"/>
      <c r="Y3238" s="352"/>
      <c r="Z3238" s="352"/>
      <c r="AA3238" s="352"/>
      <c r="AB3238" s="352"/>
      <c r="AC3238" s="352"/>
      <c r="AD3238" s="352"/>
      <c r="AE3238" s="352"/>
      <c r="AF3238" s="352"/>
      <c r="AG3238" s="352"/>
      <c r="AH3238" s="352"/>
      <c r="AI3238" s="352"/>
      <c r="AJ3238" s="352"/>
    </row>
    <row r="3239" spans="2:36" x14ac:dyDescent="0.2">
      <c r="B3239" s="352"/>
      <c r="C3239" s="352"/>
      <c r="D3239" s="352"/>
      <c r="E3239" s="352"/>
      <c r="F3239" s="352"/>
      <c r="H3239" s="352"/>
      <c r="J3239" s="352"/>
      <c r="L3239" s="352"/>
      <c r="M3239" s="352"/>
      <c r="N3239" s="352"/>
      <c r="O3239" s="352"/>
      <c r="P3239" s="352"/>
      <c r="Q3239" s="352"/>
      <c r="R3239" s="352"/>
      <c r="S3239" s="352"/>
      <c r="T3239" s="352"/>
      <c r="U3239" s="352"/>
      <c r="V3239" s="352"/>
      <c r="W3239" s="352"/>
      <c r="X3239" s="352"/>
      <c r="Y3239" s="352"/>
      <c r="Z3239" s="352"/>
      <c r="AA3239" s="352"/>
      <c r="AB3239" s="352"/>
      <c r="AC3239" s="352"/>
      <c r="AD3239" s="352"/>
      <c r="AE3239" s="352"/>
      <c r="AF3239" s="352"/>
      <c r="AG3239" s="352"/>
      <c r="AH3239" s="352"/>
      <c r="AI3239" s="352"/>
      <c r="AJ3239" s="352"/>
    </row>
    <row r="3240" spans="2:36" x14ac:dyDescent="0.2">
      <c r="B3240" s="352"/>
      <c r="C3240" s="352"/>
      <c r="D3240" s="352"/>
      <c r="E3240" s="352"/>
      <c r="F3240" s="352"/>
      <c r="H3240" s="352"/>
      <c r="J3240" s="352"/>
      <c r="L3240" s="352"/>
      <c r="M3240" s="352"/>
      <c r="N3240" s="352"/>
      <c r="O3240" s="352"/>
      <c r="P3240" s="352"/>
      <c r="Q3240" s="352"/>
      <c r="R3240" s="352"/>
      <c r="S3240" s="352"/>
      <c r="T3240" s="352"/>
      <c r="U3240" s="352"/>
      <c r="V3240" s="352"/>
      <c r="W3240" s="352"/>
      <c r="X3240" s="352"/>
      <c r="Y3240" s="352"/>
      <c r="Z3240" s="352"/>
      <c r="AA3240" s="352"/>
      <c r="AB3240" s="352"/>
      <c r="AC3240" s="352"/>
      <c r="AD3240" s="352"/>
      <c r="AE3240" s="352"/>
      <c r="AF3240" s="352"/>
      <c r="AG3240" s="352"/>
      <c r="AH3240" s="352"/>
      <c r="AI3240" s="352"/>
      <c r="AJ3240" s="352"/>
    </row>
    <row r="3241" spans="2:36" x14ac:dyDescent="0.2">
      <c r="B3241" s="352"/>
      <c r="C3241" s="352"/>
      <c r="D3241" s="352"/>
      <c r="E3241" s="352"/>
      <c r="F3241" s="352"/>
      <c r="H3241" s="352"/>
      <c r="J3241" s="352"/>
      <c r="L3241" s="352"/>
      <c r="M3241" s="352"/>
      <c r="N3241" s="352"/>
      <c r="O3241" s="352"/>
      <c r="P3241" s="352"/>
      <c r="Q3241" s="352"/>
      <c r="R3241" s="352"/>
      <c r="S3241" s="352"/>
      <c r="T3241" s="352"/>
      <c r="U3241" s="352"/>
      <c r="V3241" s="352"/>
      <c r="W3241" s="352"/>
      <c r="X3241" s="352"/>
      <c r="Y3241" s="352"/>
      <c r="Z3241" s="352"/>
      <c r="AA3241" s="352"/>
      <c r="AB3241" s="352"/>
      <c r="AC3241" s="352"/>
      <c r="AD3241" s="352"/>
      <c r="AE3241" s="352"/>
      <c r="AF3241" s="352"/>
      <c r="AG3241" s="352"/>
      <c r="AH3241" s="352"/>
      <c r="AI3241" s="352"/>
      <c r="AJ3241" s="352"/>
    </row>
    <row r="3242" spans="2:36" x14ac:dyDescent="0.2">
      <c r="B3242" s="352"/>
      <c r="C3242" s="352"/>
      <c r="D3242" s="352"/>
      <c r="E3242" s="352"/>
      <c r="F3242" s="352"/>
      <c r="H3242" s="352"/>
      <c r="J3242" s="352"/>
      <c r="L3242" s="352"/>
      <c r="M3242" s="352"/>
      <c r="N3242" s="352"/>
      <c r="O3242" s="352"/>
      <c r="P3242" s="352"/>
      <c r="Q3242" s="352"/>
      <c r="R3242" s="352"/>
      <c r="S3242" s="352"/>
      <c r="T3242" s="352"/>
      <c r="U3242" s="352"/>
      <c r="V3242" s="352"/>
      <c r="W3242" s="352"/>
      <c r="X3242" s="352"/>
      <c r="Y3242" s="352"/>
      <c r="Z3242" s="352"/>
      <c r="AA3242" s="352"/>
      <c r="AB3242" s="352"/>
      <c r="AC3242" s="352"/>
      <c r="AD3242" s="352"/>
      <c r="AE3242" s="352"/>
      <c r="AF3242" s="352"/>
      <c r="AG3242" s="352"/>
      <c r="AH3242" s="352"/>
      <c r="AI3242" s="352"/>
      <c r="AJ3242" s="352"/>
    </row>
    <row r="3243" spans="2:36" x14ac:dyDescent="0.2">
      <c r="B3243" s="352"/>
      <c r="C3243" s="352"/>
      <c r="D3243" s="352"/>
      <c r="E3243" s="352"/>
      <c r="F3243" s="352"/>
      <c r="H3243" s="352"/>
      <c r="J3243" s="352"/>
      <c r="L3243" s="352"/>
      <c r="M3243" s="352"/>
      <c r="N3243" s="352"/>
      <c r="O3243" s="352"/>
      <c r="P3243" s="352"/>
      <c r="Q3243" s="352"/>
      <c r="R3243" s="352"/>
      <c r="S3243" s="352"/>
      <c r="T3243" s="352"/>
      <c r="U3243" s="352"/>
      <c r="V3243" s="352"/>
      <c r="W3243" s="352"/>
      <c r="X3243" s="352"/>
      <c r="Y3243" s="352"/>
      <c r="Z3243" s="352"/>
      <c r="AA3243" s="352"/>
      <c r="AB3243" s="352"/>
      <c r="AC3243" s="352"/>
      <c r="AD3243" s="352"/>
      <c r="AE3243" s="352"/>
      <c r="AF3243" s="352"/>
      <c r="AG3243" s="352"/>
      <c r="AH3243" s="352"/>
      <c r="AI3243" s="352"/>
      <c r="AJ3243" s="352"/>
    </row>
    <row r="3244" spans="2:36" x14ac:dyDescent="0.2">
      <c r="B3244" s="352"/>
      <c r="C3244" s="352"/>
      <c r="D3244" s="352"/>
      <c r="E3244" s="352"/>
      <c r="F3244" s="352"/>
      <c r="H3244" s="352"/>
      <c r="J3244" s="352"/>
      <c r="L3244" s="352"/>
      <c r="M3244" s="352"/>
      <c r="N3244" s="352"/>
      <c r="O3244" s="352"/>
      <c r="P3244" s="352"/>
      <c r="Q3244" s="352"/>
      <c r="R3244" s="352"/>
      <c r="S3244" s="352"/>
      <c r="T3244" s="352"/>
      <c r="U3244" s="352"/>
      <c r="V3244" s="352"/>
      <c r="W3244" s="352"/>
      <c r="X3244" s="352"/>
      <c r="Y3244" s="352"/>
      <c r="Z3244" s="352"/>
      <c r="AA3244" s="352"/>
      <c r="AB3244" s="352"/>
      <c r="AC3244" s="352"/>
      <c r="AD3244" s="352"/>
      <c r="AE3244" s="352"/>
      <c r="AF3244" s="352"/>
      <c r="AG3244" s="352"/>
      <c r="AH3244" s="352"/>
      <c r="AI3244" s="352"/>
      <c r="AJ3244" s="352"/>
    </row>
    <row r="3245" spans="2:36" x14ac:dyDescent="0.2">
      <c r="B3245" s="352"/>
      <c r="C3245" s="352"/>
      <c r="D3245" s="352"/>
      <c r="E3245" s="352"/>
      <c r="F3245" s="352"/>
      <c r="H3245" s="352"/>
      <c r="J3245" s="352"/>
      <c r="L3245" s="352"/>
      <c r="M3245" s="352"/>
      <c r="N3245" s="352"/>
      <c r="O3245" s="352"/>
      <c r="P3245" s="352"/>
      <c r="Q3245" s="352"/>
      <c r="R3245" s="352"/>
      <c r="S3245" s="352"/>
      <c r="T3245" s="352"/>
      <c r="U3245" s="352"/>
      <c r="V3245" s="352"/>
      <c r="W3245" s="352"/>
      <c r="X3245" s="352"/>
      <c r="Y3245" s="352"/>
      <c r="Z3245" s="352"/>
      <c r="AA3245" s="352"/>
      <c r="AB3245" s="352"/>
      <c r="AC3245" s="352"/>
      <c r="AD3245" s="352"/>
      <c r="AE3245" s="352"/>
      <c r="AF3245" s="352"/>
      <c r="AG3245" s="352"/>
      <c r="AH3245" s="352"/>
      <c r="AI3245" s="352"/>
      <c r="AJ3245" s="352"/>
    </row>
    <row r="3246" spans="2:36" x14ac:dyDescent="0.2">
      <c r="B3246" s="352"/>
      <c r="C3246" s="352"/>
      <c r="D3246" s="352"/>
      <c r="E3246" s="352"/>
      <c r="F3246" s="352"/>
      <c r="H3246" s="352"/>
      <c r="J3246" s="352"/>
      <c r="L3246" s="352"/>
      <c r="M3246" s="352"/>
      <c r="N3246" s="352"/>
      <c r="O3246" s="352"/>
      <c r="P3246" s="352"/>
      <c r="Q3246" s="352"/>
      <c r="R3246" s="352"/>
      <c r="S3246" s="352"/>
      <c r="T3246" s="352"/>
      <c r="U3246" s="352"/>
      <c r="V3246" s="352"/>
      <c r="W3246" s="352"/>
      <c r="X3246" s="352"/>
      <c r="Y3246" s="352"/>
      <c r="Z3246" s="352"/>
      <c r="AA3246" s="352"/>
      <c r="AB3246" s="352"/>
      <c r="AC3246" s="352"/>
      <c r="AD3246" s="352"/>
      <c r="AE3246" s="352"/>
      <c r="AF3246" s="352"/>
      <c r="AG3246" s="352"/>
      <c r="AH3246" s="352"/>
      <c r="AI3246" s="352"/>
      <c r="AJ3246" s="352"/>
    </row>
    <row r="3247" spans="2:36" x14ac:dyDescent="0.2">
      <c r="B3247" s="352"/>
      <c r="C3247" s="352"/>
      <c r="D3247" s="352"/>
      <c r="E3247" s="352"/>
      <c r="F3247" s="352"/>
      <c r="H3247" s="352"/>
      <c r="J3247" s="352"/>
      <c r="L3247" s="352"/>
      <c r="M3247" s="352"/>
      <c r="N3247" s="352"/>
      <c r="O3247" s="352"/>
      <c r="P3247" s="352"/>
      <c r="Q3247" s="352"/>
      <c r="R3247" s="352"/>
      <c r="S3247" s="352"/>
      <c r="T3247" s="352"/>
      <c r="U3247" s="352"/>
      <c r="V3247" s="352"/>
      <c r="W3247" s="352"/>
      <c r="X3247" s="352"/>
      <c r="Y3247" s="352"/>
      <c r="Z3247" s="352"/>
      <c r="AA3247" s="352"/>
      <c r="AB3247" s="352"/>
      <c r="AC3247" s="352"/>
      <c r="AD3247" s="352"/>
      <c r="AE3247" s="352"/>
      <c r="AF3247" s="352"/>
      <c r="AG3247" s="352"/>
      <c r="AH3247" s="352"/>
      <c r="AI3247" s="352"/>
      <c r="AJ3247" s="352"/>
    </row>
    <row r="3248" spans="2:36" x14ac:dyDescent="0.2">
      <c r="B3248" s="352"/>
      <c r="C3248" s="352"/>
      <c r="D3248" s="352"/>
      <c r="E3248" s="352"/>
      <c r="F3248" s="352"/>
      <c r="H3248" s="352"/>
      <c r="J3248" s="352"/>
      <c r="L3248" s="352"/>
      <c r="M3248" s="352"/>
      <c r="N3248" s="352"/>
      <c r="O3248" s="352"/>
      <c r="P3248" s="352"/>
      <c r="Q3248" s="352"/>
      <c r="R3248" s="352"/>
      <c r="S3248" s="352"/>
      <c r="T3248" s="352"/>
      <c r="U3248" s="352"/>
      <c r="V3248" s="352"/>
      <c r="W3248" s="352"/>
      <c r="X3248" s="352"/>
      <c r="Y3248" s="352"/>
      <c r="Z3248" s="352"/>
      <c r="AA3248" s="352"/>
      <c r="AB3248" s="352"/>
      <c r="AC3248" s="352"/>
      <c r="AD3248" s="352"/>
      <c r="AE3248" s="352"/>
      <c r="AF3248" s="352"/>
      <c r="AG3248" s="352"/>
      <c r="AH3248" s="352"/>
      <c r="AI3248" s="352"/>
      <c r="AJ3248" s="352"/>
    </row>
    <row r="3249" spans="2:36" x14ac:dyDescent="0.2">
      <c r="B3249" s="352"/>
      <c r="C3249" s="352"/>
      <c r="D3249" s="352"/>
      <c r="E3249" s="352"/>
      <c r="F3249" s="352"/>
      <c r="H3249" s="352"/>
      <c r="J3249" s="352"/>
      <c r="L3249" s="352"/>
      <c r="M3249" s="352"/>
      <c r="N3249" s="352"/>
      <c r="O3249" s="352"/>
      <c r="P3249" s="352"/>
      <c r="Q3249" s="352"/>
      <c r="R3249" s="352"/>
      <c r="S3249" s="352"/>
      <c r="T3249" s="352"/>
      <c r="U3249" s="352"/>
      <c r="V3249" s="352"/>
      <c r="W3249" s="352"/>
      <c r="X3249" s="352"/>
      <c r="Y3249" s="352"/>
      <c r="Z3249" s="352"/>
      <c r="AA3249" s="352"/>
      <c r="AB3249" s="352"/>
      <c r="AC3249" s="352"/>
      <c r="AD3249" s="352"/>
      <c r="AE3249" s="352"/>
      <c r="AF3249" s="352"/>
      <c r="AG3249" s="352"/>
      <c r="AH3249" s="352"/>
      <c r="AI3249" s="352"/>
      <c r="AJ3249" s="352"/>
    </row>
    <row r="3250" spans="2:36" x14ac:dyDescent="0.2">
      <c r="B3250" s="352"/>
      <c r="C3250" s="352"/>
      <c r="D3250" s="352"/>
      <c r="E3250" s="352"/>
      <c r="F3250" s="352"/>
      <c r="H3250" s="352"/>
      <c r="J3250" s="352"/>
      <c r="L3250" s="352"/>
      <c r="M3250" s="352"/>
      <c r="N3250" s="352"/>
      <c r="O3250" s="352"/>
      <c r="P3250" s="352"/>
      <c r="Q3250" s="352"/>
      <c r="R3250" s="352"/>
      <c r="S3250" s="352"/>
      <c r="T3250" s="352"/>
      <c r="U3250" s="352"/>
      <c r="V3250" s="352"/>
      <c r="W3250" s="352"/>
      <c r="X3250" s="352"/>
      <c r="Y3250" s="352"/>
      <c r="Z3250" s="352"/>
      <c r="AA3250" s="352"/>
      <c r="AB3250" s="352"/>
      <c r="AC3250" s="352"/>
      <c r="AD3250" s="352"/>
      <c r="AE3250" s="352"/>
      <c r="AF3250" s="352"/>
      <c r="AG3250" s="352"/>
      <c r="AH3250" s="352"/>
      <c r="AI3250" s="352"/>
      <c r="AJ3250" s="352"/>
    </row>
    <row r="3251" spans="2:36" x14ac:dyDescent="0.2">
      <c r="B3251" s="352"/>
      <c r="C3251" s="352"/>
      <c r="D3251" s="352"/>
      <c r="E3251" s="352"/>
      <c r="F3251" s="352"/>
      <c r="H3251" s="352"/>
      <c r="J3251" s="352"/>
      <c r="L3251" s="352"/>
      <c r="M3251" s="352"/>
      <c r="N3251" s="352"/>
      <c r="O3251" s="352"/>
      <c r="P3251" s="352"/>
      <c r="Q3251" s="352"/>
      <c r="R3251" s="352"/>
      <c r="S3251" s="352"/>
      <c r="T3251" s="352"/>
      <c r="U3251" s="352"/>
      <c r="V3251" s="352"/>
      <c r="W3251" s="352"/>
      <c r="X3251" s="352"/>
      <c r="Y3251" s="352"/>
      <c r="Z3251" s="352"/>
      <c r="AA3251" s="352"/>
      <c r="AB3251" s="352"/>
      <c r="AC3251" s="352"/>
      <c r="AD3251" s="352"/>
      <c r="AE3251" s="352"/>
      <c r="AF3251" s="352"/>
      <c r="AG3251" s="352"/>
      <c r="AH3251" s="352"/>
      <c r="AI3251" s="352"/>
      <c r="AJ3251" s="352"/>
    </row>
    <row r="3252" spans="2:36" x14ac:dyDescent="0.2">
      <c r="B3252" s="352"/>
      <c r="C3252" s="352"/>
      <c r="D3252" s="352"/>
      <c r="E3252" s="352"/>
      <c r="F3252" s="352"/>
      <c r="H3252" s="352"/>
      <c r="J3252" s="352"/>
      <c r="L3252" s="352"/>
      <c r="M3252" s="352"/>
      <c r="N3252" s="352"/>
      <c r="O3252" s="352"/>
      <c r="P3252" s="352"/>
      <c r="Q3252" s="352"/>
      <c r="R3252" s="352"/>
      <c r="S3252" s="352"/>
      <c r="T3252" s="352"/>
      <c r="U3252" s="352"/>
      <c r="V3252" s="352"/>
      <c r="W3252" s="352"/>
      <c r="X3252" s="352"/>
      <c r="Y3252" s="352"/>
      <c r="Z3252" s="352"/>
      <c r="AA3252" s="352"/>
      <c r="AB3252" s="352"/>
      <c r="AC3252" s="352"/>
      <c r="AD3252" s="352"/>
      <c r="AE3252" s="352"/>
      <c r="AF3252" s="352"/>
      <c r="AG3252" s="352"/>
      <c r="AH3252" s="352"/>
      <c r="AI3252" s="352"/>
      <c r="AJ3252" s="352"/>
    </row>
    <row r="3253" spans="2:36" x14ac:dyDescent="0.2">
      <c r="B3253" s="352"/>
      <c r="C3253" s="352"/>
      <c r="D3253" s="352"/>
      <c r="E3253" s="352"/>
      <c r="F3253" s="352"/>
      <c r="H3253" s="352"/>
      <c r="J3253" s="352"/>
      <c r="L3253" s="352"/>
      <c r="M3253" s="352"/>
      <c r="N3253" s="352"/>
      <c r="O3253" s="352"/>
      <c r="P3253" s="352"/>
      <c r="Q3253" s="352"/>
      <c r="R3253" s="352"/>
      <c r="S3253" s="352"/>
      <c r="T3253" s="352"/>
      <c r="U3253" s="352"/>
      <c r="V3253" s="352"/>
      <c r="W3253" s="352"/>
      <c r="X3253" s="352"/>
      <c r="Y3253" s="352"/>
      <c r="Z3253" s="352"/>
      <c r="AA3253" s="352"/>
      <c r="AB3253" s="352"/>
      <c r="AC3253" s="352"/>
      <c r="AD3253" s="352"/>
      <c r="AE3253" s="352"/>
      <c r="AF3253" s="352"/>
      <c r="AG3253" s="352"/>
      <c r="AH3253" s="352"/>
      <c r="AI3253" s="352"/>
      <c r="AJ3253" s="352"/>
    </row>
    <row r="3254" spans="2:36" x14ac:dyDescent="0.2">
      <c r="B3254" s="352"/>
      <c r="C3254" s="352"/>
      <c r="D3254" s="352"/>
      <c r="E3254" s="352"/>
      <c r="F3254" s="352"/>
      <c r="H3254" s="352"/>
      <c r="J3254" s="352"/>
      <c r="L3254" s="352"/>
      <c r="M3254" s="352"/>
      <c r="N3254" s="352"/>
      <c r="O3254" s="352"/>
      <c r="P3254" s="352"/>
      <c r="Q3254" s="352"/>
      <c r="R3254" s="352"/>
      <c r="S3254" s="352"/>
      <c r="T3254" s="352"/>
      <c r="U3254" s="352"/>
      <c r="V3254" s="352"/>
      <c r="W3254" s="352"/>
      <c r="X3254" s="352"/>
      <c r="Y3254" s="352"/>
      <c r="Z3254" s="352"/>
      <c r="AA3254" s="352"/>
      <c r="AB3254" s="352"/>
      <c r="AC3254" s="352"/>
      <c r="AD3254" s="352"/>
      <c r="AE3254" s="352"/>
      <c r="AF3254" s="352"/>
      <c r="AG3254" s="352"/>
      <c r="AH3254" s="352"/>
      <c r="AI3254" s="352"/>
      <c r="AJ3254" s="352"/>
    </row>
    <row r="3255" spans="2:36" x14ac:dyDescent="0.2">
      <c r="B3255" s="352"/>
      <c r="C3255" s="352"/>
      <c r="D3255" s="352"/>
      <c r="E3255" s="352"/>
      <c r="F3255" s="352"/>
      <c r="H3255" s="352"/>
      <c r="J3255" s="352"/>
      <c r="L3255" s="352"/>
      <c r="M3255" s="352"/>
      <c r="N3255" s="352"/>
      <c r="O3255" s="352"/>
      <c r="P3255" s="352"/>
      <c r="Q3255" s="352"/>
      <c r="R3255" s="352"/>
      <c r="S3255" s="352"/>
      <c r="T3255" s="352"/>
      <c r="U3255" s="352"/>
      <c r="V3255" s="352"/>
      <c r="W3255" s="352"/>
      <c r="X3255" s="352"/>
      <c r="Y3255" s="352"/>
      <c r="Z3255" s="352"/>
      <c r="AA3255" s="352"/>
      <c r="AB3255" s="352"/>
      <c r="AC3255" s="352"/>
      <c r="AD3255" s="352"/>
      <c r="AE3255" s="352"/>
      <c r="AF3255" s="352"/>
      <c r="AG3255" s="352"/>
      <c r="AH3255" s="352"/>
      <c r="AI3255" s="352"/>
      <c r="AJ3255" s="352"/>
    </row>
    <row r="3256" spans="2:36" x14ac:dyDescent="0.2">
      <c r="B3256" s="352"/>
      <c r="C3256" s="352"/>
      <c r="D3256" s="352"/>
      <c r="E3256" s="352"/>
      <c r="F3256" s="352"/>
      <c r="H3256" s="352"/>
      <c r="J3256" s="352"/>
      <c r="L3256" s="352"/>
      <c r="M3256" s="352"/>
      <c r="N3256" s="352"/>
      <c r="O3256" s="352"/>
      <c r="P3256" s="352"/>
      <c r="Q3256" s="352"/>
      <c r="R3256" s="352"/>
      <c r="S3256" s="352"/>
      <c r="T3256" s="352"/>
      <c r="U3256" s="352"/>
      <c r="V3256" s="352"/>
      <c r="W3256" s="352"/>
      <c r="X3256" s="352"/>
      <c r="Y3256" s="352"/>
      <c r="Z3256" s="352"/>
      <c r="AA3256" s="352"/>
      <c r="AB3256" s="352"/>
      <c r="AC3256" s="352"/>
      <c r="AD3256" s="352"/>
      <c r="AE3256" s="352"/>
      <c r="AF3256" s="352"/>
      <c r="AG3256" s="352"/>
      <c r="AH3256" s="352"/>
      <c r="AI3256" s="352"/>
      <c r="AJ3256" s="352"/>
    </row>
    <row r="3257" spans="2:36" x14ac:dyDescent="0.2">
      <c r="B3257" s="352"/>
      <c r="C3257" s="352"/>
      <c r="D3257" s="352"/>
      <c r="E3257" s="352"/>
      <c r="F3257" s="352"/>
      <c r="H3257" s="352"/>
      <c r="J3257" s="352"/>
      <c r="L3257" s="352"/>
      <c r="M3257" s="352"/>
      <c r="N3257" s="352"/>
      <c r="O3257" s="352"/>
      <c r="P3257" s="352"/>
      <c r="Q3257" s="352"/>
      <c r="R3257" s="352"/>
      <c r="S3257" s="352"/>
      <c r="T3257" s="352"/>
      <c r="U3257" s="352"/>
      <c r="V3257" s="352"/>
      <c r="W3257" s="352"/>
      <c r="X3257" s="352"/>
      <c r="Y3257" s="352"/>
      <c r="Z3257" s="352"/>
      <c r="AA3257" s="352"/>
      <c r="AB3257" s="352"/>
      <c r="AC3257" s="352"/>
      <c r="AD3257" s="352"/>
      <c r="AE3257" s="352"/>
      <c r="AF3257" s="352"/>
      <c r="AG3257" s="352"/>
      <c r="AH3257" s="352"/>
      <c r="AI3257" s="352"/>
      <c r="AJ3257" s="352"/>
    </row>
    <row r="3258" spans="2:36" x14ac:dyDescent="0.2">
      <c r="B3258" s="352"/>
      <c r="C3258" s="352"/>
      <c r="D3258" s="352"/>
      <c r="E3258" s="352"/>
      <c r="F3258" s="352"/>
      <c r="H3258" s="352"/>
      <c r="J3258" s="352"/>
      <c r="L3258" s="352"/>
      <c r="M3258" s="352"/>
      <c r="N3258" s="352"/>
      <c r="O3258" s="352"/>
      <c r="P3258" s="352"/>
      <c r="Q3258" s="352"/>
      <c r="R3258" s="352"/>
      <c r="S3258" s="352"/>
      <c r="T3258" s="352"/>
      <c r="U3258" s="352"/>
      <c r="V3258" s="352"/>
      <c r="W3258" s="352"/>
      <c r="X3258" s="352"/>
      <c r="Y3258" s="352"/>
      <c r="Z3258" s="352"/>
      <c r="AA3258" s="352"/>
      <c r="AB3258" s="352"/>
      <c r="AC3258" s="352"/>
      <c r="AD3258" s="352"/>
      <c r="AE3258" s="352"/>
      <c r="AF3258" s="352"/>
      <c r="AG3258" s="352"/>
      <c r="AH3258" s="352"/>
      <c r="AI3258" s="352"/>
      <c r="AJ3258" s="352"/>
    </row>
    <row r="3259" spans="2:36" x14ac:dyDescent="0.2">
      <c r="B3259" s="352"/>
      <c r="C3259" s="352"/>
      <c r="D3259" s="352"/>
      <c r="E3259" s="352"/>
      <c r="F3259" s="352"/>
      <c r="H3259" s="352"/>
      <c r="J3259" s="352"/>
      <c r="L3259" s="352"/>
      <c r="M3259" s="352"/>
      <c r="N3259" s="352"/>
      <c r="O3259" s="352"/>
      <c r="P3259" s="352"/>
      <c r="Q3259" s="352"/>
      <c r="R3259" s="352"/>
      <c r="S3259" s="352"/>
      <c r="T3259" s="352"/>
      <c r="U3259" s="352"/>
      <c r="V3259" s="352"/>
      <c r="W3259" s="352"/>
      <c r="X3259" s="352"/>
      <c r="Y3259" s="352"/>
      <c r="Z3259" s="352"/>
      <c r="AA3259" s="352"/>
      <c r="AB3259" s="352"/>
      <c r="AC3259" s="352"/>
      <c r="AD3259" s="352"/>
      <c r="AE3259" s="352"/>
      <c r="AF3259" s="352"/>
      <c r="AG3259" s="352"/>
      <c r="AH3259" s="352"/>
      <c r="AI3259" s="352"/>
      <c r="AJ3259" s="352"/>
    </row>
    <row r="3260" spans="2:36" x14ac:dyDescent="0.2">
      <c r="B3260" s="352"/>
      <c r="C3260" s="352"/>
      <c r="D3260" s="352"/>
      <c r="E3260" s="352"/>
      <c r="F3260" s="352"/>
      <c r="H3260" s="352"/>
      <c r="J3260" s="352"/>
      <c r="L3260" s="352"/>
      <c r="M3260" s="352"/>
      <c r="N3260" s="352"/>
      <c r="O3260" s="352"/>
      <c r="P3260" s="352"/>
      <c r="Q3260" s="352"/>
      <c r="R3260" s="352"/>
      <c r="S3260" s="352"/>
      <c r="T3260" s="352"/>
      <c r="U3260" s="352"/>
      <c r="V3260" s="352"/>
      <c r="W3260" s="352"/>
      <c r="X3260" s="352"/>
      <c r="Y3260" s="352"/>
      <c r="Z3260" s="352"/>
      <c r="AA3260" s="352"/>
      <c r="AB3260" s="352"/>
      <c r="AC3260" s="352"/>
      <c r="AD3260" s="352"/>
      <c r="AE3260" s="352"/>
      <c r="AF3260" s="352"/>
      <c r="AG3260" s="352"/>
      <c r="AH3260" s="352"/>
      <c r="AI3260" s="352"/>
      <c r="AJ3260" s="352"/>
    </row>
    <row r="3261" spans="2:36" x14ac:dyDescent="0.2">
      <c r="B3261" s="352"/>
      <c r="C3261" s="352"/>
      <c r="D3261" s="352"/>
      <c r="E3261" s="352"/>
      <c r="F3261" s="352"/>
      <c r="H3261" s="352"/>
      <c r="J3261" s="352"/>
      <c r="L3261" s="352"/>
      <c r="M3261" s="352"/>
      <c r="N3261" s="352"/>
      <c r="O3261" s="352"/>
      <c r="P3261" s="352"/>
      <c r="Q3261" s="352"/>
      <c r="R3261" s="352"/>
      <c r="S3261" s="352"/>
      <c r="T3261" s="352"/>
      <c r="U3261" s="352"/>
      <c r="V3261" s="352"/>
      <c r="W3261" s="352"/>
      <c r="X3261" s="352"/>
      <c r="Y3261" s="352"/>
      <c r="Z3261" s="352"/>
      <c r="AA3261" s="352"/>
      <c r="AB3261" s="352"/>
      <c r="AC3261" s="352"/>
      <c r="AD3261" s="352"/>
      <c r="AE3261" s="352"/>
      <c r="AF3261" s="352"/>
      <c r="AG3261" s="352"/>
      <c r="AH3261" s="352"/>
      <c r="AI3261" s="352"/>
      <c r="AJ3261" s="352"/>
    </row>
    <row r="3262" spans="2:36" x14ac:dyDescent="0.2">
      <c r="B3262" s="352"/>
      <c r="C3262" s="352"/>
      <c r="D3262" s="352"/>
      <c r="E3262" s="352"/>
      <c r="F3262" s="352"/>
      <c r="H3262" s="352"/>
      <c r="J3262" s="352"/>
      <c r="L3262" s="352"/>
      <c r="M3262" s="352"/>
      <c r="N3262" s="352"/>
      <c r="O3262" s="352"/>
      <c r="P3262" s="352"/>
      <c r="Q3262" s="352"/>
      <c r="R3262" s="352"/>
      <c r="S3262" s="352"/>
      <c r="T3262" s="352"/>
      <c r="U3262" s="352"/>
      <c r="V3262" s="352"/>
      <c r="W3262" s="352"/>
      <c r="X3262" s="352"/>
      <c r="Y3262" s="352"/>
      <c r="Z3262" s="352"/>
      <c r="AA3262" s="352"/>
      <c r="AB3262" s="352"/>
      <c r="AC3262" s="352"/>
      <c r="AD3262" s="352"/>
      <c r="AE3262" s="352"/>
      <c r="AF3262" s="352"/>
      <c r="AG3262" s="352"/>
      <c r="AH3262" s="352"/>
      <c r="AI3262" s="352"/>
      <c r="AJ3262" s="352"/>
    </row>
    <row r="3263" spans="2:36" x14ac:dyDescent="0.2">
      <c r="B3263" s="352"/>
      <c r="C3263" s="352"/>
      <c r="D3263" s="352"/>
      <c r="E3263" s="352"/>
      <c r="F3263" s="352"/>
      <c r="H3263" s="352"/>
      <c r="J3263" s="352"/>
      <c r="L3263" s="352"/>
      <c r="M3263" s="352"/>
      <c r="N3263" s="352"/>
      <c r="O3263" s="352"/>
      <c r="P3263" s="352"/>
      <c r="Q3263" s="352"/>
      <c r="R3263" s="352"/>
      <c r="S3263" s="352"/>
      <c r="T3263" s="352"/>
      <c r="U3263" s="352"/>
      <c r="V3263" s="352"/>
      <c r="W3263" s="352"/>
      <c r="X3263" s="352"/>
      <c r="Y3263" s="352"/>
      <c r="Z3263" s="352"/>
      <c r="AA3263" s="352"/>
      <c r="AB3263" s="352"/>
      <c r="AC3263" s="352"/>
      <c r="AD3263" s="352"/>
      <c r="AE3263" s="352"/>
      <c r="AF3263" s="352"/>
      <c r="AG3263" s="352"/>
      <c r="AH3263" s="352"/>
      <c r="AI3263" s="352"/>
      <c r="AJ3263" s="352"/>
    </row>
    <row r="3264" spans="2:36" x14ac:dyDescent="0.2">
      <c r="B3264" s="352"/>
      <c r="C3264" s="352"/>
      <c r="D3264" s="352"/>
      <c r="E3264" s="352"/>
      <c r="F3264" s="352"/>
      <c r="H3264" s="352"/>
      <c r="J3264" s="352"/>
      <c r="L3264" s="352"/>
      <c r="M3264" s="352"/>
      <c r="N3264" s="352"/>
      <c r="O3264" s="352"/>
      <c r="P3264" s="352"/>
      <c r="Q3264" s="352"/>
      <c r="R3264" s="352"/>
      <c r="S3264" s="352"/>
      <c r="T3264" s="352"/>
      <c r="U3264" s="352"/>
      <c r="V3264" s="352"/>
      <c r="W3264" s="352"/>
      <c r="X3264" s="352"/>
      <c r="Y3264" s="352"/>
      <c r="Z3264" s="352"/>
      <c r="AA3264" s="352"/>
      <c r="AB3264" s="352"/>
      <c r="AC3264" s="352"/>
      <c r="AD3264" s="352"/>
      <c r="AE3264" s="352"/>
      <c r="AF3264" s="352"/>
      <c r="AG3264" s="352"/>
      <c r="AH3264" s="352"/>
      <c r="AI3264" s="352"/>
      <c r="AJ3264" s="352"/>
    </row>
    <row r="3265" spans="2:36" x14ac:dyDescent="0.2">
      <c r="B3265" s="352"/>
      <c r="C3265" s="352"/>
      <c r="D3265" s="352"/>
      <c r="E3265" s="352"/>
      <c r="F3265" s="352"/>
      <c r="H3265" s="352"/>
      <c r="J3265" s="352"/>
      <c r="L3265" s="352"/>
      <c r="M3265" s="352"/>
      <c r="N3265" s="352"/>
      <c r="O3265" s="352"/>
      <c r="P3265" s="352"/>
      <c r="Q3265" s="352"/>
      <c r="R3265" s="352"/>
      <c r="S3265" s="352"/>
      <c r="T3265" s="352"/>
      <c r="U3265" s="352"/>
      <c r="V3265" s="352"/>
      <c r="W3265" s="352"/>
      <c r="X3265" s="352"/>
      <c r="Y3265" s="352"/>
      <c r="Z3265" s="352"/>
      <c r="AA3265" s="352"/>
      <c r="AB3265" s="352"/>
      <c r="AC3265" s="352"/>
      <c r="AD3265" s="352"/>
      <c r="AE3265" s="352"/>
      <c r="AF3265" s="352"/>
      <c r="AG3265" s="352"/>
      <c r="AH3265" s="352"/>
      <c r="AI3265" s="352"/>
      <c r="AJ3265" s="352"/>
    </row>
    <row r="3266" spans="2:36" x14ac:dyDescent="0.2">
      <c r="B3266" s="352"/>
      <c r="C3266" s="352"/>
      <c r="D3266" s="352"/>
      <c r="E3266" s="352"/>
      <c r="F3266" s="352"/>
      <c r="H3266" s="352"/>
      <c r="J3266" s="352"/>
      <c r="L3266" s="352"/>
      <c r="M3266" s="352"/>
      <c r="N3266" s="352"/>
      <c r="O3266" s="352"/>
      <c r="P3266" s="352"/>
      <c r="Q3266" s="352"/>
      <c r="R3266" s="352"/>
      <c r="S3266" s="352"/>
      <c r="T3266" s="352"/>
      <c r="U3266" s="352"/>
      <c r="V3266" s="352"/>
      <c r="W3266" s="352"/>
      <c r="X3266" s="352"/>
      <c r="Y3266" s="352"/>
      <c r="Z3266" s="352"/>
      <c r="AA3266" s="352"/>
      <c r="AB3266" s="352"/>
      <c r="AC3266" s="352"/>
      <c r="AD3266" s="352"/>
      <c r="AE3266" s="352"/>
      <c r="AF3266" s="352"/>
      <c r="AG3266" s="352"/>
      <c r="AH3266" s="352"/>
      <c r="AI3266" s="352"/>
      <c r="AJ3266" s="352"/>
    </row>
    <row r="3267" spans="2:36" x14ac:dyDescent="0.2">
      <c r="B3267" s="352"/>
      <c r="C3267" s="352"/>
      <c r="D3267" s="352"/>
      <c r="E3267" s="352"/>
      <c r="F3267" s="352"/>
      <c r="H3267" s="352"/>
      <c r="J3267" s="352"/>
      <c r="L3267" s="352"/>
      <c r="M3267" s="352"/>
      <c r="N3267" s="352"/>
      <c r="O3267" s="352"/>
      <c r="P3267" s="352"/>
      <c r="Q3267" s="352"/>
      <c r="R3267" s="352"/>
      <c r="S3267" s="352"/>
      <c r="T3267" s="352"/>
      <c r="U3267" s="352"/>
      <c r="V3267" s="352"/>
      <c r="W3267" s="352"/>
      <c r="X3267" s="352"/>
      <c r="Y3267" s="352"/>
      <c r="Z3267" s="352"/>
      <c r="AA3267" s="352"/>
      <c r="AB3267" s="352"/>
      <c r="AC3267" s="352"/>
      <c r="AD3267" s="352"/>
      <c r="AE3267" s="352"/>
      <c r="AF3267" s="352"/>
      <c r="AG3267" s="352"/>
      <c r="AH3267" s="352"/>
      <c r="AI3267" s="352"/>
      <c r="AJ3267" s="352"/>
    </row>
    <row r="3268" spans="2:36" x14ac:dyDescent="0.2">
      <c r="B3268" s="352"/>
      <c r="C3268" s="352"/>
      <c r="D3268" s="352"/>
      <c r="E3268" s="352"/>
      <c r="F3268" s="352"/>
      <c r="H3268" s="352"/>
      <c r="J3268" s="352"/>
      <c r="L3268" s="352"/>
      <c r="M3268" s="352"/>
      <c r="N3268" s="352"/>
      <c r="O3268" s="352"/>
      <c r="P3268" s="352"/>
      <c r="Q3268" s="352"/>
      <c r="R3268" s="352"/>
      <c r="S3268" s="352"/>
      <c r="T3268" s="352"/>
      <c r="U3268" s="352"/>
      <c r="V3268" s="352"/>
      <c r="W3268" s="352"/>
      <c r="X3268" s="352"/>
      <c r="Y3268" s="352"/>
      <c r="Z3268" s="352"/>
      <c r="AA3268" s="352"/>
      <c r="AB3268" s="352"/>
      <c r="AC3268" s="352"/>
      <c r="AD3268" s="352"/>
      <c r="AE3268" s="352"/>
      <c r="AF3268" s="352"/>
      <c r="AG3268" s="352"/>
      <c r="AH3268" s="352"/>
      <c r="AI3268" s="352"/>
      <c r="AJ3268" s="352"/>
    </row>
    <row r="3269" spans="2:36" x14ac:dyDescent="0.2">
      <c r="B3269" s="352"/>
      <c r="C3269" s="352"/>
      <c r="D3269" s="352"/>
      <c r="E3269" s="352"/>
      <c r="F3269" s="352"/>
      <c r="H3269" s="352"/>
      <c r="J3269" s="352"/>
      <c r="L3269" s="352"/>
      <c r="M3269" s="352"/>
      <c r="N3269" s="352"/>
      <c r="O3269" s="352"/>
      <c r="P3269" s="352"/>
      <c r="Q3269" s="352"/>
      <c r="R3269" s="352"/>
      <c r="S3269" s="352"/>
      <c r="T3269" s="352"/>
      <c r="U3269" s="352"/>
      <c r="V3269" s="352"/>
      <c r="W3269" s="352"/>
      <c r="X3269" s="352"/>
      <c r="Y3269" s="352"/>
      <c r="Z3269" s="352"/>
      <c r="AA3269" s="352"/>
      <c r="AB3269" s="352"/>
      <c r="AC3269" s="352"/>
      <c r="AD3269" s="352"/>
      <c r="AE3269" s="352"/>
      <c r="AF3269" s="352"/>
      <c r="AG3269" s="352"/>
      <c r="AH3269" s="352"/>
      <c r="AI3269" s="352"/>
      <c r="AJ3269" s="352"/>
    </row>
    <row r="3270" spans="2:36" x14ac:dyDescent="0.2">
      <c r="B3270" s="352"/>
      <c r="C3270" s="352"/>
      <c r="D3270" s="352"/>
      <c r="E3270" s="352"/>
      <c r="F3270" s="352"/>
      <c r="H3270" s="352"/>
      <c r="J3270" s="352"/>
      <c r="L3270" s="352"/>
      <c r="M3270" s="352"/>
      <c r="N3270" s="352"/>
      <c r="O3270" s="352"/>
      <c r="P3270" s="352"/>
      <c r="Q3270" s="352"/>
      <c r="R3270" s="352"/>
      <c r="S3270" s="352"/>
      <c r="T3270" s="352"/>
      <c r="U3270" s="352"/>
      <c r="V3270" s="352"/>
      <c r="W3270" s="352"/>
      <c r="X3270" s="352"/>
      <c r="Y3270" s="352"/>
      <c r="Z3270" s="352"/>
      <c r="AA3270" s="352"/>
      <c r="AB3270" s="352"/>
      <c r="AC3270" s="352"/>
      <c r="AD3270" s="352"/>
      <c r="AE3270" s="352"/>
      <c r="AF3270" s="352"/>
      <c r="AG3270" s="352"/>
      <c r="AH3270" s="352"/>
      <c r="AI3270" s="352"/>
      <c r="AJ3270" s="352"/>
    </row>
    <row r="3271" spans="2:36" x14ac:dyDescent="0.2">
      <c r="B3271" s="352"/>
      <c r="C3271" s="352"/>
      <c r="D3271" s="352"/>
      <c r="E3271" s="352"/>
      <c r="F3271" s="352"/>
      <c r="H3271" s="352"/>
      <c r="J3271" s="352"/>
      <c r="L3271" s="352"/>
      <c r="M3271" s="352"/>
      <c r="N3271" s="352"/>
      <c r="O3271" s="352"/>
      <c r="P3271" s="352"/>
      <c r="Q3271" s="352"/>
      <c r="R3271" s="352"/>
      <c r="S3271" s="352"/>
      <c r="T3271" s="352"/>
      <c r="U3271" s="352"/>
      <c r="V3271" s="352"/>
      <c r="W3271" s="352"/>
      <c r="X3271" s="352"/>
      <c r="Y3271" s="352"/>
      <c r="Z3271" s="352"/>
      <c r="AA3271" s="352"/>
      <c r="AB3271" s="352"/>
      <c r="AC3271" s="352"/>
      <c r="AD3271" s="352"/>
      <c r="AE3271" s="352"/>
      <c r="AF3271" s="352"/>
      <c r="AG3271" s="352"/>
      <c r="AH3271" s="352"/>
      <c r="AI3271" s="352"/>
      <c r="AJ3271" s="352"/>
    </row>
    <row r="3272" spans="2:36" x14ac:dyDescent="0.2">
      <c r="B3272" s="352"/>
      <c r="C3272" s="352"/>
      <c r="D3272" s="352"/>
      <c r="E3272" s="352"/>
      <c r="F3272" s="352"/>
      <c r="H3272" s="352"/>
      <c r="J3272" s="352"/>
      <c r="L3272" s="352"/>
      <c r="M3272" s="352"/>
      <c r="N3272" s="352"/>
      <c r="O3272" s="352"/>
      <c r="P3272" s="352"/>
      <c r="Q3272" s="352"/>
      <c r="R3272" s="352"/>
      <c r="S3272" s="352"/>
      <c r="T3272" s="352"/>
      <c r="U3272" s="352"/>
      <c r="V3272" s="352"/>
      <c r="W3272" s="352"/>
      <c r="X3272" s="352"/>
      <c r="Y3272" s="352"/>
      <c r="Z3272" s="352"/>
      <c r="AA3272" s="352"/>
      <c r="AB3272" s="352"/>
      <c r="AC3272" s="352"/>
      <c r="AD3272" s="352"/>
      <c r="AE3272" s="352"/>
      <c r="AF3272" s="352"/>
      <c r="AG3272" s="352"/>
      <c r="AH3272" s="352"/>
      <c r="AI3272" s="352"/>
      <c r="AJ3272" s="352"/>
    </row>
    <row r="3273" spans="2:36" x14ac:dyDescent="0.2">
      <c r="B3273" s="352"/>
      <c r="C3273" s="352"/>
      <c r="D3273" s="352"/>
      <c r="E3273" s="352"/>
      <c r="F3273" s="352"/>
      <c r="H3273" s="352"/>
      <c r="J3273" s="352"/>
      <c r="L3273" s="352"/>
      <c r="M3273" s="352"/>
      <c r="N3273" s="352"/>
      <c r="O3273" s="352"/>
      <c r="P3273" s="352"/>
      <c r="Q3273" s="352"/>
      <c r="R3273" s="352"/>
      <c r="S3273" s="352"/>
      <c r="T3273" s="352"/>
      <c r="U3273" s="352"/>
      <c r="V3273" s="352"/>
      <c r="W3273" s="352"/>
      <c r="X3273" s="352"/>
      <c r="Y3273" s="352"/>
      <c r="Z3273" s="352"/>
      <c r="AA3273" s="352"/>
      <c r="AB3273" s="352"/>
      <c r="AC3273" s="352"/>
      <c r="AD3273" s="352"/>
      <c r="AE3273" s="352"/>
      <c r="AF3273" s="352"/>
      <c r="AG3273" s="352"/>
      <c r="AH3273" s="352"/>
      <c r="AI3273" s="352"/>
      <c r="AJ3273" s="352"/>
    </row>
    <row r="3274" spans="2:36" x14ac:dyDescent="0.2">
      <c r="B3274" s="352"/>
      <c r="C3274" s="352"/>
      <c r="D3274" s="352"/>
      <c r="E3274" s="352"/>
      <c r="F3274" s="352"/>
      <c r="H3274" s="352"/>
      <c r="J3274" s="352"/>
      <c r="L3274" s="352"/>
      <c r="M3274" s="352"/>
      <c r="N3274" s="352"/>
      <c r="O3274" s="352"/>
      <c r="P3274" s="352"/>
      <c r="Q3274" s="352"/>
      <c r="R3274" s="352"/>
      <c r="S3274" s="352"/>
      <c r="T3274" s="352"/>
      <c r="U3274" s="352"/>
      <c r="V3274" s="352"/>
      <c r="W3274" s="352"/>
      <c r="X3274" s="352"/>
      <c r="Y3274" s="352"/>
      <c r="Z3274" s="352"/>
      <c r="AA3274" s="352"/>
      <c r="AB3274" s="352"/>
      <c r="AC3274" s="352"/>
      <c r="AD3274" s="352"/>
      <c r="AE3274" s="352"/>
      <c r="AF3274" s="352"/>
      <c r="AG3274" s="352"/>
      <c r="AH3274" s="352"/>
      <c r="AI3274" s="352"/>
      <c r="AJ3274" s="352"/>
    </row>
    <row r="3275" spans="2:36" x14ac:dyDescent="0.2">
      <c r="B3275" s="352"/>
      <c r="C3275" s="352"/>
      <c r="D3275" s="352"/>
      <c r="E3275" s="352"/>
      <c r="F3275" s="352"/>
      <c r="H3275" s="352"/>
      <c r="J3275" s="352"/>
      <c r="L3275" s="352"/>
      <c r="M3275" s="352"/>
      <c r="N3275" s="352"/>
      <c r="O3275" s="352"/>
      <c r="P3275" s="352"/>
      <c r="Q3275" s="352"/>
      <c r="R3275" s="352"/>
      <c r="S3275" s="352"/>
      <c r="T3275" s="352"/>
      <c r="U3275" s="352"/>
      <c r="V3275" s="352"/>
      <c r="W3275" s="352"/>
      <c r="X3275" s="352"/>
      <c r="Y3275" s="352"/>
      <c r="Z3275" s="352"/>
      <c r="AA3275" s="352"/>
      <c r="AB3275" s="352"/>
      <c r="AC3275" s="352"/>
      <c r="AD3275" s="352"/>
      <c r="AE3275" s="352"/>
      <c r="AF3275" s="352"/>
      <c r="AG3275" s="352"/>
      <c r="AH3275" s="352"/>
      <c r="AI3275" s="352"/>
      <c r="AJ3275" s="352"/>
    </row>
    <row r="3276" spans="2:36" x14ac:dyDescent="0.2">
      <c r="B3276" s="352"/>
      <c r="C3276" s="352"/>
      <c r="D3276" s="352"/>
      <c r="E3276" s="352"/>
      <c r="F3276" s="352"/>
      <c r="H3276" s="352"/>
      <c r="J3276" s="352"/>
      <c r="L3276" s="352"/>
      <c r="M3276" s="352"/>
      <c r="N3276" s="352"/>
      <c r="O3276" s="352"/>
      <c r="P3276" s="352"/>
      <c r="Q3276" s="352"/>
      <c r="R3276" s="352"/>
      <c r="S3276" s="352"/>
      <c r="T3276" s="352"/>
      <c r="U3276" s="352"/>
      <c r="V3276" s="352"/>
      <c r="W3276" s="352"/>
      <c r="X3276" s="352"/>
      <c r="Y3276" s="352"/>
      <c r="Z3276" s="352"/>
      <c r="AA3276" s="352"/>
      <c r="AB3276" s="352"/>
      <c r="AC3276" s="352"/>
      <c r="AD3276" s="352"/>
      <c r="AE3276" s="352"/>
      <c r="AF3276" s="352"/>
      <c r="AG3276" s="352"/>
      <c r="AH3276" s="352"/>
      <c r="AI3276" s="352"/>
      <c r="AJ3276" s="352"/>
    </row>
    <row r="3277" spans="2:36" x14ac:dyDescent="0.2">
      <c r="B3277" s="352"/>
      <c r="C3277" s="352"/>
      <c r="D3277" s="352"/>
      <c r="E3277" s="352"/>
      <c r="F3277" s="352"/>
      <c r="H3277" s="352"/>
      <c r="J3277" s="352"/>
      <c r="L3277" s="352"/>
      <c r="M3277" s="352"/>
      <c r="N3277" s="352"/>
      <c r="O3277" s="352"/>
      <c r="P3277" s="352"/>
      <c r="Q3277" s="352"/>
      <c r="R3277" s="352"/>
      <c r="S3277" s="352"/>
      <c r="T3277" s="352"/>
      <c r="U3277" s="352"/>
      <c r="V3277" s="352"/>
      <c r="W3277" s="352"/>
      <c r="X3277" s="352"/>
      <c r="Y3277" s="352"/>
      <c r="Z3277" s="352"/>
      <c r="AA3277" s="352"/>
      <c r="AB3277" s="352"/>
      <c r="AC3277" s="352"/>
      <c r="AD3277" s="352"/>
      <c r="AE3277" s="352"/>
      <c r="AF3277" s="352"/>
      <c r="AG3277" s="352"/>
      <c r="AH3277" s="352"/>
      <c r="AI3277" s="352"/>
      <c r="AJ3277" s="352"/>
    </row>
    <row r="3278" spans="2:36" x14ac:dyDescent="0.2">
      <c r="B3278" s="352"/>
      <c r="C3278" s="352"/>
      <c r="D3278" s="352"/>
      <c r="E3278" s="352"/>
      <c r="F3278" s="352"/>
      <c r="H3278" s="352"/>
      <c r="J3278" s="352"/>
      <c r="L3278" s="352"/>
      <c r="M3278" s="352"/>
      <c r="N3278" s="352"/>
      <c r="O3278" s="352"/>
      <c r="P3278" s="352"/>
      <c r="Q3278" s="352"/>
      <c r="R3278" s="352"/>
      <c r="S3278" s="352"/>
      <c r="T3278" s="352"/>
      <c r="U3278" s="352"/>
      <c r="V3278" s="352"/>
      <c r="W3278" s="352"/>
      <c r="X3278" s="352"/>
      <c r="Y3278" s="352"/>
      <c r="Z3278" s="352"/>
      <c r="AA3278" s="352"/>
      <c r="AB3278" s="352"/>
      <c r="AC3278" s="352"/>
      <c r="AD3278" s="352"/>
      <c r="AE3278" s="352"/>
      <c r="AF3278" s="352"/>
      <c r="AG3278" s="352"/>
      <c r="AH3278" s="352"/>
      <c r="AI3278" s="352"/>
      <c r="AJ3278" s="352"/>
    </row>
    <row r="3279" spans="2:36" x14ac:dyDescent="0.2">
      <c r="B3279" s="352"/>
      <c r="C3279" s="352"/>
      <c r="D3279" s="352"/>
      <c r="E3279" s="352"/>
      <c r="F3279" s="352"/>
      <c r="H3279" s="352"/>
      <c r="J3279" s="352"/>
      <c r="L3279" s="352"/>
      <c r="M3279" s="352"/>
      <c r="N3279" s="352"/>
      <c r="O3279" s="352"/>
      <c r="P3279" s="352"/>
      <c r="Q3279" s="352"/>
      <c r="R3279" s="352"/>
      <c r="S3279" s="352"/>
      <c r="T3279" s="352"/>
      <c r="U3279" s="352"/>
      <c r="V3279" s="352"/>
      <c r="W3279" s="352"/>
      <c r="X3279" s="352"/>
      <c r="Y3279" s="352"/>
      <c r="Z3279" s="352"/>
      <c r="AA3279" s="352"/>
      <c r="AB3279" s="352"/>
      <c r="AC3279" s="352"/>
      <c r="AD3279" s="352"/>
      <c r="AE3279" s="352"/>
      <c r="AF3279" s="352"/>
      <c r="AG3279" s="352"/>
      <c r="AH3279" s="352"/>
      <c r="AI3279" s="352"/>
      <c r="AJ3279" s="352"/>
    </row>
    <row r="3280" spans="2:36" x14ac:dyDescent="0.2">
      <c r="B3280" s="352"/>
      <c r="C3280" s="352"/>
      <c r="D3280" s="352"/>
      <c r="E3280" s="352"/>
      <c r="F3280" s="352"/>
      <c r="H3280" s="352"/>
      <c r="J3280" s="352"/>
      <c r="L3280" s="352"/>
      <c r="M3280" s="352"/>
      <c r="N3280" s="352"/>
      <c r="O3280" s="352"/>
      <c r="P3280" s="352"/>
      <c r="Q3280" s="352"/>
      <c r="R3280" s="352"/>
      <c r="S3280" s="352"/>
      <c r="T3280" s="352"/>
      <c r="U3280" s="352"/>
      <c r="V3280" s="352"/>
      <c r="W3280" s="352"/>
      <c r="X3280" s="352"/>
      <c r="Y3280" s="352"/>
      <c r="Z3280" s="352"/>
      <c r="AA3280" s="352"/>
      <c r="AB3280" s="352"/>
      <c r="AC3280" s="352"/>
      <c r="AD3280" s="352"/>
      <c r="AE3280" s="352"/>
      <c r="AF3280" s="352"/>
      <c r="AG3280" s="352"/>
      <c r="AH3280" s="352"/>
      <c r="AI3280" s="352"/>
      <c r="AJ3280" s="352"/>
    </row>
    <row r="3281" spans="2:36" x14ac:dyDescent="0.2">
      <c r="B3281" s="352"/>
      <c r="C3281" s="352"/>
      <c r="D3281" s="352"/>
      <c r="E3281" s="352"/>
      <c r="F3281" s="352"/>
      <c r="H3281" s="352"/>
      <c r="J3281" s="352"/>
      <c r="L3281" s="352"/>
      <c r="M3281" s="352"/>
      <c r="N3281" s="352"/>
      <c r="O3281" s="352"/>
      <c r="P3281" s="352"/>
      <c r="Q3281" s="352"/>
      <c r="R3281" s="352"/>
      <c r="S3281" s="352"/>
      <c r="T3281" s="352"/>
      <c r="U3281" s="352"/>
      <c r="V3281" s="352"/>
      <c r="W3281" s="352"/>
      <c r="X3281" s="352"/>
      <c r="Y3281" s="352"/>
      <c r="Z3281" s="352"/>
      <c r="AA3281" s="352"/>
      <c r="AB3281" s="352"/>
      <c r="AC3281" s="352"/>
      <c r="AD3281" s="352"/>
      <c r="AE3281" s="352"/>
      <c r="AF3281" s="352"/>
      <c r="AG3281" s="352"/>
      <c r="AH3281" s="352"/>
      <c r="AI3281" s="352"/>
      <c r="AJ3281" s="352"/>
    </row>
    <row r="3282" spans="2:36" x14ac:dyDescent="0.2">
      <c r="B3282" s="352"/>
      <c r="C3282" s="352"/>
      <c r="D3282" s="352"/>
      <c r="E3282" s="352"/>
      <c r="F3282" s="352"/>
      <c r="H3282" s="352"/>
      <c r="J3282" s="352"/>
      <c r="L3282" s="352"/>
      <c r="M3282" s="352"/>
      <c r="N3282" s="352"/>
      <c r="O3282" s="352"/>
      <c r="P3282" s="352"/>
      <c r="Q3282" s="352"/>
      <c r="R3282" s="352"/>
      <c r="S3282" s="352"/>
      <c r="T3282" s="352"/>
      <c r="U3282" s="352"/>
      <c r="V3282" s="352"/>
      <c r="W3282" s="352"/>
      <c r="X3282" s="352"/>
      <c r="Y3282" s="352"/>
      <c r="Z3282" s="352"/>
      <c r="AA3282" s="352"/>
      <c r="AB3282" s="352"/>
      <c r="AC3282" s="352"/>
      <c r="AD3282" s="352"/>
      <c r="AE3282" s="352"/>
      <c r="AF3282" s="352"/>
      <c r="AG3282" s="352"/>
      <c r="AH3282" s="352"/>
      <c r="AI3282" s="352"/>
      <c r="AJ3282" s="352"/>
    </row>
    <row r="3283" spans="2:36" x14ac:dyDescent="0.2">
      <c r="B3283" s="352"/>
      <c r="C3283" s="352"/>
      <c r="D3283" s="352"/>
      <c r="E3283" s="352"/>
      <c r="F3283" s="352"/>
      <c r="H3283" s="352"/>
      <c r="J3283" s="352"/>
      <c r="L3283" s="352"/>
      <c r="M3283" s="352"/>
      <c r="N3283" s="352"/>
      <c r="O3283" s="352"/>
      <c r="P3283" s="352"/>
      <c r="Q3283" s="352"/>
      <c r="R3283" s="352"/>
      <c r="S3283" s="352"/>
      <c r="T3283" s="352"/>
      <c r="U3283" s="352"/>
      <c r="V3283" s="352"/>
      <c r="W3283" s="352"/>
      <c r="X3283" s="352"/>
      <c r="Y3283" s="352"/>
      <c r="Z3283" s="352"/>
      <c r="AA3283" s="352"/>
      <c r="AB3283" s="352"/>
      <c r="AC3283" s="352"/>
      <c r="AD3283" s="352"/>
      <c r="AE3283" s="352"/>
      <c r="AF3283" s="352"/>
      <c r="AG3283" s="352"/>
      <c r="AH3283" s="352"/>
      <c r="AI3283" s="352"/>
      <c r="AJ3283" s="352"/>
    </row>
    <row r="3284" spans="2:36" x14ac:dyDescent="0.2">
      <c r="B3284" s="352"/>
      <c r="C3284" s="352"/>
      <c r="D3284" s="352"/>
      <c r="E3284" s="352"/>
      <c r="F3284" s="352"/>
      <c r="H3284" s="352"/>
      <c r="J3284" s="352"/>
      <c r="L3284" s="352"/>
      <c r="M3284" s="352"/>
      <c r="N3284" s="352"/>
      <c r="O3284" s="352"/>
      <c r="P3284" s="352"/>
      <c r="Q3284" s="352"/>
      <c r="R3284" s="352"/>
      <c r="S3284" s="352"/>
      <c r="T3284" s="352"/>
      <c r="U3284" s="352"/>
      <c r="V3284" s="352"/>
      <c r="W3284" s="352"/>
      <c r="X3284" s="352"/>
      <c r="Y3284" s="352"/>
      <c r="Z3284" s="352"/>
      <c r="AA3284" s="352"/>
      <c r="AB3284" s="352"/>
      <c r="AC3284" s="352"/>
      <c r="AD3284" s="352"/>
      <c r="AE3284" s="352"/>
      <c r="AF3284" s="352"/>
      <c r="AG3284" s="352"/>
      <c r="AH3284" s="352"/>
      <c r="AI3284" s="352"/>
      <c r="AJ3284" s="352"/>
    </row>
    <row r="3285" spans="2:36" x14ac:dyDescent="0.2">
      <c r="B3285" s="352"/>
      <c r="C3285" s="352"/>
      <c r="D3285" s="352"/>
      <c r="E3285" s="352"/>
      <c r="F3285" s="352"/>
      <c r="H3285" s="352"/>
      <c r="J3285" s="352"/>
      <c r="L3285" s="352"/>
      <c r="M3285" s="352"/>
      <c r="N3285" s="352"/>
      <c r="O3285" s="352"/>
      <c r="P3285" s="352"/>
      <c r="Q3285" s="352"/>
      <c r="R3285" s="352"/>
      <c r="S3285" s="352"/>
      <c r="T3285" s="352"/>
      <c r="U3285" s="352"/>
      <c r="V3285" s="352"/>
      <c r="W3285" s="352"/>
      <c r="X3285" s="352"/>
      <c r="Y3285" s="352"/>
      <c r="Z3285" s="352"/>
      <c r="AA3285" s="352"/>
      <c r="AB3285" s="352"/>
      <c r="AC3285" s="352"/>
      <c r="AD3285" s="352"/>
      <c r="AE3285" s="352"/>
      <c r="AF3285" s="352"/>
      <c r="AG3285" s="352"/>
      <c r="AH3285" s="352"/>
      <c r="AI3285" s="352"/>
      <c r="AJ3285" s="352"/>
    </row>
    <row r="3286" spans="2:36" x14ac:dyDescent="0.2">
      <c r="B3286" s="352"/>
      <c r="C3286" s="352"/>
      <c r="D3286" s="352"/>
      <c r="E3286" s="352"/>
      <c r="F3286" s="352"/>
      <c r="H3286" s="352"/>
      <c r="J3286" s="352"/>
      <c r="L3286" s="352"/>
      <c r="M3286" s="352"/>
      <c r="N3286" s="352"/>
      <c r="O3286" s="352"/>
      <c r="P3286" s="352"/>
      <c r="Q3286" s="352"/>
      <c r="R3286" s="352"/>
      <c r="S3286" s="352"/>
      <c r="T3286" s="352"/>
      <c r="U3286" s="352"/>
      <c r="V3286" s="352"/>
      <c r="W3286" s="352"/>
      <c r="X3286" s="352"/>
      <c r="Y3286" s="352"/>
      <c r="Z3286" s="352"/>
      <c r="AA3286" s="352"/>
      <c r="AB3286" s="352"/>
      <c r="AC3286" s="352"/>
      <c r="AD3286" s="352"/>
      <c r="AE3286" s="352"/>
      <c r="AF3286" s="352"/>
      <c r="AG3286" s="352"/>
      <c r="AH3286" s="352"/>
      <c r="AI3286" s="352"/>
      <c r="AJ3286" s="352"/>
    </row>
    <row r="3287" spans="2:36" x14ac:dyDescent="0.2">
      <c r="B3287" s="352"/>
      <c r="C3287" s="352"/>
      <c r="D3287" s="352"/>
      <c r="E3287" s="352"/>
      <c r="F3287" s="352"/>
      <c r="H3287" s="352"/>
      <c r="J3287" s="352"/>
      <c r="L3287" s="352"/>
      <c r="M3287" s="352"/>
      <c r="N3287" s="352"/>
      <c r="O3287" s="352"/>
      <c r="P3287" s="352"/>
      <c r="Q3287" s="352"/>
      <c r="R3287" s="352"/>
      <c r="S3287" s="352"/>
      <c r="T3287" s="352"/>
      <c r="U3287" s="352"/>
      <c r="V3287" s="352"/>
      <c r="W3287" s="352"/>
      <c r="X3287" s="352"/>
      <c r="Y3287" s="352"/>
      <c r="Z3287" s="352"/>
      <c r="AA3287" s="352"/>
      <c r="AB3287" s="352"/>
      <c r="AC3287" s="352"/>
      <c r="AD3287" s="352"/>
      <c r="AE3287" s="352"/>
      <c r="AF3287" s="352"/>
      <c r="AG3287" s="352"/>
      <c r="AH3287" s="352"/>
      <c r="AI3287" s="352"/>
      <c r="AJ3287" s="352"/>
    </row>
    <row r="3288" spans="2:36" x14ac:dyDescent="0.2">
      <c r="B3288" s="352"/>
      <c r="C3288" s="352"/>
      <c r="D3288" s="352"/>
      <c r="E3288" s="352"/>
      <c r="F3288" s="352"/>
      <c r="H3288" s="352"/>
      <c r="J3288" s="352"/>
      <c r="L3288" s="352"/>
      <c r="M3288" s="352"/>
      <c r="N3288" s="352"/>
      <c r="O3288" s="352"/>
      <c r="P3288" s="352"/>
      <c r="Q3288" s="352"/>
      <c r="R3288" s="352"/>
      <c r="S3288" s="352"/>
      <c r="T3288" s="352"/>
      <c r="U3288" s="352"/>
      <c r="V3288" s="352"/>
      <c r="W3288" s="352"/>
      <c r="X3288" s="352"/>
      <c r="Y3288" s="352"/>
      <c r="Z3288" s="352"/>
      <c r="AA3288" s="352"/>
      <c r="AB3288" s="352"/>
      <c r="AC3288" s="352"/>
      <c r="AD3288" s="352"/>
      <c r="AE3288" s="352"/>
      <c r="AF3288" s="352"/>
      <c r="AG3288" s="352"/>
      <c r="AH3288" s="352"/>
      <c r="AI3288" s="352"/>
      <c r="AJ3288" s="352"/>
    </row>
    <row r="3289" spans="2:36" x14ac:dyDescent="0.2">
      <c r="B3289" s="352"/>
      <c r="C3289" s="352"/>
      <c r="D3289" s="352"/>
      <c r="E3289" s="352"/>
      <c r="F3289" s="352"/>
      <c r="H3289" s="352"/>
      <c r="J3289" s="352"/>
      <c r="L3289" s="352"/>
      <c r="M3289" s="352"/>
      <c r="N3289" s="352"/>
      <c r="O3289" s="352"/>
      <c r="P3289" s="352"/>
      <c r="Q3289" s="352"/>
      <c r="R3289" s="352"/>
      <c r="S3289" s="352"/>
      <c r="T3289" s="352"/>
      <c r="U3289" s="352"/>
      <c r="V3289" s="352"/>
      <c r="W3289" s="352"/>
      <c r="X3289" s="352"/>
      <c r="Y3289" s="352"/>
      <c r="Z3289" s="352"/>
      <c r="AA3289" s="352"/>
      <c r="AB3289" s="352"/>
      <c r="AC3289" s="352"/>
      <c r="AD3289" s="352"/>
      <c r="AE3289" s="352"/>
      <c r="AF3289" s="352"/>
      <c r="AG3289" s="352"/>
      <c r="AH3289" s="352"/>
      <c r="AI3289" s="352"/>
      <c r="AJ3289" s="352"/>
    </row>
    <row r="3290" spans="2:36" x14ac:dyDescent="0.2">
      <c r="B3290" s="352"/>
      <c r="C3290" s="352"/>
      <c r="D3290" s="352"/>
      <c r="E3290" s="352"/>
      <c r="F3290" s="352"/>
      <c r="H3290" s="352"/>
      <c r="J3290" s="352"/>
      <c r="L3290" s="352"/>
      <c r="M3290" s="352"/>
      <c r="N3290" s="352"/>
      <c r="O3290" s="352"/>
      <c r="P3290" s="352"/>
      <c r="Q3290" s="352"/>
      <c r="R3290" s="352"/>
      <c r="S3290" s="352"/>
      <c r="T3290" s="352"/>
      <c r="U3290" s="352"/>
      <c r="V3290" s="352"/>
      <c r="W3290" s="352"/>
      <c r="X3290" s="352"/>
      <c r="Y3290" s="352"/>
      <c r="Z3290" s="352"/>
      <c r="AA3290" s="352"/>
      <c r="AB3290" s="352"/>
      <c r="AC3290" s="352"/>
      <c r="AD3290" s="352"/>
      <c r="AE3290" s="352"/>
      <c r="AF3290" s="352"/>
      <c r="AG3290" s="352"/>
      <c r="AH3290" s="352"/>
      <c r="AI3290" s="352"/>
      <c r="AJ3290" s="352"/>
    </row>
    <row r="3291" spans="2:36" x14ac:dyDescent="0.2">
      <c r="B3291" s="352"/>
      <c r="C3291" s="352"/>
      <c r="D3291" s="352"/>
      <c r="E3291" s="352"/>
      <c r="F3291" s="352"/>
      <c r="H3291" s="352"/>
      <c r="J3291" s="352"/>
      <c r="L3291" s="352"/>
      <c r="M3291" s="352"/>
      <c r="N3291" s="352"/>
      <c r="O3291" s="352"/>
      <c r="P3291" s="352"/>
      <c r="Q3291" s="352"/>
      <c r="R3291" s="352"/>
      <c r="S3291" s="352"/>
      <c r="T3291" s="352"/>
      <c r="U3291" s="352"/>
      <c r="V3291" s="352"/>
      <c r="W3291" s="352"/>
      <c r="X3291" s="352"/>
      <c r="Y3291" s="352"/>
      <c r="Z3291" s="352"/>
      <c r="AA3291" s="352"/>
      <c r="AB3291" s="352"/>
      <c r="AC3291" s="352"/>
      <c r="AD3291" s="352"/>
      <c r="AE3291" s="352"/>
      <c r="AF3291" s="352"/>
      <c r="AG3291" s="352"/>
      <c r="AH3291" s="352"/>
      <c r="AI3291" s="352"/>
      <c r="AJ3291" s="352"/>
    </row>
    <row r="3292" spans="2:36" x14ac:dyDescent="0.2">
      <c r="B3292" s="352"/>
      <c r="C3292" s="352"/>
      <c r="D3292" s="352"/>
      <c r="E3292" s="352"/>
      <c r="F3292" s="352"/>
      <c r="H3292" s="352"/>
      <c r="J3292" s="352"/>
      <c r="L3292" s="352"/>
      <c r="M3292" s="352"/>
      <c r="N3292" s="352"/>
      <c r="O3292" s="352"/>
      <c r="P3292" s="352"/>
      <c r="Q3292" s="352"/>
      <c r="R3292" s="352"/>
      <c r="S3292" s="352"/>
      <c r="T3292" s="352"/>
      <c r="U3292" s="352"/>
      <c r="V3292" s="352"/>
      <c r="W3292" s="352"/>
      <c r="X3292" s="352"/>
      <c r="Y3292" s="352"/>
      <c r="Z3292" s="352"/>
      <c r="AA3292" s="352"/>
      <c r="AB3292" s="352"/>
      <c r="AC3292" s="352"/>
      <c r="AD3292" s="352"/>
      <c r="AE3292" s="352"/>
      <c r="AF3292" s="352"/>
      <c r="AG3292" s="352"/>
      <c r="AH3292" s="352"/>
      <c r="AI3292" s="352"/>
      <c r="AJ3292" s="352"/>
    </row>
    <row r="3293" spans="2:36" x14ac:dyDescent="0.2">
      <c r="B3293" s="352"/>
      <c r="C3293" s="352"/>
      <c r="D3293" s="352"/>
      <c r="E3293" s="352"/>
      <c r="F3293" s="352"/>
      <c r="H3293" s="352"/>
      <c r="J3293" s="352"/>
      <c r="L3293" s="352"/>
      <c r="M3293" s="352"/>
      <c r="N3293" s="352"/>
      <c r="O3293" s="352"/>
      <c r="P3293" s="352"/>
      <c r="Q3293" s="352"/>
      <c r="R3293" s="352"/>
      <c r="S3293" s="352"/>
      <c r="T3293" s="352"/>
      <c r="U3293" s="352"/>
      <c r="V3293" s="352"/>
      <c r="W3293" s="352"/>
      <c r="X3293" s="352"/>
      <c r="Y3293" s="352"/>
      <c r="Z3293" s="352"/>
      <c r="AA3293" s="352"/>
      <c r="AB3293" s="352"/>
      <c r="AC3293" s="352"/>
      <c r="AD3293" s="352"/>
      <c r="AE3293" s="352"/>
      <c r="AF3293" s="352"/>
      <c r="AG3293" s="352"/>
      <c r="AH3293" s="352"/>
      <c r="AI3293" s="352"/>
      <c r="AJ3293" s="352"/>
    </row>
    <row r="3294" spans="2:36" x14ac:dyDescent="0.2">
      <c r="B3294" s="352"/>
      <c r="C3294" s="352"/>
      <c r="D3294" s="352"/>
      <c r="E3294" s="352"/>
      <c r="F3294" s="352"/>
      <c r="H3294" s="352"/>
      <c r="J3294" s="352"/>
      <c r="L3294" s="352"/>
      <c r="M3294" s="352"/>
      <c r="N3294" s="352"/>
      <c r="O3294" s="352"/>
      <c r="P3294" s="352"/>
      <c r="Q3294" s="352"/>
      <c r="R3294" s="352"/>
      <c r="S3294" s="352"/>
      <c r="T3294" s="352"/>
      <c r="U3294" s="352"/>
      <c r="V3294" s="352"/>
      <c r="W3294" s="352"/>
      <c r="X3294" s="352"/>
      <c r="Y3294" s="352"/>
      <c r="Z3294" s="352"/>
      <c r="AA3294" s="352"/>
      <c r="AB3294" s="352"/>
      <c r="AC3294" s="352"/>
      <c r="AD3294" s="352"/>
      <c r="AE3294" s="352"/>
      <c r="AF3294" s="352"/>
      <c r="AG3294" s="352"/>
      <c r="AH3294" s="352"/>
      <c r="AI3294" s="352"/>
      <c r="AJ3294" s="352"/>
    </row>
    <row r="3295" spans="2:36" x14ac:dyDescent="0.2">
      <c r="B3295" s="352"/>
      <c r="C3295" s="352"/>
      <c r="D3295" s="352"/>
      <c r="E3295" s="352"/>
      <c r="F3295" s="352"/>
      <c r="H3295" s="352"/>
      <c r="J3295" s="352"/>
      <c r="L3295" s="352"/>
      <c r="M3295" s="352"/>
      <c r="N3295" s="352"/>
      <c r="O3295" s="352"/>
      <c r="P3295" s="352"/>
      <c r="Q3295" s="352"/>
      <c r="R3295" s="352"/>
      <c r="S3295" s="352"/>
      <c r="T3295" s="352"/>
      <c r="U3295" s="352"/>
      <c r="V3295" s="352"/>
      <c r="W3295" s="352"/>
      <c r="X3295" s="352"/>
      <c r="Y3295" s="352"/>
      <c r="Z3295" s="352"/>
      <c r="AA3295" s="352"/>
      <c r="AB3295" s="352"/>
      <c r="AC3295" s="352"/>
      <c r="AD3295" s="352"/>
      <c r="AE3295" s="352"/>
      <c r="AF3295" s="352"/>
      <c r="AG3295" s="352"/>
      <c r="AH3295" s="352"/>
      <c r="AI3295" s="352"/>
      <c r="AJ3295" s="352"/>
    </row>
    <row r="3296" spans="2:36" x14ac:dyDescent="0.2">
      <c r="B3296" s="352"/>
      <c r="C3296" s="352"/>
      <c r="D3296" s="352"/>
      <c r="E3296" s="352"/>
      <c r="F3296" s="352"/>
      <c r="H3296" s="352"/>
      <c r="J3296" s="352"/>
      <c r="L3296" s="352"/>
      <c r="M3296" s="352"/>
      <c r="N3296" s="352"/>
      <c r="O3296" s="352"/>
      <c r="P3296" s="352"/>
      <c r="Q3296" s="352"/>
      <c r="R3296" s="352"/>
      <c r="S3296" s="352"/>
      <c r="T3296" s="352"/>
      <c r="U3296" s="352"/>
      <c r="V3296" s="352"/>
      <c r="W3296" s="352"/>
      <c r="X3296" s="352"/>
      <c r="Y3296" s="352"/>
      <c r="Z3296" s="352"/>
      <c r="AA3296" s="352"/>
      <c r="AB3296" s="352"/>
      <c r="AC3296" s="352"/>
      <c r="AD3296" s="352"/>
      <c r="AE3296" s="352"/>
      <c r="AF3296" s="352"/>
      <c r="AG3296" s="352"/>
      <c r="AH3296" s="352"/>
      <c r="AI3296" s="352"/>
      <c r="AJ3296" s="352"/>
    </row>
    <row r="3297" spans="2:36" x14ac:dyDescent="0.2">
      <c r="B3297" s="352"/>
      <c r="C3297" s="352"/>
      <c r="D3297" s="352"/>
      <c r="E3297" s="352"/>
      <c r="F3297" s="352"/>
      <c r="H3297" s="352"/>
      <c r="J3297" s="352"/>
      <c r="L3297" s="352"/>
      <c r="M3297" s="352"/>
      <c r="N3297" s="352"/>
      <c r="O3297" s="352"/>
      <c r="P3297" s="352"/>
      <c r="Q3297" s="352"/>
      <c r="R3297" s="352"/>
      <c r="S3297" s="352"/>
      <c r="T3297" s="352"/>
      <c r="U3297" s="352"/>
      <c r="V3297" s="352"/>
      <c r="W3297" s="352"/>
      <c r="X3297" s="352"/>
      <c r="Y3297" s="352"/>
      <c r="Z3297" s="352"/>
      <c r="AA3297" s="352"/>
      <c r="AB3297" s="352"/>
      <c r="AC3297" s="352"/>
      <c r="AD3297" s="352"/>
      <c r="AE3297" s="352"/>
      <c r="AF3297" s="352"/>
      <c r="AG3297" s="352"/>
      <c r="AH3297" s="352"/>
      <c r="AI3297" s="352"/>
      <c r="AJ3297" s="352"/>
    </row>
    <row r="3298" spans="2:36" x14ac:dyDescent="0.2">
      <c r="B3298" s="352"/>
      <c r="C3298" s="352"/>
      <c r="D3298" s="352"/>
      <c r="E3298" s="352"/>
      <c r="F3298" s="352"/>
      <c r="H3298" s="352"/>
      <c r="J3298" s="352"/>
      <c r="L3298" s="352"/>
      <c r="M3298" s="352"/>
      <c r="N3298" s="352"/>
      <c r="O3298" s="352"/>
      <c r="P3298" s="352"/>
      <c r="Q3298" s="352"/>
      <c r="R3298" s="352"/>
      <c r="S3298" s="352"/>
      <c r="T3298" s="352"/>
      <c r="U3298" s="352"/>
      <c r="V3298" s="352"/>
      <c r="W3298" s="352"/>
      <c r="X3298" s="352"/>
      <c r="Y3298" s="352"/>
      <c r="Z3298" s="352"/>
      <c r="AA3298" s="352"/>
      <c r="AB3298" s="352"/>
      <c r="AC3298" s="352"/>
      <c r="AD3298" s="352"/>
      <c r="AE3298" s="352"/>
      <c r="AF3298" s="352"/>
      <c r="AG3298" s="352"/>
      <c r="AH3298" s="352"/>
      <c r="AI3298" s="352"/>
      <c r="AJ3298" s="352"/>
    </row>
    <row r="3299" spans="2:36" x14ac:dyDescent="0.2">
      <c r="B3299" s="352"/>
      <c r="C3299" s="352"/>
      <c r="D3299" s="352"/>
      <c r="E3299" s="352"/>
      <c r="F3299" s="352"/>
      <c r="H3299" s="352"/>
      <c r="J3299" s="352"/>
      <c r="L3299" s="352"/>
      <c r="M3299" s="352"/>
      <c r="N3299" s="352"/>
      <c r="O3299" s="352"/>
      <c r="P3299" s="352"/>
      <c r="Q3299" s="352"/>
      <c r="R3299" s="352"/>
      <c r="S3299" s="352"/>
      <c r="T3299" s="352"/>
      <c r="U3299" s="352"/>
      <c r="V3299" s="352"/>
      <c r="W3299" s="352"/>
      <c r="X3299" s="352"/>
      <c r="Y3299" s="352"/>
      <c r="Z3299" s="352"/>
      <c r="AA3299" s="352"/>
      <c r="AB3299" s="352"/>
      <c r="AC3299" s="352"/>
      <c r="AD3299" s="352"/>
      <c r="AE3299" s="352"/>
      <c r="AF3299" s="352"/>
      <c r="AG3299" s="352"/>
      <c r="AH3299" s="352"/>
      <c r="AI3299" s="352"/>
      <c r="AJ3299" s="352"/>
    </row>
    <row r="3300" spans="2:36" x14ac:dyDescent="0.2">
      <c r="B3300" s="352"/>
      <c r="C3300" s="352"/>
      <c r="D3300" s="352"/>
      <c r="E3300" s="352"/>
      <c r="F3300" s="352"/>
      <c r="H3300" s="352"/>
      <c r="J3300" s="352"/>
      <c r="L3300" s="352"/>
      <c r="M3300" s="352"/>
      <c r="N3300" s="352"/>
      <c r="O3300" s="352"/>
      <c r="P3300" s="352"/>
      <c r="Q3300" s="352"/>
      <c r="R3300" s="352"/>
      <c r="S3300" s="352"/>
      <c r="T3300" s="352"/>
      <c r="U3300" s="352"/>
      <c r="V3300" s="352"/>
      <c r="W3300" s="352"/>
      <c r="X3300" s="352"/>
      <c r="Y3300" s="352"/>
      <c r="Z3300" s="352"/>
      <c r="AA3300" s="352"/>
      <c r="AB3300" s="352"/>
      <c r="AC3300" s="352"/>
      <c r="AD3300" s="352"/>
      <c r="AE3300" s="352"/>
      <c r="AF3300" s="352"/>
      <c r="AG3300" s="352"/>
      <c r="AH3300" s="352"/>
      <c r="AI3300" s="352"/>
      <c r="AJ3300" s="352"/>
    </row>
    <row r="3301" spans="2:36" x14ac:dyDescent="0.2">
      <c r="B3301" s="352"/>
      <c r="C3301" s="352"/>
      <c r="D3301" s="352"/>
      <c r="E3301" s="352"/>
      <c r="F3301" s="352"/>
      <c r="H3301" s="352"/>
      <c r="J3301" s="352"/>
      <c r="L3301" s="352"/>
      <c r="M3301" s="352"/>
      <c r="N3301" s="352"/>
      <c r="O3301" s="352"/>
      <c r="P3301" s="352"/>
      <c r="Q3301" s="352"/>
      <c r="R3301" s="352"/>
      <c r="S3301" s="352"/>
      <c r="T3301" s="352"/>
      <c r="U3301" s="352"/>
      <c r="V3301" s="352"/>
      <c r="W3301" s="352"/>
      <c r="X3301" s="352"/>
      <c r="Y3301" s="352"/>
      <c r="Z3301" s="352"/>
      <c r="AA3301" s="352"/>
      <c r="AB3301" s="352"/>
      <c r="AC3301" s="352"/>
      <c r="AD3301" s="352"/>
      <c r="AE3301" s="352"/>
      <c r="AF3301" s="352"/>
      <c r="AG3301" s="352"/>
      <c r="AH3301" s="352"/>
      <c r="AI3301" s="352"/>
      <c r="AJ3301" s="352"/>
    </row>
    <row r="3302" spans="2:36" x14ac:dyDescent="0.2">
      <c r="B3302" s="352"/>
      <c r="C3302" s="352"/>
      <c r="D3302" s="352"/>
      <c r="E3302" s="352"/>
      <c r="F3302" s="352"/>
      <c r="H3302" s="352"/>
      <c r="J3302" s="352"/>
      <c r="L3302" s="352"/>
      <c r="M3302" s="352"/>
      <c r="N3302" s="352"/>
      <c r="O3302" s="352"/>
      <c r="P3302" s="352"/>
      <c r="Q3302" s="352"/>
      <c r="R3302" s="352"/>
      <c r="S3302" s="352"/>
      <c r="T3302" s="352"/>
      <c r="U3302" s="352"/>
      <c r="V3302" s="352"/>
      <c r="W3302" s="352"/>
      <c r="X3302" s="352"/>
      <c r="Y3302" s="352"/>
      <c r="Z3302" s="352"/>
      <c r="AA3302" s="352"/>
      <c r="AB3302" s="352"/>
      <c r="AC3302" s="352"/>
      <c r="AD3302" s="352"/>
      <c r="AE3302" s="352"/>
      <c r="AF3302" s="352"/>
      <c r="AG3302" s="352"/>
      <c r="AH3302" s="352"/>
      <c r="AI3302" s="352"/>
      <c r="AJ3302" s="352"/>
    </row>
    <row r="3303" spans="2:36" x14ac:dyDescent="0.2">
      <c r="B3303" s="352"/>
      <c r="C3303" s="352"/>
      <c r="D3303" s="352"/>
      <c r="E3303" s="352"/>
      <c r="F3303" s="352"/>
      <c r="H3303" s="352"/>
      <c r="J3303" s="352"/>
      <c r="L3303" s="352"/>
      <c r="M3303" s="352"/>
      <c r="N3303" s="352"/>
      <c r="O3303" s="352"/>
      <c r="P3303" s="352"/>
      <c r="Q3303" s="352"/>
      <c r="R3303" s="352"/>
      <c r="S3303" s="352"/>
      <c r="T3303" s="352"/>
      <c r="U3303" s="352"/>
      <c r="V3303" s="352"/>
      <c r="W3303" s="352"/>
      <c r="X3303" s="352"/>
      <c r="Y3303" s="352"/>
      <c r="Z3303" s="352"/>
      <c r="AA3303" s="352"/>
      <c r="AB3303" s="352"/>
      <c r="AC3303" s="352"/>
      <c r="AD3303" s="352"/>
      <c r="AE3303" s="352"/>
      <c r="AF3303" s="352"/>
      <c r="AG3303" s="352"/>
      <c r="AH3303" s="352"/>
      <c r="AI3303" s="352"/>
      <c r="AJ3303" s="352"/>
    </row>
    <row r="3304" spans="2:36" x14ac:dyDescent="0.2">
      <c r="B3304" s="352"/>
      <c r="C3304" s="352"/>
      <c r="D3304" s="352"/>
      <c r="E3304" s="352"/>
      <c r="F3304" s="352"/>
      <c r="H3304" s="352"/>
      <c r="J3304" s="352"/>
      <c r="L3304" s="352"/>
      <c r="M3304" s="352"/>
      <c r="N3304" s="352"/>
      <c r="O3304" s="352"/>
      <c r="P3304" s="352"/>
      <c r="Q3304" s="352"/>
      <c r="R3304" s="352"/>
      <c r="S3304" s="352"/>
      <c r="T3304" s="352"/>
      <c r="U3304" s="352"/>
      <c r="V3304" s="352"/>
      <c r="W3304" s="352"/>
      <c r="X3304" s="352"/>
      <c r="Y3304" s="352"/>
      <c r="Z3304" s="352"/>
      <c r="AA3304" s="352"/>
      <c r="AB3304" s="352"/>
      <c r="AC3304" s="352"/>
      <c r="AD3304" s="352"/>
      <c r="AE3304" s="352"/>
      <c r="AF3304" s="352"/>
      <c r="AG3304" s="352"/>
      <c r="AH3304" s="352"/>
      <c r="AI3304" s="352"/>
      <c r="AJ3304" s="352"/>
    </row>
    <row r="3305" spans="2:36" x14ac:dyDescent="0.2">
      <c r="B3305" s="352"/>
      <c r="C3305" s="352"/>
      <c r="D3305" s="352"/>
      <c r="E3305" s="352"/>
      <c r="F3305" s="352"/>
      <c r="H3305" s="352"/>
      <c r="J3305" s="352"/>
      <c r="L3305" s="352"/>
      <c r="M3305" s="352"/>
      <c r="N3305" s="352"/>
      <c r="O3305" s="352"/>
      <c r="P3305" s="352"/>
      <c r="Q3305" s="352"/>
      <c r="R3305" s="352"/>
      <c r="S3305" s="352"/>
      <c r="T3305" s="352"/>
      <c r="U3305" s="352"/>
      <c r="V3305" s="352"/>
      <c r="W3305" s="352"/>
      <c r="X3305" s="352"/>
      <c r="Y3305" s="352"/>
      <c r="Z3305" s="352"/>
      <c r="AA3305" s="352"/>
      <c r="AB3305" s="352"/>
      <c r="AC3305" s="352"/>
      <c r="AD3305" s="352"/>
      <c r="AE3305" s="352"/>
      <c r="AF3305" s="352"/>
      <c r="AG3305" s="352"/>
      <c r="AH3305" s="352"/>
      <c r="AI3305" s="352"/>
      <c r="AJ3305" s="352"/>
    </row>
    <row r="3306" spans="2:36" x14ac:dyDescent="0.2">
      <c r="B3306" s="352"/>
      <c r="C3306" s="352"/>
      <c r="D3306" s="352"/>
      <c r="E3306" s="352"/>
      <c r="F3306" s="352"/>
      <c r="H3306" s="352"/>
      <c r="J3306" s="352"/>
      <c r="L3306" s="352"/>
      <c r="M3306" s="352"/>
      <c r="N3306" s="352"/>
      <c r="O3306" s="352"/>
      <c r="P3306" s="352"/>
      <c r="Q3306" s="352"/>
      <c r="R3306" s="352"/>
      <c r="S3306" s="352"/>
      <c r="T3306" s="352"/>
      <c r="U3306" s="352"/>
      <c r="V3306" s="352"/>
      <c r="W3306" s="352"/>
      <c r="X3306" s="352"/>
      <c r="Y3306" s="352"/>
      <c r="Z3306" s="352"/>
      <c r="AA3306" s="352"/>
      <c r="AB3306" s="352"/>
      <c r="AC3306" s="352"/>
      <c r="AD3306" s="352"/>
      <c r="AE3306" s="352"/>
      <c r="AF3306" s="352"/>
      <c r="AG3306" s="352"/>
      <c r="AH3306" s="352"/>
      <c r="AI3306" s="352"/>
      <c r="AJ3306" s="352"/>
    </row>
    <row r="3307" spans="2:36" x14ac:dyDescent="0.2">
      <c r="B3307" s="352"/>
      <c r="C3307" s="352"/>
      <c r="D3307" s="352"/>
      <c r="E3307" s="352"/>
      <c r="F3307" s="352"/>
      <c r="H3307" s="352"/>
      <c r="J3307" s="352"/>
      <c r="L3307" s="352"/>
      <c r="M3307" s="352"/>
      <c r="N3307" s="352"/>
      <c r="O3307" s="352"/>
      <c r="P3307" s="352"/>
      <c r="Q3307" s="352"/>
      <c r="R3307" s="352"/>
      <c r="S3307" s="352"/>
      <c r="T3307" s="352"/>
      <c r="U3307" s="352"/>
      <c r="V3307" s="352"/>
      <c r="W3307" s="352"/>
      <c r="X3307" s="352"/>
      <c r="Y3307" s="352"/>
      <c r="Z3307" s="352"/>
      <c r="AA3307" s="352"/>
      <c r="AB3307" s="352"/>
      <c r="AC3307" s="352"/>
      <c r="AD3307" s="352"/>
      <c r="AE3307" s="352"/>
      <c r="AF3307" s="352"/>
      <c r="AG3307" s="352"/>
      <c r="AH3307" s="352"/>
      <c r="AI3307" s="352"/>
      <c r="AJ3307" s="352"/>
    </row>
    <row r="3308" spans="2:36" x14ac:dyDescent="0.2">
      <c r="B3308" s="352"/>
      <c r="C3308" s="352"/>
      <c r="D3308" s="352"/>
      <c r="E3308" s="352"/>
      <c r="F3308" s="352"/>
      <c r="H3308" s="352"/>
      <c r="J3308" s="352"/>
      <c r="L3308" s="352"/>
      <c r="M3308" s="352"/>
      <c r="N3308" s="352"/>
      <c r="O3308" s="352"/>
      <c r="P3308" s="352"/>
      <c r="Q3308" s="352"/>
      <c r="R3308" s="352"/>
      <c r="S3308" s="352"/>
      <c r="T3308" s="352"/>
      <c r="U3308" s="352"/>
      <c r="V3308" s="352"/>
      <c r="W3308" s="352"/>
      <c r="X3308" s="352"/>
      <c r="Y3308" s="352"/>
      <c r="Z3308" s="352"/>
      <c r="AA3308" s="352"/>
      <c r="AB3308" s="352"/>
      <c r="AC3308" s="352"/>
      <c r="AD3308" s="352"/>
      <c r="AE3308" s="352"/>
      <c r="AF3308" s="352"/>
      <c r="AG3308" s="352"/>
      <c r="AH3308" s="352"/>
      <c r="AI3308" s="352"/>
      <c r="AJ3308" s="352"/>
    </row>
    <row r="3309" spans="2:36" x14ac:dyDescent="0.2">
      <c r="B3309" s="352"/>
      <c r="C3309" s="352"/>
      <c r="D3309" s="352"/>
      <c r="E3309" s="352"/>
      <c r="F3309" s="352"/>
      <c r="H3309" s="352"/>
      <c r="J3309" s="352"/>
      <c r="L3309" s="352"/>
      <c r="M3309" s="352"/>
      <c r="N3309" s="352"/>
      <c r="O3309" s="352"/>
      <c r="P3309" s="352"/>
      <c r="Q3309" s="352"/>
      <c r="R3309" s="352"/>
      <c r="S3309" s="352"/>
      <c r="T3309" s="352"/>
      <c r="U3309" s="352"/>
      <c r="V3309" s="352"/>
      <c r="W3309" s="352"/>
      <c r="X3309" s="352"/>
      <c r="Y3309" s="352"/>
      <c r="Z3309" s="352"/>
      <c r="AA3309" s="352"/>
      <c r="AB3309" s="352"/>
      <c r="AC3309" s="352"/>
      <c r="AD3309" s="352"/>
      <c r="AE3309" s="352"/>
      <c r="AF3309" s="352"/>
      <c r="AG3309" s="352"/>
      <c r="AH3309" s="352"/>
      <c r="AI3309" s="352"/>
      <c r="AJ3309" s="352"/>
    </row>
    <row r="3310" spans="2:36" x14ac:dyDescent="0.2">
      <c r="B3310" s="352"/>
      <c r="C3310" s="352"/>
      <c r="D3310" s="352"/>
      <c r="E3310" s="352"/>
      <c r="F3310" s="352"/>
      <c r="H3310" s="352"/>
      <c r="J3310" s="352"/>
      <c r="L3310" s="352"/>
      <c r="M3310" s="352"/>
      <c r="N3310" s="352"/>
      <c r="O3310" s="352"/>
      <c r="P3310" s="352"/>
      <c r="Q3310" s="352"/>
      <c r="R3310" s="352"/>
      <c r="S3310" s="352"/>
      <c r="T3310" s="352"/>
      <c r="U3310" s="352"/>
      <c r="V3310" s="352"/>
      <c r="W3310" s="352"/>
      <c r="X3310" s="352"/>
      <c r="Y3310" s="352"/>
      <c r="Z3310" s="352"/>
      <c r="AA3310" s="352"/>
      <c r="AB3310" s="352"/>
      <c r="AC3310" s="352"/>
      <c r="AD3310" s="352"/>
      <c r="AE3310" s="352"/>
      <c r="AF3310" s="352"/>
      <c r="AG3310" s="352"/>
      <c r="AH3310" s="352"/>
      <c r="AI3310" s="352"/>
      <c r="AJ3310" s="352"/>
    </row>
    <row r="3311" spans="2:36" x14ac:dyDescent="0.2">
      <c r="B3311" s="352"/>
      <c r="C3311" s="352"/>
      <c r="D3311" s="352"/>
      <c r="E3311" s="352"/>
      <c r="F3311" s="352"/>
      <c r="H3311" s="352"/>
      <c r="J3311" s="352"/>
      <c r="L3311" s="352"/>
      <c r="M3311" s="352"/>
      <c r="N3311" s="352"/>
      <c r="O3311" s="352"/>
      <c r="P3311" s="352"/>
      <c r="Q3311" s="352"/>
      <c r="R3311" s="352"/>
      <c r="S3311" s="352"/>
      <c r="T3311" s="352"/>
      <c r="U3311" s="352"/>
      <c r="V3311" s="352"/>
      <c r="W3311" s="352"/>
      <c r="X3311" s="352"/>
      <c r="Y3311" s="352"/>
      <c r="Z3311" s="352"/>
      <c r="AA3311" s="352"/>
      <c r="AB3311" s="352"/>
      <c r="AC3311" s="352"/>
      <c r="AD3311" s="352"/>
      <c r="AE3311" s="352"/>
      <c r="AF3311" s="352"/>
      <c r="AG3311" s="352"/>
      <c r="AH3311" s="352"/>
      <c r="AI3311" s="352"/>
      <c r="AJ3311" s="352"/>
    </row>
    <row r="3312" spans="2:36" x14ac:dyDescent="0.2">
      <c r="B3312" s="352"/>
      <c r="C3312" s="352"/>
      <c r="D3312" s="352"/>
      <c r="E3312" s="352"/>
      <c r="F3312" s="352"/>
      <c r="H3312" s="352"/>
      <c r="J3312" s="352"/>
      <c r="L3312" s="352"/>
      <c r="M3312" s="352"/>
      <c r="N3312" s="352"/>
      <c r="O3312" s="352"/>
      <c r="P3312" s="352"/>
      <c r="Q3312" s="352"/>
      <c r="R3312" s="352"/>
      <c r="S3312" s="352"/>
      <c r="T3312" s="352"/>
      <c r="U3312" s="352"/>
      <c r="V3312" s="352"/>
      <c r="W3312" s="352"/>
      <c r="X3312" s="352"/>
      <c r="Y3312" s="352"/>
      <c r="Z3312" s="352"/>
      <c r="AA3312" s="352"/>
      <c r="AB3312" s="352"/>
      <c r="AC3312" s="352"/>
      <c r="AD3312" s="352"/>
      <c r="AE3312" s="352"/>
      <c r="AF3312" s="352"/>
      <c r="AG3312" s="352"/>
      <c r="AH3312" s="352"/>
      <c r="AI3312" s="352"/>
      <c r="AJ3312" s="352"/>
    </row>
    <row r="3313" spans="2:36" x14ac:dyDescent="0.2">
      <c r="B3313" s="352"/>
      <c r="C3313" s="352"/>
      <c r="D3313" s="352"/>
      <c r="E3313" s="352"/>
      <c r="F3313" s="352"/>
      <c r="H3313" s="352"/>
      <c r="J3313" s="352"/>
      <c r="L3313" s="352"/>
      <c r="M3313" s="352"/>
      <c r="N3313" s="352"/>
      <c r="O3313" s="352"/>
      <c r="P3313" s="352"/>
      <c r="Q3313" s="352"/>
      <c r="R3313" s="352"/>
      <c r="S3313" s="352"/>
      <c r="T3313" s="352"/>
      <c r="U3313" s="352"/>
      <c r="V3313" s="352"/>
      <c r="W3313" s="352"/>
      <c r="X3313" s="352"/>
      <c r="Y3313" s="352"/>
      <c r="Z3313" s="352"/>
      <c r="AA3313" s="352"/>
      <c r="AB3313" s="352"/>
      <c r="AC3313" s="352"/>
      <c r="AD3313" s="352"/>
      <c r="AE3313" s="352"/>
      <c r="AF3313" s="352"/>
      <c r="AG3313" s="352"/>
      <c r="AH3313" s="352"/>
      <c r="AI3313" s="352"/>
      <c r="AJ3313" s="352"/>
    </row>
    <row r="3314" spans="2:36" x14ac:dyDescent="0.2">
      <c r="B3314" s="352"/>
      <c r="C3314" s="352"/>
      <c r="D3314" s="352"/>
      <c r="E3314" s="352"/>
      <c r="F3314" s="352"/>
      <c r="H3314" s="352"/>
      <c r="J3314" s="352"/>
      <c r="L3314" s="352"/>
      <c r="M3314" s="352"/>
      <c r="N3314" s="352"/>
      <c r="O3314" s="352"/>
      <c r="P3314" s="352"/>
      <c r="Q3314" s="352"/>
      <c r="R3314" s="352"/>
      <c r="S3314" s="352"/>
      <c r="T3314" s="352"/>
      <c r="U3314" s="352"/>
      <c r="V3314" s="352"/>
      <c r="W3314" s="352"/>
      <c r="X3314" s="352"/>
      <c r="Y3314" s="352"/>
      <c r="Z3314" s="352"/>
      <c r="AA3314" s="352"/>
      <c r="AB3314" s="352"/>
      <c r="AC3314" s="352"/>
      <c r="AD3314" s="352"/>
      <c r="AE3314" s="352"/>
      <c r="AF3314" s="352"/>
      <c r="AG3314" s="352"/>
      <c r="AH3314" s="352"/>
      <c r="AI3314" s="352"/>
      <c r="AJ3314" s="352"/>
    </row>
    <row r="3315" spans="2:36" x14ac:dyDescent="0.2">
      <c r="B3315" s="352"/>
      <c r="C3315" s="352"/>
      <c r="D3315" s="352"/>
      <c r="E3315" s="352"/>
      <c r="F3315" s="352"/>
      <c r="H3315" s="352"/>
      <c r="J3315" s="352"/>
      <c r="L3315" s="352"/>
      <c r="M3315" s="352"/>
      <c r="N3315" s="352"/>
      <c r="O3315" s="352"/>
      <c r="P3315" s="352"/>
      <c r="Q3315" s="352"/>
      <c r="R3315" s="352"/>
      <c r="S3315" s="352"/>
      <c r="T3315" s="352"/>
      <c r="U3315" s="352"/>
      <c r="V3315" s="352"/>
      <c r="W3315" s="352"/>
      <c r="X3315" s="352"/>
      <c r="Y3315" s="352"/>
      <c r="Z3315" s="352"/>
      <c r="AA3315" s="352"/>
      <c r="AB3315" s="352"/>
      <c r="AC3315" s="352"/>
      <c r="AD3315" s="352"/>
      <c r="AE3315" s="352"/>
      <c r="AF3315" s="352"/>
      <c r="AG3315" s="352"/>
      <c r="AH3315" s="352"/>
      <c r="AI3315" s="352"/>
      <c r="AJ3315" s="352"/>
    </row>
    <row r="3316" spans="2:36" x14ac:dyDescent="0.2">
      <c r="B3316" s="352"/>
      <c r="C3316" s="352"/>
      <c r="D3316" s="352"/>
      <c r="E3316" s="352"/>
      <c r="F3316" s="352"/>
      <c r="H3316" s="352"/>
      <c r="J3316" s="352"/>
      <c r="L3316" s="352"/>
      <c r="M3316" s="352"/>
      <c r="N3316" s="352"/>
      <c r="O3316" s="352"/>
      <c r="P3316" s="352"/>
      <c r="Q3316" s="352"/>
      <c r="R3316" s="352"/>
      <c r="S3316" s="352"/>
      <c r="T3316" s="352"/>
      <c r="U3316" s="352"/>
      <c r="V3316" s="352"/>
      <c r="W3316" s="352"/>
      <c r="X3316" s="352"/>
      <c r="Y3316" s="352"/>
      <c r="Z3316" s="352"/>
      <c r="AA3316" s="352"/>
      <c r="AB3316" s="352"/>
      <c r="AC3316" s="352"/>
      <c r="AD3316" s="352"/>
      <c r="AE3316" s="352"/>
      <c r="AF3316" s="352"/>
      <c r="AG3316" s="352"/>
      <c r="AH3316" s="352"/>
      <c r="AI3316" s="352"/>
      <c r="AJ3316" s="352"/>
    </row>
    <row r="3317" spans="2:36" x14ac:dyDescent="0.2">
      <c r="B3317" s="352"/>
      <c r="C3317" s="352"/>
      <c r="D3317" s="352"/>
      <c r="E3317" s="352"/>
      <c r="F3317" s="352"/>
      <c r="H3317" s="352"/>
      <c r="J3317" s="352"/>
      <c r="L3317" s="352"/>
      <c r="M3317" s="352"/>
      <c r="N3317" s="352"/>
      <c r="O3317" s="352"/>
      <c r="P3317" s="352"/>
      <c r="Q3317" s="352"/>
      <c r="R3317" s="352"/>
      <c r="S3317" s="352"/>
      <c r="T3317" s="352"/>
      <c r="U3317" s="352"/>
      <c r="V3317" s="352"/>
      <c r="W3317" s="352"/>
      <c r="X3317" s="352"/>
      <c r="Y3317" s="352"/>
      <c r="Z3317" s="352"/>
      <c r="AA3317" s="352"/>
      <c r="AB3317" s="352"/>
      <c r="AC3317" s="352"/>
      <c r="AD3317" s="352"/>
      <c r="AE3317" s="352"/>
      <c r="AF3317" s="352"/>
      <c r="AG3317" s="352"/>
      <c r="AH3317" s="352"/>
      <c r="AI3317" s="352"/>
      <c r="AJ3317" s="352"/>
    </row>
    <row r="3318" spans="2:36" x14ac:dyDescent="0.2">
      <c r="B3318" s="352"/>
      <c r="C3318" s="352"/>
      <c r="D3318" s="352"/>
      <c r="E3318" s="352"/>
      <c r="F3318" s="352"/>
      <c r="H3318" s="352"/>
      <c r="J3318" s="352"/>
      <c r="L3318" s="352"/>
      <c r="M3318" s="352"/>
      <c r="N3318" s="352"/>
      <c r="O3318" s="352"/>
      <c r="P3318" s="352"/>
      <c r="Q3318" s="352"/>
      <c r="R3318" s="352"/>
      <c r="S3318" s="352"/>
      <c r="T3318" s="352"/>
      <c r="U3318" s="352"/>
      <c r="V3318" s="352"/>
      <c r="W3318" s="352"/>
      <c r="X3318" s="352"/>
      <c r="Y3318" s="352"/>
      <c r="Z3318" s="352"/>
      <c r="AA3318" s="352"/>
      <c r="AB3318" s="352"/>
      <c r="AC3318" s="352"/>
      <c r="AD3318" s="352"/>
      <c r="AE3318" s="352"/>
      <c r="AF3318" s="352"/>
      <c r="AG3318" s="352"/>
      <c r="AH3318" s="352"/>
      <c r="AI3318" s="352"/>
      <c r="AJ3318" s="352"/>
    </row>
    <row r="3319" spans="2:36" x14ac:dyDescent="0.2">
      <c r="B3319" s="352"/>
      <c r="C3319" s="352"/>
      <c r="D3319" s="352"/>
      <c r="E3319" s="352"/>
      <c r="F3319" s="352"/>
      <c r="H3319" s="352"/>
      <c r="J3319" s="352"/>
      <c r="L3319" s="352"/>
      <c r="M3319" s="352"/>
      <c r="N3319" s="352"/>
      <c r="O3319" s="352"/>
      <c r="P3319" s="352"/>
      <c r="Q3319" s="352"/>
      <c r="R3319" s="352"/>
      <c r="S3319" s="352"/>
      <c r="T3319" s="352"/>
      <c r="U3319" s="352"/>
      <c r="V3319" s="352"/>
      <c r="W3319" s="352"/>
      <c r="X3319" s="352"/>
      <c r="Y3319" s="352"/>
      <c r="Z3319" s="352"/>
      <c r="AA3319" s="352"/>
      <c r="AB3319" s="352"/>
      <c r="AC3319" s="352"/>
      <c r="AD3319" s="352"/>
      <c r="AE3319" s="352"/>
      <c r="AF3319" s="352"/>
      <c r="AG3319" s="352"/>
      <c r="AH3319" s="352"/>
      <c r="AI3319" s="352"/>
      <c r="AJ3319" s="352"/>
    </row>
    <row r="3320" spans="2:36" x14ac:dyDescent="0.2">
      <c r="B3320" s="352"/>
      <c r="C3320" s="352"/>
      <c r="D3320" s="352"/>
      <c r="E3320" s="352"/>
      <c r="F3320" s="352"/>
      <c r="H3320" s="352"/>
      <c r="J3320" s="352"/>
      <c r="L3320" s="352"/>
      <c r="M3320" s="352"/>
      <c r="N3320" s="352"/>
      <c r="O3320" s="352"/>
      <c r="P3320" s="352"/>
      <c r="Q3320" s="352"/>
      <c r="R3320" s="352"/>
      <c r="S3320" s="352"/>
      <c r="T3320" s="352"/>
      <c r="U3320" s="352"/>
      <c r="V3320" s="352"/>
      <c r="W3320" s="352"/>
      <c r="X3320" s="352"/>
      <c r="Y3320" s="352"/>
      <c r="Z3320" s="352"/>
      <c r="AA3320" s="352"/>
      <c r="AB3320" s="352"/>
      <c r="AC3320" s="352"/>
      <c r="AD3320" s="352"/>
      <c r="AE3320" s="352"/>
      <c r="AF3320" s="352"/>
      <c r="AG3320" s="352"/>
      <c r="AH3320" s="352"/>
      <c r="AI3320" s="352"/>
      <c r="AJ3320" s="352"/>
    </row>
    <row r="3321" spans="2:36" x14ac:dyDescent="0.2">
      <c r="B3321" s="352"/>
      <c r="C3321" s="352"/>
      <c r="D3321" s="352"/>
      <c r="E3321" s="352"/>
      <c r="F3321" s="352"/>
      <c r="H3321" s="352"/>
      <c r="J3321" s="352"/>
      <c r="L3321" s="352"/>
      <c r="M3321" s="352"/>
      <c r="N3321" s="352"/>
      <c r="O3321" s="352"/>
      <c r="P3321" s="352"/>
      <c r="Q3321" s="352"/>
      <c r="R3321" s="352"/>
      <c r="S3321" s="352"/>
      <c r="T3321" s="352"/>
      <c r="U3321" s="352"/>
      <c r="V3321" s="352"/>
      <c r="W3321" s="352"/>
      <c r="X3321" s="352"/>
      <c r="Y3321" s="352"/>
      <c r="Z3321" s="352"/>
      <c r="AA3321" s="352"/>
      <c r="AB3321" s="352"/>
      <c r="AC3321" s="352"/>
      <c r="AD3321" s="352"/>
      <c r="AE3321" s="352"/>
      <c r="AF3321" s="352"/>
      <c r="AG3321" s="352"/>
      <c r="AH3321" s="352"/>
      <c r="AI3321" s="352"/>
      <c r="AJ3321" s="352"/>
    </row>
    <row r="3322" spans="2:36" x14ac:dyDescent="0.2">
      <c r="B3322" s="352"/>
      <c r="C3322" s="352"/>
      <c r="D3322" s="352"/>
      <c r="E3322" s="352"/>
      <c r="F3322" s="352"/>
      <c r="H3322" s="352"/>
      <c r="J3322" s="352"/>
      <c r="L3322" s="352"/>
      <c r="M3322" s="352"/>
      <c r="N3322" s="352"/>
      <c r="O3322" s="352"/>
      <c r="P3322" s="352"/>
      <c r="Q3322" s="352"/>
      <c r="R3322" s="352"/>
      <c r="S3322" s="352"/>
      <c r="T3322" s="352"/>
      <c r="U3322" s="352"/>
      <c r="V3322" s="352"/>
      <c r="W3322" s="352"/>
      <c r="X3322" s="352"/>
      <c r="Y3322" s="352"/>
      <c r="Z3322" s="352"/>
      <c r="AA3322" s="352"/>
      <c r="AB3322" s="352"/>
      <c r="AC3322" s="352"/>
      <c r="AD3322" s="352"/>
      <c r="AE3322" s="352"/>
      <c r="AF3322" s="352"/>
      <c r="AG3322" s="352"/>
      <c r="AH3322" s="352"/>
      <c r="AI3322" s="352"/>
      <c r="AJ3322" s="352"/>
    </row>
    <row r="3323" spans="2:36" x14ac:dyDescent="0.2">
      <c r="B3323" s="352"/>
      <c r="C3323" s="352"/>
      <c r="D3323" s="352"/>
      <c r="E3323" s="352"/>
      <c r="F3323" s="352"/>
      <c r="H3323" s="352"/>
      <c r="J3323" s="352"/>
      <c r="L3323" s="352"/>
      <c r="M3323" s="352"/>
      <c r="N3323" s="352"/>
      <c r="O3323" s="352"/>
      <c r="P3323" s="352"/>
      <c r="Q3323" s="352"/>
      <c r="R3323" s="352"/>
      <c r="S3323" s="352"/>
      <c r="T3323" s="352"/>
      <c r="U3323" s="352"/>
      <c r="V3323" s="352"/>
      <c r="W3323" s="352"/>
      <c r="X3323" s="352"/>
      <c r="Y3323" s="352"/>
      <c r="Z3323" s="352"/>
      <c r="AA3323" s="352"/>
      <c r="AB3323" s="352"/>
      <c r="AC3323" s="352"/>
      <c r="AD3323" s="352"/>
      <c r="AE3323" s="352"/>
      <c r="AF3323" s="352"/>
      <c r="AG3323" s="352"/>
      <c r="AH3323" s="352"/>
      <c r="AI3323" s="352"/>
      <c r="AJ3323" s="352"/>
    </row>
    <row r="3324" spans="2:36" x14ac:dyDescent="0.2">
      <c r="B3324" s="352"/>
      <c r="C3324" s="352"/>
      <c r="D3324" s="352"/>
      <c r="E3324" s="352"/>
      <c r="F3324" s="352"/>
      <c r="H3324" s="352"/>
      <c r="J3324" s="352"/>
      <c r="L3324" s="352"/>
      <c r="M3324" s="352"/>
      <c r="N3324" s="352"/>
      <c r="O3324" s="352"/>
      <c r="P3324" s="352"/>
      <c r="Q3324" s="352"/>
      <c r="R3324" s="352"/>
      <c r="S3324" s="352"/>
      <c r="T3324" s="352"/>
      <c r="U3324" s="352"/>
      <c r="V3324" s="352"/>
      <c r="W3324" s="352"/>
      <c r="X3324" s="352"/>
      <c r="Y3324" s="352"/>
      <c r="Z3324" s="352"/>
      <c r="AA3324" s="352"/>
      <c r="AB3324" s="352"/>
      <c r="AC3324" s="352"/>
      <c r="AD3324" s="352"/>
      <c r="AE3324" s="352"/>
      <c r="AF3324" s="352"/>
      <c r="AG3324" s="352"/>
      <c r="AH3324" s="352"/>
      <c r="AI3324" s="352"/>
      <c r="AJ3324" s="352"/>
    </row>
    <row r="3325" spans="2:36" x14ac:dyDescent="0.2">
      <c r="B3325" s="352"/>
      <c r="C3325" s="352"/>
      <c r="D3325" s="352"/>
      <c r="E3325" s="352"/>
      <c r="F3325" s="352"/>
      <c r="H3325" s="352"/>
      <c r="J3325" s="352"/>
      <c r="L3325" s="352"/>
      <c r="M3325" s="352"/>
      <c r="N3325" s="352"/>
      <c r="O3325" s="352"/>
      <c r="P3325" s="352"/>
      <c r="Q3325" s="352"/>
      <c r="R3325" s="352"/>
      <c r="S3325" s="352"/>
      <c r="T3325" s="352"/>
      <c r="U3325" s="352"/>
      <c r="V3325" s="352"/>
      <c r="W3325" s="352"/>
      <c r="X3325" s="352"/>
      <c r="Y3325" s="352"/>
      <c r="Z3325" s="352"/>
      <c r="AA3325" s="352"/>
      <c r="AB3325" s="352"/>
      <c r="AC3325" s="352"/>
      <c r="AD3325" s="352"/>
      <c r="AE3325" s="352"/>
      <c r="AF3325" s="352"/>
      <c r="AG3325" s="352"/>
      <c r="AH3325" s="352"/>
      <c r="AI3325" s="352"/>
      <c r="AJ3325" s="352"/>
    </row>
    <row r="3326" spans="2:36" x14ac:dyDescent="0.2">
      <c r="B3326" s="352"/>
      <c r="C3326" s="352"/>
      <c r="D3326" s="352"/>
      <c r="E3326" s="352"/>
      <c r="F3326" s="352"/>
      <c r="H3326" s="352"/>
      <c r="J3326" s="352"/>
      <c r="L3326" s="352"/>
      <c r="M3326" s="352"/>
      <c r="N3326" s="352"/>
      <c r="O3326" s="352"/>
      <c r="P3326" s="352"/>
      <c r="Q3326" s="352"/>
      <c r="R3326" s="352"/>
      <c r="S3326" s="352"/>
      <c r="T3326" s="352"/>
      <c r="U3326" s="352"/>
      <c r="V3326" s="352"/>
      <c r="W3326" s="352"/>
      <c r="X3326" s="352"/>
      <c r="Y3326" s="352"/>
      <c r="Z3326" s="352"/>
      <c r="AA3326" s="352"/>
      <c r="AB3326" s="352"/>
      <c r="AC3326" s="352"/>
      <c r="AD3326" s="352"/>
      <c r="AE3326" s="352"/>
      <c r="AF3326" s="352"/>
      <c r="AG3326" s="352"/>
      <c r="AH3326" s="352"/>
      <c r="AI3326" s="352"/>
      <c r="AJ3326" s="352"/>
    </row>
    <row r="3327" spans="2:36" x14ac:dyDescent="0.2">
      <c r="B3327" s="352"/>
      <c r="C3327" s="352"/>
      <c r="D3327" s="352"/>
      <c r="E3327" s="352"/>
      <c r="F3327" s="352"/>
      <c r="H3327" s="352"/>
      <c r="J3327" s="352"/>
      <c r="L3327" s="352"/>
      <c r="M3327" s="352"/>
      <c r="N3327" s="352"/>
      <c r="O3327" s="352"/>
      <c r="P3327" s="352"/>
      <c r="Q3327" s="352"/>
      <c r="R3327" s="352"/>
      <c r="S3327" s="352"/>
      <c r="T3327" s="352"/>
      <c r="U3327" s="352"/>
      <c r="V3327" s="352"/>
      <c r="W3327" s="352"/>
      <c r="X3327" s="352"/>
      <c r="Y3327" s="352"/>
      <c r="Z3327" s="352"/>
      <c r="AA3327" s="352"/>
      <c r="AB3327" s="352"/>
      <c r="AC3327" s="352"/>
      <c r="AD3327" s="352"/>
      <c r="AE3327" s="352"/>
      <c r="AF3327" s="352"/>
      <c r="AG3327" s="352"/>
      <c r="AH3327" s="352"/>
      <c r="AI3327" s="352"/>
      <c r="AJ3327" s="352"/>
    </row>
    <row r="3328" spans="2:36" x14ac:dyDescent="0.2">
      <c r="B3328" s="352"/>
      <c r="C3328" s="352"/>
      <c r="D3328" s="352"/>
      <c r="E3328" s="352"/>
      <c r="F3328" s="352"/>
      <c r="H3328" s="352"/>
      <c r="J3328" s="352"/>
      <c r="L3328" s="352"/>
      <c r="M3328" s="352"/>
      <c r="N3328" s="352"/>
      <c r="O3328" s="352"/>
      <c r="P3328" s="352"/>
      <c r="Q3328" s="352"/>
      <c r="R3328" s="352"/>
      <c r="S3328" s="352"/>
      <c r="T3328" s="352"/>
      <c r="U3328" s="352"/>
      <c r="V3328" s="352"/>
      <c r="W3328" s="352"/>
      <c r="X3328" s="352"/>
      <c r="Y3328" s="352"/>
      <c r="Z3328" s="352"/>
      <c r="AA3328" s="352"/>
      <c r="AB3328" s="352"/>
      <c r="AC3328" s="352"/>
      <c r="AD3328" s="352"/>
      <c r="AE3328" s="352"/>
      <c r="AF3328" s="352"/>
      <c r="AG3328" s="352"/>
      <c r="AH3328" s="352"/>
      <c r="AI3328" s="352"/>
      <c r="AJ3328" s="352"/>
    </row>
    <row r="3329" spans="2:36" x14ac:dyDescent="0.2">
      <c r="B3329" s="352"/>
      <c r="C3329" s="352"/>
      <c r="D3329" s="352"/>
      <c r="E3329" s="352"/>
      <c r="F3329" s="352"/>
      <c r="H3329" s="352"/>
      <c r="J3329" s="352"/>
      <c r="L3329" s="352"/>
      <c r="M3329" s="352"/>
      <c r="N3329" s="352"/>
      <c r="O3329" s="352"/>
      <c r="P3329" s="352"/>
      <c r="Q3329" s="352"/>
      <c r="R3329" s="352"/>
      <c r="S3329" s="352"/>
      <c r="T3329" s="352"/>
      <c r="U3329" s="352"/>
      <c r="V3329" s="352"/>
      <c r="W3329" s="352"/>
      <c r="X3329" s="352"/>
      <c r="Y3329" s="352"/>
      <c r="Z3329" s="352"/>
      <c r="AA3329" s="352"/>
      <c r="AB3329" s="352"/>
      <c r="AC3329" s="352"/>
      <c r="AD3329" s="352"/>
      <c r="AE3329" s="352"/>
      <c r="AF3329" s="352"/>
      <c r="AG3329" s="352"/>
      <c r="AH3329" s="352"/>
      <c r="AI3329" s="352"/>
      <c r="AJ3329" s="352"/>
    </row>
    <row r="3330" spans="2:36" x14ac:dyDescent="0.2">
      <c r="B3330" s="352"/>
      <c r="C3330" s="352"/>
      <c r="D3330" s="352"/>
      <c r="E3330" s="352"/>
      <c r="F3330" s="352"/>
      <c r="H3330" s="352"/>
      <c r="J3330" s="352"/>
      <c r="L3330" s="352"/>
      <c r="M3330" s="352"/>
      <c r="N3330" s="352"/>
      <c r="O3330" s="352"/>
      <c r="P3330" s="352"/>
      <c r="Q3330" s="352"/>
      <c r="R3330" s="352"/>
      <c r="S3330" s="352"/>
      <c r="T3330" s="352"/>
      <c r="U3330" s="352"/>
      <c r="V3330" s="352"/>
      <c r="W3330" s="352"/>
      <c r="X3330" s="352"/>
      <c r="Y3330" s="352"/>
      <c r="Z3330" s="352"/>
      <c r="AA3330" s="352"/>
      <c r="AB3330" s="352"/>
      <c r="AC3330" s="352"/>
      <c r="AD3330" s="352"/>
      <c r="AE3330" s="352"/>
      <c r="AF3330" s="352"/>
      <c r="AG3330" s="352"/>
      <c r="AH3330" s="352"/>
      <c r="AI3330" s="352"/>
      <c r="AJ3330" s="352"/>
    </row>
    <row r="3331" spans="2:36" x14ac:dyDescent="0.2">
      <c r="B3331" s="352"/>
      <c r="C3331" s="352"/>
      <c r="D3331" s="352"/>
      <c r="E3331" s="352"/>
      <c r="F3331" s="352"/>
      <c r="H3331" s="352"/>
      <c r="J3331" s="352"/>
      <c r="L3331" s="352"/>
      <c r="M3331" s="352"/>
      <c r="N3331" s="352"/>
      <c r="O3331" s="352"/>
      <c r="P3331" s="352"/>
      <c r="Q3331" s="352"/>
      <c r="R3331" s="352"/>
      <c r="S3331" s="352"/>
      <c r="T3331" s="352"/>
      <c r="U3331" s="352"/>
      <c r="V3331" s="352"/>
      <c r="W3331" s="352"/>
      <c r="X3331" s="352"/>
      <c r="Y3331" s="352"/>
      <c r="Z3331" s="352"/>
      <c r="AA3331" s="352"/>
      <c r="AB3331" s="352"/>
      <c r="AC3331" s="352"/>
      <c r="AD3331" s="352"/>
      <c r="AE3331" s="352"/>
      <c r="AF3331" s="352"/>
      <c r="AG3331" s="352"/>
      <c r="AH3331" s="352"/>
      <c r="AI3331" s="352"/>
      <c r="AJ3331" s="352"/>
    </row>
    <row r="3332" spans="2:36" x14ac:dyDescent="0.2">
      <c r="B3332" s="352"/>
      <c r="C3332" s="352"/>
      <c r="D3332" s="352"/>
      <c r="E3332" s="352"/>
      <c r="F3332" s="352"/>
      <c r="H3332" s="352"/>
      <c r="J3332" s="352"/>
      <c r="L3332" s="352"/>
      <c r="M3332" s="352"/>
      <c r="N3332" s="352"/>
      <c r="O3332" s="352"/>
      <c r="P3332" s="352"/>
      <c r="Q3332" s="352"/>
      <c r="R3332" s="352"/>
      <c r="S3332" s="352"/>
      <c r="T3332" s="352"/>
      <c r="U3332" s="352"/>
      <c r="V3332" s="352"/>
      <c r="W3332" s="352"/>
      <c r="X3332" s="352"/>
      <c r="Y3332" s="352"/>
      <c r="Z3332" s="352"/>
      <c r="AA3332" s="352"/>
      <c r="AB3332" s="352"/>
      <c r="AC3332" s="352"/>
      <c r="AD3332" s="352"/>
      <c r="AE3332" s="352"/>
      <c r="AF3332" s="352"/>
      <c r="AG3332" s="352"/>
      <c r="AH3332" s="352"/>
      <c r="AI3332" s="352"/>
      <c r="AJ3332" s="352"/>
    </row>
    <row r="3333" spans="2:36" x14ac:dyDescent="0.2">
      <c r="B3333" s="352"/>
      <c r="C3333" s="352"/>
      <c r="D3333" s="352"/>
      <c r="E3333" s="352"/>
      <c r="F3333" s="352"/>
      <c r="H3333" s="352"/>
      <c r="J3333" s="352"/>
      <c r="L3333" s="352"/>
      <c r="M3333" s="352"/>
      <c r="N3333" s="352"/>
      <c r="O3333" s="352"/>
      <c r="P3333" s="352"/>
      <c r="Q3333" s="352"/>
      <c r="R3333" s="352"/>
      <c r="S3333" s="352"/>
      <c r="T3333" s="352"/>
      <c r="U3333" s="352"/>
      <c r="V3333" s="352"/>
      <c r="W3333" s="352"/>
      <c r="X3333" s="352"/>
      <c r="Y3333" s="352"/>
      <c r="Z3333" s="352"/>
      <c r="AA3333" s="352"/>
      <c r="AB3333" s="352"/>
      <c r="AC3333" s="352"/>
      <c r="AD3333" s="352"/>
      <c r="AE3333" s="352"/>
      <c r="AF3333" s="352"/>
      <c r="AG3333" s="352"/>
      <c r="AH3333" s="352"/>
      <c r="AI3333" s="352"/>
      <c r="AJ3333" s="352"/>
    </row>
    <row r="3334" spans="2:36" x14ac:dyDescent="0.2">
      <c r="B3334" s="352"/>
      <c r="C3334" s="352"/>
      <c r="D3334" s="352"/>
      <c r="E3334" s="352"/>
      <c r="F3334" s="352"/>
      <c r="H3334" s="352"/>
      <c r="J3334" s="352"/>
      <c r="L3334" s="352"/>
      <c r="M3334" s="352"/>
      <c r="N3334" s="352"/>
      <c r="O3334" s="352"/>
      <c r="P3334" s="352"/>
      <c r="Q3334" s="352"/>
      <c r="R3334" s="352"/>
      <c r="S3334" s="352"/>
      <c r="T3334" s="352"/>
      <c r="U3334" s="352"/>
      <c r="V3334" s="352"/>
      <c r="W3334" s="352"/>
      <c r="X3334" s="352"/>
      <c r="Y3334" s="352"/>
      <c r="Z3334" s="352"/>
      <c r="AA3334" s="352"/>
      <c r="AB3334" s="352"/>
      <c r="AC3334" s="352"/>
      <c r="AD3334" s="352"/>
      <c r="AE3334" s="352"/>
      <c r="AF3334" s="352"/>
      <c r="AG3334" s="352"/>
      <c r="AH3334" s="352"/>
      <c r="AI3334" s="352"/>
      <c r="AJ3334" s="352"/>
    </row>
    <row r="3335" spans="2:36" x14ac:dyDescent="0.2">
      <c r="B3335" s="352"/>
      <c r="C3335" s="352"/>
      <c r="D3335" s="352"/>
      <c r="E3335" s="352"/>
      <c r="F3335" s="352"/>
      <c r="H3335" s="352"/>
      <c r="J3335" s="352"/>
      <c r="L3335" s="352"/>
      <c r="M3335" s="352"/>
      <c r="N3335" s="352"/>
      <c r="O3335" s="352"/>
      <c r="P3335" s="352"/>
      <c r="Q3335" s="352"/>
      <c r="R3335" s="352"/>
      <c r="S3335" s="352"/>
      <c r="T3335" s="352"/>
      <c r="U3335" s="352"/>
      <c r="V3335" s="352"/>
      <c r="W3335" s="352"/>
      <c r="X3335" s="352"/>
      <c r="Y3335" s="352"/>
      <c r="Z3335" s="352"/>
      <c r="AA3335" s="352"/>
      <c r="AB3335" s="352"/>
      <c r="AC3335" s="352"/>
      <c r="AD3335" s="352"/>
      <c r="AE3335" s="352"/>
      <c r="AF3335" s="352"/>
      <c r="AG3335" s="352"/>
      <c r="AH3335" s="352"/>
      <c r="AI3335" s="352"/>
      <c r="AJ3335" s="352"/>
    </row>
    <row r="3336" spans="2:36" x14ac:dyDescent="0.2">
      <c r="B3336" s="352"/>
      <c r="C3336" s="352"/>
      <c r="D3336" s="352"/>
      <c r="E3336" s="352"/>
      <c r="F3336" s="352"/>
      <c r="H3336" s="352"/>
      <c r="J3336" s="352"/>
      <c r="L3336" s="352"/>
      <c r="M3336" s="352"/>
      <c r="N3336" s="352"/>
      <c r="O3336" s="352"/>
      <c r="P3336" s="352"/>
      <c r="Q3336" s="352"/>
      <c r="R3336" s="352"/>
      <c r="S3336" s="352"/>
      <c r="T3336" s="352"/>
      <c r="U3336" s="352"/>
      <c r="V3336" s="352"/>
      <c r="W3336" s="352"/>
      <c r="X3336" s="352"/>
      <c r="Y3336" s="352"/>
      <c r="Z3336" s="352"/>
      <c r="AA3336" s="352"/>
      <c r="AB3336" s="352"/>
      <c r="AC3336" s="352"/>
      <c r="AD3336" s="352"/>
      <c r="AE3336" s="352"/>
      <c r="AF3336" s="352"/>
      <c r="AG3336" s="352"/>
      <c r="AH3336" s="352"/>
      <c r="AI3336" s="352"/>
      <c r="AJ3336" s="352"/>
    </row>
    <row r="3337" spans="2:36" x14ac:dyDescent="0.2">
      <c r="B3337" s="352"/>
      <c r="C3337" s="352"/>
      <c r="D3337" s="352"/>
      <c r="E3337" s="352"/>
      <c r="F3337" s="352"/>
      <c r="H3337" s="352"/>
      <c r="J3337" s="352"/>
      <c r="L3337" s="352"/>
      <c r="M3337" s="352"/>
      <c r="N3337" s="352"/>
      <c r="O3337" s="352"/>
      <c r="P3337" s="352"/>
      <c r="Q3337" s="352"/>
      <c r="R3337" s="352"/>
      <c r="S3337" s="352"/>
      <c r="T3337" s="352"/>
      <c r="U3337" s="352"/>
      <c r="V3337" s="352"/>
      <c r="W3337" s="352"/>
      <c r="X3337" s="352"/>
      <c r="Y3337" s="352"/>
      <c r="Z3337" s="352"/>
      <c r="AA3337" s="352"/>
      <c r="AB3337" s="352"/>
      <c r="AC3337" s="352"/>
      <c r="AD3337" s="352"/>
      <c r="AE3337" s="352"/>
      <c r="AF3337" s="352"/>
      <c r="AG3337" s="352"/>
      <c r="AH3337" s="352"/>
      <c r="AI3337" s="352"/>
      <c r="AJ3337" s="352"/>
    </row>
    <row r="3338" spans="2:36" x14ac:dyDescent="0.2">
      <c r="B3338" s="352"/>
      <c r="C3338" s="352"/>
      <c r="D3338" s="352"/>
      <c r="E3338" s="352"/>
      <c r="F3338" s="352"/>
      <c r="H3338" s="352"/>
      <c r="J3338" s="352"/>
      <c r="L3338" s="352"/>
      <c r="M3338" s="352"/>
      <c r="N3338" s="352"/>
      <c r="O3338" s="352"/>
      <c r="P3338" s="352"/>
      <c r="Q3338" s="352"/>
      <c r="R3338" s="352"/>
      <c r="S3338" s="352"/>
      <c r="T3338" s="352"/>
      <c r="U3338" s="352"/>
      <c r="V3338" s="352"/>
      <c r="W3338" s="352"/>
      <c r="X3338" s="352"/>
      <c r="Y3338" s="352"/>
      <c r="Z3338" s="352"/>
      <c r="AA3338" s="352"/>
      <c r="AB3338" s="352"/>
      <c r="AC3338" s="352"/>
      <c r="AD3338" s="352"/>
      <c r="AE3338" s="352"/>
      <c r="AF3338" s="352"/>
      <c r="AG3338" s="352"/>
      <c r="AH3338" s="352"/>
      <c r="AI3338" s="352"/>
      <c r="AJ3338" s="352"/>
    </row>
    <row r="3339" spans="2:36" x14ac:dyDescent="0.2">
      <c r="B3339" s="352"/>
      <c r="C3339" s="352"/>
      <c r="D3339" s="352"/>
      <c r="E3339" s="352"/>
      <c r="F3339" s="352"/>
      <c r="H3339" s="352"/>
      <c r="J3339" s="352"/>
      <c r="L3339" s="352"/>
      <c r="M3339" s="352"/>
      <c r="N3339" s="352"/>
      <c r="O3339" s="352"/>
      <c r="P3339" s="352"/>
      <c r="Q3339" s="352"/>
      <c r="R3339" s="352"/>
      <c r="S3339" s="352"/>
      <c r="T3339" s="352"/>
      <c r="U3339" s="352"/>
      <c r="V3339" s="352"/>
      <c r="W3339" s="352"/>
      <c r="X3339" s="352"/>
      <c r="Y3339" s="352"/>
      <c r="Z3339" s="352"/>
      <c r="AA3339" s="352"/>
      <c r="AB3339" s="352"/>
      <c r="AC3339" s="352"/>
      <c r="AD3339" s="352"/>
      <c r="AE3339" s="352"/>
      <c r="AF3339" s="352"/>
      <c r="AG3339" s="352"/>
      <c r="AH3339" s="352"/>
      <c r="AI3339" s="352"/>
      <c r="AJ3339" s="352"/>
    </row>
    <row r="3340" spans="2:36" x14ac:dyDescent="0.2">
      <c r="B3340" s="352"/>
      <c r="C3340" s="352"/>
      <c r="D3340" s="352"/>
      <c r="E3340" s="352"/>
      <c r="F3340" s="352"/>
      <c r="H3340" s="352"/>
      <c r="J3340" s="352"/>
      <c r="L3340" s="352"/>
      <c r="M3340" s="352"/>
      <c r="N3340" s="352"/>
      <c r="O3340" s="352"/>
      <c r="P3340" s="352"/>
      <c r="Q3340" s="352"/>
      <c r="R3340" s="352"/>
      <c r="S3340" s="352"/>
      <c r="T3340" s="352"/>
      <c r="U3340" s="352"/>
      <c r="V3340" s="352"/>
      <c r="W3340" s="352"/>
      <c r="X3340" s="352"/>
      <c r="Y3340" s="352"/>
      <c r="Z3340" s="352"/>
      <c r="AA3340" s="352"/>
      <c r="AB3340" s="352"/>
      <c r="AC3340" s="352"/>
      <c r="AD3340" s="352"/>
      <c r="AE3340" s="352"/>
      <c r="AF3340" s="352"/>
      <c r="AG3340" s="352"/>
      <c r="AH3340" s="352"/>
      <c r="AI3340" s="352"/>
      <c r="AJ3340" s="352"/>
    </row>
    <row r="3341" spans="2:36" x14ac:dyDescent="0.2">
      <c r="B3341" s="352"/>
      <c r="C3341" s="352"/>
      <c r="D3341" s="352"/>
      <c r="E3341" s="352"/>
      <c r="F3341" s="352"/>
      <c r="H3341" s="352"/>
      <c r="J3341" s="352"/>
      <c r="L3341" s="352"/>
      <c r="M3341" s="352"/>
      <c r="N3341" s="352"/>
      <c r="O3341" s="352"/>
      <c r="P3341" s="352"/>
      <c r="Q3341" s="352"/>
      <c r="R3341" s="352"/>
      <c r="S3341" s="352"/>
      <c r="T3341" s="352"/>
      <c r="U3341" s="352"/>
      <c r="V3341" s="352"/>
      <c r="W3341" s="352"/>
      <c r="X3341" s="352"/>
      <c r="Y3341" s="352"/>
      <c r="Z3341" s="352"/>
      <c r="AA3341" s="352"/>
      <c r="AB3341" s="352"/>
      <c r="AC3341" s="352"/>
      <c r="AD3341" s="352"/>
      <c r="AE3341" s="352"/>
      <c r="AF3341" s="352"/>
      <c r="AG3341" s="352"/>
      <c r="AH3341" s="352"/>
      <c r="AI3341" s="352"/>
      <c r="AJ3341" s="352"/>
    </row>
    <row r="3342" spans="2:36" x14ac:dyDescent="0.2">
      <c r="B3342" s="352"/>
      <c r="C3342" s="352"/>
      <c r="D3342" s="352"/>
      <c r="E3342" s="352"/>
      <c r="F3342" s="352"/>
      <c r="H3342" s="352"/>
      <c r="J3342" s="352"/>
      <c r="L3342" s="352"/>
      <c r="M3342" s="352"/>
      <c r="N3342" s="352"/>
      <c r="O3342" s="352"/>
      <c r="P3342" s="352"/>
      <c r="Q3342" s="352"/>
      <c r="R3342" s="352"/>
      <c r="S3342" s="352"/>
      <c r="T3342" s="352"/>
      <c r="U3342" s="352"/>
      <c r="V3342" s="352"/>
      <c r="W3342" s="352"/>
      <c r="X3342" s="352"/>
      <c r="Y3342" s="352"/>
      <c r="Z3342" s="352"/>
      <c r="AA3342" s="352"/>
      <c r="AB3342" s="352"/>
      <c r="AC3342" s="352"/>
      <c r="AD3342" s="352"/>
      <c r="AE3342" s="352"/>
      <c r="AF3342" s="352"/>
      <c r="AG3342" s="352"/>
      <c r="AH3342" s="352"/>
      <c r="AI3342" s="352"/>
      <c r="AJ3342" s="352"/>
    </row>
    <row r="3343" spans="2:36" x14ac:dyDescent="0.2">
      <c r="B3343" s="352"/>
      <c r="C3343" s="352"/>
      <c r="D3343" s="352"/>
      <c r="E3343" s="352"/>
      <c r="F3343" s="352"/>
      <c r="H3343" s="352"/>
      <c r="J3343" s="352"/>
      <c r="L3343" s="352"/>
      <c r="M3343" s="352"/>
      <c r="N3343" s="352"/>
      <c r="O3343" s="352"/>
      <c r="P3343" s="352"/>
      <c r="Q3343" s="352"/>
      <c r="R3343" s="352"/>
      <c r="S3343" s="352"/>
      <c r="T3343" s="352"/>
      <c r="U3343" s="352"/>
      <c r="V3343" s="352"/>
      <c r="W3343" s="352"/>
      <c r="X3343" s="352"/>
      <c r="Y3343" s="352"/>
      <c r="Z3343" s="352"/>
      <c r="AA3343" s="352"/>
      <c r="AB3343" s="352"/>
      <c r="AC3343" s="352"/>
      <c r="AD3343" s="352"/>
      <c r="AE3343" s="352"/>
      <c r="AF3343" s="352"/>
      <c r="AG3343" s="352"/>
      <c r="AH3343" s="352"/>
      <c r="AI3343" s="352"/>
      <c r="AJ3343" s="352"/>
    </row>
    <row r="3344" spans="2:36" x14ac:dyDescent="0.2">
      <c r="B3344" s="352"/>
      <c r="C3344" s="352"/>
      <c r="D3344" s="352"/>
      <c r="E3344" s="352"/>
      <c r="F3344" s="352"/>
      <c r="H3344" s="352"/>
      <c r="J3344" s="352"/>
      <c r="L3344" s="352"/>
      <c r="M3344" s="352"/>
      <c r="N3344" s="352"/>
      <c r="O3344" s="352"/>
      <c r="P3344" s="352"/>
      <c r="Q3344" s="352"/>
      <c r="R3344" s="352"/>
      <c r="S3344" s="352"/>
      <c r="T3344" s="352"/>
      <c r="U3344" s="352"/>
      <c r="V3344" s="352"/>
      <c r="W3344" s="352"/>
      <c r="X3344" s="352"/>
      <c r="Y3344" s="352"/>
      <c r="Z3344" s="352"/>
      <c r="AA3344" s="352"/>
      <c r="AB3344" s="352"/>
      <c r="AC3344" s="352"/>
      <c r="AD3344" s="352"/>
      <c r="AE3344" s="352"/>
      <c r="AF3344" s="352"/>
      <c r="AG3344" s="352"/>
      <c r="AH3344" s="352"/>
      <c r="AI3344" s="352"/>
      <c r="AJ3344" s="352"/>
    </row>
    <row r="3345" spans="2:36" x14ac:dyDescent="0.2">
      <c r="B3345" s="352"/>
      <c r="C3345" s="352"/>
      <c r="D3345" s="352"/>
      <c r="E3345" s="352"/>
      <c r="F3345" s="352"/>
      <c r="H3345" s="352"/>
      <c r="J3345" s="352"/>
      <c r="L3345" s="352"/>
      <c r="M3345" s="352"/>
      <c r="N3345" s="352"/>
      <c r="O3345" s="352"/>
      <c r="P3345" s="352"/>
      <c r="Q3345" s="352"/>
      <c r="R3345" s="352"/>
      <c r="S3345" s="352"/>
      <c r="T3345" s="352"/>
      <c r="U3345" s="352"/>
      <c r="V3345" s="352"/>
      <c r="W3345" s="352"/>
      <c r="X3345" s="352"/>
      <c r="Y3345" s="352"/>
      <c r="Z3345" s="352"/>
      <c r="AA3345" s="352"/>
      <c r="AB3345" s="352"/>
      <c r="AC3345" s="352"/>
      <c r="AD3345" s="352"/>
      <c r="AE3345" s="352"/>
      <c r="AF3345" s="352"/>
      <c r="AG3345" s="352"/>
      <c r="AH3345" s="352"/>
      <c r="AI3345" s="352"/>
      <c r="AJ3345" s="352"/>
    </row>
    <row r="3346" spans="2:36" x14ac:dyDescent="0.2">
      <c r="B3346" s="352"/>
      <c r="C3346" s="352"/>
      <c r="D3346" s="352"/>
      <c r="E3346" s="352"/>
      <c r="F3346" s="352"/>
      <c r="H3346" s="352"/>
      <c r="J3346" s="352"/>
      <c r="L3346" s="352"/>
      <c r="M3346" s="352"/>
      <c r="N3346" s="352"/>
      <c r="O3346" s="352"/>
      <c r="P3346" s="352"/>
      <c r="Q3346" s="352"/>
      <c r="R3346" s="352"/>
      <c r="S3346" s="352"/>
      <c r="T3346" s="352"/>
      <c r="U3346" s="352"/>
      <c r="V3346" s="352"/>
      <c r="W3346" s="352"/>
      <c r="X3346" s="352"/>
      <c r="Y3346" s="352"/>
      <c r="Z3346" s="352"/>
      <c r="AA3346" s="352"/>
      <c r="AB3346" s="352"/>
      <c r="AC3346" s="352"/>
      <c r="AD3346" s="352"/>
      <c r="AE3346" s="352"/>
      <c r="AF3346" s="352"/>
      <c r="AG3346" s="352"/>
      <c r="AH3346" s="352"/>
      <c r="AI3346" s="352"/>
      <c r="AJ3346" s="352"/>
    </row>
    <row r="3347" spans="2:36" x14ac:dyDescent="0.2">
      <c r="B3347" s="352"/>
      <c r="C3347" s="352"/>
      <c r="D3347" s="352"/>
      <c r="E3347" s="352"/>
      <c r="F3347" s="352"/>
      <c r="H3347" s="352"/>
      <c r="J3347" s="352"/>
      <c r="L3347" s="352"/>
      <c r="M3347" s="352"/>
      <c r="N3347" s="352"/>
      <c r="O3347" s="352"/>
      <c r="P3347" s="352"/>
      <c r="Q3347" s="352"/>
      <c r="R3347" s="352"/>
      <c r="S3347" s="352"/>
      <c r="T3347" s="352"/>
      <c r="U3347" s="352"/>
      <c r="V3347" s="352"/>
      <c r="W3347" s="352"/>
      <c r="X3347" s="352"/>
      <c r="Y3347" s="352"/>
      <c r="Z3347" s="352"/>
      <c r="AA3347" s="352"/>
      <c r="AB3347" s="352"/>
      <c r="AC3347" s="352"/>
      <c r="AD3347" s="352"/>
      <c r="AE3347" s="352"/>
      <c r="AF3347" s="352"/>
      <c r="AG3347" s="352"/>
      <c r="AH3347" s="352"/>
      <c r="AI3347" s="352"/>
      <c r="AJ3347" s="352"/>
    </row>
    <row r="3348" spans="2:36" x14ac:dyDescent="0.2">
      <c r="B3348" s="352"/>
      <c r="C3348" s="352"/>
      <c r="D3348" s="352"/>
      <c r="E3348" s="352"/>
      <c r="F3348" s="352"/>
      <c r="H3348" s="352"/>
      <c r="J3348" s="352"/>
      <c r="L3348" s="352"/>
      <c r="M3348" s="352"/>
      <c r="N3348" s="352"/>
      <c r="O3348" s="352"/>
      <c r="P3348" s="352"/>
      <c r="Q3348" s="352"/>
      <c r="R3348" s="352"/>
      <c r="S3348" s="352"/>
      <c r="T3348" s="352"/>
      <c r="U3348" s="352"/>
      <c r="V3348" s="352"/>
      <c r="W3348" s="352"/>
      <c r="X3348" s="352"/>
      <c r="Y3348" s="352"/>
      <c r="Z3348" s="352"/>
      <c r="AA3348" s="352"/>
      <c r="AB3348" s="352"/>
      <c r="AC3348" s="352"/>
      <c r="AD3348" s="352"/>
      <c r="AE3348" s="352"/>
      <c r="AF3348" s="352"/>
      <c r="AG3348" s="352"/>
      <c r="AH3348" s="352"/>
      <c r="AI3348" s="352"/>
      <c r="AJ3348" s="352"/>
    </row>
    <row r="3349" spans="2:36" x14ac:dyDescent="0.2">
      <c r="B3349" s="352"/>
      <c r="C3349" s="352"/>
      <c r="D3349" s="352"/>
      <c r="E3349" s="352"/>
      <c r="F3349" s="352"/>
      <c r="H3349" s="352"/>
      <c r="J3349" s="352"/>
      <c r="L3349" s="352"/>
      <c r="M3349" s="352"/>
      <c r="N3349" s="352"/>
      <c r="O3349" s="352"/>
      <c r="P3349" s="352"/>
      <c r="Q3349" s="352"/>
      <c r="R3349" s="352"/>
      <c r="S3349" s="352"/>
      <c r="T3349" s="352"/>
      <c r="U3349" s="352"/>
      <c r="V3349" s="352"/>
      <c r="W3349" s="352"/>
      <c r="X3349" s="352"/>
      <c r="Y3349" s="352"/>
      <c r="Z3349" s="352"/>
      <c r="AA3349" s="352"/>
      <c r="AB3349" s="352"/>
      <c r="AC3349" s="352"/>
      <c r="AD3349" s="352"/>
      <c r="AE3349" s="352"/>
      <c r="AF3349" s="352"/>
      <c r="AG3349" s="352"/>
      <c r="AH3349" s="352"/>
      <c r="AI3349" s="352"/>
      <c r="AJ3349" s="352"/>
    </row>
    <row r="3350" spans="2:36" x14ac:dyDescent="0.2">
      <c r="B3350" s="352"/>
      <c r="C3350" s="352"/>
      <c r="D3350" s="352"/>
      <c r="E3350" s="352"/>
      <c r="F3350" s="352"/>
      <c r="H3350" s="352"/>
      <c r="J3350" s="352"/>
      <c r="L3350" s="352"/>
      <c r="M3350" s="352"/>
      <c r="N3350" s="352"/>
      <c r="O3350" s="352"/>
      <c r="P3350" s="352"/>
      <c r="Q3350" s="352"/>
      <c r="R3350" s="352"/>
      <c r="S3350" s="352"/>
      <c r="T3350" s="352"/>
      <c r="U3350" s="352"/>
      <c r="V3350" s="352"/>
      <c r="W3350" s="352"/>
      <c r="X3350" s="352"/>
      <c r="Y3350" s="352"/>
      <c r="Z3350" s="352"/>
      <c r="AA3350" s="352"/>
      <c r="AB3350" s="352"/>
      <c r="AC3350" s="352"/>
      <c r="AD3350" s="352"/>
      <c r="AE3350" s="352"/>
      <c r="AF3350" s="352"/>
      <c r="AG3350" s="352"/>
      <c r="AH3350" s="352"/>
      <c r="AI3350" s="352"/>
      <c r="AJ3350" s="352"/>
    </row>
    <row r="3351" spans="2:36" x14ac:dyDescent="0.2">
      <c r="B3351" s="352"/>
      <c r="C3351" s="352"/>
      <c r="D3351" s="352"/>
      <c r="E3351" s="352"/>
      <c r="F3351" s="352"/>
      <c r="H3351" s="352"/>
      <c r="J3351" s="352"/>
      <c r="L3351" s="352"/>
      <c r="M3351" s="352"/>
      <c r="N3351" s="352"/>
      <c r="O3351" s="352"/>
      <c r="P3351" s="352"/>
      <c r="Q3351" s="352"/>
      <c r="R3351" s="352"/>
      <c r="S3351" s="352"/>
      <c r="T3351" s="352"/>
      <c r="U3351" s="352"/>
      <c r="V3351" s="352"/>
      <c r="W3351" s="352"/>
      <c r="X3351" s="352"/>
      <c r="Y3351" s="352"/>
      <c r="Z3351" s="352"/>
      <c r="AA3351" s="352"/>
      <c r="AB3351" s="352"/>
      <c r="AC3351" s="352"/>
      <c r="AD3351" s="352"/>
      <c r="AE3351" s="352"/>
      <c r="AF3351" s="352"/>
      <c r="AG3351" s="352"/>
      <c r="AH3351" s="352"/>
      <c r="AI3351" s="352"/>
      <c r="AJ3351" s="352"/>
    </row>
    <row r="3352" spans="2:36" x14ac:dyDescent="0.2">
      <c r="B3352" s="352"/>
      <c r="C3352" s="352"/>
      <c r="D3352" s="352"/>
      <c r="E3352" s="352"/>
      <c r="F3352" s="352"/>
      <c r="H3352" s="352"/>
      <c r="J3352" s="352"/>
      <c r="L3352" s="352"/>
      <c r="M3352" s="352"/>
      <c r="N3352" s="352"/>
      <c r="O3352" s="352"/>
      <c r="P3352" s="352"/>
      <c r="Q3352" s="352"/>
      <c r="R3352" s="352"/>
      <c r="S3352" s="352"/>
      <c r="T3352" s="352"/>
      <c r="U3352" s="352"/>
      <c r="V3352" s="352"/>
      <c r="W3352" s="352"/>
      <c r="X3352" s="352"/>
      <c r="Y3352" s="352"/>
      <c r="Z3352" s="352"/>
      <c r="AA3352" s="352"/>
      <c r="AB3352" s="352"/>
      <c r="AC3352" s="352"/>
      <c r="AD3352" s="352"/>
      <c r="AE3352" s="352"/>
      <c r="AF3352" s="352"/>
      <c r="AG3352" s="352"/>
      <c r="AH3352" s="352"/>
      <c r="AI3352" s="352"/>
      <c r="AJ3352" s="352"/>
    </row>
    <row r="3353" spans="2:36" x14ac:dyDescent="0.2">
      <c r="B3353" s="352"/>
      <c r="C3353" s="352"/>
      <c r="D3353" s="352"/>
      <c r="E3353" s="352"/>
      <c r="F3353" s="352"/>
      <c r="H3353" s="352"/>
      <c r="J3353" s="352"/>
      <c r="L3353" s="352"/>
      <c r="M3353" s="352"/>
      <c r="N3353" s="352"/>
      <c r="O3353" s="352"/>
      <c r="P3353" s="352"/>
      <c r="Q3353" s="352"/>
      <c r="R3353" s="352"/>
      <c r="S3353" s="352"/>
      <c r="T3353" s="352"/>
      <c r="U3353" s="352"/>
      <c r="V3353" s="352"/>
      <c r="W3353" s="352"/>
      <c r="X3353" s="352"/>
      <c r="Y3353" s="352"/>
      <c r="Z3353" s="352"/>
      <c r="AA3353" s="352"/>
      <c r="AB3353" s="352"/>
      <c r="AC3353" s="352"/>
      <c r="AD3353" s="352"/>
      <c r="AE3353" s="352"/>
      <c r="AF3353" s="352"/>
      <c r="AG3353" s="352"/>
      <c r="AH3353" s="352"/>
      <c r="AI3353" s="352"/>
      <c r="AJ3353" s="352"/>
    </row>
    <row r="3354" spans="2:36" x14ac:dyDescent="0.2">
      <c r="B3354" s="352"/>
      <c r="C3354" s="352"/>
      <c r="D3354" s="352"/>
      <c r="E3354" s="352"/>
      <c r="F3354" s="352"/>
      <c r="H3354" s="352"/>
      <c r="J3354" s="352"/>
      <c r="L3354" s="352"/>
      <c r="M3354" s="352"/>
      <c r="N3354" s="352"/>
      <c r="O3354" s="352"/>
      <c r="P3354" s="352"/>
      <c r="Q3354" s="352"/>
      <c r="R3354" s="352"/>
      <c r="S3354" s="352"/>
      <c r="T3354" s="352"/>
      <c r="U3354" s="352"/>
      <c r="V3354" s="352"/>
      <c r="W3354" s="352"/>
      <c r="X3354" s="352"/>
      <c r="Y3354" s="352"/>
      <c r="Z3354" s="352"/>
      <c r="AA3354" s="352"/>
      <c r="AB3354" s="352"/>
      <c r="AC3354" s="352"/>
      <c r="AD3354" s="352"/>
      <c r="AE3354" s="352"/>
      <c r="AF3354" s="352"/>
      <c r="AG3354" s="352"/>
      <c r="AH3354" s="352"/>
      <c r="AI3354" s="352"/>
      <c r="AJ3354" s="352"/>
    </row>
    <row r="3355" spans="2:36" x14ac:dyDescent="0.2">
      <c r="B3355" s="352"/>
      <c r="C3355" s="352"/>
      <c r="D3355" s="352"/>
      <c r="E3355" s="352"/>
      <c r="F3355" s="352"/>
      <c r="H3355" s="352"/>
      <c r="J3355" s="352"/>
      <c r="L3355" s="352"/>
      <c r="M3355" s="352"/>
      <c r="N3355" s="352"/>
      <c r="O3355" s="352"/>
      <c r="P3355" s="352"/>
      <c r="Q3355" s="352"/>
      <c r="R3355" s="352"/>
      <c r="S3355" s="352"/>
      <c r="T3355" s="352"/>
      <c r="U3355" s="352"/>
      <c r="V3355" s="352"/>
      <c r="W3355" s="352"/>
      <c r="X3355" s="352"/>
      <c r="Y3355" s="352"/>
      <c r="Z3355" s="352"/>
      <c r="AA3355" s="352"/>
      <c r="AB3355" s="352"/>
      <c r="AC3355" s="352"/>
      <c r="AD3355" s="352"/>
      <c r="AE3355" s="352"/>
      <c r="AF3355" s="352"/>
      <c r="AG3355" s="352"/>
      <c r="AH3355" s="352"/>
      <c r="AI3355" s="352"/>
      <c r="AJ3355" s="352"/>
    </row>
    <row r="3356" spans="2:36" x14ac:dyDescent="0.2">
      <c r="B3356" s="352"/>
      <c r="C3356" s="352"/>
      <c r="D3356" s="352"/>
      <c r="E3356" s="352"/>
      <c r="F3356" s="352"/>
      <c r="H3356" s="352"/>
      <c r="J3356" s="352"/>
      <c r="L3356" s="352"/>
      <c r="M3356" s="352"/>
      <c r="N3356" s="352"/>
      <c r="O3356" s="352"/>
      <c r="P3356" s="352"/>
      <c r="Q3356" s="352"/>
      <c r="R3356" s="352"/>
      <c r="S3356" s="352"/>
      <c r="T3356" s="352"/>
      <c r="U3356" s="352"/>
      <c r="V3356" s="352"/>
      <c r="W3356" s="352"/>
      <c r="X3356" s="352"/>
      <c r="Y3356" s="352"/>
      <c r="Z3356" s="352"/>
      <c r="AA3356" s="352"/>
      <c r="AB3356" s="352"/>
      <c r="AC3356" s="352"/>
      <c r="AD3356" s="352"/>
      <c r="AE3356" s="352"/>
      <c r="AF3356" s="352"/>
      <c r="AG3356" s="352"/>
      <c r="AH3356" s="352"/>
      <c r="AI3356" s="352"/>
      <c r="AJ3356" s="352"/>
    </row>
    <row r="3357" spans="2:36" x14ac:dyDescent="0.2">
      <c r="B3357" s="352"/>
      <c r="C3357" s="352"/>
      <c r="D3357" s="352"/>
      <c r="E3357" s="352"/>
      <c r="F3357" s="352"/>
      <c r="H3357" s="352"/>
      <c r="J3357" s="352"/>
      <c r="L3357" s="352"/>
      <c r="M3357" s="352"/>
      <c r="N3357" s="352"/>
      <c r="O3357" s="352"/>
      <c r="P3357" s="352"/>
      <c r="Q3357" s="352"/>
      <c r="R3357" s="352"/>
      <c r="S3357" s="352"/>
      <c r="T3357" s="352"/>
      <c r="U3357" s="352"/>
      <c r="V3357" s="352"/>
      <c r="W3357" s="352"/>
      <c r="X3357" s="352"/>
      <c r="Y3357" s="352"/>
      <c r="Z3357" s="352"/>
      <c r="AA3357" s="352"/>
      <c r="AB3357" s="352"/>
      <c r="AC3357" s="352"/>
      <c r="AD3357" s="352"/>
      <c r="AE3357" s="352"/>
      <c r="AF3357" s="352"/>
      <c r="AG3357" s="352"/>
      <c r="AH3357" s="352"/>
      <c r="AI3357" s="352"/>
      <c r="AJ3357" s="352"/>
    </row>
    <row r="3358" spans="2:36" x14ac:dyDescent="0.2">
      <c r="B3358" s="352"/>
      <c r="C3358" s="352"/>
      <c r="D3358" s="352"/>
      <c r="E3358" s="352"/>
      <c r="F3358" s="352"/>
      <c r="H3358" s="352"/>
      <c r="J3358" s="352"/>
      <c r="L3358" s="352"/>
      <c r="M3358" s="352"/>
      <c r="N3358" s="352"/>
      <c r="O3358" s="352"/>
      <c r="P3358" s="352"/>
      <c r="Q3358" s="352"/>
      <c r="R3358" s="352"/>
      <c r="S3358" s="352"/>
      <c r="T3358" s="352"/>
      <c r="U3358" s="352"/>
      <c r="V3358" s="352"/>
      <c r="W3358" s="352"/>
      <c r="X3358" s="352"/>
      <c r="Y3358" s="352"/>
      <c r="Z3358" s="352"/>
      <c r="AA3358" s="352"/>
      <c r="AB3358" s="352"/>
      <c r="AC3358" s="352"/>
      <c r="AD3358" s="352"/>
      <c r="AE3358" s="352"/>
      <c r="AF3358" s="352"/>
      <c r="AG3358" s="352"/>
      <c r="AH3358" s="352"/>
      <c r="AI3358" s="352"/>
      <c r="AJ3358" s="352"/>
    </row>
    <row r="3359" spans="2:36" x14ac:dyDescent="0.2">
      <c r="B3359" s="352"/>
      <c r="C3359" s="352"/>
      <c r="D3359" s="352"/>
      <c r="E3359" s="352"/>
      <c r="F3359" s="352"/>
      <c r="H3359" s="352"/>
      <c r="J3359" s="352"/>
      <c r="L3359" s="352"/>
      <c r="M3359" s="352"/>
      <c r="N3359" s="352"/>
      <c r="O3359" s="352"/>
      <c r="P3359" s="352"/>
      <c r="Q3359" s="352"/>
      <c r="R3359" s="352"/>
      <c r="S3359" s="352"/>
      <c r="T3359" s="352"/>
      <c r="U3359" s="352"/>
      <c r="V3359" s="352"/>
      <c r="W3359" s="352"/>
      <c r="X3359" s="352"/>
      <c r="Y3359" s="352"/>
      <c r="Z3359" s="352"/>
      <c r="AA3359" s="352"/>
      <c r="AB3359" s="352"/>
      <c r="AC3359" s="352"/>
      <c r="AD3359" s="352"/>
      <c r="AE3359" s="352"/>
      <c r="AF3359" s="352"/>
      <c r="AG3359" s="352"/>
      <c r="AH3359" s="352"/>
      <c r="AI3359" s="352"/>
      <c r="AJ3359" s="352"/>
    </row>
    <row r="3360" spans="2:36" x14ac:dyDescent="0.2">
      <c r="B3360" s="352"/>
      <c r="C3360" s="352"/>
      <c r="D3360" s="352"/>
      <c r="E3360" s="352"/>
      <c r="F3360" s="352"/>
      <c r="H3360" s="352"/>
      <c r="J3360" s="352"/>
      <c r="L3360" s="352"/>
      <c r="M3360" s="352"/>
      <c r="N3360" s="352"/>
      <c r="O3360" s="352"/>
      <c r="P3360" s="352"/>
      <c r="Q3360" s="352"/>
      <c r="R3360" s="352"/>
      <c r="S3360" s="352"/>
      <c r="T3360" s="352"/>
      <c r="U3360" s="352"/>
      <c r="V3360" s="352"/>
      <c r="W3360" s="352"/>
      <c r="X3360" s="352"/>
      <c r="Y3360" s="352"/>
      <c r="Z3360" s="352"/>
      <c r="AA3360" s="352"/>
      <c r="AB3360" s="352"/>
      <c r="AC3360" s="352"/>
      <c r="AD3360" s="352"/>
      <c r="AE3360" s="352"/>
      <c r="AF3360" s="352"/>
      <c r="AG3360" s="352"/>
      <c r="AH3360" s="352"/>
      <c r="AI3360" s="352"/>
      <c r="AJ3360" s="352"/>
    </row>
    <row r="3361" spans="2:36" x14ac:dyDescent="0.2">
      <c r="B3361" s="352"/>
      <c r="C3361" s="352"/>
      <c r="D3361" s="352"/>
      <c r="E3361" s="352"/>
      <c r="F3361" s="352"/>
      <c r="H3361" s="352"/>
      <c r="J3361" s="352"/>
      <c r="L3361" s="352"/>
      <c r="M3361" s="352"/>
      <c r="N3361" s="352"/>
      <c r="O3361" s="352"/>
      <c r="P3361" s="352"/>
      <c r="Q3361" s="352"/>
      <c r="R3361" s="352"/>
      <c r="S3361" s="352"/>
      <c r="T3361" s="352"/>
      <c r="U3361" s="352"/>
      <c r="V3361" s="352"/>
      <c r="W3361" s="352"/>
      <c r="X3361" s="352"/>
      <c r="Y3361" s="352"/>
      <c r="Z3361" s="352"/>
      <c r="AA3361" s="352"/>
      <c r="AB3361" s="352"/>
      <c r="AC3361" s="352"/>
      <c r="AD3361" s="352"/>
      <c r="AE3361" s="352"/>
      <c r="AF3361" s="352"/>
      <c r="AG3361" s="352"/>
      <c r="AH3361" s="352"/>
      <c r="AI3361" s="352"/>
      <c r="AJ3361" s="352"/>
    </row>
    <row r="3362" spans="2:36" x14ac:dyDescent="0.2">
      <c r="B3362" s="352"/>
      <c r="C3362" s="352"/>
      <c r="D3362" s="352"/>
      <c r="E3362" s="352"/>
      <c r="F3362" s="352"/>
      <c r="H3362" s="352"/>
      <c r="J3362" s="352"/>
      <c r="L3362" s="352"/>
      <c r="M3362" s="352"/>
      <c r="N3362" s="352"/>
      <c r="O3362" s="352"/>
      <c r="P3362" s="352"/>
      <c r="Q3362" s="352"/>
      <c r="R3362" s="352"/>
      <c r="S3362" s="352"/>
      <c r="T3362" s="352"/>
      <c r="U3362" s="352"/>
      <c r="V3362" s="352"/>
      <c r="W3362" s="352"/>
      <c r="X3362" s="352"/>
      <c r="Y3362" s="352"/>
      <c r="Z3362" s="352"/>
      <c r="AA3362" s="352"/>
      <c r="AB3362" s="352"/>
      <c r="AC3362" s="352"/>
      <c r="AD3362" s="352"/>
      <c r="AE3362" s="352"/>
      <c r="AF3362" s="352"/>
      <c r="AG3362" s="352"/>
      <c r="AH3362" s="352"/>
      <c r="AI3362" s="352"/>
      <c r="AJ3362" s="352"/>
    </row>
    <row r="3363" spans="2:36" x14ac:dyDescent="0.2">
      <c r="B3363" s="352"/>
      <c r="C3363" s="352"/>
      <c r="D3363" s="352"/>
      <c r="E3363" s="352"/>
      <c r="F3363" s="352"/>
      <c r="H3363" s="352"/>
      <c r="J3363" s="352"/>
      <c r="L3363" s="352"/>
      <c r="M3363" s="352"/>
      <c r="N3363" s="352"/>
      <c r="O3363" s="352"/>
      <c r="P3363" s="352"/>
      <c r="Q3363" s="352"/>
      <c r="R3363" s="352"/>
      <c r="S3363" s="352"/>
      <c r="T3363" s="352"/>
      <c r="U3363" s="352"/>
      <c r="V3363" s="352"/>
      <c r="W3363" s="352"/>
      <c r="X3363" s="352"/>
      <c r="Y3363" s="352"/>
      <c r="Z3363" s="352"/>
      <c r="AA3363" s="352"/>
      <c r="AB3363" s="352"/>
      <c r="AC3363" s="352"/>
      <c r="AD3363" s="352"/>
      <c r="AE3363" s="352"/>
      <c r="AF3363" s="352"/>
      <c r="AG3363" s="352"/>
      <c r="AH3363" s="352"/>
      <c r="AI3363" s="352"/>
      <c r="AJ3363" s="352"/>
    </row>
    <row r="3364" spans="2:36" x14ac:dyDescent="0.2">
      <c r="B3364" s="352"/>
      <c r="C3364" s="352"/>
      <c r="D3364" s="352"/>
      <c r="E3364" s="352"/>
      <c r="F3364" s="352"/>
      <c r="H3364" s="352"/>
      <c r="J3364" s="352"/>
      <c r="L3364" s="352"/>
      <c r="M3364" s="352"/>
      <c r="N3364" s="352"/>
      <c r="O3364" s="352"/>
      <c r="P3364" s="352"/>
      <c r="Q3364" s="352"/>
      <c r="R3364" s="352"/>
      <c r="S3364" s="352"/>
      <c r="T3364" s="352"/>
      <c r="U3364" s="352"/>
      <c r="V3364" s="352"/>
      <c r="W3364" s="352"/>
      <c r="X3364" s="352"/>
      <c r="Y3364" s="352"/>
      <c r="Z3364" s="352"/>
      <c r="AA3364" s="352"/>
      <c r="AB3364" s="352"/>
      <c r="AC3364" s="352"/>
      <c r="AD3364" s="352"/>
      <c r="AE3364" s="352"/>
      <c r="AF3364" s="352"/>
      <c r="AG3364" s="352"/>
      <c r="AH3364" s="352"/>
      <c r="AI3364" s="352"/>
      <c r="AJ3364" s="352"/>
    </row>
    <row r="3365" spans="2:36" x14ac:dyDescent="0.2">
      <c r="B3365" s="352"/>
      <c r="C3365" s="352"/>
      <c r="D3365" s="352"/>
      <c r="E3365" s="352"/>
      <c r="F3365" s="352"/>
      <c r="H3365" s="352"/>
      <c r="J3365" s="352"/>
      <c r="L3365" s="352"/>
      <c r="M3365" s="352"/>
      <c r="N3365" s="352"/>
      <c r="O3365" s="352"/>
      <c r="P3365" s="352"/>
      <c r="Q3365" s="352"/>
      <c r="R3365" s="352"/>
      <c r="S3365" s="352"/>
      <c r="T3365" s="352"/>
      <c r="U3365" s="352"/>
      <c r="V3365" s="352"/>
      <c r="W3365" s="352"/>
      <c r="X3365" s="352"/>
      <c r="Y3365" s="352"/>
      <c r="Z3365" s="352"/>
      <c r="AA3365" s="352"/>
      <c r="AB3365" s="352"/>
      <c r="AC3365" s="352"/>
      <c r="AD3365" s="352"/>
      <c r="AE3365" s="352"/>
      <c r="AF3365" s="352"/>
      <c r="AG3365" s="352"/>
      <c r="AH3365" s="352"/>
      <c r="AI3365" s="352"/>
      <c r="AJ3365" s="352"/>
    </row>
    <row r="3366" spans="2:36" x14ac:dyDescent="0.2">
      <c r="B3366" s="352"/>
      <c r="C3366" s="352"/>
      <c r="D3366" s="352"/>
      <c r="E3366" s="352"/>
      <c r="F3366" s="352"/>
      <c r="H3366" s="352"/>
      <c r="J3366" s="352"/>
      <c r="L3366" s="352"/>
      <c r="M3366" s="352"/>
      <c r="N3366" s="352"/>
      <c r="O3366" s="352"/>
      <c r="P3366" s="352"/>
      <c r="Q3366" s="352"/>
      <c r="R3366" s="352"/>
      <c r="S3366" s="352"/>
      <c r="T3366" s="352"/>
      <c r="U3366" s="352"/>
      <c r="V3366" s="352"/>
      <c r="W3366" s="352"/>
      <c r="X3366" s="352"/>
      <c r="Y3366" s="352"/>
      <c r="Z3366" s="352"/>
      <c r="AA3366" s="352"/>
      <c r="AB3366" s="352"/>
      <c r="AC3366" s="352"/>
      <c r="AD3366" s="352"/>
      <c r="AE3366" s="352"/>
      <c r="AF3366" s="352"/>
      <c r="AG3366" s="352"/>
      <c r="AH3366" s="352"/>
      <c r="AI3366" s="352"/>
      <c r="AJ3366" s="352"/>
    </row>
    <row r="3367" spans="2:36" x14ac:dyDescent="0.2">
      <c r="B3367" s="352"/>
      <c r="C3367" s="352"/>
      <c r="D3367" s="352"/>
      <c r="E3367" s="352"/>
      <c r="F3367" s="352"/>
      <c r="H3367" s="352"/>
      <c r="J3367" s="352"/>
      <c r="L3367" s="352"/>
      <c r="M3367" s="352"/>
      <c r="N3367" s="352"/>
      <c r="O3367" s="352"/>
      <c r="P3367" s="352"/>
      <c r="Q3367" s="352"/>
      <c r="R3367" s="352"/>
      <c r="S3367" s="352"/>
      <c r="T3367" s="352"/>
      <c r="U3367" s="352"/>
      <c r="V3367" s="352"/>
      <c r="W3367" s="352"/>
      <c r="X3367" s="352"/>
      <c r="Y3367" s="352"/>
      <c r="Z3367" s="352"/>
      <c r="AA3367" s="352"/>
      <c r="AB3367" s="352"/>
      <c r="AC3367" s="352"/>
      <c r="AD3367" s="352"/>
      <c r="AE3367" s="352"/>
      <c r="AF3367" s="352"/>
      <c r="AG3367" s="352"/>
      <c r="AH3367" s="352"/>
      <c r="AI3367" s="352"/>
      <c r="AJ3367" s="352"/>
    </row>
    <row r="3368" spans="2:36" x14ac:dyDescent="0.2">
      <c r="B3368" s="352"/>
      <c r="C3368" s="352"/>
      <c r="D3368" s="352"/>
      <c r="E3368" s="352"/>
      <c r="F3368" s="352"/>
      <c r="H3368" s="352"/>
      <c r="J3368" s="352"/>
      <c r="L3368" s="352"/>
      <c r="M3368" s="352"/>
      <c r="N3368" s="352"/>
      <c r="O3368" s="352"/>
      <c r="P3368" s="352"/>
      <c r="Q3368" s="352"/>
      <c r="R3368" s="352"/>
      <c r="S3368" s="352"/>
      <c r="T3368" s="352"/>
      <c r="U3368" s="352"/>
      <c r="V3368" s="352"/>
      <c r="W3368" s="352"/>
      <c r="X3368" s="352"/>
      <c r="Y3368" s="352"/>
      <c r="Z3368" s="352"/>
      <c r="AA3368" s="352"/>
      <c r="AB3368" s="352"/>
      <c r="AC3368" s="352"/>
      <c r="AD3368" s="352"/>
      <c r="AE3368" s="352"/>
      <c r="AF3368" s="352"/>
      <c r="AG3368" s="352"/>
      <c r="AH3368" s="352"/>
      <c r="AI3368" s="352"/>
      <c r="AJ3368" s="352"/>
    </row>
    <row r="3369" spans="2:36" x14ac:dyDescent="0.2">
      <c r="B3369" s="352"/>
      <c r="C3369" s="352"/>
      <c r="D3369" s="352"/>
      <c r="E3369" s="352"/>
      <c r="F3369" s="352"/>
      <c r="H3369" s="352"/>
      <c r="J3369" s="352"/>
      <c r="L3369" s="352"/>
      <c r="M3369" s="352"/>
      <c r="N3369" s="352"/>
      <c r="O3369" s="352"/>
      <c r="P3369" s="352"/>
      <c r="Q3369" s="352"/>
      <c r="R3369" s="352"/>
      <c r="S3369" s="352"/>
      <c r="T3369" s="352"/>
      <c r="U3369" s="352"/>
      <c r="V3369" s="352"/>
      <c r="W3369" s="352"/>
      <c r="X3369" s="352"/>
      <c r="Y3369" s="352"/>
      <c r="Z3369" s="352"/>
      <c r="AA3369" s="352"/>
      <c r="AB3369" s="352"/>
      <c r="AC3369" s="352"/>
      <c r="AD3369" s="352"/>
      <c r="AE3369" s="352"/>
      <c r="AF3369" s="352"/>
      <c r="AG3369" s="352"/>
      <c r="AH3369" s="352"/>
      <c r="AI3369" s="352"/>
      <c r="AJ3369" s="352"/>
    </row>
    <row r="3370" spans="2:36" x14ac:dyDescent="0.2">
      <c r="B3370" s="352"/>
      <c r="C3370" s="352"/>
      <c r="D3370" s="352"/>
      <c r="E3370" s="352"/>
      <c r="F3370" s="352"/>
      <c r="H3370" s="352"/>
      <c r="J3370" s="352"/>
      <c r="L3370" s="352"/>
      <c r="M3370" s="352"/>
      <c r="N3370" s="352"/>
      <c r="O3370" s="352"/>
      <c r="P3370" s="352"/>
      <c r="Q3370" s="352"/>
      <c r="R3370" s="352"/>
      <c r="S3370" s="352"/>
      <c r="T3370" s="352"/>
      <c r="U3370" s="352"/>
      <c r="V3370" s="352"/>
      <c r="W3370" s="352"/>
      <c r="X3370" s="352"/>
      <c r="Y3370" s="352"/>
      <c r="Z3370" s="352"/>
      <c r="AA3370" s="352"/>
      <c r="AB3370" s="352"/>
      <c r="AC3370" s="352"/>
      <c r="AD3370" s="352"/>
      <c r="AE3370" s="352"/>
      <c r="AF3370" s="352"/>
      <c r="AG3370" s="352"/>
      <c r="AH3370" s="352"/>
      <c r="AI3370" s="352"/>
      <c r="AJ3370" s="352"/>
    </row>
    <row r="3371" spans="2:36" x14ac:dyDescent="0.2">
      <c r="B3371" s="352"/>
      <c r="C3371" s="352"/>
      <c r="D3371" s="352"/>
      <c r="E3371" s="352"/>
      <c r="F3371" s="352"/>
      <c r="H3371" s="352"/>
      <c r="J3371" s="352"/>
      <c r="L3371" s="352"/>
      <c r="M3371" s="352"/>
      <c r="N3371" s="352"/>
      <c r="O3371" s="352"/>
      <c r="P3371" s="352"/>
      <c r="Q3371" s="352"/>
      <c r="R3371" s="352"/>
      <c r="S3371" s="352"/>
      <c r="T3371" s="352"/>
      <c r="U3371" s="352"/>
      <c r="V3371" s="352"/>
      <c r="W3371" s="352"/>
      <c r="X3371" s="352"/>
      <c r="Y3371" s="352"/>
      <c r="Z3371" s="352"/>
      <c r="AA3371" s="352"/>
      <c r="AB3371" s="352"/>
      <c r="AC3371" s="352"/>
      <c r="AD3371" s="352"/>
      <c r="AE3371" s="352"/>
      <c r="AF3371" s="352"/>
      <c r="AG3371" s="352"/>
      <c r="AH3371" s="352"/>
      <c r="AI3371" s="352"/>
      <c r="AJ3371" s="352"/>
    </row>
    <row r="3372" spans="2:36" x14ac:dyDescent="0.2">
      <c r="B3372" s="352"/>
      <c r="C3372" s="352"/>
      <c r="D3372" s="352"/>
      <c r="E3372" s="352"/>
      <c r="F3372" s="352"/>
      <c r="H3372" s="352"/>
      <c r="J3372" s="352"/>
      <c r="L3372" s="352"/>
      <c r="M3372" s="352"/>
      <c r="N3372" s="352"/>
      <c r="O3372" s="352"/>
      <c r="P3372" s="352"/>
      <c r="Q3372" s="352"/>
      <c r="R3372" s="352"/>
      <c r="S3372" s="352"/>
      <c r="T3372" s="352"/>
      <c r="U3372" s="352"/>
      <c r="V3372" s="352"/>
      <c r="W3372" s="352"/>
      <c r="X3372" s="352"/>
      <c r="Y3372" s="352"/>
      <c r="Z3372" s="352"/>
      <c r="AA3372" s="352"/>
      <c r="AB3372" s="352"/>
      <c r="AC3372" s="352"/>
      <c r="AD3372" s="352"/>
      <c r="AE3372" s="352"/>
      <c r="AF3372" s="352"/>
      <c r="AG3372" s="352"/>
      <c r="AH3372" s="352"/>
      <c r="AI3372" s="352"/>
      <c r="AJ3372" s="352"/>
    </row>
    <row r="3373" spans="2:36" x14ac:dyDescent="0.2">
      <c r="B3373" s="352"/>
      <c r="C3373" s="352"/>
      <c r="D3373" s="352"/>
      <c r="E3373" s="352"/>
      <c r="F3373" s="352"/>
      <c r="H3373" s="352"/>
      <c r="J3373" s="352"/>
      <c r="L3373" s="352"/>
      <c r="M3373" s="352"/>
      <c r="N3373" s="352"/>
      <c r="O3373" s="352"/>
      <c r="P3373" s="352"/>
      <c r="Q3373" s="352"/>
      <c r="R3373" s="352"/>
      <c r="S3373" s="352"/>
      <c r="T3373" s="352"/>
      <c r="U3373" s="352"/>
      <c r="V3373" s="352"/>
      <c r="W3373" s="352"/>
      <c r="X3373" s="352"/>
      <c r="Y3373" s="352"/>
      <c r="Z3373" s="352"/>
      <c r="AA3373" s="352"/>
      <c r="AB3373" s="352"/>
      <c r="AC3373" s="352"/>
      <c r="AD3373" s="352"/>
      <c r="AE3373" s="352"/>
      <c r="AF3373" s="352"/>
      <c r="AG3373" s="352"/>
      <c r="AH3373" s="352"/>
      <c r="AI3373" s="352"/>
      <c r="AJ3373" s="352"/>
    </row>
    <row r="3374" spans="2:36" x14ac:dyDescent="0.2">
      <c r="B3374" s="352"/>
      <c r="C3374" s="352"/>
      <c r="D3374" s="352"/>
      <c r="E3374" s="352"/>
      <c r="F3374" s="352"/>
      <c r="H3374" s="352"/>
      <c r="J3374" s="352"/>
      <c r="L3374" s="352"/>
      <c r="M3374" s="352"/>
      <c r="N3374" s="352"/>
      <c r="O3374" s="352"/>
      <c r="P3374" s="352"/>
      <c r="Q3374" s="352"/>
      <c r="R3374" s="352"/>
      <c r="S3374" s="352"/>
      <c r="T3374" s="352"/>
      <c r="U3374" s="352"/>
      <c r="V3374" s="352"/>
      <c r="W3374" s="352"/>
      <c r="X3374" s="352"/>
      <c r="Y3374" s="352"/>
      <c r="Z3374" s="352"/>
      <c r="AA3374" s="352"/>
      <c r="AB3374" s="352"/>
      <c r="AC3374" s="352"/>
      <c r="AD3374" s="352"/>
      <c r="AE3374" s="352"/>
      <c r="AF3374" s="352"/>
      <c r="AG3374" s="352"/>
      <c r="AH3374" s="352"/>
      <c r="AI3374" s="352"/>
      <c r="AJ3374" s="352"/>
    </row>
    <row r="3375" spans="2:36" x14ac:dyDescent="0.2">
      <c r="B3375" s="352"/>
      <c r="C3375" s="352"/>
      <c r="D3375" s="352"/>
      <c r="E3375" s="352"/>
      <c r="F3375" s="352"/>
      <c r="H3375" s="352"/>
      <c r="J3375" s="352"/>
      <c r="L3375" s="352"/>
      <c r="M3375" s="352"/>
      <c r="N3375" s="352"/>
      <c r="O3375" s="352"/>
      <c r="P3375" s="352"/>
      <c r="Q3375" s="352"/>
      <c r="R3375" s="352"/>
      <c r="S3375" s="352"/>
      <c r="T3375" s="352"/>
      <c r="U3375" s="352"/>
      <c r="V3375" s="352"/>
      <c r="W3375" s="352"/>
      <c r="X3375" s="352"/>
      <c r="Y3375" s="352"/>
      <c r="Z3375" s="352"/>
      <c r="AA3375" s="352"/>
      <c r="AB3375" s="352"/>
      <c r="AC3375" s="352"/>
      <c r="AD3375" s="352"/>
      <c r="AE3375" s="352"/>
      <c r="AF3375" s="352"/>
      <c r="AG3375" s="352"/>
      <c r="AH3375" s="352"/>
      <c r="AI3375" s="352"/>
      <c r="AJ3375" s="352"/>
    </row>
    <row r="3376" spans="2:36" x14ac:dyDescent="0.2">
      <c r="B3376" s="352"/>
      <c r="C3376" s="352"/>
      <c r="D3376" s="352"/>
      <c r="E3376" s="352"/>
      <c r="F3376" s="352"/>
      <c r="H3376" s="352"/>
      <c r="J3376" s="352"/>
      <c r="L3376" s="352"/>
      <c r="M3376" s="352"/>
      <c r="N3376" s="352"/>
      <c r="O3376" s="352"/>
      <c r="P3376" s="352"/>
      <c r="Q3376" s="352"/>
      <c r="R3376" s="352"/>
      <c r="S3376" s="352"/>
      <c r="T3376" s="352"/>
      <c r="U3376" s="352"/>
      <c r="V3376" s="352"/>
      <c r="W3376" s="352"/>
      <c r="X3376" s="352"/>
      <c r="Y3376" s="352"/>
      <c r="Z3376" s="352"/>
      <c r="AA3376" s="352"/>
      <c r="AB3376" s="352"/>
      <c r="AC3376" s="352"/>
      <c r="AD3376" s="352"/>
      <c r="AE3376" s="352"/>
      <c r="AF3376" s="352"/>
      <c r="AG3376" s="352"/>
      <c r="AH3376" s="352"/>
      <c r="AI3376" s="352"/>
      <c r="AJ3376" s="352"/>
    </row>
    <row r="3377" spans="2:36" x14ac:dyDescent="0.2">
      <c r="B3377" s="352"/>
      <c r="C3377" s="352"/>
      <c r="D3377" s="352"/>
      <c r="E3377" s="352"/>
      <c r="F3377" s="352"/>
      <c r="H3377" s="352"/>
      <c r="J3377" s="352"/>
      <c r="L3377" s="352"/>
      <c r="M3377" s="352"/>
      <c r="N3377" s="352"/>
      <c r="O3377" s="352"/>
      <c r="P3377" s="352"/>
      <c r="Q3377" s="352"/>
      <c r="R3377" s="352"/>
      <c r="S3377" s="352"/>
      <c r="T3377" s="352"/>
      <c r="U3377" s="352"/>
      <c r="V3377" s="352"/>
      <c r="W3377" s="352"/>
      <c r="X3377" s="352"/>
      <c r="Y3377" s="352"/>
      <c r="Z3377" s="352"/>
      <c r="AA3377" s="352"/>
      <c r="AB3377" s="352"/>
      <c r="AC3377" s="352"/>
      <c r="AD3377" s="352"/>
      <c r="AE3377" s="352"/>
      <c r="AF3377" s="352"/>
      <c r="AG3377" s="352"/>
      <c r="AH3377" s="352"/>
      <c r="AI3377" s="352"/>
      <c r="AJ3377" s="352"/>
    </row>
    <row r="3378" spans="2:36" x14ac:dyDescent="0.2">
      <c r="B3378" s="352"/>
      <c r="C3378" s="352"/>
      <c r="D3378" s="352"/>
      <c r="E3378" s="352"/>
      <c r="F3378" s="352"/>
      <c r="H3378" s="352"/>
      <c r="J3378" s="352"/>
      <c r="L3378" s="352"/>
      <c r="M3378" s="352"/>
      <c r="N3378" s="352"/>
      <c r="O3378" s="352"/>
      <c r="P3378" s="352"/>
      <c r="Q3378" s="352"/>
      <c r="R3378" s="352"/>
      <c r="S3378" s="352"/>
      <c r="T3378" s="352"/>
      <c r="U3378" s="352"/>
      <c r="V3378" s="352"/>
      <c r="W3378" s="352"/>
      <c r="X3378" s="352"/>
      <c r="Y3378" s="352"/>
      <c r="Z3378" s="352"/>
      <c r="AA3378" s="352"/>
      <c r="AB3378" s="352"/>
      <c r="AC3378" s="352"/>
      <c r="AD3378" s="352"/>
      <c r="AE3378" s="352"/>
      <c r="AF3378" s="352"/>
      <c r="AG3378" s="352"/>
      <c r="AH3378" s="352"/>
      <c r="AI3378" s="352"/>
      <c r="AJ3378" s="352"/>
    </row>
    <row r="3379" spans="2:36" x14ac:dyDescent="0.2">
      <c r="B3379" s="352"/>
      <c r="C3379" s="352"/>
      <c r="D3379" s="352"/>
      <c r="E3379" s="352"/>
      <c r="F3379" s="352"/>
      <c r="H3379" s="352"/>
      <c r="J3379" s="352"/>
      <c r="L3379" s="352"/>
      <c r="M3379" s="352"/>
      <c r="N3379" s="352"/>
      <c r="O3379" s="352"/>
      <c r="P3379" s="352"/>
      <c r="Q3379" s="352"/>
      <c r="R3379" s="352"/>
      <c r="S3379" s="352"/>
      <c r="T3379" s="352"/>
      <c r="U3379" s="352"/>
      <c r="V3379" s="352"/>
      <c r="W3379" s="352"/>
      <c r="X3379" s="352"/>
      <c r="Y3379" s="352"/>
      <c r="Z3379" s="352"/>
      <c r="AA3379" s="352"/>
      <c r="AB3379" s="352"/>
      <c r="AC3379" s="352"/>
      <c r="AD3379" s="352"/>
      <c r="AE3379" s="352"/>
      <c r="AF3379" s="352"/>
      <c r="AG3379" s="352"/>
      <c r="AH3379" s="352"/>
      <c r="AI3379" s="352"/>
      <c r="AJ3379" s="352"/>
    </row>
    <row r="3380" spans="2:36" x14ac:dyDescent="0.2">
      <c r="B3380" s="352"/>
      <c r="C3380" s="352"/>
      <c r="D3380" s="352"/>
      <c r="E3380" s="352"/>
      <c r="F3380" s="352"/>
      <c r="H3380" s="352"/>
      <c r="J3380" s="352"/>
      <c r="L3380" s="352"/>
      <c r="M3380" s="352"/>
      <c r="N3380" s="352"/>
      <c r="O3380" s="352"/>
      <c r="P3380" s="352"/>
      <c r="Q3380" s="352"/>
      <c r="R3380" s="352"/>
      <c r="S3380" s="352"/>
      <c r="T3380" s="352"/>
      <c r="U3380" s="352"/>
      <c r="V3380" s="352"/>
      <c r="W3380" s="352"/>
      <c r="X3380" s="352"/>
      <c r="Y3380" s="352"/>
      <c r="Z3380" s="352"/>
      <c r="AA3380" s="352"/>
      <c r="AB3380" s="352"/>
      <c r="AC3380" s="352"/>
      <c r="AD3380" s="352"/>
      <c r="AE3380" s="352"/>
      <c r="AF3380" s="352"/>
      <c r="AG3380" s="352"/>
      <c r="AH3380" s="352"/>
      <c r="AI3380" s="352"/>
      <c r="AJ3380" s="352"/>
    </row>
    <row r="3381" spans="2:36" x14ac:dyDescent="0.2">
      <c r="B3381" s="352"/>
      <c r="C3381" s="352"/>
      <c r="D3381" s="352"/>
      <c r="E3381" s="352"/>
      <c r="F3381" s="352"/>
      <c r="H3381" s="352"/>
      <c r="J3381" s="352"/>
      <c r="L3381" s="352"/>
      <c r="M3381" s="352"/>
      <c r="N3381" s="352"/>
      <c r="O3381" s="352"/>
      <c r="P3381" s="352"/>
      <c r="Q3381" s="352"/>
      <c r="R3381" s="352"/>
      <c r="S3381" s="352"/>
      <c r="T3381" s="352"/>
      <c r="U3381" s="352"/>
      <c r="V3381" s="352"/>
      <c r="W3381" s="352"/>
      <c r="X3381" s="352"/>
      <c r="Y3381" s="352"/>
      <c r="Z3381" s="352"/>
      <c r="AA3381" s="352"/>
      <c r="AB3381" s="352"/>
      <c r="AC3381" s="352"/>
      <c r="AD3381" s="352"/>
      <c r="AE3381" s="352"/>
      <c r="AF3381" s="352"/>
      <c r="AG3381" s="352"/>
      <c r="AH3381" s="352"/>
      <c r="AI3381" s="352"/>
      <c r="AJ3381" s="352"/>
    </row>
    <row r="3382" spans="2:36" x14ac:dyDescent="0.2">
      <c r="B3382" s="352"/>
      <c r="C3382" s="352"/>
      <c r="D3382" s="352"/>
      <c r="E3382" s="352"/>
      <c r="F3382" s="352"/>
      <c r="H3382" s="352"/>
      <c r="J3382" s="352"/>
      <c r="L3382" s="352"/>
      <c r="M3382" s="352"/>
      <c r="N3382" s="352"/>
      <c r="O3382" s="352"/>
      <c r="P3382" s="352"/>
      <c r="Q3382" s="352"/>
      <c r="R3382" s="352"/>
      <c r="S3382" s="352"/>
      <c r="T3382" s="352"/>
      <c r="U3382" s="352"/>
      <c r="V3382" s="352"/>
      <c r="W3382" s="352"/>
      <c r="X3382" s="352"/>
      <c r="Y3382" s="352"/>
      <c r="Z3382" s="352"/>
      <c r="AA3382" s="352"/>
      <c r="AB3382" s="352"/>
      <c r="AC3382" s="352"/>
      <c r="AD3382" s="352"/>
      <c r="AE3382" s="352"/>
      <c r="AF3382" s="352"/>
      <c r="AG3382" s="352"/>
      <c r="AH3382" s="352"/>
      <c r="AI3382" s="352"/>
      <c r="AJ3382" s="352"/>
    </row>
    <row r="3383" spans="2:36" x14ac:dyDescent="0.2">
      <c r="B3383" s="352"/>
      <c r="C3383" s="352"/>
      <c r="D3383" s="352"/>
      <c r="E3383" s="352"/>
      <c r="F3383" s="352"/>
      <c r="H3383" s="352"/>
      <c r="J3383" s="352"/>
      <c r="L3383" s="352"/>
      <c r="M3383" s="352"/>
      <c r="N3383" s="352"/>
      <c r="O3383" s="352"/>
      <c r="P3383" s="352"/>
      <c r="Q3383" s="352"/>
      <c r="R3383" s="352"/>
      <c r="S3383" s="352"/>
      <c r="T3383" s="352"/>
      <c r="U3383" s="352"/>
      <c r="V3383" s="352"/>
      <c r="W3383" s="352"/>
      <c r="X3383" s="352"/>
      <c r="Y3383" s="352"/>
      <c r="Z3383" s="352"/>
      <c r="AA3383" s="352"/>
      <c r="AB3383" s="352"/>
      <c r="AC3383" s="352"/>
      <c r="AD3383" s="352"/>
      <c r="AE3383" s="352"/>
      <c r="AF3383" s="352"/>
      <c r="AG3383" s="352"/>
      <c r="AH3383" s="352"/>
      <c r="AI3383" s="352"/>
      <c r="AJ3383" s="352"/>
    </row>
    <row r="3384" spans="2:36" x14ac:dyDescent="0.2">
      <c r="B3384" s="352"/>
      <c r="C3384" s="352"/>
      <c r="D3384" s="352"/>
      <c r="E3384" s="352"/>
      <c r="F3384" s="352"/>
      <c r="H3384" s="352"/>
      <c r="J3384" s="352"/>
      <c r="L3384" s="352"/>
      <c r="M3384" s="352"/>
      <c r="N3384" s="352"/>
      <c r="O3384" s="352"/>
      <c r="P3384" s="352"/>
      <c r="Q3384" s="352"/>
      <c r="R3384" s="352"/>
      <c r="S3384" s="352"/>
      <c r="T3384" s="352"/>
      <c r="U3384" s="352"/>
      <c r="V3384" s="352"/>
      <c r="W3384" s="352"/>
      <c r="X3384" s="352"/>
      <c r="Y3384" s="352"/>
      <c r="Z3384" s="352"/>
      <c r="AA3384" s="352"/>
      <c r="AB3384" s="352"/>
      <c r="AC3384" s="352"/>
      <c r="AD3384" s="352"/>
      <c r="AE3384" s="352"/>
      <c r="AF3384" s="352"/>
      <c r="AG3384" s="352"/>
      <c r="AH3384" s="352"/>
      <c r="AI3384" s="352"/>
      <c r="AJ3384" s="352"/>
    </row>
    <row r="3385" spans="2:36" x14ac:dyDescent="0.2">
      <c r="B3385" s="352"/>
      <c r="C3385" s="352"/>
      <c r="D3385" s="352"/>
      <c r="E3385" s="352"/>
      <c r="F3385" s="352"/>
      <c r="H3385" s="352"/>
      <c r="J3385" s="352"/>
      <c r="L3385" s="352"/>
      <c r="M3385" s="352"/>
      <c r="N3385" s="352"/>
      <c r="O3385" s="352"/>
      <c r="P3385" s="352"/>
      <c r="Q3385" s="352"/>
      <c r="R3385" s="352"/>
      <c r="S3385" s="352"/>
      <c r="T3385" s="352"/>
      <c r="U3385" s="352"/>
      <c r="V3385" s="352"/>
      <c r="W3385" s="352"/>
      <c r="X3385" s="352"/>
      <c r="Y3385" s="352"/>
      <c r="Z3385" s="352"/>
      <c r="AA3385" s="352"/>
      <c r="AB3385" s="352"/>
      <c r="AC3385" s="352"/>
      <c r="AD3385" s="352"/>
      <c r="AE3385" s="352"/>
      <c r="AF3385" s="352"/>
      <c r="AG3385" s="352"/>
      <c r="AH3385" s="352"/>
      <c r="AI3385" s="352"/>
      <c r="AJ3385" s="352"/>
    </row>
    <row r="3386" spans="2:36" x14ac:dyDescent="0.2">
      <c r="B3386" s="352"/>
      <c r="C3386" s="352"/>
      <c r="D3386" s="352"/>
      <c r="E3386" s="352"/>
      <c r="F3386" s="352"/>
      <c r="H3386" s="352"/>
      <c r="J3386" s="352"/>
      <c r="L3386" s="352"/>
      <c r="M3386" s="352"/>
      <c r="N3386" s="352"/>
      <c r="O3386" s="352"/>
      <c r="P3386" s="352"/>
      <c r="Q3386" s="352"/>
      <c r="R3386" s="352"/>
      <c r="S3386" s="352"/>
      <c r="T3386" s="352"/>
      <c r="U3386" s="352"/>
      <c r="V3386" s="352"/>
      <c r="W3386" s="352"/>
      <c r="X3386" s="352"/>
      <c r="Y3386" s="352"/>
      <c r="Z3386" s="352"/>
      <c r="AA3386" s="352"/>
      <c r="AB3386" s="352"/>
      <c r="AC3386" s="352"/>
      <c r="AD3386" s="352"/>
      <c r="AE3386" s="352"/>
      <c r="AF3386" s="352"/>
      <c r="AG3386" s="352"/>
      <c r="AH3386" s="352"/>
      <c r="AI3386" s="352"/>
      <c r="AJ3386" s="352"/>
    </row>
    <row r="3387" spans="2:36" x14ac:dyDescent="0.2">
      <c r="B3387" s="352"/>
      <c r="C3387" s="352"/>
      <c r="D3387" s="352"/>
      <c r="E3387" s="352"/>
      <c r="F3387" s="352"/>
      <c r="H3387" s="352"/>
      <c r="J3387" s="352"/>
      <c r="L3387" s="352"/>
      <c r="M3387" s="352"/>
      <c r="N3387" s="352"/>
      <c r="O3387" s="352"/>
      <c r="P3387" s="352"/>
      <c r="Q3387" s="352"/>
      <c r="R3387" s="352"/>
      <c r="S3387" s="352"/>
      <c r="T3387" s="352"/>
      <c r="U3387" s="352"/>
      <c r="V3387" s="352"/>
      <c r="W3387" s="352"/>
      <c r="X3387" s="352"/>
      <c r="Y3387" s="352"/>
      <c r="Z3387" s="352"/>
      <c r="AA3387" s="352"/>
      <c r="AB3387" s="352"/>
      <c r="AC3387" s="352"/>
      <c r="AD3387" s="352"/>
      <c r="AE3387" s="352"/>
      <c r="AF3387" s="352"/>
      <c r="AG3387" s="352"/>
      <c r="AH3387" s="352"/>
      <c r="AI3387" s="352"/>
      <c r="AJ3387" s="352"/>
    </row>
    <row r="3388" spans="2:36" x14ac:dyDescent="0.2">
      <c r="B3388" s="352"/>
      <c r="C3388" s="352"/>
      <c r="D3388" s="352"/>
      <c r="E3388" s="352"/>
      <c r="F3388" s="352"/>
      <c r="H3388" s="352"/>
      <c r="J3388" s="352"/>
      <c r="L3388" s="352"/>
      <c r="M3388" s="352"/>
      <c r="N3388" s="352"/>
      <c r="O3388" s="352"/>
      <c r="P3388" s="352"/>
      <c r="Q3388" s="352"/>
      <c r="R3388" s="352"/>
      <c r="S3388" s="352"/>
      <c r="T3388" s="352"/>
      <c r="U3388" s="352"/>
      <c r="V3388" s="352"/>
      <c r="W3388" s="352"/>
      <c r="X3388" s="352"/>
      <c r="Y3388" s="352"/>
      <c r="Z3388" s="352"/>
      <c r="AA3388" s="352"/>
      <c r="AB3388" s="352"/>
      <c r="AC3388" s="352"/>
      <c r="AD3388" s="352"/>
      <c r="AE3388" s="352"/>
      <c r="AF3388" s="352"/>
      <c r="AG3388" s="352"/>
      <c r="AH3388" s="352"/>
      <c r="AI3388" s="352"/>
      <c r="AJ3388" s="352"/>
    </row>
    <row r="3389" spans="2:36" x14ac:dyDescent="0.2">
      <c r="B3389" s="352"/>
      <c r="C3389" s="352"/>
      <c r="D3389" s="352"/>
      <c r="E3389" s="352"/>
      <c r="F3389" s="352"/>
      <c r="H3389" s="352"/>
      <c r="J3389" s="352"/>
      <c r="L3389" s="352"/>
      <c r="M3389" s="352"/>
      <c r="N3389" s="352"/>
      <c r="O3389" s="352"/>
      <c r="P3389" s="352"/>
      <c r="Q3389" s="352"/>
      <c r="R3389" s="352"/>
      <c r="S3389" s="352"/>
      <c r="T3389" s="352"/>
      <c r="U3389" s="352"/>
      <c r="V3389" s="352"/>
      <c r="W3389" s="352"/>
      <c r="X3389" s="352"/>
      <c r="Y3389" s="352"/>
      <c r="Z3389" s="352"/>
      <c r="AA3389" s="352"/>
      <c r="AB3389" s="352"/>
      <c r="AC3389" s="352"/>
      <c r="AD3389" s="352"/>
      <c r="AE3389" s="352"/>
      <c r="AF3389" s="352"/>
      <c r="AG3389" s="352"/>
      <c r="AH3389" s="352"/>
      <c r="AI3389" s="352"/>
      <c r="AJ3389" s="352"/>
    </row>
    <row r="3390" spans="2:36" x14ac:dyDescent="0.2">
      <c r="B3390" s="352"/>
      <c r="C3390" s="352"/>
      <c r="D3390" s="352"/>
      <c r="E3390" s="352"/>
      <c r="F3390" s="352"/>
      <c r="H3390" s="352"/>
      <c r="J3390" s="352"/>
      <c r="L3390" s="352"/>
      <c r="M3390" s="352"/>
      <c r="N3390" s="352"/>
      <c r="O3390" s="352"/>
      <c r="P3390" s="352"/>
      <c r="Q3390" s="352"/>
      <c r="R3390" s="352"/>
      <c r="S3390" s="352"/>
      <c r="T3390" s="352"/>
      <c r="U3390" s="352"/>
      <c r="V3390" s="352"/>
      <c r="W3390" s="352"/>
      <c r="X3390" s="352"/>
      <c r="Y3390" s="352"/>
      <c r="Z3390" s="352"/>
      <c r="AA3390" s="352"/>
      <c r="AB3390" s="352"/>
      <c r="AC3390" s="352"/>
      <c r="AD3390" s="352"/>
      <c r="AE3390" s="352"/>
      <c r="AF3390" s="352"/>
      <c r="AG3390" s="352"/>
      <c r="AH3390" s="352"/>
      <c r="AI3390" s="352"/>
      <c r="AJ3390" s="352"/>
    </row>
    <row r="3391" spans="2:36" x14ac:dyDescent="0.2">
      <c r="B3391" s="352"/>
      <c r="C3391" s="352"/>
      <c r="D3391" s="352"/>
      <c r="E3391" s="352"/>
      <c r="F3391" s="352"/>
      <c r="H3391" s="352"/>
      <c r="J3391" s="352"/>
      <c r="L3391" s="352"/>
      <c r="M3391" s="352"/>
      <c r="N3391" s="352"/>
      <c r="O3391" s="352"/>
      <c r="P3391" s="352"/>
      <c r="Q3391" s="352"/>
      <c r="R3391" s="352"/>
      <c r="S3391" s="352"/>
      <c r="T3391" s="352"/>
      <c r="U3391" s="352"/>
      <c r="V3391" s="352"/>
      <c r="W3391" s="352"/>
      <c r="X3391" s="352"/>
      <c r="Y3391" s="352"/>
      <c r="Z3391" s="352"/>
      <c r="AA3391" s="352"/>
      <c r="AB3391" s="352"/>
      <c r="AC3391" s="352"/>
      <c r="AD3391" s="352"/>
      <c r="AE3391" s="352"/>
      <c r="AF3391" s="352"/>
      <c r="AG3391" s="352"/>
      <c r="AH3391" s="352"/>
      <c r="AI3391" s="352"/>
      <c r="AJ3391" s="352"/>
    </row>
    <row r="3392" spans="2:36" x14ac:dyDescent="0.2">
      <c r="B3392" s="352"/>
      <c r="C3392" s="352"/>
      <c r="D3392" s="352"/>
      <c r="E3392" s="352"/>
      <c r="F3392" s="352"/>
      <c r="H3392" s="352"/>
      <c r="J3392" s="352"/>
      <c r="L3392" s="352"/>
      <c r="M3392" s="352"/>
      <c r="N3392" s="352"/>
      <c r="O3392" s="352"/>
      <c r="P3392" s="352"/>
      <c r="Q3392" s="352"/>
      <c r="R3392" s="352"/>
      <c r="S3392" s="352"/>
      <c r="T3392" s="352"/>
      <c r="U3392" s="352"/>
      <c r="V3392" s="352"/>
      <c r="W3392" s="352"/>
      <c r="X3392" s="352"/>
      <c r="Y3392" s="352"/>
      <c r="Z3392" s="352"/>
      <c r="AA3392" s="352"/>
      <c r="AB3392" s="352"/>
      <c r="AC3392" s="352"/>
      <c r="AD3392" s="352"/>
      <c r="AE3392" s="352"/>
      <c r="AF3392" s="352"/>
      <c r="AG3392" s="352"/>
      <c r="AH3392" s="352"/>
      <c r="AI3392" s="352"/>
      <c r="AJ3392" s="352"/>
    </row>
    <row r="3393" spans="2:36" x14ac:dyDescent="0.2">
      <c r="B3393" s="352"/>
      <c r="C3393" s="352"/>
      <c r="D3393" s="352"/>
      <c r="E3393" s="352"/>
      <c r="F3393" s="352"/>
      <c r="H3393" s="352"/>
      <c r="J3393" s="352"/>
      <c r="L3393" s="352"/>
      <c r="M3393" s="352"/>
      <c r="N3393" s="352"/>
      <c r="O3393" s="352"/>
      <c r="P3393" s="352"/>
      <c r="Q3393" s="352"/>
      <c r="R3393" s="352"/>
      <c r="S3393" s="352"/>
      <c r="T3393" s="352"/>
      <c r="U3393" s="352"/>
      <c r="V3393" s="352"/>
      <c r="W3393" s="352"/>
      <c r="X3393" s="352"/>
      <c r="Y3393" s="352"/>
      <c r="Z3393" s="352"/>
      <c r="AA3393" s="352"/>
      <c r="AB3393" s="352"/>
      <c r="AC3393" s="352"/>
      <c r="AD3393" s="352"/>
      <c r="AE3393" s="352"/>
      <c r="AF3393" s="352"/>
      <c r="AG3393" s="352"/>
      <c r="AH3393" s="352"/>
      <c r="AI3393" s="352"/>
      <c r="AJ3393" s="352"/>
    </row>
    <row r="3394" spans="2:36" x14ac:dyDescent="0.2">
      <c r="B3394" s="352"/>
      <c r="C3394" s="352"/>
      <c r="D3394" s="352"/>
      <c r="E3394" s="352"/>
      <c r="F3394" s="352"/>
      <c r="H3394" s="352"/>
      <c r="J3394" s="352"/>
      <c r="L3394" s="352"/>
      <c r="M3394" s="352"/>
      <c r="N3394" s="352"/>
      <c r="O3394" s="352"/>
      <c r="P3394" s="352"/>
      <c r="Q3394" s="352"/>
      <c r="R3394" s="352"/>
      <c r="S3394" s="352"/>
      <c r="T3394" s="352"/>
      <c r="U3394" s="352"/>
      <c r="V3394" s="352"/>
      <c r="W3394" s="352"/>
      <c r="X3394" s="352"/>
      <c r="Y3394" s="352"/>
      <c r="Z3394" s="352"/>
      <c r="AA3394" s="352"/>
      <c r="AB3394" s="352"/>
      <c r="AC3394" s="352"/>
      <c r="AD3394" s="352"/>
      <c r="AE3394" s="352"/>
      <c r="AF3394" s="352"/>
      <c r="AG3394" s="352"/>
      <c r="AH3394" s="352"/>
      <c r="AI3394" s="352"/>
      <c r="AJ3394" s="352"/>
    </row>
    <row r="3395" spans="2:36" x14ac:dyDescent="0.2">
      <c r="B3395" s="352"/>
      <c r="C3395" s="352"/>
      <c r="D3395" s="352"/>
      <c r="E3395" s="352"/>
      <c r="F3395" s="352"/>
      <c r="H3395" s="352"/>
      <c r="J3395" s="352"/>
      <c r="L3395" s="352"/>
      <c r="M3395" s="352"/>
      <c r="N3395" s="352"/>
      <c r="O3395" s="352"/>
      <c r="P3395" s="352"/>
      <c r="Q3395" s="352"/>
      <c r="R3395" s="352"/>
      <c r="S3395" s="352"/>
      <c r="T3395" s="352"/>
      <c r="U3395" s="352"/>
      <c r="V3395" s="352"/>
      <c r="W3395" s="352"/>
      <c r="X3395" s="352"/>
      <c r="Y3395" s="352"/>
      <c r="Z3395" s="352"/>
      <c r="AA3395" s="352"/>
      <c r="AB3395" s="352"/>
      <c r="AC3395" s="352"/>
      <c r="AD3395" s="352"/>
      <c r="AE3395" s="352"/>
      <c r="AF3395" s="352"/>
      <c r="AG3395" s="352"/>
      <c r="AH3395" s="352"/>
      <c r="AI3395" s="352"/>
      <c r="AJ3395" s="352"/>
    </row>
    <row r="3396" spans="2:36" x14ac:dyDescent="0.2">
      <c r="B3396" s="352"/>
      <c r="C3396" s="352"/>
      <c r="D3396" s="352"/>
      <c r="E3396" s="352"/>
      <c r="F3396" s="352"/>
      <c r="H3396" s="352"/>
      <c r="J3396" s="352"/>
      <c r="L3396" s="352"/>
      <c r="M3396" s="352"/>
      <c r="N3396" s="352"/>
      <c r="O3396" s="352"/>
      <c r="P3396" s="352"/>
      <c r="Q3396" s="352"/>
      <c r="R3396" s="352"/>
      <c r="S3396" s="352"/>
      <c r="T3396" s="352"/>
      <c r="U3396" s="352"/>
      <c r="V3396" s="352"/>
      <c r="W3396" s="352"/>
      <c r="X3396" s="352"/>
      <c r="Y3396" s="352"/>
      <c r="Z3396" s="352"/>
      <c r="AA3396" s="352"/>
      <c r="AB3396" s="352"/>
      <c r="AC3396" s="352"/>
      <c r="AD3396" s="352"/>
      <c r="AE3396" s="352"/>
      <c r="AF3396" s="352"/>
      <c r="AG3396" s="352"/>
      <c r="AH3396" s="352"/>
      <c r="AI3396" s="352"/>
      <c r="AJ3396" s="352"/>
    </row>
    <row r="3397" spans="2:36" x14ac:dyDescent="0.2">
      <c r="B3397" s="352"/>
      <c r="C3397" s="352"/>
      <c r="D3397" s="352"/>
      <c r="E3397" s="352"/>
      <c r="F3397" s="352"/>
      <c r="H3397" s="352"/>
      <c r="J3397" s="352"/>
      <c r="L3397" s="352"/>
      <c r="M3397" s="352"/>
      <c r="N3397" s="352"/>
      <c r="O3397" s="352"/>
      <c r="P3397" s="352"/>
      <c r="Q3397" s="352"/>
      <c r="R3397" s="352"/>
      <c r="S3397" s="352"/>
      <c r="T3397" s="352"/>
      <c r="U3397" s="352"/>
      <c r="V3397" s="352"/>
      <c r="W3397" s="352"/>
      <c r="X3397" s="352"/>
      <c r="Y3397" s="352"/>
      <c r="Z3397" s="352"/>
      <c r="AA3397" s="352"/>
      <c r="AB3397" s="352"/>
      <c r="AC3397" s="352"/>
      <c r="AD3397" s="352"/>
      <c r="AE3397" s="352"/>
      <c r="AF3397" s="352"/>
      <c r="AG3397" s="352"/>
      <c r="AH3397" s="352"/>
      <c r="AI3397" s="352"/>
      <c r="AJ3397" s="352"/>
    </row>
    <row r="3398" spans="2:36" x14ac:dyDescent="0.2">
      <c r="B3398" s="352"/>
      <c r="C3398" s="352"/>
      <c r="D3398" s="352"/>
      <c r="E3398" s="352"/>
      <c r="F3398" s="352"/>
      <c r="H3398" s="352"/>
      <c r="J3398" s="352"/>
      <c r="L3398" s="352"/>
      <c r="M3398" s="352"/>
      <c r="N3398" s="352"/>
      <c r="O3398" s="352"/>
      <c r="P3398" s="352"/>
      <c r="Q3398" s="352"/>
      <c r="R3398" s="352"/>
      <c r="S3398" s="352"/>
      <c r="T3398" s="352"/>
      <c r="U3398" s="352"/>
      <c r="V3398" s="352"/>
      <c r="W3398" s="352"/>
      <c r="X3398" s="352"/>
      <c r="Y3398" s="352"/>
      <c r="Z3398" s="352"/>
      <c r="AA3398" s="352"/>
      <c r="AB3398" s="352"/>
      <c r="AC3398" s="352"/>
      <c r="AD3398" s="352"/>
      <c r="AE3398" s="352"/>
      <c r="AF3398" s="352"/>
      <c r="AG3398" s="352"/>
      <c r="AH3398" s="352"/>
      <c r="AI3398" s="352"/>
      <c r="AJ3398" s="352"/>
    </row>
    <row r="3399" spans="2:36" x14ac:dyDescent="0.2">
      <c r="B3399" s="352"/>
      <c r="C3399" s="352"/>
      <c r="D3399" s="352"/>
      <c r="E3399" s="352"/>
      <c r="F3399" s="352"/>
      <c r="H3399" s="352"/>
      <c r="J3399" s="352"/>
      <c r="L3399" s="352"/>
      <c r="M3399" s="352"/>
      <c r="N3399" s="352"/>
      <c r="O3399" s="352"/>
      <c r="P3399" s="352"/>
      <c r="Q3399" s="352"/>
      <c r="R3399" s="352"/>
      <c r="S3399" s="352"/>
      <c r="T3399" s="352"/>
      <c r="U3399" s="352"/>
      <c r="V3399" s="352"/>
      <c r="W3399" s="352"/>
      <c r="X3399" s="352"/>
      <c r="Y3399" s="352"/>
      <c r="Z3399" s="352"/>
      <c r="AA3399" s="352"/>
      <c r="AB3399" s="352"/>
      <c r="AC3399" s="352"/>
      <c r="AD3399" s="352"/>
      <c r="AE3399" s="352"/>
      <c r="AF3399" s="352"/>
      <c r="AG3399" s="352"/>
      <c r="AH3399" s="352"/>
      <c r="AI3399" s="352"/>
      <c r="AJ3399" s="352"/>
    </row>
    <row r="3400" spans="2:36" x14ac:dyDescent="0.2">
      <c r="B3400" s="352"/>
      <c r="C3400" s="352"/>
      <c r="D3400" s="352"/>
      <c r="E3400" s="352"/>
      <c r="F3400" s="352"/>
      <c r="H3400" s="352"/>
      <c r="J3400" s="352"/>
      <c r="L3400" s="352"/>
      <c r="M3400" s="352"/>
      <c r="N3400" s="352"/>
      <c r="O3400" s="352"/>
      <c r="P3400" s="352"/>
      <c r="Q3400" s="352"/>
      <c r="R3400" s="352"/>
      <c r="S3400" s="352"/>
      <c r="T3400" s="352"/>
      <c r="U3400" s="352"/>
      <c r="V3400" s="352"/>
      <c r="W3400" s="352"/>
      <c r="X3400" s="352"/>
      <c r="Y3400" s="352"/>
      <c r="Z3400" s="352"/>
      <c r="AA3400" s="352"/>
      <c r="AB3400" s="352"/>
      <c r="AC3400" s="352"/>
      <c r="AD3400" s="352"/>
      <c r="AE3400" s="352"/>
      <c r="AF3400" s="352"/>
      <c r="AG3400" s="352"/>
      <c r="AH3400" s="352"/>
      <c r="AI3400" s="352"/>
      <c r="AJ3400" s="352"/>
    </row>
    <row r="3401" spans="2:36" x14ac:dyDescent="0.2">
      <c r="B3401" s="352"/>
      <c r="C3401" s="352"/>
      <c r="D3401" s="352"/>
      <c r="E3401" s="352"/>
      <c r="F3401" s="352"/>
      <c r="H3401" s="352"/>
      <c r="J3401" s="352"/>
      <c r="L3401" s="352"/>
      <c r="M3401" s="352"/>
      <c r="N3401" s="352"/>
      <c r="O3401" s="352"/>
      <c r="P3401" s="352"/>
      <c r="Q3401" s="352"/>
      <c r="R3401" s="352"/>
      <c r="S3401" s="352"/>
      <c r="T3401" s="352"/>
      <c r="U3401" s="352"/>
      <c r="V3401" s="352"/>
      <c r="W3401" s="352"/>
      <c r="X3401" s="352"/>
      <c r="Y3401" s="352"/>
      <c r="Z3401" s="352"/>
      <c r="AA3401" s="352"/>
      <c r="AB3401" s="352"/>
      <c r="AC3401" s="352"/>
      <c r="AD3401" s="352"/>
      <c r="AE3401" s="352"/>
      <c r="AF3401" s="352"/>
      <c r="AG3401" s="352"/>
      <c r="AH3401" s="352"/>
      <c r="AI3401" s="352"/>
      <c r="AJ3401" s="352"/>
    </row>
    <row r="3402" spans="2:36" x14ac:dyDescent="0.2">
      <c r="B3402" s="352"/>
      <c r="C3402" s="352"/>
      <c r="D3402" s="352"/>
      <c r="E3402" s="352"/>
      <c r="F3402" s="352"/>
      <c r="H3402" s="352"/>
      <c r="J3402" s="352"/>
      <c r="L3402" s="352"/>
      <c r="M3402" s="352"/>
      <c r="N3402" s="352"/>
      <c r="O3402" s="352"/>
      <c r="P3402" s="352"/>
      <c r="Q3402" s="352"/>
      <c r="R3402" s="352"/>
      <c r="S3402" s="352"/>
      <c r="T3402" s="352"/>
      <c r="U3402" s="352"/>
      <c r="V3402" s="352"/>
      <c r="W3402" s="352"/>
      <c r="X3402" s="352"/>
      <c r="Y3402" s="352"/>
      <c r="Z3402" s="352"/>
      <c r="AA3402" s="352"/>
      <c r="AB3402" s="352"/>
      <c r="AC3402" s="352"/>
      <c r="AD3402" s="352"/>
      <c r="AE3402" s="352"/>
      <c r="AF3402" s="352"/>
      <c r="AG3402" s="352"/>
      <c r="AH3402" s="352"/>
      <c r="AI3402" s="352"/>
      <c r="AJ3402" s="352"/>
    </row>
    <row r="3403" spans="2:36" x14ac:dyDescent="0.2">
      <c r="B3403" s="352"/>
      <c r="C3403" s="352"/>
      <c r="D3403" s="352"/>
      <c r="E3403" s="352"/>
      <c r="F3403" s="352"/>
      <c r="H3403" s="352"/>
      <c r="J3403" s="352"/>
      <c r="L3403" s="352"/>
      <c r="M3403" s="352"/>
      <c r="N3403" s="352"/>
      <c r="O3403" s="352"/>
      <c r="P3403" s="352"/>
      <c r="Q3403" s="352"/>
      <c r="R3403" s="352"/>
      <c r="S3403" s="352"/>
      <c r="T3403" s="352"/>
      <c r="U3403" s="352"/>
      <c r="V3403" s="352"/>
      <c r="W3403" s="352"/>
      <c r="X3403" s="352"/>
      <c r="Y3403" s="352"/>
      <c r="Z3403" s="352"/>
      <c r="AA3403" s="352"/>
      <c r="AB3403" s="352"/>
      <c r="AC3403" s="352"/>
      <c r="AD3403" s="352"/>
      <c r="AE3403" s="352"/>
      <c r="AF3403" s="352"/>
      <c r="AG3403" s="352"/>
      <c r="AH3403" s="352"/>
      <c r="AI3403" s="352"/>
      <c r="AJ3403" s="352"/>
    </row>
    <row r="3404" spans="2:36" x14ac:dyDescent="0.2">
      <c r="B3404" s="352"/>
      <c r="C3404" s="352"/>
      <c r="D3404" s="352"/>
      <c r="E3404" s="352"/>
      <c r="F3404" s="352"/>
      <c r="H3404" s="352"/>
      <c r="J3404" s="352"/>
      <c r="L3404" s="352"/>
      <c r="M3404" s="352"/>
      <c r="N3404" s="352"/>
      <c r="O3404" s="352"/>
      <c r="P3404" s="352"/>
      <c r="Q3404" s="352"/>
      <c r="R3404" s="352"/>
      <c r="S3404" s="352"/>
      <c r="T3404" s="352"/>
      <c r="U3404" s="352"/>
      <c r="V3404" s="352"/>
      <c r="W3404" s="352"/>
      <c r="X3404" s="352"/>
      <c r="Y3404" s="352"/>
      <c r="Z3404" s="352"/>
      <c r="AA3404" s="352"/>
      <c r="AB3404" s="352"/>
      <c r="AC3404" s="352"/>
      <c r="AD3404" s="352"/>
      <c r="AE3404" s="352"/>
      <c r="AF3404" s="352"/>
      <c r="AG3404" s="352"/>
      <c r="AH3404" s="352"/>
      <c r="AI3404" s="352"/>
      <c r="AJ3404" s="352"/>
    </row>
    <row r="3405" spans="2:36" x14ac:dyDescent="0.2">
      <c r="B3405" s="352"/>
      <c r="C3405" s="352"/>
      <c r="D3405" s="352"/>
      <c r="E3405" s="352"/>
      <c r="F3405" s="352"/>
      <c r="H3405" s="352"/>
      <c r="J3405" s="352"/>
      <c r="L3405" s="352"/>
      <c r="M3405" s="352"/>
      <c r="N3405" s="352"/>
      <c r="O3405" s="352"/>
      <c r="P3405" s="352"/>
      <c r="Q3405" s="352"/>
      <c r="R3405" s="352"/>
      <c r="S3405" s="352"/>
      <c r="T3405" s="352"/>
      <c r="U3405" s="352"/>
      <c r="V3405" s="352"/>
      <c r="W3405" s="352"/>
      <c r="X3405" s="352"/>
      <c r="Y3405" s="352"/>
      <c r="Z3405" s="352"/>
      <c r="AA3405" s="352"/>
      <c r="AB3405" s="352"/>
      <c r="AC3405" s="352"/>
      <c r="AD3405" s="352"/>
      <c r="AE3405" s="352"/>
      <c r="AF3405" s="352"/>
      <c r="AG3405" s="352"/>
      <c r="AH3405" s="352"/>
      <c r="AI3405" s="352"/>
      <c r="AJ3405" s="352"/>
    </row>
    <row r="3406" spans="2:36" x14ac:dyDescent="0.2">
      <c r="B3406" s="352"/>
      <c r="C3406" s="352"/>
      <c r="D3406" s="352"/>
      <c r="E3406" s="352"/>
      <c r="F3406" s="352"/>
      <c r="H3406" s="352"/>
      <c r="J3406" s="352"/>
      <c r="L3406" s="352"/>
      <c r="M3406" s="352"/>
      <c r="N3406" s="352"/>
      <c r="O3406" s="352"/>
      <c r="P3406" s="352"/>
      <c r="Q3406" s="352"/>
      <c r="R3406" s="352"/>
      <c r="S3406" s="352"/>
      <c r="T3406" s="352"/>
      <c r="U3406" s="352"/>
      <c r="V3406" s="352"/>
      <c r="W3406" s="352"/>
      <c r="X3406" s="352"/>
      <c r="Y3406" s="352"/>
      <c r="Z3406" s="352"/>
      <c r="AA3406" s="352"/>
      <c r="AB3406" s="352"/>
      <c r="AC3406" s="352"/>
      <c r="AD3406" s="352"/>
      <c r="AE3406" s="352"/>
      <c r="AF3406" s="352"/>
      <c r="AG3406" s="352"/>
      <c r="AH3406" s="352"/>
      <c r="AI3406" s="352"/>
      <c r="AJ3406" s="352"/>
    </row>
    <row r="3407" spans="2:36" x14ac:dyDescent="0.2">
      <c r="B3407" s="352"/>
      <c r="C3407" s="352"/>
      <c r="D3407" s="352"/>
      <c r="E3407" s="352"/>
      <c r="F3407" s="352"/>
      <c r="H3407" s="352"/>
      <c r="J3407" s="352"/>
      <c r="L3407" s="352"/>
      <c r="M3407" s="352"/>
      <c r="N3407" s="352"/>
      <c r="O3407" s="352"/>
      <c r="P3407" s="352"/>
      <c r="Q3407" s="352"/>
      <c r="R3407" s="352"/>
      <c r="S3407" s="352"/>
      <c r="T3407" s="352"/>
      <c r="U3407" s="352"/>
      <c r="V3407" s="352"/>
      <c r="W3407" s="352"/>
      <c r="X3407" s="352"/>
      <c r="Y3407" s="352"/>
      <c r="Z3407" s="352"/>
      <c r="AA3407" s="352"/>
      <c r="AB3407" s="352"/>
      <c r="AC3407" s="352"/>
      <c r="AD3407" s="352"/>
      <c r="AE3407" s="352"/>
      <c r="AF3407" s="352"/>
      <c r="AG3407" s="352"/>
      <c r="AH3407" s="352"/>
      <c r="AI3407" s="352"/>
      <c r="AJ3407" s="352"/>
    </row>
    <row r="3408" spans="2:36" x14ac:dyDescent="0.2">
      <c r="B3408" s="352"/>
      <c r="C3408" s="352"/>
      <c r="D3408" s="352"/>
      <c r="E3408" s="352"/>
      <c r="F3408" s="352"/>
      <c r="H3408" s="352"/>
      <c r="J3408" s="352"/>
      <c r="L3408" s="352"/>
      <c r="M3408" s="352"/>
      <c r="N3408" s="352"/>
      <c r="O3408" s="352"/>
      <c r="P3408" s="352"/>
      <c r="Q3408" s="352"/>
      <c r="R3408" s="352"/>
      <c r="S3408" s="352"/>
      <c r="T3408" s="352"/>
      <c r="U3408" s="352"/>
      <c r="V3408" s="352"/>
      <c r="W3408" s="352"/>
      <c r="X3408" s="352"/>
      <c r="Y3408" s="352"/>
      <c r="Z3408" s="352"/>
      <c r="AA3408" s="352"/>
      <c r="AB3408" s="352"/>
      <c r="AC3408" s="352"/>
      <c r="AD3408" s="352"/>
      <c r="AE3408" s="352"/>
      <c r="AF3408" s="352"/>
      <c r="AG3408" s="352"/>
      <c r="AH3408" s="352"/>
      <c r="AI3408" s="352"/>
      <c r="AJ3408" s="352"/>
    </row>
    <row r="3409" spans="2:36" x14ac:dyDescent="0.2">
      <c r="B3409" s="352"/>
      <c r="C3409" s="352"/>
      <c r="D3409" s="352"/>
      <c r="E3409" s="352"/>
      <c r="F3409" s="352"/>
      <c r="H3409" s="352"/>
      <c r="J3409" s="352"/>
      <c r="L3409" s="352"/>
      <c r="M3409" s="352"/>
      <c r="N3409" s="352"/>
      <c r="O3409" s="352"/>
      <c r="P3409" s="352"/>
      <c r="Q3409" s="352"/>
      <c r="R3409" s="352"/>
      <c r="S3409" s="352"/>
      <c r="T3409" s="352"/>
      <c r="U3409" s="352"/>
      <c r="V3409" s="352"/>
      <c r="W3409" s="352"/>
      <c r="X3409" s="352"/>
      <c r="Y3409" s="352"/>
      <c r="Z3409" s="352"/>
      <c r="AA3409" s="352"/>
      <c r="AB3409" s="352"/>
      <c r="AC3409" s="352"/>
      <c r="AD3409" s="352"/>
      <c r="AE3409" s="352"/>
      <c r="AF3409" s="352"/>
      <c r="AG3409" s="352"/>
      <c r="AH3409" s="352"/>
      <c r="AI3409" s="352"/>
      <c r="AJ3409" s="352"/>
    </row>
    <row r="3410" spans="2:36" x14ac:dyDescent="0.2">
      <c r="B3410" s="352"/>
      <c r="C3410" s="352"/>
      <c r="D3410" s="352"/>
      <c r="E3410" s="352"/>
      <c r="F3410" s="352"/>
      <c r="H3410" s="352"/>
      <c r="J3410" s="352"/>
      <c r="L3410" s="352"/>
      <c r="M3410" s="352"/>
      <c r="N3410" s="352"/>
      <c r="O3410" s="352"/>
      <c r="P3410" s="352"/>
      <c r="Q3410" s="352"/>
      <c r="R3410" s="352"/>
      <c r="S3410" s="352"/>
      <c r="T3410" s="352"/>
      <c r="U3410" s="352"/>
      <c r="V3410" s="352"/>
      <c r="W3410" s="352"/>
      <c r="X3410" s="352"/>
      <c r="Y3410" s="352"/>
      <c r="Z3410" s="352"/>
      <c r="AA3410" s="352"/>
      <c r="AB3410" s="352"/>
      <c r="AC3410" s="352"/>
      <c r="AD3410" s="352"/>
      <c r="AE3410" s="352"/>
      <c r="AF3410" s="352"/>
      <c r="AG3410" s="352"/>
      <c r="AH3410" s="352"/>
      <c r="AI3410" s="352"/>
      <c r="AJ3410" s="352"/>
    </row>
    <row r="3411" spans="2:36" x14ac:dyDescent="0.2">
      <c r="B3411" s="352"/>
      <c r="C3411" s="352"/>
      <c r="D3411" s="352"/>
      <c r="E3411" s="352"/>
      <c r="F3411" s="352"/>
      <c r="H3411" s="352"/>
      <c r="J3411" s="352"/>
      <c r="L3411" s="352"/>
      <c r="M3411" s="352"/>
      <c r="N3411" s="352"/>
      <c r="O3411" s="352"/>
      <c r="P3411" s="352"/>
      <c r="Q3411" s="352"/>
      <c r="R3411" s="352"/>
      <c r="S3411" s="352"/>
      <c r="T3411" s="352"/>
      <c r="U3411" s="352"/>
      <c r="V3411" s="352"/>
      <c r="W3411" s="352"/>
      <c r="X3411" s="352"/>
      <c r="Y3411" s="352"/>
      <c r="Z3411" s="352"/>
      <c r="AA3411" s="352"/>
      <c r="AB3411" s="352"/>
      <c r="AC3411" s="352"/>
      <c r="AD3411" s="352"/>
      <c r="AE3411" s="352"/>
      <c r="AF3411" s="352"/>
      <c r="AG3411" s="352"/>
      <c r="AH3411" s="352"/>
      <c r="AI3411" s="352"/>
      <c r="AJ3411" s="352"/>
    </row>
    <row r="3412" spans="2:36" x14ac:dyDescent="0.2">
      <c r="B3412" s="352"/>
      <c r="C3412" s="352"/>
      <c r="D3412" s="352"/>
      <c r="E3412" s="352"/>
      <c r="F3412" s="352"/>
      <c r="H3412" s="352"/>
      <c r="J3412" s="352"/>
      <c r="L3412" s="352"/>
      <c r="M3412" s="352"/>
      <c r="N3412" s="352"/>
      <c r="O3412" s="352"/>
      <c r="P3412" s="352"/>
      <c r="Q3412" s="352"/>
      <c r="R3412" s="352"/>
      <c r="S3412" s="352"/>
      <c r="T3412" s="352"/>
      <c r="U3412" s="352"/>
      <c r="V3412" s="352"/>
      <c r="W3412" s="352"/>
      <c r="X3412" s="352"/>
      <c r="Y3412" s="352"/>
      <c r="Z3412" s="352"/>
      <c r="AA3412" s="352"/>
      <c r="AB3412" s="352"/>
      <c r="AC3412" s="352"/>
      <c r="AD3412" s="352"/>
      <c r="AE3412" s="352"/>
      <c r="AF3412" s="352"/>
      <c r="AG3412" s="352"/>
      <c r="AH3412" s="352"/>
      <c r="AI3412" s="352"/>
      <c r="AJ3412" s="352"/>
    </row>
    <row r="3413" spans="2:36" x14ac:dyDescent="0.2">
      <c r="B3413" s="352"/>
      <c r="C3413" s="352"/>
      <c r="D3413" s="352"/>
      <c r="E3413" s="352"/>
      <c r="F3413" s="352"/>
      <c r="H3413" s="352"/>
      <c r="J3413" s="352"/>
      <c r="L3413" s="352"/>
      <c r="M3413" s="352"/>
      <c r="N3413" s="352"/>
      <c r="O3413" s="352"/>
      <c r="P3413" s="352"/>
      <c r="Q3413" s="352"/>
      <c r="R3413" s="352"/>
      <c r="S3413" s="352"/>
      <c r="T3413" s="352"/>
      <c r="U3413" s="352"/>
      <c r="V3413" s="352"/>
      <c r="W3413" s="352"/>
      <c r="X3413" s="352"/>
      <c r="Y3413" s="352"/>
      <c r="Z3413" s="352"/>
      <c r="AA3413" s="352"/>
      <c r="AB3413" s="352"/>
      <c r="AC3413" s="352"/>
      <c r="AD3413" s="352"/>
      <c r="AE3413" s="352"/>
      <c r="AF3413" s="352"/>
      <c r="AG3413" s="352"/>
      <c r="AH3413" s="352"/>
      <c r="AI3413" s="352"/>
      <c r="AJ3413" s="352"/>
    </row>
    <row r="3414" spans="2:36" x14ac:dyDescent="0.2">
      <c r="B3414" s="352"/>
      <c r="C3414" s="352"/>
      <c r="D3414" s="352"/>
      <c r="E3414" s="352"/>
      <c r="F3414" s="352"/>
      <c r="H3414" s="352"/>
      <c r="J3414" s="352"/>
      <c r="L3414" s="352"/>
      <c r="M3414" s="352"/>
      <c r="N3414" s="352"/>
      <c r="O3414" s="352"/>
      <c r="P3414" s="352"/>
      <c r="Q3414" s="352"/>
      <c r="R3414" s="352"/>
      <c r="S3414" s="352"/>
      <c r="T3414" s="352"/>
      <c r="U3414" s="352"/>
      <c r="V3414" s="352"/>
      <c r="W3414" s="352"/>
      <c r="X3414" s="352"/>
      <c r="Y3414" s="352"/>
      <c r="Z3414" s="352"/>
      <c r="AA3414" s="352"/>
      <c r="AB3414" s="352"/>
      <c r="AC3414" s="352"/>
      <c r="AD3414" s="352"/>
      <c r="AE3414" s="352"/>
      <c r="AF3414" s="352"/>
      <c r="AG3414" s="352"/>
      <c r="AH3414" s="352"/>
      <c r="AI3414" s="352"/>
      <c r="AJ3414" s="352"/>
    </row>
    <row r="3415" spans="2:36" x14ac:dyDescent="0.2">
      <c r="B3415" s="352"/>
      <c r="C3415" s="352"/>
      <c r="D3415" s="352"/>
      <c r="E3415" s="352"/>
      <c r="F3415" s="352"/>
      <c r="H3415" s="352"/>
      <c r="J3415" s="352"/>
      <c r="L3415" s="352"/>
      <c r="M3415" s="352"/>
      <c r="N3415" s="352"/>
      <c r="O3415" s="352"/>
      <c r="P3415" s="352"/>
      <c r="Q3415" s="352"/>
      <c r="R3415" s="352"/>
      <c r="S3415" s="352"/>
      <c r="T3415" s="352"/>
      <c r="U3415" s="352"/>
      <c r="V3415" s="352"/>
      <c r="W3415" s="352"/>
      <c r="X3415" s="352"/>
      <c r="Y3415" s="352"/>
      <c r="Z3415" s="352"/>
      <c r="AA3415" s="352"/>
      <c r="AB3415" s="352"/>
      <c r="AC3415" s="352"/>
      <c r="AD3415" s="352"/>
      <c r="AE3415" s="352"/>
      <c r="AF3415" s="352"/>
      <c r="AG3415" s="352"/>
      <c r="AH3415" s="352"/>
      <c r="AI3415" s="352"/>
      <c r="AJ3415" s="352"/>
    </row>
    <row r="3416" spans="2:36" x14ac:dyDescent="0.2">
      <c r="B3416" s="352"/>
      <c r="C3416" s="352"/>
      <c r="D3416" s="352"/>
      <c r="E3416" s="352"/>
      <c r="F3416" s="352"/>
      <c r="H3416" s="352"/>
      <c r="J3416" s="352"/>
      <c r="L3416" s="352"/>
      <c r="M3416" s="352"/>
      <c r="N3416" s="352"/>
      <c r="O3416" s="352"/>
      <c r="P3416" s="352"/>
      <c r="Q3416" s="352"/>
      <c r="R3416" s="352"/>
      <c r="S3416" s="352"/>
      <c r="T3416" s="352"/>
      <c r="U3416" s="352"/>
      <c r="V3416" s="352"/>
      <c r="W3416" s="352"/>
      <c r="X3416" s="352"/>
      <c r="Y3416" s="352"/>
      <c r="Z3416" s="352"/>
      <c r="AA3416" s="352"/>
      <c r="AB3416" s="352"/>
      <c r="AC3416" s="352"/>
      <c r="AD3416" s="352"/>
      <c r="AE3416" s="352"/>
      <c r="AF3416" s="352"/>
      <c r="AG3416" s="352"/>
      <c r="AH3416" s="352"/>
      <c r="AI3416" s="352"/>
      <c r="AJ3416" s="352"/>
    </row>
    <row r="3417" spans="2:36" x14ac:dyDescent="0.2">
      <c r="B3417" s="352"/>
      <c r="C3417" s="352"/>
      <c r="D3417" s="352"/>
      <c r="E3417" s="352"/>
      <c r="F3417" s="352"/>
      <c r="H3417" s="352"/>
      <c r="J3417" s="352"/>
      <c r="L3417" s="352"/>
      <c r="M3417" s="352"/>
      <c r="N3417" s="352"/>
      <c r="O3417" s="352"/>
      <c r="P3417" s="352"/>
      <c r="Q3417" s="352"/>
      <c r="R3417" s="352"/>
      <c r="S3417" s="352"/>
      <c r="T3417" s="352"/>
      <c r="U3417" s="352"/>
      <c r="V3417" s="352"/>
      <c r="W3417" s="352"/>
      <c r="X3417" s="352"/>
      <c r="Y3417" s="352"/>
      <c r="Z3417" s="352"/>
      <c r="AA3417" s="352"/>
      <c r="AB3417" s="352"/>
      <c r="AC3417" s="352"/>
      <c r="AD3417" s="352"/>
      <c r="AE3417" s="352"/>
      <c r="AF3417" s="352"/>
      <c r="AG3417" s="352"/>
      <c r="AH3417" s="352"/>
      <c r="AI3417" s="352"/>
      <c r="AJ3417" s="352"/>
    </row>
    <row r="3418" spans="2:36" x14ac:dyDescent="0.2">
      <c r="B3418" s="352"/>
      <c r="C3418" s="352"/>
      <c r="D3418" s="352"/>
      <c r="E3418" s="352"/>
      <c r="F3418" s="352"/>
      <c r="H3418" s="352"/>
      <c r="J3418" s="352"/>
      <c r="L3418" s="352"/>
      <c r="M3418" s="352"/>
      <c r="N3418" s="352"/>
      <c r="O3418" s="352"/>
      <c r="P3418" s="352"/>
      <c r="Q3418" s="352"/>
      <c r="R3418" s="352"/>
      <c r="S3418" s="352"/>
      <c r="T3418" s="352"/>
      <c r="U3418" s="352"/>
      <c r="V3418" s="352"/>
      <c r="W3418" s="352"/>
      <c r="X3418" s="352"/>
      <c r="Y3418" s="352"/>
      <c r="Z3418" s="352"/>
      <c r="AA3418" s="352"/>
      <c r="AB3418" s="352"/>
      <c r="AC3418" s="352"/>
      <c r="AD3418" s="352"/>
      <c r="AE3418" s="352"/>
      <c r="AF3418" s="352"/>
      <c r="AG3418" s="352"/>
      <c r="AH3418" s="352"/>
      <c r="AI3418" s="352"/>
      <c r="AJ3418" s="352"/>
    </row>
    <row r="3419" spans="2:36" x14ac:dyDescent="0.2">
      <c r="B3419" s="352"/>
      <c r="C3419" s="352"/>
      <c r="D3419" s="352"/>
      <c r="E3419" s="352"/>
      <c r="F3419" s="352"/>
      <c r="H3419" s="352"/>
      <c r="J3419" s="352"/>
      <c r="L3419" s="352"/>
      <c r="M3419" s="352"/>
      <c r="N3419" s="352"/>
      <c r="O3419" s="352"/>
      <c r="P3419" s="352"/>
      <c r="Q3419" s="352"/>
      <c r="R3419" s="352"/>
      <c r="S3419" s="352"/>
      <c r="T3419" s="352"/>
      <c r="U3419" s="352"/>
      <c r="V3419" s="352"/>
      <c r="W3419" s="352"/>
      <c r="X3419" s="352"/>
      <c r="Y3419" s="352"/>
      <c r="Z3419" s="352"/>
      <c r="AA3419" s="352"/>
      <c r="AB3419" s="352"/>
      <c r="AC3419" s="352"/>
      <c r="AD3419" s="352"/>
      <c r="AE3419" s="352"/>
      <c r="AF3419" s="352"/>
      <c r="AG3419" s="352"/>
      <c r="AH3419" s="352"/>
      <c r="AI3419" s="352"/>
      <c r="AJ3419" s="352"/>
    </row>
    <row r="3420" spans="2:36" x14ac:dyDescent="0.2">
      <c r="B3420" s="352"/>
      <c r="C3420" s="352"/>
      <c r="D3420" s="352"/>
      <c r="E3420" s="352"/>
      <c r="F3420" s="352"/>
      <c r="H3420" s="352"/>
      <c r="J3420" s="352"/>
      <c r="L3420" s="352"/>
      <c r="M3420" s="352"/>
      <c r="N3420" s="352"/>
      <c r="O3420" s="352"/>
      <c r="P3420" s="352"/>
      <c r="Q3420" s="352"/>
      <c r="R3420" s="352"/>
      <c r="S3420" s="352"/>
      <c r="T3420" s="352"/>
      <c r="U3420" s="352"/>
      <c r="V3420" s="352"/>
      <c r="W3420" s="352"/>
      <c r="X3420" s="352"/>
      <c r="Y3420" s="352"/>
      <c r="Z3420" s="352"/>
      <c r="AA3420" s="352"/>
      <c r="AB3420" s="352"/>
      <c r="AC3420" s="352"/>
      <c r="AD3420" s="352"/>
      <c r="AE3420" s="352"/>
      <c r="AF3420" s="352"/>
      <c r="AG3420" s="352"/>
      <c r="AH3420" s="352"/>
      <c r="AI3420" s="352"/>
      <c r="AJ3420" s="352"/>
    </row>
    <row r="3421" spans="2:36" x14ac:dyDescent="0.2">
      <c r="B3421" s="352"/>
      <c r="C3421" s="352"/>
      <c r="D3421" s="352"/>
      <c r="E3421" s="352"/>
      <c r="F3421" s="352"/>
      <c r="H3421" s="352"/>
      <c r="J3421" s="352"/>
      <c r="L3421" s="352"/>
      <c r="M3421" s="352"/>
      <c r="N3421" s="352"/>
      <c r="O3421" s="352"/>
      <c r="P3421" s="352"/>
      <c r="Q3421" s="352"/>
      <c r="R3421" s="352"/>
      <c r="S3421" s="352"/>
      <c r="T3421" s="352"/>
      <c r="U3421" s="352"/>
      <c r="V3421" s="352"/>
      <c r="W3421" s="352"/>
      <c r="X3421" s="352"/>
      <c r="Y3421" s="352"/>
      <c r="Z3421" s="352"/>
      <c r="AA3421" s="352"/>
      <c r="AB3421" s="352"/>
      <c r="AC3421" s="352"/>
      <c r="AD3421" s="352"/>
      <c r="AE3421" s="352"/>
      <c r="AF3421" s="352"/>
      <c r="AG3421" s="352"/>
      <c r="AH3421" s="352"/>
      <c r="AI3421" s="352"/>
      <c r="AJ3421" s="352"/>
    </row>
    <row r="3422" spans="2:36" x14ac:dyDescent="0.2">
      <c r="B3422" s="352"/>
      <c r="C3422" s="352"/>
      <c r="D3422" s="352"/>
      <c r="E3422" s="352"/>
      <c r="F3422" s="352"/>
      <c r="H3422" s="352"/>
      <c r="J3422" s="352"/>
      <c r="L3422" s="352"/>
      <c r="M3422" s="352"/>
      <c r="N3422" s="352"/>
      <c r="O3422" s="352"/>
      <c r="P3422" s="352"/>
      <c r="Q3422" s="352"/>
      <c r="R3422" s="352"/>
      <c r="S3422" s="352"/>
      <c r="T3422" s="352"/>
      <c r="U3422" s="352"/>
      <c r="V3422" s="352"/>
      <c r="W3422" s="352"/>
      <c r="X3422" s="352"/>
      <c r="Y3422" s="352"/>
      <c r="Z3422" s="352"/>
      <c r="AA3422" s="352"/>
      <c r="AB3422" s="352"/>
      <c r="AC3422" s="352"/>
      <c r="AD3422" s="352"/>
      <c r="AE3422" s="352"/>
      <c r="AF3422" s="352"/>
      <c r="AG3422" s="352"/>
      <c r="AH3422" s="352"/>
      <c r="AI3422" s="352"/>
      <c r="AJ3422" s="352"/>
    </row>
    <row r="3423" spans="2:36" x14ac:dyDescent="0.2">
      <c r="B3423" s="352"/>
      <c r="C3423" s="352"/>
      <c r="D3423" s="352"/>
      <c r="E3423" s="352"/>
      <c r="F3423" s="352"/>
      <c r="H3423" s="352"/>
      <c r="J3423" s="352"/>
      <c r="L3423" s="352"/>
      <c r="M3423" s="352"/>
      <c r="N3423" s="352"/>
      <c r="O3423" s="352"/>
      <c r="P3423" s="352"/>
      <c r="Q3423" s="352"/>
      <c r="R3423" s="352"/>
      <c r="S3423" s="352"/>
      <c r="T3423" s="352"/>
      <c r="U3423" s="352"/>
      <c r="V3423" s="352"/>
      <c r="W3423" s="352"/>
      <c r="X3423" s="352"/>
      <c r="Y3423" s="352"/>
      <c r="Z3423" s="352"/>
      <c r="AA3423" s="352"/>
      <c r="AB3423" s="352"/>
      <c r="AC3423" s="352"/>
      <c r="AD3423" s="352"/>
      <c r="AE3423" s="352"/>
      <c r="AF3423" s="352"/>
      <c r="AG3423" s="352"/>
      <c r="AH3423" s="352"/>
      <c r="AI3423" s="352"/>
      <c r="AJ3423" s="352"/>
    </row>
    <row r="3424" spans="2:36" x14ac:dyDescent="0.2">
      <c r="B3424" s="352"/>
      <c r="C3424" s="352"/>
      <c r="D3424" s="352"/>
      <c r="E3424" s="352"/>
      <c r="F3424" s="352"/>
      <c r="H3424" s="352"/>
      <c r="J3424" s="352"/>
      <c r="L3424" s="352"/>
      <c r="M3424" s="352"/>
      <c r="N3424" s="352"/>
      <c r="O3424" s="352"/>
      <c r="P3424" s="352"/>
      <c r="Q3424" s="352"/>
      <c r="R3424" s="352"/>
      <c r="S3424" s="352"/>
      <c r="T3424" s="352"/>
      <c r="U3424" s="352"/>
      <c r="V3424" s="352"/>
      <c r="W3424" s="352"/>
      <c r="X3424" s="352"/>
      <c r="Y3424" s="352"/>
      <c r="Z3424" s="352"/>
      <c r="AA3424" s="352"/>
      <c r="AB3424" s="352"/>
      <c r="AC3424" s="352"/>
      <c r="AD3424" s="352"/>
      <c r="AE3424" s="352"/>
      <c r="AF3424" s="352"/>
      <c r="AG3424" s="352"/>
      <c r="AH3424" s="352"/>
      <c r="AI3424" s="352"/>
      <c r="AJ3424" s="352"/>
    </row>
    <row r="3425" spans="2:36" x14ac:dyDescent="0.2">
      <c r="B3425" s="352"/>
      <c r="C3425" s="352"/>
      <c r="D3425" s="352"/>
      <c r="E3425" s="352"/>
      <c r="F3425" s="352"/>
      <c r="H3425" s="352"/>
      <c r="J3425" s="352"/>
      <c r="L3425" s="352"/>
      <c r="M3425" s="352"/>
      <c r="N3425" s="352"/>
      <c r="O3425" s="352"/>
      <c r="P3425" s="352"/>
      <c r="Q3425" s="352"/>
      <c r="R3425" s="352"/>
      <c r="S3425" s="352"/>
      <c r="T3425" s="352"/>
      <c r="U3425" s="352"/>
      <c r="V3425" s="352"/>
      <c r="W3425" s="352"/>
      <c r="X3425" s="352"/>
      <c r="Y3425" s="352"/>
      <c r="Z3425" s="352"/>
      <c r="AA3425" s="352"/>
      <c r="AB3425" s="352"/>
      <c r="AC3425" s="352"/>
      <c r="AD3425" s="352"/>
      <c r="AE3425" s="352"/>
      <c r="AF3425" s="352"/>
      <c r="AG3425" s="352"/>
      <c r="AH3425" s="352"/>
      <c r="AI3425" s="352"/>
      <c r="AJ3425" s="352"/>
    </row>
    <row r="3426" spans="2:36" x14ac:dyDescent="0.2">
      <c r="B3426" s="352"/>
      <c r="C3426" s="352"/>
      <c r="D3426" s="352"/>
      <c r="E3426" s="352"/>
      <c r="F3426" s="352"/>
      <c r="H3426" s="352"/>
      <c r="J3426" s="352"/>
      <c r="L3426" s="352"/>
      <c r="M3426" s="352"/>
      <c r="N3426" s="352"/>
      <c r="O3426" s="352"/>
      <c r="P3426" s="352"/>
      <c r="Q3426" s="352"/>
      <c r="R3426" s="352"/>
      <c r="S3426" s="352"/>
      <c r="T3426" s="352"/>
      <c r="U3426" s="352"/>
      <c r="V3426" s="352"/>
      <c r="W3426" s="352"/>
      <c r="X3426" s="352"/>
      <c r="Y3426" s="352"/>
      <c r="Z3426" s="352"/>
      <c r="AA3426" s="352"/>
      <c r="AB3426" s="352"/>
      <c r="AC3426" s="352"/>
      <c r="AD3426" s="352"/>
      <c r="AE3426" s="352"/>
      <c r="AF3426" s="352"/>
      <c r="AG3426" s="352"/>
      <c r="AH3426" s="352"/>
      <c r="AI3426" s="352"/>
      <c r="AJ3426" s="352"/>
    </row>
    <row r="3427" spans="2:36" x14ac:dyDescent="0.2">
      <c r="B3427" s="352"/>
      <c r="C3427" s="352"/>
      <c r="D3427" s="352"/>
      <c r="E3427" s="352"/>
      <c r="F3427" s="352"/>
      <c r="H3427" s="352"/>
      <c r="J3427" s="352"/>
      <c r="L3427" s="352"/>
      <c r="M3427" s="352"/>
      <c r="N3427" s="352"/>
      <c r="O3427" s="352"/>
      <c r="P3427" s="352"/>
      <c r="Q3427" s="352"/>
      <c r="R3427" s="352"/>
      <c r="S3427" s="352"/>
      <c r="T3427" s="352"/>
      <c r="U3427" s="352"/>
      <c r="V3427" s="352"/>
      <c r="W3427" s="352"/>
      <c r="X3427" s="352"/>
      <c r="Y3427" s="352"/>
      <c r="Z3427" s="352"/>
      <c r="AA3427" s="352"/>
      <c r="AB3427" s="352"/>
      <c r="AC3427" s="352"/>
      <c r="AD3427" s="352"/>
      <c r="AE3427" s="352"/>
      <c r="AF3427" s="352"/>
      <c r="AG3427" s="352"/>
      <c r="AH3427" s="352"/>
      <c r="AI3427" s="352"/>
      <c r="AJ3427" s="352"/>
    </row>
    <row r="3428" spans="2:36" x14ac:dyDescent="0.2">
      <c r="B3428" s="352"/>
      <c r="C3428" s="352"/>
      <c r="D3428" s="352"/>
      <c r="E3428" s="352"/>
      <c r="F3428" s="352"/>
      <c r="H3428" s="352"/>
      <c r="J3428" s="352"/>
      <c r="L3428" s="352"/>
      <c r="M3428" s="352"/>
      <c r="N3428" s="352"/>
      <c r="O3428" s="352"/>
      <c r="P3428" s="352"/>
      <c r="Q3428" s="352"/>
      <c r="R3428" s="352"/>
      <c r="S3428" s="352"/>
      <c r="T3428" s="352"/>
      <c r="U3428" s="352"/>
      <c r="V3428" s="352"/>
      <c r="W3428" s="352"/>
      <c r="X3428" s="352"/>
      <c r="Y3428" s="352"/>
      <c r="Z3428" s="352"/>
      <c r="AA3428" s="352"/>
      <c r="AB3428" s="352"/>
      <c r="AC3428" s="352"/>
      <c r="AD3428" s="352"/>
      <c r="AE3428" s="352"/>
      <c r="AF3428" s="352"/>
      <c r="AG3428" s="352"/>
      <c r="AH3428" s="352"/>
      <c r="AI3428" s="352"/>
      <c r="AJ3428" s="352"/>
    </row>
    <row r="3429" spans="2:36" x14ac:dyDescent="0.2">
      <c r="B3429" s="352"/>
      <c r="C3429" s="352"/>
      <c r="D3429" s="352"/>
      <c r="E3429" s="352"/>
      <c r="F3429" s="352"/>
      <c r="H3429" s="352"/>
      <c r="J3429" s="352"/>
      <c r="L3429" s="352"/>
      <c r="M3429" s="352"/>
      <c r="N3429" s="352"/>
      <c r="O3429" s="352"/>
      <c r="P3429" s="352"/>
      <c r="Q3429" s="352"/>
      <c r="R3429" s="352"/>
      <c r="S3429" s="352"/>
      <c r="T3429" s="352"/>
      <c r="U3429" s="352"/>
      <c r="V3429" s="352"/>
      <c r="W3429" s="352"/>
      <c r="X3429" s="352"/>
      <c r="Y3429" s="352"/>
      <c r="Z3429" s="352"/>
      <c r="AA3429" s="352"/>
      <c r="AB3429" s="352"/>
      <c r="AC3429" s="352"/>
      <c r="AD3429" s="352"/>
      <c r="AE3429" s="352"/>
      <c r="AF3429" s="352"/>
      <c r="AG3429" s="352"/>
      <c r="AH3429" s="352"/>
      <c r="AI3429" s="352"/>
      <c r="AJ3429" s="352"/>
    </row>
    <row r="3430" spans="2:36" x14ac:dyDescent="0.2">
      <c r="B3430" s="352"/>
      <c r="C3430" s="352"/>
      <c r="D3430" s="352"/>
      <c r="E3430" s="352"/>
      <c r="F3430" s="352"/>
      <c r="H3430" s="352"/>
      <c r="J3430" s="352"/>
      <c r="L3430" s="352"/>
      <c r="M3430" s="352"/>
      <c r="N3430" s="352"/>
      <c r="O3430" s="352"/>
      <c r="P3430" s="352"/>
      <c r="Q3430" s="352"/>
      <c r="R3430" s="352"/>
      <c r="S3430" s="352"/>
      <c r="T3430" s="352"/>
      <c r="U3430" s="352"/>
      <c r="V3430" s="352"/>
      <c r="W3430" s="352"/>
      <c r="X3430" s="352"/>
      <c r="Y3430" s="352"/>
      <c r="Z3430" s="352"/>
      <c r="AA3430" s="352"/>
      <c r="AB3430" s="352"/>
      <c r="AC3430" s="352"/>
      <c r="AD3430" s="352"/>
      <c r="AE3430" s="352"/>
      <c r="AF3430" s="352"/>
      <c r="AG3430" s="352"/>
      <c r="AH3430" s="352"/>
      <c r="AI3430" s="352"/>
      <c r="AJ3430" s="352"/>
    </row>
    <row r="3431" spans="2:36" x14ac:dyDescent="0.2">
      <c r="B3431" s="352"/>
      <c r="C3431" s="352"/>
      <c r="D3431" s="352"/>
      <c r="E3431" s="352"/>
      <c r="F3431" s="352"/>
      <c r="H3431" s="352"/>
      <c r="J3431" s="352"/>
      <c r="L3431" s="352"/>
      <c r="M3431" s="352"/>
      <c r="N3431" s="352"/>
      <c r="O3431" s="352"/>
      <c r="P3431" s="352"/>
      <c r="Q3431" s="352"/>
      <c r="R3431" s="352"/>
      <c r="S3431" s="352"/>
      <c r="T3431" s="352"/>
      <c r="U3431" s="352"/>
      <c r="V3431" s="352"/>
      <c r="W3431" s="352"/>
      <c r="X3431" s="352"/>
      <c r="Y3431" s="352"/>
      <c r="Z3431" s="352"/>
      <c r="AA3431" s="352"/>
      <c r="AB3431" s="352"/>
      <c r="AC3431" s="352"/>
      <c r="AD3431" s="352"/>
      <c r="AE3431" s="352"/>
      <c r="AF3431" s="352"/>
      <c r="AG3431" s="352"/>
      <c r="AH3431" s="352"/>
      <c r="AI3431" s="352"/>
      <c r="AJ3431" s="352"/>
    </row>
    <row r="3432" spans="2:36" x14ac:dyDescent="0.2">
      <c r="B3432" s="352"/>
      <c r="C3432" s="352"/>
      <c r="D3432" s="352"/>
      <c r="E3432" s="352"/>
      <c r="F3432" s="352"/>
      <c r="H3432" s="352"/>
      <c r="J3432" s="352"/>
      <c r="L3432" s="352"/>
      <c r="M3432" s="352"/>
      <c r="N3432" s="352"/>
      <c r="O3432" s="352"/>
      <c r="P3432" s="352"/>
      <c r="Q3432" s="352"/>
      <c r="R3432" s="352"/>
      <c r="S3432" s="352"/>
      <c r="T3432" s="352"/>
      <c r="U3432" s="352"/>
      <c r="V3432" s="352"/>
      <c r="W3432" s="352"/>
      <c r="X3432" s="352"/>
      <c r="Y3432" s="352"/>
      <c r="Z3432" s="352"/>
      <c r="AA3432" s="352"/>
      <c r="AB3432" s="352"/>
      <c r="AC3432" s="352"/>
      <c r="AD3432" s="352"/>
      <c r="AE3432" s="352"/>
      <c r="AF3432" s="352"/>
      <c r="AG3432" s="352"/>
      <c r="AH3432" s="352"/>
      <c r="AI3432" s="352"/>
      <c r="AJ3432" s="352"/>
    </row>
    <row r="3433" spans="2:36" x14ac:dyDescent="0.2">
      <c r="B3433" s="352"/>
      <c r="C3433" s="352"/>
      <c r="D3433" s="352"/>
      <c r="E3433" s="352"/>
      <c r="F3433" s="352"/>
      <c r="H3433" s="352"/>
      <c r="J3433" s="352"/>
      <c r="L3433" s="352"/>
      <c r="M3433" s="352"/>
      <c r="N3433" s="352"/>
      <c r="O3433" s="352"/>
      <c r="P3433" s="352"/>
      <c r="Q3433" s="352"/>
      <c r="R3433" s="352"/>
      <c r="S3433" s="352"/>
      <c r="T3433" s="352"/>
      <c r="U3433" s="352"/>
      <c r="V3433" s="352"/>
      <c r="W3433" s="352"/>
      <c r="X3433" s="352"/>
      <c r="Y3433" s="352"/>
      <c r="Z3433" s="352"/>
      <c r="AA3433" s="352"/>
      <c r="AB3433" s="352"/>
      <c r="AC3433" s="352"/>
      <c r="AD3433" s="352"/>
      <c r="AE3433" s="352"/>
      <c r="AF3433" s="352"/>
      <c r="AG3433" s="352"/>
      <c r="AH3433" s="352"/>
      <c r="AI3433" s="352"/>
      <c r="AJ3433" s="352"/>
    </row>
    <row r="3434" spans="2:36" x14ac:dyDescent="0.2">
      <c r="B3434" s="352"/>
      <c r="C3434" s="352"/>
      <c r="D3434" s="352"/>
      <c r="E3434" s="352"/>
      <c r="F3434" s="352"/>
      <c r="H3434" s="352"/>
      <c r="J3434" s="352"/>
      <c r="L3434" s="352"/>
      <c r="M3434" s="352"/>
      <c r="N3434" s="352"/>
      <c r="O3434" s="352"/>
      <c r="P3434" s="352"/>
      <c r="Q3434" s="352"/>
      <c r="R3434" s="352"/>
      <c r="S3434" s="352"/>
      <c r="T3434" s="352"/>
      <c r="U3434" s="352"/>
      <c r="V3434" s="352"/>
      <c r="W3434" s="352"/>
      <c r="X3434" s="352"/>
      <c r="Y3434" s="352"/>
      <c r="Z3434" s="352"/>
      <c r="AA3434" s="352"/>
      <c r="AB3434" s="352"/>
      <c r="AC3434" s="352"/>
      <c r="AD3434" s="352"/>
      <c r="AE3434" s="352"/>
      <c r="AF3434" s="352"/>
      <c r="AG3434" s="352"/>
      <c r="AH3434" s="352"/>
      <c r="AI3434" s="352"/>
      <c r="AJ3434" s="352"/>
    </row>
    <row r="3435" spans="2:36" x14ac:dyDescent="0.2">
      <c r="B3435" s="352"/>
      <c r="C3435" s="352"/>
      <c r="D3435" s="352"/>
      <c r="E3435" s="352"/>
      <c r="F3435" s="352"/>
      <c r="H3435" s="352"/>
      <c r="J3435" s="352"/>
      <c r="L3435" s="352"/>
      <c r="M3435" s="352"/>
      <c r="N3435" s="352"/>
      <c r="O3435" s="352"/>
      <c r="P3435" s="352"/>
      <c r="Q3435" s="352"/>
      <c r="R3435" s="352"/>
      <c r="S3435" s="352"/>
      <c r="T3435" s="352"/>
      <c r="U3435" s="352"/>
      <c r="V3435" s="352"/>
      <c r="W3435" s="352"/>
      <c r="X3435" s="352"/>
      <c r="Y3435" s="352"/>
      <c r="Z3435" s="352"/>
      <c r="AA3435" s="352"/>
      <c r="AB3435" s="352"/>
      <c r="AC3435" s="352"/>
      <c r="AD3435" s="352"/>
      <c r="AE3435" s="352"/>
      <c r="AF3435" s="352"/>
      <c r="AG3435" s="352"/>
      <c r="AH3435" s="352"/>
      <c r="AI3435" s="352"/>
      <c r="AJ3435" s="352"/>
    </row>
    <row r="3436" spans="2:36" x14ac:dyDescent="0.2">
      <c r="B3436" s="352"/>
      <c r="C3436" s="352"/>
      <c r="D3436" s="352"/>
      <c r="E3436" s="352"/>
      <c r="F3436" s="352"/>
      <c r="H3436" s="352"/>
      <c r="J3436" s="352"/>
      <c r="L3436" s="352"/>
      <c r="M3436" s="352"/>
      <c r="N3436" s="352"/>
      <c r="O3436" s="352"/>
      <c r="P3436" s="352"/>
      <c r="Q3436" s="352"/>
      <c r="R3436" s="352"/>
      <c r="S3436" s="352"/>
      <c r="T3436" s="352"/>
      <c r="U3436" s="352"/>
      <c r="V3436" s="352"/>
      <c r="W3436" s="352"/>
      <c r="X3436" s="352"/>
      <c r="Y3436" s="352"/>
      <c r="Z3436" s="352"/>
      <c r="AA3436" s="352"/>
      <c r="AB3436" s="352"/>
      <c r="AC3436" s="352"/>
      <c r="AD3436" s="352"/>
      <c r="AE3436" s="352"/>
      <c r="AF3436" s="352"/>
      <c r="AG3436" s="352"/>
      <c r="AH3436" s="352"/>
      <c r="AI3436" s="352"/>
      <c r="AJ3436" s="352"/>
    </row>
    <row r="3437" spans="2:36" x14ac:dyDescent="0.2">
      <c r="B3437" s="352"/>
      <c r="C3437" s="352"/>
      <c r="D3437" s="352"/>
      <c r="E3437" s="352"/>
      <c r="F3437" s="352"/>
      <c r="H3437" s="352"/>
      <c r="J3437" s="352"/>
      <c r="L3437" s="352"/>
      <c r="M3437" s="352"/>
      <c r="N3437" s="352"/>
      <c r="O3437" s="352"/>
      <c r="P3437" s="352"/>
      <c r="Q3437" s="352"/>
      <c r="R3437" s="352"/>
      <c r="S3437" s="352"/>
      <c r="T3437" s="352"/>
      <c r="U3437" s="352"/>
      <c r="V3437" s="352"/>
      <c r="W3437" s="352"/>
      <c r="X3437" s="352"/>
      <c r="Y3437" s="352"/>
      <c r="Z3437" s="352"/>
      <c r="AA3437" s="352"/>
      <c r="AB3437" s="352"/>
      <c r="AC3437" s="352"/>
      <c r="AD3437" s="352"/>
      <c r="AE3437" s="352"/>
      <c r="AF3437" s="352"/>
      <c r="AG3437" s="352"/>
      <c r="AH3437" s="352"/>
      <c r="AI3437" s="352"/>
      <c r="AJ3437" s="352"/>
    </row>
    <row r="3438" spans="2:36" x14ac:dyDescent="0.2">
      <c r="B3438" s="352"/>
      <c r="C3438" s="352"/>
      <c r="D3438" s="352"/>
      <c r="E3438" s="352"/>
      <c r="F3438" s="352"/>
      <c r="H3438" s="352"/>
      <c r="J3438" s="352"/>
      <c r="L3438" s="352"/>
      <c r="M3438" s="352"/>
      <c r="N3438" s="352"/>
      <c r="O3438" s="352"/>
      <c r="P3438" s="352"/>
      <c r="Q3438" s="352"/>
      <c r="R3438" s="352"/>
      <c r="S3438" s="352"/>
      <c r="T3438" s="352"/>
      <c r="U3438" s="352"/>
      <c r="V3438" s="352"/>
      <c r="W3438" s="352"/>
      <c r="X3438" s="352"/>
      <c r="Y3438" s="352"/>
      <c r="Z3438" s="352"/>
      <c r="AA3438" s="352"/>
      <c r="AB3438" s="352"/>
      <c r="AC3438" s="352"/>
      <c r="AD3438" s="352"/>
      <c r="AE3438" s="352"/>
      <c r="AF3438" s="352"/>
      <c r="AG3438" s="352"/>
      <c r="AH3438" s="352"/>
      <c r="AI3438" s="352"/>
      <c r="AJ3438" s="352"/>
    </row>
    <row r="3439" spans="2:36" x14ac:dyDescent="0.2">
      <c r="B3439" s="352"/>
      <c r="C3439" s="352"/>
      <c r="D3439" s="352"/>
      <c r="E3439" s="352"/>
      <c r="F3439" s="352"/>
      <c r="H3439" s="352"/>
      <c r="J3439" s="352"/>
      <c r="L3439" s="352"/>
      <c r="M3439" s="352"/>
      <c r="N3439" s="352"/>
      <c r="O3439" s="352"/>
      <c r="P3439" s="352"/>
      <c r="Q3439" s="352"/>
      <c r="R3439" s="352"/>
      <c r="S3439" s="352"/>
      <c r="T3439" s="352"/>
      <c r="U3439" s="352"/>
      <c r="V3439" s="352"/>
      <c r="W3439" s="352"/>
      <c r="X3439" s="352"/>
      <c r="Y3439" s="352"/>
      <c r="Z3439" s="352"/>
      <c r="AA3439" s="352"/>
      <c r="AB3439" s="352"/>
      <c r="AC3439" s="352"/>
      <c r="AD3439" s="352"/>
      <c r="AE3439" s="352"/>
      <c r="AF3439" s="352"/>
      <c r="AG3439" s="352"/>
      <c r="AH3439" s="352"/>
      <c r="AI3439" s="352"/>
      <c r="AJ3439" s="352"/>
    </row>
    <row r="3440" spans="2:36" x14ac:dyDescent="0.2">
      <c r="B3440" s="352"/>
      <c r="C3440" s="352"/>
      <c r="D3440" s="352"/>
      <c r="E3440" s="352"/>
      <c r="F3440" s="352"/>
      <c r="H3440" s="352"/>
      <c r="J3440" s="352"/>
      <c r="L3440" s="352"/>
      <c r="M3440" s="352"/>
      <c r="N3440" s="352"/>
      <c r="O3440" s="352"/>
      <c r="P3440" s="352"/>
      <c r="Q3440" s="352"/>
      <c r="R3440" s="352"/>
      <c r="S3440" s="352"/>
      <c r="T3440" s="352"/>
      <c r="U3440" s="352"/>
      <c r="V3440" s="352"/>
      <c r="W3440" s="352"/>
      <c r="X3440" s="352"/>
      <c r="Y3440" s="352"/>
      <c r="Z3440" s="352"/>
      <c r="AA3440" s="352"/>
      <c r="AB3440" s="352"/>
      <c r="AC3440" s="352"/>
      <c r="AD3440" s="352"/>
      <c r="AE3440" s="352"/>
      <c r="AF3440" s="352"/>
      <c r="AG3440" s="352"/>
      <c r="AH3440" s="352"/>
      <c r="AI3440" s="352"/>
      <c r="AJ3440" s="352"/>
    </row>
    <row r="3441" spans="2:36" x14ac:dyDescent="0.2">
      <c r="B3441" s="352"/>
      <c r="C3441" s="352"/>
      <c r="D3441" s="352"/>
      <c r="E3441" s="352"/>
      <c r="F3441" s="352"/>
      <c r="H3441" s="352"/>
      <c r="J3441" s="352"/>
      <c r="L3441" s="352"/>
      <c r="M3441" s="352"/>
      <c r="N3441" s="352"/>
      <c r="O3441" s="352"/>
      <c r="P3441" s="352"/>
      <c r="Q3441" s="352"/>
      <c r="R3441" s="352"/>
      <c r="S3441" s="352"/>
      <c r="T3441" s="352"/>
      <c r="U3441" s="352"/>
      <c r="V3441" s="352"/>
      <c r="W3441" s="352"/>
      <c r="X3441" s="352"/>
      <c r="Y3441" s="352"/>
      <c r="Z3441" s="352"/>
      <c r="AA3441" s="352"/>
      <c r="AB3441" s="352"/>
      <c r="AC3441" s="352"/>
      <c r="AD3441" s="352"/>
      <c r="AE3441" s="352"/>
      <c r="AF3441" s="352"/>
      <c r="AG3441" s="352"/>
      <c r="AH3441" s="352"/>
      <c r="AI3441" s="352"/>
      <c r="AJ3441" s="352"/>
    </row>
    <row r="3442" spans="2:36" x14ac:dyDescent="0.2">
      <c r="B3442" s="352"/>
      <c r="C3442" s="352"/>
      <c r="D3442" s="352"/>
      <c r="E3442" s="352"/>
      <c r="F3442" s="352"/>
      <c r="H3442" s="352"/>
      <c r="J3442" s="352"/>
      <c r="L3442" s="352"/>
      <c r="M3442" s="352"/>
      <c r="N3442" s="352"/>
      <c r="O3442" s="352"/>
      <c r="P3442" s="352"/>
      <c r="Q3442" s="352"/>
      <c r="R3442" s="352"/>
      <c r="S3442" s="352"/>
      <c r="T3442" s="352"/>
      <c r="U3442" s="352"/>
      <c r="V3442" s="352"/>
      <c r="W3442" s="352"/>
      <c r="X3442" s="352"/>
      <c r="Y3442" s="352"/>
      <c r="Z3442" s="352"/>
      <c r="AA3442" s="352"/>
      <c r="AB3442" s="352"/>
      <c r="AC3442" s="352"/>
      <c r="AD3442" s="352"/>
      <c r="AE3442" s="352"/>
      <c r="AF3442" s="352"/>
      <c r="AG3442" s="352"/>
      <c r="AH3442" s="352"/>
      <c r="AI3442" s="352"/>
      <c r="AJ3442" s="352"/>
    </row>
    <row r="3443" spans="2:36" x14ac:dyDescent="0.2">
      <c r="B3443" s="352"/>
      <c r="C3443" s="352"/>
      <c r="D3443" s="352"/>
      <c r="E3443" s="352"/>
      <c r="F3443" s="352"/>
      <c r="H3443" s="352"/>
      <c r="J3443" s="352"/>
      <c r="L3443" s="352"/>
      <c r="M3443" s="352"/>
      <c r="N3443" s="352"/>
      <c r="O3443" s="352"/>
      <c r="P3443" s="352"/>
      <c r="Q3443" s="352"/>
      <c r="R3443" s="352"/>
      <c r="S3443" s="352"/>
      <c r="T3443" s="352"/>
      <c r="U3443" s="352"/>
      <c r="V3443" s="352"/>
      <c r="W3443" s="352"/>
      <c r="X3443" s="352"/>
      <c r="Y3443" s="352"/>
      <c r="Z3443" s="352"/>
      <c r="AA3443" s="352"/>
      <c r="AB3443" s="352"/>
      <c r="AC3443" s="352"/>
      <c r="AD3443" s="352"/>
      <c r="AE3443" s="352"/>
      <c r="AF3443" s="352"/>
      <c r="AG3443" s="352"/>
      <c r="AH3443" s="352"/>
      <c r="AI3443" s="352"/>
      <c r="AJ3443" s="352"/>
    </row>
    <row r="3444" spans="2:36" x14ac:dyDescent="0.2">
      <c r="B3444" s="352"/>
      <c r="C3444" s="352"/>
      <c r="D3444" s="352"/>
      <c r="E3444" s="352"/>
      <c r="F3444" s="352"/>
      <c r="H3444" s="352"/>
      <c r="J3444" s="352"/>
      <c r="L3444" s="352"/>
      <c r="M3444" s="352"/>
      <c r="N3444" s="352"/>
      <c r="O3444" s="352"/>
      <c r="P3444" s="352"/>
      <c r="Q3444" s="352"/>
      <c r="R3444" s="352"/>
      <c r="S3444" s="352"/>
      <c r="T3444" s="352"/>
      <c r="U3444" s="352"/>
      <c r="V3444" s="352"/>
      <c r="W3444" s="352"/>
      <c r="X3444" s="352"/>
      <c r="Y3444" s="352"/>
      <c r="Z3444" s="352"/>
      <c r="AA3444" s="352"/>
      <c r="AB3444" s="352"/>
      <c r="AC3444" s="352"/>
      <c r="AD3444" s="352"/>
      <c r="AE3444" s="352"/>
      <c r="AF3444" s="352"/>
      <c r="AG3444" s="352"/>
      <c r="AH3444" s="352"/>
      <c r="AI3444" s="352"/>
      <c r="AJ3444" s="352"/>
    </row>
    <row r="3445" spans="2:36" x14ac:dyDescent="0.2">
      <c r="B3445" s="352"/>
      <c r="C3445" s="352"/>
      <c r="D3445" s="352"/>
      <c r="E3445" s="352"/>
      <c r="F3445" s="352"/>
      <c r="H3445" s="352"/>
      <c r="J3445" s="352"/>
      <c r="L3445" s="352"/>
      <c r="M3445" s="352"/>
      <c r="N3445" s="352"/>
      <c r="O3445" s="352"/>
      <c r="P3445" s="352"/>
      <c r="Q3445" s="352"/>
      <c r="R3445" s="352"/>
      <c r="S3445" s="352"/>
      <c r="T3445" s="352"/>
      <c r="U3445" s="352"/>
      <c r="V3445" s="352"/>
      <c r="W3445" s="352"/>
      <c r="X3445" s="352"/>
      <c r="Y3445" s="352"/>
      <c r="Z3445" s="352"/>
      <c r="AA3445" s="352"/>
      <c r="AB3445" s="352"/>
      <c r="AC3445" s="352"/>
      <c r="AD3445" s="352"/>
      <c r="AE3445" s="352"/>
      <c r="AF3445" s="352"/>
      <c r="AG3445" s="352"/>
      <c r="AH3445" s="352"/>
      <c r="AI3445" s="352"/>
      <c r="AJ3445" s="352"/>
    </row>
    <row r="3446" spans="2:36" x14ac:dyDescent="0.2">
      <c r="B3446" s="352"/>
      <c r="C3446" s="352"/>
      <c r="D3446" s="352"/>
      <c r="E3446" s="352"/>
      <c r="F3446" s="352"/>
      <c r="H3446" s="352"/>
      <c r="J3446" s="352"/>
      <c r="L3446" s="352"/>
      <c r="M3446" s="352"/>
      <c r="N3446" s="352"/>
      <c r="O3446" s="352"/>
      <c r="P3446" s="352"/>
      <c r="Q3446" s="352"/>
      <c r="R3446" s="352"/>
      <c r="S3446" s="352"/>
      <c r="T3446" s="352"/>
      <c r="U3446" s="352"/>
      <c r="V3446" s="352"/>
      <c r="W3446" s="352"/>
      <c r="X3446" s="352"/>
      <c r="Y3446" s="352"/>
      <c r="Z3446" s="352"/>
      <c r="AA3446" s="352"/>
      <c r="AB3446" s="352"/>
      <c r="AC3446" s="352"/>
      <c r="AD3446" s="352"/>
      <c r="AE3446" s="352"/>
      <c r="AF3446" s="352"/>
      <c r="AG3446" s="352"/>
      <c r="AH3446" s="352"/>
      <c r="AI3446" s="352"/>
      <c r="AJ3446" s="352"/>
    </row>
    <row r="3447" spans="2:36" x14ac:dyDescent="0.2">
      <c r="B3447" s="352"/>
      <c r="C3447" s="352"/>
      <c r="D3447" s="352"/>
      <c r="E3447" s="352"/>
      <c r="F3447" s="352"/>
      <c r="H3447" s="352"/>
      <c r="J3447" s="352"/>
      <c r="L3447" s="352"/>
      <c r="M3447" s="352"/>
      <c r="N3447" s="352"/>
      <c r="O3447" s="352"/>
      <c r="P3447" s="352"/>
      <c r="Q3447" s="352"/>
      <c r="R3447" s="352"/>
      <c r="S3447" s="352"/>
      <c r="T3447" s="352"/>
      <c r="U3447" s="352"/>
      <c r="V3447" s="352"/>
      <c r="W3447" s="352"/>
      <c r="X3447" s="352"/>
      <c r="Y3447" s="352"/>
      <c r="Z3447" s="352"/>
      <c r="AA3447" s="352"/>
      <c r="AB3447" s="352"/>
      <c r="AC3447" s="352"/>
      <c r="AD3447" s="352"/>
      <c r="AE3447" s="352"/>
      <c r="AF3447" s="352"/>
      <c r="AG3447" s="352"/>
      <c r="AH3447" s="352"/>
      <c r="AI3447" s="352"/>
      <c r="AJ3447" s="352"/>
    </row>
    <row r="3448" spans="2:36" x14ac:dyDescent="0.2">
      <c r="B3448" s="352"/>
      <c r="C3448" s="352"/>
      <c r="D3448" s="352"/>
      <c r="E3448" s="352"/>
      <c r="F3448" s="352"/>
      <c r="H3448" s="352"/>
      <c r="J3448" s="352"/>
      <c r="L3448" s="352"/>
      <c r="M3448" s="352"/>
      <c r="N3448" s="352"/>
      <c r="O3448" s="352"/>
      <c r="P3448" s="352"/>
      <c r="Q3448" s="352"/>
      <c r="R3448" s="352"/>
      <c r="S3448" s="352"/>
      <c r="T3448" s="352"/>
      <c r="U3448" s="352"/>
      <c r="V3448" s="352"/>
      <c r="W3448" s="352"/>
      <c r="X3448" s="352"/>
      <c r="Y3448" s="352"/>
      <c r="Z3448" s="352"/>
      <c r="AA3448" s="352"/>
      <c r="AB3448" s="352"/>
      <c r="AC3448" s="352"/>
      <c r="AD3448" s="352"/>
      <c r="AE3448" s="352"/>
      <c r="AF3448" s="352"/>
      <c r="AG3448" s="352"/>
      <c r="AH3448" s="352"/>
      <c r="AI3448" s="352"/>
      <c r="AJ3448" s="352"/>
    </row>
    <row r="3449" spans="2:36" x14ac:dyDescent="0.2">
      <c r="B3449" s="352"/>
      <c r="C3449" s="352"/>
      <c r="D3449" s="352"/>
      <c r="E3449" s="352"/>
      <c r="F3449" s="352"/>
      <c r="H3449" s="352"/>
      <c r="J3449" s="352"/>
      <c r="L3449" s="352"/>
      <c r="M3449" s="352"/>
      <c r="N3449" s="352"/>
      <c r="O3449" s="352"/>
      <c r="P3449" s="352"/>
      <c r="Q3449" s="352"/>
      <c r="R3449" s="352"/>
      <c r="S3449" s="352"/>
      <c r="T3449" s="352"/>
      <c r="U3449" s="352"/>
      <c r="V3449" s="352"/>
      <c r="W3449" s="352"/>
      <c r="X3449" s="352"/>
      <c r="Y3449" s="352"/>
      <c r="Z3449" s="352"/>
      <c r="AA3449" s="352"/>
      <c r="AB3449" s="352"/>
      <c r="AC3449" s="352"/>
      <c r="AD3449" s="352"/>
      <c r="AE3449" s="352"/>
      <c r="AF3449" s="352"/>
      <c r="AG3449" s="352"/>
      <c r="AH3449" s="352"/>
      <c r="AI3449" s="352"/>
      <c r="AJ3449" s="352"/>
    </row>
    <row r="3450" spans="2:36" x14ac:dyDescent="0.2">
      <c r="B3450" s="352"/>
      <c r="C3450" s="352"/>
      <c r="D3450" s="352"/>
      <c r="E3450" s="352"/>
      <c r="F3450" s="352"/>
      <c r="H3450" s="352"/>
      <c r="J3450" s="352"/>
      <c r="L3450" s="352"/>
      <c r="M3450" s="352"/>
      <c r="N3450" s="352"/>
      <c r="O3450" s="352"/>
      <c r="P3450" s="352"/>
      <c r="Q3450" s="352"/>
      <c r="R3450" s="352"/>
      <c r="S3450" s="352"/>
      <c r="T3450" s="352"/>
      <c r="U3450" s="352"/>
      <c r="V3450" s="352"/>
      <c r="W3450" s="352"/>
      <c r="X3450" s="352"/>
      <c r="Y3450" s="352"/>
      <c r="Z3450" s="352"/>
      <c r="AA3450" s="352"/>
      <c r="AB3450" s="352"/>
      <c r="AC3450" s="352"/>
      <c r="AD3450" s="352"/>
      <c r="AE3450" s="352"/>
      <c r="AF3450" s="352"/>
      <c r="AG3450" s="352"/>
      <c r="AH3450" s="352"/>
      <c r="AI3450" s="352"/>
      <c r="AJ3450" s="352"/>
    </row>
    <row r="3451" spans="2:36" x14ac:dyDescent="0.2">
      <c r="B3451" s="352"/>
      <c r="C3451" s="352"/>
      <c r="D3451" s="352"/>
      <c r="E3451" s="352"/>
      <c r="F3451" s="352"/>
      <c r="H3451" s="352"/>
      <c r="J3451" s="352"/>
      <c r="L3451" s="352"/>
      <c r="M3451" s="352"/>
      <c r="N3451" s="352"/>
      <c r="O3451" s="352"/>
      <c r="P3451" s="352"/>
      <c r="Q3451" s="352"/>
      <c r="R3451" s="352"/>
      <c r="S3451" s="352"/>
      <c r="T3451" s="352"/>
      <c r="U3451" s="352"/>
      <c r="V3451" s="352"/>
      <c r="W3451" s="352"/>
      <c r="X3451" s="352"/>
      <c r="Y3451" s="352"/>
      <c r="Z3451" s="352"/>
      <c r="AA3451" s="352"/>
      <c r="AB3451" s="352"/>
      <c r="AC3451" s="352"/>
      <c r="AD3451" s="352"/>
      <c r="AE3451" s="352"/>
      <c r="AF3451" s="352"/>
      <c r="AG3451" s="352"/>
      <c r="AH3451" s="352"/>
      <c r="AI3451" s="352"/>
      <c r="AJ3451" s="352"/>
    </row>
    <row r="3452" spans="2:36" x14ac:dyDescent="0.2">
      <c r="B3452" s="352"/>
      <c r="C3452" s="352"/>
      <c r="D3452" s="352"/>
      <c r="E3452" s="352"/>
      <c r="F3452" s="352"/>
      <c r="H3452" s="352"/>
      <c r="J3452" s="352"/>
      <c r="L3452" s="352"/>
      <c r="M3452" s="352"/>
      <c r="N3452" s="352"/>
      <c r="O3452" s="352"/>
      <c r="P3452" s="352"/>
      <c r="Q3452" s="352"/>
      <c r="R3452" s="352"/>
      <c r="S3452" s="352"/>
      <c r="T3452" s="352"/>
      <c r="U3452" s="352"/>
      <c r="V3452" s="352"/>
      <c r="W3452" s="352"/>
      <c r="X3452" s="352"/>
      <c r="Y3452" s="352"/>
      <c r="Z3452" s="352"/>
      <c r="AA3452" s="352"/>
      <c r="AB3452" s="352"/>
      <c r="AC3452" s="352"/>
      <c r="AD3452" s="352"/>
      <c r="AE3452" s="352"/>
      <c r="AF3452" s="352"/>
      <c r="AG3452" s="352"/>
      <c r="AH3452" s="352"/>
      <c r="AI3452" s="352"/>
      <c r="AJ3452" s="352"/>
    </row>
    <row r="3453" spans="2:36" x14ac:dyDescent="0.2">
      <c r="B3453" s="352"/>
      <c r="C3453" s="352"/>
      <c r="D3453" s="352"/>
      <c r="E3453" s="352"/>
      <c r="F3453" s="352"/>
      <c r="H3453" s="352"/>
      <c r="J3453" s="352"/>
      <c r="L3453" s="352"/>
      <c r="M3453" s="352"/>
      <c r="N3453" s="352"/>
      <c r="O3453" s="352"/>
      <c r="P3453" s="352"/>
      <c r="Q3453" s="352"/>
      <c r="R3453" s="352"/>
      <c r="S3453" s="352"/>
      <c r="T3453" s="352"/>
      <c r="U3453" s="352"/>
      <c r="V3453" s="352"/>
      <c r="W3453" s="352"/>
      <c r="X3453" s="352"/>
      <c r="Y3453" s="352"/>
      <c r="Z3453" s="352"/>
      <c r="AA3453" s="352"/>
      <c r="AB3453" s="352"/>
      <c r="AC3453" s="352"/>
      <c r="AD3453" s="352"/>
      <c r="AE3453" s="352"/>
      <c r="AF3453" s="352"/>
      <c r="AG3453" s="352"/>
      <c r="AH3453" s="352"/>
      <c r="AI3453" s="352"/>
      <c r="AJ3453" s="352"/>
    </row>
    <row r="3454" spans="2:36" x14ac:dyDescent="0.2">
      <c r="B3454" s="352"/>
      <c r="C3454" s="352"/>
      <c r="D3454" s="352"/>
      <c r="E3454" s="352"/>
      <c r="F3454" s="352"/>
      <c r="H3454" s="352"/>
      <c r="J3454" s="352"/>
      <c r="L3454" s="352"/>
      <c r="M3454" s="352"/>
      <c r="N3454" s="352"/>
      <c r="O3454" s="352"/>
      <c r="P3454" s="352"/>
      <c r="Q3454" s="352"/>
      <c r="R3454" s="352"/>
      <c r="S3454" s="352"/>
      <c r="T3454" s="352"/>
      <c r="U3454" s="352"/>
      <c r="V3454" s="352"/>
      <c r="W3454" s="352"/>
      <c r="X3454" s="352"/>
      <c r="Y3454" s="352"/>
      <c r="Z3454" s="352"/>
      <c r="AA3454" s="352"/>
      <c r="AB3454" s="352"/>
      <c r="AC3454" s="352"/>
      <c r="AD3454" s="352"/>
      <c r="AE3454" s="352"/>
      <c r="AF3454" s="352"/>
      <c r="AG3454" s="352"/>
      <c r="AH3454" s="352"/>
      <c r="AI3454" s="352"/>
      <c r="AJ3454" s="352"/>
    </row>
    <row r="3455" spans="2:36" x14ac:dyDescent="0.2">
      <c r="B3455" s="352"/>
      <c r="C3455" s="352"/>
      <c r="D3455" s="352"/>
      <c r="E3455" s="352"/>
      <c r="F3455" s="352"/>
      <c r="H3455" s="352"/>
      <c r="J3455" s="352"/>
      <c r="L3455" s="352"/>
      <c r="M3455" s="352"/>
      <c r="N3455" s="352"/>
      <c r="O3455" s="352"/>
      <c r="P3455" s="352"/>
      <c r="Q3455" s="352"/>
      <c r="R3455" s="352"/>
      <c r="S3455" s="352"/>
      <c r="T3455" s="352"/>
      <c r="U3455" s="352"/>
      <c r="V3455" s="352"/>
      <c r="W3455" s="352"/>
      <c r="X3455" s="352"/>
      <c r="Y3455" s="352"/>
      <c r="Z3455" s="352"/>
      <c r="AA3455" s="352"/>
      <c r="AB3455" s="352"/>
      <c r="AC3455" s="352"/>
      <c r="AD3455" s="352"/>
      <c r="AE3455" s="352"/>
      <c r="AF3455" s="352"/>
      <c r="AG3455" s="352"/>
      <c r="AH3455" s="352"/>
      <c r="AI3455" s="352"/>
      <c r="AJ3455" s="352"/>
    </row>
    <row r="3456" spans="2:36" x14ac:dyDescent="0.2">
      <c r="B3456" s="352"/>
      <c r="C3456" s="352"/>
      <c r="D3456" s="352"/>
      <c r="E3456" s="352"/>
      <c r="F3456" s="352"/>
      <c r="H3456" s="352"/>
      <c r="J3456" s="352"/>
      <c r="L3456" s="352"/>
      <c r="M3456" s="352"/>
      <c r="N3456" s="352"/>
      <c r="O3456" s="352"/>
      <c r="P3456" s="352"/>
      <c r="Q3456" s="352"/>
      <c r="R3456" s="352"/>
      <c r="S3456" s="352"/>
      <c r="T3456" s="352"/>
      <c r="U3456" s="352"/>
      <c r="V3456" s="352"/>
      <c r="W3456" s="352"/>
      <c r="X3456" s="352"/>
      <c r="Y3456" s="352"/>
      <c r="Z3456" s="352"/>
      <c r="AA3456" s="352"/>
      <c r="AB3456" s="352"/>
      <c r="AC3456" s="352"/>
      <c r="AD3456" s="352"/>
      <c r="AE3456" s="352"/>
      <c r="AF3456" s="352"/>
      <c r="AG3456" s="352"/>
      <c r="AH3456" s="352"/>
      <c r="AI3456" s="352"/>
      <c r="AJ3456" s="352"/>
    </row>
    <row r="3457" spans="2:36" x14ac:dyDescent="0.2">
      <c r="B3457" s="352"/>
      <c r="C3457" s="352"/>
      <c r="D3457" s="352"/>
      <c r="E3457" s="352"/>
      <c r="F3457" s="352"/>
      <c r="H3457" s="352"/>
      <c r="J3457" s="352"/>
      <c r="L3457" s="352"/>
      <c r="M3457" s="352"/>
      <c r="N3457" s="352"/>
      <c r="O3457" s="352"/>
      <c r="P3457" s="352"/>
      <c r="Q3457" s="352"/>
      <c r="R3457" s="352"/>
      <c r="S3457" s="352"/>
      <c r="T3457" s="352"/>
      <c r="U3457" s="352"/>
      <c r="V3457" s="352"/>
      <c r="W3457" s="352"/>
      <c r="X3457" s="352"/>
      <c r="Y3457" s="352"/>
      <c r="Z3457" s="352"/>
      <c r="AA3457" s="352"/>
      <c r="AB3457" s="352"/>
      <c r="AC3457" s="352"/>
      <c r="AD3457" s="352"/>
      <c r="AE3457" s="352"/>
      <c r="AF3457" s="352"/>
      <c r="AG3457" s="352"/>
      <c r="AH3457" s="352"/>
      <c r="AI3457" s="352"/>
      <c r="AJ3457" s="352"/>
    </row>
    <row r="3458" spans="2:36" x14ac:dyDescent="0.2">
      <c r="B3458" s="352"/>
      <c r="C3458" s="352"/>
      <c r="D3458" s="352"/>
      <c r="E3458" s="352"/>
      <c r="F3458" s="352"/>
      <c r="H3458" s="352"/>
      <c r="J3458" s="352"/>
      <c r="L3458" s="352"/>
      <c r="M3458" s="352"/>
      <c r="N3458" s="352"/>
      <c r="O3458" s="352"/>
      <c r="P3458" s="352"/>
      <c r="Q3458" s="352"/>
      <c r="R3458" s="352"/>
      <c r="S3458" s="352"/>
      <c r="T3458" s="352"/>
      <c r="U3458" s="352"/>
      <c r="V3458" s="352"/>
      <c r="W3458" s="352"/>
      <c r="X3458" s="352"/>
      <c r="Y3458" s="352"/>
      <c r="Z3458" s="352"/>
      <c r="AA3458" s="352"/>
      <c r="AB3458" s="352"/>
      <c r="AC3458" s="352"/>
      <c r="AD3458" s="352"/>
      <c r="AE3458" s="352"/>
      <c r="AF3458" s="352"/>
      <c r="AG3458" s="352"/>
      <c r="AH3458" s="352"/>
      <c r="AI3458" s="352"/>
      <c r="AJ3458" s="352"/>
    </row>
    <row r="3459" spans="2:36" x14ac:dyDescent="0.2">
      <c r="B3459" s="352"/>
      <c r="C3459" s="352"/>
      <c r="D3459" s="352"/>
      <c r="E3459" s="352"/>
      <c r="F3459" s="352"/>
      <c r="H3459" s="352"/>
      <c r="J3459" s="352"/>
      <c r="L3459" s="352"/>
      <c r="M3459" s="352"/>
      <c r="N3459" s="352"/>
      <c r="O3459" s="352"/>
      <c r="P3459" s="352"/>
      <c r="Q3459" s="352"/>
      <c r="R3459" s="352"/>
      <c r="S3459" s="352"/>
      <c r="T3459" s="352"/>
      <c r="U3459" s="352"/>
      <c r="V3459" s="352"/>
      <c r="W3459" s="352"/>
      <c r="X3459" s="352"/>
      <c r="Y3459" s="352"/>
      <c r="Z3459" s="352"/>
      <c r="AA3459" s="352"/>
      <c r="AB3459" s="352"/>
      <c r="AC3459" s="352"/>
      <c r="AD3459" s="352"/>
      <c r="AE3459" s="352"/>
      <c r="AF3459" s="352"/>
      <c r="AG3459" s="352"/>
      <c r="AH3459" s="352"/>
      <c r="AI3459" s="352"/>
      <c r="AJ3459" s="352"/>
    </row>
    <row r="3460" spans="2:36" x14ac:dyDescent="0.2">
      <c r="B3460" s="352"/>
      <c r="C3460" s="352"/>
      <c r="D3460" s="352"/>
      <c r="E3460" s="352"/>
      <c r="F3460" s="352"/>
      <c r="H3460" s="352"/>
      <c r="J3460" s="352"/>
      <c r="L3460" s="352"/>
      <c r="M3460" s="352"/>
      <c r="N3460" s="352"/>
      <c r="O3460" s="352"/>
      <c r="P3460" s="352"/>
      <c r="Q3460" s="352"/>
      <c r="R3460" s="352"/>
      <c r="S3460" s="352"/>
      <c r="T3460" s="352"/>
      <c r="U3460" s="352"/>
      <c r="V3460" s="352"/>
      <c r="W3460" s="352"/>
      <c r="X3460" s="352"/>
      <c r="Y3460" s="352"/>
      <c r="Z3460" s="352"/>
      <c r="AA3460" s="352"/>
      <c r="AB3460" s="352"/>
      <c r="AC3460" s="352"/>
      <c r="AD3460" s="352"/>
      <c r="AE3460" s="352"/>
      <c r="AF3460" s="352"/>
      <c r="AG3460" s="352"/>
      <c r="AH3460" s="352"/>
      <c r="AI3460" s="352"/>
      <c r="AJ3460" s="352"/>
    </row>
    <row r="3461" spans="2:36" x14ac:dyDescent="0.2">
      <c r="B3461" s="352"/>
      <c r="C3461" s="352"/>
      <c r="D3461" s="352"/>
      <c r="E3461" s="352"/>
      <c r="F3461" s="352"/>
      <c r="H3461" s="352"/>
      <c r="J3461" s="352"/>
      <c r="L3461" s="352"/>
      <c r="M3461" s="352"/>
      <c r="N3461" s="352"/>
      <c r="O3461" s="352"/>
      <c r="P3461" s="352"/>
      <c r="Q3461" s="352"/>
      <c r="R3461" s="352"/>
      <c r="S3461" s="352"/>
      <c r="T3461" s="352"/>
      <c r="U3461" s="352"/>
      <c r="V3461" s="352"/>
      <c r="W3461" s="352"/>
      <c r="X3461" s="352"/>
      <c r="Y3461" s="352"/>
      <c r="Z3461" s="352"/>
      <c r="AA3461" s="352"/>
      <c r="AB3461" s="352"/>
      <c r="AC3461" s="352"/>
      <c r="AD3461" s="352"/>
      <c r="AE3461" s="352"/>
      <c r="AF3461" s="352"/>
      <c r="AG3461" s="352"/>
      <c r="AH3461" s="352"/>
      <c r="AI3461" s="352"/>
      <c r="AJ3461" s="352"/>
    </row>
    <row r="3462" spans="2:36" x14ac:dyDescent="0.2">
      <c r="B3462" s="352"/>
      <c r="C3462" s="352"/>
      <c r="D3462" s="352"/>
      <c r="E3462" s="352"/>
      <c r="F3462" s="352"/>
      <c r="H3462" s="352"/>
      <c r="J3462" s="352"/>
      <c r="L3462" s="352"/>
      <c r="M3462" s="352"/>
      <c r="N3462" s="352"/>
      <c r="O3462" s="352"/>
      <c r="P3462" s="352"/>
      <c r="Q3462" s="352"/>
      <c r="R3462" s="352"/>
      <c r="S3462" s="352"/>
      <c r="T3462" s="352"/>
      <c r="U3462" s="352"/>
      <c r="V3462" s="352"/>
      <c r="W3462" s="352"/>
      <c r="X3462" s="352"/>
      <c r="Y3462" s="352"/>
      <c r="Z3462" s="352"/>
      <c r="AA3462" s="352"/>
      <c r="AB3462" s="352"/>
      <c r="AC3462" s="352"/>
      <c r="AD3462" s="352"/>
      <c r="AE3462" s="352"/>
      <c r="AF3462" s="352"/>
      <c r="AG3462" s="352"/>
      <c r="AH3462" s="352"/>
      <c r="AI3462" s="352"/>
      <c r="AJ3462" s="352"/>
    </row>
    <row r="3463" spans="2:36" x14ac:dyDescent="0.2">
      <c r="B3463" s="352"/>
      <c r="C3463" s="352"/>
      <c r="D3463" s="352"/>
      <c r="E3463" s="352"/>
      <c r="F3463" s="352"/>
      <c r="H3463" s="352"/>
      <c r="J3463" s="352"/>
      <c r="L3463" s="352"/>
      <c r="M3463" s="352"/>
      <c r="N3463" s="352"/>
      <c r="O3463" s="352"/>
      <c r="P3463" s="352"/>
      <c r="Q3463" s="352"/>
      <c r="R3463" s="352"/>
      <c r="S3463" s="352"/>
      <c r="T3463" s="352"/>
      <c r="U3463" s="352"/>
      <c r="V3463" s="352"/>
      <c r="W3463" s="352"/>
      <c r="X3463" s="352"/>
      <c r="Y3463" s="352"/>
      <c r="Z3463" s="352"/>
      <c r="AA3463" s="352"/>
      <c r="AB3463" s="352"/>
      <c r="AC3463" s="352"/>
      <c r="AD3463" s="352"/>
      <c r="AE3463" s="352"/>
      <c r="AF3463" s="352"/>
      <c r="AG3463" s="352"/>
      <c r="AH3463" s="352"/>
      <c r="AI3463" s="352"/>
      <c r="AJ3463" s="352"/>
    </row>
    <row r="3464" spans="2:36" x14ac:dyDescent="0.2">
      <c r="B3464" s="352"/>
      <c r="C3464" s="352"/>
      <c r="D3464" s="352"/>
      <c r="E3464" s="352"/>
      <c r="F3464" s="352"/>
      <c r="H3464" s="352"/>
      <c r="J3464" s="352"/>
      <c r="L3464" s="352"/>
      <c r="M3464" s="352"/>
      <c r="N3464" s="352"/>
      <c r="O3464" s="352"/>
      <c r="P3464" s="352"/>
      <c r="Q3464" s="352"/>
      <c r="R3464" s="352"/>
      <c r="S3464" s="352"/>
      <c r="T3464" s="352"/>
      <c r="U3464" s="352"/>
      <c r="V3464" s="352"/>
      <c r="W3464" s="352"/>
      <c r="X3464" s="352"/>
      <c r="Y3464" s="352"/>
      <c r="Z3464" s="352"/>
      <c r="AA3464" s="352"/>
      <c r="AB3464" s="352"/>
      <c r="AC3464" s="352"/>
      <c r="AD3464" s="352"/>
      <c r="AE3464" s="352"/>
      <c r="AF3464" s="352"/>
      <c r="AG3464" s="352"/>
      <c r="AH3464" s="352"/>
      <c r="AI3464" s="352"/>
      <c r="AJ3464" s="352"/>
    </row>
    <row r="3465" spans="2:36" x14ac:dyDescent="0.2">
      <c r="B3465" s="352"/>
      <c r="C3465" s="352"/>
      <c r="D3465" s="352"/>
      <c r="E3465" s="352"/>
      <c r="F3465" s="352"/>
      <c r="H3465" s="352"/>
      <c r="J3465" s="352"/>
      <c r="L3465" s="352"/>
      <c r="M3465" s="352"/>
      <c r="N3465" s="352"/>
      <c r="O3465" s="352"/>
      <c r="P3465" s="352"/>
      <c r="Q3465" s="352"/>
      <c r="R3465" s="352"/>
      <c r="S3465" s="352"/>
      <c r="T3465" s="352"/>
      <c r="U3465" s="352"/>
      <c r="V3465" s="352"/>
      <c r="W3465" s="352"/>
      <c r="X3465" s="352"/>
      <c r="Y3465" s="352"/>
      <c r="Z3465" s="352"/>
      <c r="AA3465" s="352"/>
      <c r="AB3465" s="352"/>
      <c r="AC3465" s="352"/>
      <c r="AD3465" s="352"/>
      <c r="AE3465" s="352"/>
      <c r="AF3465" s="352"/>
      <c r="AG3465" s="352"/>
      <c r="AH3465" s="352"/>
      <c r="AI3465" s="352"/>
      <c r="AJ3465" s="352"/>
    </row>
    <row r="3466" spans="2:36" x14ac:dyDescent="0.2">
      <c r="B3466" s="352"/>
      <c r="C3466" s="352"/>
      <c r="D3466" s="352"/>
      <c r="E3466" s="352"/>
      <c r="F3466" s="352"/>
      <c r="H3466" s="352"/>
      <c r="J3466" s="352"/>
      <c r="L3466" s="352"/>
      <c r="M3466" s="352"/>
      <c r="N3466" s="352"/>
      <c r="O3466" s="352"/>
      <c r="P3466" s="352"/>
      <c r="Q3466" s="352"/>
      <c r="R3466" s="352"/>
      <c r="S3466" s="352"/>
      <c r="T3466" s="352"/>
      <c r="U3466" s="352"/>
      <c r="V3466" s="352"/>
      <c r="W3466" s="352"/>
      <c r="X3466" s="352"/>
      <c r="Y3466" s="352"/>
      <c r="Z3466" s="352"/>
      <c r="AA3466" s="352"/>
      <c r="AB3466" s="352"/>
      <c r="AC3466" s="352"/>
      <c r="AD3466" s="352"/>
      <c r="AE3466" s="352"/>
      <c r="AF3466" s="352"/>
      <c r="AG3466" s="352"/>
      <c r="AH3466" s="352"/>
      <c r="AI3466" s="352"/>
      <c r="AJ3466" s="352"/>
    </row>
    <row r="3467" spans="2:36" x14ac:dyDescent="0.2">
      <c r="B3467" s="352"/>
      <c r="C3467" s="352"/>
      <c r="D3467" s="352"/>
      <c r="E3467" s="352"/>
      <c r="F3467" s="352"/>
      <c r="H3467" s="352"/>
      <c r="J3467" s="352"/>
      <c r="L3467" s="352"/>
      <c r="M3467" s="352"/>
      <c r="N3467" s="352"/>
      <c r="O3467" s="352"/>
      <c r="P3467" s="352"/>
      <c r="Q3467" s="352"/>
      <c r="R3467" s="352"/>
      <c r="S3467" s="352"/>
      <c r="T3467" s="352"/>
      <c r="U3467" s="352"/>
      <c r="V3467" s="352"/>
      <c r="W3467" s="352"/>
      <c r="X3467" s="352"/>
      <c r="Y3467" s="352"/>
      <c r="Z3467" s="352"/>
      <c r="AA3467" s="352"/>
      <c r="AB3467" s="352"/>
      <c r="AC3467" s="352"/>
      <c r="AD3467" s="352"/>
      <c r="AE3467" s="352"/>
      <c r="AF3467" s="352"/>
      <c r="AG3467" s="352"/>
      <c r="AH3467" s="352"/>
      <c r="AI3467" s="352"/>
      <c r="AJ3467" s="352"/>
    </row>
    <row r="3468" spans="2:36" x14ac:dyDescent="0.2">
      <c r="B3468" s="352"/>
      <c r="C3468" s="352"/>
      <c r="D3468" s="352"/>
      <c r="E3468" s="352"/>
      <c r="F3468" s="352"/>
      <c r="H3468" s="352"/>
      <c r="J3468" s="352"/>
      <c r="L3468" s="352"/>
      <c r="M3468" s="352"/>
      <c r="N3468" s="352"/>
      <c r="O3468" s="352"/>
      <c r="P3468" s="352"/>
      <c r="Q3468" s="352"/>
      <c r="R3468" s="352"/>
      <c r="S3468" s="352"/>
      <c r="T3468" s="352"/>
      <c r="U3468" s="352"/>
      <c r="V3468" s="352"/>
      <c r="W3468" s="352"/>
      <c r="X3468" s="352"/>
      <c r="Y3468" s="352"/>
      <c r="Z3468" s="352"/>
      <c r="AA3468" s="352"/>
      <c r="AB3468" s="352"/>
      <c r="AC3468" s="352"/>
      <c r="AD3468" s="352"/>
      <c r="AE3468" s="352"/>
      <c r="AF3468" s="352"/>
      <c r="AG3468" s="352"/>
      <c r="AH3468" s="352"/>
      <c r="AI3468" s="352"/>
      <c r="AJ3468" s="352"/>
    </row>
    <row r="3469" spans="2:36" x14ac:dyDescent="0.2">
      <c r="B3469" s="352"/>
      <c r="C3469" s="352"/>
      <c r="D3469" s="352"/>
      <c r="E3469" s="352"/>
      <c r="F3469" s="352"/>
      <c r="H3469" s="352"/>
      <c r="J3469" s="352"/>
      <c r="L3469" s="352"/>
      <c r="M3469" s="352"/>
      <c r="N3469" s="352"/>
      <c r="O3469" s="352"/>
      <c r="P3469" s="352"/>
      <c r="Q3469" s="352"/>
      <c r="R3469" s="352"/>
      <c r="S3469" s="352"/>
      <c r="T3469" s="352"/>
      <c r="U3469" s="352"/>
      <c r="V3469" s="352"/>
      <c r="W3469" s="352"/>
      <c r="X3469" s="352"/>
      <c r="Y3469" s="352"/>
      <c r="Z3469" s="352"/>
      <c r="AA3469" s="352"/>
      <c r="AB3469" s="352"/>
      <c r="AC3469" s="352"/>
      <c r="AD3469" s="352"/>
      <c r="AE3469" s="352"/>
      <c r="AF3469" s="352"/>
      <c r="AG3469" s="352"/>
      <c r="AH3469" s="352"/>
      <c r="AI3469" s="352"/>
      <c r="AJ3469" s="352"/>
    </row>
    <row r="3470" spans="2:36" x14ac:dyDescent="0.2">
      <c r="B3470" s="352"/>
      <c r="C3470" s="352"/>
      <c r="D3470" s="352"/>
      <c r="E3470" s="352"/>
      <c r="F3470" s="352"/>
      <c r="H3470" s="352"/>
      <c r="J3470" s="352"/>
      <c r="L3470" s="352"/>
      <c r="M3470" s="352"/>
      <c r="N3470" s="352"/>
      <c r="O3470" s="352"/>
      <c r="P3470" s="352"/>
      <c r="Q3470" s="352"/>
      <c r="R3470" s="352"/>
      <c r="S3470" s="352"/>
      <c r="T3470" s="352"/>
      <c r="U3470" s="352"/>
      <c r="V3470" s="352"/>
      <c r="W3470" s="352"/>
      <c r="X3470" s="352"/>
      <c r="Y3470" s="352"/>
      <c r="Z3470" s="352"/>
      <c r="AA3470" s="352"/>
      <c r="AB3470" s="352"/>
      <c r="AC3470" s="352"/>
      <c r="AD3470" s="352"/>
      <c r="AE3470" s="352"/>
      <c r="AF3470" s="352"/>
      <c r="AG3470" s="352"/>
      <c r="AH3470" s="352"/>
      <c r="AI3470" s="352"/>
      <c r="AJ3470" s="352"/>
    </row>
    <row r="3471" spans="2:36" x14ac:dyDescent="0.2">
      <c r="B3471" s="352"/>
      <c r="C3471" s="352"/>
      <c r="D3471" s="352"/>
      <c r="E3471" s="352"/>
      <c r="F3471" s="352"/>
      <c r="H3471" s="352"/>
      <c r="J3471" s="352"/>
      <c r="L3471" s="352"/>
      <c r="M3471" s="352"/>
      <c r="N3471" s="352"/>
      <c r="O3471" s="352"/>
      <c r="P3471" s="352"/>
      <c r="Q3471" s="352"/>
      <c r="R3471" s="352"/>
      <c r="S3471" s="352"/>
      <c r="T3471" s="352"/>
      <c r="U3471" s="352"/>
      <c r="V3471" s="352"/>
      <c r="W3471" s="352"/>
      <c r="X3471" s="352"/>
      <c r="Y3471" s="352"/>
      <c r="Z3471" s="352"/>
      <c r="AA3471" s="352"/>
      <c r="AB3471" s="352"/>
      <c r="AC3471" s="352"/>
      <c r="AD3471" s="352"/>
      <c r="AE3471" s="352"/>
      <c r="AF3471" s="352"/>
      <c r="AG3471" s="352"/>
      <c r="AH3471" s="352"/>
      <c r="AI3471" s="352"/>
      <c r="AJ3471" s="352"/>
    </row>
    <row r="3472" spans="2:36" x14ac:dyDescent="0.2">
      <c r="B3472" s="352"/>
      <c r="C3472" s="352"/>
      <c r="D3472" s="352"/>
      <c r="E3472" s="352"/>
      <c r="F3472" s="352"/>
      <c r="H3472" s="352"/>
      <c r="J3472" s="352"/>
      <c r="L3472" s="352"/>
      <c r="M3472" s="352"/>
      <c r="N3472" s="352"/>
      <c r="O3472" s="352"/>
      <c r="P3472" s="352"/>
      <c r="Q3472" s="352"/>
      <c r="R3472" s="352"/>
      <c r="S3472" s="352"/>
      <c r="T3472" s="352"/>
      <c r="U3472" s="352"/>
      <c r="V3472" s="352"/>
      <c r="W3472" s="352"/>
      <c r="X3472" s="352"/>
      <c r="Y3472" s="352"/>
      <c r="Z3472" s="352"/>
      <c r="AA3472" s="352"/>
      <c r="AB3472" s="352"/>
      <c r="AC3472" s="352"/>
      <c r="AD3472" s="352"/>
      <c r="AE3472" s="352"/>
      <c r="AF3472" s="352"/>
      <c r="AG3472" s="352"/>
      <c r="AH3472" s="352"/>
      <c r="AI3472" s="352"/>
      <c r="AJ3472" s="352"/>
    </row>
    <row r="3473" spans="2:36" x14ac:dyDescent="0.2">
      <c r="B3473" s="352"/>
      <c r="C3473" s="352"/>
      <c r="D3473" s="352"/>
      <c r="E3473" s="352"/>
      <c r="F3473" s="352"/>
      <c r="H3473" s="352"/>
      <c r="J3473" s="352"/>
      <c r="L3473" s="352"/>
      <c r="M3473" s="352"/>
      <c r="N3473" s="352"/>
      <c r="O3473" s="352"/>
      <c r="P3473" s="352"/>
      <c r="Q3473" s="352"/>
      <c r="R3473" s="352"/>
      <c r="S3473" s="352"/>
      <c r="T3473" s="352"/>
      <c r="U3473" s="352"/>
      <c r="V3473" s="352"/>
      <c r="W3473" s="352"/>
      <c r="X3473" s="352"/>
      <c r="Y3473" s="352"/>
      <c r="Z3473" s="352"/>
      <c r="AA3473" s="352"/>
      <c r="AB3473" s="352"/>
      <c r="AC3473" s="352"/>
      <c r="AD3473" s="352"/>
      <c r="AE3473" s="352"/>
      <c r="AF3473" s="352"/>
      <c r="AG3473" s="352"/>
      <c r="AH3473" s="352"/>
      <c r="AI3473" s="352"/>
      <c r="AJ3473" s="352"/>
    </row>
    <row r="3474" spans="2:36" x14ac:dyDescent="0.2">
      <c r="B3474" s="352"/>
      <c r="C3474" s="352"/>
      <c r="D3474" s="352"/>
      <c r="E3474" s="352"/>
      <c r="F3474" s="352"/>
      <c r="H3474" s="352"/>
      <c r="J3474" s="352"/>
      <c r="L3474" s="352"/>
      <c r="M3474" s="352"/>
      <c r="N3474" s="352"/>
      <c r="O3474" s="352"/>
      <c r="P3474" s="352"/>
      <c r="Q3474" s="352"/>
      <c r="R3474" s="352"/>
      <c r="S3474" s="352"/>
      <c r="T3474" s="352"/>
      <c r="U3474" s="352"/>
      <c r="V3474" s="352"/>
      <c r="W3474" s="352"/>
      <c r="X3474" s="352"/>
      <c r="Y3474" s="352"/>
      <c r="Z3474" s="352"/>
      <c r="AA3474" s="352"/>
      <c r="AB3474" s="352"/>
      <c r="AC3474" s="352"/>
      <c r="AD3474" s="352"/>
      <c r="AE3474" s="352"/>
      <c r="AF3474" s="352"/>
      <c r="AG3474" s="352"/>
      <c r="AH3474" s="352"/>
      <c r="AI3474" s="352"/>
      <c r="AJ3474" s="352"/>
    </row>
    <row r="3475" spans="2:36" x14ac:dyDescent="0.2">
      <c r="B3475" s="352"/>
      <c r="C3475" s="352"/>
      <c r="D3475" s="352"/>
      <c r="E3475" s="352"/>
      <c r="F3475" s="352"/>
      <c r="H3475" s="352"/>
      <c r="J3475" s="352"/>
      <c r="L3475" s="352"/>
      <c r="M3475" s="352"/>
      <c r="N3475" s="352"/>
      <c r="O3475" s="352"/>
      <c r="P3475" s="352"/>
      <c r="Q3475" s="352"/>
      <c r="R3475" s="352"/>
      <c r="S3475" s="352"/>
      <c r="T3475" s="352"/>
      <c r="U3475" s="352"/>
      <c r="V3475" s="352"/>
      <c r="W3475" s="352"/>
      <c r="X3475" s="352"/>
      <c r="Y3475" s="352"/>
      <c r="Z3475" s="352"/>
      <c r="AA3475" s="352"/>
      <c r="AB3475" s="352"/>
      <c r="AC3475" s="352"/>
      <c r="AD3475" s="352"/>
      <c r="AE3475" s="352"/>
      <c r="AF3475" s="352"/>
      <c r="AG3475" s="352"/>
      <c r="AH3475" s="352"/>
      <c r="AI3475" s="352"/>
      <c r="AJ3475" s="352"/>
    </row>
    <row r="3476" spans="2:36" x14ac:dyDescent="0.2">
      <c r="B3476" s="352"/>
      <c r="C3476" s="352"/>
      <c r="D3476" s="352"/>
      <c r="E3476" s="352"/>
      <c r="F3476" s="352"/>
      <c r="H3476" s="352"/>
      <c r="J3476" s="352"/>
      <c r="L3476" s="352"/>
      <c r="M3476" s="352"/>
      <c r="N3476" s="352"/>
      <c r="O3476" s="352"/>
      <c r="P3476" s="352"/>
      <c r="Q3476" s="352"/>
      <c r="R3476" s="352"/>
      <c r="S3476" s="352"/>
      <c r="T3476" s="352"/>
      <c r="U3476" s="352"/>
      <c r="V3476" s="352"/>
      <c r="W3476" s="352"/>
      <c r="X3476" s="352"/>
      <c r="Y3476" s="352"/>
      <c r="Z3476" s="352"/>
      <c r="AA3476" s="352"/>
      <c r="AB3476" s="352"/>
      <c r="AC3476" s="352"/>
      <c r="AD3476" s="352"/>
      <c r="AE3476" s="352"/>
      <c r="AF3476" s="352"/>
      <c r="AG3476" s="352"/>
      <c r="AH3476" s="352"/>
      <c r="AI3476" s="352"/>
      <c r="AJ3476" s="352"/>
    </row>
    <row r="3477" spans="2:36" x14ac:dyDescent="0.2">
      <c r="B3477" s="352"/>
      <c r="C3477" s="352"/>
      <c r="D3477" s="352"/>
      <c r="E3477" s="352"/>
      <c r="F3477" s="352"/>
      <c r="H3477" s="352"/>
      <c r="J3477" s="352"/>
      <c r="L3477" s="352"/>
      <c r="M3477" s="352"/>
      <c r="N3477" s="352"/>
      <c r="O3477" s="352"/>
      <c r="P3477" s="352"/>
      <c r="Q3477" s="352"/>
      <c r="R3477" s="352"/>
      <c r="S3477" s="352"/>
      <c r="T3477" s="352"/>
      <c r="U3477" s="352"/>
      <c r="V3477" s="352"/>
      <c r="W3477" s="352"/>
      <c r="X3477" s="352"/>
      <c r="Y3477" s="352"/>
      <c r="Z3477" s="352"/>
      <c r="AA3477" s="352"/>
      <c r="AB3477" s="352"/>
      <c r="AC3477" s="352"/>
      <c r="AD3477" s="352"/>
      <c r="AE3477" s="352"/>
      <c r="AF3477" s="352"/>
      <c r="AG3477" s="352"/>
      <c r="AH3477" s="352"/>
      <c r="AI3477" s="352"/>
      <c r="AJ3477" s="352"/>
    </row>
    <row r="3478" spans="2:36" x14ac:dyDescent="0.2">
      <c r="B3478" s="352"/>
      <c r="C3478" s="352"/>
      <c r="D3478" s="352"/>
      <c r="E3478" s="352"/>
      <c r="F3478" s="352"/>
      <c r="H3478" s="352"/>
      <c r="J3478" s="352"/>
      <c r="L3478" s="352"/>
      <c r="M3478" s="352"/>
      <c r="N3478" s="352"/>
      <c r="O3478" s="352"/>
      <c r="P3478" s="352"/>
      <c r="Q3478" s="352"/>
      <c r="R3478" s="352"/>
      <c r="S3478" s="352"/>
      <c r="T3478" s="352"/>
      <c r="U3478" s="352"/>
      <c r="V3478" s="352"/>
      <c r="W3478" s="352"/>
      <c r="X3478" s="352"/>
      <c r="Y3478" s="352"/>
      <c r="Z3478" s="352"/>
      <c r="AA3478" s="352"/>
      <c r="AB3478" s="352"/>
      <c r="AC3478" s="352"/>
      <c r="AD3478" s="352"/>
      <c r="AE3478" s="352"/>
      <c r="AF3478" s="352"/>
      <c r="AG3478" s="352"/>
      <c r="AH3478" s="352"/>
      <c r="AI3478" s="352"/>
      <c r="AJ3478" s="352"/>
    </row>
    <row r="3479" spans="2:36" x14ac:dyDescent="0.2">
      <c r="B3479" s="352"/>
      <c r="C3479" s="352"/>
      <c r="D3479" s="352"/>
      <c r="E3479" s="352"/>
      <c r="F3479" s="352"/>
      <c r="H3479" s="352"/>
      <c r="J3479" s="352"/>
      <c r="L3479" s="352"/>
      <c r="M3479" s="352"/>
      <c r="N3479" s="352"/>
      <c r="O3479" s="352"/>
      <c r="P3479" s="352"/>
      <c r="Q3479" s="352"/>
      <c r="R3479" s="352"/>
      <c r="S3479" s="352"/>
      <c r="T3479" s="352"/>
      <c r="U3479" s="352"/>
      <c r="V3479" s="352"/>
      <c r="W3479" s="352"/>
      <c r="X3479" s="352"/>
      <c r="Y3479" s="352"/>
      <c r="Z3479" s="352"/>
      <c r="AA3479" s="352"/>
      <c r="AB3479" s="352"/>
      <c r="AC3479" s="352"/>
      <c r="AD3479" s="352"/>
      <c r="AE3479" s="352"/>
      <c r="AF3479" s="352"/>
      <c r="AG3479" s="352"/>
      <c r="AH3479" s="352"/>
      <c r="AI3479" s="352"/>
      <c r="AJ3479" s="352"/>
    </row>
    <row r="3480" spans="2:36" x14ac:dyDescent="0.2">
      <c r="B3480" s="352"/>
      <c r="C3480" s="352"/>
      <c r="D3480" s="352"/>
      <c r="E3480" s="352"/>
      <c r="F3480" s="352"/>
      <c r="H3480" s="352"/>
      <c r="J3480" s="352"/>
      <c r="L3480" s="352"/>
      <c r="M3480" s="352"/>
      <c r="N3480" s="352"/>
      <c r="O3480" s="352"/>
      <c r="P3480" s="352"/>
      <c r="Q3480" s="352"/>
      <c r="R3480" s="352"/>
      <c r="S3480" s="352"/>
      <c r="T3480" s="352"/>
      <c r="U3480" s="352"/>
      <c r="V3480" s="352"/>
      <c r="W3480" s="352"/>
      <c r="X3480" s="352"/>
      <c r="Y3480" s="352"/>
      <c r="Z3480" s="352"/>
      <c r="AA3480" s="352"/>
      <c r="AB3480" s="352"/>
      <c r="AC3480" s="352"/>
      <c r="AD3480" s="352"/>
      <c r="AE3480" s="352"/>
      <c r="AF3480" s="352"/>
      <c r="AG3480" s="352"/>
      <c r="AH3480" s="352"/>
      <c r="AI3480" s="352"/>
      <c r="AJ3480" s="352"/>
    </row>
    <row r="3481" spans="2:36" x14ac:dyDescent="0.2">
      <c r="B3481" s="352"/>
      <c r="C3481" s="352"/>
      <c r="D3481" s="352"/>
      <c r="E3481" s="352"/>
      <c r="F3481" s="352"/>
      <c r="H3481" s="352"/>
      <c r="J3481" s="352"/>
      <c r="L3481" s="352"/>
      <c r="M3481" s="352"/>
      <c r="N3481" s="352"/>
      <c r="O3481" s="352"/>
      <c r="P3481" s="352"/>
      <c r="Q3481" s="352"/>
      <c r="R3481" s="352"/>
      <c r="S3481" s="352"/>
      <c r="T3481" s="352"/>
      <c r="U3481" s="352"/>
      <c r="V3481" s="352"/>
      <c r="W3481" s="352"/>
      <c r="X3481" s="352"/>
      <c r="Y3481" s="352"/>
      <c r="Z3481" s="352"/>
      <c r="AA3481" s="352"/>
      <c r="AB3481" s="352"/>
      <c r="AC3481" s="352"/>
      <c r="AD3481" s="352"/>
      <c r="AE3481" s="352"/>
      <c r="AF3481" s="352"/>
      <c r="AG3481" s="352"/>
      <c r="AH3481" s="352"/>
      <c r="AI3481" s="352"/>
      <c r="AJ3481" s="352"/>
    </row>
    <row r="3482" spans="2:36" x14ac:dyDescent="0.2">
      <c r="B3482" s="352"/>
      <c r="C3482" s="352"/>
      <c r="D3482" s="352"/>
      <c r="E3482" s="352"/>
      <c r="F3482" s="352"/>
      <c r="H3482" s="352"/>
      <c r="J3482" s="352"/>
      <c r="L3482" s="352"/>
      <c r="M3482" s="352"/>
      <c r="N3482" s="352"/>
      <c r="O3482" s="352"/>
      <c r="P3482" s="352"/>
      <c r="Q3482" s="352"/>
      <c r="R3482" s="352"/>
      <c r="S3482" s="352"/>
      <c r="T3482" s="352"/>
      <c r="U3482" s="352"/>
      <c r="V3482" s="352"/>
      <c r="W3482" s="352"/>
      <c r="X3482" s="352"/>
      <c r="Y3482" s="352"/>
      <c r="Z3482" s="352"/>
      <c r="AA3482" s="352"/>
      <c r="AB3482" s="352"/>
      <c r="AC3482" s="352"/>
      <c r="AD3482" s="352"/>
      <c r="AE3482" s="352"/>
      <c r="AF3482" s="352"/>
      <c r="AG3482" s="352"/>
      <c r="AH3482" s="352"/>
      <c r="AI3482" s="352"/>
      <c r="AJ3482" s="352"/>
    </row>
    <row r="3483" spans="2:36" x14ac:dyDescent="0.2">
      <c r="B3483" s="352"/>
      <c r="C3483" s="352"/>
      <c r="D3483" s="352"/>
      <c r="E3483" s="352"/>
      <c r="F3483" s="352"/>
      <c r="H3483" s="352"/>
      <c r="J3483" s="352"/>
      <c r="L3483" s="352"/>
      <c r="M3483" s="352"/>
      <c r="N3483" s="352"/>
      <c r="O3483" s="352"/>
      <c r="P3483" s="352"/>
      <c r="Q3483" s="352"/>
      <c r="R3483" s="352"/>
      <c r="S3483" s="352"/>
      <c r="T3483" s="352"/>
      <c r="U3483" s="352"/>
      <c r="V3483" s="352"/>
      <c r="W3483" s="352"/>
      <c r="X3483" s="352"/>
      <c r="Y3483" s="352"/>
      <c r="Z3483" s="352"/>
      <c r="AA3483" s="352"/>
      <c r="AB3483" s="352"/>
      <c r="AC3483" s="352"/>
      <c r="AD3483" s="352"/>
      <c r="AE3483" s="352"/>
      <c r="AF3483" s="352"/>
      <c r="AG3483" s="352"/>
      <c r="AH3483" s="352"/>
      <c r="AI3483" s="352"/>
      <c r="AJ3483" s="352"/>
    </row>
    <row r="3484" spans="2:36" x14ac:dyDescent="0.2">
      <c r="B3484" s="352"/>
      <c r="C3484" s="352"/>
      <c r="D3484" s="352"/>
      <c r="E3484" s="352"/>
      <c r="F3484" s="352"/>
      <c r="H3484" s="352"/>
      <c r="J3484" s="352"/>
      <c r="L3484" s="352"/>
      <c r="M3484" s="352"/>
      <c r="N3484" s="352"/>
      <c r="O3484" s="352"/>
      <c r="P3484" s="352"/>
      <c r="Q3484" s="352"/>
      <c r="R3484" s="352"/>
      <c r="S3484" s="352"/>
      <c r="T3484" s="352"/>
      <c r="U3484" s="352"/>
      <c r="V3484" s="352"/>
      <c r="W3484" s="352"/>
      <c r="X3484" s="352"/>
      <c r="Y3484" s="352"/>
      <c r="Z3484" s="352"/>
      <c r="AA3484" s="352"/>
      <c r="AB3484" s="352"/>
      <c r="AC3484" s="352"/>
      <c r="AD3484" s="352"/>
      <c r="AE3484" s="352"/>
      <c r="AF3484" s="352"/>
      <c r="AG3484" s="352"/>
      <c r="AH3484" s="352"/>
      <c r="AI3484" s="352"/>
      <c r="AJ3484" s="352"/>
    </row>
    <row r="3485" spans="2:36" x14ac:dyDescent="0.2">
      <c r="B3485" s="352"/>
      <c r="C3485" s="352"/>
      <c r="D3485" s="352"/>
      <c r="E3485" s="352"/>
      <c r="F3485" s="352"/>
      <c r="H3485" s="352"/>
      <c r="J3485" s="352"/>
      <c r="L3485" s="352"/>
      <c r="M3485" s="352"/>
      <c r="N3485" s="352"/>
      <c r="O3485" s="352"/>
      <c r="P3485" s="352"/>
      <c r="Q3485" s="352"/>
      <c r="R3485" s="352"/>
      <c r="S3485" s="352"/>
      <c r="T3485" s="352"/>
      <c r="U3485" s="352"/>
      <c r="V3485" s="352"/>
      <c r="W3485" s="352"/>
      <c r="X3485" s="352"/>
      <c r="Y3485" s="352"/>
      <c r="Z3485" s="352"/>
      <c r="AA3485" s="352"/>
      <c r="AB3485" s="352"/>
      <c r="AC3485" s="352"/>
      <c r="AD3485" s="352"/>
      <c r="AE3485" s="352"/>
      <c r="AF3485" s="352"/>
      <c r="AG3485" s="352"/>
      <c r="AH3485" s="352"/>
      <c r="AI3485" s="352"/>
      <c r="AJ3485" s="352"/>
    </row>
    <row r="3486" spans="2:36" x14ac:dyDescent="0.2">
      <c r="B3486" s="352"/>
      <c r="C3486" s="352"/>
      <c r="D3486" s="352"/>
      <c r="E3486" s="352"/>
      <c r="F3486" s="352"/>
      <c r="H3486" s="352"/>
      <c r="J3486" s="352"/>
      <c r="L3486" s="352"/>
      <c r="M3486" s="352"/>
      <c r="N3486" s="352"/>
      <c r="O3486" s="352"/>
      <c r="P3486" s="352"/>
      <c r="Q3486" s="352"/>
      <c r="R3486" s="352"/>
      <c r="S3486" s="352"/>
      <c r="T3486" s="352"/>
      <c r="U3486" s="352"/>
      <c r="V3486" s="352"/>
      <c r="W3486" s="352"/>
      <c r="X3486" s="352"/>
      <c r="Y3486" s="352"/>
      <c r="Z3486" s="352"/>
      <c r="AA3486" s="352"/>
      <c r="AB3486" s="352"/>
      <c r="AC3486" s="352"/>
      <c r="AD3486" s="352"/>
      <c r="AE3486" s="352"/>
      <c r="AF3486" s="352"/>
      <c r="AG3486" s="352"/>
      <c r="AH3486" s="352"/>
      <c r="AI3486" s="352"/>
      <c r="AJ3486" s="352"/>
    </row>
    <row r="3487" spans="2:36" x14ac:dyDescent="0.2">
      <c r="B3487" s="352"/>
      <c r="C3487" s="352"/>
      <c r="D3487" s="352"/>
      <c r="E3487" s="352"/>
      <c r="F3487" s="352"/>
      <c r="H3487" s="352"/>
      <c r="J3487" s="352"/>
      <c r="L3487" s="352"/>
      <c r="M3487" s="352"/>
      <c r="N3487" s="352"/>
      <c r="O3487" s="352"/>
      <c r="P3487" s="352"/>
      <c r="Q3487" s="352"/>
      <c r="R3487" s="352"/>
      <c r="S3487" s="352"/>
      <c r="T3487" s="352"/>
      <c r="U3487" s="352"/>
      <c r="V3487" s="352"/>
      <c r="W3487" s="352"/>
      <c r="X3487" s="352"/>
      <c r="Y3487" s="352"/>
      <c r="Z3487" s="352"/>
      <c r="AA3487" s="352"/>
      <c r="AB3487" s="352"/>
      <c r="AC3487" s="352"/>
      <c r="AD3487" s="352"/>
      <c r="AE3487" s="352"/>
      <c r="AF3487" s="352"/>
      <c r="AG3487" s="352"/>
      <c r="AH3487" s="352"/>
      <c r="AI3487" s="352"/>
      <c r="AJ3487" s="352"/>
    </row>
    <row r="3488" spans="2:36" x14ac:dyDescent="0.2">
      <c r="B3488" s="352"/>
      <c r="C3488" s="352"/>
      <c r="D3488" s="352"/>
      <c r="E3488" s="352"/>
      <c r="F3488" s="352"/>
      <c r="H3488" s="352"/>
      <c r="J3488" s="352"/>
      <c r="L3488" s="352"/>
      <c r="M3488" s="352"/>
      <c r="N3488" s="352"/>
      <c r="O3488" s="352"/>
      <c r="P3488" s="352"/>
      <c r="Q3488" s="352"/>
      <c r="R3488" s="352"/>
      <c r="S3488" s="352"/>
      <c r="T3488" s="352"/>
      <c r="U3488" s="352"/>
      <c r="V3488" s="352"/>
      <c r="W3488" s="352"/>
      <c r="X3488" s="352"/>
      <c r="Y3488" s="352"/>
      <c r="Z3488" s="352"/>
      <c r="AA3488" s="352"/>
      <c r="AB3488" s="352"/>
      <c r="AC3488" s="352"/>
      <c r="AD3488" s="352"/>
      <c r="AE3488" s="352"/>
      <c r="AF3488" s="352"/>
      <c r="AG3488" s="352"/>
      <c r="AH3488" s="352"/>
      <c r="AI3488" s="352"/>
      <c r="AJ3488" s="352"/>
    </row>
    <row r="3489" spans="2:36" x14ac:dyDescent="0.2">
      <c r="B3489" s="352"/>
      <c r="C3489" s="352"/>
      <c r="D3489" s="352"/>
      <c r="E3489" s="352"/>
      <c r="F3489" s="352"/>
      <c r="H3489" s="352"/>
      <c r="J3489" s="352"/>
      <c r="L3489" s="352"/>
      <c r="M3489" s="352"/>
      <c r="N3489" s="352"/>
      <c r="O3489" s="352"/>
      <c r="P3489" s="352"/>
      <c r="Q3489" s="352"/>
      <c r="R3489" s="352"/>
      <c r="S3489" s="352"/>
      <c r="T3489" s="352"/>
      <c r="U3489" s="352"/>
      <c r="V3489" s="352"/>
      <c r="W3489" s="352"/>
      <c r="X3489" s="352"/>
      <c r="Y3489" s="352"/>
      <c r="Z3489" s="352"/>
      <c r="AA3489" s="352"/>
      <c r="AB3489" s="352"/>
      <c r="AC3489" s="352"/>
      <c r="AD3489" s="352"/>
      <c r="AE3489" s="352"/>
      <c r="AF3489" s="352"/>
      <c r="AG3489" s="352"/>
      <c r="AH3489" s="352"/>
      <c r="AI3489" s="352"/>
      <c r="AJ3489" s="352"/>
    </row>
    <row r="3490" spans="2:36" x14ac:dyDescent="0.2">
      <c r="B3490" s="352"/>
      <c r="C3490" s="352"/>
      <c r="D3490" s="352"/>
      <c r="E3490" s="352"/>
      <c r="F3490" s="352"/>
      <c r="H3490" s="352"/>
      <c r="J3490" s="352"/>
      <c r="L3490" s="352"/>
      <c r="M3490" s="352"/>
      <c r="N3490" s="352"/>
      <c r="O3490" s="352"/>
      <c r="P3490" s="352"/>
      <c r="Q3490" s="352"/>
      <c r="R3490" s="352"/>
      <c r="S3490" s="352"/>
      <c r="T3490" s="352"/>
      <c r="U3490" s="352"/>
      <c r="V3490" s="352"/>
      <c r="W3490" s="352"/>
      <c r="X3490" s="352"/>
      <c r="Y3490" s="352"/>
      <c r="Z3490" s="352"/>
      <c r="AA3490" s="352"/>
      <c r="AB3490" s="352"/>
      <c r="AC3490" s="352"/>
      <c r="AD3490" s="352"/>
      <c r="AE3490" s="352"/>
      <c r="AF3490" s="352"/>
      <c r="AG3490" s="352"/>
      <c r="AH3490" s="352"/>
      <c r="AI3490" s="352"/>
      <c r="AJ3490" s="352"/>
    </row>
    <row r="3491" spans="2:36" x14ac:dyDescent="0.2">
      <c r="B3491" s="352"/>
      <c r="C3491" s="352"/>
      <c r="D3491" s="352"/>
      <c r="E3491" s="352"/>
      <c r="F3491" s="352"/>
      <c r="H3491" s="352"/>
      <c r="J3491" s="352"/>
      <c r="L3491" s="352"/>
      <c r="M3491" s="352"/>
      <c r="N3491" s="352"/>
      <c r="O3491" s="352"/>
      <c r="P3491" s="352"/>
      <c r="Q3491" s="352"/>
      <c r="R3491" s="352"/>
      <c r="S3491" s="352"/>
      <c r="T3491" s="352"/>
      <c r="U3491" s="352"/>
      <c r="V3491" s="352"/>
      <c r="W3491" s="352"/>
      <c r="X3491" s="352"/>
      <c r="Y3491" s="352"/>
      <c r="Z3491" s="352"/>
      <c r="AA3491" s="352"/>
      <c r="AB3491" s="352"/>
      <c r="AC3491" s="352"/>
      <c r="AD3491" s="352"/>
      <c r="AE3491" s="352"/>
      <c r="AF3491" s="352"/>
      <c r="AG3491" s="352"/>
      <c r="AH3491" s="352"/>
      <c r="AI3491" s="352"/>
      <c r="AJ3491" s="352"/>
    </row>
    <row r="3492" spans="2:36" x14ac:dyDescent="0.2">
      <c r="B3492" s="352"/>
      <c r="C3492" s="352"/>
      <c r="D3492" s="352"/>
      <c r="E3492" s="352"/>
      <c r="F3492" s="352"/>
      <c r="H3492" s="352"/>
      <c r="J3492" s="352"/>
      <c r="L3492" s="352"/>
      <c r="M3492" s="352"/>
      <c r="N3492" s="352"/>
      <c r="O3492" s="352"/>
      <c r="P3492" s="352"/>
      <c r="Q3492" s="352"/>
      <c r="R3492" s="352"/>
      <c r="S3492" s="352"/>
      <c r="T3492" s="352"/>
      <c r="U3492" s="352"/>
      <c r="V3492" s="352"/>
      <c r="W3492" s="352"/>
      <c r="X3492" s="352"/>
      <c r="Y3492" s="352"/>
      <c r="Z3492" s="352"/>
      <c r="AA3492" s="352"/>
      <c r="AB3492" s="352"/>
      <c r="AC3492" s="352"/>
      <c r="AD3492" s="352"/>
      <c r="AE3492" s="352"/>
      <c r="AF3492" s="352"/>
      <c r="AG3492" s="352"/>
      <c r="AH3492" s="352"/>
      <c r="AI3492" s="352"/>
      <c r="AJ3492" s="352"/>
    </row>
    <row r="3493" spans="2:36" x14ac:dyDescent="0.2">
      <c r="B3493" s="352"/>
      <c r="C3493" s="352"/>
      <c r="D3493" s="352"/>
      <c r="E3493" s="352"/>
      <c r="F3493" s="352"/>
      <c r="H3493" s="352"/>
      <c r="J3493" s="352"/>
      <c r="L3493" s="352"/>
      <c r="M3493" s="352"/>
      <c r="N3493" s="352"/>
      <c r="O3493" s="352"/>
      <c r="P3493" s="352"/>
      <c r="Q3493" s="352"/>
      <c r="R3493" s="352"/>
      <c r="S3493" s="352"/>
      <c r="T3493" s="352"/>
      <c r="U3493" s="352"/>
      <c r="V3493" s="352"/>
      <c r="W3493" s="352"/>
      <c r="X3493" s="352"/>
      <c r="Y3493" s="352"/>
      <c r="Z3493" s="352"/>
      <c r="AA3493" s="352"/>
      <c r="AB3493" s="352"/>
      <c r="AC3493" s="352"/>
      <c r="AD3493" s="352"/>
      <c r="AE3493" s="352"/>
      <c r="AF3493" s="352"/>
      <c r="AG3493" s="352"/>
      <c r="AH3493" s="352"/>
      <c r="AI3493" s="352"/>
      <c r="AJ3493" s="352"/>
    </row>
    <row r="3494" spans="2:36" x14ac:dyDescent="0.2">
      <c r="B3494" s="352"/>
      <c r="C3494" s="352"/>
      <c r="D3494" s="352"/>
      <c r="E3494" s="352"/>
      <c r="F3494" s="352"/>
      <c r="H3494" s="352"/>
      <c r="J3494" s="352"/>
      <c r="L3494" s="352"/>
      <c r="M3494" s="352"/>
      <c r="N3494" s="352"/>
      <c r="O3494" s="352"/>
      <c r="P3494" s="352"/>
      <c r="Q3494" s="352"/>
      <c r="R3494" s="352"/>
      <c r="S3494" s="352"/>
      <c r="T3494" s="352"/>
      <c r="U3494" s="352"/>
      <c r="V3494" s="352"/>
      <c r="W3494" s="352"/>
      <c r="X3494" s="352"/>
      <c r="Y3494" s="352"/>
      <c r="Z3494" s="352"/>
      <c r="AA3494" s="352"/>
      <c r="AB3494" s="352"/>
      <c r="AC3494" s="352"/>
      <c r="AD3494" s="352"/>
      <c r="AE3494" s="352"/>
      <c r="AF3494" s="352"/>
      <c r="AG3494" s="352"/>
      <c r="AH3494" s="352"/>
      <c r="AI3494" s="352"/>
      <c r="AJ3494" s="352"/>
    </row>
    <row r="3495" spans="2:36" x14ac:dyDescent="0.2">
      <c r="B3495" s="352"/>
      <c r="C3495" s="352"/>
      <c r="D3495" s="352"/>
      <c r="E3495" s="352"/>
      <c r="F3495" s="352"/>
      <c r="H3495" s="352"/>
      <c r="J3495" s="352"/>
      <c r="L3495" s="352"/>
      <c r="M3495" s="352"/>
      <c r="N3495" s="352"/>
      <c r="O3495" s="352"/>
      <c r="P3495" s="352"/>
      <c r="Q3495" s="352"/>
      <c r="R3495" s="352"/>
      <c r="S3495" s="352"/>
      <c r="T3495" s="352"/>
      <c r="U3495" s="352"/>
      <c r="V3495" s="352"/>
      <c r="W3495" s="352"/>
      <c r="X3495" s="352"/>
      <c r="Y3495" s="352"/>
      <c r="Z3495" s="352"/>
      <c r="AA3495" s="352"/>
      <c r="AB3495" s="352"/>
      <c r="AC3495" s="352"/>
      <c r="AD3495" s="352"/>
      <c r="AE3495" s="352"/>
      <c r="AF3495" s="352"/>
      <c r="AG3495" s="352"/>
      <c r="AH3495" s="352"/>
      <c r="AI3495" s="352"/>
      <c r="AJ3495" s="352"/>
    </row>
    <row r="3496" spans="2:36" x14ac:dyDescent="0.2">
      <c r="B3496" s="352"/>
      <c r="C3496" s="352"/>
      <c r="D3496" s="352"/>
      <c r="E3496" s="352"/>
      <c r="F3496" s="352"/>
      <c r="H3496" s="352"/>
      <c r="J3496" s="352"/>
      <c r="L3496" s="352"/>
      <c r="M3496" s="352"/>
      <c r="N3496" s="352"/>
      <c r="O3496" s="352"/>
      <c r="P3496" s="352"/>
      <c r="Q3496" s="352"/>
      <c r="R3496" s="352"/>
      <c r="S3496" s="352"/>
      <c r="T3496" s="352"/>
      <c r="U3496" s="352"/>
      <c r="V3496" s="352"/>
      <c r="W3496" s="352"/>
      <c r="X3496" s="352"/>
      <c r="Y3496" s="352"/>
      <c r="Z3496" s="352"/>
      <c r="AA3496" s="352"/>
      <c r="AB3496" s="352"/>
      <c r="AC3496" s="352"/>
      <c r="AD3496" s="352"/>
      <c r="AE3496" s="352"/>
      <c r="AF3496" s="352"/>
      <c r="AG3496" s="352"/>
      <c r="AH3496" s="352"/>
      <c r="AI3496" s="352"/>
      <c r="AJ3496" s="352"/>
    </row>
    <row r="3497" spans="2:36" x14ac:dyDescent="0.2">
      <c r="B3497" s="352"/>
      <c r="C3497" s="352"/>
      <c r="D3497" s="352"/>
      <c r="E3497" s="352"/>
      <c r="F3497" s="352"/>
      <c r="H3497" s="352"/>
      <c r="J3497" s="352"/>
      <c r="L3497" s="352"/>
      <c r="M3497" s="352"/>
      <c r="N3497" s="352"/>
      <c r="O3497" s="352"/>
      <c r="P3497" s="352"/>
      <c r="Q3497" s="352"/>
      <c r="R3497" s="352"/>
      <c r="S3497" s="352"/>
      <c r="T3497" s="352"/>
      <c r="U3497" s="352"/>
      <c r="V3497" s="352"/>
      <c r="W3497" s="352"/>
      <c r="X3497" s="352"/>
      <c r="Y3497" s="352"/>
      <c r="Z3497" s="352"/>
      <c r="AA3497" s="352"/>
      <c r="AB3497" s="352"/>
      <c r="AC3497" s="352"/>
      <c r="AD3497" s="352"/>
      <c r="AE3497" s="352"/>
      <c r="AF3497" s="352"/>
      <c r="AG3497" s="352"/>
      <c r="AH3497" s="352"/>
      <c r="AI3497" s="352"/>
      <c r="AJ3497" s="352"/>
    </row>
    <row r="3498" spans="2:36" x14ac:dyDescent="0.2">
      <c r="B3498" s="352"/>
      <c r="C3498" s="352"/>
      <c r="D3498" s="352"/>
      <c r="E3498" s="352"/>
      <c r="F3498" s="352"/>
      <c r="H3498" s="352"/>
      <c r="J3498" s="352"/>
      <c r="L3498" s="352"/>
      <c r="M3498" s="352"/>
      <c r="N3498" s="352"/>
      <c r="O3498" s="352"/>
      <c r="P3498" s="352"/>
      <c r="Q3498" s="352"/>
      <c r="R3498" s="352"/>
      <c r="S3498" s="352"/>
      <c r="T3498" s="352"/>
      <c r="U3498" s="352"/>
      <c r="V3498" s="352"/>
      <c r="W3498" s="352"/>
      <c r="X3498" s="352"/>
      <c r="Y3498" s="352"/>
      <c r="Z3498" s="352"/>
      <c r="AA3498" s="352"/>
      <c r="AB3498" s="352"/>
      <c r="AC3498" s="352"/>
      <c r="AD3498" s="352"/>
      <c r="AE3498" s="352"/>
      <c r="AF3498" s="352"/>
      <c r="AG3498" s="352"/>
      <c r="AH3498" s="352"/>
      <c r="AI3498" s="352"/>
      <c r="AJ3498" s="352"/>
    </row>
    <row r="3499" spans="2:36" x14ac:dyDescent="0.2">
      <c r="B3499" s="352"/>
      <c r="C3499" s="352"/>
      <c r="D3499" s="352"/>
      <c r="E3499" s="352"/>
      <c r="F3499" s="352"/>
      <c r="H3499" s="352"/>
      <c r="J3499" s="352"/>
      <c r="L3499" s="352"/>
      <c r="M3499" s="352"/>
      <c r="N3499" s="352"/>
      <c r="O3499" s="352"/>
      <c r="P3499" s="352"/>
      <c r="Q3499" s="352"/>
      <c r="R3499" s="352"/>
      <c r="S3499" s="352"/>
      <c r="T3499" s="352"/>
      <c r="U3499" s="352"/>
      <c r="V3499" s="352"/>
      <c r="W3499" s="352"/>
      <c r="X3499" s="352"/>
      <c r="Y3499" s="352"/>
      <c r="Z3499" s="352"/>
      <c r="AA3499" s="352"/>
      <c r="AB3499" s="352"/>
      <c r="AC3499" s="352"/>
      <c r="AD3499" s="352"/>
      <c r="AE3499" s="352"/>
      <c r="AF3499" s="352"/>
      <c r="AG3499" s="352"/>
      <c r="AH3499" s="352"/>
      <c r="AI3499" s="352"/>
      <c r="AJ3499" s="352"/>
    </row>
    <row r="3500" spans="2:36" x14ac:dyDescent="0.2">
      <c r="B3500" s="352"/>
      <c r="C3500" s="352"/>
      <c r="D3500" s="352"/>
      <c r="E3500" s="352"/>
      <c r="F3500" s="352"/>
      <c r="H3500" s="352"/>
      <c r="J3500" s="352"/>
      <c r="L3500" s="352"/>
      <c r="M3500" s="352"/>
      <c r="N3500" s="352"/>
      <c r="O3500" s="352"/>
      <c r="P3500" s="352"/>
      <c r="Q3500" s="352"/>
      <c r="R3500" s="352"/>
      <c r="S3500" s="352"/>
      <c r="T3500" s="352"/>
      <c r="U3500" s="352"/>
      <c r="V3500" s="352"/>
      <c r="W3500" s="352"/>
      <c r="X3500" s="352"/>
      <c r="Y3500" s="352"/>
      <c r="Z3500" s="352"/>
      <c r="AA3500" s="352"/>
      <c r="AB3500" s="352"/>
      <c r="AC3500" s="352"/>
      <c r="AD3500" s="352"/>
      <c r="AE3500" s="352"/>
      <c r="AF3500" s="352"/>
      <c r="AG3500" s="352"/>
      <c r="AH3500" s="352"/>
      <c r="AI3500" s="352"/>
      <c r="AJ3500" s="352"/>
    </row>
    <row r="3501" spans="2:36" x14ac:dyDescent="0.2">
      <c r="B3501" s="352"/>
      <c r="C3501" s="352"/>
      <c r="D3501" s="352"/>
      <c r="E3501" s="352"/>
      <c r="F3501" s="352"/>
      <c r="H3501" s="352"/>
      <c r="J3501" s="352"/>
      <c r="L3501" s="352"/>
      <c r="M3501" s="352"/>
      <c r="N3501" s="352"/>
      <c r="O3501" s="352"/>
      <c r="P3501" s="352"/>
      <c r="Q3501" s="352"/>
      <c r="R3501" s="352"/>
      <c r="S3501" s="352"/>
      <c r="T3501" s="352"/>
      <c r="U3501" s="352"/>
      <c r="V3501" s="352"/>
      <c r="W3501" s="352"/>
      <c r="X3501" s="352"/>
      <c r="Y3501" s="352"/>
      <c r="Z3501" s="352"/>
      <c r="AA3501" s="352"/>
      <c r="AB3501" s="352"/>
      <c r="AC3501" s="352"/>
      <c r="AD3501" s="352"/>
      <c r="AE3501" s="352"/>
      <c r="AF3501" s="352"/>
      <c r="AG3501" s="352"/>
      <c r="AH3501" s="352"/>
      <c r="AI3501" s="352"/>
      <c r="AJ3501" s="352"/>
    </row>
    <row r="3502" spans="2:36" x14ac:dyDescent="0.2">
      <c r="B3502" s="352"/>
      <c r="C3502" s="352"/>
      <c r="D3502" s="352"/>
      <c r="E3502" s="352"/>
      <c r="F3502" s="352"/>
      <c r="H3502" s="352"/>
      <c r="J3502" s="352"/>
      <c r="L3502" s="352"/>
      <c r="M3502" s="352"/>
      <c r="N3502" s="352"/>
      <c r="O3502" s="352"/>
      <c r="P3502" s="352"/>
      <c r="Q3502" s="352"/>
      <c r="R3502" s="352"/>
      <c r="S3502" s="352"/>
      <c r="T3502" s="352"/>
      <c r="U3502" s="352"/>
      <c r="V3502" s="352"/>
      <c r="W3502" s="352"/>
      <c r="X3502" s="352"/>
      <c r="Y3502" s="352"/>
      <c r="Z3502" s="352"/>
      <c r="AA3502" s="352"/>
      <c r="AB3502" s="352"/>
      <c r="AC3502" s="352"/>
      <c r="AD3502" s="352"/>
      <c r="AE3502" s="352"/>
      <c r="AF3502" s="352"/>
      <c r="AG3502" s="352"/>
      <c r="AH3502" s="352"/>
      <c r="AI3502" s="352"/>
      <c r="AJ3502" s="352"/>
    </row>
    <row r="3503" spans="2:36" x14ac:dyDescent="0.2">
      <c r="B3503" s="352"/>
      <c r="C3503" s="352"/>
      <c r="D3503" s="352"/>
      <c r="E3503" s="352"/>
      <c r="F3503" s="352"/>
      <c r="H3503" s="352"/>
      <c r="J3503" s="352"/>
      <c r="L3503" s="352"/>
      <c r="M3503" s="352"/>
      <c r="N3503" s="352"/>
      <c r="O3503" s="352"/>
      <c r="P3503" s="352"/>
      <c r="Q3503" s="352"/>
      <c r="R3503" s="352"/>
      <c r="S3503" s="352"/>
      <c r="T3503" s="352"/>
      <c r="U3503" s="352"/>
      <c r="V3503" s="352"/>
      <c r="W3503" s="352"/>
      <c r="X3503" s="352"/>
      <c r="Y3503" s="352"/>
      <c r="Z3503" s="352"/>
      <c r="AA3503" s="352"/>
      <c r="AB3503" s="352"/>
      <c r="AC3503" s="352"/>
      <c r="AD3503" s="352"/>
      <c r="AE3503" s="352"/>
      <c r="AF3503" s="352"/>
      <c r="AG3503" s="352"/>
      <c r="AH3503" s="352"/>
      <c r="AI3503" s="352"/>
      <c r="AJ3503" s="352"/>
    </row>
    <row r="3504" spans="2:36" x14ac:dyDescent="0.2">
      <c r="B3504" s="352"/>
      <c r="C3504" s="352"/>
      <c r="D3504" s="352"/>
      <c r="E3504" s="352"/>
      <c r="F3504" s="352"/>
      <c r="H3504" s="352"/>
      <c r="J3504" s="352"/>
      <c r="L3504" s="352"/>
      <c r="M3504" s="352"/>
      <c r="N3504" s="352"/>
      <c r="O3504" s="352"/>
      <c r="P3504" s="352"/>
      <c r="Q3504" s="352"/>
      <c r="R3504" s="352"/>
      <c r="S3504" s="352"/>
      <c r="T3504" s="352"/>
      <c r="U3504" s="352"/>
      <c r="V3504" s="352"/>
      <c r="W3504" s="352"/>
      <c r="X3504" s="352"/>
      <c r="Y3504" s="352"/>
      <c r="Z3504" s="352"/>
      <c r="AA3504" s="352"/>
      <c r="AB3504" s="352"/>
      <c r="AC3504" s="352"/>
      <c r="AD3504" s="352"/>
      <c r="AE3504" s="352"/>
      <c r="AF3504" s="352"/>
      <c r="AG3504" s="352"/>
      <c r="AH3504" s="352"/>
      <c r="AI3504" s="352"/>
      <c r="AJ3504" s="352"/>
    </row>
    <row r="3505" spans="2:36" x14ac:dyDescent="0.2">
      <c r="B3505" s="352"/>
      <c r="C3505" s="352"/>
      <c r="D3505" s="352"/>
      <c r="E3505" s="352"/>
      <c r="F3505" s="352"/>
      <c r="H3505" s="352"/>
      <c r="J3505" s="352"/>
      <c r="L3505" s="352"/>
      <c r="M3505" s="352"/>
      <c r="N3505" s="352"/>
      <c r="O3505" s="352"/>
      <c r="P3505" s="352"/>
      <c r="Q3505" s="352"/>
      <c r="R3505" s="352"/>
      <c r="S3505" s="352"/>
      <c r="T3505" s="352"/>
      <c r="U3505" s="352"/>
      <c r="V3505" s="352"/>
      <c r="W3505" s="352"/>
      <c r="X3505" s="352"/>
      <c r="Y3505" s="352"/>
      <c r="Z3505" s="352"/>
      <c r="AA3505" s="352"/>
      <c r="AB3505" s="352"/>
      <c r="AC3505" s="352"/>
      <c r="AD3505" s="352"/>
      <c r="AE3505" s="352"/>
      <c r="AF3505" s="352"/>
      <c r="AG3505" s="352"/>
      <c r="AH3505" s="352"/>
      <c r="AI3505" s="352"/>
      <c r="AJ3505" s="352"/>
    </row>
    <row r="3506" spans="2:36" x14ac:dyDescent="0.2">
      <c r="B3506" s="352"/>
      <c r="C3506" s="352"/>
      <c r="D3506" s="352"/>
      <c r="E3506" s="352"/>
      <c r="F3506" s="352"/>
      <c r="H3506" s="352"/>
      <c r="J3506" s="352"/>
      <c r="L3506" s="352"/>
      <c r="M3506" s="352"/>
      <c r="N3506" s="352"/>
      <c r="O3506" s="352"/>
      <c r="P3506" s="352"/>
      <c r="Q3506" s="352"/>
      <c r="R3506" s="352"/>
      <c r="S3506" s="352"/>
      <c r="T3506" s="352"/>
      <c r="U3506" s="352"/>
      <c r="V3506" s="352"/>
      <c r="W3506" s="352"/>
      <c r="X3506" s="352"/>
      <c r="Y3506" s="352"/>
      <c r="Z3506" s="352"/>
      <c r="AA3506" s="352"/>
      <c r="AB3506" s="352"/>
      <c r="AC3506" s="352"/>
      <c r="AD3506" s="352"/>
      <c r="AE3506" s="352"/>
      <c r="AF3506" s="352"/>
      <c r="AG3506" s="352"/>
      <c r="AH3506" s="352"/>
      <c r="AI3506" s="352"/>
      <c r="AJ3506" s="352"/>
    </row>
    <row r="3507" spans="2:36" x14ac:dyDescent="0.2">
      <c r="B3507" s="352"/>
      <c r="C3507" s="352"/>
      <c r="D3507" s="352"/>
      <c r="E3507" s="352"/>
      <c r="F3507" s="352"/>
      <c r="H3507" s="352"/>
      <c r="J3507" s="352"/>
      <c r="L3507" s="352"/>
      <c r="M3507" s="352"/>
      <c r="N3507" s="352"/>
      <c r="O3507" s="352"/>
      <c r="P3507" s="352"/>
      <c r="Q3507" s="352"/>
      <c r="R3507" s="352"/>
      <c r="S3507" s="352"/>
      <c r="T3507" s="352"/>
      <c r="U3507" s="352"/>
      <c r="V3507" s="352"/>
      <c r="W3507" s="352"/>
      <c r="X3507" s="352"/>
      <c r="Y3507" s="352"/>
      <c r="Z3507" s="352"/>
      <c r="AA3507" s="352"/>
      <c r="AB3507" s="352"/>
      <c r="AC3507" s="352"/>
      <c r="AD3507" s="352"/>
      <c r="AE3507" s="352"/>
      <c r="AF3507" s="352"/>
      <c r="AG3507" s="352"/>
      <c r="AH3507" s="352"/>
      <c r="AI3507" s="352"/>
      <c r="AJ3507" s="352"/>
    </row>
    <row r="3508" spans="2:36" x14ac:dyDescent="0.2">
      <c r="B3508" s="352"/>
      <c r="C3508" s="352"/>
      <c r="D3508" s="352"/>
      <c r="E3508" s="352"/>
      <c r="F3508" s="352"/>
      <c r="H3508" s="352"/>
      <c r="J3508" s="352"/>
      <c r="L3508" s="352"/>
      <c r="M3508" s="352"/>
      <c r="N3508" s="352"/>
      <c r="O3508" s="352"/>
      <c r="P3508" s="352"/>
      <c r="Q3508" s="352"/>
      <c r="R3508" s="352"/>
      <c r="S3508" s="352"/>
      <c r="T3508" s="352"/>
      <c r="U3508" s="352"/>
      <c r="V3508" s="352"/>
      <c r="W3508" s="352"/>
      <c r="X3508" s="352"/>
      <c r="Y3508" s="352"/>
      <c r="Z3508" s="352"/>
      <c r="AA3508" s="352"/>
      <c r="AB3508" s="352"/>
      <c r="AC3508" s="352"/>
      <c r="AD3508" s="352"/>
      <c r="AE3508" s="352"/>
      <c r="AF3508" s="352"/>
      <c r="AG3508" s="352"/>
      <c r="AH3508" s="352"/>
      <c r="AI3508" s="352"/>
      <c r="AJ3508" s="352"/>
    </row>
    <row r="3509" spans="2:36" x14ac:dyDescent="0.2">
      <c r="B3509" s="352"/>
      <c r="C3509" s="352"/>
      <c r="D3509" s="352"/>
      <c r="E3509" s="352"/>
      <c r="F3509" s="352"/>
      <c r="H3509" s="352"/>
      <c r="J3509" s="352"/>
      <c r="L3509" s="352"/>
      <c r="M3509" s="352"/>
      <c r="N3509" s="352"/>
      <c r="O3509" s="352"/>
      <c r="P3509" s="352"/>
      <c r="Q3509" s="352"/>
      <c r="R3509" s="352"/>
      <c r="S3509" s="352"/>
      <c r="T3509" s="352"/>
      <c r="U3509" s="352"/>
      <c r="V3509" s="352"/>
      <c r="W3509" s="352"/>
      <c r="X3509" s="352"/>
      <c r="Y3509" s="352"/>
      <c r="Z3509" s="352"/>
      <c r="AA3509" s="352"/>
      <c r="AB3509" s="352"/>
      <c r="AC3509" s="352"/>
      <c r="AD3509" s="352"/>
      <c r="AE3509" s="352"/>
      <c r="AF3509" s="352"/>
      <c r="AG3509" s="352"/>
      <c r="AH3509" s="352"/>
      <c r="AI3509" s="352"/>
      <c r="AJ3509" s="352"/>
    </row>
    <row r="3510" spans="2:36" x14ac:dyDescent="0.2">
      <c r="B3510" s="352"/>
      <c r="C3510" s="352"/>
      <c r="D3510" s="352"/>
      <c r="E3510" s="352"/>
      <c r="F3510" s="352"/>
      <c r="H3510" s="352"/>
      <c r="J3510" s="352"/>
      <c r="L3510" s="352"/>
      <c r="M3510" s="352"/>
      <c r="N3510" s="352"/>
      <c r="O3510" s="352"/>
      <c r="P3510" s="352"/>
      <c r="Q3510" s="352"/>
      <c r="R3510" s="352"/>
      <c r="S3510" s="352"/>
      <c r="T3510" s="352"/>
      <c r="U3510" s="352"/>
      <c r="V3510" s="352"/>
      <c r="W3510" s="352"/>
      <c r="X3510" s="352"/>
      <c r="Y3510" s="352"/>
      <c r="Z3510" s="352"/>
      <c r="AA3510" s="352"/>
      <c r="AB3510" s="352"/>
      <c r="AC3510" s="352"/>
      <c r="AD3510" s="352"/>
      <c r="AE3510" s="352"/>
      <c r="AF3510" s="352"/>
      <c r="AG3510" s="352"/>
      <c r="AH3510" s="352"/>
      <c r="AI3510" s="352"/>
      <c r="AJ3510" s="352"/>
    </row>
    <row r="3511" spans="2:36" x14ac:dyDescent="0.2">
      <c r="B3511" s="352"/>
      <c r="C3511" s="352"/>
      <c r="D3511" s="352"/>
      <c r="E3511" s="352"/>
      <c r="F3511" s="352"/>
      <c r="H3511" s="352"/>
      <c r="J3511" s="352"/>
      <c r="L3511" s="352"/>
      <c r="M3511" s="352"/>
      <c r="N3511" s="352"/>
      <c r="O3511" s="352"/>
      <c r="P3511" s="352"/>
      <c r="Q3511" s="352"/>
      <c r="R3511" s="352"/>
      <c r="S3511" s="352"/>
      <c r="T3511" s="352"/>
      <c r="U3511" s="352"/>
      <c r="V3511" s="352"/>
      <c r="W3511" s="352"/>
      <c r="X3511" s="352"/>
      <c r="Y3511" s="352"/>
      <c r="Z3511" s="352"/>
      <c r="AA3511" s="352"/>
      <c r="AB3511" s="352"/>
      <c r="AC3511" s="352"/>
      <c r="AD3511" s="352"/>
      <c r="AE3511" s="352"/>
      <c r="AF3511" s="352"/>
      <c r="AG3511" s="352"/>
      <c r="AH3511" s="352"/>
      <c r="AI3511" s="352"/>
      <c r="AJ3511" s="352"/>
    </row>
    <row r="3512" spans="2:36" x14ac:dyDescent="0.2">
      <c r="B3512" s="352"/>
      <c r="C3512" s="352"/>
      <c r="D3512" s="352"/>
      <c r="E3512" s="352"/>
      <c r="F3512" s="352"/>
      <c r="H3512" s="352"/>
      <c r="J3512" s="352"/>
      <c r="L3512" s="352"/>
      <c r="M3512" s="352"/>
      <c r="N3512" s="352"/>
      <c r="O3512" s="352"/>
      <c r="P3512" s="352"/>
      <c r="Q3512" s="352"/>
      <c r="R3512" s="352"/>
      <c r="S3512" s="352"/>
      <c r="T3512" s="352"/>
      <c r="U3512" s="352"/>
      <c r="V3512" s="352"/>
      <c r="W3512" s="352"/>
      <c r="X3512" s="352"/>
      <c r="Y3512" s="352"/>
      <c r="Z3512" s="352"/>
      <c r="AA3512" s="352"/>
      <c r="AB3512" s="352"/>
      <c r="AC3512" s="352"/>
      <c r="AD3512" s="352"/>
      <c r="AE3512" s="352"/>
      <c r="AF3512" s="352"/>
      <c r="AG3512" s="352"/>
      <c r="AH3512" s="352"/>
      <c r="AI3512" s="352"/>
      <c r="AJ3512" s="352"/>
    </row>
    <row r="3513" spans="2:36" x14ac:dyDescent="0.2">
      <c r="B3513" s="352"/>
      <c r="C3513" s="352"/>
      <c r="D3513" s="352"/>
      <c r="E3513" s="352"/>
      <c r="F3513" s="352"/>
      <c r="H3513" s="352"/>
      <c r="J3513" s="352"/>
      <c r="L3513" s="352"/>
      <c r="M3513" s="352"/>
      <c r="N3513" s="352"/>
      <c r="O3513" s="352"/>
      <c r="P3513" s="352"/>
      <c r="Q3513" s="352"/>
      <c r="R3513" s="352"/>
      <c r="S3513" s="352"/>
      <c r="T3513" s="352"/>
      <c r="U3513" s="352"/>
      <c r="V3513" s="352"/>
      <c r="W3513" s="352"/>
      <c r="X3513" s="352"/>
      <c r="Y3513" s="352"/>
      <c r="Z3513" s="352"/>
      <c r="AA3513" s="352"/>
      <c r="AB3513" s="352"/>
      <c r="AC3513" s="352"/>
      <c r="AD3513" s="352"/>
      <c r="AE3513" s="352"/>
      <c r="AF3513" s="352"/>
      <c r="AG3513" s="352"/>
      <c r="AH3513" s="352"/>
      <c r="AI3513" s="352"/>
      <c r="AJ3513" s="352"/>
    </row>
    <row r="3514" spans="2:36" x14ac:dyDescent="0.2">
      <c r="B3514" s="352"/>
      <c r="C3514" s="352"/>
      <c r="D3514" s="352"/>
      <c r="E3514" s="352"/>
      <c r="F3514" s="352"/>
      <c r="H3514" s="352"/>
      <c r="J3514" s="352"/>
      <c r="L3514" s="352"/>
      <c r="M3514" s="352"/>
      <c r="N3514" s="352"/>
      <c r="O3514" s="352"/>
      <c r="P3514" s="352"/>
      <c r="Q3514" s="352"/>
      <c r="R3514" s="352"/>
      <c r="S3514" s="352"/>
      <c r="T3514" s="352"/>
      <c r="U3514" s="352"/>
      <c r="V3514" s="352"/>
      <c r="W3514" s="352"/>
      <c r="X3514" s="352"/>
      <c r="Y3514" s="352"/>
      <c r="Z3514" s="352"/>
      <c r="AA3514" s="352"/>
      <c r="AB3514" s="352"/>
      <c r="AC3514" s="352"/>
      <c r="AD3514" s="352"/>
      <c r="AE3514" s="352"/>
      <c r="AF3514" s="352"/>
      <c r="AG3514" s="352"/>
      <c r="AH3514" s="352"/>
      <c r="AI3514" s="352"/>
      <c r="AJ3514" s="352"/>
    </row>
    <row r="3515" spans="2:36" x14ac:dyDescent="0.2">
      <c r="B3515" s="352"/>
      <c r="C3515" s="352"/>
      <c r="D3515" s="352"/>
      <c r="E3515" s="352"/>
      <c r="F3515" s="352"/>
      <c r="H3515" s="352"/>
      <c r="J3515" s="352"/>
      <c r="L3515" s="352"/>
      <c r="M3515" s="352"/>
      <c r="N3515" s="352"/>
      <c r="O3515" s="352"/>
      <c r="P3515" s="352"/>
      <c r="Q3515" s="352"/>
      <c r="R3515" s="352"/>
      <c r="S3515" s="352"/>
      <c r="T3515" s="352"/>
      <c r="U3515" s="352"/>
      <c r="V3515" s="352"/>
      <c r="W3515" s="352"/>
      <c r="X3515" s="352"/>
      <c r="Y3515" s="352"/>
      <c r="Z3515" s="352"/>
      <c r="AA3515" s="352"/>
      <c r="AB3515" s="352"/>
      <c r="AC3515" s="352"/>
      <c r="AD3515" s="352"/>
      <c r="AE3515" s="352"/>
      <c r="AF3515" s="352"/>
      <c r="AG3515" s="352"/>
      <c r="AH3515" s="352"/>
      <c r="AI3515" s="352"/>
      <c r="AJ3515" s="352"/>
    </row>
    <row r="3516" spans="2:36" x14ac:dyDescent="0.2">
      <c r="B3516" s="352"/>
      <c r="C3516" s="352"/>
      <c r="D3516" s="352"/>
      <c r="E3516" s="352"/>
      <c r="F3516" s="352"/>
      <c r="H3516" s="352"/>
      <c r="J3516" s="352"/>
      <c r="L3516" s="352"/>
      <c r="M3516" s="352"/>
      <c r="N3516" s="352"/>
      <c r="O3516" s="352"/>
      <c r="P3516" s="352"/>
      <c r="Q3516" s="352"/>
      <c r="R3516" s="352"/>
      <c r="S3516" s="352"/>
      <c r="T3516" s="352"/>
      <c r="U3516" s="352"/>
      <c r="V3516" s="352"/>
      <c r="W3516" s="352"/>
      <c r="X3516" s="352"/>
      <c r="Y3516" s="352"/>
      <c r="Z3516" s="352"/>
      <c r="AA3516" s="352"/>
      <c r="AB3516" s="352"/>
      <c r="AC3516" s="352"/>
      <c r="AD3516" s="352"/>
      <c r="AE3516" s="352"/>
      <c r="AF3516" s="352"/>
      <c r="AG3516" s="352"/>
      <c r="AH3516" s="352"/>
      <c r="AI3516" s="352"/>
      <c r="AJ3516" s="352"/>
    </row>
    <row r="3517" spans="2:36" x14ac:dyDescent="0.2">
      <c r="B3517" s="352"/>
      <c r="C3517" s="352"/>
      <c r="D3517" s="352"/>
      <c r="E3517" s="352"/>
      <c r="F3517" s="352"/>
      <c r="H3517" s="352"/>
      <c r="J3517" s="352"/>
      <c r="L3517" s="352"/>
      <c r="M3517" s="352"/>
      <c r="N3517" s="352"/>
      <c r="O3517" s="352"/>
      <c r="P3517" s="352"/>
      <c r="Q3517" s="352"/>
      <c r="R3517" s="352"/>
      <c r="S3517" s="352"/>
      <c r="T3517" s="352"/>
      <c r="U3517" s="352"/>
      <c r="V3517" s="352"/>
      <c r="W3517" s="352"/>
      <c r="X3517" s="352"/>
      <c r="Y3517" s="352"/>
      <c r="Z3517" s="352"/>
      <c r="AA3517" s="352"/>
      <c r="AB3517" s="352"/>
      <c r="AC3517" s="352"/>
      <c r="AD3517" s="352"/>
      <c r="AE3517" s="352"/>
      <c r="AF3517" s="352"/>
      <c r="AG3517" s="352"/>
      <c r="AH3517" s="352"/>
      <c r="AI3517" s="352"/>
      <c r="AJ3517" s="352"/>
    </row>
    <row r="3518" spans="2:36" x14ac:dyDescent="0.2">
      <c r="B3518" s="352"/>
      <c r="C3518" s="352"/>
      <c r="D3518" s="352"/>
      <c r="E3518" s="352"/>
      <c r="F3518" s="352"/>
      <c r="H3518" s="352"/>
      <c r="J3518" s="352"/>
      <c r="L3518" s="352"/>
      <c r="M3518" s="352"/>
      <c r="N3518" s="352"/>
      <c r="O3518" s="352"/>
      <c r="P3518" s="352"/>
      <c r="Q3518" s="352"/>
      <c r="R3518" s="352"/>
      <c r="S3518" s="352"/>
      <c r="T3518" s="352"/>
      <c r="U3518" s="352"/>
      <c r="V3518" s="352"/>
      <c r="W3518" s="352"/>
      <c r="X3518" s="352"/>
      <c r="Y3518" s="352"/>
      <c r="Z3518" s="352"/>
      <c r="AA3518" s="352"/>
      <c r="AB3518" s="352"/>
      <c r="AC3518" s="352"/>
      <c r="AD3518" s="352"/>
      <c r="AE3518" s="352"/>
      <c r="AF3518" s="352"/>
      <c r="AG3518" s="352"/>
      <c r="AH3518" s="352"/>
      <c r="AI3518" s="352"/>
      <c r="AJ3518" s="352"/>
    </row>
    <row r="3519" spans="2:36" x14ac:dyDescent="0.2">
      <c r="B3519" s="352"/>
      <c r="C3519" s="352"/>
      <c r="D3519" s="352"/>
      <c r="E3519" s="352"/>
      <c r="F3519" s="352"/>
      <c r="H3519" s="352"/>
      <c r="J3519" s="352"/>
      <c r="L3519" s="352"/>
      <c r="M3519" s="352"/>
      <c r="N3519" s="352"/>
      <c r="O3519" s="352"/>
      <c r="P3519" s="352"/>
      <c r="Q3519" s="352"/>
      <c r="R3519" s="352"/>
      <c r="S3519" s="352"/>
      <c r="T3519" s="352"/>
      <c r="U3519" s="352"/>
      <c r="V3519" s="352"/>
      <c r="W3519" s="352"/>
      <c r="X3519" s="352"/>
      <c r="Y3519" s="352"/>
      <c r="Z3519" s="352"/>
      <c r="AA3519" s="352"/>
      <c r="AB3519" s="352"/>
      <c r="AC3519" s="352"/>
      <c r="AD3519" s="352"/>
      <c r="AE3519" s="352"/>
      <c r="AF3519" s="352"/>
      <c r="AG3519" s="352"/>
      <c r="AH3519" s="352"/>
      <c r="AI3519" s="352"/>
      <c r="AJ3519" s="352"/>
    </row>
    <row r="3520" spans="2:36" x14ac:dyDescent="0.2">
      <c r="B3520" s="352"/>
      <c r="C3520" s="352"/>
      <c r="D3520" s="352"/>
      <c r="E3520" s="352"/>
      <c r="F3520" s="352"/>
      <c r="H3520" s="352"/>
      <c r="J3520" s="352"/>
      <c r="L3520" s="352"/>
      <c r="M3520" s="352"/>
      <c r="N3520" s="352"/>
      <c r="O3520" s="352"/>
      <c r="P3520" s="352"/>
      <c r="Q3520" s="352"/>
      <c r="R3520" s="352"/>
      <c r="S3520" s="352"/>
      <c r="T3520" s="352"/>
      <c r="U3520" s="352"/>
      <c r="V3520" s="352"/>
      <c r="W3520" s="352"/>
      <c r="X3520" s="352"/>
      <c r="Y3520" s="352"/>
      <c r="Z3520" s="352"/>
      <c r="AA3520" s="352"/>
      <c r="AB3520" s="352"/>
      <c r="AC3520" s="352"/>
      <c r="AD3520" s="352"/>
      <c r="AE3520" s="352"/>
      <c r="AF3520" s="352"/>
      <c r="AG3520" s="352"/>
      <c r="AH3520" s="352"/>
      <c r="AI3520" s="352"/>
      <c r="AJ3520" s="352"/>
    </row>
    <row r="3521" spans="2:36" x14ac:dyDescent="0.2">
      <c r="B3521" s="352"/>
      <c r="C3521" s="352"/>
      <c r="D3521" s="352"/>
      <c r="E3521" s="352"/>
      <c r="F3521" s="352"/>
      <c r="H3521" s="352"/>
      <c r="J3521" s="352"/>
      <c r="L3521" s="352"/>
      <c r="M3521" s="352"/>
      <c r="N3521" s="352"/>
      <c r="O3521" s="352"/>
      <c r="P3521" s="352"/>
      <c r="Q3521" s="352"/>
      <c r="R3521" s="352"/>
      <c r="S3521" s="352"/>
      <c r="T3521" s="352"/>
      <c r="U3521" s="352"/>
      <c r="V3521" s="352"/>
      <c r="W3521" s="352"/>
      <c r="X3521" s="352"/>
      <c r="Y3521" s="352"/>
      <c r="Z3521" s="352"/>
      <c r="AA3521" s="352"/>
      <c r="AB3521" s="352"/>
      <c r="AC3521" s="352"/>
      <c r="AD3521" s="352"/>
      <c r="AE3521" s="352"/>
      <c r="AF3521" s="352"/>
      <c r="AG3521" s="352"/>
      <c r="AH3521" s="352"/>
      <c r="AI3521" s="352"/>
      <c r="AJ3521" s="352"/>
    </row>
    <row r="3522" spans="2:36" x14ac:dyDescent="0.2">
      <c r="B3522" s="352"/>
      <c r="C3522" s="352"/>
      <c r="D3522" s="352"/>
      <c r="E3522" s="352"/>
      <c r="F3522" s="352"/>
      <c r="H3522" s="352"/>
      <c r="J3522" s="352"/>
      <c r="L3522" s="352"/>
      <c r="M3522" s="352"/>
      <c r="N3522" s="352"/>
      <c r="O3522" s="352"/>
      <c r="P3522" s="352"/>
      <c r="Q3522" s="352"/>
      <c r="R3522" s="352"/>
      <c r="S3522" s="352"/>
      <c r="T3522" s="352"/>
      <c r="U3522" s="352"/>
      <c r="V3522" s="352"/>
      <c r="W3522" s="352"/>
      <c r="X3522" s="352"/>
      <c r="Y3522" s="352"/>
      <c r="Z3522" s="352"/>
      <c r="AA3522" s="352"/>
      <c r="AB3522" s="352"/>
      <c r="AC3522" s="352"/>
      <c r="AD3522" s="352"/>
      <c r="AE3522" s="352"/>
      <c r="AF3522" s="352"/>
      <c r="AG3522" s="352"/>
      <c r="AH3522" s="352"/>
      <c r="AI3522" s="352"/>
      <c r="AJ3522" s="352"/>
    </row>
    <row r="3523" spans="2:36" x14ac:dyDescent="0.2">
      <c r="B3523" s="352"/>
      <c r="C3523" s="352"/>
      <c r="D3523" s="352"/>
      <c r="E3523" s="352"/>
      <c r="F3523" s="352"/>
      <c r="H3523" s="352"/>
      <c r="J3523" s="352"/>
      <c r="L3523" s="352"/>
      <c r="M3523" s="352"/>
      <c r="N3523" s="352"/>
      <c r="O3523" s="352"/>
      <c r="P3523" s="352"/>
      <c r="Q3523" s="352"/>
      <c r="R3523" s="352"/>
      <c r="S3523" s="352"/>
      <c r="T3523" s="352"/>
      <c r="U3523" s="352"/>
      <c r="V3523" s="352"/>
      <c r="W3523" s="352"/>
      <c r="X3523" s="352"/>
      <c r="Y3523" s="352"/>
      <c r="Z3523" s="352"/>
      <c r="AA3523" s="352"/>
      <c r="AB3523" s="352"/>
      <c r="AC3523" s="352"/>
      <c r="AD3523" s="352"/>
      <c r="AE3523" s="352"/>
      <c r="AF3523" s="352"/>
      <c r="AG3523" s="352"/>
      <c r="AH3523" s="352"/>
      <c r="AI3523" s="352"/>
      <c r="AJ3523" s="352"/>
    </row>
    <row r="3524" spans="2:36" x14ac:dyDescent="0.2">
      <c r="B3524" s="352"/>
      <c r="C3524" s="352"/>
      <c r="D3524" s="352"/>
      <c r="E3524" s="352"/>
      <c r="F3524" s="352"/>
      <c r="H3524" s="352"/>
      <c r="J3524" s="352"/>
      <c r="L3524" s="352"/>
      <c r="M3524" s="352"/>
      <c r="N3524" s="352"/>
      <c r="O3524" s="352"/>
      <c r="P3524" s="352"/>
      <c r="Q3524" s="352"/>
      <c r="R3524" s="352"/>
      <c r="S3524" s="352"/>
      <c r="T3524" s="352"/>
      <c r="U3524" s="352"/>
      <c r="V3524" s="352"/>
      <c r="W3524" s="352"/>
      <c r="X3524" s="352"/>
      <c r="Y3524" s="352"/>
      <c r="Z3524" s="352"/>
      <c r="AA3524" s="352"/>
      <c r="AB3524" s="352"/>
      <c r="AC3524" s="352"/>
      <c r="AD3524" s="352"/>
      <c r="AE3524" s="352"/>
      <c r="AF3524" s="352"/>
      <c r="AG3524" s="352"/>
      <c r="AH3524" s="352"/>
      <c r="AI3524" s="352"/>
      <c r="AJ3524" s="352"/>
    </row>
    <row r="3525" spans="2:36" x14ac:dyDescent="0.2">
      <c r="B3525" s="352"/>
      <c r="C3525" s="352"/>
      <c r="D3525" s="352"/>
      <c r="E3525" s="352"/>
      <c r="F3525" s="352"/>
      <c r="H3525" s="352"/>
      <c r="J3525" s="352"/>
      <c r="L3525" s="352"/>
      <c r="M3525" s="352"/>
      <c r="N3525" s="352"/>
      <c r="O3525" s="352"/>
      <c r="P3525" s="352"/>
      <c r="Q3525" s="352"/>
      <c r="R3525" s="352"/>
      <c r="S3525" s="352"/>
      <c r="T3525" s="352"/>
      <c r="U3525" s="352"/>
      <c r="V3525" s="352"/>
      <c r="W3525" s="352"/>
      <c r="X3525" s="352"/>
      <c r="Y3525" s="352"/>
      <c r="Z3525" s="352"/>
      <c r="AA3525" s="352"/>
      <c r="AB3525" s="352"/>
      <c r="AC3525" s="352"/>
      <c r="AD3525" s="352"/>
      <c r="AE3525" s="352"/>
      <c r="AF3525" s="352"/>
      <c r="AG3525" s="352"/>
      <c r="AH3525" s="352"/>
      <c r="AI3525" s="352"/>
      <c r="AJ3525" s="352"/>
    </row>
    <row r="3526" spans="2:36" x14ac:dyDescent="0.2">
      <c r="B3526" s="352"/>
      <c r="C3526" s="352"/>
      <c r="D3526" s="352"/>
      <c r="E3526" s="352"/>
      <c r="F3526" s="352"/>
      <c r="H3526" s="352"/>
      <c r="J3526" s="352"/>
      <c r="L3526" s="352"/>
      <c r="M3526" s="352"/>
      <c r="N3526" s="352"/>
      <c r="O3526" s="352"/>
      <c r="P3526" s="352"/>
      <c r="Q3526" s="352"/>
      <c r="R3526" s="352"/>
      <c r="S3526" s="352"/>
      <c r="T3526" s="352"/>
      <c r="U3526" s="352"/>
      <c r="V3526" s="352"/>
      <c r="W3526" s="352"/>
      <c r="X3526" s="352"/>
      <c r="Y3526" s="352"/>
      <c r="Z3526" s="352"/>
      <c r="AA3526" s="352"/>
      <c r="AB3526" s="352"/>
      <c r="AC3526" s="352"/>
      <c r="AD3526" s="352"/>
      <c r="AE3526" s="352"/>
      <c r="AF3526" s="352"/>
      <c r="AG3526" s="352"/>
      <c r="AH3526" s="352"/>
      <c r="AI3526" s="352"/>
      <c r="AJ3526" s="352"/>
    </row>
    <row r="3527" spans="2:36" x14ac:dyDescent="0.2">
      <c r="B3527" s="352"/>
      <c r="C3527" s="352"/>
      <c r="D3527" s="352"/>
      <c r="E3527" s="352"/>
      <c r="F3527" s="352"/>
      <c r="H3527" s="352"/>
      <c r="J3527" s="352"/>
      <c r="L3527" s="352"/>
      <c r="M3527" s="352"/>
      <c r="N3527" s="352"/>
      <c r="O3527" s="352"/>
      <c r="P3527" s="352"/>
      <c r="Q3527" s="352"/>
      <c r="R3527" s="352"/>
      <c r="S3527" s="352"/>
      <c r="T3527" s="352"/>
      <c r="U3527" s="352"/>
      <c r="V3527" s="352"/>
      <c r="W3527" s="352"/>
      <c r="X3527" s="352"/>
      <c r="Y3527" s="352"/>
      <c r="Z3527" s="352"/>
      <c r="AA3527" s="352"/>
      <c r="AB3527" s="352"/>
      <c r="AC3527" s="352"/>
      <c r="AD3527" s="352"/>
      <c r="AE3527" s="352"/>
      <c r="AF3527" s="352"/>
      <c r="AG3527" s="352"/>
      <c r="AH3527" s="352"/>
      <c r="AI3527" s="352"/>
      <c r="AJ3527" s="352"/>
    </row>
    <row r="3528" spans="2:36" x14ac:dyDescent="0.2">
      <c r="B3528" s="352"/>
      <c r="C3528" s="352"/>
      <c r="D3528" s="352"/>
      <c r="E3528" s="352"/>
      <c r="F3528" s="352"/>
      <c r="H3528" s="352"/>
      <c r="J3528" s="352"/>
      <c r="L3528" s="352"/>
      <c r="M3528" s="352"/>
      <c r="N3528" s="352"/>
      <c r="O3528" s="352"/>
      <c r="P3528" s="352"/>
      <c r="Q3528" s="352"/>
      <c r="R3528" s="352"/>
      <c r="S3528" s="352"/>
      <c r="T3528" s="352"/>
      <c r="U3528" s="352"/>
      <c r="V3528" s="352"/>
      <c r="W3528" s="352"/>
      <c r="X3528" s="352"/>
      <c r="Y3528" s="352"/>
      <c r="Z3528" s="352"/>
      <c r="AA3528" s="352"/>
      <c r="AB3528" s="352"/>
      <c r="AC3528" s="352"/>
      <c r="AD3528" s="352"/>
      <c r="AE3528" s="352"/>
      <c r="AF3528" s="352"/>
      <c r="AG3528" s="352"/>
      <c r="AH3528" s="352"/>
      <c r="AI3528" s="352"/>
      <c r="AJ3528" s="352"/>
    </row>
    <row r="3529" spans="2:36" x14ac:dyDescent="0.2">
      <c r="B3529" s="352"/>
      <c r="C3529" s="352"/>
      <c r="D3529" s="352"/>
      <c r="E3529" s="352"/>
      <c r="F3529" s="352"/>
      <c r="H3529" s="352"/>
      <c r="J3529" s="352"/>
      <c r="L3529" s="352"/>
      <c r="M3529" s="352"/>
      <c r="N3529" s="352"/>
      <c r="O3529" s="352"/>
      <c r="P3529" s="352"/>
      <c r="Q3529" s="352"/>
      <c r="R3529" s="352"/>
      <c r="S3529" s="352"/>
      <c r="T3529" s="352"/>
      <c r="U3529" s="352"/>
      <c r="V3529" s="352"/>
      <c r="W3529" s="352"/>
      <c r="X3529" s="352"/>
      <c r="Y3529" s="352"/>
      <c r="Z3529" s="352"/>
      <c r="AA3529" s="352"/>
      <c r="AB3529" s="352"/>
      <c r="AC3529" s="352"/>
      <c r="AD3529" s="352"/>
      <c r="AE3529" s="352"/>
      <c r="AF3529" s="352"/>
      <c r="AG3529" s="352"/>
      <c r="AH3529" s="352"/>
      <c r="AI3529" s="352"/>
      <c r="AJ3529" s="352"/>
    </row>
    <row r="3530" spans="2:36" x14ac:dyDescent="0.2">
      <c r="B3530" s="352"/>
      <c r="C3530" s="352"/>
      <c r="D3530" s="352"/>
      <c r="E3530" s="352"/>
      <c r="F3530" s="352"/>
      <c r="H3530" s="352"/>
      <c r="J3530" s="352"/>
      <c r="L3530" s="352"/>
      <c r="M3530" s="352"/>
      <c r="N3530" s="352"/>
      <c r="O3530" s="352"/>
      <c r="P3530" s="352"/>
      <c r="Q3530" s="352"/>
      <c r="R3530" s="352"/>
      <c r="S3530" s="352"/>
      <c r="T3530" s="352"/>
      <c r="U3530" s="352"/>
      <c r="V3530" s="352"/>
      <c r="W3530" s="352"/>
      <c r="X3530" s="352"/>
      <c r="Y3530" s="352"/>
      <c r="Z3530" s="352"/>
      <c r="AA3530" s="352"/>
      <c r="AB3530" s="352"/>
      <c r="AC3530" s="352"/>
      <c r="AD3530" s="352"/>
      <c r="AE3530" s="352"/>
      <c r="AF3530" s="352"/>
      <c r="AG3530" s="352"/>
      <c r="AH3530" s="352"/>
      <c r="AI3530" s="352"/>
      <c r="AJ3530" s="352"/>
    </row>
    <row r="3531" spans="2:36" x14ac:dyDescent="0.2">
      <c r="B3531" s="352"/>
      <c r="C3531" s="352"/>
      <c r="D3531" s="352"/>
      <c r="E3531" s="352"/>
      <c r="F3531" s="352"/>
      <c r="H3531" s="352"/>
      <c r="J3531" s="352"/>
      <c r="L3531" s="352"/>
      <c r="M3531" s="352"/>
      <c r="N3531" s="352"/>
      <c r="O3531" s="352"/>
      <c r="P3531" s="352"/>
      <c r="Q3531" s="352"/>
      <c r="R3531" s="352"/>
      <c r="S3531" s="352"/>
      <c r="T3531" s="352"/>
      <c r="U3531" s="352"/>
      <c r="V3531" s="352"/>
      <c r="W3531" s="352"/>
      <c r="X3531" s="352"/>
      <c r="Y3531" s="352"/>
      <c r="Z3531" s="352"/>
      <c r="AA3531" s="352"/>
      <c r="AB3531" s="352"/>
      <c r="AC3531" s="352"/>
      <c r="AD3531" s="352"/>
      <c r="AE3531" s="352"/>
      <c r="AF3531" s="352"/>
      <c r="AG3531" s="352"/>
      <c r="AH3531" s="352"/>
      <c r="AI3531" s="352"/>
      <c r="AJ3531" s="352"/>
    </row>
    <row r="3532" spans="2:36" x14ac:dyDescent="0.2">
      <c r="B3532" s="352"/>
      <c r="C3532" s="352"/>
      <c r="D3532" s="352"/>
      <c r="E3532" s="352"/>
      <c r="F3532" s="352"/>
      <c r="H3532" s="352"/>
      <c r="J3532" s="352"/>
      <c r="L3532" s="352"/>
      <c r="M3532" s="352"/>
      <c r="N3532" s="352"/>
      <c r="O3532" s="352"/>
      <c r="P3532" s="352"/>
      <c r="Q3532" s="352"/>
      <c r="R3532" s="352"/>
      <c r="S3532" s="352"/>
      <c r="T3532" s="352"/>
      <c r="U3532" s="352"/>
      <c r="V3532" s="352"/>
      <c r="W3532" s="352"/>
      <c r="X3532" s="352"/>
      <c r="Y3532" s="352"/>
      <c r="Z3532" s="352"/>
      <c r="AA3532" s="352"/>
      <c r="AB3532" s="352"/>
      <c r="AC3532" s="352"/>
      <c r="AD3532" s="352"/>
      <c r="AE3532" s="352"/>
      <c r="AF3532" s="352"/>
      <c r="AG3532" s="352"/>
      <c r="AH3532" s="352"/>
      <c r="AI3532" s="352"/>
      <c r="AJ3532" s="352"/>
    </row>
    <row r="3533" spans="2:36" x14ac:dyDescent="0.2">
      <c r="B3533" s="352"/>
      <c r="C3533" s="352"/>
      <c r="D3533" s="352"/>
      <c r="E3533" s="352"/>
      <c r="F3533" s="352"/>
      <c r="H3533" s="352"/>
      <c r="J3533" s="352"/>
      <c r="L3533" s="352"/>
      <c r="M3533" s="352"/>
      <c r="N3533" s="352"/>
      <c r="O3533" s="352"/>
      <c r="P3533" s="352"/>
      <c r="Q3533" s="352"/>
      <c r="R3533" s="352"/>
      <c r="S3533" s="352"/>
      <c r="T3533" s="352"/>
      <c r="U3533" s="352"/>
      <c r="V3533" s="352"/>
      <c r="W3533" s="352"/>
      <c r="X3533" s="352"/>
      <c r="Y3533" s="352"/>
      <c r="Z3533" s="352"/>
      <c r="AA3533" s="352"/>
      <c r="AB3533" s="352"/>
      <c r="AC3533" s="352"/>
      <c r="AD3533" s="352"/>
      <c r="AE3533" s="352"/>
      <c r="AF3533" s="352"/>
      <c r="AG3533" s="352"/>
      <c r="AH3533" s="352"/>
      <c r="AI3533" s="352"/>
      <c r="AJ3533" s="352"/>
    </row>
    <row r="3534" spans="2:36" x14ac:dyDescent="0.2">
      <c r="B3534" s="352"/>
      <c r="C3534" s="352"/>
      <c r="D3534" s="352"/>
      <c r="E3534" s="352"/>
      <c r="F3534" s="352"/>
      <c r="H3534" s="352"/>
      <c r="J3534" s="352"/>
      <c r="L3534" s="352"/>
      <c r="M3534" s="352"/>
      <c r="N3534" s="352"/>
      <c r="O3534" s="352"/>
      <c r="P3534" s="352"/>
      <c r="Q3534" s="352"/>
      <c r="R3534" s="352"/>
      <c r="S3534" s="352"/>
      <c r="T3534" s="352"/>
      <c r="U3534" s="352"/>
      <c r="V3534" s="352"/>
      <c r="W3534" s="352"/>
      <c r="X3534" s="352"/>
      <c r="Y3534" s="352"/>
      <c r="Z3534" s="352"/>
      <c r="AA3534" s="352"/>
      <c r="AB3534" s="352"/>
      <c r="AC3534" s="352"/>
      <c r="AD3534" s="352"/>
      <c r="AE3534" s="352"/>
      <c r="AF3534" s="352"/>
      <c r="AG3534" s="352"/>
      <c r="AH3534" s="352"/>
      <c r="AI3534" s="352"/>
      <c r="AJ3534" s="352"/>
    </row>
    <row r="3535" spans="2:36" x14ac:dyDescent="0.2">
      <c r="B3535" s="352"/>
      <c r="C3535" s="352"/>
      <c r="D3535" s="352"/>
      <c r="E3535" s="352"/>
      <c r="F3535" s="352"/>
      <c r="H3535" s="352"/>
      <c r="J3535" s="352"/>
      <c r="L3535" s="352"/>
      <c r="M3535" s="352"/>
      <c r="N3535" s="352"/>
      <c r="O3535" s="352"/>
      <c r="P3535" s="352"/>
      <c r="Q3535" s="352"/>
      <c r="R3535" s="352"/>
      <c r="S3535" s="352"/>
      <c r="T3535" s="352"/>
      <c r="U3535" s="352"/>
      <c r="V3535" s="352"/>
      <c r="W3535" s="352"/>
      <c r="X3535" s="352"/>
      <c r="Y3535" s="352"/>
      <c r="Z3535" s="352"/>
      <c r="AA3535" s="352"/>
      <c r="AB3535" s="352"/>
      <c r="AC3535" s="352"/>
      <c r="AD3535" s="352"/>
      <c r="AE3535" s="352"/>
      <c r="AF3535" s="352"/>
      <c r="AG3535" s="352"/>
      <c r="AH3535" s="352"/>
      <c r="AI3535" s="352"/>
      <c r="AJ3535" s="352"/>
    </row>
    <row r="3536" spans="2:36" x14ac:dyDescent="0.2">
      <c r="B3536" s="352"/>
      <c r="C3536" s="352"/>
      <c r="D3536" s="352"/>
      <c r="E3536" s="352"/>
      <c r="F3536" s="352"/>
      <c r="H3536" s="352"/>
      <c r="J3536" s="352"/>
      <c r="L3536" s="352"/>
      <c r="M3536" s="352"/>
      <c r="N3536" s="352"/>
      <c r="O3536" s="352"/>
      <c r="P3536" s="352"/>
      <c r="Q3536" s="352"/>
      <c r="R3536" s="352"/>
      <c r="S3536" s="352"/>
      <c r="T3536" s="352"/>
      <c r="U3536" s="352"/>
      <c r="V3536" s="352"/>
      <c r="W3536" s="352"/>
      <c r="X3536" s="352"/>
      <c r="Y3536" s="352"/>
      <c r="Z3536" s="352"/>
      <c r="AA3536" s="352"/>
      <c r="AB3536" s="352"/>
      <c r="AC3536" s="352"/>
      <c r="AD3536" s="352"/>
      <c r="AE3536" s="352"/>
      <c r="AF3536" s="352"/>
      <c r="AG3536" s="352"/>
      <c r="AH3536" s="352"/>
      <c r="AI3536" s="352"/>
      <c r="AJ3536" s="352"/>
    </row>
    <row r="3537" spans="2:36" x14ac:dyDescent="0.2">
      <c r="B3537" s="352"/>
      <c r="C3537" s="352"/>
      <c r="D3537" s="352"/>
      <c r="E3537" s="352"/>
      <c r="F3537" s="352"/>
      <c r="H3537" s="352"/>
      <c r="J3537" s="352"/>
      <c r="L3537" s="352"/>
      <c r="M3537" s="352"/>
      <c r="N3537" s="352"/>
      <c r="O3537" s="352"/>
      <c r="P3537" s="352"/>
      <c r="Q3537" s="352"/>
      <c r="R3537" s="352"/>
      <c r="S3537" s="352"/>
      <c r="T3537" s="352"/>
      <c r="U3537" s="352"/>
      <c r="V3537" s="352"/>
      <c r="W3537" s="352"/>
      <c r="X3537" s="352"/>
      <c r="Y3537" s="352"/>
      <c r="Z3537" s="352"/>
      <c r="AA3537" s="352"/>
      <c r="AB3537" s="352"/>
      <c r="AC3537" s="352"/>
      <c r="AD3537" s="352"/>
      <c r="AE3537" s="352"/>
      <c r="AF3537" s="352"/>
      <c r="AG3537" s="352"/>
      <c r="AH3537" s="352"/>
      <c r="AI3537" s="352"/>
      <c r="AJ3537" s="352"/>
    </row>
    <row r="3538" spans="2:36" x14ac:dyDescent="0.2">
      <c r="B3538" s="352"/>
      <c r="C3538" s="352"/>
      <c r="D3538" s="352"/>
      <c r="E3538" s="352"/>
      <c r="F3538" s="352"/>
      <c r="H3538" s="352"/>
      <c r="J3538" s="352"/>
      <c r="L3538" s="352"/>
      <c r="M3538" s="352"/>
      <c r="N3538" s="352"/>
      <c r="O3538" s="352"/>
      <c r="P3538" s="352"/>
      <c r="Q3538" s="352"/>
      <c r="R3538" s="352"/>
      <c r="S3538" s="352"/>
      <c r="T3538" s="352"/>
      <c r="U3538" s="352"/>
      <c r="V3538" s="352"/>
      <c r="W3538" s="352"/>
      <c r="X3538" s="352"/>
      <c r="Y3538" s="352"/>
      <c r="Z3538" s="352"/>
      <c r="AA3538" s="352"/>
      <c r="AB3538" s="352"/>
      <c r="AC3538" s="352"/>
      <c r="AD3538" s="352"/>
      <c r="AE3538" s="352"/>
      <c r="AF3538" s="352"/>
      <c r="AG3538" s="352"/>
      <c r="AH3538" s="352"/>
      <c r="AI3538" s="352"/>
      <c r="AJ3538" s="352"/>
    </row>
    <row r="3539" spans="2:36" x14ac:dyDescent="0.2">
      <c r="B3539" s="352"/>
      <c r="C3539" s="352"/>
      <c r="D3539" s="352"/>
      <c r="E3539" s="352"/>
      <c r="F3539" s="352"/>
      <c r="H3539" s="352"/>
      <c r="J3539" s="352"/>
      <c r="L3539" s="352"/>
      <c r="M3539" s="352"/>
      <c r="N3539" s="352"/>
      <c r="O3539" s="352"/>
      <c r="P3539" s="352"/>
      <c r="Q3539" s="352"/>
      <c r="R3539" s="352"/>
      <c r="S3539" s="352"/>
      <c r="T3539" s="352"/>
      <c r="U3539" s="352"/>
      <c r="V3539" s="352"/>
      <c r="W3539" s="352"/>
      <c r="X3539" s="352"/>
      <c r="Y3539" s="352"/>
      <c r="Z3539" s="352"/>
      <c r="AA3539" s="352"/>
      <c r="AB3539" s="352"/>
      <c r="AC3539" s="352"/>
      <c r="AD3539" s="352"/>
      <c r="AE3539" s="352"/>
      <c r="AF3539" s="352"/>
      <c r="AG3539" s="352"/>
      <c r="AH3539" s="352"/>
      <c r="AI3539" s="352"/>
      <c r="AJ3539" s="352"/>
    </row>
    <row r="3540" spans="2:36" x14ac:dyDescent="0.2">
      <c r="B3540" s="352"/>
      <c r="C3540" s="352"/>
      <c r="D3540" s="352"/>
      <c r="E3540" s="352"/>
      <c r="F3540" s="352"/>
      <c r="H3540" s="352"/>
      <c r="J3540" s="352"/>
      <c r="L3540" s="352"/>
      <c r="M3540" s="352"/>
      <c r="N3540" s="352"/>
      <c r="O3540" s="352"/>
      <c r="P3540" s="352"/>
      <c r="Q3540" s="352"/>
      <c r="R3540" s="352"/>
      <c r="S3540" s="352"/>
      <c r="T3540" s="352"/>
      <c r="U3540" s="352"/>
      <c r="V3540" s="352"/>
      <c r="W3540" s="352"/>
      <c r="X3540" s="352"/>
      <c r="Y3540" s="352"/>
      <c r="Z3540" s="352"/>
      <c r="AA3540" s="352"/>
      <c r="AB3540" s="352"/>
      <c r="AC3540" s="352"/>
      <c r="AD3540" s="352"/>
      <c r="AE3540" s="352"/>
      <c r="AF3540" s="352"/>
      <c r="AG3540" s="352"/>
      <c r="AH3540" s="352"/>
      <c r="AI3540" s="352"/>
      <c r="AJ3540" s="352"/>
    </row>
    <row r="3541" spans="2:36" x14ac:dyDescent="0.2">
      <c r="B3541" s="352"/>
      <c r="C3541" s="352"/>
      <c r="D3541" s="352"/>
      <c r="E3541" s="352"/>
      <c r="F3541" s="352"/>
      <c r="H3541" s="352"/>
      <c r="J3541" s="352"/>
      <c r="L3541" s="352"/>
      <c r="M3541" s="352"/>
      <c r="N3541" s="352"/>
      <c r="O3541" s="352"/>
      <c r="P3541" s="352"/>
      <c r="Q3541" s="352"/>
      <c r="R3541" s="352"/>
      <c r="S3541" s="352"/>
      <c r="T3541" s="352"/>
      <c r="U3541" s="352"/>
      <c r="V3541" s="352"/>
      <c r="W3541" s="352"/>
      <c r="X3541" s="352"/>
      <c r="Y3541" s="352"/>
      <c r="Z3541" s="352"/>
      <c r="AA3541" s="352"/>
      <c r="AB3541" s="352"/>
      <c r="AC3541" s="352"/>
      <c r="AD3541" s="352"/>
      <c r="AE3541" s="352"/>
      <c r="AF3541" s="352"/>
      <c r="AG3541" s="352"/>
      <c r="AH3541" s="352"/>
      <c r="AI3541" s="352"/>
      <c r="AJ3541" s="352"/>
    </row>
    <row r="3542" spans="2:36" x14ac:dyDescent="0.2">
      <c r="B3542" s="352"/>
      <c r="C3542" s="352"/>
      <c r="D3542" s="352"/>
      <c r="E3542" s="352"/>
      <c r="F3542" s="352"/>
      <c r="H3542" s="352"/>
      <c r="J3542" s="352"/>
      <c r="L3542" s="352"/>
      <c r="M3542" s="352"/>
      <c r="N3542" s="352"/>
      <c r="O3542" s="352"/>
      <c r="P3542" s="352"/>
      <c r="Q3542" s="352"/>
      <c r="R3542" s="352"/>
      <c r="S3542" s="352"/>
      <c r="T3542" s="352"/>
      <c r="U3542" s="352"/>
      <c r="V3542" s="352"/>
      <c r="W3542" s="352"/>
      <c r="X3542" s="352"/>
      <c r="Y3542" s="352"/>
      <c r="Z3542" s="352"/>
      <c r="AA3542" s="352"/>
      <c r="AB3542" s="352"/>
      <c r="AC3542" s="352"/>
      <c r="AD3542" s="352"/>
      <c r="AE3542" s="352"/>
      <c r="AF3542" s="352"/>
      <c r="AG3542" s="352"/>
      <c r="AH3542" s="352"/>
      <c r="AI3542" s="352"/>
      <c r="AJ3542" s="352"/>
    </row>
    <row r="3543" spans="2:36" x14ac:dyDescent="0.2">
      <c r="B3543" s="352"/>
      <c r="C3543" s="352"/>
      <c r="D3543" s="352"/>
      <c r="E3543" s="352"/>
      <c r="F3543" s="352"/>
      <c r="H3543" s="352"/>
      <c r="J3543" s="352"/>
      <c r="L3543" s="352"/>
      <c r="M3543" s="352"/>
      <c r="N3543" s="352"/>
      <c r="O3543" s="352"/>
      <c r="P3543" s="352"/>
      <c r="Q3543" s="352"/>
      <c r="R3543" s="352"/>
      <c r="S3543" s="352"/>
      <c r="T3543" s="352"/>
      <c r="U3543" s="352"/>
      <c r="V3543" s="352"/>
      <c r="W3543" s="352"/>
      <c r="X3543" s="352"/>
      <c r="Y3543" s="352"/>
      <c r="Z3543" s="352"/>
      <c r="AA3543" s="352"/>
      <c r="AB3543" s="352"/>
      <c r="AC3543" s="352"/>
      <c r="AD3543" s="352"/>
      <c r="AE3543" s="352"/>
      <c r="AF3543" s="352"/>
      <c r="AG3543" s="352"/>
      <c r="AH3543" s="352"/>
      <c r="AI3543" s="352"/>
      <c r="AJ3543" s="352"/>
    </row>
    <row r="3544" spans="2:36" x14ac:dyDescent="0.2">
      <c r="B3544" s="352"/>
      <c r="C3544" s="352"/>
      <c r="D3544" s="352"/>
      <c r="E3544" s="352"/>
      <c r="F3544" s="352"/>
      <c r="H3544" s="352"/>
      <c r="J3544" s="352"/>
      <c r="L3544" s="352"/>
      <c r="M3544" s="352"/>
      <c r="N3544" s="352"/>
      <c r="O3544" s="352"/>
      <c r="P3544" s="352"/>
      <c r="Q3544" s="352"/>
      <c r="R3544" s="352"/>
      <c r="S3544" s="352"/>
      <c r="T3544" s="352"/>
      <c r="U3544" s="352"/>
      <c r="V3544" s="352"/>
      <c r="W3544" s="352"/>
      <c r="X3544" s="352"/>
      <c r="Y3544" s="352"/>
      <c r="Z3544" s="352"/>
      <c r="AA3544" s="352"/>
      <c r="AB3544" s="352"/>
      <c r="AC3544" s="352"/>
      <c r="AD3544" s="352"/>
      <c r="AE3544" s="352"/>
      <c r="AF3544" s="352"/>
      <c r="AG3544" s="352"/>
      <c r="AH3544" s="352"/>
      <c r="AI3544" s="352"/>
      <c r="AJ3544" s="352"/>
    </row>
    <row r="3545" spans="2:36" x14ac:dyDescent="0.2">
      <c r="B3545" s="352"/>
      <c r="C3545" s="352"/>
      <c r="D3545" s="352"/>
      <c r="E3545" s="352"/>
      <c r="F3545" s="352"/>
      <c r="H3545" s="352"/>
      <c r="J3545" s="352"/>
      <c r="L3545" s="352"/>
      <c r="M3545" s="352"/>
      <c r="N3545" s="352"/>
      <c r="O3545" s="352"/>
      <c r="P3545" s="352"/>
      <c r="Q3545" s="352"/>
      <c r="R3545" s="352"/>
      <c r="S3545" s="352"/>
      <c r="T3545" s="352"/>
      <c r="U3545" s="352"/>
      <c r="V3545" s="352"/>
      <c r="W3545" s="352"/>
      <c r="X3545" s="352"/>
      <c r="Y3545" s="352"/>
      <c r="Z3545" s="352"/>
      <c r="AA3545" s="352"/>
      <c r="AB3545" s="352"/>
      <c r="AC3545" s="352"/>
      <c r="AD3545" s="352"/>
      <c r="AE3545" s="352"/>
      <c r="AF3545" s="352"/>
      <c r="AG3545" s="352"/>
      <c r="AH3545" s="352"/>
      <c r="AI3545" s="352"/>
      <c r="AJ3545" s="352"/>
    </row>
    <row r="3546" spans="2:36" x14ac:dyDescent="0.2">
      <c r="B3546" s="352"/>
      <c r="C3546" s="352"/>
      <c r="D3546" s="352"/>
      <c r="E3546" s="352"/>
      <c r="F3546" s="352"/>
      <c r="H3546" s="352"/>
      <c r="J3546" s="352"/>
      <c r="L3546" s="352"/>
      <c r="M3546" s="352"/>
      <c r="N3546" s="352"/>
      <c r="O3546" s="352"/>
      <c r="P3546" s="352"/>
      <c r="Q3546" s="352"/>
      <c r="R3546" s="352"/>
      <c r="S3546" s="352"/>
      <c r="T3546" s="352"/>
      <c r="U3546" s="352"/>
      <c r="V3546" s="352"/>
      <c r="W3546" s="352"/>
      <c r="X3546" s="352"/>
      <c r="Y3546" s="352"/>
      <c r="Z3546" s="352"/>
      <c r="AA3546" s="352"/>
      <c r="AB3546" s="352"/>
      <c r="AC3546" s="352"/>
      <c r="AD3546" s="352"/>
      <c r="AE3546" s="352"/>
      <c r="AF3546" s="352"/>
      <c r="AG3546" s="352"/>
      <c r="AH3546" s="352"/>
      <c r="AI3546" s="352"/>
      <c r="AJ3546" s="352"/>
    </row>
    <row r="3547" spans="2:36" x14ac:dyDescent="0.2">
      <c r="B3547" s="352"/>
      <c r="C3547" s="352"/>
      <c r="D3547" s="352"/>
      <c r="E3547" s="352"/>
      <c r="F3547" s="352"/>
      <c r="H3547" s="352"/>
      <c r="J3547" s="352"/>
      <c r="L3547" s="352"/>
      <c r="M3547" s="352"/>
      <c r="N3547" s="352"/>
      <c r="O3547" s="352"/>
      <c r="P3547" s="352"/>
      <c r="Q3547" s="352"/>
      <c r="R3547" s="352"/>
      <c r="S3547" s="352"/>
      <c r="T3547" s="352"/>
      <c r="U3547" s="352"/>
      <c r="V3547" s="352"/>
      <c r="W3547" s="352"/>
      <c r="X3547" s="352"/>
      <c r="Y3547" s="352"/>
      <c r="Z3547" s="352"/>
      <c r="AA3547" s="352"/>
      <c r="AB3547" s="352"/>
      <c r="AC3547" s="352"/>
      <c r="AD3547" s="352"/>
      <c r="AE3547" s="352"/>
      <c r="AF3547" s="352"/>
      <c r="AG3547" s="352"/>
      <c r="AH3547" s="352"/>
      <c r="AI3547" s="352"/>
      <c r="AJ3547" s="352"/>
    </row>
    <row r="3548" spans="2:36" x14ac:dyDescent="0.2">
      <c r="B3548" s="352"/>
      <c r="C3548" s="352"/>
      <c r="D3548" s="352"/>
      <c r="E3548" s="352"/>
      <c r="F3548" s="352"/>
      <c r="H3548" s="352"/>
      <c r="J3548" s="352"/>
      <c r="L3548" s="352"/>
      <c r="M3548" s="352"/>
      <c r="N3548" s="352"/>
      <c r="O3548" s="352"/>
      <c r="P3548" s="352"/>
      <c r="Q3548" s="352"/>
      <c r="R3548" s="352"/>
      <c r="S3548" s="352"/>
      <c r="T3548" s="352"/>
      <c r="U3548" s="352"/>
      <c r="V3548" s="352"/>
      <c r="W3548" s="352"/>
      <c r="X3548" s="352"/>
      <c r="Y3548" s="352"/>
      <c r="Z3548" s="352"/>
      <c r="AA3548" s="352"/>
      <c r="AB3548" s="352"/>
      <c r="AC3548" s="352"/>
      <c r="AD3548" s="352"/>
      <c r="AE3548" s="352"/>
      <c r="AF3548" s="352"/>
      <c r="AG3548" s="352"/>
      <c r="AH3548" s="352"/>
      <c r="AI3548" s="352"/>
      <c r="AJ3548" s="352"/>
    </row>
    <row r="3549" spans="2:36" x14ac:dyDescent="0.2">
      <c r="B3549" s="352"/>
      <c r="C3549" s="352"/>
      <c r="D3549" s="352"/>
      <c r="E3549" s="352"/>
      <c r="F3549" s="352"/>
      <c r="H3549" s="352"/>
      <c r="J3549" s="352"/>
      <c r="L3549" s="352"/>
      <c r="M3549" s="352"/>
      <c r="N3549" s="352"/>
      <c r="O3549" s="352"/>
      <c r="P3549" s="352"/>
      <c r="Q3549" s="352"/>
      <c r="R3549" s="352"/>
      <c r="S3549" s="352"/>
      <c r="T3549" s="352"/>
      <c r="U3549" s="352"/>
      <c r="V3549" s="352"/>
      <c r="W3549" s="352"/>
      <c r="X3549" s="352"/>
      <c r="Y3549" s="352"/>
      <c r="Z3549" s="352"/>
      <c r="AA3549" s="352"/>
      <c r="AB3549" s="352"/>
      <c r="AC3549" s="352"/>
      <c r="AD3549" s="352"/>
      <c r="AE3549" s="352"/>
      <c r="AF3549" s="352"/>
      <c r="AG3549" s="352"/>
      <c r="AH3549" s="352"/>
      <c r="AI3549" s="352"/>
      <c r="AJ3549" s="352"/>
    </row>
    <row r="3550" spans="2:36" x14ac:dyDescent="0.2">
      <c r="B3550" s="352"/>
      <c r="C3550" s="352"/>
      <c r="D3550" s="352"/>
      <c r="E3550" s="352"/>
      <c r="F3550" s="352"/>
      <c r="H3550" s="352"/>
      <c r="J3550" s="352"/>
      <c r="L3550" s="352"/>
      <c r="M3550" s="352"/>
      <c r="N3550" s="352"/>
      <c r="O3550" s="352"/>
      <c r="P3550" s="352"/>
      <c r="Q3550" s="352"/>
      <c r="R3550" s="352"/>
      <c r="S3550" s="352"/>
      <c r="T3550" s="352"/>
      <c r="U3550" s="352"/>
      <c r="V3550" s="352"/>
      <c r="W3550" s="352"/>
      <c r="X3550" s="352"/>
      <c r="Y3550" s="352"/>
      <c r="Z3550" s="352"/>
      <c r="AA3550" s="352"/>
      <c r="AB3550" s="352"/>
      <c r="AC3550" s="352"/>
      <c r="AD3550" s="352"/>
      <c r="AE3550" s="352"/>
      <c r="AF3550" s="352"/>
      <c r="AG3550" s="352"/>
      <c r="AH3550" s="352"/>
      <c r="AI3550" s="352"/>
      <c r="AJ3550" s="352"/>
    </row>
    <row r="3551" spans="2:36" x14ac:dyDescent="0.2">
      <c r="B3551" s="352"/>
      <c r="C3551" s="352"/>
      <c r="D3551" s="352"/>
      <c r="E3551" s="352"/>
      <c r="F3551" s="352"/>
      <c r="H3551" s="352"/>
      <c r="J3551" s="352"/>
      <c r="L3551" s="352"/>
      <c r="M3551" s="352"/>
      <c r="N3551" s="352"/>
      <c r="O3551" s="352"/>
      <c r="P3551" s="352"/>
      <c r="Q3551" s="352"/>
      <c r="R3551" s="352"/>
      <c r="S3551" s="352"/>
      <c r="T3551" s="352"/>
      <c r="U3551" s="352"/>
      <c r="V3551" s="352"/>
      <c r="W3551" s="352"/>
      <c r="X3551" s="352"/>
      <c r="Y3551" s="352"/>
      <c r="Z3551" s="352"/>
      <c r="AA3551" s="352"/>
      <c r="AB3551" s="352"/>
      <c r="AC3551" s="352"/>
      <c r="AD3551" s="352"/>
      <c r="AE3551" s="352"/>
      <c r="AF3551" s="352"/>
      <c r="AG3551" s="352"/>
      <c r="AH3551" s="352"/>
      <c r="AI3551" s="352"/>
      <c r="AJ3551" s="352"/>
    </row>
    <row r="3552" spans="2:36" x14ac:dyDescent="0.2">
      <c r="B3552" s="352"/>
      <c r="C3552" s="352"/>
      <c r="D3552" s="352"/>
      <c r="E3552" s="352"/>
      <c r="F3552" s="352"/>
      <c r="H3552" s="352"/>
      <c r="J3552" s="352"/>
      <c r="L3552" s="352"/>
      <c r="M3552" s="352"/>
      <c r="N3552" s="352"/>
      <c r="O3552" s="352"/>
      <c r="P3552" s="352"/>
      <c r="Q3552" s="352"/>
      <c r="R3552" s="352"/>
      <c r="S3552" s="352"/>
      <c r="T3552" s="352"/>
      <c r="U3552" s="352"/>
      <c r="V3552" s="352"/>
      <c r="W3552" s="352"/>
      <c r="X3552" s="352"/>
      <c r="Y3552" s="352"/>
      <c r="Z3552" s="352"/>
      <c r="AA3552" s="352"/>
      <c r="AB3552" s="352"/>
      <c r="AC3552" s="352"/>
      <c r="AD3552" s="352"/>
      <c r="AE3552" s="352"/>
      <c r="AF3552" s="352"/>
      <c r="AG3552" s="352"/>
      <c r="AH3552" s="352"/>
      <c r="AI3552" s="352"/>
      <c r="AJ3552" s="352"/>
    </row>
    <row r="3553" spans="2:36" x14ac:dyDescent="0.2">
      <c r="B3553" s="352"/>
      <c r="C3553" s="352"/>
      <c r="D3553" s="352"/>
      <c r="E3553" s="352"/>
      <c r="F3553" s="352"/>
      <c r="H3553" s="352"/>
      <c r="J3553" s="352"/>
      <c r="L3553" s="352"/>
      <c r="M3553" s="352"/>
      <c r="N3553" s="352"/>
      <c r="O3553" s="352"/>
      <c r="P3553" s="352"/>
      <c r="Q3553" s="352"/>
      <c r="R3553" s="352"/>
      <c r="S3553" s="352"/>
      <c r="T3553" s="352"/>
      <c r="U3553" s="352"/>
      <c r="V3553" s="352"/>
      <c r="W3553" s="352"/>
      <c r="X3553" s="352"/>
      <c r="Y3553" s="352"/>
      <c r="Z3553" s="352"/>
      <c r="AA3553" s="352"/>
      <c r="AB3553" s="352"/>
      <c r="AC3553" s="352"/>
      <c r="AD3553" s="352"/>
      <c r="AE3553" s="352"/>
      <c r="AF3553" s="352"/>
      <c r="AG3553" s="352"/>
      <c r="AH3553" s="352"/>
      <c r="AI3553" s="352"/>
      <c r="AJ3553" s="352"/>
    </row>
    <row r="3554" spans="2:36" x14ac:dyDescent="0.2">
      <c r="B3554" s="352"/>
      <c r="C3554" s="352"/>
      <c r="D3554" s="352"/>
      <c r="E3554" s="352"/>
      <c r="F3554" s="352"/>
      <c r="H3554" s="352"/>
      <c r="J3554" s="352"/>
      <c r="L3554" s="352"/>
      <c r="M3554" s="352"/>
      <c r="N3554" s="352"/>
      <c r="O3554" s="352"/>
      <c r="P3554" s="352"/>
      <c r="Q3554" s="352"/>
      <c r="R3554" s="352"/>
      <c r="S3554" s="352"/>
      <c r="T3554" s="352"/>
      <c r="U3554" s="352"/>
      <c r="V3554" s="352"/>
      <c r="W3554" s="352"/>
      <c r="X3554" s="352"/>
      <c r="Y3554" s="352"/>
      <c r="Z3554" s="352"/>
      <c r="AA3554" s="352"/>
      <c r="AB3554" s="352"/>
      <c r="AC3554" s="352"/>
      <c r="AD3554" s="352"/>
      <c r="AE3554" s="352"/>
      <c r="AF3554" s="352"/>
      <c r="AG3554" s="352"/>
      <c r="AH3554" s="352"/>
      <c r="AI3554" s="352"/>
      <c r="AJ3554" s="352"/>
    </row>
    <row r="3555" spans="2:36" x14ac:dyDescent="0.2">
      <c r="B3555" s="352"/>
      <c r="C3555" s="352"/>
      <c r="D3555" s="352"/>
      <c r="E3555" s="352"/>
      <c r="F3555" s="352"/>
      <c r="H3555" s="352"/>
      <c r="J3555" s="352"/>
      <c r="L3555" s="352"/>
      <c r="M3555" s="352"/>
      <c r="N3555" s="352"/>
      <c r="O3555" s="352"/>
      <c r="P3555" s="352"/>
      <c r="Q3555" s="352"/>
      <c r="R3555" s="352"/>
      <c r="S3555" s="352"/>
      <c r="T3555" s="352"/>
      <c r="U3555" s="352"/>
      <c r="V3555" s="352"/>
      <c r="W3555" s="352"/>
      <c r="X3555" s="352"/>
      <c r="Y3555" s="352"/>
      <c r="Z3555" s="352"/>
      <c r="AA3555" s="352"/>
      <c r="AB3555" s="352"/>
      <c r="AC3555" s="352"/>
      <c r="AD3555" s="352"/>
      <c r="AE3555" s="352"/>
      <c r="AF3555" s="352"/>
      <c r="AG3555" s="352"/>
      <c r="AH3555" s="352"/>
      <c r="AI3555" s="352"/>
      <c r="AJ3555" s="352"/>
    </row>
    <row r="3556" spans="2:36" x14ac:dyDescent="0.2">
      <c r="B3556" s="352"/>
      <c r="C3556" s="352"/>
      <c r="D3556" s="352"/>
      <c r="E3556" s="352"/>
      <c r="F3556" s="352"/>
      <c r="H3556" s="352"/>
      <c r="J3556" s="352"/>
      <c r="L3556" s="352"/>
      <c r="M3556" s="352"/>
      <c r="N3556" s="352"/>
      <c r="O3556" s="352"/>
      <c r="P3556" s="352"/>
      <c r="Q3556" s="352"/>
      <c r="R3556" s="352"/>
      <c r="S3556" s="352"/>
      <c r="T3556" s="352"/>
      <c r="U3556" s="352"/>
      <c r="V3556" s="352"/>
      <c r="W3556" s="352"/>
      <c r="X3556" s="352"/>
      <c r="Y3556" s="352"/>
      <c r="Z3556" s="352"/>
      <c r="AA3556" s="352"/>
      <c r="AB3556" s="352"/>
      <c r="AC3556" s="352"/>
      <c r="AD3556" s="352"/>
      <c r="AE3556" s="352"/>
      <c r="AF3556" s="352"/>
      <c r="AG3556" s="352"/>
      <c r="AH3556" s="352"/>
      <c r="AI3556" s="352"/>
      <c r="AJ3556" s="352"/>
    </row>
    <row r="3557" spans="2:36" x14ac:dyDescent="0.2">
      <c r="B3557" s="352"/>
      <c r="C3557" s="352"/>
      <c r="D3557" s="352"/>
      <c r="E3557" s="352"/>
      <c r="F3557" s="352"/>
      <c r="H3557" s="352"/>
      <c r="J3557" s="352"/>
      <c r="L3557" s="352"/>
      <c r="M3557" s="352"/>
      <c r="N3557" s="352"/>
      <c r="O3557" s="352"/>
      <c r="P3557" s="352"/>
      <c r="Q3557" s="352"/>
      <c r="R3557" s="352"/>
      <c r="S3557" s="352"/>
      <c r="T3557" s="352"/>
      <c r="U3557" s="352"/>
      <c r="V3557" s="352"/>
      <c r="W3557" s="352"/>
      <c r="X3557" s="352"/>
      <c r="Y3557" s="352"/>
      <c r="Z3557" s="352"/>
      <c r="AA3557" s="352"/>
      <c r="AB3557" s="352"/>
      <c r="AC3557" s="352"/>
      <c r="AD3557" s="352"/>
      <c r="AE3557" s="352"/>
      <c r="AF3557" s="352"/>
      <c r="AG3557" s="352"/>
      <c r="AH3557" s="352"/>
      <c r="AI3557" s="352"/>
      <c r="AJ3557" s="352"/>
    </row>
    <row r="3558" spans="2:36" x14ac:dyDescent="0.2">
      <c r="B3558" s="352"/>
      <c r="C3558" s="352"/>
      <c r="D3558" s="352"/>
      <c r="E3558" s="352"/>
      <c r="F3558" s="352"/>
      <c r="H3558" s="352"/>
      <c r="J3558" s="352"/>
      <c r="L3558" s="352"/>
      <c r="M3558" s="352"/>
      <c r="N3558" s="352"/>
      <c r="O3558" s="352"/>
      <c r="P3558" s="352"/>
      <c r="Q3558" s="352"/>
      <c r="R3558" s="352"/>
      <c r="S3558" s="352"/>
      <c r="T3558" s="352"/>
      <c r="U3558" s="352"/>
      <c r="V3558" s="352"/>
      <c r="W3558" s="352"/>
      <c r="X3558" s="352"/>
      <c r="Y3558" s="352"/>
      <c r="Z3558" s="352"/>
      <c r="AA3558" s="352"/>
      <c r="AB3558" s="352"/>
      <c r="AC3558" s="352"/>
      <c r="AD3558" s="352"/>
      <c r="AE3558" s="352"/>
      <c r="AF3558" s="352"/>
      <c r="AG3558" s="352"/>
      <c r="AH3558" s="352"/>
      <c r="AI3558" s="352"/>
      <c r="AJ3558" s="352"/>
    </row>
    <row r="3559" spans="2:36" x14ac:dyDescent="0.2">
      <c r="B3559" s="352"/>
      <c r="C3559" s="352"/>
      <c r="D3559" s="352"/>
      <c r="E3559" s="352"/>
      <c r="F3559" s="352"/>
      <c r="H3559" s="352"/>
      <c r="J3559" s="352"/>
      <c r="L3559" s="352"/>
      <c r="M3559" s="352"/>
      <c r="N3559" s="352"/>
      <c r="O3559" s="352"/>
      <c r="P3559" s="352"/>
      <c r="Q3559" s="352"/>
      <c r="R3559" s="352"/>
      <c r="S3559" s="352"/>
      <c r="T3559" s="352"/>
      <c r="U3559" s="352"/>
      <c r="V3559" s="352"/>
      <c r="W3559" s="352"/>
      <c r="X3559" s="352"/>
      <c r="Y3559" s="352"/>
      <c r="Z3559" s="352"/>
      <c r="AA3559" s="352"/>
      <c r="AB3559" s="352"/>
      <c r="AC3559" s="352"/>
      <c r="AD3559" s="352"/>
      <c r="AE3559" s="352"/>
      <c r="AF3559" s="352"/>
      <c r="AG3559" s="352"/>
      <c r="AH3559" s="352"/>
      <c r="AI3559" s="352"/>
      <c r="AJ3559" s="352"/>
    </row>
    <row r="3560" spans="2:36" x14ac:dyDescent="0.2">
      <c r="B3560" s="352"/>
      <c r="C3560" s="352"/>
      <c r="D3560" s="352"/>
      <c r="E3560" s="352"/>
      <c r="F3560" s="352"/>
      <c r="H3560" s="352"/>
      <c r="J3560" s="352"/>
      <c r="L3560" s="352"/>
      <c r="M3560" s="352"/>
      <c r="N3560" s="352"/>
      <c r="O3560" s="352"/>
      <c r="P3560" s="352"/>
      <c r="Q3560" s="352"/>
      <c r="R3560" s="352"/>
      <c r="S3560" s="352"/>
      <c r="T3560" s="352"/>
      <c r="U3560" s="352"/>
      <c r="V3560" s="352"/>
      <c r="W3560" s="352"/>
      <c r="X3560" s="352"/>
      <c r="Y3560" s="352"/>
      <c r="Z3560" s="352"/>
      <c r="AA3560" s="352"/>
      <c r="AB3560" s="352"/>
      <c r="AC3560" s="352"/>
      <c r="AD3560" s="352"/>
      <c r="AE3560" s="352"/>
      <c r="AF3560" s="352"/>
      <c r="AG3560" s="352"/>
      <c r="AH3560" s="352"/>
      <c r="AI3560" s="352"/>
      <c r="AJ3560" s="352"/>
    </row>
    <row r="3561" spans="2:36" x14ac:dyDescent="0.2">
      <c r="B3561" s="352"/>
      <c r="C3561" s="352"/>
      <c r="D3561" s="352"/>
      <c r="E3561" s="352"/>
      <c r="F3561" s="352"/>
      <c r="H3561" s="352"/>
      <c r="J3561" s="352"/>
      <c r="L3561" s="352"/>
      <c r="M3561" s="352"/>
      <c r="N3561" s="352"/>
      <c r="O3561" s="352"/>
      <c r="P3561" s="352"/>
      <c r="Q3561" s="352"/>
      <c r="R3561" s="352"/>
      <c r="S3561" s="352"/>
      <c r="T3561" s="352"/>
      <c r="U3561" s="352"/>
      <c r="V3561" s="352"/>
      <c r="W3561" s="352"/>
      <c r="X3561" s="352"/>
      <c r="Y3561" s="352"/>
      <c r="Z3561" s="352"/>
      <c r="AA3561" s="352"/>
      <c r="AB3561" s="352"/>
      <c r="AC3561" s="352"/>
      <c r="AD3561" s="352"/>
      <c r="AE3561" s="352"/>
      <c r="AF3561" s="352"/>
      <c r="AG3561" s="352"/>
      <c r="AH3561" s="352"/>
      <c r="AI3561" s="352"/>
      <c r="AJ3561" s="352"/>
    </row>
    <row r="3562" spans="2:36" x14ac:dyDescent="0.2">
      <c r="B3562" s="352"/>
      <c r="C3562" s="352"/>
      <c r="D3562" s="352"/>
      <c r="E3562" s="352"/>
      <c r="F3562" s="352"/>
      <c r="H3562" s="352"/>
      <c r="J3562" s="352"/>
      <c r="L3562" s="352"/>
      <c r="M3562" s="352"/>
      <c r="N3562" s="352"/>
      <c r="O3562" s="352"/>
      <c r="P3562" s="352"/>
      <c r="Q3562" s="352"/>
      <c r="R3562" s="352"/>
      <c r="S3562" s="352"/>
      <c r="T3562" s="352"/>
      <c r="U3562" s="352"/>
      <c r="V3562" s="352"/>
      <c r="W3562" s="352"/>
      <c r="X3562" s="352"/>
      <c r="Y3562" s="352"/>
      <c r="Z3562" s="352"/>
      <c r="AA3562" s="352"/>
      <c r="AB3562" s="352"/>
      <c r="AC3562" s="352"/>
      <c r="AD3562" s="352"/>
      <c r="AE3562" s="352"/>
      <c r="AF3562" s="352"/>
      <c r="AG3562" s="352"/>
      <c r="AH3562" s="352"/>
      <c r="AI3562" s="352"/>
      <c r="AJ3562" s="352"/>
    </row>
    <row r="3563" spans="2:36" x14ac:dyDescent="0.2">
      <c r="B3563" s="352"/>
      <c r="C3563" s="352"/>
      <c r="D3563" s="352"/>
      <c r="E3563" s="352"/>
      <c r="F3563" s="352"/>
      <c r="H3563" s="352"/>
      <c r="J3563" s="352"/>
      <c r="L3563" s="352"/>
      <c r="M3563" s="352"/>
      <c r="N3563" s="352"/>
      <c r="O3563" s="352"/>
      <c r="P3563" s="352"/>
      <c r="Q3563" s="352"/>
      <c r="R3563" s="352"/>
      <c r="S3563" s="352"/>
      <c r="T3563" s="352"/>
      <c r="U3563" s="352"/>
      <c r="V3563" s="352"/>
      <c r="W3563" s="352"/>
      <c r="X3563" s="352"/>
      <c r="Y3563" s="352"/>
      <c r="Z3563" s="352"/>
      <c r="AA3563" s="352"/>
      <c r="AB3563" s="352"/>
      <c r="AC3563" s="352"/>
      <c r="AD3563" s="352"/>
      <c r="AE3563" s="352"/>
      <c r="AF3563" s="352"/>
      <c r="AG3563" s="352"/>
      <c r="AH3563" s="352"/>
      <c r="AI3563" s="352"/>
      <c r="AJ3563" s="352"/>
    </row>
    <row r="3564" spans="2:36" x14ac:dyDescent="0.2">
      <c r="B3564" s="352"/>
      <c r="C3564" s="352"/>
      <c r="D3564" s="352"/>
      <c r="E3564" s="352"/>
      <c r="F3564" s="352"/>
      <c r="H3564" s="352"/>
      <c r="J3564" s="352"/>
      <c r="L3564" s="352"/>
      <c r="M3564" s="352"/>
      <c r="N3564" s="352"/>
      <c r="O3564" s="352"/>
      <c r="P3564" s="352"/>
      <c r="Q3564" s="352"/>
      <c r="R3564" s="352"/>
      <c r="S3564" s="352"/>
      <c r="T3564" s="352"/>
      <c r="U3564" s="352"/>
      <c r="V3564" s="352"/>
      <c r="W3564" s="352"/>
      <c r="X3564" s="352"/>
      <c r="Y3564" s="352"/>
      <c r="Z3564" s="352"/>
      <c r="AA3564" s="352"/>
      <c r="AB3564" s="352"/>
      <c r="AC3564" s="352"/>
      <c r="AD3564" s="352"/>
      <c r="AE3564" s="352"/>
      <c r="AF3564" s="352"/>
      <c r="AG3564" s="352"/>
      <c r="AH3564" s="352"/>
      <c r="AI3564" s="352"/>
      <c r="AJ3564" s="352"/>
    </row>
    <row r="3565" spans="2:36" x14ac:dyDescent="0.2">
      <c r="B3565" s="352"/>
      <c r="C3565" s="352"/>
      <c r="D3565" s="352"/>
      <c r="E3565" s="352"/>
      <c r="F3565" s="352"/>
      <c r="H3565" s="352"/>
      <c r="J3565" s="352"/>
      <c r="L3565" s="352"/>
      <c r="M3565" s="352"/>
      <c r="N3565" s="352"/>
      <c r="O3565" s="352"/>
      <c r="P3565" s="352"/>
      <c r="Q3565" s="352"/>
      <c r="R3565" s="352"/>
      <c r="S3565" s="352"/>
      <c r="T3565" s="352"/>
      <c r="U3565" s="352"/>
      <c r="V3565" s="352"/>
      <c r="W3565" s="352"/>
      <c r="X3565" s="352"/>
      <c r="Y3565" s="352"/>
      <c r="Z3565" s="352"/>
      <c r="AA3565" s="352"/>
      <c r="AB3565" s="352"/>
      <c r="AC3565" s="352"/>
      <c r="AD3565" s="352"/>
      <c r="AE3565" s="352"/>
      <c r="AF3565" s="352"/>
      <c r="AG3565" s="352"/>
      <c r="AH3565" s="352"/>
      <c r="AI3565" s="352"/>
      <c r="AJ3565" s="352"/>
    </row>
    <row r="3566" spans="2:36" x14ac:dyDescent="0.2">
      <c r="B3566" s="352"/>
      <c r="C3566" s="352"/>
      <c r="D3566" s="352"/>
      <c r="E3566" s="352"/>
      <c r="F3566" s="352"/>
      <c r="H3566" s="352"/>
      <c r="J3566" s="352"/>
      <c r="L3566" s="352"/>
      <c r="M3566" s="352"/>
      <c r="N3566" s="352"/>
      <c r="O3566" s="352"/>
      <c r="P3566" s="352"/>
      <c r="Q3566" s="352"/>
      <c r="R3566" s="352"/>
      <c r="S3566" s="352"/>
      <c r="T3566" s="352"/>
      <c r="U3566" s="352"/>
      <c r="V3566" s="352"/>
      <c r="W3566" s="352"/>
      <c r="X3566" s="352"/>
      <c r="Y3566" s="352"/>
      <c r="Z3566" s="352"/>
      <c r="AA3566" s="352"/>
      <c r="AB3566" s="352"/>
      <c r="AC3566" s="352"/>
      <c r="AD3566" s="352"/>
      <c r="AE3566" s="352"/>
      <c r="AF3566" s="352"/>
      <c r="AG3566" s="352"/>
      <c r="AH3566" s="352"/>
      <c r="AI3566" s="352"/>
      <c r="AJ3566" s="352"/>
    </row>
    <row r="3567" spans="2:36" x14ac:dyDescent="0.2">
      <c r="B3567" s="352"/>
      <c r="C3567" s="352"/>
      <c r="D3567" s="352"/>
      <c r="E3567" s="352"/>
      <c r="F3567" s="352"/>
      <c r="H3567" s="352"/>
      <c r="J3567" s="352"/>
      <c r="L3567" s="352"/>
      <c r="M3567" s="352"/>
      <c r="N3567" s="352"/>
      <c r="O3567" s="352"/>
      <c r="P3567" s="352"/>
      <c r="Q3567" s="352"/>
      <c r="R3567" s="352"/>
      <c r="S3567" s="352"/>
      <c r="T3567" s="352"/>
      <c r="U3567" s="352"/>
      <c r="V3567" s="352"/>
      <c r="W3567" s="352"/>
      <c r="X3567" s="352"/>
      <c r="Y3567" s="352"/>
      <c r="Z3567" s="352"/>
      <c r="AA3567" s="352"/>
      <c r="AB3567" s="352"/>
      <c r="AC3567" s="352"/>
      <c r="AD3567" s="352"/>
      <c r="AE3567" s="352"/>
      <c r="AF3567" s="352"/>
      <c r="AG3567" s="352"/>
      <c r="AH3567" s="352"/>
      <c r="AI3567" s="352"/>
      <c r="AJ3567" s="352"/>
    </row>
    <row r="3568" spans="2:36" x14ac:dyDescent="0.2">
      <c r="B3568" s="352"/>
      <c r="C3568" s="352"/>
      <c r="D3568" s="352"/>
      <c r="E3568" s="352"/>
      <c r="F3568" s="352"/>
      <c r="H3568" s="352"/>
      <c r="J3568" s="352"/>
      <c r="L3568" s="352"/>
      <c r="M3568" s="352"/>
      <c r="N3568" s="352"/>
      <c r="O3568" s="352"/>
      <c r="P3568" s="352"/>
      <c r="Q3568" s="352"/>
      <c r="R3568" s="352"/>
      <c r="S3568" s="352"/>
      <c r="T3568" s="352"/>
      <c r="U3568" s="352"/>
      <c r="V3568" s="352"/>
      <c r="W3568" s="352"/>
      <c r="X3568" s="352"/>
      <c r="Y3568" s="352"/>
      <c r="Z3568" s="352"/>
      <c r="AA3568" s="352"/>
      <c r="AB3568" s="352"/>
      <c r="AC3568" s="352"/>
      <c r="AD3568" s="352"/>
      <c r="AE3568" s="352"/>
      <c r="AF3568" s="352"/>
      <c r="AG3568" s="352"/>
      <c r="AH3568" s="352"/>
      <c r="AI3568" s="352"/>
      <c r="AJ3568" s="352"/>
    </row>
    <row r="3569" spans="2:36" x14ac:dyDescent="0.2">
      <c r="B3569" s="352"/>
      <c r="C3569" s="352"/>
      <c r="D3569" s="352"/>
      <c r="E3569" s="352"/>
      <c r="F3569" s="352"/>
      <c r="H3569" s="352"/>
      <c r="J3569" s="352"/>
      <c r="L3569" s="352"/>
      <c r="M3569" s="352"/>
      <c r="N3569" s="352"/>
      <c r="O3569" s="352"/>
      <c r="P3569" s="352"/>
      <c r="Q3569" s="352"/>
      <c r="R3569" s="352"/>
      <c r="S3569" s="352"/>
      <c r="T3569" s="352"/>
      <c r="U3569" s="352"/>
      <c r="V3569" s="352"/>
      <c r="W3569" s="352"/>
      <c r="X3569" s="352"/>
      <c r="Y3569" s="352"/>
      <c r="Z3569" s="352"/>
      <c r="AA3569" s="352"/>
      <c r="AB3569" s="352"/>
      <c r="AC3569" s="352"/>
      <c r="AD3569" s="352"/>
      <c r="AE3569" s="352"/>
      <c r="AF3569" s="352"/>
      <c r="AG3569" s="352"/>
      <c r="AH3569" s="352"/>
      <c r="AI3569" s="352"/>
      <c r="AJ3569" s="352"/>
    </row>
    <row r="3570" spans="2:36" x14ac:dyDescent="0.2">
      <c r="B3570" s="352"/>
      <c r="C3570" s="352"/>
      <c r="D3570" s="352"/>
      <c r="E3570" s="352"/>
      <c r="F3570" s="352"/>
      <c r="H3570" s="352"/>
      <c r="J3570" s="352"/>
      <c r="L3570" s="352"/>
      <c r="M3570" s="352"/>
      <c r="N3570" s="352"/>
      <c r="O3570" s="352"/>
      <c r="P3570" s="352"/>
      <c r="Q3570" s="352"/>
      <c r="R3570" s="352"/>
      <c r="S3570" s="352"/>
      <c r="T3570" s="352"/>
      <c r="U3570" s="352"/>
      <c r="V3570" s="352"/>
      <c r="W3570" s="352"/>
      <c r="X3570" s="352"/>
      <c r="Y3570" s="352"/>
      <c r="Z3570" s="352"/>
      <c r="AA3570" s="352"/>
      <c r="AB3570" s="352"/>
      <c r="AC3570" s="352"/>
      <c r="AD3570" s="352"/>
      <c r="AE3570" s="352"/>
      <c r="AF3570" s="352"/>
      <c r="AG3570" s="352"/>
      <c r="AH3570" s="352"/>
      <c r="AI3570" s="352"/>
      <c r="AJ3570" s="352"/>
    </row>
    <row r="3571" spans="2:36" x14ac:dyDescent="0.2">
      <c r="B3571" s="352"/>
      <c r="C3571" s="352"/>
      <c r="D3571" s="352"/>
      <c r="E3571" s="352"/>
      <c r="F3571" s="352"/>
      <c r="H3571" s="352"/>
      <c r="J3571" s="352"/>
      <c r="L3571" s="352"/>
      <c r="M3571" s="352"/>
      <c r="N3571" s="352"/>
      <c r="O3571" s="352"/>
      <c r="P3571" s="352"/>
      <c r="Q3571" s="352"/>
      <c r="R3571" s="352"/>
      <c r="S3571" s="352"/>
      <c r="T3571" s="352"/>
      <c r="U3571" s="352"/>
      <c r="V3571" s="352"/>
      <c r="W3571" s="352"/>
      <c r="X3571" s="352"/>
      <c r="Y3571" s="352"/>
      <c r="Z3571" s="352"/>
      <c r="AA3571" s="352"/>
      <c r="AB3571" s="352"/>
      <c r="AC3571" s="352"/>
      <c r="AD3571" s="352"/>
      <c r="AE3571" s="352"/>
      <c r="AF3571" s="352"/>
      <c r="AG3571" s="352"/>
      <c r="AH3571" s="352"/>
      <c r="AI3571" s="352"/>
      <c r="AJ3571" s="352"/>
    </row>
    <row r="3572" spans="2:36" x14ac:dyDescent="0.2">
      <c r="B3572" s="352"/>
      <c r="C3572" s="352"/>
      <c r="D3572" s="352"/>
      <c r="E3572" s="352"/>
      <c r="F3572" s="352"/>
      <c r="H3572" s="352"/>
      <c r="J3572" s="352"/>
      <c r="L3572" s="352"/>
      <c r="M3572" s="352"/>
      <c r="N3572" s="352"/>
      <c r="O3572" s="352"/>
      <c r="P3572" s="352"/>
      <c r="Q3572" s="352"/>
      <c r="R3572" s="352"/>
      <c r="S3572" s="352"/>
      <c r="T3572" s="352"/>
      <c r="U3572" s="352"/>
      <c r="V3572" s="352"/>
      <c r="W3572" s="352"/>
      <c r="X3572" s="352"/>
      <c r="Y3572" s="352"/>
      <c r="Z3572" s="352"/>
      <c r="AA3572" s="352"/>
      <c r="AB3572" s="352"/>
      <c r="AC3572" s="352"/>
      <c r="AD3572" s="352"/>
      <c r="AE3572" s="352"/>
      <c r="AF3572" s="352"/>
      <c r="AG3572" s="352"/>
      <c r="AH3572" s="352"/>
      <c r="AI3572" s="352"/>
      <c r="AJ3572" s="352"/>
    </row>
    <row r="3573" spans="2:36" x14ac:dyDescent="0.2">
      <c r="B3573" s="352"/>
      <c r="C3573" s="352"/>
      <c r="D3573" s="352"/>
      <c r="E3573" s="352"/>
      <c r="F3573" s="352"/>
      <c r="H3573" s="352"/>
      <c r="J3573" s="352"/>
      <c r="L3573" s="352"/>
      <c r="M3573" s="352"/>
      <c r="N3573" s="352"/>
      <c r="O3573" s="352"/>
      <c r="P3573" s="352"/>
      <c r="Q3573" s="352"/>
      <c r="R3573" s="352"/>
      <c r="S3573" s="352"/>
      <c r="T3573" s="352"/>
      <c r="U3573" s="352"/>
      <c r="V3573" s="352"/>
      <c r="W3573" s="352"/>
      <c r="X3573" s="352"/>
      <c r="Y3573" s="352"/>
      <c r="Z3573" s="352"/>
      <c r="AA3573" s="352"/>
      <c r="AB3573" s="352"/>
      <c r="AC3573" s="352"/>
      <c r="AD3573" s="352"/>
      <c r="AE3573" s="352"/>
      <c r="AF3573" s="352"/>
      <c r="AG3573" s="352"/>
      <c r="AH3573" s="352"/>
      <c r="AI3573" s="352"/>
      <c r="AJ3573" s="352"/>
    </row>
    <row r="3574" spans="2:36" x14ac:dyDescent="0.2">
      <c r="B3574" s="352"/>
      <c r="C3574" s="352"/>
      <c r="D3574" s="352"/>
      <c r="E3574" s="352"/>
      <c r="F3574" s="352"/>
      <c r="H3574" s="352"/>
      <c r="J3574" s="352"/>
      <c r="L3574" s="352"/>
      <c r="M3574" s="352"/>
      <c r="N3574" s="352"/>
      <c r="O3574" s="352"/>
      <c r="P3574" s="352"/>
      <c r="Q3574" s="352"/>
      <c r="R3574" s="352"/>
      <c r="S3574" s="352"/>
      <c r="T3574" s="352"/>
      <c r="U3574" s="352"/>
      <c r="V3574" s="352"/>
      <c r="W3574" s="352"/>
      <c r="X3574" s="352"/>
      <c r="Y3574" s="352"/>
      <c r="Z3574" s="352"/>
      <c r="AA3574" s="352"/>
      <c r="AB3574" s="352"/>
      <c r="AC3574" s="352"/>
      <c r="AD3574" s="352"/>
      <c r="AE3574" s="352"/>
      <c r="AF3574" s="352"/>
      <c r="AG3574" s="352"/>
      <c r="AH3574" s="352"/>
      <c r="AI3574" s="352"/>
      <c r="AJ3574" s="352"/>
    </row>
    <row r="3575" spans="2:36" x14ac:dyDescent="0.2">
      <c r="B3575" s="352"/>
      <c r="C3575" s="352"/>
      <c r="D3575" s="352"/>
      <c r="E3575" s="352"/>
      <c r="F3575" s="352"/>
      <c r="H3575" s="352"/>
      <c r="J3575" s="352"/>
      <c r="L3575" s="352"/>
      <c r="M3575" s="352"/>
      <c r="N3575" s="352"/>
      <c r="O3575" s="352"/>
      <c r="P3575" s="352"/>
      <c r="Q3575" s="352"/>
      <c r="R3575" s="352"/>
      <c r="S3575" s="352"/>
      <c r="T3575" s="352"/>
      <c r="U3575" s="352"/>
      <c r="V3575" s="352"/>
      <c r="W3575" s="352"/>
      <c r="X3575" s="352"/>
      <c r="Y3575" s="352"/>
      <c r="Z3575" s="352"/>
      <c r="AA3575" s="352"/>
      <c r="AB3575" s="352"/>
      <c r="AC3575" s="352"/>
      <c r="AD3575" s="352"/>
      <c r="AE3575" s="352"/>
      <c r="AF3575" s="352"/>
      <c r="AG3575" s="352"/>
      <c r="AH3575" s="352"/>
      <c r="AI3575" s="352"/>
      <c r="AJ3575" s="352"/>
    </row>
    <row r="3576" spans="2:36" x14ac:dyDescent="0.2">
      <c r="B3576" s="352"/>
      <c r="C3576" s="352"/>
      <c r="D3576" s="352"/>
      <c r="E3576" s="352"/>
      <c r="F3576" s="352"/>
      <c r="H3576" s="352"/>
      <c r="J3576" s="352"/>
      <c r="L3576" s="352"/>
      <c r="M3576" s="352"/>
      <c r="N3576" s="352"/>
      <c r="O3576" s="352"/>
      <c r="P3576" s="352"/>
      <c r="Q3576" s="352"/>
      <c r="R3576" s="352"/>
      <c r="S3576" s="352"/>
      <c r="T3576" s="352"/>
      <c r="U3576" s="352"/>
      <c r="V3576" s="352"/>
      <c r="W3576" s="352"/>
      <c r="X3576" s="352"/>
      <c r="Y3576" s="352"/>
      <c r="Z3576" s="352"/>
      <c r="AA3576" s="352"/>
      <c r="AB3576" s="352"/>
      <c r="AC3576" s="352"/>
      <c r="AD3576" s="352"/>
      <c r="AE3576" s="352"/>
      <c r="AF3576" s="352"/>
      <c r="AG3576" s="352"/>
      <c r="AH3576" s="352"/>
      <c r="AI3576" s="352"/>
      <c r="AJ3576" s="352"/>
    </row>
    <row r="3577" spans="2:36" x14ac:dyDescent="0.2">
      <c r="B3577" s="352"/>
      <c r="C3577" s="352"/>
      <c r="D3577" s="352"/>
      <c r="E3577" s="352"/>
      <c r="F3577" s="352"/>
      <c r="H3577" s="352"/>
      <c r="J3577" s="352"/>
      <c r="L3577" s="352"/>
      <c r="M3577" s="352"/>
      <c r="N3577" s="352"/>
      <c r="O3577" s="352"/>
      <c r="P3577" s="352"/>
      <c r="Q3577" s="352"/>
      <c r="R3577" s="352"/>
      <c r="S3577" s="352"/>
      <c r="T3577" s="352"/>
      <c r="U3577" s="352"/>
      <c r="V3577" s="352"/>
      <c r="W3577" s="352"/>
      <c r="X3577" s="352"/>
      <c r="Y3577" s="352"/>
      <c r="Z3577" s="352"/>
      <c r="AA3577" s="352"/>
      <c r="AB3577" s="352"/>
      <c r="AC3577" s="352"/>
      <c r="AD3577" s="352"/>
      <c r="AE3577" s="352"/>
      <c r="AF3577" s="352"/>
      <c r="AG3577" s="352"/>
      <c r="AH3577" s="352"/>
      <c r="AI3577" s="352"/>
      <c r="AJ3577" s="352"/>
    </row>
    <row r="3578" spans="2:36" x14ac:dyDescent="0.2">
      <c r="B3578" s="352"/>
      <c r="C3578" s="352"/>
      <c r="D3578" s="352"/>
      <c r="E3578" s="352"/>
      <c r="F3578" s="352"/>
      <c r="H3578" s="352"/>
      <c r="J3578" s="352"/>
      <c r="L3578" s="352"/>
      <c r="M3578" s="352"/>
      <c r="N3578" s="352"/>
      <c r="O3578" s="352"/>
      <c r="P3578" s="352"/>
      <c r="Q3578" s="352"/>
      <c r="R3578" s="352"/>
      <c r="S3578" s="352"/>
      <c r="T3578" s="352"/>
      <c r="U3578" s="352"/>
      <c r="V3578" s="352"/>
      <c r="W3578" s="352"/>
      <c r="X3578" s="352"/>
      <c r="Y3578" s="352"/>
      <c r="Z3578" s="352"/>
      <c r="AA3578" s="352"/>
      <c r="AB3578" s="352"/>
      <c r="AC3578" s="352"/>
      <c r="AD3578" s="352"/>
      <c r="AE3578" s="352"/>
      <c r="AF3578" s="352"/>
      <c r="AG3578" s="352"/>
      <c r="AH3578" s="352"/>
      <c r="AI3578" s="352"/>
      <c r="AJ3578" s="352"/>
    </row>
    <row r="3579" spans="2:36" x14ac:dyDescent="0.2">
      <c r="B3579" s="352"/>
      <c r="C3579" s="352"/>
      <c r="D3579" s="352"/>
      <c r="E3579" s="352"/>
      <c r="F3579" s="352"/>
      <c r="H3579" s="352"/>
      <c r="J3579" s="352"/>
      <c r="L3579" s="352"/>
      <c r="M3579" s="352"/>
      <c r="N3579" s="352"/>
      <c r="O3579" s="352"/>
      <c r="P3579" s="352"/>
      <c r="Q3579" s="352"/>
      <c r="R3579" s="352"/>
      <c r="S3579" s="352"/>
      <c r="T3579" s="352"/>
      <c r="U3579" s="352"/>
      <c r="V3579" s="352"/>
      <c r="W3579" s="352"/>
      <c r="X3579" s="352"/>
      <c r="Y3579" s="352"/>
      <c r="Z3579" s="352"/>
      <c r="AA3579" s="352"/>
      <c r="AB3579" s="352"/>
      <c r="AC3579" s="352"/>
      <c r="AD3579" s="352"/>
      <c r="AE3579" s="352"/>
      <c r="AF3579" s="352"/>
      <c r="AG3579" s="352"/>
      <c r="AH3579" s="352"/>
      <c r="AI3579" s="352"/>
      <c r="AJ3579" s="352"/>
    </row>
    <row r="3580" spans="2:36" x14ac:dyDescent="0.2">
      <c r="B3580" s="352"/>
      <c r="C3580" s="352"/>
      <c r="D3580" s="352"/>
      <c r="E3580" s="352"/>
      <c r="F3580" s="352"/>
      <c r="H3580" s="352"/>
      <c r="J3580" s="352"/>
      <c r="L3580" s="352"/>
      <c r="M3580" s="352"/>
      <c r="N3580" s="352"/>
      <c r="O3580" s="352"/>
      <c r="P3580" s="352"/>
      <c r="Q3580" s="352"/>
      <c r="R3580" s="352"/>
      <c r="S3580" s="352"/>
      <c r="T3580" s="352"/>
      <c r="U3580" s="352"/>
      <c r="V3580" s="352"/>
      <c r="W3580" s="352"/>
      <c r="X3580" s="352"/>
      <c r="Y3580" s="352"/>
      <c r="Z3580" s="352"/>
      <c r="AA3580" s="352"/>
      <c r="AB3580" s="352"/>
      <c r="AC3580" s="352"/>
      <c r="AD3580" s="352"/>
      <c r="AE3580" s="352"/>
      <c r="AF3580" s="352"/>
      <c r="AG3580" s="352"/>
      <c r="AH3580" s="352"/>
      <c r="AI3580" s="352"/>
      <c r="AJ3580" s="352"/>
    </row>
    <row r="3581" spans="2:36" x14ac:dyDescent="0.2">
      <c r="B3581" s="352"/>
      <c r="C3581" s="352"/>
      <c r="D3581" s="352"/>
      <c r="E3581" s="352"/>
      <c r="F3581" s="352"/>
      <c r="H3581" s="352"/>
      <c r="J3581" s="352"/>
      <c r="L3581" s="352"/>
      <c r="M3581" s="352"/>
      <c r="N3581" s="352"/>
      <c r="O3581" s="352"/>
      <c r="P3581" s="352"/>
      <c r="Q3581" s="352"/>
      <c r="R3581" s="352"/>
      <c r="S3581" s="352"/>
      <c r="T3581" s="352"/>
      <c r="U3581" s="352"/>
      <c r="V3581" s="352"/>
      <c r="W3581" s="352"/>
      <c r="X3581" s="352"/>
      <c r="Y3581" s="352"/>
      <c r="Z3581" s="352"/>
      <c r="AA3581" s="352"/>
      <c r="AB3581" s="352"/>
      <c r="AC3581" s="352"/>
      <c r="AD3581" s="352"/>
      <c r="AE3581" s="352"/>
      <c r="AF3581" s="352"/>
      <c r="AG3581" s="352"/>
      <c r="AH3581" s="352"/>
      <c r="AI3581" s="352"/>
      <c r="AJ3581" s="352"/>
    </row>
    <row r="3582" spans="2:36" x14ac:dyDescent="0.2">
      <c r="B3582" s="352"/>
      <c r="C3582" s="352"/>
      <c r="D3582" s="352"/>
      <c r="E3582" s="352"/>
      <c r="F3582" s="352"/>
      <c r="H3582" s="352"/>
      <c r="J3582" s="352"/>
      <c r="L3582" s="352"/>
      <c r="M3582" s="352"/>
      <c r="N3582" s="352"/>
      <c r="O3582" s="352"/>
      <c r="P3582" s="352"/>
      <c r="Q3582" s="352"/>
      <c r="R3582" s="352"/>
      <c r="S3582" s="352"/>
      <c r="T3582" s="352"/>
      <c r="U3582" s="352"/>
      <c r="V3582" s="352"/>
      <c r="W3582" s="352"/>
      <c r="X3582" s="352"/>
      <c r="Y3582" s="352"/>
      <c r="Z3582" s="352"/>
      <c r="AA3582" s="352"/>
      <c r="AB3582" s="352"/>
      <c r="AC3582" s="352"/>
      <c r="AD3582" s="352"/>
      <c r="AE3582" s="352"/>
      <c r="AF3582" s="352"/>
      <c r="AG3582" s="352"/>
      <c r="AH3582" s="352"/>
      <c r="AI3582" s="352"/>
      <c r="AJ3582" s="352"/>
    </row>
    <row r="3583" spans="2:36" x14ac:dyDescent="0.2">
      <c r="B3583" s="352"/>
      <c r="C3583" s="352"/>
      <c r="D3583" s="352"/>
      <c r="E3583" s="352"/>
      <c r="F3583" s="352"/>
      <c r="H3583" s="352"/>
      <c r="J3583" s="352"/>
      <c r="L3583" s="352"/>
      <c r="M3583" s="352"/>
      <c r="N3583" s="352"/>
      <c r="O3583" s="352"/>
      <c r="P3583" s="352"/>
      <c r="Q3583" s="352"/>
      <c r="R3583" s="352"/>
      <c r="S3583" s="352"/>
      <c r="T3583" s="352"/>
      <c r="U3583" s="352"/>
      <c r="V3583" s="352"/>
      <c r="W3583" s="352"/>
      <c r="X3583" s="352"/>
      <c r="Y3583" s="352"/>
      <c r="Z3583" s="352"/>
      <c r="AA3583" s="352"/>
      <c r="AB3583" s="352"/>
      <c r="AC3583" s="352"/>
      <c r="AD3583" s="352"/>
      <c r="AE3583" s="352"/>
      <c r="AF3583" s="352"/>
      <c r="AG3583" s="352"/>
      <c r="AH3583" s="352"/>
      <c r="AI3583" s="352"/>
      <c r="AJ3583" s="352"/>
    </row>
    <row r="3584" spans="2:36" x14ac:dyDescent="0.2">
      <c r="B3584" s="352"/>
      <c r="C3584" s="352"/>
      <c r="D3584" s="352"/>
      <c r="E3584" s="352"/>
      <c r="F3584" s="352"/>
      <c r="H3584" s="352"/>
      <c r="J3584" s="352"/>
      <c r="L3584" s="352"/>
      <c r="M3584" s="352"/>
      <c r="N3584" s="352"/>
      <c r="O3584" s="352"/>
      <c r="P3584" s="352"/>
      <c r="Q3584" s="352"/>
      <c r="R3584" s="352"/>
      <c r="S3584" s="352"/>
      <c r="T3584" s="352"/>
      <c r="U3584" s="352"/>
      <c r="V3584" s="352"/>
      <c r="W3584" s="352"/>
      <c r="X3584" s="352"/>
      <c r="Y3584" s="352"/>
      <c r="Z3584" s="352"/>
      <c r="AA3584" s="352"/>
      <c r="AB3584" s="352"/>
      <c r="AC3584" s="352"/>
      <c r="AD3584" s="352"/>
      <c r="AE3584" s="352"/>
      <c r="AF3584" s="352"/>
      <c r="AG3584" s="352"/>
      <c r="AH3584" s="352"/>
      <c r="AI3584" s="352"/>
      <c r="AJ3584" s="352"/>
    </row>
    <row r="3585" spans="2:36" x14ac:dyDescent="0.2">
      <c r="B3585" s="352"/>
      <c r="C3585" s="352"/>
      <c r="D3585" s="352"/>
      <c r="E3585" s="352"/>
      <c r="F3585" s="352"/>
      <c r="H3585" s="352"/>
      <c r="J3585" s="352"/>
      <c r="L3585" s="352"/>
      <c r="M3585" s="352"/>
      <c r="N3585" s="352"/>
      <c r="O3585" s="352"/>
      <c r="P3585" s="352"/>
      <c r="Q3585" s="352"/>
      <c r="R3585" s="352"/>
      <c r="S3585" s="352"/>
      <c r="T3585" s="352"/>
      <c r="U3585" s="352"/>
      <c r="V3585" s="352"/>
      <c r="W3585" s="352"/>
      <c r="X3585" s="352"/>
      <c r="Y3585" s="352"/>
      <c r="Z3585" s="352"/>
      <c r="AA3585" s="352"/>
      <c r="AB3585" s="352"/>
      <c r="AC3585" s="352"/>
      <c r="AD3585" s="352"/>
      <c r="AE3585" s="352"/>
      <c r="AF3585" s="352"/>
      <c r="AG3585" s="352"/>
      <c r="AH3585" s="352"/>
      <c r="AI3585" s="352"/>
      <c r="AJ3585" s="352"/>
    </row>
    <row r="3586" spans="2:36" x14ac:dyDescent="0.2">
      <c r="B3586" s="352"/>
      <c r="C3586" s="352"/>
      <c r="D3586" s="352"/>
      <c r="E3586" s="352"/>
      <c r="F3586" s="352"/>
      <c r="H3586" s="352"/>
      <c r="J3586" s="352"/>
      <c r="L3586" s="352"/>
      <c r="M3586" s="352"/>
      <c r="N3586" s="352"/>
      <c r="O3586" s="352"/>
      <c r="P3586" s="352"/>
      <c r="Q3586" s="352"/>
      <c r="R3586" s="352"/>
      <c r="S3586" s="352"/>
      <c r="T3586" s="352"/>
      <c r="U3586" s="352"/>
      <c r="V3586" s="352"/>
      <c r="W3586" s="352"/>
      <c r="X3586" s="352"/>
      <c r="Y3586" s="352"/>
      <c r="Z3586" s="352"/>
      <c r="AA3586" s="352"/>
      <c r="AB3586" s="352"/>
      <c r="AC3586" s="352"/>
      <c r="AD3586" s="352"/>
      <c r="AE3586" s="352"/>
      <c r="AF3586" s="352"/>
      <c r="AG3586" s="352"/>
      <c r="AH3586" s="352"/>
      <c r="AI3586" s="352"/>
      <c r="AJ3586" s="352"/>
    </row>
    <row r="3587" spans="2:36" x14ac:dyDescent="0.2">
      <c r="B3587" s="352"/>
      <c r="C3587" s="352"/>
      <c r="D3587" s="352"/>
      <c r="E3587" s="352"/>
      <c r="F3587" s="352"/>
      <c r="H3587" s="352"/>
      <c r="J3587" s="352"/>
      <c r="L3587" s="352"/>
      <c r="M3587" s="352"/>
      <c r="N3587" s="352"/>
      <c r="O3587" s="352"/>
      <c r="P3587" s="352"/>
      <c r="Q3587" s="352"/>
      <c r="R3587" s="352"/>
      <c r="S3587" s="352"/>
      <c r="T3587" s="352"/>
      <c r="U3587" s="352"/>
      <c r="V3587" s="352"/>
      <c r="W3587" s="352"/>
      <c r="X3587" s="352"/>
      <c r="Y3587" s="352"/>
      <c r="Z3587" s="352"/>
      <c r="AA3587" s="352"/>
      <c r="AB3587" s="352"/>
      <c r="AC3587" s="352"/>
      <c r="AD3587" s="352"/>
      <c r="AE3587" s="352"/>
      <c r="AF3587" s="352"/>
      <c r="AG3587" s="352"/>
      <c r="AH3587" s="352"/>
      <c r="AI3587" s="352"/>
      <c r="AJ3587" s="352"/>
    </row>
    <row r="3588" spans="2:36" x14ac:dyDescent="0.2">
      <c r="B3588" s="352"/>
      <c r="C3588" s="352"/>
      <c r="D3588" s="352"/>
      <c r="E3588" s="352"/>
      <c r="F3588" s="352"/>
      <c r="H3588" s="352"/>
      <c r="J3588" s="352"/>
      <c r="L3588" s="352"/>
      <c r="M3588" s="352"/>
      <c r="N3588" s="352"/>
      <c r="O3588" s="352"/>
      <c r="P3588" s="352"/>
      <c r="Q3588" s="352"/>
      <c r="R3588" s="352"/>
      <c r="S3588" s="352"/>
      <c r="T3588" s="352"/>
      <c r="U3588" s="352"/>
      <c r="V3588" s="352"/>
      <c r="W3588" s="352"/>
      <c r="X3588" s="352"/>
      <c r="Y3588" s="352"/>
      <c r="Z3588" s="352"/>
      <c r="AA3588" s="352"/>
      <c r="AB3588" s="352"/>
      <c r="AC3588" s="352"/>
      <c r="AD3588" s="352"/>
      <c r="AE3588" s="352"/>
      <c r="AF3588" s="352"/>
      <c r="AG3588" s="352"/>
      <c r="AH3588" s="352"/>
      <c r="AI3588" s="352"/>
      <c r="AJ3588" s="352"/>
    </row>
    <row r="3589" spans="2:36" x14ac:dyDescent="0.2">
      <c r="B3589" s="352"/>
      <c r="C3589" s="352"/>
      <c r="D3589" s="352"/>
      <c r="E3589" s="352"/>
      <c r="F3589" s="352"/>
      <c r="H3589" s="352"/>
      <c r="J3589" s="352"/>
      <c r="L3589" s="352"/>
      <c r="M3589" s="352"/>
      <c r="N3589" s="352"/>
      <c r="O3589" s="352"/>
      <c r="P3589" s="352"/>
      <c r="Q3589" s="352"/>
      <c r="R3589" s="352"/>
      <c r="S3589" s="352"/>
      <c r="T3589" s="352"/>
      <c r="U3589" s="352"/>
      <c r="V3589" s="352"/>
      <c r="W3589" s="352"/>
      <c r="X3589" s="352"/>
      <c r="Y3589" s="352"/>
      <c r="Z3589" s="352"/>
      <c r="AA3589" s="352"/>
      <c r="AB3589" s="352"/>
      <c r="AC3589" s="352"/>
      <c r="AD3589" s="352"/>
      <c r="AE3589" s="352"/>
      <c r="AF3589" s="352"/>
      <c r="AG3589" s="352"/>
      <c r="AH3589" s="352"/>
      <c r="AI3589" s="352"/>
      <c r="AJ3589" s="352"/>
    </row>
    <row r="3590" spans="2:36" x14ac:dyDescent="0.2">
      <c r="B3590" s="352"/>
      <c r="C3590" s="352"/>
      <c r="D3590" s="352"/>
      <c r="E3590" s="352"/>
      <c r="F3590" s="352"/>
      <c r="H3590" s="352"/>
      <c r="J3590" s="352"/>
      <c r="L3590" s="352"/>
      <c r="M3590" s="352"/>
      <c r="N3590" s="352"/>
      <c r="O3590" s="352"/>
      <c r="P3590" s="352"/>
      <c r="Q3590" s="352"/>
      <c r="R3590" s="352"/>
      <c r="S3590" s="352"/>
      <c r="T3590" s="352"/>
      <c r="U3590" s="352"/>
      <c r="V3590" s="352"/>
      <c r="W3590" s="352"/>
      <c r="X3590" s="352"/>
      <c r="Y3590" s="352"/>
      <c r="Z3590" s="352"/>
      <c r="AA3590" s="352"/>
      <c r="AB3590" s="352"/>
      <c r="AC3590" s="352"/>
      <c r="AD3590" s="352"/>
      <c r="AE3590" s="352"/>
      <c r="AF3590" s="352"/>
      <c r="AG3590" s="352"/>
      <c r="AH3590" s="352"/>
      <c r="AI3590" s="352"/>
      <c r="AJ3590" s="352"/>
    </row>
    <row r="3591" spans="2:36" x14ac:dyDescent="0.2">
      <c r="B3591" s="352"/>
      <c r="C3591" s="352"/>
      <c r="D3591" s="352"/>
      <c r="E3591" s="352"/>
      <c r="F3591" s="352"/>
      <c r="H3591" s="352"/>
      <c r="J3591" s="352"/>
      <c r="L3591" s="352"/>
      <c r="M3591" s="352"/>
      <c r="N3591" s="352"/>
      <c r="O3591" s="352"/>
      <c r="P3591" s="352"/>
      <c r="Q3591" s="352"/>
      <c r="R3591" s="352"/>
      <c r="S3591" s="352"/>
      <c r="T3591" s="352"/>
      <c r="U3591" s="352"/>
      <c r="V3591" s="352"/>
      <c r="W3591" s="352"/>
      <c r="X3591" s="352"/>
      <c r="Y3591" s="352"/>
      <c r="Z3591" s="352"/>
      <c r="AA3591" s="352"/>
      <c r="AB3591" s="352"/>
      <c r="AC3591" s="352"/>
      <c r="AD3591" s="352"/>
      <c r="AE3591" s="352"/>
      <c r="AF3591" s="352"/>
      <c r="AG3591" s="352"/>
      <c r="AH3591" s="352"/>
      <c r="AI3591" s="352"/>
      <c r="AJ3591" s="352"/>
    </row>
    <row r="3592" spans="2:36" x14ac:dyDescent="0.2">
      <c r="B3592" s="352"/>
      <c r="C3592" s="352"/>
      <c r="D3592" s="352"/>
      <c r="E3592" s="352"/>
      <c r="F3592" s="352"/>
      <c r="H3592" s="352"/>
      <c r="J3592" s="352"/>
      <c r="L3592" s="352"/>
      <c r="M3592" s="352"/>
      <c r="N3592" s="352"/>
      <c r="O3592" s="352"/>
      <c r="P3592" s="352"/>
      <c r="Q3592" s="352"/>
      <c r="R3592" s="352"/>
      <c r="S3592" s="352"/>
      <c r="T3592" s="352"/>
      <c r="U3592" s="352"/>
      <c r="V3592" s="352"/>
      <c r="W3592" s="352"/>
      <c r="X3592" s="352"/>
      <c r="Y3592" s="352"/>
      <c r="Z3592" s="352"/>
      <c r="AA3592" s="352"/>
      <c r="AB3592" s="352"/>
      <c r="AC3592" s="352"/>
      <c r="AD3592" s="352"/>
      <c r="AE3592" s="352"/>
      <c r="AF3592" s="352"/>
      <c r="AG3592" s="352"/>
      <c r="AH3592" s="352"/>
      <c r="AI3592" s="352"/>
      <c r="AJ3592" s="352"/>
    </row>
    <row r="3593" spans="2:36" x14ac:dyDescent="0.2">
      <c r="B3593" s="352"/>
      <c r="C3593" s="352"/>
      <c r="D3593" s="352"/>
      <c r="E3593" s="352"/>
      <c r="F3593" s="352"/>
      <c r="H3593" s="352"/>
      <c r="J3593" s="352"/>
      <c r="L3593" s="352"/>
      <c r="M3593" s="352"/>
      <c r="N3593" s="352"/>
      <c r="O3593" s="352"/>
      <c r="P3593" s="352"/>
      <c r="Q3593" s="352"/>
      <c r="R3593" s="352"/>
      <c r="S3593" s="352"/>
      <c r="T3593" s="352"/>
      <c r="U3593" s="352"/>
      <c r="V3593" s="352"/>
      <c r="W3593" s="352"/>
      <c r="X3593" s="352"/>
      <c r="Y3593" s="352"/>
      <c r="Z3593" s="352"/>
      <c r="AA3593" s="352"/>
      <c r="AB3593" s="352"/>
      <c r="AC3593" s="352"/>
      <c r="AD3593" s="352"/>
      <c r="AE3593" s="352"/>
      <c r="AF3593" s="352"/>
      <c r="AG3593" s="352"/>
      <c r="AH3593" s="352"/>
      <c r="AI3593" s="352"/>
      <c r="AJ3593" s="352"/>
    </row>
    <row r="3594" spans="2:36" x14ac:dyDescent="0.2">
      <c r="B3594" s="352"/>
      <c r="C3594" s="352"/>
      <c r="D3594" s="352"/>
      <c r="E3594" s="352"/>
      <c r="F3594" s="352"/>
      <c r="H3594" s="352"/>
      <c r="J3594" s="352"/>
      <c r="L3594" s="352"/>
      <c r="M3594" s="352"/>
      <c r="N3594" s="352"/>
      <c r="O3594" s="352"/>
      <c r="P3594" s="352"/>
      <c r="Q3594" s="352"/>
      <c r="R3594" s="352"/>
      <c r="S3594" s="352"/>
      <c r="T3594" s="352"/>
      <c r="U3594" s="352"/>
      <c r="V3594" s="352"/>
      <c r="W3594" s="352"/>
      <c r="X3594" s="352"/>
      <c r="Y3594" s="352"/>
      <c r="Z3594" s="352"/>
      <c r="AA3594" s="352"/>
      <c r="AB3594" s="352"/>
      <c r="AC3594" s="352"/>
      <c r="AD3594" s="352"/>
      <c r="AE3594" s="352"/>
      <c r="AF3594" s="352"/>
      <c r="AG3594" s="352"/>
      <c r="AH3594" s="352"/>
      <c r="AI3594" s="352"/>
      <c r="AJ3594" s="352"/>
    </row>
    <row r="3595" spans="2:36" x14ac:dyDescent="0.2">
      <c r="B3595" s="352"/>
      <c r="C3595" s="352"/>
      <c r="D3595" s="352"/>
      <c r="E3595" s="352"/>
      <c r="F3595" s="352"/>
      <c r="H3595" s="352"/>
      <c r="J3595" s="352"/>
      <c r="L3595" s="352"/>
      <c r="M3595" s="352"/>
      <c r="N3595" s="352"/>
      <c r="O3595" s="352"/>
      <c r="P3595" s="352"/>
      <c r="Q3595" s="352"/>
      <c r="R3595" s="352"/>
      <c r="S3595" s="352"/>
      <c r="T3595" s="352"/>
      <c r="U3595" s="352"/>
      <c r="V3595" s="352"/>
      <c r="W3595" s="352"/>
      <c r="X3595" s="352"/>
      <c r="Y3595" s="352"/>
      <c r="Z3595" s="352"/>
      <c r="AA3595" s="352"/>
      <c r="AB3595" s="352"/>
      <c r="AC3595" s="352"/>
      <c r="AD3595" s="352"/>
      <c r="AE3595" s="352"/>
      <c r="AF3595" s="352"/>
      <c r="AG3595" s="352"/>
      <c r="AH3595" s="352"/>
      <c r="AI3595" s="352"/>
      <c r="AJ3595" s="352"/>
    </row>
    <row r="3596" spans="2:36" x14ac:dyDescent="0.2">
      <c r="B3596" s="352"/>
      <c r="C3596" s="352"/>
      <c r="D3596" s="352"/>
      <c r="E3596" s="352"/>
      <c r="F3596" s="352"/>
      <c r="H3596" s="352"/>
      <c r="J3596" s="352"/>
      <c r="L3596" s="352"/>
      <c r="M3596" s="352"/>
      <c r="N3596" s="352"/>
      <c r="O3596" s="352"/>
      <c r="P3596" s="352"/>
      <c r="Q3596" s="352"/>
      <c r="R3596" s="352"/>
      <c r="S3596" s="352"/>
      <c r="T3596" s="352"/>
      <c r="U3596" s="352"/>
      <c r="V3596" s="352"/>
      <c r="W3596" s="352"/>
      <c r="X3596" s="352"/>
      <c r="Y3596" s="352"/>
      <c r="Z3596" s="352"/>
      <c r="AA3596" s="352"/>
      <c r="AB3596" s="352"/>
      <c r="AC3596" s="352"/>
      <c r="AD3596" s="352"/>
      <c r="AE3596" s="352"/>
      <c r="AF3596" s="352"/>
      <c r="AG3596" s="352"/>
      <c r="AH3596" s="352"/>
      <c r="AI3596" s="352"/>
      <c r="AJ3596" s="352"/>
    </row>
    <row r="3597" spans="2:36" x14ac:dyDescent="0.2">
      <c r="B3597" s="352"/>
      <c r="C3597" s="352"/>
      <c r="D3597" s="352"/>
      <c r="E3597" s="352"/>
      <c r="F3597" s="352"/>
      <c r="H3597" s="352"/>
      <c r="J3597" s="352"/>
      <c r="L3597" s="352"/>
      <c r="M3597" s="352"/>
      <c r="N3597" s="352"/>
      <c r="O3597" s="352"/>
      <c r="P3597" s="352"/>
      <c r="Q3597" s="352"/>
      <c r="R3597" s="352"/>
      <c r="S3597" s="352"/>
      <c r="T3597" s="352"/>
      <c r="U3597" s="352"/>
      <c r="V3597" s="352"/>
      <c r="W3597" s="352"/>
      <c r="X3597" s="352"/>
      <c r="Y3597" s="352"/>
      <c r="Z3597" s="352"/>
      <c r="AA3597" s="352"/>
      <c r="AB3597" s="352"/>
      <c r="AC3597" s="352"/>
      <c r="AD3597" s="352"/>
      <c r="AE3597" s="352"/>
      <c r="AF3597" s="352"/>
      <c r="AG3597" s="352"/>
      <c r="AH3597" s="352"/>
      <c r="AI3597" s="352"/>
      <c r="AJ3597" s="352"/>
    </row>
    <row r="3598" spans="2:36" x14ac:dyDescent="0.2">
      <c r="B3598" s="352"/>
      <c r="C3598" s="352"/>
      <c r="D3598" s="352"/>
      <c r="E3598" s="352"/>
      <c r="F3598" s="352"/>
      <c r="H3598" s="352"/>
      <c r="J3598" s="352"/>
      <c r="L3598" s="352"/>
      <c r="M3598" s="352"/>
      <c r="N3598" s="352"/>
      <c r="O3598" s="352"/>
      <c r="P3598" s="352"/>
      <c r="Q3598" s="352"/>
      <c r="R3598" s="352"/>
      <c r="S3598" s="352"/>
      <c r="T3598" s="352"/>
      <c r="U3598" s="352"/>
      <c r="V3598" s="352"/>
      <c r="W3598" s="352"/>
      <c r="X3598" s="352"/>
      <c r="Y3598" s="352"/>
      <c r="Z3598" s="352"/>
      <c r="AA3598" s="352"/>
      <c r="AB3598" s="352"/>
      <c r="AC3598" s="352"/>
      <c r="AD3598" s="352"/>
      <c r="AE3598" s="352"/>
      <c r="AF3598" s="352"/>
      <c r="AG3598" s="352"/>
      <c r="AH3598" s="352"/>
      <c r="AI3598" s="352"/>
      <c r="AJ3598" s="352"/>
    </row>
    <row r="3599" spans="2:36" x14ac:dyDescent="0.2">
      <c r="B3599" s="352"/>
      <c r="C3599" s="352"/>
      <c r="D3599" s="352"/>
      <c r="E3599" s="352"/>
      <c r="F3599" s="352"/>
      <c r="H3599" s="352"/>
      <c r="J3599" s="352"/>
      <c r="L3599" s="352"/>
      <c r="M3599" s="352"/>
      <c r="N3599" s="352"/>
      <c r="O3599" s="352"/>
      <c r="P3599" s="352"/>
      <c r="Q3599" s="352"/>
      <c r="R3599" s="352"/>
      <c r="S3599" s="352"/>
      <c r="T3599" s="352"/>
      <c r="U3599" s="352"/>
      <c r="V3599" s="352"/>
      <c r="W3599" s="352"/>
      <c r="X3599" s="352"/>
      <c r="Y3599" s="352"/>
      <c r="Z3599" s="352"/>
      <c r="AA3599" s="352"/>
      <c r="AB3599" s="352"/>
      <c r="AC3599" s="352"/>
      <c r="AD3599" s="352"/>
      <c r="AE3599" s="352"/>
      <c r="AF3599" s="352"/>
      <c r="AG3599" s="352"/>
      <c r="AH3599" s="352"/>
      <c r="AI3599" s="352"/>
      <c r="AJ3599" s="352"/>
    </row>
    <row r="3600" spans="2:36" x14ac:dyDescent="0.2">
      <c r="B3600" s="352"/>
      <c r="C3600" s="352"/>
      <c r="D3600" s="352"/>
      <c r="E3600" s="352"/>
      <c r="F3600" s="352"/>
      <c r="H3600" s="352"/>
      <c r="J3600" s="352"/>
      <c r="L3600" s="352"/>
      <c r="M3600" s="352"/>
      <c r="N3600" s="352"/>
      <c r="O3600" s="352"/>
      <c r="P3600" s="352"/>
      <c r="Q3600" s="352"/>
      <c r="R3600" s="352"/>
      <c r="S3600" s="352"/>
      <c r="T3600" s="352"/>
      <c r="U3600" s="352"/>
      <c r="V3600" s="352"/>
      <c r="W3600" s="352"/>
      <c r="X3600" s="352"/>
      <c r="Y3600" s="352"/>
      <c r="Z3600" s="352"/>
      <c r="AA3600" s="352"/>
      <c r="AB3600" s="352"/>
      <c r="AC3600" s="352"/>
      <c r="AD3600" s="352"/>
      <c r="AE3600" s="352"/>
      <c r="AF3600" s="352"/>
      <c r="AG3600" s="352"/>
      <c r="AH3600" s="352"/>
      <c r="AI3600" s="352"/>
      <c r="AJ3600" s="352"/>
    </row>
    <row r="3601" spans="2:36" x14ac:dyDescent="0.2">
      <c r="B3601" s="352"/>
      <c r="C3601" s="352"/>
      <c r="D3601" s="352"/>
      <c r="E3601" s="352"/>
      <c r="F3601" s="352"/>
      <c r="H3601" s="352"/>
      <c r="J3601" s="352"/>
      <c r="L3601" s="352"/>
      <c r="M3601" s="352"/>
      <c r="N3601" s="352"/>
      <c r="O3601" s="352"/>
      <c r="P3601" s="352"/>
      <c r="Q3601" s="352"/>
      <c r="R3601" s="352"/>
      <c r="S3601" s="352"/>
      <c r="T3601" s="352"/>
      <c r="U3601" s="352"/>
      <c r="V3601" s="352"/>
      <c r="W3601" s="352"/>
      <c r="X3601" s="352"/>
      <c r="Y3601" s="352"/>
      <c r="Z3601" s="352"/>
      <c r="AA3601" s="352"/>
      <c r="AB3601" s="352"/>
      <c r="AC3601" s="352"/>
      <c r="AD3601" s="352"/>
      <c r="AE3601" s="352"/>
      <c r="AF3601" s="352"/>
      <c r="AG3601" s="352"/>
      <c r="AH3601" s="352"/>
      <c r="AI3601" s="352"/>
      <c r="AJ3601" s="352"/>
    </row>
    <row r="3602" spans="2:36" x14ac:dyDescent="0.2">
      <c r="B3602" s="352"/>
      <c r="C3602" s="352"/>
      <c r="D3602" s="352"/>
      <c r="E3602" s="352"/>
      <c r="F3602" s="352"/>
      <c r="H3602" s="352"/>
      <c r="J3602" s="352"/>
      <c r="L3602" s="352"/>
      <c r="M3602" s="352"/>
      <c r="N3602" s="352"/>
      <c r="O3602" s="352"/>
      <c r="P3602" s="352"/>
      <c r="Q3602" s="352"/>
      <c r="R3602" s="352"/>
      <c r="S3602" s="352"/>
      <c r="T3602" s="352"/>
      <c r="U3602" s="352"/>
      <c r="V3602" s="352"/>
      <c r="W3602" s="352"/>
      <c r="X3602" s="352"/>
      <c r="Y3602" s="352"/>
      <c r="Z3602" s="352"/>
      <c r="AA3602" s="352"/>
      <c r="AB3602" s="352"/>
      <c r="AC3602" s="352"/>
      <c r="AD3602" s="352"/>
      <c r="AE3602" s="352"/>
      <c r="AF3602" s="352"/>
      <c r="AG3602" s="352"/>
      <c r="AH3602" s="352"/>
      <c r="AI3602" s="352"/>
      <c r="AJ3602" s="352"/>
    </row>
    <row r="3603" spans="2:36" x14ac:dyDescent="0.2">
      <c r="B3603" s="352"/>
      <c r="C3603" s="352"/>
      <c r="D3603" s="352"/>
      <c r="E3603" s="352"/>
      <c r="F3603" s="352"/>
      <c r="H3603" s="352"/>
      <c r="J3603" s="352"/>
      <c r="L3603" s="352"/>
      <c r="M3603" s="352"/>
      <c r="N3603" s="352"/>
      <c r="O3603" s="352"/>
      <c r="P3603" s="352"/>
      <c r="Q3603" s="352"/>
      <c r="R3603" s="352"/>
      <c r="S3603" s="352"/>
      <c r="T3603" s="352"/>
      <c r="U3603" s="352"/>
      <c r="V3603" s="352"/>
      <c r="W3603" s="352"/>
      <c r="X3603" s="352"/>
      <c r="Y3603" s="352"/>
      <c r="Z3603" s="352"/>
      <c r="AA3603" s="352"/>
      <c r="AB3603" s="352"/>
      <c r="AC3603" s="352"/>
      <c r="AD3603" s="352"/>
      <c r="AE3603" s="352"/>
      <c r="AF3603" s="352"/>
      <c r="AG3603" s="352"/>
      <c r="AH3603" s="352"/>
      <c r="AI3603" s="352"/>
      <c r="AJ3603" s="352"/>
    </row>
    <row r="3604" spans="2:36" x14ac:dyDescent="0.2">
      <c r="B3604" s="352"/>
      <c r="C3604" s="352"/>
      <c r="D3604" s="352"/>
      <c r="E3604" s="352"/>
      <c r="F3604" s="352"/>
      <c r="H3604" s="352"/>
      <c r="J3604" s="352"/>
      <c r="L3604" s="352"/>
      <c r="M3604" s="352"/>
      <c r="N3604" s="352"/>
      <c r="O3604" s="352"/>
      <c r="P3604" s="352"/>
      <c r="Q3604" s="352"/>
      <c r="R3604" s="352"/>
      <c r="S3604" s="352"/>
      <c r="T3604" s="352"/>
      <c r="U3604" s="352"/>
      <c r="V3604" s="352"/>
      <c r="W3604" s="352"/>
      <c r="X3604" s="352"/>
      <c r="Y3604" s="352"/>
      <c r="Z3604" s="352"/>
      <c r="AA3604" s="352"/>
      <c r="AB3604" s="352"/>
      <c r="AC3604" s="352"/>
      <c r="AD3604" s="352"/>
      <c r="AE3604" s="352"/>
      <c r="AF3604" s="352"/>
      <c r="AG3604" s="352"/>
      <c r="AH3604" s="352"/>
      <c r="AI3604" s="352"/>
      <c r="AJ3604" s="352"/>
    </row>
    <row r="3605" spans="2:36" x14ac:dyDescent="0.2">
      <c r="B3605" s="352"/>
      <c r="C3605" s="352"/>
      <c r="D3605" s="352"/>
      <c r="E3605" s="352"/>
      <c r="F3605" s="352"/>
      <c r="H3605" s="352"/>
      <c r="J3605" s="352"/>
      <c r="L3605" s="352"/>
      <c r="M3605" s="352"/>
      <c r="N3605" s="352"/>
      <c r="O3605" s="352"/>
      <c r="P3605" s="352"/>
      <c r="Q3605" s="352"/>
      <c r="R3605" s="352"/>
      <c r="S3605" s="352"/>
      <c r="T3605" s="352"/>
      <c r="U3605" s="352"/>
      <c r="V3605" s="352"/>
      <c r="W3605" s="352"/>
      <c r="X3605" s="352"/>
      <c r="Y3605" s="352"/>
      <c r="Z3605" s="352"/>
      <c r="AA3605" s="352"/>
      <c r="AB3605" s="352"/>
      <c r="AC3605" s="352"/>
      <c r="AD3605" s="352"/>
      <c r="AE3605" s="352"/>
      <c r="AF3605" s="352"/>
      <c r="AG3605" s="352"/>
      <c r="AH3605" s="352"/>
      <c r="AI3605" s="352"/>
      <c r="AJ3605" s="352"/>
    </row>
    <row r="3606" spans="2:36" x14ac:dyDescent="0.2">
      <c r="B3606" s="352"/>
      <c r="C3606" s="352"/>
      <c r="D3606" s="352"/>
      <c r="E3606" s="352"/>
      <c r="F3606" s="352"/>
      <c r="H3606" s="352"/>
      <c r="J3606" s="352"/>
      <c r="L3606" s="352"/>
      <c r="M3606" s="352"/>
      <c r="N3606" s="352"/>
      <c r="O3606" s="352"/>
      <c r="P3606" s="352"/>
      <c r="Q3606" s="352"/>
      <c r="R3606" s="352"/>
      <c r="S3606" s="352"/>
      <c r="T3606" s="352"/>
      <c r="U3606" s="352"/>
      <c r="V3606" s="352"/>
      <c r="W3606" s="352"/>
      <c r="X3606" s="352"/>
      <c r="Y3606" s="352"/>
      <c r="Z3606" s="352"/>
      <c r="AA3606" s="352"/>
      <c r="AB3606" s="352"/>
      <c r="AC3606" s="352"/>
      <c r="AD3606" s="352"/>
      <c r="AE3606" s="352"/>
      <c r="AF3606" s="352"/>
      <c r="AG3606" s="352"/>
      <c r="AH3606" s="352"/>
      <c r="AI3606" s="352"/>
      <c r="AJ3606" s="352"/>
    </row>
    <row r="3607" spans="2:36" x14ac:dyDescent="0.2">
      <c r="B3607" s="352"/>
      <c r="C3607" s="352"/>
      <c r="D3607" s="352"/>
      <c r="E3607" s="352"/>
      <c r="F3607" s="352"/>
      <c r="H3607" s="352"/>
      <c r="J3607" s="352"/>
      <c r="L3607" s="352"/>
      <c r="M3607" s="352"/>
      <c r="N3607" s="352"/>
      <c r="O3607" s="352"/>
      <c r="P3607" s="352"/>
      <c r="Q3607" s="352"/>
      <c r="R3607" s="352"/>
      <c r="S3607" s="352"/>
      <c r="T3607" s="352"/>
      <c r="U3607" s="352"/>
      <c r="V3607" s="352"/>
      <c r="W3607" s="352"/>
      <c r="X3607" s="352"/>
      <c r="Y3607" s="352"/>
      <c r="Z3607" s="352"/>
      <c r="AA3607" s="352"/>
      <c r="AB3607" s="352"/>
      <c r="AC3607" s="352"/>
      <c r="AD3607" s="352"/>
      <c r="AE3607" s="352"/>
      <c r="AF3607" s="352"/>
      <c r="AG3607" s="352"/>
      <c r="AH3607" s="352"/>
      <c r="AI3607" s="352"/>
      <c r="AJ3607" s="352"/>
    </row>
    <row r="3608" spans="2:36" x14ac:dyDescent="0.2">
      <c r="B3608" s="352"/>
      <c r="C3608" s="352"/>
      <c r="D3608" s="352"/>
      <c r="E3608" s="352"/>
      <c r="F3608" s="352"/>
      <c r="H3608" s="352"/>
      <c r="J3608" s="352"/>
      <c r="L3608" s="352"/>
      <c r="M3608" s="352"/>
      <c r="N3608" s="352"/>
      <c r="O3608" s="352"/>
      <c r="P3608" s="352"/>
      <c r="Q3608" s="352"/>
      <c r="R3608" s="352"/>
      <c r="S3608" s="352"/>
      <c r="T3608" s="352"/>
      <c r="U3608" s="352"/>
      <c r="V3608" s="352"/>
      <c r="W3608" s="352"/>
      <c r="X3608" s="352"/>
      <c r="Y3608" s="352"/>
      <c r="Z3608" s="352"/>
      <c r="AA3608" s="352"/>
      <c r="AB3608" s="352"/>
      <c r="AC3608" s="352"/>
      <c r="AD3608" s="352"/>
      <c r="AE3608" s="352"/>
      <c r="AF3608" s="352"/>
      <c r="AG3608" s="352"/>
      <c r="AH3608" s="352"/>
      <c r="AI3608" s="352"/>
      <c r="AJ3608" s="352"/>
    </row>
    <row r="3609" spans="2:36" x14ac:dyDescent="0.2">
      <c r="B3609" s="352"/>
      <c r="C3609" s="352"/>
      <c r="D3609" s="352"/>
      <c r="E3609" s="352"/>
      <c r="F3609" s="352"/>
      <c r="H3609" s="352"/>
      <c r="J3609" s="352"/>
      <c r="L3609" s="352"/>
      <c r="M3609" s="352"/>
      <c r="N3609" s="352"/>
      <c r="O3609" s="352"/>
      <c r="P3609" s="352"/>
      <c r="Q3609" s="352"/>
      <c r="R3609" s="352"/>
      <c r="S3609" s="352"/>
      <c r="T3609" s="352"/>
      <c r="U3609" s="352"/>
      <c r="V3609" s="352"/>
      <c r="W3609" s="352"/>
      <c r="X3609" s="352"/>
      <c r="Y3609" s="352"/>
      <c r="Z3609" s="352"/>
      <c r="AA3609" s="352"/>
      <c r="AB3609" s="352"/>
      <c r="AC3609" s="352"/>
      <c r="AD3609" s="352"/>
      <c r="AE3609" s="352"/>
      <c r="AF3609" s="352"/>
      <c r="AG3609" s="352"/>
      <c r="AH3609" s="352"/>
      <c r="AI3609" s="352"/>
      <c r="AJ3609" s="352"/>
    </row>
    <row r="3610" spans="2:36" x14ac:dyDescent="0.2">
      <c r="B3610" s="352"/>
      <c r="C3610" s="352"/>
      <c r="D3610" s="352"/>
      <c r="E3610" s="352"/>
      <c r="F3610" s="352"/>
      <c r="H3610" s="352"/>
      <c r="J3610" s="352"/>
      <c r="L3610" s="352"/>
      <c r="M3610" s="352"/>
      <c r="N3610" s="352"/>
      <c r="O3610" s="352"/>
      <c r="P3610" s="352"/>
      <c r="Q3610" s="352"/>
      <c r="R3610" s="352"/>
      <c r="S3610" s="352"/>
      <c r="T3610" s="352"/>
      <c r="U3610" s="352"/>
      <c r="V3610" s="352"/>
      <c r="W3610" s="352"/>
      <c r="X3610" s="352"/>
      <c r="Y3610" s="352"/>
      <c r="Z3610" s="352"/>
      <c r="AA3610" s="352"/>
      <c r="AB3610" s="352"/>
      <c r="AC3610" s="352"/>
      <c r="AD3610" s="352"/>
      <c r="AE3610" s="352"/>
      <c r="AF3610" s="352"/>
      <c r="AG3610" s="352"/>
      <c r="AH3610" s="352"/>
      <c r="AI3610" s="352"/>
      <c r="AJ3610" s="352"/>
    </row>
    <row r="3611" spans="2:36" x14ac:dyDescent="0.2">
      <c r="B3611" s="352"/>
      <c r="C3611" s="352"/>
      <c r="D3611" s="352"/>
      <c r="E3611" s="352"/>
      <c r="F3611" s="352"/>
      <c r="H3611" s="352"/>
      <c r="J3611" s="352"/>
      <c r="L3611" s="352"/>
      <c r="M3611" s="352"/>
      <c r="N3611" s="352"/>
      <c r="O3611" s="352"/>
      <c r="P3611" s="352"/>
      <c r="Q3611" s="352"/>
      <c r="R3611" s="352"/>
      <c r="S3611" s="352"/>
      <c r="T3611" s="352"/>
      <c r="U3611" s="352"/>
      <c r="V3611" s="352"/>
      <c r="W3611" s="352"/>
      <c r="X3611" s="352"/>
      <c r="Y3611" s="352"/>
      <c r="Z3611" s="352"/>
      <c r="AA3611" s="352"/>
      <c r="AB3611" s="352"/>
      <c r="AC3611" s="352"/>
      <c r="AD3611" s="352"/>
      <c r="AE3611" s="352"/>
      <c r="AF3611" s="352"/>
      <c r="AG3611" s="352"/>
      <c r="AH3611" s="352"/>
      <c r="AI3611" s="352"/>
      <c r="AJ3611" s="352"/>
    </row>
    <row r="3612" spans="2:36" x14ac:dyDescent="0.2">
      <c r="B3612" s="352"/>
      <c r="C3612" s="352"/>
      <c r="D3612" s="352"/>
      <c r="E3612" s="352"/>
      <c r="F3612" s="352"/>
      <c r="H3612" s="352"/>
      <c r="J3612" s="352"/>
      <c r="L3612" s="352"/>
      <c r="M3612" s="352"/>
      <c r="N3612" s="352"/>
      <c r="O3612" s="352"/>
      <c r="P3612" s="352"/>
      <c r="Q3612" s="352"/>
      <c r="R3612" s="352"/>
      <c r="S3612" s="352"/>
      <c r="T3612" s="352"/>
      <c r="U3612" s="352"/>
      <c r="V3612" s="352"/>
      <c r="W3612" s="352"/>
      <c r="X3612" s="352"/>
      <c r="Y3612" s="352"/>
      <c r="Z3612" s="352"/>
      <c r="AA3612" s="352"/>
      <c r="AB3612" s="352"/>
      <c r="AC3612" s="352"/>
      <c r="AD3612" s="352"/>
      <c r="AE3612" s="352"/>
      <c r="AF3612" s="352"/>
      <c r="AG3612" s="352"/>
      <c r="AH3612" s="352"/>
      <c r="AI3612" s="352"/>
      <c r="AJ3612" s="352"/>
    </row>
    <row r="3613" spans="2:36" x14ac:dyDescent="0.2">
      <c r="B3613" s="352"/>
      <c r="C3613" s="352"/>
      <c r="D3613" s="352"/>
      <c r="E3613" s="352"/>
      <c r="F3613" s="352"/>
      <c r="H3613" s="352"/>
      <c r="J3613" s="352"/>
      <c r="L3613" s="352"/>
      <c r="M3613" s="352"/>
      <c r="N3613" s="352"/>
      <c r="O3613" s="352"/>
      <c r="P3613" s="352"/>
      <c r="Q3613" s="352"/>
      <c r="R3613" s="352"/>
      <c r="S3613" s="352"/>
      <c r="T3613" s="352"/>
      <c r="U3613" s="352"/>
      <c r="V3613" s="352"/>
      <c r="W3613" s="352"/>
      <c r="X3613" s="352"/>
      <c r="Y3613" s="352"/>
      <c r="Z3613" s="352"/>
      <c r="AA3613" s="352"/>
      <c r="AB3613" s="352"/>
      <c r="AC3613" s="352"/>
      <c r="AD3613" s="352"/>
      <c r="AE3613" s="352"/>
      <c r="AF3613" s="352"/>
      <c r="AG3613" s="352"/>
      <c r="AH3613" s="352"/>
      <c r="AI3613" s="352"/>
      <c r="AJ3613" s="352"/>
    </row>
    <row r="3614" spans="2:36" x14ac:dyDescent="0.2">
      <c r="B3614" s="352"/>
      <c r="C3614" s="352"/>
      <c r="D3614" s="352"/>
      <c r="E3614" s="352"/>
      <c r="F3614" s="352"/>
      <c r="H3614" s="352"/>
      <c r="J3614" s="352"/>
      <c r="L3614" s="352"/>
      <c r="M3614" s="352"/>
      <c r="N3614" s="352"/>
      <c r="O3614" s="352"/>
      <c r="P3614" s="352"/>
      <c r="Q3614" s="352"/>
      <c r="R3614" s="352"/>
      <c r="S3614" s="352"/>
      <c r="T3614" s="352"/>
      <c r="U3614" s="352"/>
      <c r="V3614" s="352"/>
      <c r="W3614" s="352"/>
      <c r="X3614" s="352"/>
      <c r="Y3614" s="352"/>
      <c r="Z3614" s="352"/>
      <c r="AA3614" s="352"/>
      <c r="AB3614" s="352"/>
      <c r="AC3614" s="352"/>
      <c r="AD3614" s="352"/>
      <c r="AE3614" s="352"/>
      <c r="AF3614" s="352"/>
      <c r="AG3614" s="352"/>
      <c r="AH3614" s="352"/>
      <c r="AI3614" s="352"/>
      <c r="AJ3614" s="352"/>
    </row>
    <row r="3615" spans="2:36" x14ac:dyDescent="0.2">
      <c r="B3615" s="352"/>
      <c r="C3615" s="352"/>
      <c r="D3615" s="352"/>
      <c r="E3615" s="352"/>
      <c r="F3615" s="352"/>
      <c r="H3615" s="352"/>
      <c r="J3615" s="352"/>
      <c r="L3615" s="352"/>
      <c r="M3615" s="352"/>
      <c r="N3615" s="352"/>
      <c r="O3615" s="352"/>
      <c r="P3615" s="352"/>
      <c r="Q3615" s="352"/>
      <c r="R3615" s="352"/>
      <c r="S3615" s="352"/>
      <c r="T3615" s="352"/>
      <c r="U3615" s="352"/>
      <c r="V3615" s="352"/>
      <c r="W3615" s="352"/>
      <c r="X3615" s="352"/>
      <c r="Y3615" s="352"/>
      <c r="Z3615" s="352"/>
      <c r="AA3615" s="352"/>
      <c r="AB3615" s="352"/>
      <c r="AC3615" s="352"/>
      <c r="AD3615" s="352"/>
      <c r="AE3615" s="352"/>
      <c r="AF3615" s="352"/>
      <c r="AG3615" s="352"/>
      <c r="AH3615" s="352"/>
      <c r="AI3615" s="352"/>
      <c r="AJ3615" s="352"/>
    </row>
    <row r="3616" spans="2:36" x14ac:dyDescent="0.2">
      <c r="B3616" s="352"/>
      <c r="C3616" s="352"/>
      <c r="D3616" s="352"/>
      <c r="E3616" s="352"/>
      <c r="F3616" s="352"/>
      <c r="H3616" s="352"/>
      <c r="J3616" s="352"/>
      <c r="L3616" s="352"/>
      <c r="M3616" s="352"/>
      <c r="N3616" s="352"/>
      <c r="O3616" s="352"/>
      <c r="P3616" s="352"/>
      <c r="Q3616" s="352"/>
      <c r="R3616" s="352"/>
      <c r="S3616" s="352"/>
      <c r="T3616" s="352"/>
      <c r="U3616" s="352"/>
      <c r="V3616" s="352"/>
      <c r="W3616" s="352"/>
      <c r="X3616" s="352"/>
      <c r="Y3616" s="352"/>
      <c r="Z3616" s="352"/>
      <c r="AA3616" s="352"/>
      <c r="AB3616" s="352"/>
      <c r="AC3616" s="352"/>
      <c r="AD3616" s="352"/>
      <c r="AE3616" s="352"/>
      <c r="AF3616" s="352"/>
      <c r="AG3616" s="352"/>
      <c r="AH3616" s="352"/>
      <c r="AI3616" s="352"/>
      <c r="AJ3616" s="352"/>
    </row>
    <row r="3617" spans="2:36" x14ac:dyDescent="0.2">
      <c r="B3617" s="352"/>
      <c r="C3617" s="352"/>
      <c r="D3617" s="352"/>
      <c r="E3617" s="352"/>
      <c r="F3617" s="352"/>
      <c r="H3617" s="352"/>
      <c r="J3617" s="352"/>
      <c r="L3617" s="352"/>
      <c r="M3617" s="352"/>
      <c r="N3617" s="352"/>
      <c r="O3617" s="352"/>
      <c r="P3617" s="352"/>
      <c r="Q3617" s="352"/>
      <c r="R3617" s="352"/>
      <c r="S3617" s="352"/>
      <c r="T3617" s="352"/>
      <c r="U3617" s="352"/>
      <c r="V3617" s="352"/>
      <c r="W3617" s="352"/>
      <c r="X3617" s="352"/>
      <c r="Y3617" s="352"/>
      <c r="Z3617" s="352"/>
      <c r="AA3617" s="352"/>
      <c r="AB3617" s="352"/>
      <c r="AC3617" s="352"/>
      <c r="AD3617" s="352"/>
      <c r="AE3617" s="352"/>
      <c r="AF3617" s="352"/>
      <c r="AG3617" s="352"/>
      <c r="AH3617" s="352"/>
      <c r="AI3617" s="352"/>
      <c r="AJ3617" s="352"/>
    </row>
    <row r="3618" spans="2:36" x14ac:dyDescent="0.2">
      <c r="B3618" s="352"/>
      <c r="C3618" s="352"/>
      <c r="D3618" s="352"/>
      <c r="E3618" s="352"/>
      <c r="F3618" s="352"/>
      <c r="H3618" s="352"/>
      <c r="J3618" s="352"/>
      <c r="L3618" s="352"/>
      <c r="M3618" s="352"/>
      <c r="N3618" s="352"/>
      <c r="O3618" s="352"/>
      <c r="P3618" s="352"/>
      <c r="Q3618" s="352"/>
      <c r="R3618" s="352"/>
      <c r="S3618" s="352"/>
      <c r="T3618" s="352"/>
      <c r="U3618" s="352"/>
      <c r="V3618" s="352"/>
      <c r="W3618" s="352"/>
      <c r="X3618" s="352"/>
      <c r="Y3618" s="352"/>
      <c r="Z3618" s="352"/>
      <c r="AA3618" s="352"/>
      <c r="AB3618" s="352"/>
      <c r="AC3618" s="352"/>
      <c r="AD3618" s="352"/>
      <c r="AE3618" s="352"/>
      <c r="AF3618" s="352"/>
      <c r="AG3618" s="352"/>
      <c r="AH3618" s="352"/>
      <c r="AI3618" s="352"/>
      <c r="AJ3618" s="352"/>
    </row>
    <row r="3619" spans="2:36" x14ac:dyDescent="0.2">
      <c r="B3619" s="352"/>
      <c r="C3619" s="352"/>
      <c r="D3619" s="352"/>
      <c r="E3619" s="352"/>
      <c r="F3619" s="352"/>
      <c r="H3619" s="352"/>
      <c r="J3619" s="352"/>
      <c r="L3619" s="352"/>
      <c r="M3619" s="352"/>
      <c r="N3619" s="352"/>
      <c r="O3619" s="352"/>
      <c r="P3619" s="352"/>
      <c r="Q3619" s="352"/>
      <c r="R3619" s="352"/>
      <c r="S3619" s="352"/>
      <c r="T3619" s="352"/>
      <c r="U3619" s="352"/>
      <c r="V3619" s="352"/>
      <c r="W3619" s="352"/>
      <c r="X3619" s="352"/>
      <c r="Y3619" s="352"/>
      <c r="Z3619" s="352"/>
      <c r="AA3619" s="352"/>
      <c r="AB3619" s="352"/>
      <c r="AC3619" s="352"/>
      <c r="AD3619" s="352"/>
      <c r="AE3619" s="352"/>
      <c r="AF3619" s="352"/>
      <c r="AG3619" s="352"/>
      <c r="AH3619" s="352"/>
      <c r="AI3619" s="352"/>
      <c r="AJ3619" s="352"/>
    </row>
    <row r="3620" spans="2:36" x14ac:dyDescent="0.2">
      <c r="B3620" s="352"/>
      <c r="C3620" s="352"/>
      <c r="D3620" s="352"/>
      <c r="E3620" s="352"/>
      <c r="F3620" s="352"/>
      <c r="H3620" s="352"/>
      <c r="J3620" s="352"/>
      <c r="L3620" s="352"/>
      <c r="M3620" s="352"/>
      <c r="N3620" s="352"/>
      <c r="O3620" s="352"/>
      <c r="P3620" s="352"/>
      <c r="Q3620" s="352"/>
      <c r="R3620" s="352"/>
      <c r="S3620" s="352"/>
      <c r="T3620" s="352"/>
      <c r="U3620" s="352"/>
      <c r="V3620" s="352"/>
      <c r="W3620" s="352"/>
      <c r="X3620" s="352"/>
      <c r="Y3620" s="352"/>
      <c r="Z3620" s="352"/>
      <c r="AA3620" s="352"/>
      <c r="AB3620" s="352"/>
      <c r="AC3620" s="352"/>
      <c r="AD3620" s="352"/>
      <c r="AE3620" s="352"/>
      <c r="AF3620" s="352"/>
      <c r="AG3620" s="352"/>
      <c r="AH3620" s="352"/>
      <c r="AI3620" s="352"/>
      <c r="AJ3620" s="352"/>
    </row>
    <row r="3621" spans="2:36" x14ac:dyDescent="0.2">
      <c r="B3621" s="352"/>
      <c r="C3621" s="352"/>
      <c r="D3621" s="352"/>
      <c r="E3621" s="352"/>
      <c r="F3621" s="352"/>
      <c r="H3621" s="352"/>
      <c r="J3621" s="352"/>
      <c r="L3621" s="352"/>
      <c r="M3621" s="352"/>
      <c r="N3621" s="352"/>
      <c r="O3621" s="352"/>
      <c r="P3621" s="352"/>
      <c r="Q3621" s="352"/>
      <c r="R3621" s="352"/>
      <c r="S3621" s="352"/>
      <c r="T3621" s="352"/>
      <c r="U3621" s="352"/>
      <c r="V3621" s="352"/>
      <c r="W3621" s="352"/>
      <c r="X3621" s="352"/>
      <c r="Y3621" s="352"/>
      <c r="Z3621" s="352"/>
      <c r="AA3621" s="352"/>
      <c r="AB3621" s="352"/>
      <c r="AC3621" s="352"/>
      <c r="AD3621" s="352"/>
      <c r="AE3621" s="352"/>
      <c r="AF3621" s="352"/>
      <c r="AG3621" s="352"/>
      <c r="AH3621" s="352"/>
      <c r="AI3621" s="352"/>
      <c r="AJ3621" s="352"/>
    </row>
    <row r="3622" spans="2:36" x14ac:dyDescent="0.2">
      <c r="B3622" s="352"/>
      <c r="C3622" s="352"/>
      <c r="D3622" s="352"/>
      <c r="E3622" s="352"/>
      <c r="F3622" s="352"/>
      <c r="H3622" s="352"/>
      <c r="J3622" s="352"/>
      <c r="L3622" s="352"/>
      <c r="M3622" s="352"/>
      <c r="N3622" s="352"/>
      <c r="O3622" s="352"/>
      <c r="P3622" s="352"/>
      <c r="Q3622" s="352"/>
      <c r="R3622" s="352"/>
      <c r="S3622" s="352"/>
      <c r="T3622" s="352"/>
      <c r="U3622" s="352"/>
      <c r="V3622" s="352"/>
      <c r="W3622" s="352"/>
      <c r="X3622" s="352"/>
      <c r="Y3622" s="352"/>
      <c r="Z3622" s="352"/>
      <c r="AA3622" s="352"/>
      <c r="AB3622" s="352"/>
      <c r="AC3622" s="352"/>
      <c r="AD3622" s="352"/>
      <c r="AE3622" s="352"/>
      <c r="AF3622" s="352"/>
      <c r="AG3622" s="352"/>
      <c r="AH3622" s="352"/>
      <c r="AI3622" s="352"/>
      <c r="AJ3622" s="352"/>
    </row>
    <row r="3623" spans="2:36" x14ac:dyDescent="0.2">
      <c r="B3623" s="352"/>
      <c r="C3623" s="352"/>
      <c r="D3623" s="352"/>
      <c r="E3623" s="352"/>
      <c r="F3623" s="352"/>
      <c r="H3623" s="352"/>
      <c r="J3623" s="352"/>
      <c r="L3623" s="352"/>
      <c r="M3623" s="352"/>
      <c r="N3623" s="352"/>
      <c r="O3623" s="352"/>
      <c r="P3623" s="352"/>
      <c r="Q3623" s="352"/>
      <c r="R3623" s="352"/>
      <c r="S3623" s="352"/>
      <c r="T3623" s="352"/>
      <c r="U3623" s="352"/>
      <c r="V3623" s="352"/>
      <c r="W3623" s="352"/>
      <c r="X3623" s="352"/>
      <c r="Y3623" s="352"/>
      <c r="Z3623" s="352"/>
      <c r="AA3623" s="352"/>
      <c r="AB3623" s="352"/>
      <c r="AC3623" s="352"/>
      <c r="AD3623" s="352"/>
      <c r="AE3623" s="352"/>
      <c r="AF3623" s="352"/>
      <c r="AG3623" s="352"/>
      <c r="AH3623" s="352"/>
      <c r="AI3623" s="352"/>
      <c r="AJ3623" s="352"/>
    </row>
    <row r="3624" spans="2:36" x14ac:dyDescent="0.2">
      <c r="B3624" s="352"/>
      <c r="C3624" s="352"/>
      <c r="D3624" s="352"/>
      <c r="E3624" s="352"/>
      <c r="F3624" s="352"/>
      <c r="H3624" s="352"/>
      <c r="J3624" s="352"/>
      <c r="L3624" s="352"/>
      <c r="M3624" s="352"/>
      <c r="N3624" s="352"/>
      <c r="O3624" s="352"/>
      <c r="P3624" s="352"/>
      <c r="Q3624" s="352"/>
      <c r="R3624" s="352"/>
      <c r="S3624" s="352"/>
      <c r="T3624" s="352"/>
      <c r="U3624" s="352"/>
      <c r="V3624" s="352"/>
      <c r="W3624" s="352"/>
      <c r="X3624" s="352"/>
      <c r="Y3624" s="352"/>
      <c r="Z3624" s="352"/>
      <c r="AA3624" s="352"/>
      <c r="AB3624" s="352"/>
      <c r="AC3624" s="352"/>
      <c r="AD3624" s="352"/>
      <c r="AE3624" s="352"/>
      <c r="AF3624" s="352"/>
      <c r="AG3624" s="352"/>
      <c r="AH3624" s="352"/>
      <c r="AI3624" s="352"/>
      <c r="AJ3624" s="352"/>
    </row>
    <row r="3625" spans="2:36" x14ac:dyDescent="0.2">
      <c r="B3625" s="352"/>
      <c r="C3625" s="352"/>
      <c r="D3625" s="352"/>
      <c r="E3625" s="352"/>
      <c r="F3625" s="352"/>
      <c r="H3625" s="352"/>
      <c r="J3625" s="352"/>
      <c r="L3625" s="352"/>
      <c r="M3625" s="352"/>
      <c r="N3625" s="352"/>
      <c r="O3625" s="352"/>
      <c r="P3625" s="352"/>
      <c r="Q3625" s="352"/>
      <c r="R3625" s="352"/>
      <c r="S3625" s="352"/>
      <c r="T3625" s="352"/>
      <c r="U3625" s="352"/>
      <c r="V3625" s="352"/>
      <c r="W3625" s="352"/>
      <c r="X3625" s="352"/>
      <c r="Y3625" s="352"/>
      <c r="Z3625" s="352"/>
      <c r="AA3625" s="352"/>
      <c r="AB3625" s="352"/>
      <c r="AC3625" s="352"/>
      <c r="AD3625" s="352"/>
      <c r="AE3625" s="352"/>
      <c r="AF3625" s="352"/>
      <c r="AG3625" s="352"/>
      <c r="AH3625" s="352"/>
      <c r="AI3625" s="352"/>
      <c r="AJ3625" s="352"/>
    </row>
    <row r="3626" spans="2:36" x14ac:dyDescent="0.2">
      <c r="B3626" s="352"/>
      <c r="C3626" s="352"/>
      <c r="D3626" s="352"/>
      <c r="E3626" s="352"/>
      <c r="F3626" s="352"/>
      <c r="H3626" s="352"/>
      <c r="J3626" s="352"/>
      <c r="L3626" s="352"/>
      <c r="M3626" s="352"/>
      <c r="N3626" s="352"/>
      <c r="O3626" s="352"/>
      <c r="P3626" s="352"/>
      <c r="Q3626" s="352"/>
      <c r="R3626" s="352"/>
      <c r="S3626" s="352"/>
      <c r="T3626" s="352"/>
      <c r="U3626" s="352"/>
      <c r="V3626" s="352"/>
      <c r="W3626" s="352"/>
      <c r="X3626" s="352"/>
      <c r="Y3626" s="352"/>
      <c r="Z3626" s="352"/>
      <c r="AA3626" s="352"/>
      <c r="AB3626" s="352"/>
      <c r="AC3626" s="352"/>
      <c r="AD3626" s="352"/>
      <c r="AE3626" s="352"/>
      <c r="AF3626" s="352"/>
      <c r="AG3626" s="352"/>
      <c r="AH3626" s="352"/>
      <c r="AI3626" s="352"/>
      <c r="AJ3626" s="352"/>
    </row>
    <row r="3627" spans="2:36" x14ac:dyDescent="0.2">
      <c r="B3627" s="352"/>
      <c r="C3627" s="352"/>
      <c r="D3627" s="352"/>
      <c r="E3627" s="352"/>
      <c r="F3627" s="352"/>
      <c r="H3627" s="352"/>
      <c r="J3627" s="352"/>
      <c r="L3627" s="352"/>
      <c r="M3627" s="352"/>
      <c r="N3627" s="352"/>
      <c r="O3627" s="352"/>
      <c r="P3627" s="352"/>
      <c r="Q3627" s="352"/>
      <c r="R3627" s="352"/>
      <c r="S3627" s="352"/>
      <c r="T3627" s="352"/>
      <c r="U3627" s="352"/>
      <c r="V3627" s="352"/>
      <c r="W3627" s="352"/>
      <c r="X3627" s="352"/>
      <c r="Y3627" s="352"/>
      <c r="Z3627" s="352"/>
      <c r="AA3627" s="352"/>
      <c r="AB3627" s="352"/>
      <c r="AC3627" s="352"/>
      <c r="AD3627" s="352"/>
      <c r="AE3627" s="352"/>
      <c r="AF3627" s="352"/>
      <c r="AG3627" s="352"/>
      <c r="AH3627" s="352"/>
      <c r="AI3627" s="352"/>
      <c r="AJ3627" s="352"/>
    </row>
    <row r="3628" spans="2:36" x14ac:dyDescent="0.2">
      <c r="B3628" s="352"/>
      <c r="C3628" s="352"/>
      <c r="D3628" s="352"/>
      <c r="E3628" s="352"/>
      <c r="F3628" s="352"/>
      <c r="H3628" s="352"/>
      <c r="J3628" s="352"/>
      <c r="L3628" s="352"/>
      <c r="M3628" s="352"/>
      <c r="N3628" s="352"/>
      <c r="O3628" s="352"/>
      <c r="P3628" s="352"/>
      <c r="Q3628" s="352"/>
      <c r="R3628" s="352"/>
      <c r="S3628" s="352"/>
      <c r="T3628" s="352"/>
      <c r="U3628" s="352"/>
      <c r="V3628" s="352"/>
      <c r="W3628" s="352"/>
      <c r="X3628" s="352"/>
      <c r="Y3628" s="352"/>
      <c r="Z3628" s="352"/>
      <c r="AA3628" s="352"/>
      <c r="AB3628" s="352"/>
      <c r="AC3628" s="352"/>
      <c r="AD3628" s="352"/>
      <c r="AE3628" s="352"/>
      <c r="AF3628" s="352"/>
      <c r="AG3628" s="352"/>
      <c r="AH3628" s="352"/>
      <c r="AI3628" s="352"/>
      <c r="AJ3628" s="352"/>
    </row>
    <row r="3629" spans="2:36" x14ac:dyDescent="0.2">
      <c r="B3629" s="352"/>
      <c r="C3629" s="352"/>
      <c r="D3629" s="352"/>
      <c r="E3629" s="352"/>
      <c r="F3629" s="352"/>
      <c r="H3629" s="352"/>
      <c r="J3629" s="352"/>
      <c r="L3629" s="352"/>
      <c r="M3629" s="352"/>
      <c r="N3629" s="352"/>
      <c r="O3629" s="352"/>
      <c r="P3629" s="352"/>
      <c r="Q3629" s="352"/>
      <c r="R3629" s="352"/>
      <c r="S3629" s="352"/>
      <c r="T3629" s="352"/>
      <c r="U3629" s="352"/>
      <c r="V3629" s="352"/>
      <c r="W3629" s="352"/>
      <c r="X3629" s="352"/>
      <c r="Y3629" s="352"/>
      <c r="Z3629" s="352"/>
      <c r="AA3629" s="352"/>
      <c r="AB3629" s="352"/>
      <c r="AC3629" s="352"/>
      <c r="AD3629" s="352"/>
      <c r="AE3629" s="352"/>
      <c r="AF3629" s="352"/>
      <c r="AG3629" s="352"/>
      <c r="AH3629" s="352"/>
      <c r="AI3629" s="352"/>
      <c r="AJ3629" s="352"/>
    </row>
    <row r="3630" spans="2:36" x14ac:dyDescent="0.2">
      <c r="B3630" s="352"/>
      <c r="C3630" s="352"/>
      <c r="D3630" s="352"/>
      <c r="E3630" s="352"/>
      <c r="F3630" s="352"/>
      <c r="H3630" s="352"/>
      <c r="J3630" s="352"/>
      <c r="L3630" s="352"/>
      <c r="M3630" s="352"/>
      <c r="N3630" s="352"/>
      <c r="O3630" s="352"/>
      <c r="P3630" s="352"/>
      <c r="Q3630" s="352"/>
      <c r="R3630" s="352"/>
      <c r="S3630" s="352"/>
      <c r="T3630" s="352"/>
      <c r="U3630" s="352"/>
      <c r="V3630" s="352"/>
      <c r="W3630" s="352"/>
      <c r="X3630" s="352"/>
      <c r="Y3630" s="352"/>
      <c r="Z3630" s="352"/>
      <c r="AA3630" s="352"/>
      <c r="AB3630" s="352"/>
      <c r="AC3630" s="352"/>
      <c r="AD3630" s="352"/>
      <c r="AE3630" s="352"/>
      <c r="AF3630" s="352"/>
      <c r="AG3630" s="352"/>
      <c r="AH3630" s="352"/>
      <c r="AI3630" s="352"/>
      <c r="AJ3630" s="352"/>
    </row>
    <row r="3631" spans="2:36" x14ac:dyDescent="0.2">
      <c r="B3631" s="352"/>
      <c r="C3631" s="352"/>
      <c r="D3631" s="352"/>
      <c r="E3631" s="352"/>
      <c r="F3631" s="352"/>
      <c r="H3631" s="352"/>
      <c r="J3631" s="352"/>
      <c r="L3631" s="352"/>
      <c r="M3631" s="352"/>
      <c r="N3631" s="352"/>
      <c r="O3631" s="352"/>
      <c r="P3631" s="352"/>
      <c r="Q3631" s="352"/>
      <c r="R3631" s="352"/>
      <c r="S3631" s="352"/>
      <c r="T3631" s="352"/>
      <c r="U3631" s="352"/>
      <c r="V3631" s="352"/>
      <c r="W3631" s="352"/>
      <c r="X3631" s="352"/>
      <c r="Y3631" s="352"/>
      <c r="Z3631" s="352"/>
      <c r="AA3631" s="352"/>
      <c r="AB3631" s="352"/>
      <c r="AC3631" s="352"/>
      <c r="AD3631" s="352"/>
      <c r="AE3631" s="352"/>
      <c r="AF3631" s="352"/>
      <c r="AG3631" s="352"/>
      <c r="AH3631" s="352"/>
      <c r="AI3631" s="352"/>
      <c r="AJ3631" s="352"/>
    </row>
    <row r="3632" spans="2:36" x14ac:dyDescent="0.2">
      <c r="B3632" s="352"/>
      <c r="C3632" s="352"/>
      <c r="D3632" s="352"/>
      <c r="E3632" s="352"/>
      <c r="F3632" s="352"/>
      <c r="H3632" s="352"/>
      <c r="J3632" s="352"/>
      <c r="L3632" s="352"/>
      <c r="M3632" s="352"/>
      <c r="N3632" s="352"/>
      <c r="O3632" s="352"/>
      <c r="P3632" s="352"/>
      <c r="Q3632" s="352"/>
      <c r="R3632" s="352"/>
      <c r="S3632" s="352"/>
      <c r="T3632" s="352"/>
      <c r="U3632" s="352"/>
      <c r="V3632" s="352"/>
      <c r="W3632" s="352"/>
      <c r="X3632" s="352"/>
      <c r="Y3632" s="352"/>
      <c r="Z3632" s="352"/>
      <c r="AA3632" s="352"/>
      <c r="AB3632" s="352"/>
      <c r="AC3632" s="352"/>
      <c r="AD3632" s="352"/>
      <c r="AE3632" s="352"/>
      <c r="AF3632" s="352"/>
      <c r="AG3632" s="352"/>
      <c r="AH3632" s="352"/>
      <c r="AI3632" s="352"/>
      <c r="AJ3632" s="352"/>
    </row>
    <row r="3633" spans="2:36" x14ac:dyDescent="0.2">
      <c r="B3633" s="352"/>
      <c r="C3633" s="352"/>
      <c r="D3633" s="352"/>
      <c r="E3633" s="352"/>
      <c r="F3633" s="352"/>
      <c r="H3633" s="352"/>
      <c r="J3633" s="352"/>
      <c r="L3633" s="352"/>
      <c r="M3633" s="352"/>
      <c r="N3633" s="352"/>
      <c r="O3633" s="352"/>
      <c r="P3633" s="352"/>
      <c r="Q3633" s="352"/>
      <c r="R3633" s="352"/>
      <c r="S3633" s="352"/>
      <c r="T3633" s="352"/>
      <c r="U3633" s="352"/>
      <c r="V3633" s="352"/>
      <c r="W3633" s="352"/>
      <c r="X3633" s="352"/>
      <c r="Y3633" s="352"/>
      <c r="Z3633" s="352"/>
      <c r="AA3633" s="352"/>
      <c r="AB3633" s="352"/>
      <c r="AC3633" s="352"/>
      <c r="AD3633" s="352"/>
      <c r="AE3633" s="352"/>
      <c r="AF3633" s="352"/>
      <c r="AG3633" s="352"/>
      <c r="AH3633" s="352"/>
      <c r="AI3633" s="352"/>
      <c r="AJ3633" s="352"/>
    </row>
    <row r="3634" spans="2:36" x14ac:dyDescent="0.2">
      <c r="B3634" s="352"/>
      <c r="C3634" s="352"/>
      <c r="D3634" s="352"/>
      <c r="E3634" s="352"/>
      <c r="F3634" s="352"/>
      <c r="H3634" s="352"/>
      <c r="J3634" s="352"/>
      <c r="L3634" s="352"/>
      <c r="M3634" s="352"/>
      <c r="N3634" s="352"/>
      <c r="O3634" s="352"/>
      <c r="P3634" s="352"/>
      <c r="Q3634" s="352"/>
      <c r="R3634" s="352"/>
      <c r="S3634" s="352"/>
      <c r="T3634" s="352"/>
      <c r="U3634" s="352"/>
      <c r="V3634" s="352"/>
      <c r="W3634" s="352"/>
      <c r="X3634" s="352"/>
      <c r="Y3634" s="352"/>
      <c r="Z3634" s="352"/>
      <c r="AA3634" s="352"/>
      <c r="AB3634" s="352"/>
      <c r="AC3634" s="352"/>
      <c r="AD3634" s="352"/>
      <c r="AE3634" s="352"/>
      <c r="AF3634" s="352"/>
      <c r="AG3634" s="352"/>
      <c r="AH3634" s="352"/>
      <c r="AI3634" s="352"/>
      <c r="AJ3634" s="352"/>
    </row>
    <row r="3635" spans="2:36" x14ac:dyDescent="0.2">
      <c r="B3635" s="352"/>
      <c r="C3635" s="352"/>
      <c r="D3635" s="352"/>
      <c r="E3635" s="352"/>
      <c r="F3635" s="352"/>
      <c r="H3635" s="352"/>
      <c r="J3635" s="352"/>
      <c r="L3635" s="352"/>
      <c r="M3635" s="352"/>
      <c r="N3635" s="352"/>
      <c r="O3635" s="352"/>
      <c r="P3635" s="352"/>
      <c r="Q3635" s="352"/>
      <c r="R3635" s="352"/>
      <c r="S3635" s="352"/>
      <c r="T3635" s="352"/>
      <c r="U3635" s="352"/>
      <c r="V3635" s="352"/>
      <c r="W3635" s="352"/>
      <c r="X3635" s="352"/>
      <c r="Y3635" s="352"/>
      <c r="Z3635" s="352"/>
      <c r="AA3635" s="352"/>
      <c r="AB3635" s="352"/>
      <c r="AC3635" s="352"/>
      <c r="AD3635" s="352"/>
      <c r="AE3635" s="352"/>
      <c r="AF3635" s="352"/>
      <c r="AG3635" s="352"/>
      <c r="AH3635" s="352"/>
      <c r="AI3635" s="352"/>
      <c r="AJ3635" s="352"/>
    </row>
    <row r="3636" spans="2:36" x14ac:dyDescent="0.2">
      <c r="B3636" s="352"/>
      <c r="C3636" s="352"/>
      <c r="D3636" s="352"/>
      <c r="E3636" s="352"/>
      <c r="F3636" s="352"/>
      <c r="H3636" s="352"/>
      <c r="J3636" s="352"/>
      <c r="L3636" s="352"/>
      <c r="M3636" s="352"/>
      <c r="N3636" s="352"/>
      <c r="O3636" s="352"/>
      <c r="P3636" s="352"/>
      <c r="Q3636" s="352"/>
      <c r="R3636" s="352"/>
      <c r="S3636" s="352"/>
      <c r="T3636" s="352"/>
      <c r="U3636" s="352"/>
      <c r="V3636" s="352"/>
      <c r="W3636" s="352"/>
      <c r="X3636" s="352"/>
      <c r="Y3636" s="352"/>
      <c r="Z3636" s="352"/>
      <c r="AA3636" s="352"/>
      <c r="AB3636" s="352"/>
      <c r="AC3636" s="352"/>
      <c r="AD3636" s="352"/>
      <c r="AE3636" s="352"/>
      <c r="AF3636" s="352"/>
      <c r="AG3636" s="352"/>
      <c r="AH3636" s="352"/>
      <c r="AI3636" s="352"/>
      <c r="AJ3636" s="352"/>
    </row>
    <row r="3637" spans="2:36" x14ac:dyDescent="0.2">
      <c r="B3637" s="352"/>
      <c r="C3637" s="352"/>
      <c r="D3637" s="352"/>
      <c r="E3637" s="352"/>
      <c r="F3637" s="352"/>
      <c r="H3637" s="352"/>
      <c r="J3637" s="352"/>
      <c r="L3637" s="352"/>
      <c r="M3637" s="352"/>
      <c r="N3637" s="352"/>
      <c r="O3637" s="352"/>
      <c r="P3637" s="352"/>
      <c r="Q3637" s="352"/>
      <c r="R3637" s="352"/>
      <c r="S3637" s="352"/>
      <c r="T3637" s="352"/>
      <c r="U3637" s="352"/>
      <c r="V3637" s="352"/>
      <c r="W3637" s="352"/>
      <c r="X3637" s="352"/>
      <c r="Y3637" s="352"/>
      <c r="Z3637" s="352"/>
      <c r="AA3637" s="352"/>
      <c r="AB3637" s="352"/>
      <c r="AC3637" s="352"/>
      <c r="AD3637" s="352"/>
      <c r="AE3637" s="352"/>
      <c r="AF3637" s="352"/>
      <c r="AG3637" s="352"/>
      <c r="AH3637" s="352"/>
      <c r="AI3637" s="352"/>
      <c r="AJ3637" s="352"/>
    </row>
    <row r="3638" spans="2:36" x14ac:dyDescent="0.2">
      <c r="B3638" s="352"/>
      <c r="C3638" s="352"/>
      <c r="D3638" s="352"/>
      <c r="E3638" s="352"/>
      <c r="F3638" s="352"/>
      <c r="H3638" s="352"/>
      <c r="J3638" s="352"/>
      <c r="L3638" s="352"/>
      <c r="M3638" s="352"/>
      <c r="N3638" s="352"/>
      <c r="O3638" s="352"/>
      <c r="P3638" s="352"/>
      <c r="Q3638" s="352"/>
      <c r="R3638" s="352"/>
      <c r="S3638" s="352"/>
      <c r="T3638" s="352"/>
      <c r="U3638" s="352"/>
      <c r="V3638" s="352"/>
      <c r="W3638" s="352"/>
      <c r="X3638" s="352"/>
      <c r="Y3638" s="352"/>
      <c r="Z3638" s="352"/>
      <c r="AA3638" s="352"/>
      <c r="AB3638" s="352"/>
      <c r="AC3638" s="352"/>
      <c r="AD3638" s="352"/>
      <c r="AE3638" s="352"/>
      <c r="AF3638" s="352"/>
      <c r="AG3638" s="352"/>
      <c r="AH3638" s="352"/>
      <c r="AI3638" s="352"/>
      <c r="AJ3638" s="352"/>
    </row>
    <row r="3639" spans="2:36" x14ac:dyDescent="0.2">
      <c r="B3639" s="352"/>
      <c r="C3639" s="352"/>
      <c r="D3639" s="352"/>
      <c r="E3639" s="352"/>
      <c r="F3639" s="352"/>
      <c r="H3639" s="352"/>
      <c r="J3639" s="352"/>
      <c r="L3639" s="352"/>
      <c r="M3639" s="352"/>
      <c r="N3639" s="352"/>
      <c r="O3639" s="352"/>
      <c r="P3639" s="352"/>
      <c r="Q3639" s="352"/>
      <c r="R3639" s="352"/>
      <c r="S3639" s="352"/>
      <c r="T3639" s="352"/>
      <c r="U3639" s="352"/>
      <c r="V3639" s="352"/>
      <c r="W3639" s="352"/>
      <c r="X3639" s="352"/>
      <c r="Y3639" s="352"/>
      <c r="Z3639" s="352"/>
      <c r="AA3639" s="352"/>
      <c r="AB3639" s="352"/>
      <c r="AC3639" s="352"/>
      <c r="AD3639" s="352"/>
      <c r="AE3639" s="352"/>
      <c r="AF3639" s="352"/>
      <c r="AG3639" s="352"/>
      <c r="AH3639" s="352"/>
      <c r="AI3639" s="352"/>
      <c r="AJ3639" s="352"/>
    </row>
    <row r="3640" spans="2:36" x14ac:dyDescent="0.2">
      <c r="B3640" s="352"/>
      <c r="C3640" s="352"/>
      <c r="D3640" s="352"/>
      <c r="E3640" s="352"/>
      <c r="F3640" s="352"/>
      <c r="H3640" s="352"/>
      <c r="J3640" s="352"/>
      <c r="L3640" s="352"/>
      <c r="M3640" s="352"/>
      <c r="N3640" s="352"/>
      <c r="O3640" s="352"/>
      <c r="P3640" s="352"/>
      <c r="Q3640" s="352"/>
      <c r="R3640" s="352"/>
      <c r="S3640" s="352"/>
      <c r="T3640" s="352"/>
      <c r="U3640" s="352"/>
      <c r="V3640" s="352"/>
      <c r="W3640" s="352"/>
      <c r="X3640" s="352"/>
      <c r="Y3640" s="352"/>
      <c r="Z3640" s="352"/>
      <c r="AA3640" s="352"/>
      <c r="AB3640" s="352"/>
      <c r="AC3640" s="352"/>
      <c r="AD3640" s="352"/>
      <c r="AE3640" s="352"/>
      <c r="AF3640" s="352"/>
      <c r="AG3640" s="352"/>
      <c r="AH3640" s="352"/>
      <c r="AI3640" s="352"/>
      <c r="AJ3640" s="352"/>
    </row>
    <row r="3641" spans="2:36" x14ac:dyDescent="0.2">
      <c r="B3641" s="352"/>
      <c r="C3641" s="352"/>
      <c r="D3641" s="352"/>
      <c r="E3641" s="352"/>
      <c r="F3641" s="352"/>
      <c r="H3641" s="352"/>
      <c r="J3641" s="352"/>
      <c r="L3641" s="352"/>
      <c r="M3641" s="352"/>
      <c r="N3641" s="352"/>
      <c r="O3641" s="352"/>
      <c r="P3641" s="352"/>
      <c r="Q3641" s="352"/>
      <c r="R3641" s="352"/>
      <c r="S3641" s="352"/>
      <c r="T3641" s="352"/>
      <c r="U3641" s="352"/>
      <c r="V3641" s="352"/>
      <c r="W3641" s="352"/>
      <c r="X3641" s="352"/>
      <c r="Y3641" s="352"/>
      <c r="Z3641" s="352"/>
      <c r="AA3641" s="352"/>
      <c r="AB3641" s="352"/>
      <c r="AC3641" s="352"/>
      <c r="AD3641" s="352"/>
      <c r="AE3641" s="352"/>
      <c r="AF3641" s="352"/>
      <c r="AG3641" s="352"/>
      <c r="AH3641" s="352"/>
      <c r="AI3641" s="352"/>
      <c r="AJ3641" s="352"/>
    </row>
    <row r="3642" spans="2:36" x14ac:dyDescent="0.2">
      <c r="B3642" s="352"/>
      <c r="C3642" s="352"/>
      <c r="D3642" s="352"/>
      <c r="E3642" s="352"/>
      <c r="F3642" s="352"/>
      <c r="H3642" s="352"/>
      <c r="J3642" s="352"/>
      <c r="L3642" s="352"/>
      <c r="M3642" s="352"/>
      <c r="N3642" s="352"/>
      <c r="O3642" s="352"/>
      <c r="P3642" s="352"/>
      <c r="Q3642" s="352"/>
      <c r="R3642" s="352"/>
      <c r="S3642" s="352"/>
      <c r="T3642" s="352"/>
      <c r="U3642" s="352"/>
      <c r="V3642" s="352"/>
      <c r="W3642" s="352"/>
      <c r="X3642" s="352"/>
      <c r="Y3642" s="352"/>
      <c r="Z3642" s="352"/>
      <c r="AA3642" s="352"/>
      <c r="AB3642" s="352"/>
      <c r="AC3642" s="352"/>
      <c r="AD3642" s="352"/>
      <c r="AE3642" s="352"/>
      <c r="AF3642" s="352"/>
      <c r="AG3642" s="352"/>
      <c r="AH3642" s="352"/>
      <c r="AI3642" s="352"/>
      <c r="AJ3642" s="352"/>
    </row>
    <row r="3643" spans="2:36" x14ac:dyDescent="0.2">
      <c r="B3643" s="352"/>
      <c r="C3643" s="352"/>
      <c r="D3643" s="352"/>
      <c r="E3643" s="352"/>
      <c r="F3643" s="352"/>
      <c r="H3643" s="352"/>
      <c r="J3643" s="352"/>
      <c r="L3643" s="352"/>
      <c r="M3643" s="352"/>
      <c r="N3643" s="352"/>
      <c r="O3643" s="352"/>
      <c r="P3643" s="352"/>
      <c r="Q3643" s="352"/>
      <c r="R3643" s="352"/>
      <c r="S3643" s="352"/>
      <c r="T3643" s="352"/>
      <c r="U3643" s="352"/>
      <c r="V3643" s="352"/>
      <c r="W3643" s="352"/>
      <c r="X3643" s="352"/>
      <c r="Y3643" s="352"/>
      <c r="Z3643" s="352"/>
      <c r="AA3643" s="352"/>
      <c r="AB3643" s="352"/>
      <c r="AC3643" s="352"/>
      <c r="AD3643" s="352"/>
      <c r="AE3643" s="352"/>
      <c r="AF3643" s="352"/>
      <c r="AG3643" s="352"/>
      <c r="AH3643" s="352"/>
      <c r="AI3643" s="352"/>
      <c r="AJ3643" s="352"/>
    </row>
    <row r="3644" spans="2:36" x14ac:dyDescent="0.2">
      <c r="B3644" s="352"/>
      <c r="C3644" s="352"/>
      <c r="D3644" s="352"/>
      <c r="E3644" s="352"/>
      <c r="F3644" s="352"/>
      <c r="H3644" s="352"/>
      <c r="J3644" s="352"/>
      <c r="L3644" s="352"/>
      <c r="M3644" s="352"/>
      <c r="N3644" s="352"/>
      <c r="O3644" s="352"/>
      <c r="P3644" s="352"/>
      <c r="Q3644" s="352"/>
      <c r="R3644" s="352"/>
      <c r="S3644" s="352"/>
      <c r="T3644" s="352"/>
      <c r="U3644" s="352"/>
      <c r="V3644" s="352"/>
      <c r="W3644" s="352"/>
      <c r="X3644" s="352"/>
      <c r="Y3644" s="352"/>
      <c r="Z3644" s="352"/>
      <c r="AA3644" s="352"/>
      <c r="AB3644" s="352"/>
      <c r="AC3644" s="352"/>
      <c r="AD3644" s="352"/>
      <c r="AE3644" s="352"/>
      <c r="AF3644" s="352"/>
      <c r="AG3644" s="352"/>
      <c r="AH3644" s="352"/>
      <c r="AI3644" s="352"/>
      <c r="AJ3644" s="352"/>
    </row>
    <row r="3645" spans="2:36" x14ac:dyDescent="0.2">
      <c r="B3645" s="352"/>
      <c r="C3645" s="352"/>
      <c r="D3645" s="352"/>
      <c r="E3645" s="352"/>
      <c r="F3645" s="352"/>
      <c r="H3645" s="352"/>
      <c r="J3645" s="352"/>
      <c r="L3645" s="352"/>
      <c r="M3645" s="352"/>
      <c r="N3645" s="352"/>
      <c r="O3645" s="352"/>
      <c r="P3645" s="352"/>
      <c r="Q3645" s="352"/>
      <c r="R3645" s="352"/>
      <c r="S3645" s="352"/>
      <c r="T3645" s="352"/>
      <c r="U3645" s="352"/>
      <c r="V3645" s="352"/>
      <c r="W3645" s="352"/>
      <c r="X3645" s="352"/>
      <c r="Y3645" s="352"/>
      <c r="Z3645" s="352"/>
      <c r="AA3645" s="352"/>
      <c r="AB3645" s="352"/>
      <c r="AC3645" s="352"/>
      <c r="AD3645" s="352"/>
      <c r="AE3645" s="352"/>
      <c r="AF3645" s="352"/>
      <c r="AG3645" s="352"/>
      <c r="AH3645" s="352"/>
      <c r="AI3645" s="352"/>
      <c r="AJ3645" s="352"/>
    </row>
    <row r="3646" spans="2:36" x14ac:dyDescent="0.2">
      <c r="B3646" s="352"/>
      <c r="C3646" s="352"/>
      <c r="D3646" s="352"/>
      <c r="E3646" s="352"/>
      <c r="F3646" s="352"/>
      <c r="H3646" s="352"/>
      <c r="J3646" s="352"/>
      <c r="L3646" s="352"/>
      <c r="M3646" s="352"/>
      <c r="N3646" s="352"/>
      <c r="O3646" s="352"/>
      <c r="P3646" s="352"/>
      <c r="Q3646" s="352"/>
      <c r="R3646" s="352"/>
      <c r="S3646" s="352"/>
      <c r="T3646" s="352"/>
      <c r="U3646" s="352"/>
      <c r="V3646" s="352"/>
      <c r="W3646" s="352"/>
      <c r="X3646" s="352"/>
      <c r="Y3646" s="352"/>
      <c r="Z3646" s="352"/>
      <c r="AA3646" s="352"/>
      <c r="AB3646" s="352"/>
      <c r="AC3646" s="352"/>
      <c r="AD3646" s="352"/>
      <c r="AE3646" s="352"/>
      <c r="AF3646" s="352"/>
      <c r="AG3646" s="352"/>
      <c r="AH3646" s="352"/>
      <c r="AI3646" s="352"/>
      <c r="AJ3646" s="352"/>
    </row>
    <row r="3647" spans="2:36" x14ac:dyDescent="0.2">
      <c r="B3647" s="352"/>
      <c r="C3647" s="352"/>
      <c r="D3647" s="352"/>
      <c r="E3647" s="352"/>
      <c r="F3647" s="352"/>
      <c r="H3647" s="352"/>
      <c r="J3647" s="352"/>
      <c r="L3647" s="352"/>
      <c r="M3647" s="352"/>
      <c r="N3647" s="352"/>
      <c r="O3647" s="352"/>
      <c r="P3647" s="352"/>
      <c r="Q3647" s="352"/>
      <c r="R3647" s="352"/>
      <c r="S3647" s="352"/>
      <c r="T3647" s="352"/>
      <c r="U3647" s="352"/>
      <c r="V3647" s="352"/>
      <c r="W3647" s="352"/>
      <c r="X3647" s="352"/>
      <c r="Y3647" s="352"/>
      <c r="Z3647" s="352"/>
      <c r="AA3647" s="352"/>
      <c r="AB3647" s="352"/>
      <c r="AC3647" s="352"/>
      <c r="AD3647" s="352"/>
      <c r="AE3647" s="352"/>
      <c r="AF3647" s="352"/>
      <c r="AG3647" s="352"/>
      <c r="AH3647" s="352"/>
      <c r="AI3647" s="352"/>
      <c r="AJ3647" s="352"/>
    </row>
    <row r="3648" spans="2:36" x14ac:dyDescent="0.2">
      <c r="B3648" s="352"/>
      <c r="C3648" s="352"/>
      <c r="D3648" s="352"/>
      <c r="E3648" s="352"/>
      <c r="F3648" s="352"/>
      <c r="H3648" s="352"/>
      <c r="J3648" s="352"/>
      <c r="L3648" s="352"/>
      <c r="M3648" s="352"/>
      <c r="N3648" s="352"/>
      <c r="O3648" s="352"/>
      <c r="P3648" s="352"/>
      <c r="Q3648" s="352"/>
      <c r="R3648" s="352"/>
      <c r="S3648" s="352"/>
      <c r="T3648" s="352"/>
      <c r="U3648" s="352"/>
      <c r="V3648" s="352"/>
      <c r="W3648" s="352"/>
      <c r="X3648" s="352"/>
      <c r="Y3648" s="352"/>
      <c r="Z3648" s="352"/>
      <c r="AA3648" s="352"/>
      <c r="AB3648" s="352"/>
      <c r="AC3648" s="352"/>
      <c r="AD3648" s="352"/>
      <c r="AE3648" s="352"/>
      <c r="AF3648" s="352"/>
      <c r="AG3648" s="352"/>
      <c r="AH3648" s="352"/>
      <c r="AI3648" s="352"/>
      <c r="AJ3648" s="352"/>
    </row>
    <row r="3649" spans="2:36" x14ac:dyDescent="0.2">
      <c r="B3649" s="352"/>
      <c r="C3649" s="352"/>
      <c r="D3649" s="352"/>
      <c r="E3649" s="352"/>
      <c r="F3649" s="352"/>
      <c r="H3649" s="352"/>
      <c r="J3649" s="352"/>
      <c r="L3649" s="352"/>
      <c r="M3649" s="352"/>
      <c r="N3649" s="352"/>
      <c r="O3649" s="352"/>
      <c r="P3649" s="352"/>
      <c r="Q3649" s="352"/>
      <c r="R3649" s="352"/>
      <c r="S3649" s="352"/>
      <c r="T3649" s="352"/>
      <c r="U3649" s="352"/>
      <c r="V3649" s="352"/>
      <c r="W3649" s="352"/>
      <c r="X3649" s="352"/>
      <c r="Y3649" s="352"/>
      <c r="Z3649" s="352"/>
      <c r="AA3649" s="352"/>
      <c r="AB3649" s="352"/>
      <c r="AC3649" s="352"/>
      <c r="AD3649" s="352"/>
      <c r="AE3649" s="352"/>
      <c r="AF3649" s="352"/>
      <c r="AG3649" s="352"/>
      <c r="AH3649" s="352"/>
      <c r="AI3649" s="352"/>
      <c r="AJ3649" s="352"/>
    </row>
    <row r="3650" spans="2:36" x14ac:dyDescent="0.2">
      <c r="B3650" s="352"/>
      <c r="C3650" s="352"/>
      <c r="D3650" s="352"/>
      <c r="E3650" s="352"/>
      <c r="F3650" s="352"/>
      <c r="H3650" s="352"/>
      <c r="J3650" s="352"/>
      <c r="L3650" s="352"/>
      <c r="M3650" s="352"/>
      <c r="N3650" s="352"/>
      <c r="O3650" s="352"/>
      <c r="P3650" s="352"/>
      <c r="Q3650" s="352"/>
      <c r="R3650" s="352"/>
      <c r="S3650" s="352"/>
      <c r="T3650" s="352"/>
      <c r="U3650" s="352"/>
      <c r="V3650" s="352"/>
      <c r="W3650" s="352"/>
      <c r="X3650" s="352"/>
      <c r="Y3650" s="352"/>
      <c r="Z3650" s="352"/>
      <c r="AA3650" s="352"/>
      <c r="AB3650" s="352"/>
      <c r="AC3650" s="352"/>
      <c r="AD3650" s="352"/>
      <c r="AE3650" s="352"/>
      <c r="AF3650" s="352"/>
      <c r="AG3650" s="352"/>
      <c r="AH3650" s="352"/>
      <c r="AI3650" s="352"/>
      <c r="AJ3650" s="352"/>
    </row>
    <row r="3651" spans="2:36" x14ac:dyDescent="0.2">
      <c r="B3651" s="352"/>
      <c r="C3651" s="352"/>
      <c r="D3651" s="352"/>
      <c r="E3651" s="352"/>
      <c r="F3651" s="352"/>
      <c r="H3651" s="352"/>
      <c r="J3651" s="352"/>
      <c r="L3651" s="352"/>
      <c r="M3651" s="352"/>
      <c r="N3651" s="352"/>
      <c r="O3651" s="352"/>
      <c r="P3651" s="352"/>
      <c r="Q3651" s="352"/>
      <c r="R3651" s="352"/>
      <c r="S3651" s="352"/>
      <c r="T3651" s="352"/>
      <c r="U3651" s="352"/>
      <c r="V3651" s="352"/>
      <c r="W3651" s="352"/>
      <c r="X3651" s="352"/>
      <c r="Y3651" s="352"/>
      <c r="Z3651" s="352"/>
      <c r="AA3651" s="352"/>
      <c r="AB3651" s="352"/>
      <c r="AC3651" s="352"/>
      <c r="AD3651" s="352"/>
      <c r="AE3651" s="352"/>
      <c r="AF3651" s="352"/>
      <c r="AG3651" s="352"/>
      <c r="AH3651" s="352"/>
      <c r="AI3651" s="352"/>
      <c r="AJ3651" s="352"/>
    </row>
    <row r="3652" spans="2:36" x14ac:dyDescent="0.2">
      <c r="B3652" s="352"/>
      <c r="C3652" s="352"/>
      <c r="D3652" s="352"/>
      <c r="E3652" s="352"/>
      <c r="F3652" s="352"/>
      <c r="H3652" s="352"/>
      <c r="J3652" s="352"/>
      <c r="L3652" s="352"/>
      <c r="M3652" s="352"/>
      <c r="N3652" s="352"/>
      <c r="O3652" s="352"/>
      <c r="P3652" s="352"/>
      <c r="Q3652" s="352"/>
      <c r="R3652" s="352"/>
      <c r="S3652" s="352"/>
      <c r="T3652" s="352"/>
      <c r="U3652" s="352"/>
      <c r="V3652" s="352"/>
      <c r="W3652" s="352"/>
      <c r="X3652" s="352"/>
      <c r="Y3652" s="352"/>
      <c r="Z3652" s="352"/>
      <c r="AA3652" s="352"/>
      <c r="AB3652" s="352"/>
      <c r="AC3652" s="352"/>
      <c r="AD3652" s="352"/>
      <c r="AE3652" s="352"/>
      <c r="AF3652" s="352"/>
      <c r="AG3652" s="352"/>
      <c r="AH3652" s="352"/>
      <c r="AI3652" s="352"/>
      <c r="AJ3652" s="352"/>
    </row>
    <row r="3653" spans="2:36" x14ac:dyDescent="0.2">
      <c r="B3653" s="352"/>
      <c r="C3653" s="352"/>
      <c r="D3653" s="352"/>
      <c r="E3653" s="352"/>
      <c r="F3653" s="352"/>
      <c r="H3653" s="352"/>
      <c r="J3653" s="352"/>
      <c r="L3653" s="352"/>
      <c r="M3653" s="352"/>
      <c r="N3653" s="352"/>
      <c r="O3653" s="352"/>
      <c r="P3653" s="352"/>
      <c r="Q3653" s="352"/>
      <c r="R3653" s="352"/>
      <c r="S3653" s="352"/>
      <c r="T3653" s="352"/>
      <c r="U3653" s="352"/>
      <c r="V3653" s="352"/>
      <c r="W3653" s="352"/>
      <c r="X3653" s="352"/>
      <c r="Y3653" s="352"/>
      <c r="Z3653" s="352"/>
      <c r="AA3653" s="352"/>
      <c r="AB3653" s="352"/>
      <c r="AC3653" s="352"/>
      <c r="AD3653" s="352"/>
      <c r="AE3653" s="352"/>
      <c r="AF3653" s="352"/>
      <c r="AG3653" s="352"/>
      <c r="AH3653" s="352"/>
      <c r="AI3653" s="352"/>
      <c r="AJ3653" s="352"/>
    </row>
    <row r="3654" spans="2:36" x14ac:dyDescent="0.2">
      <c r="B3654" s="352"/>
      <c r="C3654" s="352"/>
      <c r="D3654" s="352"/>
      <c r="E3654" s="352"/>
      <c r="F3654" s="352"/>
      <c r="H3654" s="352"/>
      <c r="J3654" s="352"/>
      <c r="L3654" s="352"/>
      <c r="M3654" s="352"/>
      <c r="N3654" s="352"/>
      <c r="O3654" s="352"/>
      <c r="P3654" s="352"/>
      <c r="Q3654" s="352"/>
      <c r="R3654" s="352"/>
      <c r="S3654" s="352"/>
      <c r="T3654" s="352"/>
      <c r="U3654" s="352"/>
      <c r="V3654" s="352"/>
      <c r="W3654" s="352"/>
      <c r="X3654" s="352"/>
      <c r="Y3654" s="352"/>
      <c r="Z3654" s="352"/>
      <c r="AA3654" s="352"/>
      <c r="AB3654" s="352"/>
      <c r="AC3654" s="352"/>
      <c r="AD3654" s="352"/>
      <c r="AE3654" s="352"/>
      <c r="AF3654" s="352"/>
      <c r="AG3654" s="352"/>
      <c r="AH3654" s="352"/>
      <c r="AI3654" s="352"/>
      <c r="AJ3654" s="352"/>
    </row>
    <row r="3655" spans="2:36" x14ac:dyDescent="0.2">
      <c r="B3655" s="352"/>
      <c r="C3655" s="352"/>
      <c r="D3655" s="352"/>
      <c r="E3655" s="352"/>
      <c r="F3655" s="352"/>
      <c r="H3655" s="352"/>
      <c r="J3655" s="352"/>
      <c r="L3655" s="352"/>
      <c r="M3655" s="352"/>
      <c r="N3655" s="352"/>
      <c r="O3655" s="352"/>
      <c r="P3655" s="352"/>
      <c r="Q3655" s="352"/>
      <c r="R3655" s="352"/>
      <c r="S3655" s="352"/>
      <c r="T3655" s="352"/>
      <c r="U3655" s="352"/>
      <c r="V3655" s="352"/>
      <c r="W3655" s="352"/>
      <c r="X3655" s="352"/>
      <c r="Y3655" s="352"/>
      <c r="Z3655" s="352"/>
      <c r="AA3655" s="352"/>
      <c r="AB3655" s="352"/>
      <c r="AC3655" s="352"/>
      <c r="AD3655" s="352"/>
      <c r="AE3655" s="352"/>
      <c r="AF3655" s="352"/>
      <c r="AG3655" s="352"/>
      <c r="AH3655" s="352"/>
      <c r="AI3655" s="352"/>
      <c r="AJ3655" s="352"/>
    </row>
    <row r="3656" spans="2:36" x14ac:dyDescent="0.2">
      <c r="B3656" s="352"/>
      <c r="C3656" s="352"/>
      <c r="D3656" s="352"/>
      <c r="E3656" s="352"/>
      <c r="F3656" s="352"/>
      <c r="H3656" s="352"/>
      <c r="J3656" s="352"/>
      <c r="L3656" s="352"/>
      <c r="M3656" s="352"/>
      <c r="N3656" s="352"/>
      <c r="O3656" s="352"/>
      <c r="P3656" s="352"/>
      <c r="Q3656" s="352"/>
      <c r="R3656" s="352"/>
      <c r="S3656" s="352"/>
      <c r="T3656" s="352"/>
      <c r="U3656" s="352"/>
      <c r="V3656" s="352"/>
      <c r="W3656" s="352"/>
      <c r="X3656" s="352"/>
      <c r="Y3656" s="352"/>
      <c r="Z3656" s="352"/>
      <c r="AA3656" s="352"/>
      <c r="AB3656" s="352"/>
      <c r="AC3656" s="352"/>
      <c r="AD3656" s="352"/>
      <c r="AE3656" s="352"/>
      <c r="AF3656" s="352"/>
      <c r="AG3656" s="352"/>
      <c r="AH3656" s="352"/>
      <c r="AI3656" s="352"/>
      <c r="AJ3656" s="352"/>
    </row>
    <row r="3657" spans="2:36" x14ac:dyDescent="0.2">
      <c r="B3657" s="352"/>
      <c r="C3657" s="352"/>
      <c r="D3657" s="352"/>
      <c r="E3657" s="352"/>
      <c r="F3657" s="352"/>
      <c r="H3657" s="352"/>
      <c r="J3657" s="352"/>
      <c r="L3657" s="352"/>
      <c r="M3657" s="352"/>
      <c r="N3657" s="352"/>
      <c r="O3657" s="352"/>
      <c r="P3657" s="352"/>
      <c r="Q3657" s="352"/>
      <c r="R3657" s="352"/>
      <c r="S3657" s="352"/>
      <c r="T3657" s="352"/>
      <c r="U3657" s="352"/>
      <c r="V3657" s="352"/>
      <c r="W3657" s="352"/>
      <c r="X3657" s="352"/>
      <c r="Y3657" s="352"/>
      <c r="Z3657" s="352"/>
      <c r="AA3657" s="352"/>
      <c r="AB3657" s="352"/>
      <c r="AC3657" s="352"/>
      <c r="AD3657" s="352"/>
      <c r="AE3657" s="352"/>
      <c r="AF3657" s="352"/>
      <c r="AG3657" s="352"/>
      <c r="AH3657" s="352"/>
      <c r="AI3657" s="352"/>
      <c r="AJ3657" s="352"/>
    </row>
    <row r="3658" spans="2:36" x14ac:dyDescent="0.2">
      <c r="B3658" s="352"/>
      <c r="C3658" s="352"/>
      <c r="D3658" s="352"/>
      <c r="E3658" s="352"/>
      <c r="F3658" s="352"/>
      <c r="H3658" s="352"/>
      <c r="J3658" s="352"/>
      <c r="L3658" s="352"/>
      <c r="M3658" s="352"/>
      <c r="N3658" s="352"/>
      <c r="O3658" s="352"/>
      <c r="P3658" s="352"/>
      <c r="Q3658" s="352"/>
      <c r="R3658" s="352"/>
      <c r="S3658" s="352"/>
      <c r="T3658" s="352"/>
      <c r="U3658" s="352"/>
      <c r="V3658" s="352"/>
      <c r="W3658" s="352"/>
      <c r="X3658" s="352"/>
      <c r="Y3658" s="352"/>
      <c r="Z3658" s="352"/>
      <c r="AA3658" s="352"/>
      <c r="AB3658" s="352"/>
      <c r="AC3658" s="352"/>
      <c r="AD3658" s="352"/>
      <c r="AE3658" s="352"/>
      <c r="AF3658" s="352"/>
      <c r="AG3658" s="352"/>
      <c r="AH3658" s="352"/>
      <c r="AI3658" s="352"/>
      <c r="AJ3658" s="352"/>
    </row>
    <row r="3659" spans="2:36" x14ac:dyDescent="0.2">
      <c r="B3659" s="352"/>
      <c r="C3659" s="352"/>
      <c r="D3659" s="352"/>
      <c r="E3659" s="352"/>
      <c r="F3659" s="352"/>
      <c r="H3659" s="352"/>
      <c r="J3659" s="352"/>
      <c r="L3659" s="352"/>
      <c r="M3659" s="352"/>
      <c r="N3659" s="352"/>
      <c r="O3659" s="352"/>
      <c r="P3659" s="352"/>
      <c r="Q3659" s="352"/>
      <c r="R3659" s="352"/>
      <c r="S3659" s="352"/>
      <c r="T3659" s="352"/>
      <c r="U3659" s="352"/>
      <c r="V3659" s="352"/>
      <c r="W3659" s="352"/>
      <c r="X3659" s="352"/>
      <c r="Y3659" s="352"/>
      <c r="Z3659" s="352"/>
      <c r="AA3659" s="352"/>
      <c r="AB3659" s="352"/>
      <c r="AC3659" s="352"/>
      <c r="AD3659" s="352"/>
      <c r="AE3659" s="352"/>
      <c r="AF3659" s="352"/>
      <c r="AG3659" s="352"/>
      <c r="AH3659" s="352"/>
      <c r="AI3659" s="352"/>
      <c r="AJ3659" s="352"/>
    </row>
    <row r="3660" spans="2:36" x14ac:dyDescent="0.2">
      <c r="B3660" s="352"/>
      <c r="C3660" s="352"/>
      <c r="D3660" s="352"/>
      <c r="E3660" s="352"/>
      <c r="F3660" s="352"/>
      <c r="H3660" s="352"/>
      <c r="J3660" s="352"/>
      <c r="L3660" s="352"/>
      <c r="M3660" s="352"/>
      <c r="N3660" s="352"/>
      <c r="O3660" s="352"/>
      <c r="P3660" s="352"/>
      <c r="Q3660" s="352"/>
      <c r="R3660" s="352"/>
      <c r="S3660" s="352"/>
      <c r="T3660" s="352"/>
      <c r="U3660" s="352"/>
      <c r="V3660" s="352"/>
      <c r="W3660" s="352"/>
      <c r="X3660" s="352"/>
      <c r="Y3660" s="352"/>
      <c r="Z3660" s="352"/>
      <c r="AA3660" s="352"/>
      <c r="AB3660" s="352"/>
      <c r="AC3660" s="352"/>
      <c r="AD3660" s="352"/>
      <c r="AE3660" s="352"/>
      <c r="AF3660" s="352"/>
      <c r="AG3660" s="352"/>
      <c r="AH3660" s="352"/>
      <c r="AI3660" s="352"/>
      <c r="AJ3660" s="352"/>
    </row>
    <row r="3661" spans="2:36" x14ac:dyDescent="0.2">
      <c r="B3661" s="352"/>
      <c r="C3661" s="352"/>
      <c r="D3661" s="352"/>
      <c r="E3661" s="352"/>
      <c r="F3661" s="352"/>
      <c r="H3661" s="352"/>
      <c r="J3661" s="352"/>
      <c r="L3661" s="352"/>
      <c r="M3661" s="352"/>
      <c r="N3661" s="352"/>
      <c r="O3661" s="352"/>
      <c r="P3661" s="352"/>
      <c r="Q3661" s="352"/>
      <c r="R3661" s="352"/>
      <c r="S3661" s="352"/>
      <c r="T3661" s="352"/>
      <c r="U3661" s="352"/>
      <c r="V3661" s="352"/>
      <c r="W3661" s="352"/>
      <c r="X3661" s="352"/>
      <c r="Y3661" s="352"/>
      <c r="Z3661" s="352"/>
      <c r="AA3661" s="352"/>
      <c r="AB3661" s="352"/>
      <c r="AC3661" s="352"/>
      <c r="AD3661" s="352"/>
      <c r="AE3661" s="352"/>
      <c r="AF3661" s="352"/>
      <c r="AG3661" s="352"/>
      <c r="AH3661" s="352"/>
      <c r="AI3661" s="352"/>
      <c r="AJ3661" s="352"/>
    </row>
    <row r="3662" spans="2:36" x14ac:dyDescent="0.2">
      <c r="B3662" s="352"/>
      <c r="C3662" s="352"/>
      <c r="D3662" s="352"/>
      <c r="E3662" s="352"/>
      <c r="F3662" s="352"/>
      <c r="H3662" s="352"/>
      <c r="J3662" s="352"/>
      <c r="L3662" s="352"/>
      <c r="M3662" s="352"/>
      <c r="N3662" s="352"/>
      <c r="O3662" s="352"/>
      <c r="P3662" s="352"/>
      <c r="Q3662" s="352"/>
      <c r="R3662" s="352"/>
      <c r="S3662" s="352"/>
      <c r="T3662" s="352"/>
      <c r="U3662" s="352"/>
      <c r="V3662" s="352"/>
      <c r="W3662" s="352"/>
      <c r="X3662" s="352"/>
      <c r="Y3662" s="352"/>
      <c r="Z3662" s="352"/>
      <c r="AA3662" s="352"/>
      <c r="AB3662" s="352"/>
      <c r="AC3662" s="352"/>
      <c r="AD3662" s="352"/>
      <c r="AE3662" s="352"/>
      <c r="AF3662" s="352"/>
      <c r="AG3662" s="352"/>
      <c r="AH3662" s="352"/>
      <c r="AI3662" s="352"/>
      <c r="AJ3662" s="352"/>
    </row>
    <row r="3663" spans="2:36" x14ac:dyDescent="0.2">
      <c r="B3663" s="352"/>
      <c r="C3663" s="352"/>
      <c r="D3663" s="352"/>
      <c r="E3663" s="352"/>
      <c r="F3663" s="352"/>
      <c r="H3663" s="352"/>
      <c r="J3663" s="352"/>
      <c r="L3663" s="352"/>
      <c r="M3663" s="352"/>
      <c r="N3663" s="352"/>
      <c r="O3663" s="352"/>
      <c r="P3663" s="352"/>
      <c r="Q3663" s="352"/>
      <c r="R3663" s="352"/>
      <c r="S3663" s="352"/>
      <c r="T3663" s="352"/>
      <c r="U3663" s="352"/>
      <c r="V3663" s="352"/>
      <c r="W3663" s="352"/>
      <c r="X3663" s="352"/>
      <c r="Y3663" s="352"/>
      <c r="Z3663" s="352"/>
      <c r="AA3663" s="352"/>
      <c r="AB3663" s="352"/>
      <c r="AC3663" s="352"/>
      <c r="AD3663" s="352"/>
      <c r="AE3663" s="352"/>
      <c r="AF3663" s="352"/>
      <c r="AG3663" s="352"/>
      <c r="AH3663" s="352"/>
      <c r="AI3663" s="352"/>
      <c r="AJ3663" s="352"/>
    </row>
    <row r="3664" spans="2:36" x14ac:dyDescent="0.2">
      <c r="B3664" s="352"/>
      <c r="C3664" s="352"/>
      <c r="D3664" s="352"/>
      <c r="E3664" s="352"/>
      <c r="F3664" s="352"/>
      <c r="H3664" s="352"/>
      <c r="J3664" s="352"/>
      <c r="L3664" s="352"/>
      <c r="M3664" s="352"/>
      <c r="N3664" s="352"/>
      <c r="O3664" s="352"/>
      <c r="P3664" s="352"/>
      <c r="Q3664" s="352"/>
      <c r="R3664" s="352"/>
      <c r="S3664" s="352"/>
      <c r="T3664" s="352"/>
      <c r="U3664" s="352"/>
      <c r="V3664" s="352"/>
      <c r="W3664" s="352"/>
      <c r="X3664" s="352"/>
      <c r="Y3664" s="352"/>
      <c r="Z3664" s="352"/>
      <c r="AA3664" s="352"/>
      <c r="AB3664" s="352"/>
      <c r="AC3664" s="352"/>
      <c r="AD3664" s="352"/>
      <c r="AE3664" s="352"/>
      <c r="AF3664" s="352"/>
      <c r="AG3664" s="352"/>
      <c r="AH3664" s="352"/>
      <c r="AI3664" s="352"/>
      <c r="AJ3664" s="352"/>
    </row>
    <row r="3665" spans="2:36" x14ac:dyDescent="0.2">
      <c r="B3665" s="352"/>
      <c r="C3665" s="352"/>
      <c r="D3665" s="352"/>
      <c r="E3665" s="352"/>
      <c r="F3665" s="352"/>
      <c r="H3665" s="352"/>
      <c r="J3665" s="352"/>
      <c r="L3665" s="352"/>
      <c r="M3665" s="352"/>
      <c r="N3665" s="352"/>
      <c r="O3665" s="352"/>
      <c r="P3665" s="352"/>
      <c r="Q3665" s="352"/>
      <c r="R3665" s="352"/>
      <c r="S3665" s="352"/>
      <c r="T3665" s="352"/>
      <c r="U3665" s="352"/>
      <c r="V3665" s="352"/>
      <c r="W3665" s="352"/>
      <c r="X3665" s="352"/>
      <c r="Y3665" s="352"/>
      <c r="Z3665" s="352"/>
      <c r="AA3665" s="352"/>
      <c r="AB3665" s="352"/>
      <c r="AC3665" s="352"/>
      <c r="AD3665" s="352"/>
      <c r="AE3665" s="352"/>
      <c r="AF3665" s="352"/>
      <c r="AG3665" s="352"/>
      <c r="AH3665" s="352"/>
      <c r="AI3665" s="352"/>
      <c r="AJ3665" s="352"/>
    </row>
    <row r="3666" spans="2:36" x14ac:dyDescent="0.2">
      <c r="B3666" s="352"/>
      <c r="C3666" s="352"/>
      <c r="D3666" s="352"/>
      <c r="E3666" s="352"/>
      <c r="F3666" s="352"/>
      <c r="H3666" s="352"/>
      <c r="J3666" s="352"/>
      <c r="L3666" s="352"/>
      <c r="M3666" s="352"/>
      <c r="N3666" s="352"/>
      <c r="O3666" s="352"/>
      <c r="P3666" s="352"/>
      <c r="Q3666" s="352"/>
      <c r="R3666" s="352"/>
      <c r="S3666" s="352"/>
      <c r="T3666" s="352"/>
      <c r="U3666" s="352"/>
      <c r="V3666" s="352"/>
      <c r="W3666" s="352"/>
      <c r="X3666" s="352"/>
      <c r="Y3666" s="352"/>
      <c r="Z3666" s="352"/>
      <c r="AA3666" s="352"/>
      <c r="AB3666" s="352"/>
      <c r="AC3666" s="352"/>
      <c r="AD3666" s="352"/>
      <c r="AE3666" s="352"/>
      <c r="AF3666" s="352"/>
      <c r="AG3666" s="352"/>
      <c r="AH3666" s="352"/>
      <c r="AI3666" s="352"/>
      <c r="AJ3666" s="352"/>
    </row>
    <row r="3667" spans="2:36" x14ac:dyDescent="0.2">
      <c r="B3667" s="352"/>
      <c r="C3667" s="352"/>
      <c r="D3667" s="352"/>
      <c r="E3667" s="352"/>
      <c r="F3667" s="352"/>
      <c r="H3667" s="352"/>
      <c r="J3667" s="352"/>
      <c r="L3667" s="352"/>
      <c r="M3667" s="352"/>
      <c r="N3667" s="352"/>
      <c r="O3667" s="352"/>
      <c r="P3667" s="352"/>
      <c r="Q3667" s="352"/>
      <c r="R3667" s="352"/>
      <c r="S3667" s="352"/>
      <c r="T3667" s="352"/>
      <c r="U3667" s="352"/>
      <c r="V3667" s="352"/>
      <c r="W3667" s="352"/>
      <c r="X3667" s="352"/>
      <c r="Y3667" s="352"/>
      <c r="Z3667" s="352"/>
      <c r="AA3667" s="352"/>
      <c r="AB3667" s="352"/>
      <c r="AC3667" s="352"/>
      <c r="AD3667" s="352"/>
      <c r="AE3667" s="352"/>
      <c r="AF3667" s="352"/>
      <c r="AG3667" s="352"/>
      <c r="AH3667" s="352"/>
      <c r="AI3667" s="352"/>
      <c r="AJ3667" s="352"/>
    </row>
    <row r="3668" spans="2:36" x14ac:dyDescent="0.2">
      <c r="B3668" s="352"/>
      <c r="C3668" s="352"/>
      <c r="D3668" s="352"/>
      <c r="E3668" s="352"/>
      <c r="F3668" s="352"/>
      <c r="H3668" s="352"/>
      <c r="J3668" s="352"/>
      <c r="L3668" s="352"/>
      <c r="M3668" s="352"/>
      <c r="N3668" s="352"/>
      <c r="O3668" s="352"/>
      <c r="P3668" s="352"/>
      <c r="Q3668" s="352"/>
      <c r="R3668" s="352"/>
      <c r="S3668" s="352"/>
      <c r="T3668" s="352"/>
      <c r="U3668" s="352"/>
      <c r="V3668" s="352"/>
      <c r="W3668" s="352"/>
      <c r="X3668" s="352"/>
      <c r="Y3668" s="352"/>
      <c r="Z3668" s="352"/>
      <c r="AA3668" s="352"/>
      <c r="AB3668" s="352"/>
      <c r="AC3668" s="352"/>
      <c r="AD3668" s="352"/>
      <c r="AE3668" s="352"/>
      <c r="AF3668" s="352"/>
      <c r="AG3668" s="352"/>
      <c r="AH3668" s="352"/>
      <c r="AI3668" s="352"/>
      <c r="AJ3668" s="352"/>
    </row>
    <row r="3669" spans="2:36" x14ac:dyDescent="0.2">
      <c r="B3669" s="352"/>
      <c r="C3669" s="352"/>
      <c r="D3669" s="352"/>
      <c r="E3669" s="352"/>
      <c r="F3669" s="352"/>
      <c r="H3669" s="352"/>
      <c r="J3669" s="352"/>
      <c r="L3669" s="352"/>
      <c r="M3669" s="352"/>
      <c r="N3669" s="352"/>
      <c r="O3669" s="352"/>
      <c r="P3669" s="352"/>
      <c r="Q3669" s="352"/>
      <c r="R3669" s="352"/>
      <c r="S3669" s="352"/>
      <c r="T3669" s="352"/>
      <c r="U3669" s="352"/>
      <c r="V3669" s="352"/>
      <c r="W3669" s="352"/>
      <c r="X3669" s="352"/>
      <c r="Y3669" s="352"/>
      <c r="Z3669" s="352"/>
      <c r="AA3669" s="352"/>
      <c r="AB3669" s="352"/>
      <c r="AC3669" s="352"/>
      <c r="AD3669" s="352"/>
      <c r="AE3669" s="352"/>
      <c r="AF3669" s="352"/>
      <c r="AG3669" s="352"/>
      <c r="AH3669" s="352"/>
      <c r="AI3669" s="352"/>
      <c r="AJ3669" s="352"/>
    </row>
    <row r="3670" spans="2:36" x14ac:dyDescent="0.2">
      <c r="B3670" s="352"/>
      <c r="C3670" s="352"/>
      <c r="D3670" s="352"/>
      <c r="E3670" s="352"/>
      <c r="F3670" s="352"/>
      <c r="H3670" s="352"/>
      <c r="J3670" s="352"/>
      <c r="L3670" s="352"/>
      <c r="M3670" s="352"/>
      <c r="N3670" s="352"/>
      <c r="O3670" s="352"/>
      <c r="P3670" s="352"/>
      <c r="Q3670" s="352"/>
      <c r="R3670" s="352"/>
      <c r="S3670" s="352"/>
      <c r="T3670" s="352"/>
      <c r="U3670" s="352"/>
      <c r="V3670" s="352"/>
      <c r="W3670" s="352"/>
      <c r="X3670" s="352"/>
      <c r="Y3670" s="352"/>
      <c r="Z3670" s="352"/>
      <c r="AA3670" s="352"/>
      <c r="AB3670" s="352"/>
      <c r="AC3670" s="352"/>
      <c r="AD3670" s="352"/>
      <c r="AE3670" s="352"/>
      <c r="AF3670" s="352"/>
      <c r="AG3670" s="352"/>
      <c r="AH3670" s="352"/>
      <c r="AI3670" s="352"/>
      <c r="AJ3670" s="352"/>
    </row>
    <row r="3671" spans="2:36" x14ac:dyDescent="0.2">
      <c r="B3671" s="352"/>
      <c r="C3671" s="352"/>
      <c r="D3671" s="352"/>
      <c r="E3671" s="352"/>
      <c r="F3671" s="352"/>
      <c r="H3671" s="352"/>
      <c r="J3671" s="352"/>
      <c r="L3671" s="352"/>
      <c r="M3671" s="352"/>
      <c r="N3671" s="352"/>
      <c r="O3671" s="352"/>
      <c r="P3671" s="352"/>
      <c r="Q3671" s="352"/>
      <c r="R3671" s="352"/>
      <c r="S3671" s="352"/>
      <c r="T3671" s="352"/>
      <c r="U3671" s="352"/>
      <c r="V3671" s="352"/>
      <c r="W3671" s="352"/>
      <c r="X3671" s="352"/>
      <c r="Y3671" s="352"/>
      <c r="Z3671" s="352"/>
      <c r="AA3671" s="352"/>
      <c r="AB3671" s="352"/>
      <c r="AC3671" s="352"/>
      <c r="AD3671" s="352"/>
      <c r="AE3671" s="352"/>
      <c r="AF3671" s="352"/>
      <c r="AG3671" s="352"/>
      <c r="AH3671" s="352"/>
      <c r="AI3671" s="352"/>
      <c r="AJ3671" s="352"/>
    </row>
    <row r="3672" spans="2:36" x14ac:dyDescent="0.2">
      <c r="B3672" s="352"/>
      <c r="C3672" s="352"/>
      <c r="D3672" s="352"/>
      <c r="E3672" s="352"/>
      <c r="F3672" s="352"/>
      <c r="H3672" s="352"/>
      <c r="J3672" s="352"/>
      <c r="L3672" s="352"/>
      <c r="M3672" s="352"/>
      <c r="N3672" s="352"/>
      <c r="O3672" s="352"/>
      <c r="P3672" s="352"/>
      <c r="Q3672" s="352"/>
      <c r="R3672" s="352"/>
      <c r="S3672" s="352"/>
      <c r="T3672" s="352"/>
      <c r="U3672" s="352"/>
      <c r="V3672" s="352"/>
      <c r="W3672" s="352"/>
      <c r="X3672" s="352"/>
      <c r="Y3672" s="352"/>
      <c r="Z3672" s="352"/>
      <c r="AA3672" s="352"/>
      <c r="AB3672" s="352"/>
      <c r="AC3672" s="352"/>
      <c r="AD3672" s="352"/>
      <c r="AE3672" s="352"/>
      <c r="AF3672" s="352"/>
      <c r="AG3672" s="352"/>
      <c r="AH3672" s="352"/>
      <c r="AI3672" s="352"/>
      <c r="AJ3672" s="352"/>
    </row>
    <row r="3673" spans="2:36" x14ac:dyDescent="0.2">
      <c r="B3673" s="352"/>
      <c r="C3673" s="352"/>
      <c r="D3673" s="352"/>
      <c r="E3673" s="352"/>
      <c r="F3673" s="352"/>
      <c r="H3673" s="352"/>
      <c r="J3673" s="352"/>
      <c r="L3673" s="352"/>
      <c r="M3673" s="352"/>
      <c r="N3673" s="352"/>
      <c r="O3673" s="352"/>
      <c r="P3673" s="352"/>
      <c r="Q3673" s="352"/>
      <c r="R3673" s="352"/>
      <c r="S3673" s="352"/>
      <c r="T3673" s="352"/>
      <c r="U3673" s="352"/>
      <c r="V3673" s="352"/>
      <c r="W3673" s="352"/>
      <c r="X3673" s="352"/>
      <c r="Y3673" s="352"/>
      <c r="Z3673" s="352"/>
      <c r="AA3673" s="352"/>
      <c r="AB3673" s="352"/>
      <c r="AC3673" s="352"/>
      <c r="AD3673" s="352"/>
      <c r="AE3673" s="352"/>
      <c r="AF3673" s="352"/>
      <c r="AG3673" s="352"/>
      <c r="AH3673" s="352"/>
      <c r="AI3673" s="352"/>
      <c r="AJ3673" s="352"/>
    </row>
    <row r="3674" spans="2:36" x14ac:dyDescent="0.2">
      <c r="B3674" s="352"/>
      <c r="C3674" s="352"/>
      <c r="D3674" s="352"/>
      <c r="E3674" s="352"/>
      <c r="F3674" s="352"/>
      <c r="H3674" s="352"/>
      <c r="J3674" s="352"/>
      <c r="L3674" s="352"/>
      <c r="M3674" s="352"/>
      <c r="N3674" s="352"/>
      <c r="O3674" s="352"/>
      <c r="P3674" s="352"/>
      <c r="Q3674" s="352"/>
      <c r="R3674" s="352"/>
      <c r="S3674" s="352"/>
      <c r="T3674" s="352"/>
      <c r="U3674" s="352"/>
      <c r="V3674" s="352"/>
      <c r="W3674" s="352"/>
      <c r="X3674" s="352"/>
      <c r="Y3674" s="352"/>
      <c r="Z3674" s="352"/>
      <c r="AA3674" s="352"/>
      <c r="AB3674" s="352"/>
      <c r="AC3674" s="352"/>
      <c r="AD3674" s="352"/>
      <c r="AE3674" s="352"/>
      <c r="AF3674" s="352"/>
      <c r="AG3674" s="352"/>
      <c r="AH3674" s="352"/>
      <c r="AI3674" s="352"/>
      <c r="AJ3674" s="352"/>
    </row>
    <row r="3675" spans="2:36" x14ac:dyDescent="0.2">
      <c r="B3675" s="352"/>
      <c r="C3675" s="352"/>
      <c r="D3675" s="352"/>
      <c r="E3675" s="352"/>
      <c r="F3675" s="352"/>
      <c r="H3675" s="352"/>
      <c r="J3675" s="352"/>
      <c r="L3675" s="352"/>
      <c r="M3675" s="352"/>
      <c r="N3675" s="352"/>
      <c r="O3675" s="352"/>
      <c r="P3675" s="352"/>
      <c r="Q3675" s="352"/>
      <c r="R3675" s="352"/>
      <c r="S3675" s="352"/>
      <c r="T3675" s="352"/>
      <c r="U3675" s="352"/>
      <c r="V3675" s="352"/>
      <c r="W3675" s="352"/>
      <c r="X3675" s="352"/>
      <c r="Y3675" s="352"/>
      <c r="Z3675" s="352"/>
      <c r="AA3675" s="352"/>
      <c r="AB3675" s="352"/>
      <c r="AC3675" s="352"/>
      <c r="AD3675" s="352"/>
      <c r="AE3675" s="352"/>
      <c r="AF3675" s="352"/>
      <c r="AG3675" s="352"/>
      <c r="AH3675" s="352"/>
      <c r="AI3675" s="352"/>
      <c r="AJ3675" s="352"/>
    </row>
    <row r="3676" spans="2:36" x14ac:dyDescent="0.2">
      <c r="B3676" s="352"/>
      <c r="C3676" s="352"/>
      <c r="D3676" s="352"/>
      <c r="E3676" s="352"/>
      <c r="F3676" s="352"/>
      <c r="H3676" s="352"/>
      <c r="J3676" s="352"/>
      <c r="L3676" s="352"/>
      <c r="M3676" s="352"/>
      <c r="N3676" s="352"/>
      <c r="O3676" s="352"/>
      <c r="P3676" s="352"/>
      <c r="Q3676" s="352"/>
      <c r="R3676" s="352"/>
      <c r="S3676" s="352"/>
      <c r="T3676" s="352"/>
      <c r="U3676" s="352"/>
      <c r="V3676" s="352"/>
      <c r="W3676" s="352"/>
      <c r="X3676" s="352"/>
      <c r="Y3676" s="352"/>
      <c r="Z3676" s="352"/>
      <c r="AA3676" s="352"/>
      <c r="AB3676" s="352"/>
      <c r="AC3676" s="352"/>
      <c r="AD3676" s="352"/>
      <c r="AE3676" s="352"/>
      <c r="AF3676" s="352"/>
      <c r="AG3676" s="352"/>
      <c r="AH3676" s="352"/>
      <c r="AI3676" s="352"/>
      <c r="AJ3676" s="352"/>
    </row>
    <row r="3677" spans="2:36" x14ac:dyDescent="0.2">
      <c r="B3677" s="352"/>
      <c r="C3677" s="352"/>
      <c r="D3677" s="352"/>
      <c r="E3677" s="352"/>
      <c r="F3677" s="352"/>
      <c r="H3677" s="352"/>
      <c r="J3677" s="352"/>
      <c r="L3677" s="352"/>
      <c r="M3677" s="352"/>
      <c r="N3677" s="352"/>
      <c r="O3677" s="352"/>
      <c r="P3677" s="352"/>
      <c r="Q3677" s="352"/>
      <c r="R3677" s="352"/>
      <c r="S3677" s="352"/>
      <c r="T3677" s="352"/>
      <c r="U3677" s="352"/>
      <c r="V3677" s="352"/>
      <c r="W3677" s="352"/>
      <c r="X3677" s="352"/>
      <c r="Y3677" s="352"/>
      <c r="Z3677" s="352"/>
      <c r="AA3677" s="352"/>
      <c r="AB3677" s="352"/>
      <c r="AC3677" s="352"/>
      <c r="AD3677" s="352"/>
      <c r="AE3677" s="352"/>
      <c r="AF3677" s="352"/>
      <c r="AG3677" s="352"/>
      <c r="AH3677" s="352"/>
      <c r="AI3677" s="352"/>
      <c r="AJ3677" s="352"/>
    </row>
    <row r="3678" spans="2:36" x14ac:dyDescent="0.2">
      <c r="B3678" s="352"/>
      <c r="C3678" s="352"/>
      <c r="D3678" s="352"/>
      <c r="E3678" s="352"/>
      <c r="F3678" s="352"/>
      <c r="H3678" s="352"/>
      <c r="J3678" s="352"/>
      <c r="L3678" s="352"/>
      <c r="M3678" s="352"/>
      <c r="N3678" s="352"/>
      <c r="O3678" s="352"/>
      <c r="P3678" s="352"/>
      <c r="Q3678" s="352"/>
      <c r="R3678" s="352"/>
      <c r="S3678" s="352"/>
      <c r="T3678" s="352"/>
      <c r="U3678" s="352"/>
      <c r="V3678" s="352"/>
      <c r="W3678" s="352"/>
      <c r="X3678" s="352"/>
      <c r="Y3678" s="352"/>
      <c r="Z3678" s="352"/>
      <c r="AA3678" s="352"/>
      <c r="AB3678" s="352"/>
      <c r="AC3678" s="352"/>
      <c r="AD3678" s="352"/>
      <c r="AE3678" s="352"/>
      <c r="AF3678" s="352"/>
      <c r="AG3678" s="352"/>
      <c r="AH3678" s="352"/>
      <c r="AI3678" s="352"/>
      <c r="AJ3678" s="352"/>
    </row>
    <row r="3679" spans="2:36" x14ac:dyDescent="0.2">
      <c r="B3679" s="352"/>
      <c r="C3679" s="352"/>
      <c r="D3679" s="352"/>
      <c r="E3679" s="352"/>
      <c r="F3679" s="352"/>
      <c r="H3679" s="352"/>
      <c r="J3679" s="352"/>
      <c r="L3679" s="352"/>
      <c r="M3679" s="352"/>
      <c r="N3679" s="352"/>
      <c r="O3679" s="352"/>
      <c r="P3679" s="352"/>
      <c r="Q3679" s="352"/>
      <c r="R3679" s="352"/>
      <c r="S3679" s="352"/>
      <c r="T3679" s="352"/>
      <c r="U3679" s="352"/>
      <c r="V3679" s="352"/>
      <c r="W3679" s="352"/>
      <c r="X3679" s="352"/>
      <c r="Y3679" s="352"/>
      <c r="Z3679" s="352"/>
      <c r="AA3679" s="352"/>
      <c r="AB3679" s="352"/>
      <c r="AC3679" s="352"/>
      <c r="AD3679" s="352"/>
      <c r="AE3679" s="352"/>
      <c r="AF3679" s="352"/>
      <c r="AG3679" s="352"/>
      <c r="AH3679" s="352"/>
      <c r="AI3679" s="352"/>
      <c r="AJ3679" s="352"/>
    </row>
    <row r="3680" spans="2:36" x14ac:dyDescent="0.2">
      <c r="B3680" s="352"/>
      <c r="C3680" s="352"/>
      <c r="D3680" s="352"/>
      <c r="E3680" s="352"/>
      <c r="F3680" s="352"/>
      <c r="H3680" s="352"/>
      <c r="J3680" s="352"/>
      <c r="L3680" s="352"/>
      <c r="M3680" s="352"/>
      <c r="N3680" s="352"/>
      <c r="O3680" s="352"/>
      <c r="P3680" s="352"/>
      <c r="Q3680" s="352"/>
      <c r="R3680" s="352"/>
      <c r="S3680" s="352"/>
      <c r="T3680" s="352"/>
      <c r="U3680" s="352"/>
      <c r="V3680" s="352"/>
      <c r="W3680" s="352"/>
      <c r="X3680" s="352"/>
      <c r="Y3680" s="352"/>
      <c r="Z3680" s="352"/>
      <c r="AA3680" s="352"/>
      <c r="AB3680" s="352"/>
      <c r="AC3680" s="352"/>
      <c r="AD3680" s="352"/>
      <c r="AE3680" s="352"/>
      <c r="AF3680" s="352"/>
      <c r="AG3680" s="352"/>
      <c r="AH3680" s="352"/>
      <c r="AI3680" s="352"/>
      <c r="AJ3680" s="352"/>
    </row>
    <row r="3681" spans="2:36" x14ac:dyDescent="0.2">
      <c r="B3681" s="352"/>
      <c r="C3681" s="352"/>
      <c r="D3681" s="352"/>
      <c r="E3681" s="352"/>
      <c r="F3681" s="352"/>
      <c r="H3681" s="352"/>
      <c r="J3681" s="352"/>
      <c r="L3681" s="352"/>
      <c r="M3681" s="352"/>
      <c r="N3681" s="352"/>
      <c r="O3681" s="352"/>
      <c r="P3681" s="352"/>
      <c r="Q3681" s="352"/>
      <c r="R3681" s="352"/>
      <c r="S3681" s="352"/>
      <c r="T3681" s="352"/>
      <c r="U3681" s="352"/>
      <c r="V3681" s="352"/>
      <c r="W3681" s="352"/>
      <c r="X3681" s="352"/>
      <c r="Y3681" s="352"/>
      <c r="Z3681" s="352"/>
      <c r="AA3681" s="352"/>
      <c r="AB3681" s="352"/>
      <c r="AC3681" s="352"/>
      <c r="AD3681" s="352"/>
      <c r="AE3681" s="352"/>
      <c r="AF3681" s="352"/>
      <c r="AG3681" s="352"/>
      <c r="AH3681" s="352"/>
      <c r="AI3681" s="352"/>
      <c r="AJ3681" s="352"/>
    </row>
    <row r="3682" spans="2:36" x14ac:dyDescent="0.2">
      <c r="B3682" s="352"/>
      <c r="C3682" s="352"/>
      <c r="D3682" s="352"/>
      <c r="E3682" s="352"/>
      <c r="F3682" s="352"/>
      <c r="H3682" s="352"/>
      <c r="J3682" s="352"/>
      <c r="L3682" s="352"/>
      <c r="M3682" s="352"/>
      <c r="N3682" s="352"/>
      <c r="O3682" s="352"/>
      <c r="P3682" s="352"/>
      <c r="Q3682" s="352"/>
      <c r="R3682" s="352"/>
      <c r="S3682" s="352"/>
      <c r="T3682" s="352"/>
      <c r="U3682" s="352"/>
      <c r="V3682" s="352"/>
      <c r="W3682" s="352"/>
      <c r="X3682" s="352"/>
      <c r="Y3682" s="352"/>
      <c r="Z3682" s="352"/>
      <c r="AA3682" s="352"/>
      <c r="AB3682" s="352"/>
      <c r="AC3682" s="352"/>
      <c r="AD3682" s="352"/>
      <c r="AE3682" s="352"/>
      <c r="AF3682" s="352"/>
      <c r="AG3682" s="352"/>
      <c r="AH3682" s="352"/>
      <c r="AI3682" s="352"/>
      <c r="AJ3682" s="352"/>
    </row>
    <row r="3683" spans="2:36" x14ac:dyDescent="0.2">
      <c r="B3683" s="352"/>
      <c r="C3683" s="352"/>
      <c r="D3683" s="352"/>
      <c r="E3683" s="352"/>
      <c r="F3683" s="352"/>
      <c r="H3683" s="352"/>
      <c r="J3683" s="352"/>
      <c r="L3683" s="352"/>
      <c r="M3683" s="352"/>
      <c r="N3683" s="352"/>
      <c r="O3683" s="352"/>
      <c r="P3683" s="352"/>
      <c r="Q3683" s="352"/>
      <c r="R3683" s="352"/>
      <c r="S3683" s="352"/>
      <c r="T3683" s="352"/>
      <c r="U3683" s="352"/>
      <c r="V3683" s="352"/>
      <c r="W3683" s="352"/>
      <c r="X3683" s="352"/>
      <c r="Y3683" s="352"/>
      <c r="Z3683" s="352"/>
      <c r="AA3683" s="352"/>
      <c r="AB3683" s="352"/>
      <c r="AC3683" s="352"/>
      <c r="AD3683" s="352"/>
      <c r="AE3683" s="352"/>
      <c r="AF3683" s="352"/>
      <c r="AG3683" s="352"/>
      <c r="AH3683" s="352"/>
      <c r="AI3683" s="352"/>
      <c r="AJ3683" s="352"/>
    </row>
    <row r="3684" spans="2:36" x14ac:dyDescent="0.2">
      <c r="B3684" s="352"/>
      <c r="C3684" s="352"/>
      <c r="D3684" s="352"/>
      <c r="E3684" s="352"/>
      <c r="F3684" s="352"/>
      <c r="H3684" s="352"/>
      <c r="J3684" s="352"/>
      <c r="L3684" s="352"/>
      <c r="M3684" s="352"/>
      <c r="N3684" s="352"/>
      <c r="O3684" s="352"/>
      <c r="P3684" s="352"/>
      <c r="Q3684" s="352"/>
      <c r="R3684" s="352"/>
      <c r="S3684" s="352"/>
      <c r="T3684" s="352"/>
      <c r="U3684" s="352"/>
      <c r="V3684" s="352"/>
      <c r="W3684" s="352"/>
      <c r="X3684" s="352"/>
      <c r="Y3684" s="352"/>
      <c r="Z3684" s="352"/>
      <c r="AA3684" s="352"/>
      <c r="AB3684" s="352"/>
      <c r="AC3684" s="352"/>
      <c r="AD3684" s="352"/>
      <c r="AE3684" s="352"/>
      <c r="AF3684" s="352"/>
      <c r="AG3684" s="352"/>
      <c r="AH3684" s="352"/>
      <c r="AI3684" s="352"/>
      <c r="AJ3684" s="352"/>
    </row>
    <row r="3685" spans="2:36" x14ac:dyDescent="0.2">
      <c r="B3685" s="352"/>
      <c r="C3685" s="352"/>
      <c r="D3685" s="352"/>
      <c r="E3685" s="352"/>
      <c r="F3685" s="352"/>
      <c r="H3685" s="352"/>
      <c r="J3685" s="352"/>
      <c r="L3685" s="352"/>
      <c r="M3685" s="352"/>
      <c r="N3685" s="352"/>
      <c r="O3685" s="352"/>
      <c r="P3685" s="352"/>
      <c r="Q3685" s="352"/>
      <c r="R3685" s="352"/>
      <c r="S3685" s="352"/>
      <c r="T3685" s="352"/>
      <c r="U3685" s="352"/>
      <c r="V3685" s="352"/>
      <c r="W3685" s="352"/>
      <c r="X3685" s="352"/>
      <c r="Y3685" s="352"/>
      <c r="Z3685" s="352"/>
      <c r="AA3685" s="352"/>
      <c r="AB3685" s="352"/>
      <c r="AC3685" s="352"/>
      <c r="AD3685" s="352"/>
      <c r="AE3685" s="352"/>
      <c r="AF3685" s="352"/>
      <c r="AG3685" s="352"/>
      <c r="AH3685" s="352"/>
      <c r="AI3685" s="352"/>
      <c r="AJ3685" s="352"/>
    </row>
    <row r="3686" spans="2:36" x14ac:dyDescent="0.2">
      <c r="B3686" s="352"/>
      <c r="C3686" s="352"/>
      <c r="D3686" s="352"/>
      <c r="E3686" s="352"/>
      <c r="F3686" s="352"/>
      <c r="H3686" s="352"/>
      <c r="J3686" s="352"/>
      <c r="L3686" s="352"/>
      <c r="M3686" s="352"/>
      <c r="N3686" s="352"/>
      <c r="O3686" s="352"/>
      <c r="P3686" s="352"/>
      <c r="Q3686" s="352"/>
      <c r="R3686" s="352"/>
      <c r="S3686" s="352"/>
      <c r="T3686" s="352"/>
      <c r="U3686" s="352"/>
      <c r="V3686" s="352"/>
      <c r="W3686" s="352"/>
      <c r="X3686" s="352"/>
      <c r="Y3686" s="352"/>
      <c r="Z3686" s="352"/>
      <c r="AA3686" s="352"/>
      <c r="AB3686" s="352"/>
      <c r="AC3686" s="352"/>
      <c r="AD3686" s="352"/>
      <c r="AE3686" s="352"/>
      <c r="AF3686" s="352"/>
      <c r="AG3686" s="352"/>
      <c r="AH3686" s="352"/>
      <c r="AI3686" s="352"/>
      <c r="AJ3686" s="352"/>
    </row>
    <row r="3687" spans="2:36" x14ac:dyDescent="0.2">
      <c r="B3687" s="352"/>
      <c r="C3687" s="352"/>
      <c r="D3687" s="352"/>
      <c r="E3687" s="352"/>
      <c r="F3687" s="352"/>
      <c r="H3687" s="352"/>
      <c r="J3687" s="352"/>
      <c r="L3687" s="352"/>
      <c r="M3687" s="352"/>
      <c r="N3687" s="352"/>
      <c r="O3687" s="352"/>
      <c r="P3687" s="352"/>
      <c r="Q3687" s="352"/>
      <c r="R3687" s="352"/>
      <c r="S3687" s="352"/>
      <c r="T3687" s="352"/>
      <c r="U3687" s="352"/>
      <c r="V3687" s="352"/>
      <c r="W3687" s="352"/>
      <c r="X3687" s="352"/>
      <c r="Y3687" s="352"/>
      <c r="Z3687" s="352"/>
      <c r="AA3687" s="352"/>
      <c r="AB3687" s="352"/>
      <c r="AC3687" s="352"/>
      <c r="AD3687" s="352"/>
      <c r="AE3687" s="352"/>
      <c r="AF3687" s="352"/>
      <c r="AG3687" s="352"/>
      <c r="AH3687" s="352"/>
      <c r="AI3687" s="352"/>
      <c r="AJ3687" s="352"/>
    </row>
    <row r="3688" spans="2:36" x14ac:dyDescent="0.2">
      <c r="B3688" s="352"/>
      <c r="C3688" s="352"/>
      <c r="D3688" s="352"/>
      <c r="E3688" s="352"/>
      <c r="F3688" s="352"/>
      <c r="H3688" s="352"/>
      <c r="J3688" s="352"/>
      <c r="L3688" s="352"/>
      <c r="M3688" s="352"/>
      <c r="N3688" s="352"/>
      <c r="O3688" s="352"/>
      <c r="P3688" s="352"/>
      <c r="Q3688" s="352"/>
      <c r="R3688" s="352"/>
      <c r="S3688" s="352"/>
      <c r="T3688" s="352"/>
      <c r="U3688" s="352"/>
      <c r="V3688" s="352"/>
      <c r="W3688" s="352"/>
      <c r="X3688" s="352"/>
      <c r="Y3688" s="352"/>
      <c r="Z3688" s="352"/>
      <c r="AA3688" s="352"/>
      <c r="AB3688" s="352"/>
      <c r="AC3688" s="352"/>
      <c r="AD3688" s="352"/>
      <c r="AE3688" s="352"/>
      <c r="AF3688" s="352"/>
      <c r="AG3688" s="352"/>
      <c r="AH3688" s="352"/>
      <c r="AI3688" s="352"/>
      <c r="AJ3688" s="352"/>
    </row>
    <row r="3689" spans="2:36" x14ac:dyDescent="0.2">
      <c r="B3689" s="352"/>
      <c r="C3689" s="352"/>
      <c r="D3689" s="352"/>
      <c r="E3689" s="352"/>
      <c r="F3689" s="352"/>
      <c r="H3689" s="352"/>
      <c r="J3689" s="352"/>
      <c r="L3689" s="352"/>
      <c r="M3689" s="352"/>
      <c r="N3689" s="352"/>
      <c r="O3689" s="352"/>
      <c r="P3689" s="352"/>
      <c r="Q3689" s="352"/>
      <c r="R3689" s="352"/>
      <c r="S3689" s="352"/>
      <c r="T3689" s="352"/>
      <c r="U3689" s="352"/>
      <c r="V3689" s="352"/>
      <c r="W3689" s="352"/>
      <c r="X3689" s="352"/>
      <c r="Y3689" s="352"/>
      <c r="Z3689" s="352"/>
      <c r="AA3689" s="352"/>
      <c r="AB3689" s="352"/>
      <c r="AC3689" s="352"/>
      <c r="AD3689" s="352"/>
      <c r="AE3689" s="352"/>
      <c r="AF3689" s="352"/>
      <c r="AG3689" s="352"/>
      <c r="AH3689" s="352"/>
      <c r="AI3689" s="352"/>
      <c r="AJ3689" s="352"/>
    </row>
    <row r="3690" spans="2:36" x14ac:dyDescent="0.2">
      <c r="B3690" s="352"/>
      <c r="C3690" s="352"/>
      <c r="D3690" s="352"/>
      <c r="E3690" s="352"/>
      <c r="F3690" s="352"/>
      <c r="H3690" s="352"/>
      <c r="J3690" s="352"/>
      <c r="L3690" s="352"/>
      <c r="M3690" s="352"/>
      <c r="N3690" s="352"/>
      <c r="O3690" s="352"/>
      <c r="P3690" s="352"/>
      <c r="Q3690" s="352"/>
      <c r="R3690" s="352"/>
      <c r="S3690" s="352"/>
      <c r="T3690" s="352"/>
      <c r="U3690" s="352"/>
      <c r="V3690" s="352"/>
      <c r="W3690" s="352"/>
      <c r="X3690" s="352"/>
      <c r="Y3690" s="352"/>
      <c r="Z3690" s="352"/>
      <c r="AA3690" s="352"/>
      <c r="AB3690" s="352"/>
      <c r="AC3690" s="352"/>
      <c r="AD3690" s="352"/>
      <c r="AE3690" s="352"/>
      <c r="AF3690" s="352"/>
      <c r="AG3690" s="352"/>
      <c r="AH3690" s="352"/>
      <c r="AI3690" s="352"/>
      <c r="AJ3690" s="352"/>
    </row>
    <row r="3691" spans="2:36" x14ac:dyDescent="0.2">
      <c r="B3691" s="352"/>
      <c r="C3691" s="352"/>
      <c r="D3691" s="352"/>
      <c r="E3691" s="352"/>
      <c r="F3691" s="352"/>
      <c r="H3691" s="352"/>
      <c r="J3691" s="352"/>
      <c r="L3691" s="352"/>
      <c r="M3691" s="352"/>
      <c r="N3691" s="352"/>
      <c r="O3691" s="352"/>
      <c r="P3691" s="352"/>
      <c r="Q3691" s="352"/>
      <c r="R3691" s="352"/>
      <c r="S3691" s="352"/>
      <c r="T3691" s="352"/>
      <c r="U3691" s="352"/>
      <c r="V3691" s="352"/>
      <c r="W3691" s="352"/>
      <c r="X3691" s="352"/>
      <c r="Y3691" s="352"/>
      <c r="Z3691" s="352"/>
      <c r="AA3691" s="352"/>
      <c r="AB3691" s="352"/>
      <c r="AC3691" s="352"/>
      <c r="AD3691" s="352"/>
      <c r="AE3691" s="352"/>
      <c r="AF3691" s="352"/>
      <c r="AG3691" s="352"/>
      <c r="AH3691" s="352"/>
      <c r="AI3691" s="352"/>
      <c r="AJ3691" s="352"/>
    </row>
    <row r="3692" spans="2:36" x14ac:dyDescent="0.2">
      <c r="B3692" s="352"/>
      <c r="C3692" s="352"/>
      <c r="D3692" s="352"/>
      <c r="E3692" s="352"/>
      <c r="F3692" s="352"/>
      <c r="H3692" s="352"/>
      <c r="J3692" s="352"/>
      <c r="L3692" s="352"/>
      <c r="M3692" s="352"/>
      <c r="N3692" s="352"/>
      <c r="O3692" s="352"/>
      <c r="P3692" s="352"/>
      <c r="Q3692" s="352"/>
      <c r="R3692" s="352"/>
      <c r="S3692" s="352"/>
      <c r="T3692" s="352"/>
      <c r="U3692" s="352"/>
      <c r="V3692" s="352"/>
      <c r="W3692" s="352"/>
      <c r="X3692" s="352"/>
      <c r="Y3692" s="352"/>
      <c r="Z3692" s="352"/>
      <c r="AA3692" s="352"/>
      <c r="AB3692" s="352"/>
      <c r="AC3692" s="352"/>
      <c r="AD3692" s="352"/>
      <c r="AE3692" s="352"/>
      <c r="AF3692" s="352"/>
      <c r="AG3692" s="352"/>
      <c r="AH3692" s="352"/>
      <c r="AI3692" s="352"/>
      <c r="AJ3692" s="352"/>
    </row>
    <row r="3693" spans="2:36" x14ac:dyDescent="0.2">
      <c r="B3693" s="352"/>
      <c r="C3693" s="352"/>
      <c r="D3693" s="352"/>
      <c r="E3693" s="352"/>
      <c r="F3693" s="352"/>
      <c r="H3693" s="352"/>
      <c r="J3693" s="352"/>
      <c r="L3693" s="352"/>
      <c r="M3693" s="352"/>
      <c r="N3693" s="352"/>
      <c r="O3693" s="352"/>
      <c r="P3693" s="352"/>
      <c r="Q3693" s="352"/>
      <c r="R3693" s="352"/>
      <c r="S3693" s="352"/>
      <c r="T3693" s="352"/>
      <c r="U3693" s="352"/>
      <c r="V3693" s="352"/>
      <c r="W3693" s="352"/>
      <c r="X3693" s="352"/>
      <c r="Y3693" s="352"/>
      <c r="Z3693" s="352"/>
      <c r="AA3693" s="352"/>
      <c r="AB3693" s="352"/>
      <c r="AC3693" s="352"/>
      <c r="AD3693" s="352"/>
      <c r="AE3693" s="352"/>
      <c r="AF3693" s="352"/>
      <c r="AG3693" s="352"/>
      <c r="AH3693" s="352"/>
      <c r="AI3693" s="352"/>
      <c r="AJ3693" s="352"/>
    </row>
    <row r="3694" spans="2:36" x14ac:dyDescent="0.2">
      <c r="B3694" s="352"/>
      <c r="C3694" s="352"/>
      <c r="D3694" s="352"/>
      <c r="E3694" s="352"/>
      <c r="F3694" s="352"/>
      <c r="H3694" s="352"/>
      <c r="J3694" s="352"/>
      <c r="L3694" s="352"/>
      <c r="M3694" s="352"/>
      <c r="N3694" s="352"/>
      <c r="O3694" s="352"/>
      <c r="P3694" s="352"/>
      <c r="Q3694" s="352"/>
      <c r="R3694" s="352"/>
      <c r="S3694" s="352"/>
      <c r="T3694" s="352"/>
      <c r="U3694" s="352"/>
      <c r="V3694" s="352"/>
      <c r="W3694" s="352"/>
      <c r="X3694" s="352"/>
      <c r="Y3694" s="352"/>
      <c r="Z3694" s="352"/>
      <c r="AA3694" s="352"/>
      <c r="AB3694" s="352"/>
      <c r="AC3694" s="352"/>
      <c r="AD3694" s="352"/>
      <c r="AE3694" s="352"/>
      <c r="AF3694" s="352"/>
      <c r="AG3694" s="352"/>
      <c r="AH3694" s="352"/>
      <c r="AI3694" s="352"/>
      <c r="AJ3694" s="352"/>
    </row>
    <row r="3695" spans="2:36" x14ac:dyDescent="0.2">
      <c r="B3695" s="352"/>
      <c r="C3695" s="352"/>
      <c r="D3695" s="352"/>
      <c r="E3695" s="352"/>
      <c r="F3695" s="352"/>
      <c r="H3695" s="352"/>
      <c r="J3695" s="352"/>
      <c r="L3695" s="352"/>
      <c r="M3695" s="352"/>
      <c r="N3695" s="352"/>
      <c r="O3695" s="352"/>
      <c r="P3695" s="352"/>
      <c r="Q3695" s="352"/>
      <c r="R3695" s="352"/>
      <c r="S3695" s="352"/>
      <c r="T3695" s="352"/>
      <c r="U3695" s="352"/>
      <c r="V3695" s="352"/>
      <c r="W3695" s="352"/>
      <c r="X3695" s="352"/>
      <c r="Y3695" s="352"/>
      <c r="Z3695" s="352"/>
      <c r="AA3695" s="352"/>
      <c r="AB3695" s="352"/>
      <c r="AC3695" s="352"/>
      <c r="AD3695" s="352"/>
      <c r="AE3695" s="352"/>
      <c r="AF3695" s="352"/>
      <c r="AG3695" s="352"/>
      <c r="AH3695" s="352"/>
      <c r="AI3695" s="352"/>
      <c r="AJ3695" s="352"/>
    </row>
    <row r="3696" spans="2:36" x14ac:dyDescent="0.2">
      <c r="B3696" s="352"/>
      <c r="C3696" s="352"/>
      <c r="D3696" s="352"/>
      <c r="E3696" s="352"/>
      <c r="F3696" s="352"/>
      <c r="H3696" s="352"/>
      <c r="J3696" s="352"/>
      <c r="L3696" s="352"/>
      <c r="M3696" s="352"/>
      <c r="N3696" s="352"/>
      <c r="O3696" s="352"/>
      <c r="P3696" s="352"/>
      <c r="Q3696" s="352"/>
      <c r="R3696" s="352"/>
      <c r="S3696" s="352"/>
      <c r="T3696" s="352"/>
      <c r="U3696" s="352"/>
      <c r="V3696" s="352"/>
      <c r="W3696" s="352"/>
      <c r="X3696" s="352"/>
      <c r="Y3696" s="352"/>
      <c r="Z3696" s="352"/>
      <c r="AA3696" s="352"/>
      <c r="AB3696" s="352"/>
      <c r="AC3696" s="352"/>
      <c r="AD3696" s="352"/>
      <c r="AE3696" s="352"/>
      <c r="AF3696" s="352"/>
      <c r="AG3696" s="352"/>
      <c r="AH3696" s="352"/>
      <c r="AI3696" s="352"/>
      <c r="AJ3696" s="352"/>
    </row>
    <row r="3697" spans="2:36" x14ac:dyDescent="0.2">
      <c r="B3697" s="352"/>
      <c r="C3697" s="352"/>
      <c r="D3697" s="352"/>
      <c r="E3697" s="352"/>
      <c r="F3697" s="352"/>
      <c r="H3697" s="352"/>
      <c r="J3697" s="352"/>
      <c r="L3697" s="352"/>
      <c r="M3697" s="352"/>
      <c r="N3697" s="352"/>
      <c r="O3697" s="352"/>
      <c r="P3697" s="352"/>
      <c r="Q3697" s="352"/>
      <c r="R3697" s="352"/>
      <c r="S3697" s="352"/>
      <c r="T3697" s="352"/>
      <c r="U3697" s="352"/>
      <c r="V3697" s="352"/>
      <c r="W3697" s="352"/>
      <c r="X3697" s="352"/>
      <c r="Y3697" s="352"/>
      <c r="Z3697" s="352"/>
      <c r="AA3697" s="352"/>
      <c r="AB3697" s="352"/>
      <c r="AC3697" s="352"/>
      <c r="AD3697" s="352"/>
      <c r="AE3697" s="352"/>
      <c r="AF3697" s="352"/>
      <c r="AG3697" s="352"/>
      <c r="AH3697" s="352"/>
      <c r="AI3697" s="352"/>
      <c r="AJ3697" s="352"/>
    </row>
    <row r="3698" spans="2:36" x14ac:dyDescent="0.2">
      <c r="B3698" s="352"/>
      <c r="C3698" s="352"/>
      <c r="D3698" s="352"/>
      <c r="E3698" s="352"/>
      <c r="F3698" s="352"/>
      <c r="H3698" s="352"/>
      <c r="J3698" s="352"/>
      <c r="L3698" s="352"/>
      <c r="M3698" s="352"/>
      <c r="N3698" s="352"/>
      <c r="O3698" s="352"/>
      <c r="P3698" s="352"/>
      <c r="Q3698" s="352"/>
      <c r="R3698" s="352"/>
      <c r="S3698" s="352"/>
      <c r="T3698" s="352"/>
      <c r="U3698" s="352"/>
      <c r="V3698" s="352"/>
      <c r="W3698" s="352"/>
      <c r="X3698" s="352"/>
      <c r="Y3698" s="352"/>
      <c r="Z3698" s="352"/>
      <c r="AA3698" s="352"/>
      <c r="AB3698" s="352"/>
      <c r="AC3698" s="352"/>
      <c r="AD3698" s="352"/>
      <c r="AE3698" s="352"/>
      <c r="AF3698" s="352"/>
      <c r="AG3698" s="352"/>
      <c r="AH3698" s="352"/>
      <c r="AI3698" s="352"/>
      <c r="AJ3698" s="352"/>
    </row>
    <row r="3699" spans="2:36" x14ac:dyDescent="0.2">
      <c r="B3699" s="352"/>
      <c r="C3699" s="352"/>
      <c r="D3699" s="352"/>
      <c r="E3699" s="352"/>
      <c r="F3699" s="352"/>
      <c r="H3699" s="352"/>
      <c r="J3699" s="352"/>
      <c r="L3699" s="352"/>
      <c r="M3699" s="352"/>
      <c r="N3699" s="352"/>
      <c r="O3699" s="352"/>
      <c r="P3699" s="352"/>
      <c r="Q3699" s="352"/>
      <c r="R3699" s="352"/>
      <c r="S3699" s="352"/>
      <c r="T3699" s="352"/>
      <c r="U3699" s="352"/>
      <c r="V3699" s="352"/>
      <c r="W3699" s="352"/>
      <c r="X3699" s="352"/>
      <c r="Y3699" s="352"/>
      <c r="Z3699" s="352"/>
      <c r="AA3699" s="352"/>
      <c r="AB3699" s="352"/>
      <c r="AC3699" s="352"/>
      <c r="AD3699" s="352"/>
      <c r="AE3699" s="352"/>
      <c r="AF3699" s="352"/>
      <c r="AG3699" s="352"/>
      <c r="AH3699" s="352"/>
      <c r="AI3699" s="352"/>
      <c r="AJ3699" s="352"/>
    </row>
    <row r="3700" spans="2:36" x14ac:dyDescent="0.2">
      <c r="B3700" s="352"/>
      <c r="C3700" s="352"/>
      <c r="D3700" s="352"/>
      <c r="E3700" s="352"/>
      <c r="F3700" s="352"/>
      <c r="H3700" s="352"/>
      <c r="J3700" s="352"/>
      <c r="L3700" s="352"/>
      <c r="M3700" s="352"/>
      <c r="N3700" s="352"/>
      <c r="O3700" s="352"/>
      <c r="P3700" s="352"/>
      <c r="Q3700" s="352"/>
      <c r="R3700" s="352"/>
      <c r="S3700" s="352"/>
      <c r="T3700" s="352"/>
      <c r="U3700" s="352"/>
      <c r="V3700" s="352"/>
      <c r="W3700" s="352"/>
      <c r="X3700" s="352"/>
      <c r="Y3700" s="352"/>
      <c r="Z3700" s="352"/>
      <c r="AA3700" s="352"/>
      <c r="AB3700" s="352"/>
      <c r="AC3700" s="352"/>
      <c r="AD3700" s="352"/>
      <c r="AE3700" s="352"/>
      <c r="AF3700" s="352"/>
      <c r="AG3700" s="352"/>
      <c r="AH3700" s="352"/>
      <c r="AI3700" s="352"/>
      <c r="AJ3700" s="352"/>
    </row>
    <row r="3701" spans="2:36" x14ac:dyDescent="0.2">
      <c r="B3701" s="352"/>
      <c r="C3701" s="352"/>
      <c r="D3701" s="352"/>
      <c r="E3701" s="352"/>
      <c r="F3701" s="352"/>
      <c r="H3701" s="352"/>
      <c r="J3701" s="352"/>
      <c r="L3701" s="352"/>
      <c r="M3701" s="352"/>
      <c r="N3701" s="352"/>
      <c r="O3701" s="352"/>
      <c r="P3701" s="352"/>
      <c r="Q3701" s="352"/>
      <c r="R3701" s="352"/>
      <c r="S3701" s="352"/>
      <c r="T3701" s="352"/>
      <c r="U3701" s="352"/>
      <c r="V3701" s="352"/>
      <c r="W3701" s="352"/>
      <c r="X3701" s="352"/>
      <c r="Y3701" s="352"/>
      <c r="Z3701" s="352"/>
      <c r="AA3701" s="352"/>
      <c r="AB3701" s="352"/>
      <c r="AC3701" s="352"/>
      <c r="AD3701" s="352"/>
      <c r="AE3701" s="352"/>
      <c r="AF3701" s="352"/>
      <c r="AG3701" s="352"/>
      <c r="AH3701" s="352"/>
      <c r="AI3701" s="352"/>
      <c r="AJ3701" s="352"/>
    </row>
    <row r="3702" spans="2:36" x14ac:dyDescent="0.2">
      <c r="B3702" s="352"/>
      <c r="C3702" s="352"/>
      <c r="D3702" s="352"/>
      <c r="E3702" s="352"/>
      <c r="F3702" s="352"/>
      <c r="H3702" s="352"/>
      <c r="J3702" s="352"/>
      <c r="L3702" s="352"/>
      <c r="M3702" s="352"/>
      <c r="N3702" s="352"/>
      <c r="O3702" s="352"/>
      <c r="P3702" s="352"/>
      <c r="Q3702" s="352"/>
      <c r="R3702" s="352"/>
      <c r="S3702" s="352"/>
      <c r="T3702" s="352"/>
      <c r="U3702" s="352"/>
      <c r="V3702" s="352"/>
      <c r="W3702" s="352"/>
      <c r="X3702" s="352"/>
      <c r="Y3702" s="352"/>
      <c r="Z3702" s="352"/>
      <c r="AA3702" s="352"/>
      <c r="AB3702" s="352"/>
      <c r="AC3702" s="352"/>
      <c r="AD3702" s="352"/>
      <c r="AE3702" s="352"/>
      <c r="AF3702" s="352"/>
      <c r="AG3702" s="352"/>
      <c r="AH3702" s="352"/>
      <c r="AI3702" s="352"/>
      <c r="AJ3702" s="352"/>
    </row>
    <row r="3703" spans="2:36" x14ac:dyDescent="0.2">
      <c r="B3703" s="352"/>
      <c r="C3703" s="352"/>
      <c r="D3703" s="352"/>
      <c r="E3703" s="352"/>
      <c r="F3703" s="352"/>
      <c r="H3703" s="352"/>
      <c r="J3703" s="352"/>
      <c r="L3703" s="352"/>
      <c r="M3703" s="352"/>
      <c r="N3703" s="352"/>
      <c r="O3703" s="352"/>
      <c r="P3703" s="352"/>
      <c r="Q3703" s="352"/>
      <c r="R3703" s="352"/>
      <c r="S3703" s="352"/>
      <c r="T3703" s="352"/>
      <c r="U3703" s="352"/>
      <c r="V3703" s="352"/>
      <c r="W3703" s="352"/>
      <c r="X3703" s="352"/>
      <c r="Y3703" s="352"/>
      <c r="Z3703" s="352"/>
      <c r="AA3703" s="352"/>
      <c r="AB3703" s="352"/>
      <c r="AC3703" s="352"/>
      <c r="AD3703" s="352"/>
      <c r="AE3703" s="352"/>
      <c r="AF3703" s="352"/>
      <c r="AG3703" s="352"/>
      <c r="AH3703" s="352"/>
      <c r="AI3703" s="352"/>
      <c r="AJ3703" s="352"/>
    </row>
    <row r="3704" spans="2:36" x14ac:dyDescent="0.2">
      <c r="B3704" s="352"/>
      <c r="C3704" s="352"/>
      <c r="D3704" s="352"/>
      <c r="E3704" s="352"/>
      <c r="F3704" s="352"/>
      <c r="H3704" s="352"/>
      <c r="J3704" s="352"/>
      <c r="L3704" s="352"/>
      <c r="M3704" s="352"/>
      <c r="N3704" s="352"/>
      <c r="O3704" s="352"/>
      <c r="P3704" s="352"/>
      <c r="Q3704" s="352"/>
      <c r="R3704" s="352"/>
      <c r="S3704" s="352"/>
      <c r="T3704" s="352"/>
      <c r="U3704" s="352"/>
      <c r="V3704" s="352"/>
      <c r="W3704" s="352"/>
      <c r="X3704" s="352"/>
      <c r="Y3704" s="352"/>
      <c r="Z3704" s="352"/>
      <c r="AA3704" s="352"/>
      <c r="AB3704" s="352"/>
      <c r="AC3704" s="352"/>
      <c r="AD3704" s="352"/>
      <c r="AE3704" s="352"/>
      <c r="AF3704" s="352"/>
      <c r="AG3704" s="352"/>
      <c r="AH3704" s="352"/>
      <c r="AI3704" s="352"/>
      <c r="AJ3704" s="352"/>
    </row>
    <row r="3705" spans="2:36" x14ac:dyDescent="0.2">
      <c r="B3705" s="352"/>
      <c r="C3705" s="352"/>
      <c r="D3705" s="352"/>
      <c r="E3705" s="352"/>
      <c r="F3705" s="352"/>
      <c r="H3705" s="352"/>
      <c r="J3705" s="352"/>
      <c r="L3705" s="352"/>
      <c r="M3705" s="352"/>
      <c r="N3705" s="352"/>
      <c r="O3705" s="352"/>
      <c r="P3705" s="352"/>
      <c r="Q3705" s="352"/>
      <c r="R3705" s="352"/>
      <c r="S3705" s="352"/>
      <c r="T3705" s="352"/>
      <c r="U3705" s="352"/>
      <c r="V3705" s="352"/>
      <c r="W3705" s="352"/>
      <c r="X3705" s="352"/>
      <c r="Y3705" s="352"/>
      <c r="Z3705" s="352"/>
      <c r="AA3705" s="352"/>
      <c r="AB3705" s="352"/>
      <c r="AC3705" s="352"/>
      <c r="AD3705" s="352"/>
      <c r="AE3705" s="352"/>
      <c r="AF3705" s="352"/>
      <c r="AG3705" s="352"/>
      <c r="AH3705" s="352"/>
      <c r="AI3705" s="352"/>
      <c r="AJ3705" s="352"/>
    </row>
    <row r="3706" spans="2:36" x14ac:dyDescent="0.2">
      <c r="B3706" s="352"/>
      <c r="C3706" s="352"/>
      <c r="D3706" s="352"/>
      <c r="E3706" s="352"/>
      <c r="F3706" s="352"/>
      <c r="H3706" s="352"/>
      <c r="J3706" s="352"/>
      <c r="L3706" s="352"/>
      <c r="M3706" s="352"/>
      <c r="N3706" s="352"/>
      <c r="O3706" s="352"/>
      <c r="P3706" s="352"/>
      <c r="Q3706" s="352"/>
      <c r="R3706" s="352"/>
      <c r="S3706" s="352"/>
      <c r="T3706" s="352"/>
      <c r="U3706" s="352"/>
      <c r="V3706" s="352"/>
      <c r="W3706" s="352"/>
      <c r="X3706" s="352"/>
      <c r="Y3706" s="352"/>
      <c r="Z3706" s="352"/>
      <c r="AA3706" s="352"/>
      <c r="AB3706" s="352"/>
      <c r="AC3706" s="352"/>
      <c r="AD3706" s="352"/>
      <c r="AE3706" s="352"/>
      <c r="AF3706" s="352"/>
      <c r="AG3706" s="352"/>
      <c r="AH3706" s="352"/>
      <c r="AI3706" s="352"/>
      <c r="AJ3706" s="352"/>
    </row>
    <row r="3707" spans="2:36" x14ac:dyDescent="0.2">
      <c r="B3707" s="352"/>
      <c r="C3707" s="352"/>
      <c r="D3707" s="352"/>
      <c r="E3707" s="352"/>
      <c r="F3707" s="352"/>
      <c r="H3707" s="352"/>
      <c r="J3707" s="352"/>
      <c r="L3707" s="352"/>
      <c r="M3707" s="352"/>
      <c r="N3707" s="352"/>
      <c r="O3707" s="352"/>
      <c r="P3707" s="352"/>
      <c r="Q3707" s="352"/>
      <c r="R3707" s="352"/>
      <c r="S3707" s="352"/>
      <c r="T3707" s="352"/>
      <c r="U3707" s="352"/>
      <c r="V3707" s="352"/>
      <c r="W3707" s="352"/>
      <c r="X3707" s="352"/>
      <c r="Y3707" s="352"/>
      <c r="Z3707" s="352"/>
      <c r="AA3707" s="352"/>
      <c r="AB3707" s="352"/>
      <c r="AC3707" s="352"/>
      <c r="AD3707" s="352"/>
      <c r="AE3707" s="352"/>
      <c r="AF3707" s="352"/>
      <c r="AG3707" s="352"/>
      <c r="AH3707" s="352"/>
      <c r="AI3707" s="352"/>
      <c r="AJ3707" s="352"/>
    </row>
    <row r="3708" spans="2:36" x14ac:dyDescent="0.2">
      <c r="B3708" s="352"/>
      <c r="C3708" s="352"/>
      <c r="D3708" s="352"/>
      <c r="E3708" s="352"/>
      <c r="F3708" s="352"/>
      <c r="H3708" s="352"/>
      <c r="J3708" s="352"/>
      <c r="L3708" s="352"/>
      <c r="M3708" s="352"/>
      <c r="N3708" s="352"/>
      <c r="O3708" s="352"/>
      <c r="P3708" s="352"/>
      <c r="Q3708" s="352"/>
      <c r="R3708" s="352"/>
      <c r="S3708" s="352"/>
      <c r="T3708" s="352"/>
      <c r="U3708" s="352"/>
      <c r="V3708" s="352"/>
      <c r="W3708" s="352"/>
      <c r="X3708" s="352"/>
      <c r="Y3708" s="352"/>
      <c r="Z3708" s="352"/>
      <c r="AA3708" s="352"/>
      <c r="AB3708" s="352"/>
      <c r="AC3708" s="352"/>
      <c r="AD3708" s="352"/>
      <c r="AE3708" s="352"/>
      <c r="AF3708" s="352"/>
      <c r="AG3708" s="352"/>
      <c r="AH3708" s="352"/>
      <c r="AI3708" s="352"/>
      <c r="AJ3708" s="352"/>
    </row>
    <row r="3709" spans="2:36" x14ac:dyDescent="0.2">
      <c r="B3709" s="352"/>
      <c r="C3709" s="352"/>
      <c r="D3709" s="352"/>
      <c r="E3709" s="352"/>
      <c r="F3709" s="352"/>
      <c r="H3709" s="352"/>
      <c r="J3709" s="352"/>
      <c r="L3709" s="352"/>
      <c r="M3709" s="352"/>
      <c r="N3709" s="352"/>
      <c r="O3709" s="352"/>
      <c r="P3709" s="352"/>
      <c r="Q3709" s="352"/>
      <c r="R3709" s="352"/>
      <c r="S3709" s="352"/>
      <c r="T3709" s="352"/>
      <c r="U3709" s="352"/>
      <c r="V3709" s="352"/>
      <c r="W3709" s="352"/>
      <c r="X3709" s="352"/>
      <c r="Y3709" s="352"/>
      <c r="Z3709" s="352"/>
      <c r="AA3709" s="352"/>
      <c r="AB3709" s="352"/>
      <c r="AC3709" s="352"/>
      <c r="AD3709" s="352"/>
      <c r="AE3709" s="352"/>
      <c r="AF3709" s="352"/>
      <c r="AG3709" s="352"/>
      <c r="AH3709" s="352"/>
      <c r="AI3709" s="352"/>
      <c r="AJ3709" s="352"/>
    </row>
    <row r="3710" spans="2:36" x14ac:dyDescent="0.2">
      <c r="B3710" s="352"/>
      <c r="C3710" s="352"/>
      <c r="D3710" s="352"/>
      <c r="E3710" s="352"/>
      <c r="F3710" s="352"/>
      <c r="H3710" s="352"/>
      <c r="J3710" s="352"/>
      <c r="L3710" s="352"/>
      <c r="M3710" s="352"/>
      <c r="N3710" s="352"/>
      <c r="O3710" s="352"/>
      <c r="P3710" s="352"/>
      <c r="Q3710" s="352"/>
      <c r="R3710" s="352"/>
      <c r="S3710" s="352"/>
      <c r="T3710" s="352"/>
      <c r="U3710" s="352"/>
      <c r="V3710" s="352"/>
      <c r="W3710" s="352"/>
      <c r="X3710" s="352"/>
      <c r="Y3710" s="352"/>
      <c r="Z3710" s="352"/>
      <c r="AA3710" s="352"/>
      <c r="AB3710" s="352"/>
      <c r="AC3710" s="352"/>
      <c r="AD3710" s="352"/>
      <c r="AE3710" s="352"/>
      <c r="AF3710" s="352"/>
      <c r="AG3710" s="352"/>
      <c r="AH3710" s="352"/>
      <c r="AI3710" s="352"/>
      <c r="AJ3710" s="352"/>
    </row>
    <row r="3711" spans="2:36" x14ac:dyDescent="0.2">
      <c r="B3711" s="352"/>
      <c r="C3711" s="352"/>
      <c r="D3711" s="352"/>
      <c r="E3711" s="352"/>
      <c r="F3711" s="352"/>
      <c r="H3711" s="352"/>
      <c r="J3711" s="352"/>
      <c r="L3711" s="352"/>
      <c r="M3711" s="352"/>
      <c r="N3711" s="352"/>
      <c r="O3711" s="352"/>
      <c r="P3711" s="352"/>
      <c r="Q3711" s="352"/>
      <c r="R3711" s="352"/>
      <c r="S3711" s="352"/>
      <c r="T3711" s="352"/>
      <c r="U3711" s="352"/>
      <c r="V3711" s="352"/>
      <c r="W3711" s="352"/>
      <c r="X3711" s="352"/>
      <c r="Y3711" s="352"/>
      <c r="Z3711" s="352"/>
      <c r="AA3711" s="352"/>
      <c r="AB3711" s="352"/>
      <c r="AC3711" s="352"/>
      <c r="AD3711" s="352"/>
      <c r="AE3711" s="352"/>
      <c r="AF3711" s="352"/>
      <c r="AG3711" s="352"/>
      <c r="AH3711" s="352"/>
      <c r="AI3711" s="352"/>
      <c r="AJ3711" s="352"/>
    </row>
    <row r="3712" spans="2:36" x14ac:dyDescent="0.2">
      <c r="B3712" s="352"/>
      <c r="C3712" s="352"/>
      <c r="D3712" s="352"/>
      <c r="E3712" s="352"/>
      <c r="F3712" s="352"/>
      <c r="H3712" s="352"/>
      <c r="J3712" s="352"/>
      <c r="L3712" s="352"/>
      <c r="M3712" s="352"/>
      <c r="N3712" s="352"/>
      <c r="O3712" s="352"/>
      <c r="P3712" s="352"/>
      <c r="Q3712" s="352"/>
      <c r="R3712" s="352"/>
      <c r="S3712" s="352"/>
      <c r="T3712" s="352"/>
      <c r="U3712" s="352"/>
      <c r="V3712" s="352"/>
      <c r="W3712" s="352"/>
      <c r="X3712" s="352"/>
      <c r="Y3712" s="352"/>
      <c r="Z3712" s="352"/>
      <c r="AA3712" s="352"/>
      <c r="AB3712" s="352"/>
      <c r="AC3712" s="352"/>
      <c r="AD3712" s="352"/>
      <c r="AE3712" s="352"/>
      <c r="AF3712" s="352"/>
      <c r="AG3712" s="352"/>
      <c r="AH3712" s="352"/>
      <c r="AI3712" s="352"/>
      <c r="AJ3712" s="352"/>
    </row>
    <row r="3713" spans="2:36" x14ac:dyDescent="0.2">
      <c r="B3713" s="352"/>
      <c r="C3713" s="352"/>
      <c r="D3713" s="352"/>
      <c r="E3713" s="352"/>
      <c r="F3713" s="352"/>
      <c r="H3713" s="352"/>
      <c r="J3713" s="352"/>
      <c r="L3713" s="352"/>
      <c r="M3713" s="352"/>
      <c r="N3713" s="352"/>
      <c r="O3713" s="352"/>
      <c r="P3713" s="352"/>
      <c r="Q3713" s="352"/>
      <c r="R3713" s="352"/>
      <c r="S3713" s="352"/>
      <c r="T3713" s="352"/>
      <c r="U3713" s="352"/>
      <c r="V3713" s="352"/>
      <c r="W3713" s="352"/>
      <c r="X3713" s="352"/>
      <c r="Y3713" s="352"/>
      <c r="Z3713" s="352"/>
      <c r="AA3713" s="352"/>
      <c r="AB3713" s="352"/>
      <c r="AC3713" s="352"/>
      <c r="AD3713" s="352"/>
      <c r="AE3713" s="352"/>
      <c r="AF3713" s="352"/>
      <c r="AG3713" s="352"/>
      <c r="AH3713" s="352"/>
      <c r="AI3713" s="352"/>
      <c r="AJ3713" s="352"/>
    </row>
    <row r="3714" spans="2:36" x14ac:dyDescent="0.2">
      <c r="B3714" s="352"/>
      <c r="C3714" s="352"/>
      <c r="D3714" s="352"/>
      <c r="E3714" s="352"/>
      <c r="F3714" s="352"/>
      <c r="H3714" s="352"/>
      <c r="J3714" s="352"/>
      <c r="L3714" s="352"/>
      <c r="M3714" s="352"/>
      <c r="N3714" s="352"/>
      <c r="O3714" s="352"/>
      <c r="P3714" s="352"/>
      <c r="Q3714" s="352"/>
      <c r="R3714" s="352"/>
      <c r="S3714" s="352"/>
      <c r="T3714" s="352"/>
      <c r="U3714" s="352"/>
      <c r="V3714" s="352"/>
      <c r="W3714" s="352"/>
      <c r="X3714" s="352"/>
      <c r="Y3714" s="352"/>
      <c r="Z3714" s="352"/>
      <c r="AA3714" s="352"/>
      <c r="AB3714" s="352"/>
      <c r="AC3714" s="352"/>
      <c r="AD3714" s="352"/>
      <c r="AE3714" s="352"/>
      <c r="AF3714" s="352"/>
      <c r="AG3714" s="352"/>
      <c r="AH3714" s="352"/>
      <c r="AI3714" s="352"/>
      <c r="AJ3714" s="352"/>
    </row>
    <row r="3715" spans="2:36" x14ac:dyDescent="0.2">
      <c r="B3715" s="352"/>
      <c r="C3715" s="352"/>
      <c r="D3715" s="352"/>
      <c r="E3715" s="352"/>
      <c r="F3715" s="352"/>
      <c r="H3715" s="352"/>
      <c r="J3715" s="352"/>
      <c r="L3715" s="352"/>
      <c r="M3715" s="352"/>
      <c r="N3715" s="352"/>
      <c r="O3715" s="352"/>
      <c r="P3715" s="352"/>
      <c r="Q3715" s="352"/>
      <c r="R3715" s="352"/>
      <c r="S3715" s="352"/>
      <c r="T3715" s="352"/>
      <c r="U3715" s="352"/>
      <c r="V3715" s="352"/>
      <c r="W3715" s="352"/>
      <c r="X3715" s="352"/>
      <c r="Y3715" s="352"/>
      <c r="Z3715" s="352"/>
      <c r="AA3715" s="352"/>
      <c r="AB3715" s="352"/>
      <c r="AC3715" s="352"/>
      <c r="AD3715" s="352"/>
      <c r="AE3715" s="352"/>
      <c r="AF3715" s="352"/>
      <c r="AG3715" s="352"/>
      <c r="AH3715" s="352"/>
      <c r="AI3715" s="352"/>
      <c r="AJ3715" s="352"/>
    </row>
    <row r="3716" spans="2:36" x14ac:dyDescent="0.2">
      <c r="B3716" s="352"/>
      <c r="C3716" s="352"/>
      <c r="D3716" s="352"/>
      <c r="E3716" s="352"/>
      <c r="F3716" s="352"/>
      <c r="H3716" s="352"/>
      <c r="J3716" s="352"/>
      <c r="L3716" s="352"/>
      <c r="M3716" s="352"/>
      <c r="N3716" s="352"/>
      <c r="O3716" s="352"/>
      <c r="P3716" s="352"/>
      <c r="Q3716" s="352"/>
      <c r="R3716" s="352"/>
      <c r="S3716" s="352"/>
      <c r="T3716" s="352"/>
      <c r="U3716" s="352"/>
      <c r="V3716" s="352"/>
      <c r="W3716" s="352"/>
      <c r="X3716" s="352"/>
      <c r="Y3716" s="352"/>
      <c r="Z3716" s="352"/>
      <c r="AA3716" s="352"/>
      <c r="AB3716" s="352"/>
      <c r="AC3716" s="352"/>
      <c r="AD3716" s="352"/>
      <c r="AE3716" s="352"/>
      <c r="AF3716" s="352"/>
      <c r="AG3716" s="352"/>
      <c r="AH3716" s="352"/>
      <c r="AI3716" s="352"/>
      <c r="AJ3716" s="352"/>
    </row>
    <row r="3717" spans="2:36" x14ac:dyDescent="0.2">
      <c r="B3717" s="352"/>
      <c r="C3717" s="352"/>
      <c r="D3717" s="352"/>
      <c r="E3717" s="352"/>
      <c r="F3717" s="352"/>
      <c r="H3717" s="352"/>
      <c r="J3717" s="352"/>
      <c r="L3717" s="352"/>
      <c r="M3717" s="352"/>
      <c r="N3717" s="352"/>
      <c r="O3717" s="352"/>
      <c r="P3717" s="352"/>
      <c r="Q3717" s="352"/>
      <c r="R3717" s="352"/>
      <c r="S3717" s="352"/>
      <c r="T3717" s="352"/>
      <c r="U3717" s="352"/>
      <c r="V3717" s="352"/>
      <c r="W3717" s="352"/>
      <c r="X3717" s="352"/>
      <c r="Y3717" s="352"/>
      <c r="Z3717" s="352"/>
      <c r="AA3717" s="352"/>
      <c r="AB3717" s="352"/>
      <c r="AC3717" s="352"/>
      <c r="AD3717" s="352"/>
      <c r="AE3717" s="352"/>
      <c r="AF3717" s="352"/>
      <c r="AG3717" s="352"/>
      <c r="AH3717" s="352"/>
      <c r="AI3717" s="352"/>
      <c r="AJ3717" s="352"/>
    </row>
    <row r="3718" spans="2:36" x14ac:dyDescent="0.2">
      <c r="B3718" s="352"/>
      <c r="C3718" s="352"/>
      <c r="D3718" s="352"/>
      <c r="E3718" s="352"/>
      <c r="F3718" s="352"/>
      <c r="H3718" s="352"/>
      <c r="J3718" s="352"/>
      <c r="L3718" s="352"/>
      <c r="M3718" s="352"/>
      <c r="N3718" s="352"/>
      <c r="O3718" s="352"/>
      <c r="P3718" s="352"/>
      <c r="Q3718" s="352"/>
      <c r="R3718" s="352"/>
      <c r="S3718" s="352"/>
      <c r="T3718" s="352"/>
      <c r="U3718" s="352"/>
      <c r="V3718" s="352"/>
      <c r="W3718" s="352"/>
      <c r="X3718" s="352"/>
      <c r="Y3718" s="352"/>
      <c r="Z3718" s="352"/>
      <c r="AA3718" s="352"/>
      <c r="AB3718" s="352"/>
      <c r="AC3718" s="352"/>
      <c r="AD3718" s="352"/>
      <c r="AE3718" s="352"/>
      <c r="AF3718" s="352"/>
      <c r="AG3718" s="352"/>
      <c r="AH3718" s="352"/>
      <c r="AI3718" s="352"/>
      <c r="AJ3718" s="352"/>
    </row>
    <row r="3719" spans="2:36" x14ac:dyDescent="0.2">
      <c r="B3719" s="352"/>
      <c r="C3719" s="352"/>
      <c r="D3719" s="352"/>
      <c r="E3719" s="352"/>
      <c r="F3719" s="352"/>
      <c r="H3719" s="352"/>
      <c r="J3719" s="352"/>
      <c r="L3719" s="352"/>
      <c r="M3719" s="352"/>
      <c r="N3719" s="352"/>
      <c r="O3719" s="352"/>
      <c r="P3719" s="352"/>
      <c r="Q3719" s="352"/>
      <c r="R3719" s="352"/>
      <c r="S3719" s="352"/>
      <c r="T3719" s="352"/>
      <c r="U3719" s="352"/>
      <c r="V3719" s="352"/>
      <c r="W3719" s="352"/>
      <c r="X3719" s="352"/>
      <c r="Y3719" s="352"/>
      <c r="Z3719" s="352"/>
      <c r="AA3719" s="352"/>
      <c r="AB3719" s="352"/>
      <c r="AC3719" s="352"/>
      <c r="AD3719" s="352"/>
      <c r="AE3719" s="352"/>
      <c r="AF3719" s="352"/>
      <c r="AG3719" s="352"/>
      <c r="AH3719" s="352"/>
      <c r="AI3719" s="352"/>
      <c r="AJ3719" s="352"/>
    </row>
    <row r="3720" spans="2:36" x14ac:dyDescent="0.2">
      <c r="B3720" s="352"/>
      <c r="C3720" s="352"/>
      <c r="D3720" s="352"/>
      <c r="E3720" s="352"/>
      <c r="F3720" s="352"/>
      <c r="H3720" s="352"/>
      <c r="J3720" s="352"/>
      <c r="L3720" s="352"/>
      <c r="M3720" s="352"/>
      <c r="N3720" s="352"/>
      <c r="O3720" s="352"/>
      <c r="P3720" s="352"/>
      <c r="Q3720" s="352"/>
      <c r="R3720" s="352"/>
      <c r="S3720" s="352"/>
      <c r="T3720" s="352"/>
      <c r="U3720" s="352"/>
      <c r="V3720" s="352"/>
      <c r="W3720" s="352"/>
      <c r="X3720" s="352"/>
      <c r="Y3720" s="352"/>
      <c r="Z3720" s="352"/>
      <c r="AA3720" s="352"/>
      <c r="AB3720" s="352"/>
      <c r="AC3720" s="352"/>
      <c r="AD3720" s="352"/>
      <c r="AE3720" s="352"/>
      <c r="AF3720" s="352"/>
      <c r="AG3720" s="352"/>
      <c r="AH3720" s="352"/>
      <c r="AI3720" s="352"/>
      <c r="AJ3720" s="352"/>
    </row>
    <row r="3721" spans="2:36" x14ac:dyDescent="0.2">
      <c r="B3721" s="352"/>
      <c r="C3721" s="352"/>
      <c r="D3721" s="352"/>
      <c r="E3721" s="352"/>
      <c r="F3721" s="352"/>
      <c r="H3721" s="352"/>
      <c r="J3721" s="352"/>
      <c r="L3721" s="352"/>
      <c r="M3721" s="352"/>
      <c r="N3721" s="352"/>
      <c r="O3721" s="352"/>
      <c r="P3721" s="352"/>
      <c r="Q3721" s="352"/>
      <c r="R3721" s="352"/>
      <c r="S3721" s="352"/>
      <c r="T3721" s="352"/>
      <c r="U3721" s="352"/>
      <c r="V3721" s="352"/>
      <c r="W3721" s="352"/>
      <c r="X3721" s="352"/>
      <c r="Y3721" s="352"/>
      <c r="Z3721" s="352"/>
      <c r="AA3721" s="352"/>
      <c r="AB3721" s="352"/>
      <c r="AC3721" s="352"/>
      <c r="AD3721" s="352"/>
      <c r="AE3721" s="352"/>
      <c r="AF3721" s="352"/>
      <c r="AG3721" s="352"/>
      <c r="AH3721" s="352"/>
      <c r="AI3721" s="352"/>
      <c r="AJ3721" s="352"/>
    </row>
    <row r="3722" spans="2:36" x14ac:dyDescent="0.2">
      <c r="B3722" s="352"/>
      <c r="C3722" s="352"/>
      <c r="D3722" s="352"/>
      <c r="E3722" s="352"/>
      <c r="F3722" s="352"/>
      <c r="H3722" s="352"/>
      <c r="J3722" s="352"/>
      <c r="L3722" s="352"/>
      <c r="M3722" s="352"/>
      <c r="N3722" s="352"/>
      <c r="O3722" s="352"/>
      <c r="P3722" s="352"/>
      <c r="Q3722" s="352"/>
      <c r="R3722" s="352"/>
      <c r="S3722" s="352"/>
      <c r="T3722" s="352"/>
      <c r="U3722" s="352"/>
      <c r="V3722" s="352"/>
      <c r="W3722" s="352"/>
      <c r="X3722" s="352"/>
      <c r="Y3722" s="352"/>
      <c r="Z3722" s="352"/>
      <c r="AA3722" s="352"/>
      <c r="AB3722" s="352"/>
      <c r="AC3722" s="352"/>
      <c r="AD3722" s="352"/>
      <c r="AE3722" s="352"/>
      <c r="AF3722" s="352"/>
      <c r="AG3722" s="352"/>
      <c r="AH3722" s="352"/>
      <c r="AI3722" s="352"/>
      <c r="AJ3722" s="352"/>
    </row>
    <row r="3723" spans="2:36" x14ac:dyDescent="0.2">
      <c r="B3723" s="352"/>
      <c r="C3723" s="352"/>
      <c r="D3723" s="352"/>
      <c r="E3723" s="352"/>
      <c r="F3723" s="352"/>
      <c r="H3723" s="352"/>
      <c r="J3723" s="352"/>
      <c r="L3723" s="352"/>
      <c r="M3723" s="352"/>
      <c r="N3723" s="352"/>
      <c r="O3723" s="352"/>
      <c r="P3723" s="352"/>
      <c r="Q3723" s="352"/>
      <c r="R3723" s="352"/>
      <c r="S3723" s="352"/>
      <c r="T3723" s="352"/>
      <c r="U3723" s="352"/>
      <c r="V3723" s="352"/>
      <c r="W3723" s="352"/>
      <c r="X3723" s="352"/>
      <c r="Y3723" s="352"/>
      <c r="Z3723" s="352"/>
      <c r="AA3723" s="352"/>
      <c r="AB3723" s="352"/>
      <c r="AC3723" s="352"/>
      <c r="AD3723" s="352"/>
      <c r="AE3723" s="352"/>
      <c r="AF3723" s="352"/>
      <c r="AG3723" s="352"/>
      <c r="AH3723" s="352"/>
      <c r="AI3723" s="352"/>
      <c r="AJ3723" s="352"/>
    </row>
    <row r="3724" spans="2:36" x14ac:dyDescent="0.2">
      <c r="B3724" s="352"/>
      <c r="C3724" s="352"/>
      <c r="D3724" s="352"/>
      <c r="E3724" s="352"/>
      <c r="F3724" s="352"/>
      <c r="H3724" s="352"/>
      <c r="J3724" s="352"/>
      <c r="L3724" s="352"/>
      <c r="M3724" s="352"/>
      <c r="N3724" s="352"/>
      <c r="O3724" s="352"/>
      <c r="P3724" s="352"/>
      <c r="Q3724" s="352"/>
      <c r="R3724" s="352"/>
      <c r="S3724" s="352"/>
      <c r="T3724" s="352"/>
      <c r="U3724" s="352"/>
      <c r="V3724" s="352"/>
      <c r="W3724" s="352"/>
      <c r="X3724" s="352"/>
      <c r="Y3724" s="352"/>
      <c r="Z3724" s="352"/>
      <c r="AA3724" s="352"/>
      <c r="AB3724" s="352"/>
      <c r="AC3724" s="352"/>
      <c r="AD3724" s="352"/>
      <c r="AE3724" s="352"/>
      <c r="AF3724" s="352"/>
      <c r="AG3724" s="352"/>
      <c r="AH3724" s="352"/>
      <c r="AI3724" s="352"/>
      <c r="AJ3724" s="352"/>
    </row>
    <row r="3725" spans="2:36" x14ac:dyDescent="0.2">
      <c r="B3725" s="352"/>
      <c r="C3725" s="352"/>
      <c r="D3725" s="352"/>
      <c r="E3725" s="352"/>
      <c r="F3725" s="352"/>
      <c r="H3725" s="352"/>
      <c r="J3725" s="352"/>
      <c r="L3725" s="352"/>
      <c r="M3725" s="352"/>
      <c r="N3725" s="352"/>
      <c r="O3725" s="352"/>
      <c r="P3725" s="352"/>
      <c r="Q3725" s="352"/>
      <c r="R3725" s="352"/>
      <c r="S3725" s="352"/>
      <c r="T3725" s="352"/>
      <c r="U3725" s="352"/>
      <c r="V3725" s="352"/>
      <c r="W3725" s="352"/>
      <c r="X3725" s="352"/>
      <c r="Y3725" s="352"/>
      <c r="Z3725" s="352"/>
      <c r="AA3725" s="352"/>
      <c r="AB3725" s="352"/>
      <c r="AC3725" s="352"/>
      <c r="AD3725" s="352"/>
      <c r="AE3725" s="352"/>
      <c r="AF3725" s="352"/>
      <c r="AG3725" s="352"/>
      <c r="AH3725" s="352"/>
      <c r="AI3725" s="352"/>
      <c r="AJ3725" s="352"/>
    </row>
    <row r="3726" spans="2:36" x14ac:dyDescent="0.2">
      <c r="B3726" s="352"/>
      <c r="C3726" s="352"/>
      <c r="D3726" s="352"/>
      <c r="E3726" s="352"/>
      <c r="F3726" s="352"/>
      <c r="H3726" s="352"/>
      <c r="J3726" s="352"/>
      <c r="L3726" s="352"/>
      <c r="M3726" s="352"/>
      <c r="N3726" s="352"/>
      <c r="O3726" s="352"/>
      <c r="P3726" s="352"/>
      <c r="Q3726" s="352"/>
      <c r="R3726" s="352"/>
      <c r="S3726" s="352"/>
      <c r="T3726" s="352"/>
      <c r="U3726" s="352"/>
      <c r="V3726" s="352"/>
      <c r="W3726" s="352"/>
      <c r="X3726" s="352"/>
      <c r="Y3726" s="352"/>
      <c r="Z3726" s="352"/>
      <c r="AA3726" s="352"/>
      <c r="AB3726" s="352"/>
      <c r="AC3726" s="352"/>
      <c r="AD3726" s="352"/>
      <c r="AE3726" s="352"/>
      <c r="AF3726" s="352"/>
      <c r="AG3726" s="352"/>
      <c r="AH3726" s="352"/>
      <c r="AI3726" s="352"/>
      <c r="AJ3726" s="352"/>
    </row>
    <row r="3727" spans="2:36" x14ac:dyDescent="0.2">
      <c r="B3727" s="352"/>
      <c r="C3727" s="352"/>
      <c r="D3727" s="352"/>
      <c r="E3727" s="352"/>
      <c r="F3727" s="352"/>
      <c r="H3727" s="352"/>
      <c r="J3727" s="352"/>
      <c r="L3727" s="352"/>
      <c r="M3727" s="352"/>
      <c r="N3727" s="352"/>
      <c r="O3727" s="352"/>
      <c r="P3727" s="352"/>
      <c r="Q3727" s="352"/>
      <c r="R3727" s="352"/>
      <c r="S3727" s="352"/>
      <c r="T3727" s="352"/>
      <c r="U3727" s="352"/>
      <c r="V3727" s="352"/>
      <c r="W3727" s="352"/>
      <c r="X3727" s="352"/>
      <c r="Y3727" s="352"/>
      <c r="Z3727" s="352"/>
      <c r="AA3727" s="352"/>
      <c r="AB3727" s="352"/>
      <c r="AC3727" s="352"/>
      <c r="AD3727" s="352"/>
      <c r="AE3727" s="352"/>
      <c r="AF3727" s="352"/>
      <c r="AG3727" s="352"/>
      <c r="AH3727" s="352"/>
      <c r="AI3727" s="352"/>
      <c r="AJ3727" s="352"/>
    </row>
    <row r="3728" spans="2:36" x14ac:dyDescent="0.2">
      <c r="B3728" s="352"/>
      <c r="C3728" s="352"/>
      <c r="D3728" s="352"/>
      <c r="E3728" s="352"/>
      <c r="F3728" s="352"/>
      <c r="H3728" s="352"/>
      <c r="J3728" s="352"/>
      <c r="L3728" s="352"/>
      <c r="M3728" s="352"/>
      <c r="N3728" s="352"/>
      <c r="O3728" s="352"/>
      <c r="P3728" s="352"/>
      <c r="Q3728" s="352"/>
      <c r="R3728" s="352"/>
      <c r="S3728" s="352"/>
      <c r="T3728" s="352"/>
      <c r="U3728" s="352"/>
      <c r="V3728" s="352"/>
      <c r="W3728" s="352"/>
      <c r="X3728" s="352"/>
      <c r="Y3728" s="352"/>
      <c r="Z3728" s="352"/>
      <c r="AA3728" s="352"/>
      <c r="AB3728" s="352"/>
      <c r="AC3728" s="352"/>
      <c r="AD3728" s="352"/>
      <c r="AE3728" s="352"/>
      <c r="AF3728" s="352"/>
      <c r="AG3728" s="352"/>
      <c r="AH3728" s="352"/>
      <c r="AI3728" s="352"/>
      <c r="AJ3728" s="352"/>
    </row>
    <row r="3729" spans="2:36" x14ac:dyDescent="0.2">
      <c r="B3729" s="352"/>
      <c r="C3729" s="352"/>
      <c r="D3729" s="352"/>
      <c r="E3729" s="352"/>
      <c r="F3729" s="352"/>
      <c r="H3729" s="352"/>
      <c r="J3729" s="352"/>
      <c r="L3729" s="352"/>
      <c r="M3729" s="352"/>
      <c r="N3729" s="352"/>
      <c r="O3729" s="352"/>
      <c r="P3729" s="352"/>
      <c r="Q3729" s="352"/>
      <c r="R3729" s="352"/>
      <c r="S3729" s="352"/>
      <c r="T3729" s="352"/>
      <c r="U3729" s="352"/>
      <c r="V3729" s="352"/>
      <c r="W3729" s="352"/>
      <c r="X3729" s="352"/>
      <c r="Y3729" s="352"/>
      <c r="Z3729" s="352"/>
      <c r="AA3729" s="352"/>
      <c r="AB3729" s="352"/>
      <c r="AC3729" s="352"/>
      <c r="AD3729" s="352"/>
      <c r="AE3729" s="352"/>
      <c r="AF3729" s="352"/>
      <c r="AG3729" s="352"/>
      <c r="AH3729" s="352"/>
      <c r="AI3729" s="352"/>
      <c r="AJ3729" s="352"/>
    </row>
    <row r="3730" spans="2:36" x14ac:dyDescent="0.2">
      <c r="B3730" s="352"/>
      <c r="C3730" s="352"/>
      <c r="D3730" s="352"/>
      <c r="E3730" s="352"/>
      <c r="F3730" s="352"/>
      <c r="H3730" s="352"/>
      <c r="J3730" s="352"/>
      <c r="L3730" s="352"/>
      <c r="M3730" s="352"/>
      <c r="N3730" s="352"/>
      <c r="O3730" s="352"/>
      <c r="P3730" s="352"/>
      <c r="Q3730" s="352"/>
      <c r="R3730" s="352"/>
      <c r="S3730" s="352"/>
      <c r="T3730" s="352"/>
      <c r="U3730" s="352"/>
      <c r="V3730" s="352"/>
      <c r="W3730" s="352"/>
      <c r="X3730" s="352"/>
      <c r="Y3730" s="352"/>
      <c r="Z3730" s="352"/>
      <c r="AA3730" s="352"/>
      <c r="AB3730" s="352"/>
      <c r="AC3730" s="352"/>
      <c r="AD3730" s="352"/>
      <c r="AE3730" s="352"/>
      <c r="AF3730" s="352"/>
      <c r="AG3730" s="352"/>
      <c r="AH3730" s="352"/>
      <c r="AI3730" s="352"/>
      <c r="AJ3730" s="352"/>
    </row>
    <row r="3731" spans="2:36" x14ac:dyDescent="0.2">
      <c r="B3731" s="352"/>
      <c r="C3731" s="352"/>
      <c r="D3731" s="352"/>
      <c r="E3731" s="352"/>
      <c r="F3731" s="352"/>
      <c r="H3731" s="352"/>
      <c r="J3731" s="352"/>
      <c r="L3731" s="352"/>
      <c r="M3731" s="352"/>
      <c r="N3731" s="352"/>
      <c r="O3731" s="352"/>
      <c r="P3731" s="352"/>
      <c r="Q3731" s="352"/>
      <c r="R3731" s="352"/>
      <c r="S3731" s="352"/>
      <c r="T3731" s="352"/>
      <c r="U3731" s="352"/>
      <c r="V3731" s="352"/>
      <c r="W3731" s="352"/>
      <c r="X3731" s="352"/>
      <c r="Y3731" s="352"/>
      <c r="Z3731" s="352"/>
      <c r="AA3731" s="352"/>
      <c r="AB3731" s="352"/>
      <c r="AC3731" s="352"/>
      <c r="AD3731" s="352"/>
      <c r="AE3731" s="352"/>
      <c r="AF3731" s="352"/>
      <c r="AG3731" s="352"/>
      <c r="AH3731" s="352"/>
      <c r="AI3731" s="352"/>
      <c r="AJ3731" s="352"/>
    </row>
    <row r="3732" spans="2:36" x14ac:dyDescent="0.2">
      <c r="B3732" s="352"/>
      <c r="C3732" s="352"/>
      <c r="D3732" s="352"/>
      <c r="E3732" s="352"/>
      <c r="F3732" s="352"/>
      <c r="H3732" s="352"/>
      <c r="J3732" s="352"/>
      <c r="L3732" s="352"/>
      <c r="M3732" s="352"/>
      <c r="N3732" s="352"/>
      <c r="O3732" s="352"/>
      <c r="P3732" s="352"/>
      <c r="Q3732" s="352"/>
      <c r="R3732" s="352"/>
      <c r="S3732" s="352"/>
      <c r="T3732" s="352"/>
      <c r="U3732" s="352"/>
      <c r="V3732" s="352"/>
      <c r="W3732" s="352"/>
      <c r="X3732" s="352"/>
      <c r="Y3732" s="352"/>
      <c r="Z3732" s="352"/>
      <c r="AA3732" s="352"/>
      <c r="AB3732" s="352"/>
      <c r="AC3732" s="352"/>
      <c r="AD3732" s="352"/>
      <c r="AE3732" s="352"/>
      <c r="AF3732" s="352"/>
      <c r="AG3732" s="352"/>
      <c r="AH3732" s="352"/>
      <c r="AI3732" s="352"/>
      <c r="AJ3732" s="352"/>
    </row>
    <row r="3733" spans="2:36" x14ac:dyDescent="0.2">
      <c r="B3733" s="352"/>
      <c r="C3733" s="352"/>
      <c r="D3733" s="352"/>
      <c r="E3733" s="352"/>
      <c r="F3733" s="352"/>
      <c r="H3733" s="352"/>
      <c r="J3733" s="352"/>
      <c r="L3733" s="352"/>
      <c r="M3733" s="352"/>
      <c r="N3733" s="352"/>
      <c r="O3733" s="352"/>
      <c r="P3733" s="352"/>
      <c r="Q3733" s="352"/>
      <c r="R3733" s="352"/>
      <c r="S3733" s="352"/>
      <c r="T3733" s="352"/>
      <c r="U3733" s="352"/>
      <c r="V3733" s="352"/>
      <c r="W3733" s="352"/>
      <c r="X3733" s="352"/>
      <c r="Y3733" s="352"/>
      <c r="Z3733" s="352"/>
      <c r="AA3733" s="352"/>
      <c r="AB3733" s="352"/>
      <c r="AC3733" s="352"/>
      <c r="AD3733" s="352"/>
      <c r="AE3733" s="352"/>
      <c r="AF3733" s="352"/>
      <c r="AG3733" s="352"/>
      <c r="AH3733" s="352"/>
      <c r="AI3733" s="352"/>
      <c r="AJ3733" s="352"/>
    </row>
    <row r="3734" spans="2:36" x14ac:dyDescent="0.2">
      <c r="B3734" s="352"/>
      <c r="C3734" s="352"/>
      <c r="D3734" s="352"/>
      <c r="E3734" s="352"/>
      <c r="F3734" s="352"/>
      <c r="H3734" s="352"/>
      <c r="J3734" s="352"/>
      <c r="L3734" s="352"/>
      <c r="M3734" s="352"/>
      <c r="N3734" s="352"/>
      <c r="O3734" s="352"/>
      <c r="P3734" s="352"/>
      <c r="Q3734" s="352"/>
      <c r="R3734" s="352"/>
      <c r="S3734" s="352"/>
      <c r="T3734" s="352"/>
      <c r="U3734" s="352"/>
      <c r="V3734" s="352"/>
      <c r="W3734" s="352"/>
      <c r="X3734" s="352"/>
      <c r="Y3734" s="352"/>
      <c r="Z3734" s="352"/>
      <c r="AA3734" s="352"/>
      <c r="AB3734" s="352"/>
      <c r="AC3734" s="352"/>
      <c r="AD3734" s="352"/>
      <c r="AE3734" s="352"/>
      <c r="AF3734" s="352"/>
      <c r="AG3734" s="352"/>
      <c r="AH3734" s="352"/>
      <c r="AI3734" s="352"/>
      <c r="AJ3734" s="352"/>
    </row>
    <row r="3735" spans="2:36" x14ac:dyDescent="0.2">
      <c r="B3735" s="352"/>
      <c r="C3735" s="352"/>
      <c r="D3735" s="352"/>
      <c r="E3735" s="352"/>
      <c r="F3735" s="352"/>
      <c r="H3735" s="352"/>
      <c r="J3735" s="352"/>
      <c r="L3735" s="352"/>
      <c r="M3735" s="352"/>
      <c r="N3735" s="352"/>
      <c r="O3735" s="352"/>
      <c r="P3735" s="352"/>
      <c r="Q3735" s="352"/>
      <c r="R3735" s="352"/>
      <c r="S3735" s="352"/>
      <c r="T3735" s="352"/>
      <c r="U3735" s="352"/>
      <c r="V3735" s="352"/>
      <c r="W3735" s="352"/>
      <c r="X3735" s="352"/>
      <c r="Y3735" s="352"/>
      <c r="Z3735" s="352"/>
      <c r="AA3735" s="352"/>
      <c r="AB3735" s="352"/>
      <c r="AC3735" s="352"/>
      <c r="AD3735" s="352"/>
      <c r="AE3735" s="352"/>
      <c r="AF3735" s="352"/>
      <c r="AG3735" s="352"/>
      <c r="AH3735" s="352"/>
      <c r="AI3735" s="352"/>
      <c r="AJ3735" s="352"/>
    </row>
    <row r="3736" spans="2:36" x14ac:dyDescent="0.2">
      <c r="B3736" s="352"/>
      <c r="C3736" s="352"/>
      <c r="D3736" s="352"/>
      <c r="E3736" s="352"/>
      <c r="F3736" s="352"/>
      <c r="H3736" s="352"/>
      <c r="J3736" s="352"/>
      <c r="L3736" s="352"/>
      <c r="M3736" s="352"/>
      <c r="N3736" s="352"/>
      <c r="O3736" s="352"/>
      <c r="P3736" s="352"/>
      <c r="Q3736" s="352"/>
      <c r="R3736" s="352"/>
      <c r="S3736" s="352"/>
      <c r="T3736" s="352"/>
      <c r="U3736" s="352"/>
      <c r="V3736" s="352"/>
      <c r="W3736" s="352"/>
      <c r="X3736" s="352"/>
      <c r="Y3736" s="352"/>
      <c r="Z3736" s="352"/>
      <c r="AA3736" s="352"/>
      <c r="AB3736" s="352"/>
      <c r="AC3736" s="352"/>
      <c r="AD3736" s="352"/>
      <c r="AE3736" s="352"/>
      <c r="AF3736" s="352"/>
      <c r="AG3736" s="352"/>
      <c r="AH3736" s="352"/>
      <c r="AI3736" s="352"/>
      <c r="AJ3736" s="352"/>
    </row>
    <row r="3737" spans="2:36" x14ac:dyDescent="0.2">
      <c r="B3737" s="352"/>
      <c r="C3737" s="352"/>
      <c r="D3737" s="352"/>
      <c r="E3737" s="352"/>
      <c r="F3737" s="352"/>
      <c r="H3737" s="352"/>
      <c r="J3737" s="352"/>
      <c r="L3737" s="352"/>
      <c r="M3737" s="352"/>
      <c r="N3737" s="352"/>
      <c r="O3737" s="352"/>
      <c r="P3737" s="352"/>
      <c r="Q3737" s="352"/>
      <c r="R3737" s="352"/>
      <c r="S3737" s="352"/>
      <c r="T3737" s="352"/>
      <c r="U3737" s="352"/>
      <c r="V3737" s="352"/>
      <c r="W3737" s="352"/>
      <c r="X3737" s="352"/>
      <c r="Y3737" s="352"/>
      <c r="Z3737" s="352"/>
      <c r="AA3737" s="352"/>
      <c r="AB3737" s="352"/>
      <c r="AC3737" s="352"/>
      <c r="AD3737" s="352"/>
      <c r="AE3737" s="352"/>
      <c r="AF3737" s="352"/>
      <c r="AG3737" s="352"/>
      <c r="AH3737" s="352"/>
      <c r="AI3737" s="352"/>
      <c r="AJ3737" s="352"/>
    </row>
    <row r="3738" spans="2:36" x14ac:dyDescent="0.2">
      <c r="B3738" s="352"/>
      <c r="C3738" s="352"/>
      <c r="D3738" s="352"/>
      <c r="E3738" s="352"/>
      <c r="F3738" s="352"/>
      <c r="H3738" s="352"/>
      <c r="J3738" s="352"/>
      <c r="L3738" s="352"/>
      <c r="M3738" s="352"/>
      <c r="N3738" s="352"/>
      <c r="O3738" s="352"/>
      <c r="P3738" s="352"/>
      <c r="Q3738" s="352"/>
      <c r="R3738" s="352"/>
      <c r="S3738" s="352"/>
      <c r="T3738" s="352"/>
      <c r="U3738" s="352"/>
      <c r="V3738" s="352"/>
      <c r="W3738" s="352"/>
      <c r="X3738" s="352"/>
      <c r="Y3738" s="352"/>
      <c r="Z3738" s="352"/>
      <c r="AA3738" s="352"/>
      <c r="AB3738" s="352"/>
      <c r="AC3738" s="352"/>
      <c r="AD3738" s="352"/>
      <c r="AE3738" s="352"/>
      <c r="AF3738" s="352"/>
      <c r="AG3738" s="352"/>
      <c r="AH3738" s="352"/>
      <c r="AI3738" s="352"/>
      <c r="AJ3738" s="352"/>
    </row>
    <row r="3739" spans="2:36" x14ac:dyDescent="0.2">
      <c r="B3739" s="352"/>
      <c r="C3739" s="352"/>
      <c r="D3739" s="352"/>
      <c r="E3739" s="352"/>
      <c r="F3739" s="352"/>
      <c r="H3739" s="352"/>
      <c r="J3739" s="352"/>
      <c r="L3739" s="352"/>
      <c r="M3739" s="352"/>
      <c r="N3739" s="352"/>
      <c r="O3739" s="352"/>
      <c r="P3739" s="352"/>
      <c r="Q3739" s="352"/>
      <c r="R3739" s="352"/>
      <c r="S3739" s="352"/>
      <c r="T3739" s="352"/>
      <c r="U3739" s="352"/>
      <c r="V3739" s="352"/>
      <c r="W3739" s="352"/>
      <c r="X3739" s="352"/>
      <c r="Y3739" s="352"/>
      <c r="Z3739" s="352"/>
      <c r="AA3739" s="352"/>
      <c r="AB3739" s="352"/>
      <c r="AC3739" s="352"/>
      <c r="AD3739" s="352"/>
      <c r="AE3739" s="352"/>
      <c r="AF3739" s="352"/>
      <c r="AG3739" s="352"/>
      <c r="AH3739" s="352"/>
      <c r="AI3739" s="352"/>
      <c r="AJ3739" s="352"/>
    </row>
    <row r="3740" spans="2:36" x14ac:dyDescent="0.2">
      <c r="B3740" s="352"/>
      <c r="C3740" s="352"/>
      <c r="D3740" s="352"/>
      <c r="E3740" s="352"/>
      <c r="F3740" s="352"/>
      <c r="H3740" s="352"/>
      <c r="J3740" s="352"/>
      <c r="L3740" s="352"/>
      <c r="M3740" s="352"/>
      <c r="N3740" s="352"/>
      <c r="O3740" s="352"/>
      <c r="P3740" s="352"/>
      <c r="Q3740" s="352"/>
      <c r="R3740" s="352"/>
      <c r="S3740" s="352"/>
      <c r="T3740" s="352"/>
      <c r="U3740" s="352"/>
      <c r="V3740" s="352"/>
      <c r="W3740" s="352"/>
      <c r="X3740" s="352"/>
      <c r="Y3740" s="352"/>
      <c r="Z3740" s="352"/>
      <c r="AA3740" s="352"/>
      <c r="AB3740" s="352"/>
      <c r="AC3740" s="352"/>
      <c r="AD3740" s="352"/>
      <c r="AE3740" s="352"/>
      <c r="AF3740" s="352"/>
      <c r="AG3740" s="352"/>
      <c r="AH3740" s="352"/>
      <c r="AI3740" s="352"/>
      <c r="AJ3740" s="352"/>
    </row>
    <row r="3741" spans="2:36" x14ac:dyDescent="0.2">
      <c r="B3741" s="352"/>
      <c r="C3741" s="352"/>
      <c r="D3741" s="352"/>
      <c r="E3741" s="352"/>
      <c r="F3741" s="352"/>
      <c r="H3741" s="352"/>
      <c r="J3741" s="352"/>
      <c r="L3741" s="352"/>
      <c r="M3741" s="352"/>
      <c r="N3741" s="352"/>
      <c r="O3741" s="352"/>
      <c r="P3741" s="352"/>
      <c r="Q3741" s="352"/>
      <c r="R3741" s="352"/>
      <c r="S3741" s="352"/>
      <c r="T3741" s="352"/>
      <c r="U3741" s="352"/>
      <c r="V3741" s="352"/>
      <c r="W3741" s="352"/>
      <c r="X3741" s="352"/>
      <c r="Y3741" s="352"/>
      <c r="Z3741" s="352"/>
      <c r="AA3741" s="352"/>
      <c r="AB3741" s="352"/>
      <c r="AC3741" s="352"/>
      <c r="AD3741" s="352"/>
      <c r="AE3741" s="352"/>
      <c r="AF3741" s="352"/>
      <c r="AG3741" s="352"/>
      <c r="AH3741" s="352"/>
      <c r="AI3741" s="352"/>
      <c r="AJ3741" s="352"/>
    </row>
    <row r="3742" spans="2:36" x14ac:dyDescent="0.2">
      <c r="B3742" s="352"/>
      <c r="C3742" s="352"/>
      <c r="D3742" s="352"/>
      <c r="E3742" s="352"/>
      <c r="F3742" s="352"/>
      <c r="H3742" s="352"/>
      <c r="J3742" s="352"/>
      <c r="L3742" s="352"/>
      <c r="M3742" s="352"/>
      <c r="N3742" s="352"/>
      <c r="O3742" s="352"/>
      <c r="P3742" s="352"/>
      <c r="Q3742" s="352"/>
      <c r="R3742" s="352"/>
      <c r="S3742" s="352"/>
      <c r="T3742" s="352"/>
      <c r="U3742" s="352"/>
      <c r="V3742" s="352"/>
      <c r="W3742" s="352"/>
      <c r="X3742" s="352"/>
      <c r="Y3742" s="352"/>
      <c r="Z3742" s="352"/>
      <c r="AA3742" s="352"/>
      <c r="AB3742" s="352"/>
      <c r="AC3742" s="352"/>
      <c r="AD3742" s="352"/>
      <c r="AE3742" s="352"/>
      <c r="AF3742" s="352"/>
      <c r="AG3742" s="352"/>
      <c r="AH3742" s="352"/>
      <c r="AI3742" s="352"/>
      <c r="AJ3742" s="352"/>
    </row>
    <row r="3743" spans="2:36" x14ac:dyDescent="0.2">
      <c r="B3743" s="352"/>
      <c r="C3743" s="352"/>
      <c r="D3743" s="352"/>
      <c r="E3743" s="352"/>
      <c r="F3743" s="352"/>
      <c r="H3743" s="352"/>
      <c r="J3743" s="352"/>
      <c r="L3743" s="352"/>
      <c r="M3743" s="352"/>
      <c r="N3743" s="352"/>
      <c r="O3743" s="352"/>
      <c r="P3743" s="352"/>
      <c r="Q3743" s="352"/>
      <c r="R3743" s="352"/>
      <c r="S3743" s="352"/>
      <c r="T3743" s="352"/>
      <c r="U3743" s="352"/>
      <c r="V3743" s="352"/>
      <c r="W3743" s="352"/>
      <c r="X3743" s="352"/>
      <c r="Y3743" s="352"/>
      <c r="Z3743" s="352"/>
      <c r="AA3743" s="352"/>
      <c r="AB3743" s="352"/>
      <c r="AC3743" s="352"/>
      <c r="AD3743" s="352"/>
      <c r="AE3743" s="352"/>
      <c r="AF3743" s="352"/>
      <c r="AG3743" s="352"/>
      <c r="AH3743" s="352"/>
      <c r="AI3743" s="352"/>
      <c r="AJ3743" s="352"/>
    </row>
    <row r="3744" spans="2:36" x14ac:dyDescent="0.2">
      <c r="B3744" s="352"/>
      <c r="C3744" s="352"/>
      <c r="D3744" s="352"/>
      <c r="E3744" s="352"/>
      <c r="F3744" s="352"/>
      <c r="H3744" s="352"/>
      <c r="J3744" s="352"/>
      <c r="L3744" s="352"/>
      <c r="M3744" s="352"/>
      <c r="N3744" s="352"/>
      <c r="O3744" s="352"/>
      <c r="P3744" s="352"/>
      <c r="Q3744" s="352"/>
      <c r="R3744" s="352"/>
      <c r="S3744" s="352"/>
      <c r="T3744" s="352"/>
      <c r="U3744" s="352"/>
      <c r="V3744" s="352"/>
      <c r="W3744" s="352"/>
      <c r="X3744" s="352"/>
      <c r="Y3744" s="352"/>
      <c r="Z3744" s="352"/>
      <c r="AA3744" s="352"/>
      <c r="AB3744" s="352"/>
      <c r="AC3744" s="352"/>
      <c r="AD3744" s="352"/>
      <c r="AE3744" s="352"/>
      <c r="AF3744" s="352"/>
      <c r="AG3744" s="352"/>
      <c r="AH3744" s="352"/>
      <c r="AI3744" s="352"/>
      <c r="AJ3744" s="352"/>
    </row>
    <row r="3745" spans="2:36" x14ac:dyDescent="0.2">
      <c r="B3745" s="352"/>
      <c r="C3745" s="352"/>
      <c r="D3745" s="352"/>
      <c r="E3745" s="352"/>
      <c r="F3745" s="352"/>
      <c r="H3745" s="352"/>
      <c r="J3745" s="352"/>
      <c r="L3745" s="352"/>
      <c r="M3745" s="352"/>
      <c r="N3745" s="352"/>
      <c r="O3745" s="352"/>
      <c r="P3745" s="352"/>
      <c r="Q3745" s="352"/>
      <c r="R3745" s="352"/>
      <c r="S3745" s="352"/>
      <c r="T3745" s="352"/>
      <c r="U3745" s="352"/>
      <c r="V3745" s="352"/>
      <c r="W3745" s="352"/>
      <c r="X3745" s="352"/>
      <c r="Y3745" s="352"/>
      <c r="Z3745" s="352"/>
      <c r="AA3745" s="352"/>
      <c r="AB3745" s="352"/>
      <c r="AC3745" s="352"/>
      <c r="AD3745" s="352"/>
      <c r="AE3745" s="352"/>
      <c r="AF3745" s="352"/>
      <c r="AG3745" s="352"/>
      <c r="AH3745" s="352"/>
      <c r="AI3745" s="352"/>
      <c r="AJ3745" s="352"/>
    </row>
    <row r="3746" spans="2:36" x14ac:dyDescent="0.2">
      <c r="B3746" s="352"/>
      <c r="C3746" s="352"/>
      <c r="D3746" s="352"/>
      <c r="E3746" s="352"/>
      <c r="F3746" s="352"/>
      <c r="H3746" s="352"/>
      <c r="J3746" s="352"/>
      <c r="L3746" s="352"/>
      <c r="M3746" s="352"/>
      <c r="N3746" s="352"/>
      <c r="O3746" s="352"/>
      <c r="P3746" s="352"/>
      <c r="Q3746" s="352"/>
      <c r="R3746" s="352"/>
      <c r="S3746" s="352"/>
      <c r="T3746" s="352"/>
      <c r="U3746" s="352"/>
      <c r="V3746" s="352"/>
      <c r="W3746" s="352"/>
      <c r="X3746" s="352"/>
      <c r="Y3746" s="352"/>
      <c r="Z3746" s="352"/>
      <c r="AA3746" s="352"/>
      <c r="AB3746" s="352"/>
      <c r="AC3746" s="352"/>
      <c r="AD3746" s="352"/>
      <c r="AE3746" s="352"/>
      <c r="AF3746" s="352"/>
      <c r="AG3746" s="352"/>
      <c r="AH3746" s="352"/>
      <c r="AI3746" s="352"/>
      <c r="AJ3746" s="352"/>
    </row>
    <row r="3747" spans="2:36" x14ac:dyDescent="0.2">
      <c r="B3747" s="352"/>
      <c r="C3747" s="352"/>
      <c r="D3747" s="352"/>
      <c r="E3747" s="352"/>
      <c r="F3747" s="352"/>
      <c r="H3747" s="352"/>
      <c r="J3747" s="352"/>
      <c r="L3747" s="352"/>
      <c r="M3747" s="352"/>
      <c r="N3747" s="352"/>
      <c r="O3747" s="352"/>
      <c r="P3747" s="352"/>
      <c r="Q3747" s="352"/>
      <c r="R3747" s="352"/>
      <c r="S3747" s="352"/>
      <c r="T3747" s="352"/>
      <c r="U3747" s="352"/>
      <c r="V3747" s="352"/>
      <c r="W3747" s="352"/>
      <c r="X3747" s="352"/>
      <c r="Y3747" s="352"/>
      <c r="Z3747" s="352"/>
      <c r="AA3747" s="352"/>
      <c r="AB3747" s="352"/>
      <c r="AC3747" s="352"/>
      <c r="AD3747" s="352"/>
      <c r="AE3747" s="352"/>
      <c r="AF3747" s="352"/>
      <c r="AG3747" s="352"/>
      <c r="AH3747" s="352"/>
      <c r="AI3747" s="352"/>
      <c r="AJ3747" s="352"/>
    </row>
    <row r="3748" spans="2:36" x14ac:dyDescent="0.2">
      <c r="B3748" s="352"/>
      <c r="C3748" s="352"/>
      <c r="D3748" s="352"/>
      <c r="E3748" s="352"/>
      <c r="F3748" s="352"/>
      <c r="H3748" s="352"/>
      <c r="J3748" s="352"/>
      <c r="L3748" s="352"/>
      <c r="M3748" s="352"/>
      <c r="N3748" s="352"/>
      <c r="O3748" s="352"/>
      <c r="P3748" s="352"/>
      <c r="Q3748" s="352"/>
      <c r="R3748" s="352"/>
      <c r="S3748" s="352"/>
      <c r="T3748" s="352"/>
      <c r="U3748" s="352"/>
      <c r="V3748" s="352"/>
      <c r="W3748" s="352"/>
      <c r="X3748" s="352"/>
      <c r="Y3748" s="352"/>
      <c r="Z3748" s="352"/>
      <c r="AA3748" s="352"/>
      <c r="AB3748" s="352"/>
      <c r="AC3748" s="352"/>
      <c r="AD3748" s="352"/>
      <c r="AE3748" s="352"/>
      <c r="AF3748" s="352"/>
      <c r="AG3748" s="352"/>
      <c r="AH3748" s="352"/>
      <c r="AI3748" s="352"/>
      <c r="AJ3748" s="352"/>
    </row>
    <row r="3749" spans="2:36" x14ac:dyDescent="0.2">
      <c r="B3749" s="352"/>
      <c r="C3749" s="352"/>
      <c r="D3749" s="352"/>
      <c r="E3749" s="352"/>
      <c r="F3749" s="352"/>
      <c r="H3749" s="352"/>
      <c r="J3749" s="352"/>
      <c r="L3749" s="352"/>
      <c r="M3749" s="352"/>
      <c r="N3749" s="352"/>
      <c r="O3749" s="352"/>
      <c r="P3749" s="352"/>
      <c r="Q3749" s="352"/>
      <c r="R3749" s="352"/>
      <c r="S3749" s="352"/>
      <c r="T3749" s="352"/>
      <c r="U3749" s="352"/>
      <c r="V3749" s="352"/>
      <c r="W3749" s="352"/>
      <c r="X3749" s="352"/>
      <c r="Y3749" s="352"/>
      <c r="Z3749" s="352"/>
      <c r="AA3749" s="352"/>
      <c r="AB3749" s="352"/>
      <c r="AC3749" s="352"/>
      <c r="AD3749" s="352"/>
      <c r="AE3749" s="352"/>
      <c r="AF3749" s="352"/>
      <c r="AG3749" s="352"/>
      <c r="AH3749" s="352"/>
      <c r="AI3749" s="352"/>
      <c r="AJ3749" s="352"/>
    </row>
    <row r="3750" spans="2:36" x14ac:dyDescent="0.2">
      <c r="B3750" s="352"/>
      <c r="C3750" s="352"/>
      <c r="D3750" s="352"/>
      <c r="E3750" s="352"/>
      <c r="F3750" s="352"/>
      <c r="H3750" s="352"/>
      <c r="J3750" s="352"/>
      <c r="L3750" s="352"/>
      <c r="M3750" s="352"/>
      <c r="N3750" s="352"/>
      <c r="O3750" s="352"/>
      <c r="P3750" s="352"/>
      <c r="Q3750" s="352"/>
      <c r="R3750" s="352"/>
      <c r="S3750" s="352"/>
      <c r="T3750" s="352"/>
      <c r="U3750" s="352"/>
      <c r="V3750" s="352"/>
      <c r="W3750" s="352"/>
      <c r="X3750" s="352"/>
      <c r="Y3750" s="352"/>
      <c r="Z3750" s="352"/>
      <c r="AA3750" s="352"/>
      <c r="AB3750" s="352"/>
      <c r="AC3750" s="352"/>
      <c r="AD3750" s="352"/>
      <c r="AE3750" s="352"/>
      <c r="AF3750" s="352"/>
      <c r="AG3750" s="352"/>
      <c r="AH3750" s="352"/>
      <c r="AI3750" s="352"/>
      <c r="AJ3750" s="352"/>
    </row>
    <row r="3751" spans="2:36" x14ac:dyDescent="0.2">
      <c r="B3751" s="352"/>
      <c r="C3751" s="352"/>
      <c r="D3751" s="352"/>
      <c r="E3751" s="352"/>
      <c r="F3751" s="352"/>
      <c r="H3751" s="352"/>
      <c r="J3751" s="352"/>
      <c r="L3751" s="352"/>
      <c r="M3751" s="352"/>
      <c r="N3751" s="352"/>
      <c r="O3751" s="352"/>
      <c r="P3751" s="352"/>
      <c r="Q3751" s="352"/>
      <c r="R3751" s="352"/>
      <c r="S3751" s="352"/>
      <c r="T3751" s="352"/>
      <c r="U3751" s="352"/>
      <c r="V3751" s="352"/>
      <c r="W3751" s="352"/>
      <c r="X3751" s="352"/>
      <c r="Y3751" s="352"/>
      <c r="Z3751" s="352"/>
      <c r="AA3751" s="352"/>
      <c r="AB3751" s="352"/>
      <c r="AC3751" s="352"/>
      <c r="AD3751" s="352"/>
      <c r="AE3751" s="352"/>
      <c r="AF3751" s="352"/>
      <c r="AG3751" s="352"/>
      <c r="AH3751" s="352"/>
      <c r="AI3751" s="352"/>
      <c r="AJ3751" s="352"/>
    </row>
    <row r="3752" spans="2:36" x14ac:dyDescent="0.2">
      <c r="B3752" s="352"/>
      <c r="C3752" s="352"/>
      <c r="D3752" s="352"/>
      <c r="E3752" s="352"/>
      <c r="F3752" s="352"/>
      <c r="H3752" s="352"/>
      <c r="J3752" s="352"/>
      <c r="L3752" s="352"/>
      <c r="M3752" s="352"/>
      <c r="N3752" s="352"/>
      <c r="O3752" s="352"/>
      <c r="P3752" s="352"/>
      <c r="Q3752" s="352"/>
      <c r="R3752" s="352"/>
      <c r="S3752" s="352"/>
      <c r="T3752" s="352"/>
      <c r="U3752" s="352"/>
      <c r="V3752" s="352"/>
      <c r="W3752" s="352"/>
      <c r="X3752" s="352"/>
      <c r="Y3752" s="352"/>
      <c r="Z3752" s="352"/>
      <c r="AA3752" s="352"/>
      <c r="AB3752" s="352"/>
      <c r="AC3752" s="352"/>
      <c r="AD3752" s="352"/>
      <c r="AE3752" s="352"/>
      <c r="AF3752" s="352"/>
      <c r="AG3752" s="352"/>
      <c r="AH3752" s="352"/>
      <c r="AI3752" s="352"/>
      <c r="AJ3752" s="352"/>
    </row>
    <row r="3753" spans="2:36" x14ac:dyDescent="0.2">
      <c r="B3753" s="352"/>
      <c r="C3753" s="352"/>
      <c r="D3753" s="352"/>
      <c r="E3753" s="352"/>
      <c r="F3753" s="352"/>
      <c r="H3753" s="352"/>
      <c r="J3753" s="352"/>
      <c r="L3753" s="352"/>
      <c r="M3753" s="352"/>
      <c r="N3753" s="352"/>
      <c r="O3753" s="352"/>
      <c r="P3753" s="352"/>
      <c r="Q3753" s="352"/>
      <c r="R3753" s="352"/>
      <c r="S3753" s="352"/>
      <c r="T3753" s="352"/>
      <c r="U3753" s="352"/>
      <c r="V3753" s="352"/>
      <c r="W3753" s="352"/>
      <c r="X3753" s="352"/>
      <c r="Y3753" s="352"/>
      <c r="Z3753" s="352"/>
      <c r="AA3753" s="352"/>
      <c r="AB3753" s="352"/>
      <c r="AC3753" s="352"/>
      <c r="AD3753" s="352"/>
      <c r="AE3753" s="352"/>
      <c r="AF3753" s="352"/>
      <c r="AG3753" s="352"/>
      <c r="AH3753" s="352"/>
      <c r="AI3753" s="352"/>
      <c r="AJ3753" s="352"/>
    </row>
    <row r="3754" spans="2:36" x14ac:dyDescent="0.2">
      <c r="B3754" s="352"/>
      <c r="C3754" s="352"/>
      <c r="D3754" s="352"/>
      <c r="E3754" s="352"/>
      <c r="F3754" s="352"/>
      <c r="H3754" s="352"/>
      <c r="J3754" s="352"/>
      <c r="L3754" s="352"/>
      <c r="M3754" s="352"/>
      <c r="N3754" s="352"/>
      <c r="O3754" s="352"/>
      <c r="P3754" s="352"/>
      <c r="Q3754" s="352"/>
      <c r="R3754" s="352"/>
      <c r="S3754" s="352"/>
      <c r="T3754" s="352"/>
      <c r="U3754" s="352"/>
      <c r="V3754" s="352"/>
      <c r="W3754" s="352"/>
      <c r="X3754" s="352"/>
      <c r="Y3754" s="352"/>
      <c r="Z3754" s="352"/>
      <c r="AA3754" s="352"/>
      <c r="AB3754" s="352"/>
      <c r="AC3754" s="352"/>
      <c r="AD3754" s="352"/>
      <c r="AE3754" s="352"/>
      <c r="AF3754" s="352"/>
      <c r="AG3754" s="352"/>
      <c r="AH3754" s="352"/>
      <c r="AI3754" s="352"/>
      <c r="AJ3754" s="352"/>
    </row>
    <row r="3755" spans="2:36" x14ac:dyDescent="0.2">
      <c r="B3755" s="352"/>
      <c r="C3755" s="352"/>
      <c r="D3755" s="352"/>
      <c r="E3755" s="352"/>
      <c r="F3755" s="352"/>
      <c r="H3755" s="352"/>
      <c r="J3755" s="352"/>
      <c r="L3755" s="352"/>
      <c r="M3755" s="352"/>
      <c r="N3755" s="352"/>
      <c r="O3755" s="352"/>
      <c r="P3755" s="352"/>
      <c r="Q3755" s="352"/>
      <c r="R3755" s="352"/>
      <c r="S3755" s="352"/>
      <c r="T3755" s="352"/>
      <c r="U3755" s="352"/>
      <c r="V3755" s="352"/>
      <c r="W3755" s="352"/>
      <c r="X3755" s="352"/>
      <c r="Y3755" s="352"/>
      <c r="Z3755" s="352"/>
      <c r="AA3755" s="352"/>
      <c r="AB3755" s="352"/>
      <c r="AC3755" s="352"/>
      <c r="AD3755" s="352"/>
      <c r="AE3755" s="352"/>
      <c r="AF3755" s="352"/>
      <c r="AG3755" s="352"/>
      <c r="AH3755" s="352"/>
      <c r="AI3755" s="352"/>
      <c r="AJ3755" s="352"/>
    </row>
    <row r="3756" spans="2:36" x14ac:dyDescent="0.2">
      <c r="B3756" s="352"/>
      <c r="C3756" s="352"/>
      <c r="D3756" s="352"/>
      <c r="E3756" s="352"/>
      <c r="F3756" s="352"/>
      <c r="H3756" s="352"/>
      <c r="J3756" s="352"/>
      <c r="L3756" s="352"/>
      <c r="M3756" s="352"/>
      <c r="N3756" s="352"/>
      <c r="O3756" s="352"/>
      <c r="P3756" s="352"/>
      <c r="Q3756" s="352"/>
      <c r="R3756" s="352"/>
      <c r="S3756" s="352"/>
      <c r="T3756" s="352"/>
      <c r="U3756" s="352"/>
      <c r="V3756" s="352"/>
      <c r="W3756" s="352"/>
      <c r="X3756" s="352"/>
      <c r="Y3756" s="352"/>
      <c r="Z3756" s="352"/>
      <c r="AA3756" s="352"/>
      <c r="AB3756" s="352"/>
      <c r="AC3756" s="352"/>
      <c r="AD3756" s="352"/>
      <c r="AE3756" s="352"/>
      <c r="AF3756" s="352"/>
      <c r="AG3756" s="352"/>
      <c r="AH3756" s="352"/>
      <c r="AI3756" s="352"/>
      <c r="AJ3756" s="352"/>
    </row>
    <row r="3757" spans="2:36" x14ac:dyDescent="0.2">
      <c r="B3757" s="352"/>
      <c r="C3757" s="352"/>
      <c r="D3757" s="352"/>
      <c r="E3757" s="352"/>
      <c r="F3757" s="352"/>
      <c r="H3757" s="352"/>
      <c r="J3757" s="352"/>
      <c r="L3757" s="352"/>
      <c r="M3757" s="352"/>
      <c r="N3757" s="352"/>
      <c r="O3757" s="352"/>
      <c r="P3757" s="352"/>
      <c r="Q3757" s="352"/>
      <c r="R3757" s="352"/>
      <c r="S3757" s="352"/>
      <c r="T3757" s="352"/>
      <c r="U3757" s="352"/>
      <c r="V3757" s="352"/>
      <c r="W3757" s="352"/>
      <c r="X3757" s="352"/>
      <c r="Y3757" s="352"/>
      <c r="Z3757" s="352"/>
      <c r="AA3757" s="352"/>
      <c r="AB3757" s="352"/>
      <c r="AC3757" s="352"/>
      <c r="AD3757" s="352"/>
      <c r="AE3757" s="352"/>
      <c r="AF3757" s="352"/>
      <c r="AG3757" s="352"/>
      <c r="AH3757" s="352"/>
      <c r="AI3757" s="352"/>
      <c r="AJ3757" s="352"/>
    </row>
    <row r="3758" spans="2:36" x14ac:dyDescent="0.2">
      <c r="B3758" s="352"/>
      <c r="C3758" s="352"/>
      <c r="D3758" s="352"/>
      <c r="E3758" s="352"/>
      <c r="F3758" s="352"/>
      <c r="H3758" s="352"/>
      <c r="J3758" s="352"/>
      <c r="L3758" s="352"/>
      <c r="M3758" s="352"/>
      <c r="N3758" s="352"/>
      <c r="O3758" s="352"/>
      <c r="P3758" s="352"/>
      <c r="Q3758" s="352"/>
      <c r="R3758" s="352"/>
      <c r="S3758" s="352"/>
      <c r="T3758" s="352"/>
      <c r="U3758" s="352"/>
      <c r="V3758" s="352"/>
      <c r="W3758" s="352"/>
      <c r="X3758" s="352"/>
      <c r="Y3758" s="352"/>
      <c r="Z3758" s="352"/>
      <c r="AA3758" s="352"/>
      <c r="AB3758" s="352"/>
      <c r="AC3758" s="352"/>
      <c r="AD3758" s="352"/>
      <c r="AE3758" s="352"/>
      <c r="AF3758" s="352"/>
      <c r="AG3758" s="352"/>
      <c r="AH3758" s="352"/>
      <c r="AI3758" s="352"/>
      <c r="AJ3758" s="352"/>
    </row>
    <row r="3759" spans="2:36" x14ac:dyDescent="0.2">
      <c r="B3759" s="352"/>
      <c r="C3759" s="352"/>
      <c r="D3759" s="352"/>
      <c r="E3759" s="352"/>
      <c r="F3759" s="352"/>
      <c r="H3759" s="352"/>
      <c r="J3759" s="352"/>
      <c r="L3759" s="352"/>
      <c r="M3759" s="352"/>
      <c r="N3759" s="352"/>
      <c r="O3759" s="352"/>
      <c r="P3759" s="352"/>
      <c r="Q3759" s="352"/>
      <c r="R3759" s="352"/>
      <c r="S3759" s="352"/>
      <c r="T3759" s="352"/>
      <c r="U3759" s="352"/>
      <c r="V3759" s="352"/>
      <c r="W3759" s="352"/>
      <c r="X3759" s="352"/>
      <c r="Y3759" s="352"/>
      <c r="Z3759" s="352"/>
      <c r="AA3759" s="352"/>
      <c r="AB3759" s="352"/>
      <c r="AC3759" s="352"/>
      <c r="AD3759" s="352"/>
      <c r="AE3759" s="352"/>
      <c r="AF3759" s="352"/>
      <c r="AG3759" s="352"/>
      <c r="AH3759" s="352"/>
      <c r="AI3759" s="352"/>
      <c r="AJ3759" s="352"/>
    </row>
    <row r="3760" spans="2:36" x14ac:dyDescent="0.2">
      <c r="B3760" s="352"/>
      <c r="C3760" s="352"/>
      <c r="D3760" s="352"/>
      <c r="E3760" s="352"/>
      <c r="F3760" s="352"/>
      <c r="H3760" s="352"/>
      <c r="J3760" s="352"/>
      <c r="L3760" s="352"/>
      <c r="M3760" s="352"/>
      <c r="N3760" s="352"/>
      <c r="O3760" s="352"/>
      <c r="P3760" s="352"/>
      <c r="Q3760" s="352"/>
      <c r="R3760" s="352"/>
      <c r="S3760" s="352"/>
      <c r="T3760" s="352"/>
      <c r="U3760" s="352"/>
      <c r="V3760" s="352"/>
      <c r="W3760" s="352"/>
      <c r="X3760" s="352"/>
      <c r="Y3760" s="352"/>
      <c r="Z3760" s="352"/>
      <c r="AA3760" s="352"/>
      <c r="AB3760" s="352"/>
      <c r="AC3760" s="352"/>
      <c r="AD3760" s="352"/>
      <c r="AE3760" s="352"/>
      <c r="AF3760" s="352"/>
      <c r="AG3760" s="352"/>
      <c r="AH3760" s="352"/>
      <c r="AI3760" s="352"/>
      <c r="AJ3760" s="352"/>
    </row>
    <row r="3761" spans="2:36" x14ac:dyDescent="0.2">
      <c r="B3761" s="352"/>
      <c r="C3761" s="352"/>
      <c r="D3761" s="352"/>
      <c r="E3761" s="352"/>
      <c r="F3761" s="352"/>
      <c r="H3761" s="352"/>
      <c r="J3761" s="352"/>
      <c r="L3761" s="352"/>
      <c r="M3761" s="352"/>
      <c r="N3761" s="352"/>
      <c r="O3761" s="352"/>
      <c r="P3761" s="352"/>
      <c r="Q3761" s="352"/>
      <c r="R3761" s="352"/>
      <c r="S3761" s="352"/>
      <c r="T3761" s="352"/>
      <c r="U3761" s="352"/>
      <c r="V3761" s="352"/>
      <c r="W3761" s="352"/>
      <c r="X3761" s="352"/>
      <c r="Y3761" s="352"/>
      <c r="Z3761" s="352"/>
      <c r="AA3761" s="352"/>
      <c r="AB3761" s="352"/>
      <c r="AC3761" s="352"/>
      <c r="AD3761" s="352"/>
      <c r="AE3761" s="352"/>
      <c r="AF3761" s="352"/>
      <c r="AG3761" s="352"/>
      <c r="AH3761" s="352"/>
      <c r="AI3761" s="352"/>
      <c r="AJ3761" s="352"/>
    </row>
    <row r="3762" spans="2:36" x14ac:dyDescent="0.2">
      <c r="B3762" s="352"/>
      <c r="C3762" s="352"/>
      <c r="D3762" s="352"/>
      <c r="E3762" s="352"/>
      <c r="F3762" s="352"/>
      <c r="H3762" s="352"/>
      <c r="J3762" s="352"/>
      <c r="L3762" s="352"/>
      <c r="M3762" s="352"/>
      <c r="N3762" s="352"/>
      <c r="O3762" s="352"/>
      <c r="P3762" s="352"/>
      <c r="Q3762" s="352"/>
      <c r="R3762" s="352"/>
      <c r="S3762" s="352"/>
      <c r="T3762" s="352"/>
      <c r="U3762" s="352"/>
      <c r="V3762" s="352"/>
      <c r="W3762" s="352"/>
      <c r="X3762" s="352"/>
      <c r="Y3762" s="352"/>
      <c r="Z3762" s="352"/>
      <c r="AA3762" s="352"/>
      <c r="AB3762" s="352"/>
      <c r="AC3762" s="352"/>
      <c r="AD3762" s="352"/>
      <c r="AE3762" s="352"/>
      <c r="AF3762" s="352"/>
      <c r="AG3762" s="352"/>
      <c r="AH3762" s="352"/>
      <c r="AI3762" s="352"/>
      <c r="AJ3762" s="352"/>
    </row>
    <row r="3763" spans="2:36" x14ac:dyDescent="0.2">
      <c r="B3763" s="352"/>
      <c r="C3763" s="352"/>
      <c r="D3763" s="352"/>
      <c r="E3763" s="352"/>
      <c r="F3763" s="352"/>
      <c r="H3763" s="352"/>
      <c r="J3763" s="352"/>
      <c r="L3763" s="352"/>
      <c r="M3763" s="352"/>
      <c r="N3763" s="352"/>
      <c r="O3763" s="352"/>
      <c r="P3763" s="352"/>
      <c r="Q3763" s="352"/>
      <c r="R3763" s="352"/>
      <c r="S3763" s="352"/>
      <c r="T3763" s="352"/>
      <c r="U3763" s="352"/>
      <c r="V3763" s="352"/>
      <c r="W3763" s="352"/>
      <c r="X3763" s="352"/>
      <c r="Y3763" s="352"/>
      <c r="Z3763" s="352"/>
      <c r="AA3763" s="352"/>
      <c r="AB3763" s="352"/>
      <c r="AC3763" s="352"/>
      <c r="AD3763" s="352"/>
      <c r="AE3763" s="352"/>
      <c r="AF3763" s="352"/>
      <c r="AG3763" s="352"/>
      <c r="AH3763" s="352"/>
      <c r="AI3763" s="352"/>
      <c r="AJ3763" s="352"/>
    </row>
    <row r="3764" spans="2:36" x14ac:dyDescent="0.2">
      <c r="B3764" s="352"/>
      <c r="C3764" s="352"/>
      <c r="D3764" s="352"/>
      <c r="E3764" s="352"/>
      <c r="F3764" s="352"/>
      <c r="H3764" s="352"/>
      <c r="J3764" s="352"/>
      <c r="L3764" s="352"/>
      <c r="M3764" s="352"/>
      <c r="N3764" s="352"/>
      <c r="O3764" s="352"/>
      <c r="P3764" s="352"/>
      <c r="Q3764" s="352"/>
      <c r="R3764" s="352"/>
      <c r="S3764" s="352"/>
      <c r="T3764" s="352"/>
      <c r="U3764" s="352"/>
      <c r="V3764" s="352"/>
      <c r="W3764" s="352"/>
      <c r="X3764" s="352"/>
      <c r="Y3764" s="352"/>
      <c r="Z3764" s="352"/>
      <c r="AA3764" s="352"/>
      <c r="AB3764" s="352"/>
      <c r="AC3764" s="352"/>
      <c r="AD3764" s="352"/>
      <c r="AE3764" s="352"/>
      <c r="AF3764" s="352"/>
      <c r="AG3764" s="352"/>
      <c r="AH3764" s="352"/>
      <c r="AI3764" s="352"/>
      <c r="AJ3764" s="352"/>
    </row>
    <row r="3765" spans="2:36" x14ac:dyDescent="0.2">
      <c r="B3765" s="352"/>
      <c r="C3765" s="352"/>
      <c r="D3765" s="352"/>
      <c r="E3765" s="352"/>
      <c r="F3765" s="352"/>
      <c r="H3765" s="352"/>
      <c r="J3765" s="352"/>
      <c r="L3765" s="352"/>
      <c r="M3765" s="352"/>
      <c r="N3765" s="352"/>
      <c r="O3765" s="352"/>
      <c r="P3765" s="352"/>
      <c r="Q3765" s="352"/>
      <c r="R3765" s="352"/>
      <c r="S3765" s="352"/>
      <c r="T3765" s="352"/>
      <c r="U3765" s="352"/>
      <c r="V3765" s="352"/>
      <c r="W3765" s="352"/>
      <c r="X3765" s="352"/>
      <c r="Y3765" s="352"/>
      <c r="Z3765" s="352"/>
      <c r="AA3765" s="352"/>
      <c r="AB3765" s="352"/>
      <c r="AC3765" s="352"/>
      <c r="AD3765" s="352"/>
      <c r="AE3765" s="352"/>
      <c r="AF3765" s="352"/>
      <c r="AG3765" s="352"/>
      <c r="AH3765" s="352"/>
      <c r="AI3765" s="352"/>
      <c r="AJ3765" s="352"/>
    </row>
    <row r="3766" spans="2:36" x14ac:dyDescent="0.2">
      <c r="B3766" s="352"/>
      <c r="C3766" s="352"/>
      <c r="D3766" s="352"/>
      <c r="E3766" s="352"/>
      <c r="F3766" s="352"/>
      <c r="H3766" s="352"/>
      <c r="J3766" s="352"/>
      <c r="L3766" s="352"/>
      <c r="M3766" s="352"/>
      <c r="N3766" s="352"/>
      <c r="O3766" s="352"/>
      <c r="P3766" s="352"/>
      <c r="Q3766" s="352"/>
      <c r="R3766" s="352"/>
      <c r="S3766" s="352"/>
      <c r="T3766" s="352"/>
      <c r="U3766" s="352"/>
      <c r="V3766" s="352"/>
      <c r="W3766" s="352"/>
      <c r="X3766" s="352"/>
      <c r="Y3766" s="352"/>
      <c r="Z3766" s="352"/>
      <c r="AA3766" s="352"/>
      <c r="AB3766" s="352"/>
      <c r="AC3766" s="352"/>
      <c r="AD3766" s="352"/>
      <c r="AE3766" s="352"/>
      <c r="AF3766" s="352"/>
      <c r="AG3766" s="352"/>
      <c r="AH3766" s="352"/>
      <c r="AI3766" s="352"/>
      <c r="AJ3766" s="352"/>
    </row>
    <row r="3767" spans="2:36" x14ac:dyDescent="0.2">
      <c r="B3767" s="352"/>
      <c r="C3767" s="352"/>
      <c r="D3767" s="352"/>
      <c r="E3767" s="352"/>
      <c r="F3767" s="352"/>
      <c r="H3767" s="352"/>
      <c r="J3767" s="352"/>
      <c r="L3767" s="352"/>
      <c r="M3767" s="352"/>
      <c r="N3767" s="352"/>
      <c r="O3767" s="352"/>
      <c r="P3767" s="352"/>
      <c r="Q3767" s="352"/>
      <c r="R3767" s="352"/>
      <c r="S3767" s="352"/>
      <c r="T3767" s="352"/>
      <c r="U3767" s="352"/>
      <c r="V3767" s="352"/>
      <c r="W3767" s="352"/>
      <c r="X3767" s="352"/>
      <c r="Y3767" s="352"/>
      <c r="Z3767" s="352"/>
      <c r="AA3767" s="352"/>
      <c r="AB3767" s="352"/>
      <c r="AC3767" s="352"/>
      <c r="AD3767" s="352"/>
      <c r="AE3767" s="352"/>
      <c r="AF3767" s="352"/>
      <c r="AG3767" s="352"/>
      <c r="AH3767" s="352"/>
      <c r="AI3767" s="352"/>
      <c r="AJ3767" s="352"/>
    </row>
    <row r="3768" spans="2:36" x14ac:dyDescent="0.2">
      <c r="B3768" s="352"/>
      <c r="C3768" s="352"/>
      <c r="D3768" s="352"/>
      <c r="E3768" s="352"/>
      <c r="F3768" s="352"/>
      <c r="H3768" s="352"/>
      <c r="J3768" s="352"/>
      <c r="L3768" s="352"/>
      <c r="M3768" s="352"/>
      <c r="N3768" s="352"/>
      <c r="O3768" s="352"/>
      <c r="P3768" s="352"/>
      <c r="Q3768" s="352"/>
      <c r="R3768" s="352"/>
      <c r="S3768" s="352"/>
      <c r="T3768" s="352"/>
      <c r="U3768" s="352"/>
      <c r="V3768" s="352"/>
      <c r="W3768" s="352"/>
      <c r="X3768" s="352"/>
      <c r="Y3768" s="352"/>
      <c r="Z3768" s="352"/>
      <c r="AA3768" s="352"/>
      <c r="AB3768" s="352"/>
      <c r="AC3768" s="352"/>
      <c r="AD3768" s="352"/>
      <c r="AE3768" s="352"/>
      <c r="AF3768" s="352"/>
      <c r="AG3768" s="352"/>
      <c r="AH3768" s="352"/>
      <c r="AI3768" s="352"/>
      <c r="AJ3768" s="352"/>
    </row>
    <row r="3769" spans="2:36" x14ac:dyDescent="0.2">
      <c r="B3769" s="352"/>
      <c r="C3769" s="352"/>
      <c r="D3769" s="352"/>
      <c r="E3769" s="352"/>
      <c r="F3769" s="352"/>
      <c r="H3769" s="352"/>
      <c r="J3769" s="352"/>
      <c r="L3769" s="352"/>
      <c r="M3769" s="352"/>
      <c r="N3769" s="352"/>
      <c r="O3769" s="352"/>
      <c r="P3769" s="352"/>
      <c r="Q3769" s="352"/>
      <c r="R3769" s="352"/>
      <c r="S3769" s="352"/>
      <c r="T3769" s="352"/>
      <c r="U3769" s="352"/>
      <c r="V3769" s="352"/>
      <c r="W3769" s="352"/>
      <c r="X3769" s="352"/>
      <c r="Y3769" s="352"/>
      <c r="Z3769" s="352"/>
      <c r="AA3769" s="352"/>
      <c r="AB3769" s="352"/>
      <c r="AC3769" s="352"/>
      <c r="AD3769" s="352"/>
      <c r="AE3769" s="352"/>
      <c r="AF3769" s="352"/>
      <c r="AG3769" s="352"/>
      <c r="AH3769" s="352"/>
      <c r="AI3769" s="352"/>
      <c r="AJ3769" s="352"/>
    </row>
    <row r="3770" spans="2:36" x14ac:dyDescent="0.2">
      <c r="B3770" s="352"/>
      <c r="C3770" s="352"/>
      <c r="D3770" s="352"/>
      <c r="E3770" s="352"/>
      <c r="F3770" s="352"/>
      <c r="H3770" s="352"/>
      <c r="J3770" s="352"/>
      <c r="L3770" s="352"/>
      <c r="M3770" s="352"/>
      <c r="N3770" s="352"/>
      <c r="O3770" s="352"/>
      <c r="P3770" s="352"/>
      <c r="Q3770" s="352"/>
      <c r="R3770" s="352"/>
      <c r="S3770" s="352"/>
      <c r="T3770" s="352"/>
      <c r="U3770" s="352"/>
      <c r="V3770" s="352"/>
      <c r="W3770" s="352"/>
      <c r="X3770" s="352"/>
      <c r="Y3770" s="352"/>
      <c r="Z3770" s="352"/>
      <c r="AA3770" s="352"/>
      <c r="AB3770" s="352"/>
      <c r="AC3770" s="352"/>
      <c r="AD3770" s="352"/>
      <c r="AE3770" s="352"/>
      <c r="AF3770" s="352"/>
      <c r="AG3770" s="352"/>
      <c r="AH3770" s="352"/>
      <c r="AI3770" s="352"/>
      <c r="AJ3770" s="352"/>
    </row>
    <row r="3771" spans="2:36" x14ac:dyDescent="0.2">
      <c r="B3771" s="352"/>
      <c r="C3771" s="352"/>
      <c r="D3771" s="352"/>
      <c r="E3771" s="352"/>
      <c r="F3771" s="352"/>
      <c r="H3771" s="352"/>
      <c r="J3771" s="352"/>
      <c r="L3771" s="352"/>
      <c r="M3771" s="352"/>
      <c r="N3771" s="352"/>
      <c r="O3771" s="352"/>
      <c r="P3771" s="352"/>
      <c r="Q3771" s="352"/>
      <c r="R3771" s="352"/>
      <c r="S3771" s="352"/>
      <c r="T3771" s="352"/>
      <c r="U3771" s="352"/>
      <c r="V3771" s="352"/>
      <c r="W3771" s="352"/>
      <c r="X3771" s="352"/>
      <c r="Y3771" s="352"/>
      <c r="Z3771" s="352"/>
      <c r="AA3771" s="352"/>
      <c r="AB3771" s="352"/>
      <c r="AC3771" s="352"/>
      <c r="AD3771" s="352"/>
      <c r="AE3771" s="352"/>
      <c r="AF3771" s="352"/>
      <c r="AG3771" s="352"/>
      <c r="AH3771" s="352"/>
      <c r="AI3771" s="352"/>
      <c r="AJ3771" s="352"/>
    </row>
    <row r="3772" spans="2:36" x14ac:dyDescent="0.2">
      <c r="B3772" s="352"/>
      <c r="C3772" s="352"/>
      <c r="D3772" s="352"/>
      <c r="E3772" s="352"/>
      <c r="F3772" s="352"/>
      <c r="H3772" s="352"/>
      <c r="J3772" s="352"/>
      <c r="L3772" s="352"/>
      <c r="M3772" s="352"/>
      <c r="N3772" s="352"/>
      <c r="O3772" s="352"/>
      <c r="P3772" s="352"/>
      <c r="Q3772" s="352"/>
      <c r="R3772" s="352"/>
      <c r="S3772" s="352"/>
      <c r="T3772" s="352"/>
      <c r="U3772" s="352"/>
      <c r="V3772" s="352"/>
      <c r="W3772" s="352"/>
      <c r="X3772" s="352"/>
      <c r="Y3772" s="352"/>
      <c r="Z3772" s="352"/>
      <c r="AA3772" s="352"/>
      <c r="AB3772" s="352"/>
      <c r="AC3772" s="352"/>
      <c r="AD3772" s="352"/>
      <c r="AE3772" s="352"/>
      <c r="AF3772" s="352"/>
      <c r="AG3772" s="352"/>
      <c r="AH3772" s="352"/>
      <c r="AI3772" s="352"/>
      <c r="AJ3772" s="352"/>
    </row>
    <row r="3773" spans="2:36" x14ac:dyDescent="0.2">
      <c r="B3773" s="352"/>
      <c r="C3773" s="352"/>
      <c r="D3773" s="352"/>
      <c r="E3773" s="352"/>
      <c r="F3773" s="352"/>
      <c r="H3773" s="352"/>
      <c r="J3773" s="352"/>
      <c r="L3773" s="352"/>
      <c r="M3773" s="352"/>
      <c r="N3773" s="352"/>
      <c r="O3773" s="352"/>
      <c r="P3773" s="352"/>
      <c r="Q3773" s="352"/>
      <c r="R3773" s="352"/>
      <c r="S3773" s="352"/>
      <c r="T3773" s="352"/>
      <c r="U3773" s="352"/>
      <c r="V3773" s="352"/>
      <c r="W3773" s="352"/>
      <c r="X3773" s="352"/>
      <c r="Y3773" s="352"/>
      <c r="Z3773" s="352"/>
      <c r="AA3773" s="352"/>
      <c r="AB3773" s="352"/>
      <c r="AC3773" s="352"/>
      <c r="AD3773" s="352"/>
      <c r="AE3773" s="352"/>
      <c r="AF3773" s="352"/>
      <c r="AG3773" s="352"/>
      <c r="AH3773" s="352"/>
      <c r="AI3773" s="352"/>
      <c r="AJ3773" s="352"/>
    </row>
    <row r="3774" spans="2:36" x14ac:dyDescent="0.2">
      <c r="B3774" s="352"/>
      <c r="C3774" s="352"/>
      <c r="D3774" s="352"/>
      <c r="E3774" s="352"/>
      <c r="F3774" s="352"/>
      <c r="H3774" s="352"/>
      <c r="J3774" s="352"/>
      <c r="L3774" s="352"/>
      <c r="M3774" s="352"/>
      <c r="N3774" s="352"/>
      <c r="O3774" s="352"/>
      <c r="P3774" s="352"/>
      <c r="Q3774" s="352"/>
      <c r="R3774" s="352"/>
      <c r="S3774" s="352"/>
      <c r="T3774" s="352"/>
      <c r="U3774" s="352"/>
      <c r="V3774" s="352"/>
      <c r="W3774" s="352"/>
      <c r="X3774" s="352"/>
      <c r="Y3774" s="352"/>
      <c r="Z3774" s="352"/>
      <c r="AA3774" s="352"/>
      <c r="AB3774" s="352"/>
      <c r="AC3774" s="352"/>
      <c r="AD3774" s="352"/>
      <c r="AE3774" s="352"/>
      <c r="AF3774" s="352"/>
      <c r="AG3774" s="352"/>
      <c r="AH3774" s="352"/>
      <c r="AI3774" s="352"/>
      <c r="AJ3774" s="352"/>
    </row>
    <row r="3775" spans="2:36" x14ac:dyDescent="0.2">
      <c r="B3775" s="352"/>
      <c r="C3775" s="352"/>
      <c r="D3775" s="352"/>
      <c r="E3775" s="352"/>
      <c r="F3775" s="352"/>
      <c r="H3775" s="352"/>
      <c r="J3775" s="352"/>
      <c r="L3775" s="352"/>
      <c r="M3775" s="352"/>
      <c r="N3775" s="352"/>
      <c r="O3775" s="352"/>
      <c r="P3775" s="352"/>
      <c r="Q3775" s="352"/>
      <c r="R3775" s="352"/>
      <c r="S3775" s="352"/>
      <c r="T3775" s="352"/>
      <c r="U3775" s="352"/>
      <c r="V3775" s="352"/>
      <c r="W3775" s="352"/>
      <c r="X3775" s="352"/>
      <c r="Y3775" s="352"/>
      <c r="Z3775" s="352"/>
      <c r="AA3775" s="352"/>
      <c r="AB3775" s="352"/>
      <c r="AC3775" s="352"/>
      <c r="AD3775" s="352"/>
      <c r="AE3775" s="352"/>
      <c r="AF3775" s="352"/>
      <c r="AG3775" s="352"/>
      <c r="AH3775" s="352"/>
      <c r="AI3775" s="352"/>
      <c r="AJ3775" s="352"/>
    </row>
    <row r="3776" spans="2:36" x14ac:dyDescent="0.2">
      <c r="B3776" s="352"/>
      <c r="C3776" s="352"/>
      <c r="D3776" s="352"/>
      <c r="E3776" s="352"/>
      <c r="F3776" s="352"/>
      <c r="H3776" s="352"/>
      <c r="J3776" s="352"/>
      <c r="L3776" s="352"/>
      <c r="M3776" s="352"/>
      <c r="N3776" s="352"/>
      <c r="O3776" s="352"/>
      <c r="P3776" s="352"/>
      <c r="Q3776" s="352"/>
      <c r="R3776" s="352"/>
      <c r="S3776" s="352"/>
      <c r="T3776" s="352"/>
      <c r="U3776" s="352"/>
      <c r="V3776" s="352"/>
      <c r="W3776" s="352"/>
      <c r="X3776" s="352"/>
      <c r="Y3776" s="352"/>
      <c r="Z3776" s="352"/>
      <c r="AA3776" s="352"/>
      <c r="AB3776" s="352"/>
      <c r="AC3776" s="352"/>
      <c r="AD3776" s="352"/>
      <c r="AE3776" s="352"/>
      <c r="AF3776" s="352"/>
      <c r="AG3776" s="352"/>
      <c r="AH3776" s="352"/>
      <c r="AI3776" s="352"/>
      <c r="AJ3776" s="352"/>
    </row>
    <row r="3777" spans="2:36" x14ac:dyDescent="0.2">
      <c r="B3777" s="352"/>
      <c r="C3777" s="352"/>
      <c r="D3777" s="352"/>
      <c r="E3777" s="352"/>
      <c r="F3777" s="352"/>
      <c r="H3777" s="352"/>
      <c r="J3777" s="352"/>
      <c r="L3777" s="352"/>
      <c r="M3777" s="352"/>
      <c r="N3777" s="352"/>
      <c r="O3777" s="352"/>
      <c r="P3777" s="352"/>
      <c r="Q3777" s="352"/>
      <c r="R3777" s="352"/>
      <c r="S3777" s="352"/>
      <c r="T3777" s="352"/>
      <c r="U3777" s="352"/>
      <c r="V3777" s="352"/>
      <c r="W3777" s="352"/>
      <c r="X3777" s="352"/>
      <c r="Y3777" s="352"/>
      <c r="Z3777" s="352"/>
      <c r="AA3777" s="352"/>
      <c r="AB3777" s="352"/>
      <c r="AC3777" s="352"/>
      <c r="AD3777" s="352"/>
      <c r="AE3777" s="352"/>
      <c r="AF3777" s="352"/>
      <c r="AG3777" s="352"/>
      <c r="AH3777" s="352"/>
      <c r="AI3777" s="352"/>
      <c r="AJ3777" s="352"/>
    </row>
    <row r="3778" spans="2:36" x14ac:dyDescent="0.2">
      <c r="B3778" s="352"/>
      <c r="C3778" s="352"/>
      <c r="D3778" s="352"/>
      <c r="E3778" s="352"/>
      <c r="F3778" s="352"/>
      <c r="H3778" s="352"/>
      <c r="J3778" s="352"/>
      <c r="L3778" s="352"/>
      <c r="M3778" s="352"/>
      <c r="N3778" s="352"/>
      <c r="O3778" s="352"/>
      <c r="P3778" s="352"/>
      <c r="Q3778" s="352"/>
      <c r="R3778" s="352"/>
      <c r="S3778" s="352"/>
      <c r="T3778" s="352"/>
      <c r="U3778" s="352"/>
      <c r="V3778" s="352"/>
      <c r="W3778" s="352"/>
      <c r="X3778" s="352"/>
      <c r="Y3778" s="352"/>
      <c r="Z3778" s="352"/>
      <c r="AA3778" s="352"/>
      <c r="AB3778" s="352"/>
      <c r="AC3778" s="352"/>
      <c r="AD3778" s="352"/>
      <c r="AE3778" s="352"/>
      <c r="AF3778" s="352"/>
      <c r="AG3778" s="352"/>
      <c r="AH3778" s="352"/>
      <c r="AI3778" s="352"/>
      <c r="AJ3778" s="352"/>
    </row>
    <row r="3779" spans="2:36" x14ac:dyDescent="0.2">
      <c r="B3779" s="352"/>
      <c r="C3779" s="352"/>
      <c r="D3779" s="352"/>
      <c r="E3779" s="352"/>
      <c r="F3779" s="352"/>
      <c r="H3779" s="352"/>
      <c r="J3779" s="352"/>
      <c r="L3779" s="352"/>
      <c r="M3779" s="352"/>
      <c r="N3779" s="352"/>
      <c r="O3779" s="352"/>
      <c r="P3779" s="352"/>
      <c r="Q3779" s="352"/>
      <c r="R3779" s="352"/>
      <c r="S3779" s="352"/>
      <c r="T3779" s="352"/>
      <c r="U3779" s="352"/>
      <c r="V3779" s="352"/>
      <c r="W3779" s="352"/>
      <c r="X3779" s="352"/>
      <c r="Y3779" s="352"/>
      <c r="Z3779" s="352"/>
      <c r="AA3779" s="352"/>
      <c r="AB3779" s="352"/>
      <c r="AC3779" s="352"/>
      <c r="AD3779" s="352"/>
      <c r="AE3779" s="352"/>
      <c r="AF3779" s="352"/>
      <c r="AG3779" s="352"/>
      <c r="AH3779" s="352"/>
      <c r="AI3779" s="352"/>
      <c r="AJ3779" s="352"/>
    </row>
    <row r="3780" spans="2:36" x14ac:dyDescent="0.2">
      <c r="B3780" s="352"/>
      <c r="C3780" s="352"/>
      <c r="D3780" s="352"/>
      <c r="E3780" s="352"/>
      <c r="F3780" s="352"/>
      <c r="H3780" s="352"/>
      <c r="J3780" s="352"/>
      <c r="L3780" s="352"/>
      <c r="M3780" s="352"/>
      <c r="N3780" s="352"/>
      <c r="O3780" s="352"/>
      <c r="P3780" s="352"/>
      <c r="Q3780" s="352"/>
      <c r="R3780" s="352"/>
      <c r="S3780" s="352"/>
      <c r="T3780" s="352"/>
      <c r="U3780" s="352"/>
      <c r="V3780" s="352"/>
      <c r="W3780" s="352"/>
      <c r="X3780" s="352"/>
      <c r="Y3780" s="352"/>
      <c r="Z3780" s="352"/>
      <c r="AA3780" s="352"/>
      <c r="AB3780" s="352"/>
      <c r="AC3780" s="352"/>
      <c r="AD3780" s="352"/>
      <c r="AE3780" s="352"/>
      <c r="AF3780" s="352"/>
      <c r="AG3780" s="352"/>
      <c r="AH3780" s="352"/>
      <c r="AI3780" s="352"/>
      <c r="AJ3780" s="352"/>
    </row>
    <row r="3781" spans="2:36" x14ac:dyDescent="0.2">
      <c r="B3781" s="352"/>
      <c r="C3781" s="352"/>
      <c r="D3781" s="352"/>
      <c r="E3781" s="352"/>
      <c r="F3781" s="352"/>
      <c r="H3781" s="352"/>
      <c r="J3781" s="352"/>
      <c r="L3781" s="352"/>
      <c r="M3781" s="352"/>
      <c r="N3781" s="352"/>
      <c r="O3781" s="352"/>
      <c r="P3781" s="352"/>
      <c r="Q3781" s="352"/>
      <c r="R3781" s="352"/>
      <c r="S3781" s="352"/>
      <c r="T3781" s="352"/>
      <c r="U3781" s="352"/>
      <c r="V3781" s="352"/>
      <c r="W3781" s="352"/>
      <c r="X3781" s="352"/>
      <c r="Y3781" s="352"/>
      <c r="Z3781" s="352"/>
      <c r="AA3781" s="352"/>
      <c r="AB3781" s="352"/>
      <c r="AC3781" s="352"/>
      <c r="AD3781" s="352"/>
      <c r="AE3781" s="352"/>
      <c r="AF3781" s="352"/>
      <c r="AG3781" s="352"/>
      <c r="AH3781" s="352"/>
      <c r="AI3781" s="352"/>
      <c r="AJ3781" s="352"/>
    </row>
    <row r="3782" spans="2:36" x14ac:dyDescent="0.2">
      <c r="B3782" s="352"/>
      <c r="C3782" s="352"/>
      <c r="D3782" s="352"/>
      <c r="E3782" s="352"/>
      <c r="F3782" s="352"/>
      <c r="H3782" s="352"/>
      <c r="J3782" s="352"/>
      <c r="L3782" s="352"/>
      <c r="M3782" s="352"/>
      <c r="N3782" s="352"/>
      <c r="O3782" s="352"/>
      <c r="P3782" s="352"/>
      <c r="Q3782" s="352"/>
      <c r="R3782" s="352"/>
      <c r="S3782" s="352"/>
      <c r="T3782" s="352"/>
      <c r="U3782" s="352"/>
      <c r="V3782" s="352"/>
      <c r="W3782" s="352"/>
      <c r="X3782" s="352"/>
      <c r="Y3782" s="352"/>
      <c r="Z3782" s="352"/>
      <c r="AA3782" s="352"/>
      <c r="AB3782" s="352"/>
      <c r="AC3782" s="352"/>
      <c r="AD3782" s="352"/>
      <c r="AE3782" s="352"/>
      <c r="AF3782" s="352"/>
      <c r="AG3782" s="352"/>
      <c r="AH3782" s="352"/>
      <c r="AI3782" s="352"/>
      <c r="AJ3782" s="352"/>
    </row>
    <row r="3783" spans="2:36" x14ac:dyDescent="0.2">
      <c r="B3783" s="352"/>
      <c r="C3783" s="352"/>
      <c r="D3783" s="352"/>
      <c r="E3783" s="352"/>
      <c r="F3783" s="352"/>
      <c r="H3783" s="352"/>
      <c r="J3783" s="352"/>
      <c r="L3783" s="352"/>
      <c r="M3783" s="352"/>
      <c r="N3783" s="352"/>
      <c r="O3783" s="352"/>
      <c r="P3783" s="352"/>
      <c r="Q3783" s="352"/>
      <c r="R3783" s="352"/>
      <c r="S3783" s="352"/>
      <c r="T3783" s="352"/>
      <c r="U3783" s="352"/>
      <c r="V3783" s="352"/>
      <c r="W3783" s="352"/>
      <c r="X3783" s="352"/>
      <c r="Y3783" s="352"/>
      <c r="Z3783" s="352"/>
      <c r="AA3783" s="352"/>
      <c r="AB3783" s="352"/>
      <c r="AC3783" s="352"/>
      <c r="AD3783" s="352"/>
      <c r="AE3783" s="352"/>
      <c r="AF3783" s="352"/>
      <c r="AG3783" s="352"/>
      <c r="AH3783" s="352"/>
      <c r="AI3783" s="352"/>
      <c r="AJ3783" s="352"/>
    </row>
    <row r="3784" spans="2:36" x14ac:dyDescent="0.2">
      <c r="B3784" s="352"/>
      <c r="C3784" s="352"/>
      <c r="D3784" s="352"/>
      <c r="E3784" s="352"/>
      <c r="F3784" s="352"/>
      <c r="H3784" s="352"/>
      <c r="J3784" s="352"/>
      <c r="L3784" s="352"/>
      <c r="M3784" s="352"/>
      <c r="N3784" s="352"/>
      <c r="O3784" s="352"/>
      <c r="P3784" s="352"/>
      <c r="Q3784" s="352"/>
      <c r="R3784" s="352"/>
      <c r="S3784" s="352"/>
      <c r="T3784" s="352"/>
      <c r="U3784" s="352"/>
      <c r="V3784" s="352"/>
      <c r="W3784" s="352"/>
      <c r="X3784" s="352"/>
      <c r="Y3784" s="352"/>
      <c r="Z3784" s="352"/>
      <c r="AA3784" s="352"/>
      <c r="AB3784" s="352"/>
      <c r="AC3784" s="352"/>
      <c r="AD3784" s="352"/>
      <c r="AE3784" s="352"/>
      <c r="AF3784" s="352"/>
      <c r="AG3784" s="352"/>
      <c r="AH3784" s="352"/>
      <c r="AI3784" s="352"/>
      <c r="AJ3784" s="352"/>
    </row>
    <row r="3785" spans="2:36" x14ac:dyDescent="0.2">
      <c r="B3785" s="352"/>
      <c r="C3785" s="352"/>
      <c r="D3785" s="352"/>
      <c r="E3785" s="352"/>
      <c r="F3785" s="352"/>
      <c r="H3785" s="352"/>
      <c r="J3785" s="352"/>
      <c r="L3785" s="352"/>
      <c r="M3785" s="352"/>
      <c r="N3785" s="352"/>
      <c r="O3785" s="352"/>
      <c r="P3785" s="352"/>
      <c r="Q3785" s="352"/>
      <c r="R3785" s="352"/>
      <c r="S3785" s="352"/>
      <c r="T3785" s="352"/>
      <c r="U3785" s="352"/>
      <c r="V3785" s="352"/>
      <c r="W3785" s="352"/>
      <c r="X3785" s="352"/>
      <c r="Y3785" s="352"/>
      <c r="Z3785" s="352"/>
      <c r="AA3785" s="352"/>
      <c r="AB3785" s="352"/>
      <c r="AC3785" s="352"/>
      <c r="AD3785" s="352"/>
      <c r="AE3785" s="352"/>
      <c r="AF3785" s="352"/>
      <c r="AG3785" s="352"/>
      <c r="AH3785" s="352"/>
      <c r="AI3785" s="352"/>
      <c r="AJ3785" s="352"/>
    </row>
    <row r="3786" spans="2:36" x14ac:dyDescent="0.2">
      <c r="B3786" s="352"/>
      <c r="C3786" s="352"/>
      <c r="D3786" s="352"/>
      <c r="E3786" s="352"/>
      <c r="F3786" s="352"/>
      <c r="H3786" s="352"/>
      <c r="J3786" s="352"/>
      <c r="L3786" s="352"/>
      <c r="M3786" s="352"/>
      <c r="N3786" s="352"/>
      <c r="O3786" s="352"/>
      <c r="P3786" s="352"/>
      <c r="Q3786" s="352"/>
      <c r="R3786" s="352"/>
      <c r="S3786" s="352"/>
      <c r="T3786" s="352"/>
      <c r="U3786" s="352"/>
      <c r="V3786" s="352"/>
      <c r="W3786" s="352"/>
      <c r="X3786" s="352"/>
      <c r="Y3786" s="352"/>
      <c r="Z3786" s="352"/>
      <c r="AA3786" s="352"/>
      <c r="AB3786" s="352"/>
      <c r="AC3786" s="352"/>
      <c r="AD3786" s="352"/>
      <c r="AE3786" s="352"/>
      <c r="AF3786" s="352"/>
      <c r="AG3786" s="352"/>
      <c r="AH3786" s="352"/>
      <c r="AI3786" s="352"/>
      <c r="AJ3786" s="352"/>
    </row>
    <row r="3787" spans="2:36" x14ac:dyDescent="0.2">
      <c r="B3787" s="352"/>
      <c r="C3787" s="352"/>
      <c r="D3787" s="352"/>
      <c r="E3787" s="352"/>
      <c r="F3787" s="352"/>
      <c r="H3787" s="352"/>
      <c r="J3787" s="352"/>
      <c r="L3787" s="352"/>
      <c r="M3787" s="352"/>
      <c r="N3787" s="352"/>
      <c r="O3787" s="352"/>
      <c r="P3787" s="352"/>
      <c r="Q3787" s="352"/>
      <c r="R3787" s="352"/>
      <c r="S3787" s="352"/>
      <c r="T3787" s="352"/>
      <c r="U3787" s="352"/>
      <c r="V3787" s="352"/>
      <c r="W3787" s="352"/>
      <c r="X3787" s="352"/>
      <c r="Y3787" s="352"/>
      <c r="Z3787" s="352"/>
      <c r="AA3787" s="352"/>
      <c r="AB3787" s="352"/>
      <c r="AC3787" s="352"/>
      <c r="AD3787" s="352"/>
      <c r="AE3787" s="352"/>
      <c r="AF3787" s="352"/>
      <c r="AG3787" s="352"/>
      <c r="AH3787" s="352"/>
      <c r="AI3787" s="352"/>
      <c r="AJ3787" s="352"/>
    </row>
    <row r="3788" spans="2:36" x14ac:dyDescent="0.2">
      <c r="B3788" s="352"/>
      <c r="C3788" s="352"/>
      <c r="D3788" s="352"/>
      <c r="E3788" s="352"/>
      <c r="F3788" s="352"/>
      <c r="H3788" s="352"/>
      <c r="J3788" s="352"/>
      <c r="L3788" s="352"/>
      <c r="M3788" s="352"/>
      <c r="N3788" s="352"/>
      <c r="O3788" s="352"/>
      <c r="P3788" s="352"/>
      <c r="Q3788" s="352"/>
      <c r="R3788" s="352"/>
      <c r="S3788" s="352"/>
      <c r="T3788" s="352"/>
      <c r="U3788" s="352"/>
      <c r="V3788" s="352"/>
      <c r="W3788" s="352"/>
      <c r="X3788" s="352"/>
      <c r="Y3788" s="352"/>
      <c r="Z3788" s="352"/>
      <c r="AA3788" s="352"/>
      <c r="AB3788" s="352"/>
      <c r="AC3788" s="352"/>
      <c r="AD3788" s="352"/>
      <c r="AE3788" s="352"/>
      <c r="AF3788" s="352"/>
      <c r="AG3788" s="352"/>
      <c r="AH3788" s="352"/>
      <c r="AI3788" s="352"/>
      <c r="AJ3788" s="352"/>
    </row>
    <row r="3789" spans="2:36" x14ac:dyDescent="0.2">
      <c r="B3789" s="352"/>
      <c r="C3789" s="352"/>
      <c r="D3789" s="352"/>
      <c r="E3789" s="352"/>
      <c r="F3789" s="352"/>
      <c r="H3789" s="352"/>
      <c r="J3789" s="352"/>
      <c r="L3789" s="352"/>
      <c r="M3789" s="352"/>
      <c r="N3789" s="352"/>
      <c r="O3789" s="352"/>
      <c r="P3789" s="352"/>
      <c r="Q3789" s="352"/>
      <c r="R3789" s="352"/>
      <c r="S3789" s="352"/>
      <c r="T3789" s="352"/>
      <c r="U3789" s="352"/>
      <c r="V3789" s="352"/>
      <c r="W3789" s="352"/>
      <c r="X3789" s="352"/>
      <c r="Y3789" s="352"/>
      <c r="Z3789" s="352"/>
      <c r="AA3789" s="352"/>
      <c r="AB3789" s="352"/>
      <c r="AC3789" s="352"/>
      <c r="AD3789" s="352"/>
      <c r="AE3789" s="352"/>
      <c r="AF3789" s="352"/>
      <c r="AG3789" s="352"/>
      <c r="AH3789" s="352"/>
      <c r="AI3789" s="352"/>
      <c r="AJ3789" s="352"/>
    </row>
    <row r="3790" spans="2:36" x14ac:dyDescent="0.2">
      <c r="B3790" s="352"/>
      <c r="C3790" s="352"/>
      <c r="D3790" s="352"/>
      <c r="E3790" s="352"/>
      <c r="F3790" s="352"/>
      <c r="H3790" s="352"/>
      <c r="J3790" s="352"/>
      <c r="L3790" s="352"/>
      <c r="M3790" s="352"/>
      <c r="N3790" s="352"/>
      <c r="O3790" s="352"/>
      <c r="P3790" s="352"/>
      <c r="Q3790" s="352"/>
      <c r="R3790" s="352"/>
      <c r="S3790" s="352"/>
      <c r="T3790" s="352"/>
      <c r="U3790" s="352"/>
      <c r="V3790" s="352"/>
      <c r="W3790" s="352"/>
      <c r="X3790" s="352"/>
      <c r="Y3790" s="352"/>
      <c r="Z3790" s="352"/>
      <c r="AA3790" s="352"/>
      <c r="AB3790" s="352"/>
      <c r="AC3790" s="352"/>
      <c r="AD3790" s="352"/>
      <c r="AE3790" s="352"/>
      <c r="AF3790" s="352"/>
      <c r="AG3790" s="352"/>
      <c r="AH3790" s="352"/>
      <c r="AI3790" s="352"/>
      <c r="AJ3790" s="352"/>
    </row>
    <row r="3791" spans="2:36" x14ac:dyDescent="0.2">
      <c r="B3791" s="352"/>
      <c r="C3791" s="352"/>
      <c r="D3791" s="352"/>
      <c r="E3791" s="352"/>
      <c r="F3791" s="352"/>
      <c r="H3791" s="352"/>
      <c r="J3791" s="352"/>
      <c r="L3791" s="352"/>
      <c r="M3791" s="352"/>
      <c r="N3791" s="352"/>
      <c r="O3791" s="352"/>
      <c r="P3791" s="352"/>
      <c r="Q3791" s="352"/>
      <c r="R3791" s="352"/>
      <c r="S3791" s="352"/>
      <c r="T3791" s="352"/>
      <c r="U3791" s="352"/>
      <c r="V3791" s="352"/>
      <c r="W3791" s="352"/>
      <c r="X3791" s="352"/>
      <c r="Y3791" s="352"/>
      <c r="Z3791" s="352"/>
      <c r="AA3791" s="352"/>
      <c r="AB3791" s="352"/>
      <c r="AC3791" s="352"/>
      <c r="AD3791" s="352"/>
      <c r="AE3791" s="352"/>
      <c r="AF3791" s="352"/>
      <c r="AG3791" s="352"/>
      <c r="AH3791" s="352"/>
      <c r="AI3791" s="352"/>
      <c r="AJ3791" s="352"/>
    </row>
    <row r="3792" spans="2:36" x14ac:dyDescent="0.2">
      <c r="B3792" s="352"/>
      <c r="C3792" s="352"/>
      <c r="D3792" s="352"/>
      <c r="E3792" s="352"/>
      <c r="F3792" s="352"/>
      <c r="H3792" s="352"/>
      <c r="J3792" s="352"/>
      <c r="L3792" s="352"/>
      <c r="M3792" s="352"/>
      <c r="N3792" s="352"/>
      <c r="O3792" s="352"/>
      <c r="P3792" s="352"/>
      <c r="Q3792" s="352"/>
      <c r="R3792" s="352"/>
      <c r="S3792" s="352"/>
      <c r="T3792" s="352"/>
      <c r="U3792" s="352"/>
      <c r="V3792" s="352"/>
      <c r="W3792" s="352"/>
      <c r="X3792" s="352"/>
      <c r="Y3792" s="352"/>
      <c r="Z3792" s="352"/>
      <c r="AA3792" s="352"/>
      <c r="AB3792" s="352"/>
      <c r="AC3792" s="352"/>
      <c r="AD3792" s="352"/>
      <c r="AE3792" s="352"/>
      <c r="AF3792" s="352"/>
      <c r="AG3792" s="352"/>
      <c r="AH3792" s="352"/>
      <c r="AI3792" s="352"/>
      <c r="AJ3792" s="352"/>
    </row>
    <row r="3793" spans="2:36" x14ac:dyDescent="0.2">
      <c r="B3793" s="352"/>
      <c r="C3793" s="352"/>
      <c r="D3793" s="352"/>
      <c r="E3793" s="352"/>
      <c r="F3793" s="352"/>
      <c r="H3793" s="352"/>
      <c r="J3793" s="352"/>
      <c r="L3793" s="352"/>
      <c r="M3793" s="352"/>
      <c r="N3793" s="352"/>
      <c r="O3793" s="352"/>
      <c r="P3793" s="352"/>
      <c r="Q3793" s="352"/>
      <c r="R3793" s="352"/>
      <c r="S3793" s="352"/>
      <c r="T3793" s="352"/>
      <c r="U3793" s="352"/>
      <c r="V3793" s="352"/>
      <c r="W3793" s="352"/>
      <c r="X3793" s="352"/>
      <c r="Y3793" s="352"/>
      <c r="Z3793" s="352"/>
      <c r="AA3793" s="352"/>
      <c r="AB3793" s="352"/>
      <c r="AC3793" s="352"/>
      <c r="AD3793" s="352"/>
      <c r="AE3793" s="352"/>
      <c r="AF3793" s="352"/>
      <c r="AG3793" s="352"/>
      <c r="AH3793" s="352"/>
      <c r="AI3793" s="352"/>
      <c r="AJ3793" s="352"/>
    </row>
    <row r="3794" spans="2:36" x14ac:dyDescent="0.2">
      <c r="B3794" s="352"/>
      <c r="C3794" s="352"/>
      <c r="D3794" s="352"/>
      <c r="E3794" s="352"/>
      <c r="F3794" s="352"/>
      <c r="H3794" s="352"/>
      <c r="J3794" s="352"/>
      <c r="L3794" s="352"/>
      <c r="M3794" s="352"/>
      <c r="N3794" s="352"/>
      <c r="O3794" s="352"/>
      <c r="P3794" s="352"/>
      <c r="Q3794" s="352"/>
      <c r="R3794" s="352"/>
      <c r="S3794" s="352"/>
      <c r="T3794" s="352"/>
      <c r="U3794" s="352"/>
      <c r="V3794" s="352"/>
      <c r="W3794" s="352"/>
      <c r="X3794" s="352"/>
      <c r="Y3794" s="352"/>
      <c r="Z3794" s="352"/>
      <c r="AA3794" s="352"/>
      <c r="AB3794" s="352"/>
      <c r="AC3794" s="352"/>
      <c r="AD3794" s="352"/>
      <c r="AE3794" s="352"/>
      <c r="AF3794" s="352"/>
      <c r="AG3794" s="352"/>
      <c r="AH3794" s="352"/>
      <c r="AI3794" s="352"/>
      <c r="AJ3794" s="352"/>
    </row>
    <row r="3795" spans="2:36" x14ac:dyDescent="0.2">
      <c r="B3795" s="352"/>
      <c r="C3795" s="352"/>
      <c r="D3795" s="352"/>
      <c r="E3795" s="352"/>
      <c r="F3795" s="352"/>
      <c r="H3795" s="352"/>
      <c r="J3795" s="352"/>
      <c r="L3795" s="352"/>
      <c r="M3795" s="352"/>
      <c r="N3795" s="352"/>
      <c r="O3795" s="352"/>
      <c r="P3795" s="352"/>
      <c r="Q3795" s="352"/>
      <c r="R3795" s="352"/>
      <c r="S3795" s="352"/>
      <c r="T3795" s="352"/>
      <c r="U3795" s="352"/>
      <c r="V3795" s="352"/>
      <c r="W3795" s="352"/>
      <c r="X3795" s="352"/>
      <c r="Y3795" s="352"/>
      <c r="Z3795" s="352"/>
      <c r="AA3795" s="352"/>
      <c r="AB3795" s="352"/>
      <c r="AC3795" s="352"/>
      <c r="AD3795" s="352"/>
      <c r="AE3795" s="352"/>
      <c r="AF3795" s="352"/>
      <c r="AG3795" s="352"/>
      <c r="AH3795" s="352"/>
      <c r="AI3795" s="352"/>
      <c r="AJ3795" s="352"/>
    </row>
    <row r="3796" spans="2:36" x14ac:dyDescent="0.2">
      <c r="B3796" s="352"/>
      <c r="C3796" s="352"/>
      <c r="D3796" s="352"/>
      <c r="E3796" s="352"/>
      <c r="F3796" s="352"/>
      <c r="H3796" s="352"/>
      <c r="J3796" s="352"/>
      <c r="L3796" s="352"/>
      <c r="M3796" s="352"/>
      <c r="N3796" s="352"/>
      <c r="O3796" s="352"/>
      <c r="P3796" s="352"/>
      <c r="Q3796" s="352"/>
      <c r="R3796" s="352"/>
      <c r="S3796" s="352"/>
      <c r="T3796" s="352"/>
      <c r="U3796" s="352"/>
      <c r="V3796" s="352"/>
      <c r="W3796" s="352"/>
      <c r="X3796" s="352"/>
      <c r="Y3796" s="352"/>
      <c r="Z3796" s="352"/>
      <c r="AA3796" s="352"/>
      <c r="AB3796" s="352"/>
      <c r="AC3796" s="352"/>
      <c r="AD3796" s="352"/>
      <c r="AE3796" s="352"/>
      <c r="AF3796" s="352"/>
      <c r="AG3796" s="352"/>
      <c r="AH3796" s="352"/>
      <c r="AI3796" s="352"/>
      <c r="AJ3796" s="352"/>
    </row>
    <row r="3797" spans="2:36" x14ac:dyDescent="0.2">
      <c r="B3797" s="352"/>
      <c r="C3797" s="352"/>
      <c r="D3797" s="352"/>
      <c r="E3797" s="352"/>
      <c r="F3797" s="352"/>
      <c r="H3797" s="352"/>
      <c r="J3797" s="352"/>
      <c r="L3797" s="352"/>
      <c r="M3797" s="352"/>
      <c r="N3797" s="352"/>
      <c r="O3797" s="352"/>
      <c r="P3797" s="352"/>
      <c r="Q3797" s="352"/>
      <c r="R3797" s="352"/>
      <c r="S3797" s="352"/>
      <c r="T3797" s="352"/>
      <c r="U3797" s="352"/>
      <c r="V3797" s="352"/>
      <c r="W3797" s="352"/>
      <c r="X3797" s="352"/>
      <c r="Y3797" s="352"/>
      <c r="Z3797" s="352"/>
      <c r="AA3797" s="352"/>
      <c r="AB3797" s="352"/>
      <c r="AC3797" s="352"/>
      <c r="AD3797" s="352"/>
      <c r="AE3797" s="352"/>
      <c r="AF3797" s="352"/>
      <c r="AG3797" s="352"/>
      <c r="AH3797" s="352"/>
      <c r="AI3797" s="352"/>
      <c r="AJ3797" s="352"/>
    </row>
    <row r="3798" spans="2:36" x14ac:dyDescent="0.2">
      <c r="B3798" s="352"/>
      <c r="C3798" s="352"/>
      <c r="D3798" s="352"/>
      <c r="E3798" s="352"/>
      <c r="F3798" s="352"/>
      <c r="H3798" s="352"/>
      <c r="J3798" s="352"/>
      <c r="L3798" s="352"/>
      <c r="M3798" s="352"/>
      <c r="N3798" s="352"/>
      <c r="O3798" s="352"/>
      <c r="P3798" s="352"/>
      <c r="Q3798" s="352"/>
      <c r="R3798" s="352"/>
      <c r="S3798" s="352"/>
      <c r="T3798" s="352"/>
      <c r="U3798" s="352"/>
      <c r="V3798" s="352"/>
      <c r="W3798" s="352"/>
      <c r="X3798" s="352"/>
      <c r="Y3798" s="352"/>
      <c r="Z3798" s="352"/>
      <c r="AA3798" s="352"/>
      <c r="AB3798" s="352"/>
      <c r="AC3798" s="352"/>
      <c r="AD3798" s="352"/>
      <c r="AE3798" s="352"/>
      <c r="AF3798" s="352"/>
      <c r="AG3798" s="352"/>
      <c r="AH3798" s="352"/>
      <c r="AI3798" s="352"/>
      <c r="AJ3798" s="352"/>
    </row>
    <row r="3799" spans="2:36" x14ac:dyDescent="0.2">
      <c r="B3799" s="352"/>
      <c r="C3799" s="352"/>
      <c r="D3799" s="352"/>
      <c r="E3799" s="352"/>
      <c r="F3799" s="352"/>
      <c r="H3799" s="352"/>
      <c r="J3799" s="352"/>
      <c r="L3799" s="352"/>
      <c r="M3799" s="352"/>
      <c r="N3799" s="352"/>
      <c r="O3799" s="352"/>
      <c r="P3799" s="352"/>
      <c r="Q3799" s="352"/>
      <c r="R3799" s="352"/>
      <c r="S3799" s="352"/>
      <c r="T3799" s="352"/>
      <c r="U3799" s="352"/>
      <c r="V3799" s="352"/>
      <c r="W3799" s="352"/>
      <c r="X3799" s="352"/>
      <c r="Y3799" s="352"/>
      <c r="Z3799" s="352"/>
      <c r="AA3799" s="352"/>
      <c r="AB3799" s="352"/>
      <c r="AC3799" s="352"/>
      <c r="AD3799" s="352"/>
      <c r="AE3799" s="352"/>
      <c r="AF3799" s="352"/>
      <c r="AG3799" s="352"/>
      <c r="AH3799" s="352"/>
      <c r="AI3799" s="352"/>
      <c r="AJ3799" s="352"/>
    </row>
    <row r="3800" spans="2:36" x14ac:dyDescent="0.2">
      <c r="B3800" s="352"/>
      <c r="C3800" s="352"/>
      <c r="D3800" s="352"/>
      <c r="E3800" s="352"/>
      <c r="F3800" s="352"/>
      <c r="H3800" s="352"/>
      <c r="J3800" s="352"/>
      <c r="L3800" s="352"/>
      <c r="M3800" s="352"/>
      <c r="N3800" s="352"/>
      <c r="O3800" s="352"/>
      <c r="P3800" s="352"/>
      <c r="Q3800" s="352"/>
      <c r="R3800" s="352"/>
      <c r="S3800" s="352"/>
      <c r="T3800" s="352"/>
      <c r="U3800" s="352"/>
      <c r="V3800" s="352"/>
      <c r="W3800" s="352"/>
      <c r="X3800" s="352"/>
      <c r="Y3800" s="352"/>
      <c r="Z3800" s="352"/>
      <c r="AA3800" s="352"/>
      <c r="AB3800" s="352"/>
      <c r="AC3800" s="352"/>
      <c r="AD3800" s="352"/>
      <c r="AE3800" s="352"/>
      <c r="AF3800" s="352"/>
      <c r="AG3800" s="352"/>
      <c r="AH3800" s="352"/>
      <c r="AI3800" s="352"/>
      <c r="AJ3800" s="352"/>
    </row>
    <row r="3801" spans="2:36" x14ac:dyDescent="0.2">
      <c r="B3801" s="352"/>
      <c r="C3801" s="352"/>
      <c r="D3801" s="352"/>
      <c r="E3801" s="352"/>
      <c r="F3801" s="352"/>
      <c r="H3801" s="352"/>
      <c r="J3801" s="352"/>
      <c r="L3801" s="352"/>
      <c r="M3801" s="352"/>
      <c r="N3801" s="352"/>
      <c r="O3801" s="352"/>
      <c r="P3801" s="352"/>
      <c r="Q3801" s="352"/>
      <c r="R3801" s="352"/>
      <c r="S3801" s="352"/>
      <c r="T3801" s="352"/>
      <c r="U3801" s="352"/>
      <c r="V3801" s="352"/>
      <c r="W3801" s="352"/>
      <c r="X3801" s="352"/>
      <c r="Y3801" s="352"/>
      <c r="Z3801" s="352"/>
      <c r="AA3801" s="352"/>
      <c r="AB3801" s="352"/>
      <c r="AC3801" s="352"/>
      <c r="AD3801" s="352"/>
      <c r="AE3801" s="352"/>
      <c r="AF3801" s="352"/>
      <c r="AG3801" s="352"/>
      <c r="AH3801" s="352"/>
      <c r="AI3801" s="352"/>
      <c r="AJ3801" s="352"/>
    </row>
    <row r="3802" spans="2:36" x14ac:dyDescent="0.2">
      <c r="B3802" s="352"/>
      <c r="C3802" s="352"/>
      <c r="D3802" s="352"/>
      <c r="E3802" s="352"/>
      <c r="F3802" s="352"/>
      <c r="H3802" s="352"/>
      <c r="J3802" s="352"/>
      <c r="L3802" s="352"/>
      <c r="M3802" s="352"/>
      <c r="N3802" s="352"/>
      <c r="O3802" s="352"/>
      <c r="P3802" s="352"/>
      <c r="Q3802" s="352"/>
      <c r="R3802" s="352"/>
      <c r="S3802" s="352"/>
      <c r="T3802" s="352"/>
      <c r="U3802" s="352"/>
      <c r="V3802" s="352"/>
      <c r="W3802" s="352"/>
      <c r="X3802" s="352"/>
      <c r="Y3802" s="352"/>
      <c r="Z3802" s="352"/>
      <c r="AA3802" s="352"/>
      <c r="AB3802" s="352"/>
      <c r="AC3802" s="352"/>
      <c r="AD3802" s="352"/>
      <c r="AE3802" s="352"/>
      <c r="AF3802" s="352"/>
      <c r="AG3802" s="352"/>
      <c r="AH3802" s="352"/>
      <c r="AI3802" s="352"/>
      <c r="AJ3802" s="352"/>
    </row>
    <row r="3803" spans="2:36" x14ac:dyDescent="0.2">
      <c r="B3803" s="352"/>
      <c r="C3803" s="352"/>
      <c r="D3803" s="352"/>
      <c r="E3803" s="352"/>
      <c r="F3803" s="352"/>
      <c r="H3803" s="352"/>
      <c r="J3803" s="352"/>
      <c r="L3803" s="352"/>
      <c r="M3803" s="352"/>
      <c r="N3803" s="352"/>
      <c r="O3803" s="352"/>
      <c r="P3803" s="352"/>
      <c r="Q3803" s="352"/>
      <c r="R3803" s="352"/>
      <c r="S3803" s="352"/>
      <c r="T3803" s="352"/>
      <c r="U3803" s="352"/>
      <c r="V3803" s="352"/>
      <c r="W3803" s="352"/>
      <c r="X3803" s="352"/>
      <c r="Y3803" s="352"/>
      <c r="Z3803" s="352"/>
      <c r="AA3803" s="352"/>
      <c r="AB3803" s="352"/>
      <c r="AC3803" s="352"/>
      <c r="AD3803" s="352"/>
      <c r="AE3803" s="352"/>
      <c r="AF3803" s="352"/>
      <c r="AG3803" s="352"/>
      <c r="AH3803" s="352"/>
      <c r="AI3803" s="352"/>
      <c r="AJ3803" s="352"/>
    </row>
    <row r="3804" spans="2:36" x14ac:dyDescent="0.2">
      <c r="B3804" s="352"/>
      <c r="C3804" s="352"/>
      <c r="D3804" s="352"/>
      <c r="E3804" s="352"/>
      <c r="F3804" s="352"/>
      <c r="H3804" s="352"/>
      <c r="J3804" s="352"/>
      <c r="L3804" s="352"/>
      <c r="M3804" s="352"/>
      <c r="N3804" s="352"/>
      <c r="O3804" s="352"/>
      <c r="P3804" s="352"/>
      <c r="Q3804" s="352"/>
      <c r="R3804" s="352"/>
      <c r="S3804" s="352"/>
      <c r="T3804" s="352"/>
      <c r="U3804" s="352"/>
      <c r="V3804" s="352"/>
      <c r="W3804" s="352"/>
      <c r="X3804" s="352"/>
      <c r="Y3804" s="352"/>
      <c r="Z3804" s="352"/>
      <c r="AA3804" s="352"/>
      <c r="AB3804" s="352"/>
      <c r="AC3804" s="352"/>
      <c r="AD3804" s="352"/>
      <c r="AE3804" s="352"/>
      <c r="AF3804" s="352"/>
      <c r="AG3804" s="352"/>
      <c r="AH3804" s="352"/>
      <c r="AI3804" s="352"/>
      <c r="AJ3804" s="352"/>
    </row>
    <row r="3805" spans="2:36" x14ac:dyDescent="0.2">
      <c r="B3805" s="352"/>
      <c r="C3805" s="352"/>
      <c r="D3805" s="352"/>
      <c r="E3805" s="352"/>
      <c r="F3805" s="352"/>
      <c r="H3805" s="352"/>
      <c r="J3805" s="352"/>
      <c r="L3805" s="352"/>
      <c r="M3805" s="352"/>
      <c r="N3805" s="352"/>
      <c r="O3805" s="352"/>
      <c r="P3805" s="352"/>
      <c r="Q3805" s="352"/>
      <c r="R3805" s="352"/>
      <c r="S3805" s="352"/>
      <c r="T3805" s="352"/>
      <c r="U3805" s="352"/>
      <c r="V3805" s="352"/>
      <c r="W3805" s="352"/>
      <c r="X3805" s="352"/>
      <c r="Y3805" s="352"/>
      <c r="Z3805" s="352"/>
      <c r="AA3805" s="352"/>
      <c r="AB3805" s="352"/>
      <c r="AC3805" s="352"/>
      <c r="AD3805" s="352"/>
      <c r="AE3805" s="352"/>
      <c r="AF3805" s="352"/>
      <c r="AG3805" s="352"/>
      <c r="AH3805" s="352"/>
      <c r="AI3805" s="352"/>
      <c r="AJ3805" s="352"/>
    </row>
    <row r="3806" spans="2:36" x14ac:dyDescent="0.2">
      <c r="B3806" s="352"/>
      <c r="C3806" s="352"/>
      <c r="D3806" s="352"/>
      <c r="E3806" s="352"/>
      <c r="F3806" s="352"/>
      <c r="H3806" s="352"/>
      <c r="J3806" s="352"/>
      <c r="L3806" s="352"/>
      <c r="M3806" s="352"/>
      <c r="N3806" s="352"/>
      <c r="O3806" s="352"/>
      <c r="P3806" s="352"/>
      <c r="Q3806" s="352"/>
      <c r="R3806" s="352"/>
      <c r="S3806" s="352"/>
      <c r="T3806" s="352"/>
      <c r="U3806" s="352"/>
      <c r="V3806" s="352"/>
      <c r="W3806" s="352"/>
      <c r="X3806" s="352"/>
      <c r="Y3806" s="352"/>
      <c r="Z3806" s="352"/>
      <c r="AA3806" s="352"/>
      <c r="AB3806" s="352"/>
      <c r="AC3806" s="352"/>
      <c r="AD3806" s="352"/>
      <c r="AE3806" s="352"/>
      <c r="AF3806" s="352"/>
      <c r="AG3806" s="352"/>
      <c r="AH3806" s="352"/>
      <c r="AI3806" s="352"/>
      <c r="AJ3806" s="352"/>
    </row>
    <row r="3807" spans="2:36" x14ac:dyDescent="0.2">
      <c r="B3807" s="352"/>
      <c r="C3807" s="352"/>
      <c r="D3807" s="352"/>
      <c r="E3807" s="352"/>
      <c r="F3807" s="352"/>
      <c r="H3807" s="352"/>
      <c r="J3807" s="352"/>
      <c r="L3807" s="352"/>
      <c r="M3807" s="352"/>
      <c r="N3807" s="352"/>
      <c r="O3807" s="352"/>
      <c r="P3807" s="352"/>
      <c r="Q3807" s="352"/>
      <c r="R3807" s="352"/>
      <c r="S3807" s="352"/>
      <c r="T3807" s="352"/>
      <c r="U3807" s="352"/>
      <c r="V3807" s="352"/>
      <c r="W3807" s="352"/>
      <c r="X3807" s="352"/>
      <c r="Y3807" s="352"/>
      <c r="Z3807" s="352"/>
      <c r="AA3807" s="352"/>
      <c r="AB3807" s="352"/>
      <c r="AC3807" s="352"/>
      <c r="AD3807" s="352"/>
      <c r="AE3807" s="352"/>
      <c r="AF3807" s="352"/>
      <c r="AG3807" s="352"/>
      <c r="AH3807" s="352"/>
      <c r="AI3807" s="352"/>
      <c r="AJ3807" s="352"/>
    </row>
    <row r="3808" spans="2:36" x14ac:dyDescent="0.2">
      <c r="B3808" s="352"/>
      <c r="C3808" s="352"/>
      <c r="D3808" s="352"/>
      <c r="E3808" s="352"/>
      <c r="F3808" s="352"/>
      <c r="H3808" s="352"/>
      <c r="J3808" s="352"/>
      <c r="L3808" s="352"/>
      <c r="M3808" s="352"/>
      <c r="N3808" s="352"/>
      <c r="O3808" s="352"/>
      <c r="P3808" s="352"/>
      <c r="Q3808" s="352"/>
      <c r="R3808" s="352"/>
      <c r="S3808" s="352"/>
      <c r="T3808" s="352"/>
      <c r="U3808" s="352"/>
      <c r="V3808" s="352"/>
      <c r="W3808" s="352"/>
      <c r="X3808" s="352"/>
      <c r="Y3808" s="352"/>
      <c r="Z3808" s="352"/>
      <c r="AA3808" s="352"/>
      <c r="AB3808" s="352"/>
      <c r="AC3808" s="352"/>
      <c r="AD3808" s="352"/>
      <c r="AE3808" s="352"/>
      <c r="AF3808" s="352"/>
      <c r="AG3808" s="352"/>
      <c r="AH3808" s="352"/>
      <c r="AI3808" s="352"/>
      <c r="AJ3808" s="352"/>
    </row>
    <row r="3809" spans="2:36" x14ac:dyDescent="0.2">
      <c r="B3809" s="352"/>
      <c r="C3809" s="352"/>
      <c r="D3809" s="352"/>
      <c r="E3809" s="352"/>
      <c r="F3809" s="352"/>
      <c r="H3809" s="352"/>
      <c r="J3809" s="352"/>
      <c r="L3809" s="352"/>
      <c r="M3809" s="352"/>
      <c r="N3809" s="352"/>
      <c r="O3809" s="352"/>
      <c r="P3809" s="352"/>
      <c r="Q3809" s="352"/>
      <c r="R3809" s="352"/>
      <c r="S3809" s="352"/>
      <c r="T3809" s="352"/>
      <c r="U3809" s="352"/>
      <c r="V3809" s="352"/>
      <c r="W3809" s="352"/>
      <c r="X3809" s="352"/>
      <c r="Y3809" s="352"/>
      <c r="Z3809" s="352"/>
      <c r="AA3809" s="352"/>
      <c r="AB3809" s="352"/>
      <c r="AC3809" s="352"/>
      <c r="AD3809" s="352"/>
      <c r="AE3809" s="352"/>
      <c r="AF3809" s="352"/>
      <c r="AG3809" s="352"/>
      <c r="AH3809" s="352"/>
      <c r="AI3809" s="352"/>
      <c r="AJ3809" s="352"/>
    </row>
    <row r="3810" spans="2:36" x14ac:dyDescent="0.2">
      <c r="B3810" s="352"/>
      <c r="C3810" s="352"/>
      <c r="D3810" s="352"/>
      <c r="E3810" s="352"/>
      <c r="F3810" s="352"/>
      <c r="H3810" s="352"/>
      <c r="J3810" s="352"/>
      <c r="L3810" s="352"/>
      <c r="M3810" s="352"/>
      <c r="N3810" s="352"/>
      <c r="O3810" s="352"/>
      <c r="P3810" s="352"/>
      <c r="Q3810" s="352"/>
      <c r="R3810" s="352"/>
      <c r="S3810" s="352"/>
      <c r="T3810" s="352"/>
      <c r="U3810" s="352"/>
      <c r="V3810" s="352"/>
      <c r="W3810" s="352"/>
      <c r="X3810" s="352"/>
      <c r="Y3810" s="352"/>
      <c r="Z3810" s="352"/>
      <c r="AA3810" s="352"/>
      <c r="AB3810" s="352"/>
      <c r="AC3810" s="352"/>
      <c r="AD3810" s="352"/>
      <c r="AE3810" s="352"/>
      <c r="AF3810" s="352"/>
      <c r="AG3810" s="352"/>
      <c r="AH3810" s="352"/>
      <c r="AI3810" s="352"/>
      <c r="AJ3810" s="352"/>
    </row>
    <row r="3811" spans="2:36" x14ac:dyDescent="0.2">
      <c r="B3811" s="352"/>
      <c r="C3811" s="352"/>
      <c r="D3811" s="352"/>
      <c r="E3811" s="352"/>
      <c r="F3811" s="352"/>
      <c r="H3811" s="352"/>
      <c r="J3811" s="352"/>
      <c r="L3811" s="352"/>
      <c r="M3811" s="352"/>
      <c r="N3811" s="352"/>
      <c r="O3811" s="352"/>
      <c r="P3811" s="352"/>
      <c r="Q3811" s="352"/>
      <c r="R3811" s="352"/>
      <c r="S3811" s="352"/>
      <c r="T3811" s="352"/>
      <c r="U3811" s="352"/>
      <c r="V3811" s="352"/>
      <c r="W3811" s="352"/>
      <c r="X3811" s="352"/>
      <c r="Y3811" s="352"/>
      <c r="Z3811" s="352"/>
      <c r="AA3811" s="352"/>
      <c r="AB3811" s="352"/>
      <c r="AC3811" s="352"/>
      <c r="AD3811" s="352"/>
      <c r="AE3811" s="352"/>
      <c r="AF3811" s="352"/>
      <c r="AG3811" s="352"/>
      <c r="AH3811" s="352"/>
      <c r="AI3811" s="352"/>
      <c r="AJ3811" s="352"/>
    </row>
    <row r="3812" spans="2:36" x14ac:dyDescent="0.2">
      <c r="B3812" s="352"/>
      <c r="C3812" s="352"/>
      <c r="D3812" s="352"/>
      <c r="E3812" s="352"/>
      <c r="F3812" s="352"/>
      <c r="H3812" s="352"/>
      <c r="J3812" s="352"/>
      <c r="L3812" s="352"/>
      <c r="M3812" s="352"/>
      <c r="N3812" s="352"/>
      <c r="O3812" s="352"/>
      <c r="P3812" s="352"/>
      <c r="Q3812" s="352"/>
      <c r="R3812" s="352"/>
      <c r="S3812" s="352"/>
      <c r="T3812" s="352"/>
      <c r="U3812" s="352"/>
      <c r="V3812" s="352"/>
      <c r="W3812" s="352"/>
      <c r="X3812" s="352"/>
      <c r="Y3812" s="352"/>
      <c r="Z3812" s="352"/>
      <c r="AA3812" s="352"/>
      <c r="AB3812" s="352"/>
      <c r="AC3812" s="352"/>
      <c r="AD3812" s="352"/>
      <c r="AE3812" s="352"/>
      <c r="AF3812" s="352"/>
      <c r="AG3812" s="352"/>
      <c r="AH3812" s="352"/>
      <c r="AI3812" s="352"/>
      <c r="AJ3812" s="352"/>
    </row>
    <row r="3813" spans="2:36" x14ac:dyDescent="0.2">
      <c r="B3813" s="352"/>
      <c r="C3813" s="352"/>
      <c r="D3813" s="352"/>
      <c r="E3813" s="352"/>
      <c r="F3813" s="352"/>
      <c r="H3813" s="352"/>
      <c r="J3813" s="352"/>
      <c r="L3813" s="352"/>
      <c r="M3813" s="352"/>
      <c r="N3813" s="352"/>
      <c r="O3813" s="352"/>
      <c r="P3813" s="352"/>
      <c r="Q3813" s="352"/>
      <c r="R3813" s="352"/>
      <c r="S3813" s="352"/>
      <c r="T3813" s="352"/>
      <c r="U3813" s="352"/>
      <c r="V3813" s="352"/>
      <c r="W3813" s="352"/>
      <c r="X3813" s="352"/>
      <c r="Y3813" s="352"/>
      <c r="Z3813" s="352"/>
      <c r="AA3813" s="352"/>
      <c r="AB3813" s="352"/>
      <c r="AC3813" s="352"/>
      <c r="AD3813" s="352"/>
      <c r="AE3813" s="352"/>
      <c r="AF3813" s="352"/>
      <c r="AG3813" s="352"/>
      <c r="AH3813" s="352"/>
      <c r="AI3813" s="352"/>
      <c r="AJ3813" s="352"/>
    </row>
    <row r="3814" spans="2:36" x14ac:dyDescent="0.2">
      <c r="B3814" s="352"/>
      <c r="C3814" s="352"/>
      <c r="D3814" s="352"/>
      <c r="E3814" s="352"/>
      <c r="F3814" s="352"/>
      <c r="H3814" s="352"/>
      <c r="J3814" s="352"/>
      <c r="L3814" s="352"/>
      <c r="M3814" s="352"/>
      <c r="N3814" s="352"/>
      <c r="O3814" s="352"/>
      <c r="P3814" s="352"/>
      <c r="Q3814" s="352"/>
      <c r="R3814" s="352"/>
      <c r="S3814" s="352"/>
      <c r="T3814" s="352"/>
      <c r="U3814" s="352"/>
      <c r="V3814" s="352"/>
      <c r="W3814" s="352"/>
      <c r="X3814" s="352"/>
      <c r="Y3814" s="352"/>
      <c r="Z3814" s="352"/>
      <c r="AA3814" s="352"/>
      <c r="AB3814" s="352"/>
      <c r="AC3814" s="352"/>
      <c r="AD3814" s="352"/>
      <c r="AE3814" s="352"/>
      <c r="AF3814" s="352"/>
      <c r="AG3814" s="352"/>
      <c r="AH3814" s="352"/>
      <c r="AI3814" s="352"/>
      <c r="AJ3814" s="352"/>
    </row>
    <row r="3815" spans="2:36" x14ac:dyDescent="0.2">
      <c r="B3815" s="352"/>
      <c r="C3815" s="352"/>
      <c r="D3815" s="352"/>
      <c r="E3815" s="352"/>
      <c r="F3815" s="352"/>
      <c r="H3815" s="352"/>
      <c r="J3815" s="352"/>
      <c r="L3815" s="352"/>
      <c r="M3815" s="352"/>
      <c r="N3815" s="352"/>
      <c r="O3815" s="352"/>
      <c r="P3815" s="352"/>
      <c r="Q3815" s="352"/>
      <c r="R3815" s="352"/>
      <c r="S3815" s="352"/>
      <c r="T3815" s="352"/>
      <c r="U3815" s="352"/>
      <c r="V3815" s="352"/>
      <c r="W3815" s="352"/>
      <c r="X3815" s="352"/>
      <c r="Y3815" s="352"/>
      <c r="Z3815" s="352"/>
      <c r="AA3815" s="352"/>
      <c r="AB3815" s="352"/>
      <c r="AC3815" s="352"/>
      <c r="AD3815" s="352"/>
      <c r="AE3815" s="352"/>
      <c r="AF3815" s="352"/>
      <c r="AG3815" s="352"/>
      <c r="AH3815" s="352"/>
      <c r="AI3815" s="352"/>
      <c r="AJ3815" s="352"/>
    </row>
    <row r="3816" spans="2:36" x14ac:dyDescent="0.2">
      <c r="B3816" s="352"/>
      <c r="C3816" s="352"/>
      <c r="D3816" s="352"/>
      <c r="E3816" s="352"/>
      <c r="F3816" s="352"/>
      <c r="H3816" s="352"/>
      <c r="J3816" s="352"/>
      <c r="L3816" s="352"/>
      <c r="M3816" s="352"/>
      <c r="N3816" s="352"/>
      <c r="O3816" s="352"/>
      <c r="P3816" s="352"/>
      <c r="Q3816" s="352"/>
      <c r="R3816" s="352"/>
      <c r="S3816" s="352"/>
      <c r="T3816" s="352"/>
      <c r="U3816" s="352"/>
      <c r="V3816" s="352"/>
      <c r="W3816" s="352"/>
      <c r="X3816" s="352"/>
      <c r="Y3816" s="352"/>
      <c r="Z3816" s="352"/>
      <c r="AA3816" s="352"/>
      <c r="AB3816" s="352"/>
      <c r="AC3816" s="352"/>
      <c r="AD3816" s="352"/>
      <c r="AE3816" s="352"/>
      <c r="AF3816" s="352"/>
      <c r="AG3816" s="352"/>
      <c r="AH3816" s="352"/>
      <c r="AI3816" s="352"/>
      <c r="AJ3816" s="352"/>
    </row>
    <row r="3817" spans="2:36" x14ac:dyDescent="0.2">
      <c r="B3817" s="352"/>
      <c r="C3817" s="352"/>
      <c r="D3817" s="352"/>
      <c r="E3817" s="352"/>
      <c r="F3817" s="352"/>
      <c r="H3817" s="352"/>
      <c r="J3817" s="352"/>
      <c r="L3817" s="352"/>
      <c r="M3817" s="352"/>
      <c r="N3817" s="352"/>
      <c r="O3817" s="352"/>
      <c r="P3817" s="352"/>
      <c r="Q3817" s="352"/>
      <c r="R3817" s="352"/>
      <c r="S3817" s="352"/>
      <c r="T3817" s="352"/>
      <c r="U3817" s="352"/>
      <c r="V3817" s="352"/>
      <c r="W3817" s="352"/>
      <c r="X3817" s="352"/>
      <c r="Y3817" s="352"/>
      <c r="Z3817" s="352"/>
      <c r="AA3817" s="352"/>
      <c r="AB3817" s="352"/>
      <c r="AC3817" s="352"/>
      <c r="AD3817" s="352"/>
      <c r="AE3817" s="352"/>
      <c r="AF3817" s="352"/>
      <c r="AG3817" s="352"/>
      <c r="AH3817" s="352"/>
      <c r="AI3817" s="352"/>
      <c r="AJ3817" s="352"/>
    </row>
    <row r="3818" spans="2:36" x14ac:dyDescent="0.2">
      <c r="B3818" s="352"/>
      <c r="C3818" s="352"/>
      <c r="D3818" s="352"/>
      <c r="E3818" s="352"/>
      <c r="F3818" s="352"/>
      <c r="H3818" s="352"/>
      <c r="J3818" s="352"/>
      <c r="L3818" s="352"/>
      <c r="M3818" s="352"/>
      <c r="N3818" s="352"/>
      <c r="O3818" s="352"/>
      <c r="P3818" s="352"/>
      <c r="Q3818" s="352"/>
      <c r="R3818" s="352"/>
      <c r="S3818" s="352"/>
      <c r="T3818" s="352"/>
      <c r="U3818" s="352"/>
      <c r="V3818" s="352"/>
      <c r="W3818" s="352"/>
      <c r="X3818" s="352"/>
      <c r="Y3818" s="352"/>
      <c r="Z3818" s="352"/>
      <c r="AA3818" s="352"/>
      <c r="AB3818" s="352"/>
      <c r="AC3818" s="352"/>
      <c r="AD3818" s="352"/>
      <c r="AE3818" s="352"/>
      <c r="AF3818" s="352"/>
      <c r="AG3818" s="352"/>
      <c r="AH3818" s="352"/>
      <c r="AI3818" s="352"/>
      <c r="AJ3818" s="352"/>
    </row>
    <row r="3819" spans="2:36" x14ac:dyDescent="0.2">
      <c r="B3819" s="352"/>
      <c r="C3819" s="352"/>
      <c r="D3819" s="352"/>
      <c r="E3819" s="352"/>
      <c r="F3819" s="352"/>
      <c r="H3819" s="352"/>
      <c r="J3819" s="352"/>
      <c r="L3819" s="352"/>
      <c r="M3819" s="352"/>
      <c r="N3819" s="352"/>
      <c r="O3819" s="352"/>
      <c r="P3819" s="352"/>
      <c r="Q3819" s="352"/>
      <c r="R3819" s="352"/>
      <c r="S3819" s="352"/>
      <c r="T3819" s="352"/>
      <c r="U3819" s="352"/>
      <c r="V3819" s="352"/>
      <c r="W3819" s="352"/>
      <c r="X3819" s="352"/>
      <c r="Y3819" s="352"/>
      <c r="Z3819" s="352"/>
      <c r="AA3819" s="352"/>
      <c r="AB3819" s="352"/>
      <c r="AC3819" s="352"/>
      <c r="AD3819" s="352"/>
      <c r="AE3819" s="352"/>
      <c r="AF3819" s="352"/>
      <c r="AG3819" s="352"/>
      <c r="AH3819" s="352"/>
      <c r="AI3819" s="352"/>
      <c r="AJ3819" s="352"/>
    </row>
    <row r="3820" spans="2:36" x14ac:dyDescent="0.2">
      <c r="B3820" s="352"/>
      <c r="C3820" s="352"/>
      <c r="D3820" s="352"/>
      <c r="E3820" s="352"/>
      <c r="F3820" s="352"/>
      <c r="H3820" s="352"/>
      <c r="J3820" s="352"/>
      <c r="L3820" s="352"/>
      <c r="M3820" s="352"/>
      <c r="N3820" s="352"/>
      <c r="O3820" s="352"/>
      <c r="P3820" s="352"/>
      <c r="Q3820" s="352"/>
      <c r="R3820" s="352"/>
      <c r="S3820" s="352"/>
      <c r="T3820" s="352"/>
      <c r="U3820" s="352"/>
      <c r="V3820" s="352"/>
      <c r="W3820" s="352"/>
      <c r="X3820" s="352"/>
      <c r="Y3820" s="352"/>
      <c r="Z3820" s="352"/>
      <c r="AA3820" s="352"/>
      <c r="AB3820" s="352"/>
      <c r="AC3820" s="352"/>
      <c r="AD3820" s="352"/>
      <c r="AE3820" s="352"/>
      <c r="AF3820" s="352"/>
      <c r="AG3820" s="352"/>
      <c r="AH3820" s="352"/>
      <c r="AI3820" s="352"/>
      <c r="AJ3820" s="352"/>
    </row>
    <row r="3821" spans="2:36" x14ac:dyDescent="0.2">
      <c r="B3821" s="352"/>
      <c r="C3821" s="352"/>
      <c r="D3821" s="352"/>
      <c r="E3821" s="352"/>
      <c r="F3821" s="352"/>
      <c r="H3821" s="352"/>
      <c r="J3821" s="352"/>
      <c r="L3821" s="352"/>
      <c r="M3821" s="352"/>
      <c r="N3821" s="352"/>
      <c r="O3821" s="352"/>
      <c r="P3821" s="352"/>
      <c r="Q3821" s="352"/>
      <c r="R3821" s="352"/>
      <c r="S3821" s="352"/>
      <c r="T3821" s="352"/>
      <c r="U3821" s="352"/>
      <c r="V3821" s="352"/>
      <c r="W3821" s="352"/>
      <c r="X3821" s="352"/>
      <c r="Y3821" s="352"/>
      <c r="Z3821" s="352"/>
      <c r="AA3821" s="352"/>
      <c r="AB3821" s="352"/>
      <c r="AC3821" s="352"/>
      <c r="AD3821" s="352"/>
      <c r="AE3821" s="352"/>
      <c r="AF3821" s="352"/>
      <c r="AG3821" s="352"/>
      <c r="AH3821" s="352"/>
      <c r="AI3821" s="352"/>
      <c r="AJ3821" s="352"/>
    </row>
    <row r="3822" spans="2:36" x14ac:dyDescent="0.2">
      <c r="B3822" s="352"/>
      <c r="C3822" s="352"/>
      <c r="D3822" s="352"/>
      <c r="E3822" s="352"/>
      <c r="F3822" s="352"/>
      <c r="H3822" s="352"/>
      <c r="J3822" s="352"/>
      <c r="L3822" s="352"/>
      <c r="M3822" s="352"/>
      <c r="N3822" s="352"/>
      <c r="O3822" s="352"/>
      <c r="P3822" s="352"/>
      <c r="Q3822" s="352"/>
      <c r="R3822" s="352"/>
      <c r="S3822" s="352"/>
      <c r="T3822" s="352"/>
      <c r="U3822" s="352"/>
      <c r="V3822" s="352"/>
      <c r="W3822" s="352"/>
      <c r="X3822" s="352"/>
      <c r="Y3822" s="352"/>
      <c r="Z3822" s="352"/>
      <c r="AA3822" s="352"/>
      <c r="AB3822" s="352"/>
      <c r="AC3822" s="352"/>
      <c r="AD3822" s="352"/>
      <c r="AE3822" s="352"/>
      <c r="AF3822" s="352"/>
      <c r="AG3822" s="352"/>
      <c r="AH3822" s="352"/>
      <c r="AI3822" s="352"/>
      <c r="AJ3822" s="352"/>
    </row>
    <row r="3823" spans="2:36" x14ac:dyDescent="0.2">
      <c r="B3823" s="352"/>
      <c r="C3823" s="352"/>
      <c r="D3823" s="352"/>
      <c r="E3823" s="352"/>
      <c r="F3823" s="352"/>
      <c r="H3823" s="352"/>
      <c r="J3823" s="352"/>
      <c r="L3823" s="352"/>
      <c r="M3823" s="352"/>
      <c r="N3823" s="352"/>
      <c r="O3823" s="352"/>
      <c r="P3823" s="352"/>
      <c r="Q3823" s="352"/>
      <c r="R3823" s="352"/>
      <c r="S3823" s="352"/>
      <c r="T3823" s="352"/>
      <c r="U3823" s="352"/>
      <c r="V3823" s="352"/>
      <c r="W3823" s="352"/>
      <c r="X3823" s="352"/>
      <c r="Y3823" s="352"/>
      <c r="Z3823" s="352"/>
      <c r="AA3823" s="352"/>
      <c r="AB3823" s="352"/>
      <c r="AC3823" s="352"/>
      <c r="AD3823" s="352"/>
      <c r="AE3823" s="352"/>
      <c r="AF3823" s="352"/>
      <c r="AG3823" s="352"/>
      <c r="AH3823" s="352"/>
      <c r="AI3823" s="352"/>
      <c r="AJ3823" s="352"/>
    </row>
    <row r="3824" spans="2:36" x14ac:dyDescent="0.2">
      <c r="B3824" s="352"/>
      <c r="C3824" s="352"/>
      <c r="D3824" s="352"/>
      <c r="E3824" s="352"/>
      <c r="F3824" s="352"/>
      <c r="H3824" s="352"/>
      <c r="J3824" s="352"/>
      <c r="L3824" s="352"/>
      <c r="M3824" s="352"/>
      <c r="N3824" s="352"/>
      <c r="O3824" s="352"/>
      <c r="P3824" s="352"/>
      <c r="Q3824" s="352"/>
      <c r="R3824" s="352"/>
      <c r="S3824" s="352"/>
      <c r="T3824" s="352"/>
      <c r="U3824" s="352"/>
      <c r="V3824" s="352"/>
      <c r="W3824" s="352"/>
      <c r="X3824" s="352"/>
      <c r="Y3824" s="352"/>
      <c r="Z3824" s="352"/>
      <c r="AA3824" s="352"/>
      <c r="AB3824" s="352"/>
      <c r="AC3824" s="352"/>
      <c r="AD3824" s="352"/>
      <c r="AE3824" s="352"/>
      <c r="AF3824" s="352"/>
      <c r="AG3824" s="352"/>
      <c r="AH3824" s="352"/>
      <c r="AI3824" s="352"/>
      <c r="AJ3824" s="352"/>
    </row>
    <row r="3825" spans="2:36" x14ac:dyDescent="0.2">
      <c r="B3825" s="352"/>
      <c r="C3825" s="352"/>
      <c r="D3825" s="352"/>
      <c r="E3825" s="352"/>
      <c r="F3825" s="352"/>
      <c r="H3825" s="352"/>
      <c r="J3825" s="352"/>
      <c r="L3825" s="352"/>
      <c r="M3825" s="352"/>
      <c r="N3825" s="352"/>
      <c r="O3825" s="352"/>
      <c r="P3825" s="352"/>
      <c r="Q3825" s="352"/>
      <c r="R3825" s="352"/>
      <c r="S3825" s="352"/>
      <c r="T3825" s="352"/>
      <c r="U3825" s="352"/>
      <c r="V3825" s="352"/>
      <c r="W3825" s="352"/>
      <c r="X3825" s="352"/>
      <c r="Y3825" s="352"/>
      <c r="Z3825" s="352"/>
      <c r="AA3825" s="352"/>
      <c r="AB3825" s="352"/>
      <c r="AC3825" s="352"/>
      <c r="AD3825" s="352"/>
      <c r="AE3825" s="352"/>
      <c r="AF3825" s="352"/>
      <c r="AG3825" s="352"/>
      <c r="AH3825" s="352"/>
      <c r="AI3825" s="352"/>
      <c r="AJ3825" s="352"/>
    </row>
    <row r="3826" spans="2:36" x14ac:dyDescent="0.2">
      <c r="B3826" s="352"/>
      <c r="C3826" s="352"/>
      <c r="D3826" s="352"/>
      <c r="E3826" s="352"/>
      <c r="F3826" s="352"/>
      <c r="H3826" s="352"/>
      <c r="J3826" s="352"/>
      <c r="L3826" s="352"/>
      <c r="M3826" s="352"/>
      <c r="N3826" s="352"/>
      <c r="O3826" s="352"/>
      <c r="P3826" s="352"/>
      <c r="Q3826" s="352"/>
      <c r="R3826" s="352"/>
      <c r="S3826" s="352"/>
      <c r="T3826" s="352"/>
      <c r="U3826" s="352"/>
      <c r="V3826" s="352"/>
      <c r="W3826" s="352"/>
      <c r="X3826" s="352"/>
      <c r="Y3826" s="352"/>
      <c r="Z3826" s="352"/>
      <c r="AA3826" s="352"/>
      <c r="AB3826" s="352"/>
      <c r="AC3826" s="352"/>
      <c r="AD3826" s="352"/>
      <c r="AE3826" s="352"/>
      <c r="AF3826" s="352"/>
      <c r="AG3826" s="352"/>
      <c r="AH3826" s="352"/>
      <c r="AI3826" s="352"/>
      <c r="AJ3826" s="352"/>
    </row>
    <row r="3827" spans="2:36" x14ac:dyDescent="0.2">
      <c r="B3827" s="352"/>
      <c r="C3827" s="352"/>
      <c r="D3827" s="352"/>
      <c r="E3827" s="352"/>
      <c r="F3827" s="352"/>
      <c r="H3827" s="352"/>
      <c r="J3827" s="352"/>
      <c r="L3827" s="352"/>
      <c r="M3827" s="352"/>
      <c r="N3827" s="352"/>
      <c r="O3827" s="352"/>
      <c r="P3827" s="352"/>
      <c r="Q3827" s="352"/>
      <c r="R3827" s="352"/>
      <c r="S3827" s="352"/>
      <c r="T3827" s="352"/>
      <c r="U3827" s="352"/>
      <c r="V3827" s="352"/>
      <c r="W3827" s="352"/>
      <c r="X3827" s="352"/>
      <c r="Y3827" s="352"/>
      <c r="Z3827" s="352"/>
      <c r="AA3827" s="352"/>
      <c r="AB3827" s="352"/>
      <c r="AC3827" s="352"/>
      <c r="AD3827" s="352"/>
      <c r="AE3827" s="352"/>
      <c r="AF3827" s="352"/>
      <c r="AG3827" s="352"/>
      <c r="AH3827" s="352"/>
      <c r="AI3827" s="352"/>
      <c r="AJ3827" s="352"/>
    </row>
    <row r="3828" spans="2:36" x14ac:dyDescent="0.2">
      <c r="B3828" s="352"/>
      <c r="C3828" s="352"/>
      <c r="D3828" s="352"/>
      <c r="E3828" s="352"/>
      <c r="F3828" s="352"/>
      <c r="H3828" s="352"/>
      <c r="J3828" s="352"/>
      <c r="L3828" s="352"/>
      <c r="M3828" s="352"/>
      <c r="N3828" s="352"/>
      <c r="O3828" s="352"/>
      <c r="P3828" s="352"/>
      <c r="Q3828" s="352"/>
      <c r="R3828" s="352"/>
      <c r="S3828" s="352"/>
      <c r="T3828" s="352"/>
      <c r="U3828" s="352"/>
      <c r="V3828" s="352"/>
      <c r="W3828" s="352"/>
      <c r="X3828" s="352"/>
      <c r="Y3828" s="352"/>
      <c r="Z3828" s="352"/>
      <c r="AA3828" s="352"/>
      <c r="AB3828" s="352"/>
      <c r="AC3828" s="352"/>
      <c r="AD3828" s="352"/>
      <c r="AE3828" s="352"/>
      <c r="AF3828" s="352"/>
      <c r="AG3828" s="352"/>
      <c r="AH3828" s="352"/>
      <c r="AI3828" s="352"/>
      <c r="AJ3828" s="352"/>
    </row>
    <row r="3829" spans="2:36" x14ac:dyDescent="0.2">
      <c r="B3829" s="352"/>
      <c r="C3829" s="352"/>
      <c r="D3829" s="352"/>
      <c r="E3829" s="352"/>
      <c r="F3829" s="352"/>
      <c r="H3829" s="352"/>
      <c r="J3829" s="352"/>
      <c r="L3829" s="352"/>
      <c r="M3829" s="352"/>
      <c r="N3829" s="352"/>
      <c r="O3829" s="352"/>
      <c r="P3829" s="352"/>
      <c r="Q3829" s="352"/>
      <c r="R3829" s="352"/>
      <c r="S3829" s="352"/>
      <c r="T3829" s="352"/>
      <c r="U3829" s="352"/>
      <c r="V3829" s="352"/>
      <c r="W3829" s="352"/>
      <c r="X3829" s="352"/>
      <c r="Y3829" s="352"/>
      <c r="Z3829" s="352"/>
      <c r="AA3829" s="352"/>
      <c r="AB3829" s="352"/>
      <c r="AC3829" s="352"/>
      <c r="AD3829" s="352"/>
      <c r="AE3829" s="352"/>
      <c r="AF3829" s="352"/>
      <c r="AG3829" s="352"/>
      <c r="AH3829" s="352"/>
      <c r="AI3829" s="352"/>
      <c r="AJ3829" s="352"/>
    </row>
    <row r="3830" spans="2:36" x14ac:dyDescent="0.2">
      <c r="B3830" s="352"/>
      <c r="C3830" s="352"/>
      <c r="D3830" s="352"/>
      <c r="E3830" s="352"/>
      <c r="F3830" s="352"/>
      <c r="H3830" s="352"/>
      <c r="J3830" s="352"/>
      <c r="L3830" s="352"/>
      <c r="M3830" s="352"/>
      <c r="N3830" s="352"/>
      <c r="O3830" s="352"/>
      <c r="P3830" s="352"/>
      <c r="Q3830" s="352"/>
      <c r="R3830" s="352"/>
      <c r="S3830" s="352"/>
      <c r="T3830" s="352"/>
      <c r="U3830" s="352"/>
      <c r="V3830" s="352"/>
      <c r="W3830" s="352"/>
      <c r="X3830" s="352"/>
      <c r="Y3830" s="352"/>
      <c r="Z3830" s="352"/>
      <c r="AA3830" s="352"/>
      <c r="AB3830" s="352"/>
      <c r="AC3830" s="352"/>
      <c r="AD3830" s="352"/>
      <c r="AE3830" s="352"/>
      <c r="AF3830" s="352"/>
      <c r="AG3830" s="352"/>
      <c r="AH3830" s="352"/>
      <c r="AI3830" s="352"/>
      <c r="AJ3830" s="352"/>
    </row>
    <row r="3831" spans="2:36" x14ac:dyDescent="0.2">
      <c r="B3831" s="352"/>
      <c r="C3831" s="352"/>
      <c r="D3831" s="352"/>
      <c r="E3831" s="352"/>
      <c r="F3831" s="352"/>
      <c r="H3831" s="352"/>
      <c r="J3831" s="352"/>
      <c r="L3831" s="352"/>
      <c r="M3831" s="352"/>
      <c r="N3831" s="352"/>
      <c r="O3831" s="352"/>
      <c r="P3831" s="352"/>
      <c r="Q3831" s="352"/>
      <c r="R3831" s="352"/>
      <c r="S3831" s="352"/>
      <c r="T3831" s="352"/>
      <c r="U3831" s="352"/>
      <c r="V3831" s="352"/>
      <c r="W3831" s="352"/>
      <c r="X3831" s="352"/>
      <c r="Y3831" s="352"/>
      <c r="Z3831" s="352"/>
      <c r="AA3831" s="352"/>
      <c r="AB3831" s="352"/>
      <c r="AC3831" s="352"/>
      <c r="AD3831" s="352"/>
      <c r="AE3831" s="352"/>
      <c r="AF3831" s="352"/>
      <c r="AG3831" s="352"/>
      <c r="AH3831" s="352"/>
      <c r="AI3831" s="352"/>
      <c r="AJ3831" s="352"/>
    </row>
    <row r="3832" spans="2:36" x14ac:dyDescent="0.2">
      <c r="B3832" s="352"/>
      <c r="C3832" s="352"/>
      <c r="D3832" s="352"/>
      <c r="E3832" s="352"/>
      <c r="F3832" s="352"/>
      <c r="H3832" s="352"/>
      <c r="J3832" s="352"/>
      <c r="L3832" s="352"/>
      <c r="M3832" s="352"/>
      <c r="N3832" s="352"/>
      <c r="O3832" s="352"/>
      <c r="P3832" s="352"/>
      <c r="Q3832" s="352"/>
      <c r="R3832" s="352"/>
      <c r="S3832" s="352"/>
      <c r="T3832" s="352"/>
      <c r="U3832" s="352"/>
      <c r="V3832" s="352"/>
      <c r="W3832" s="352"/>
      <c r="X3832" s="352"/>
      <c r="Y3832" s="352"/>
      <c r="Z3832" s="352"/>
      <c r="AA3832" s="352"/>
      <c r="AB3832" s="352"/>
      <c r="AC3832" s="352"/>
      <c r="AD3832" s="352"/>
      <c r="AE3832" s="352"/>
      <c r="AF3832" s="352"/>
      <c r="AG3832" s="352"/>
      <c r="AH3832" s="352"/>
      <c r="AI3832" s="352"/>
      <c r="AJ3832" s="352"/>
    </row>
    <row r="3833" spans="2:36" x14ac:dyDescent="0.2">
      <c r="B3833" s="352"/>
      <c r="C3833" s="352"/>
      <c r="D3833" s="352"/>
      <c r="E3833" s="352"/>
      <c r="F3833" s="352"/>
      <c r="H3833" s="352"/>
      <c r="J3833" s="352"/>
      <c r="L3833" s="352"/>
      <c r="M3833" s="352"/>
      <c r="N3833" s="352"/>
      <c r="O3833" s="352"/>
      <c r="P3833" s="352"/>
      <c r="Q3833" s="352"/>
      <c r="R3833" s="352"/>
      <c r="S3833" s="352"/>
      <c r="T3833" s="352"/>
      <c r="U3833" s="352"/>
      <c r="V3833" s="352"/>
      <c r="W3833" s="352"/>
      <c r="X3833" s="352"/>
      <c r="Y3833" s="352"/>
      <c r="Z3833" s="352"/>
      <c r="AA3833" s="352"/>
      <c r="AB3833" s="352"/>
      <c r="AC3833" s="352"/>
      <c r="AD3833" s="352"/>
      <c r="AE3833" s="352"/>
      <c r="AF3833" s="352"/>
      <c r="AG3833" s="352"/>
      <c r="AH3833" s="352"/>
      <c r="AI3833" s="352"/>
      <c r="AJ3833" s="352"/>
    </row>
    <row r="3834" spans="2:36" x14ac:dyDescent="0.2">
      <c r="B3834" s="352"/>
      <c r="C3834" s="352"/>
      <c r="D3834" s="352"/>
      <c r="E3834" s="352"/>
      <c r="F3834" s="352"/>
      <c r="H3834" s="352"/>
      <c r="J3834" s="352"/>
      <c r="L3834" s="352"/>
      <c r="M3834" s="352"/>
      <c r="N3834" s="352"/>
      <c r="O3834" s="352"/>
      <c r="P3834" s="352"/>
      <c r="Q3834" s="352"/>
      <c r="R3834" s="352"/>
      <c r="S3834" s="352"/>
      <c r="T3834" s="352"/>
      <c r="U3834" s="352"/>
      <c r="V3834" s="352"/>
      <c r="W3834" s="352"/>
      <c r="X3834" s="352"/>
      <c r="Y3834" s="352"/>
      <c r="Z3834" s="352"/>
      <c r="AA3834" s="352"/>
      <c r="AB3834" s="352"/>
      <c r="AC3834" s="352"/>
      <c r="AD3834" s="352"/>
      <c r="AE3834" s="352"/>
      <c r="AF3834" s="352"/>
      <c r="AG3834" s="352"/>
      <c r="AH3834" s="352"/>
      <c r="AI3834" s="352"/>
      <c r="AJ3834" s="352"/>
    </row>
    <row r="3835" spans="2:36" x14ac:dyDescent="0.2">
      <c r="B3835" s="352"/>
      <c r="C3835" s="352"/>
      <c r="D3835" s="352"/>
      <c r="E3835" s="352"/>
      <c r="F3835" s="352"/>
      <c r="H3835" s="352"/>
      <c r="J3835" s="352"/>
      <c r="L3835" s="352"/>
      <c r="M3835" s="352"/>
      <c r="N3835" s="352"/>
      <c r="O3835" s="352"/>
      <c r="P3835" s="352"/>
      <c r="Q3835" s="352"/>
      <c r="R3835" s="352"/>
      <c r="S3835" s="352"/>
      <c r="T3835" s="352"/>
      <c r="U3835" s="352"/>
      <c r="V3835" s="352"/>
      <c r="W3835" s="352"/>
      <c r="X3835" s="352"/>
      <c r="Y3835" s="352"/>
      <c r="Z3835" s="352"/>
      <c r="AA3835" s="352"/>
      <c r="AB3835" s="352"/>
      <c r="AC3835" s="352"/>
      <c r="AD3835" s="352"/>
      <c r="AE3835" s="352"/>
      <c r="AF3835" s="352"/>
      <c r="AG3835" s="352"/>
      <c r="AH3835" s="352"/>
      <c r="AI3835" s="352"/>
      <c r="AJ3835" s="352"/>
    </row>
    <row r="3836" spans="2:36" x14ac:dyDescent="0.2">
      <c r="B3836" s="352"/>
      <c r="C3836" s="352"/>
      <c r="D3836" s="352"/>
      <c r="E3836" s="352"/>
      <c r="F3836" s="352"/>
      <c r="H3836" s="352"/>
      <c r="J3836" s="352"/>
      <c r="L3836" s="352"/>
      <c r="M3836" s="352"/>
      <c r="N3836" s="352"/>
      <c r="O3836" s="352"/>
      <c r="P3836" s="352"/>
      <c r="Q3836" s="352"/>
      <c r="R3836" s="352"/>
      <c r="S3836" s="352"/>
      <c r="T3836" s="352"/>
      <c r="U3836" s="352"/>
      <c r="V3836" s="352"/>
      <c r="W3836" s="352"/>
      <c r="X3836" s="352"/>
      <c r="Y3836" s="352"/>
      <c r="Z3836" s="352"/>
      <c r="AA3836" s="352"/>
      <c r="AB3836" s="352"/>
      <c r="AC3836" s="352"/>
      <c r="AD3836" s="352"/>
      <c r="AE3836" s="352"/>
      <c r="AF3836" s="352"/>
      <c r="AG3836" s="352"/>
      <c r="AH3836" s="352"/>
      <c r="AI3836" s="352"/>
      <c r="AJ3836" s="352"/>
    </row>
    <row r="3837" spans="2:36" x14ac:dyDescent="0.2">
      <c r="B3837" s="352"/>
      <c r="C3837" s="352"/>
      <c r="D3837" s="352"/>
      <c r="E3837" s="352"/>
      <c r="F3837" s="352"/>
      <c r="H3837" s="352"/>
      <c r="J3837" s="352"/>
      <c r="L3837" s="352"/>
      <c r="M3837" s="352"/>
      <c r="N3837" s="352"/>
      <c r="O3837" s="352"/>
      <c r="P3837" s="352"/>
      <c r="Q3837" s="352"/>
      <c r="R3837" s="352"/>
      <c r="S3837" s="352"/>
      <c r="T3837" s="352"/>
      <c r="U3837" s="352"/>
      <c r="V3837" s="352"/>
      <c r="W3837" s="352"/>
      <c r="X3837" s="352"/>
      <c r="Y3837" s="352"/>
      <c r="Z3837" s="352"/>
      <c r="AA3837" s="352"/>
      <c r="AB3837" s="352"/>
      <c r="AC3837" s="352"/>
      <c r="AD3837" s="352"/>
      <c r="AE3837" s="352"/>
      <c r="AF3837" s="352"/>
      <c r="AG3837" s="352"/>
      <c r="AH3837" s="352"/>
      <c r="AI3837" s="352"/>
      <c r="AJ3837" s="352"/>
    </row>
    <row r="3838" spans="2:36" x14ac:dyDescent="0.2">
      <c r="B3838" s="352"/>
      <c r="C3838" s="352"/>
      <c r="D3838" s="352"/>
      <c r="E3838" s="352"/>
      <c r="F3838" s="352"/>
      <c r="H3838" s="352"/>
      <c r="J3838" s="352"/>
      <c r="L3838" s="352"/>
      <c r="M3838" s="352"/>
      <c r="N3838" s="352"/>
      <c r="O3838" s="352"/>
      <c r="P3838" s="352"/>
      <c r="Q3838" s="352"/>
      <c r="R3838" s="352"/>
      <c r="S3838" s="352"/>
      <c r="T3838" s="352"/>
      <c r="U3838" s="352"/>
      <c r="V3838" s="352"/>
      <c r="W3838" s="352"/>
      <c r="X3838" s="352"/>
      <c r="Y3838" s="352"/>
      <c r="Z3838" s="352"/>
      <c r="AA3838" s="352"/>
      <c r="AB3838" s="352"/>
      <c r="AC3838" s="352"/>
      <c r="AD3838" s="352"/>
      <c r="AE3838" s="352"/>
      <c r="AF3838" s="352"/>
      <c r="AG3838" s="352"/>
      <c r="AH3838" s="352"/>
      <c r="AI3838" s="352"/>
      <c r="AJ3838" s="352"/>
    </row>
    <row r="3839" spans="2:36" x14ac:dyDescent="0.2">
      <c r="B3839" s="352"/>
      <c r="C3839" s="352"/>
      <c r="D3839" s="352"/>
      <c r="E3839" s="352"/>
      <c r="F3839" s="352"/>
      <c r="H3839" s="352"/>
      <c r="J3839" s="352"/>
      <c r="L3839" s="352"/>
      <c r="M3839" s="352"/>
      <c r="N3839" s="352"/>
      <c r="O3839" s="352"/>
      <c r="P3839" s="352"/>
      <c r="Q3839" s="352"/>
      <c r="R3839" s="352"/>
      <c r="S3839" s="352"/>
      <c r="T3839" s="352"/>
      <c r="U3839" s="352"/>
      <c r="V3839" s="352"/>
      <c r="W3839" s="352"/>
      <c r="X3839" s="352"/>
      <c r="Y3839" s="352"/>
      <c r="Z3839" s="352"/>
      <c r="AA3839" s="352"/>
      <c r="AB3839" s="352"/>
      <c r="AC3839" s="352"/>
      <c r="AD3839" s="352"/>
      <c r="AE3839" s="352"/>
      <c r="AF3839" s="352"/>
      <c r="AG3839" s="352"/>
      <c r="AH3839" s="352"/>
      <c r="AI3839" s="352"/>
      <c r="AJ3839" s="352"/>
    </row>
    <row r="3840" spans="2:36" x14ac:dyDescent="0.2">
      <c r="B3840" s="352"/>
      <c r="C3840" s="352"/>
      <c r="D3840" s="352"/>
      <c r="E3840" s="352"/>
      <c r="F3840" s="352"/>
      <c r="H3840" s="352"/>
      <c r="J3840" s="352"/>
      <c r="L3840" s="352"/>
      <c r="M3840" s="352"/>
      <c r="N3840" s="352"/>
      <c r="O3840" s="352"/>
      <c r="P3840" s="352"/>
      <c r="Q3840" s="352"/>
      <c r="R3840" s="352"/>
      <c r="S3840" s="352"/>
      <c r="T3840" s="352"/>
      <c r="U3840" s="352"/>
      <c r="V3840" s="352"/>
      <c r="W3840" s="352"/>
      <c r="X3840" s="352"/>
      <c r="Y3840" s="352"/>
      <c r="Z3840" s="352"/>
      <c r="AA3840" s="352"/>
      <c r="AB3840" s="352"/>
      <c r="AC3840" s="352"/>
      <c r="AD3840" s="352"/>
      <c r="AE3840" s="352"/>
      <c r="AF3840" s="352"/>
      <c r="AG3840" s="352"/>
      <c r="AH3840" s="352"/>
      <c r="AI3840" s="352"/>
      <c r="AJ3840" s="352"/>
    </row>
    <row r="3841" spans="2:36" x14ac:dyDescent="0.2">
      <c r="B3841" s="352"/>
      <c r="C3841" s="352"/>
      <c r="D3841" s="352"/>
      <c r="E3841" s="352"/>
      <c r="F3841" s="352"/>
      <c r="H3841" s="352"/>
      <c r="J3841" s="352"/>
      <c r="L3841" s="352"/>
      <c r="M3841" s="352"/>
      <c r="N3841" s="352"/>
      <c r="O3841" s="352"/>
      <c r="P3841" s="352"/>
      <c r="Q3841" s="352"/>
      <c r="R3841" s="352"/>
      <c r="S3841" s="352"/>
      <c r="T3841" s="352"/>
      <c r="U3841" s="352"/>
      <c r="V3841" s="352"/>
      <c r="W3841" s="352"/>
      <c r="X3841" s="352"/>
      <c r="Y3841" s="352"/>
      <c r="Z3841" s="352"/>
      <c r="AA3841" s="352"/>
      <c r="AB3841" s="352"/>
      <c r="AC3841" s="352"/>
      <c r="AD3841" s="352"/>
      <c r="AE3841" s="352"/>
      <c r="AF3841" s="352"/>
      <c r="AG3841" s="352"/>
      <c r="AH3841" s="352"/>
      <c r="AI3841" s="352"/>
      <c r="AJ3841" s="352"/>
    </row>
    <row r="3842" spans="2:36" x14ac:dyDescent="0.2">
      <c r="B3842" s="352"/>
      <c r="C3842" s="352"/>
      <c r="D3842" s="352"/>
      <c r="E3842" s="352"/>
      <c r="F3842" s="352"/>
      <c r="H3842" s="352"/>
      <c r="J3842" s="352"/>
      <c r="L3842" s="352"/>
      <c r="M3842" s="352"/>
      <c r="N3842" s="352"/>
      <c r="O3842" s="352"/>
      <c r="P3842" s="352"/>
      <c r="Q3842" s="352"/>
      <c r="R3842" s="352"/>
      <c r="S3842" s="352"/>
      <c r="T3842" s="352"/>
      <c r="U3842" s="352"/>
      <c r="V3842" s="352"/>
      <c r="W3842" s="352"/>
      <c r="X3842" s="352"/>
      <c r="Y3842" s="352"/>
      <c r="Z3842" s="352"/>
      <c r="AA3842" s="352"/>
      <c r="AB3842" s="352"/>
      <c r="AC3842" s="352"/>
      <c r="AD3842" s="352"/>
      <c r="AE3842" s="352"/>
      <c r="AF3842" s="352"/>
      <c r="AG3842" s="352"/>
      <c r="AH3842" s="352"/>
      <c r="AI3842" s="352"/>
      <c r="AJ3842" s="352"/>
    </row>
    <row r="3843" spans="2:36" x14ac:dyDescent="0.2">
      <c r="B3843" s="352"/>
      <c r="C3843" s="352"/>
      <c r="D3843" s="352"/>
      <c r="E3843" s="352"/>
      <c r="F3843" s="352"/>
      <c r="H3843" s="352"/>
      <c r="J3843" s="352"/>
      <c r="L3843" s="352"/>
      <c r="M3843" s="352"/>
      <c r="N3843" s="352"/>
      <c r="O3843" s="352"/>
      <c r="P3843" s="352"/>
      <c r="Q3843" s="352"/>
      <c r="R3843" s="352"/>
      <c r="S3843" s="352"/>
      <c r="T3843" s="352"/>
      <c r="U3843" s="352"/>
      <c r="V3843" s="352"/>
      <c r="W3843" s="352"/>
      <c r="X3843" s="352"/>
      <c r="Y3843" s="352"/>
      <c r="Z3843" s="352"/>
      <c r="AA3843" s="352"/>
      <c r="AB3843" s="352"/>
      <c r="AC3843" s="352"/>
      <c r="AD3843" s="352"/>
      <c r="AE3843" s="352"/>
      <c r="AF3843" s="352"/>
      <c r="AG3843" s="352"/>
      <c r="AH3843" s="352"/>
      <c r="AI3843" s="352"/>
      <c r="AJ3843" s="352"/>
    </row>
    <row r="3844" spans="2:36" x14ac:dyDescent="0.2">
      <c r="B3844" s="352"/>
      <c r="C3844" s="352"/>
      <c r="D3844" s="352"/>
      <c r="E3844" s="352"/>
      <c r="F3844" s="352"/>
      <c r="H3844" s="352"/>
      <c r="J3844" s="352"/>
      <c r="L3844" s="352"/>
      <c r="M3844" s="352"/>
      <c r="N3844" s="352"/>
      <c r="O3844" s="352"/>
      <c r="P3844" s="352"/>
      <c r="Q3844" s="352"/>
      <c r="R3844" s="352"/>
      <c r="S3844" s="352"/>
      <c r="T3844" s="352"/>
      <c r="U3844" s="352"/>
      <c r="V3844" s="352"/>
      <c r="W3844" s="352"/>
      <c r="X3844" s="352"/>
      <c r="Y3844" s="352"/>
      <c r="Z3844" s="352"/>
      <c r="AA3844" s="352"/>
      <c r="AB3844" s="352"/>
      <c r="AC3844" s="352"/>
      <c r="AD3844" s="352"/>
      <c r="AE3844" s="352"/>
      <c r="AF3844" s="352"/>
      <c r="AG3844" s="352"/>
      <c r="AH3844" s="352"/>
      <c r="AI3844" s="352"/>
      <c r="AJ3844" s="352"/>
    </row>
    <row r="3845" spans="2:36" x14ac:dyDescent="0.2">
      <c r="B3845" s="352"/>
      <c r="C3845" s="352"/>
      <c r="D3845" s="352"/>
      <c r="E3845" s="352"/>
      <c r="F3845" s="352"/>
      <c r="H3845" s="352"/>
      <c r="J3845" s="352"/>
      <c r="L3845" s="352"/>
      <c r="M3845" s="352"/>
      <c r="N3845" s="352"/>
      <c r="O3845" s="352"/>
      <c r="P3845" s="352"/>
      <c r="Q3845" s="352"/>
      <c r="R3845" s="352"/>
      <c r="S3845" s="352"/>
      <c r="T3845" s="352"/>
      <c r="U3845" s="352"/>
      <c r="V3845" s="352"/>
      <c r="W3845" s="352"/>
      <c r="X3845" s="352"/>
      <c r="Y3845" s="352"/>
      <c r="Z3845" s="352"/>
      <c r="AA3845" s="352"/>
      <c r="AB3845" s="352"/>
      <c r="AC3845" s="352"/>
      <c r="AD3845" s="352"/>
      <c r="AE3845" s="352"/>
      <c r="AF3845" s="352"/>
      <c r="AG3845" s="352"/>
      <c r="AH3845" s="352"/>
      <c r="AI3845" s="352"/>
      <c r="AJ3845" s="352"/>
    </row>
    <row r="3846" spans="2:36" x14ac:dyDescent="0.2">
      <c r="B3846" s="352"/>
      <c r="C3846" s="352"/>
      <c r="D3846" s="352"/>
      <c r="E3846" s="352"/>
      <c r="F3846" s="352"/>
      <c r="H3846" s="352"/>
      <c r="J3846" s="352"/>
      <c r="L3846" s="352"/>
      <c r="M3846" s="352"/>
      <c r="N3846" s="352"/>
      <c r="O3846" s="352"/>
      <c r="P3846" s="352"/>
      <c r="Q3846" s="352"/>
      <c r="R3846" s="352"/>
      <c r="S3846" s="352"/>
      <c r="T3846" s="352"/>
      <c r="U3846" s="352"/>
      <c r="V3846" s="352"/>
      <c r="W3846" s="352"/>
      <c r="X3846" s="352"/>
      <c r="Y3846" s="352"/>
      <c r="Z3846" s="352"/>
      <c r="AA3846" s="352"/>
      <c r="AB3846" s="352"/>
      <c r="AC3846" s="352"/>
      <c r="AD3846" s="352"/>
      <c r="AE3846" s="352"/>
      <c r="AF3846" s="352"/>
      <c r="AG3846" s="352"/>
      <c r="AH3846" s="352"/>
      <c r="AI3846" s="352"/>
      <c r="AJ3846" s="352"/>
    </row>
    <row r="3847" spans="2:36" x14ac:dyDescent="0.2">
      <c r="B3847" s="352"/>
      <c r="C3847" s="352"/>
      <c r="D3847" s="352"/>
      <c r="E3847" s="352"/>
      <c r="F3847" s="352"/>
      <c r="H3847" s="352"/>
      <c r="J3847" s="352"/>
      <c r="L3847" s="352"/>
      <c r="M3847" s="352"/>
      <c r="N3847" s="352"/>
      <c r="O3847" s="352"/>
      <c r="P3847" s="352"/>
      <c r="Q3847" s="352"/>
      <c r="R3847" s="352"/>
      <c r="S3847" s="352"/>
      <c r="T3847" s="352"/>
      <c r="U3847" s="352"/>
      <c r="V3847" s="352"/>
      <c r="W3847" s="352"/>
      <c r="X3847" s="352"/>
      <c r="Y3847" s="352"/>
      <c r="Z3847" s="352"/>
      <c r="AA3847" s="352"/>
      <c r="AB3847" s="352"/>
      <c r="AC3847" s="352"/>
      <c r="AD3847" s="352"/>
      <c r="AE3847" s="352"/>
      <c r="AF3847" s="352"/>
      <c r="AG3847" s="352"/>
      <c r="AH3847" s="352"/>
      <c r="AI3847" s="352"/>
      <c r="AJ3847" s="352"/>
    </row>
    <row r="3848" spans="2:36" x14ac:dyDescent="0.2">
      <c r="B3848" s="352"/>
      <c r="C3848" s="352"/>
      <c r="D3848" s="352"/>
      <c r="E3848" s="352"/>
      <c r="F3848" s="352"/>
      <c r="H3848" s="352"/>
      <c r="J3848" s="352"/>
      <c r="L3848" s="352"/>
      <c r="M3848" s="352"/>
      <c r="N3848" s="352"/>
      <c r="O3848" s="352"/>
      <c r="P3848" s="352"/>
      <c r="Q3848" s="352"/>
      <c r="R3848" s="352"/>
      <c r="S3848" s="352"/>
      <c r="T3848" s="352"/>
      <c r="U3848" s="352"/>
      <c r="V3848" s="352"/>
      <c r="W3848" s="352"/>
      <c r="X3848" s="352"/>
      <c r="Y3848" s="352"/>
      <c r="Z3848" s="352"/>
      <c r="AA3848" s="352"/>
      <c r="AB3848" s="352"/>
      <c r="AC3848" s="352"/>
      <c r="AD3848" s="352"/>
      <c r="AE3848" s="352"/>
      <c r="AF3848" s="352"/>
      <c r="AG3848" s="352"/>
      <c r="AH3848" s="352"/>
      <c r="AI3848" s="352"/>
      <c r="AJ3848" s="352"/>
    </row>
    <row r="3849" spans="2:36" x14ac:dyDescent="0.2">
      <c r="B3849" s="352"/>
      <c r="C3849" s="352"/>
      <c r="D3849" s="352"/>
      <c r="E3849" s="352"/>
      <c r="F3849" s="352"/>
      <c r="H3849" s="352"/>
      <c r="J3849" s="352"/>
      <c r="L3849" s="352"/>
      <c r="M3849" s="352"/>
      <c r="N3849" s="352"/>
      <c r="O3849" s="352"/>
      <c r="P3849" s="352"/>
      <c r="Q3849" s="352"/>
      <c r="R3849" s="352"/>
      <c r="S3849" s="352"/>
      <c r="T3849" s="352"/>
      <c r="U3849" s="352"/>
      <c r="V3849" s="352"/>
      <c r="W3849" s="352"/>
      <c r="X3849" s="352"/>
      <c r="Y3849" s="352"/>
      <c r="Z3849" s="352"/>
      <c r="AA3849" s="352"/>
      <c r="AB3849" s="352"/>
      <c r="AC3849" s="352"/>
      <c r="AD3849" s="352"/>
      <c r="AE3849" s="352"/>
      <c r="AF3849" s="352"/>
      <c r="AG3849" s="352"/>
      <c r="AH3849" s="352"/>
      <c r="AI3849" s="352"/>
      <c r="AJ3849" s="352"/>
    </row>
    <row r="3850" spans="2:36" x14ac:dyDescent="0.2">
      <c r="B3850" s="352"/>
      <c r="C3850" s="352"/>
      <c r="D3850" s="352"/>
      <c r="E3850" s="352"/>
      <c r="F3850" s="352"/>
      <c r="H3850" s="352"/>
      <c r="J3850" s="352"/>
      <c r="L3850" s="352"/>
      <c r="M3850" s="352"/>
      <c r="N3850" s="352"/>
      <c r="O3850" s="352"/>
      <c r="P3850" s="352"/>
      <c r="Q3850" s="352"/>
      <c r="R3850" s="352"/>
      <c r="S3850" s="352"/>
      <c r="T3850" s="352"/>
      <c r="U3850" s="352"/>
      <c r="V3850" s="352"/>
      <c r="W3850" s="352"/>
      <c r="X3850" s="352"/>
      <c r="Y3850" s="352"/>
      <c r="Z3850" s="352"/>
      <c r="AA3850" s="352"/>
      <c r="AB3850" s="352"/>
      <c r="AC3850" s="352"/>
      <c r="AD3850" s="352"/>
      <c r="AE3850" s="352"/>
      <c r="AF3850" s="352"/>
      <c r="AG3850" s="352"/>
      <c r="AH3850" s="352"/>
      <c r="AI3850" s="352"/>
      <c r="AJ3850" s="352"/>
    </row>
    <row r="3851" spans="2:36" x14ac:dyDescent="0.2">
      <c r="B3851" s="352"/>
      <c r="C3851" s="352"/>
      <c r="D3851" s="352"/>
      <c r="E3851" s="352"/>
      <c r="F3851" s="352"/>
      <c r="H3851" s="352"/>
      <c r="J3851" s="352"/>
      <c r="L3851" s="352"/>
      <c r="M3851" s="352"/>
      <c r="N3851" s="352"/>
      <c r="O3851" s="352"/>
      <c r="P3851" s="352"/>
      <c r="Q3851" s="352"/>
      <c r="R3851" s="352"/>
      <c r="S3851" s="352"/>
      <c r="T3851" s="352"/>
      <c r="U3851" s="352"/>
      <c r="V3851" s="352"/>
      <c r="W3851" s="352"/>
      <c r="X3851" s="352"/>
      <c r="Y3851" s="352"/>
      <c r="Z3851" s="352"/>
      <c r="AA3851" s="352"/>
      <c r="AB3851" s="352"/>
      <c r="AC3851" s="352"/>
      <c r="AD3851" s="352"/>
      <c r="AE3851" s="352"/>
      <c r="AF3851" s="352"/>
      <c r="AG3851" s="352"/>
      <c r="AH3851" s="352"/>
      <c r="AI3851" s="352"/>
      <c r="AJ3851" s="352"/>
    </row>
    <row r="3852" spans="2:36" x14ac:dyDescent="0.2">
      <c r="B3852" s="352"/>
      <c r="C3852" s="352"/>
      <c r="D3852" s="352"/>
      <c r="E3852" s="352"/>
      <c r="F3852" s="352"/>
      <c r="H3852" s="352"/>
      <c r="J3852" s="352"/>
      <c r="L3852" s="352"/>
      <c r="M3852" s="352"/>
      <c r="N3852" s="352"/>
      <c r="O3852" s="352"/>
      <c r="P3852" s="352"/>
      <c r="Q3852" s="352"/>
      <c r="R3852" s="352"/>
      <c r="S3852" s="352"/>
      <c r="T3852" s="352"/>
      <c r="U3852" s="352"/>
      <c r="V3852" s="352"/>
      <c r="W3852" s="352"/>
      <c r="X3852" s="352"/>
      <c r="Y3852" s="352"/>
      <c r="Z3852" s="352"/>
      <c r="AA3852" s="352"/>
      <c r="AB3852" s="352"/>
      <c r="AC3852" s="352"/>
      <c r="AD3852" s="352"/>
      <c r="AE3852" s="352"/>
      <c r="AF3852" s="352"/>
      <c r="AG3852" s="352"/>
      <c r="AH3852" s="352"/>
      <c r="AI3852" s="352"/>
      <c r="AJ3852" s="352"/>
    </row>
    <row r="3853" spans="2:36" x14ac:dyDescent="0.2">
      <c r="B3853" s="352"/>
      <c r="C3853" s="352"/>
      <c r="D3853" s="352"/>
      <c r="E3853" s="352"/>
      <c r="F3853" s="352"/>
      <c r="H3853" s="352"/>
      <c r="J3853" s="352"/>
      <c r="L3853" s="352"/>
      <c r="M3853" s="352"/>
      <c r="N3853" s="352"/>
      <c r="O3853" s="352"/>
      <c r="P3853" s="352"/>
      <c r="Q3853" s="352"/>
      <c r="R3853" s="352"/>
      <c r="S3853" s="352"/>
      <c r="T3853" s="352"/>
      <c r="U3853" s="352"/>
      <c r="V3853" s="352"/>
      <c r="W3853" s="352"/>
      <c r="X3853" s="352"/>
      <c r="Y3853" s="352"/>
      <c r="Z3853" s="352"/>
      <c r="AA3853" s="352"/>
      <c r="AB3853" s="352"/>
      <c r="AC3853" s="352"/>
      <c r="AD3853" s="352"/>
      <c r="AE3853" s="352"/>
      <c r="AF3853" s="352"/>
      <c r="AG3853" s="352"/>
      <c r="AH3853" s="352"/>
      <c r="AI3853" s="352"/>
      <c r="AJ3853" s="352"/>
    </row>
    <row r="3854" spans="2:36" x14ac:dyDescent="0.2">
      <c r="B3854" s="352"/>
      <c r="C3854" s="352"/>
      <c r="D3854" s="352"/>
      <c r="E3854" s="352"/>
      <c r="F3854" s="352"/>
      <c r="H3854" s="352"/>
      <c r="J3854" s="352"/>
      <c r="L3854" s="352"/>
      <c r="M3854" s="352"/>
      <c r="N3854" s="352"/>
      <c r="O3854" s="352"/>
      <c r="P3854" s="352"/>
      <c r="Q3854" s="352"/>
      <c r="R3854" s="352"/>
      <c r="S3854" s="352"/>
      <c r="T3854" s="352"/>
      <c r="U3854" s="352"/>
      <c r="V3854" s="352"/>
      <c r="W3854" s="352"/>
      <c r="X3854" s="352"/>
      <c r="Y3854" s="352"/>
      <c r="Z3854" s="352"/>
      <c r="AA3854" s="352"/>
      <c r="AB3854" s="352"/>
      <c r="AC3854" s="352"/>
      <c r="AD3854" s="352"/>
      <c r="AE3854" s="352"/>
      <c r="AF3854" s="352"/>
      <c r="AG3854" s="352"/>
      <c r="AH3854" s="352"/>
      <c r="AI3854" s="352"/>
      <c r="AJ3854" s="352"/>
    </row>
    <row r="3855" spans="2:36" x14ac:dyDescent="0.2">
      <c r="B3855" s="352"/>
      <c r="C3855" s="352"/>
      <c r="D3855" s="352"/>
      <c r="E3855" s="352"/>
      <c r="F3855" s="352"/>
      <c r="H3855" s="352"/>
      <c r="J3855" s="352"/>
      <c r="L3855" s="352"/>
      <c r="M3855" s="352"/>
      <c r="N3855" s="352"/>
      <c r="O3855" s="352"/>
      <c r="P3855" s="352"/>
      <c r="Q3855" s="352"/>
      <c r="R3855" s="352"/>
      <c r="S3855" s="352"/>
      <c r="T3855" s="352"/>
      <c r="U3855" s="352"/>
      <c r="V3855" s="352"/>
      <c r="W3855" s="352"/>
      <c r="X3855" s="352"/>
      <c r="Y3855" s="352"/>
      <c r="Z3855" s="352"/>
      <c r="AA3855" s="352"/>
      <c r="AB3855" s="352"/>
      <c r="AC3855" s="352"/>
      <c r="AD3855" s="352"/>
      <c r="AE3855" s="352"/>
      <c r="AF3855" s="352"/>
      <c r="AG3855" s="352"/>
      <c r="AH3855" s="352"/>
      <c r="AI3855" s="352"/>
      <c r="AJ3855" s="352"/>
    </row>
    <row r="3856" spans="2:36" x14ac:dyDescent="0.2">
      <c r="B3856" s="352"/>
      <c r="C3856" s="352"/>
      <c r="D3856" s="352"/>
      <c r="E3856" s="352"/>
      <c r="F3856" s="352"/>
      <c r="H3856" s="352"/>
      <c r="J3856" s="352"/>
      <c r="L3856" s="352"/>
      <c r="M3856" s="352"/>
      <c r="N3856" s="352"/>
      <c r="O3856" s="352"/>
      <c r="P3856" s="352"/>
      <c r="Q3856" s="352"/>
      <c r="R3856" s="352"/>
      <c r="S3856" s="352"/>
      <c r="T3856" s="352"/>
      <c r="U3856" s="352"/>
      <c r="V3856" s="352"/>
      <c r="W3856" s="352"/>
      <c r="X3856" s="352"/>
      <c r="Y3856" s="352"/>
      <c r="Z3856" s="352"/>
      <c r="AA3856" s="352"/>
      <c r="AB3856" s="352"/>
      <c r="AC3856" s="352"/>
      <c r="AD3856" s="352"/>
      <c r="AE3856" s="352"/>
      <c r="AF3856" s="352"/>
      <c r="AG3856" s="352"/>
      <c r="AH3856" s="352"/>
      <c r="AI3856" s="352"/>
      <c r="AJ3856" s="352"/>
    </row>
    <row r="3857" spans="2:36" x14ac:dyDescent="0.2">
      <c r="B3857" s="352"/>
      <c r="C3857" s="352"/>
      <c r="D3857" s="352"/>
      <c r="E3857" s="352"/>
      <c r="F3857" s="352"/>
      <c r="H3857" s="352"/>
      <c r="J3857" s="352"/>
      <c r="L3857" s="352"/>
      <c r="M3857" s="352"/>
      <c r="N3857" s="352"/>
      <c r="O3857" s="352"/>
      <c r="P3857" s="352"/>
      <c r="Q3857" s="352"/>
      <c r="R3857" s="352"/>
      <c r="S3857" s="352"/>
      <c r="T3857" s="352"/>
      <c r="U3857" s="352"/>
      <c r="V3857" s="352"/>
      <c r="W3857" s="352"/>
      <c r="X3857" s="352"/>
      <c r="Y3857" s="352"/>
      <c r="Z3857" s="352"/>
      <c r="AA3857" s="352"/>
      <c r="AB3857" s="352"/>
      <c r="AC3857" s="352"/>
      <c r="AD3857" s="352"/>
      <c r="AE3857" s="352"/>
      <c r="AF3857" s="352"/>
      <c r="AG3857" s="352"/>
      <c r="AH3857" s="352"/>
      <c r="AI3857" s="352"/>
      <c r="AJ3857" s="352"/>
    </row>
    <row r="3858" spans="2:36" x14ac:dyDescent="0.2">
      <c r="B3858" s="352"/>
      <c r="C3858" s="352"/>
      <c r="D3858" s="352"/>
      <c r="E3858" s="352"/>
      <c r="F3858" s="352"/>
      <c r="H3858" s="352"/>
      <c r="J3858" s="352"/>
      <c r="L3858" s="352"/>
      <c r="M3858" s="352"/>
      <c r="N3858" s="352"/>
      <c r="O3858" s="352"/>
      <c r="P3858" s="352"/>
      <c r="Q3858" s="352"/>
      <c r="R3858" s="352"/>
      <c r="S3858" s="352"/>
      <c r="T3858" s="352"/>
      <c r="U3858" s="352"/>
      <c r="V3858" s="352"/>
      <c r="W3858" s="352"/>
      <c r="X3858" s="352"/>
      <c r="Y3858" s="352"/>
      <c r="Z3858" s="352"/>
      <c r="AA3858" s="352"/>
      <c r="AB3858" s="352"/>
      <c r="AC3858" s="352"/>
      <c r="AD3858" s="352"/>
      <c r="AE3858" s="352"/>
      <c r="AF3858" s="352"/>
      <c r="AG3858" s="352"/>
      <c r="AH3858" s="352"/>
      <c r="AI3858" s="352"/>
      <c r="AJ3858" s="352"/>
    </row>
    <row r="3859" spans="2:36" x14ac:dyDescent="0.2">
      <c r="B3859" s="352"/>
      <c r="C3859" s="352"/>
      <c r="D3859" s="352"/>
      <c r="E3859" s="352"/>
      <c r="F3859" s="352"/>
      <c r="H3859" s="352"/>
      <c r="J3859" s="352"/>
      <c r="L3859" s="352"/>
      <c r="M3859" s="352"/>
      <c r="N3859" s="352"/>
      <c r="O3859" s="352"/>
      <c r="P3859" s="352"/>
      <c r="Q3859" s="352"/>
      <c r="R3859" s="352"/>
      <c r="S3859" s="352"/>
      <c r="T3859" s="352"/>
      <c r="U3859" s="352"/>
      <c r="V3859" s="352"/>
      <c r="W3859" s="352"/>
      <c r="X3859" s="352"/>
      <c r="Y3859" s="352"/>
      <c r="Z3859" s="352"/>
      <c r="AA3859" s="352"/>
      <c r="AB3859" s="352"/>
      <c r="AC3859" s="352"/>
      <c r="AD3859" s="352"/>
      <c r="AE3859" s="352"/>
      <c r="AF3859" s="352"/>
      <c r="AG3859" s="352"/>
      <c r="AH3859" s="352"/>
      <c r="AI3859" s="352"/>
      <c r="AJ3859" s="352"/>
    </row>
    <row r="3860" spans="2:36" x14ac:dyDescent="0.2">
      <c r="B3860" s="352"/>
      <c r="C3860" s="352"/>
      <c r="D3860" s="352"/>
      <c r="E3860" s="352"/>
      <c r="F3860" s="352"/>
      <c r="H3860" s="352"/>
      <c r="J3860" s="352"/>
      <c r="L3860" s="352"/>
      <c r="M3860" s="352"/>
      <c r="N3860" s="352"/>
      <c r="O3860" s="352"/>
      <c r="P3860" s="352"/>
      <c r="Q3860" s="352"/>
      <c r="R3860" s="352"/>
      <c r="S3860" s="352"/>
      <c r="T3860" s="352"/>
      <c r="U3860" s="352"/>
      <c r="V3860" s="352"/>
      <c r="W3860" s="352"/>
      <c r="X3860" s="352"/>
      <c r="Y3860" s="352"/>
      <c r="Z3860" s="352"/>
      <c r="AA3860" s="352"/>
      <c r="AB3860" s="352"/>
      <c r="AC3860" s="352"/>
      <c r="AD3860" s="352"/>
      <c r="AE3860" s="352"/>
      <c r="AF3860" s="352"/>
      <c r="AG3860" s="352"/>
      <c r="AH3860" s="352"/>
      <c r="AI3860" s="352"/>
      <c r="AJ3860" s="352"/>
    </row>
    <row r="3861" spans="2:36" x14ac:dyDescent="0.2">
      <c r="B3861" s="352"/>
      <c r="C3861" s="352"/>
      <c r="D3861" s="352"/>
      <c r="E3861" s="352"/>
      <c r="F3861" s="352"/>
      <c r="H3861" s="352"/>
      <c r="J3861" s="352"/>
      <c r="L3861" s="352"/>
      <c r="M3861" s="352"/>
      <c r="N3861" s="352"/>
      <c r="O3861" s="352"/>
      <c r="P3861" s="352"/>
      <c r="Q3861" s="352"/>
      <c r="R3861" s="352"/>
      <c r="S3861" s="352"/>
      <c r="T3861" s="352"/>
      <c r="U3861" s="352"/>
      <c r="V3861" s="352"/>
      <c r="W3861" s="352"/>
      <c r="X3861" s="352"/>
      <c r="Y3861" s="352"/>
      <c r="Z3861" s="352"/>
      <c r="AA3861" s="352"/>
      <c r="AB3861" s="352"/>
      <c r="AC3861" s="352"/>
      <c r="AD3861" s="352"/>
      <c r="AE3861" s="352"/>
      <c r="AF3861" s="352"/>
      <c r="AG3861" s="352"/>
      <c r="AH3861" s="352"/>
      <c r="AI3861" s="352"/>
      <c r="AJ3861" s="352"/>
    </row>
    <row r="3862" spans="2:36" x14ac:dyDescent="0.2">
      <c r="B3862" s="352"/>
      <c r="C3862" s="352"/>
      <c r="D3862" s="352"/>
      <c r="E3862" s="352"/>
      <c r="F3862" s="352"/>
      <c r="H3862" s="352"/>
      <c r="J3862" s="352"/>
      <c r="L3862" s="352"/>
      <c r="M3862" s="352"/>
      <c r="N3862" s="352"/>
      <c r="O3862" s="352"/>
      <c r="P3862" s="352"/>
      <c r="Q3862" s="352"/>
      <c r="R3862" s="352"/>
      <c r="S3862" s="352"/>
      <c r="T3862" s="352"/>
      <c r="U3862" s="352"/>
      <c r="V3862" s="352"/>
      <c r="W3862" s="352"/>
      <c r="X3862" s="352"/>
      <c r="Y3862" s="352"/>
      <c r="Z3862" s="352"/>
      <c r="AA3862" s="352"/>
      <c r="AB3862" s="352"/>
      <c r="AC3862" s="352"/>
      <c r="AD3862" s="352"/>
      <c r="AE3862" s="352"/>
      <c r="AF3862" s="352"/>
      <c r="AG3862" s="352"/>
      <c r="AH3862" s="352"/>
      <c r="AI3862" s="352"/>
      <c r="AJ3862" s="352"/>
    </row>
    <row r="3863" spans="2:36" x14ac:dyDescent="0.2">
      <c r="B3863" s="352"/>
      <c r="C3863" s="352"/>
      <c r="D3863" s="352"/>
      <c r="E3863" s="352"/>
      <c r="F3863" s="352"/>
      <c r="H3863" s="352"/>
      <c r="J3863" s="352"/>
      <c r="L3863" s="352"/>
      <c r="M3863" s="352"/>
      <c r="N3863" s="352"/>
      <c r="O3863" s="352"/>
      <c r="P3863" s="352"/>
      <c r="Q3863" s="352"/>
      <c r="R3863" s="352"/>
      <c r="S3863" s="352"/>
      <c r="T3863" s="352"/>
      <c r="U3863" s="352"/>
      <c r="V3863" s="352"/>
      <c r="W3863" s="352"/>
      <c r="X3863" s="352"/>
      <c r="Y3863" s="352"/>
      <c r="Z3863" s="352"/>
      <c r="AA3863" s="352"/>
      <c r="AB3863" s="352"/>
      <c r="AC3863" s="352"/>
      <c r="AD3863" s="352"/>
      <c r="AE3863" s="352"/>
      <c r="AF3863" s="352"/>
      <c r="AG3863" s="352"/>
      <c r="AH3863" s="352"/>
      <c r="AI3863" s="352"/>
      <c r="AJ3863" s="352"/>
    </row>
    <row r="3864" spans="2:36" x14ac:dyDescent="0.2">
      <c r="B3864" s="352"/>
      <c r="C3864" s="352"/>
      <c r="D3864" s="352"/>
      <c r="E3864" s="352"/>
      <c r="F3864" s="352"/>
      <c r="H3864" s="352"/>
      <c r="J3864" s="352"/>
      <c r="L3864" s="352"/>
      <c r="M3864" s="352"/>
      <c r="N3864" s="352"/>
      <c r="O3864" s="352"/>
      <c r="P3864" s="352"/>
      <c r="Q3864" s="352"/>
      <c r="R3864" s="352"/>
      <c r="S3864" s="352"/>
      <c r="T3864" s="352"/>
      <c r="U3864" s="352"/>
      <c r="V3864" s="352"/>
      <c r="W3864" s="352"/>
      <c r="X3864" s="352"/>
      <c r="Y3864" s="352"/>
      <c r="Z3864" s="352"/>
      <c r="AA3864" s="352"/>
      <c r="AB3864" s="352"/>
      <c r="AC3864" s="352"/>
      <c r="AD3864" s="352"/>
      <c r="AE3864" s="352"/>
      <c r="AF3864" s="352"/>
      <c r="AG3864" s="352"/>
      <c r="AH3864" s="352"/>
      <c r="AI3864" s="352"/>
      <c r="AJ3864" s="352"/>
    </row>
    <row r="3865" spans="2:36" x14ac:dyDescent="0.2">
      <c r="B3865" s="352"/>
      <c r="C3865" s="352"/>
      <c r="D3865" s="352"/>
      <c r="E3865" s="352"/>
      <c r="F3865" s="352"/>
      <c r="H3865" s="352"/>
      <c r="J3865" s="352"/>
      <c r="L3865" s="352"/>
      <c r="M3865" s="352"/>
      <c r="N3865" s="352"/>
      <c r="O3865" s="352"/>
      <c r="P3865" s="352"/>
      <c r="Q3865" s="352"/>
      <c r="R3865" s="352"/>
      <c r="S3865" s="352"/>
      <c r="T3865" s="352"/>
      <c r="U3865" s="352"/>
      <c r="V3865" s="352"/>
      <c r="W3865" s="352"/>
      <c r="X3865" s="352"/>
      <c r="Y3865" s="352"/>
      <c r="Z3865" s="352"/>
      <c r="AA3865" s="352"/>
      <c r="AB3865" s="352"/>
      <c r="AC3865" s="352"/>
      <c r="AD3865" s="352"/>
      <c r="AE3865" s="352"/>
      <c r="AF3865" s="352"/>
      <c r="AG3865" s="352"/>
      <c r="AH3865" s="352"/>
      <c r="AI3865" s="352"/>
      <c r="AJ3865" s="352"/>
    </row>
    <row r="3866" spans="2:36" x14ac:dyDescent="0.2">
      <c r="B3866" s="352"/>
      <c r="C3866" s="352"/>
      <c r="D3866" s="352"/>
      <c r="E3866" s="352"/>
      <c r="F3866" s="352"/>
      <c r="H3866" s="352"/>
      <c r="J3866" s="352"/>
      <c r="L3866" s="352"/>
      <c r="M3866" s="352"/>
      <c r="N3866" s="352"/>
      <c r="O3866" s="352"/>
      <c r="P3866" s="352"/>
      <c r="Q3866" s="352"/>
      <c r="R3866" s="352"/>
      <c r="S3866" s="352"/>
      <c r="T3866" s="352"/>
      <c r="U3866" s="352"/>
      <c r="V3866" s="352"/>
      <c r="W3866" s="352"/>
      <c r="X3866" s="352"/>
      <c r="Y3866" s="352"/>
      <c r="Z3866" s="352"/>
      <c r="AA3866" s="352"/>
      <c r="AB3866" s="352"/>
      <c r="AC3866" s="352"/>
      <c r="AD3866" s="352"/>
      <c r="AE3866" s="352"/>
      <c r="AF3866" s="352"/>
      <c r="AG3866" s="352"/>
      <c r="AH3866" s="352"/>
      <c r="AI3866" s="352"/>
      <c r="AJ3866" s="352"/>
    </row>
    <row r="3867" spans="2:36" x14ac:dyDescent="0.2">
      <c r="B3867" s="352"/>
      <c r="C3867" s="352"/>
      <c r="D3867" s="352"/>
      <c r="E3867" s="352"/>
      <c r="F3867" s="352"/>
      <c r="H3867" s="352"/>
      <c r="J3867" s="352"/>
      <c r="L3867" s="352"/>
      <c r="M3867" s="352"/>
      <c r="N3867" s="352"/>
      <c r="O3867" s="352"/>
      <c r="P3867" s="352"/>
      <c r="Q3867" s="352"/>
      <c r="R3867" s="352"/>
      <c r="S3867" s="352"/>
      <c r="T3867" s="352"/>
      <c r="U3867" s="352"/>
      <c r="V3867" s="352"/>
      <c r="W3867" s="352"/>
      <c r="X3867" s="352"/>
      <c r="Y3867" s="352"/>
      <c r="Z3867" s="352"/>
      <c r="AA3867" s="352"/>
      <c r="AB3867" s="352"/>
      <c r="AC3867" s="352"/>
      <c r="AD3867" s="352"/>
      <c r="AE3867" s="352"/>
      <c r="AF3867" s="352"/>
      <c r="AG3867" s="352"/>
      <c r="AH3867" s="352"/>
      <c r="AI3867" s="352"/>
      <c r="AJ3867" s="352"/>
    </row>
    <row r="3868" spans="2:36" x14ac:dyDescent="0.2">
      <c r="B3868" s="352"/>
      <c r="C3868" s="352"/>
      <c r="D3868" s="352"/>
      <c r="E3868" s="352"/>
      <c r="F3868" s="352"/>
      <c r="H3868" s="352"/>
      <c r="J3868" s="352"/>
      <c r="L3868" s="352"/>
      <c r="M3868" s="352"/>
      <c r="N3868" s="352"/>
      <c r="O3868" s="352"/>
      <c r="P3868" s="352"/>
      <c r="Q3868" s="352"/>
      <c r="R3868" s="352"/>
      <c r="S3868" s="352"/>
      <c r="T3868" s="352"/>
      <c r="U3868" s="352"/>
      <c r="V3868" s="352"/>
      <c r="W3868" s="352"/>
      <c r="X3868" s="352"/>
      <c r="Y3868" s="352"/>
      <c r="Z3868" s="352"/>
      <c r="AA3868" s="352"/>
      <c r="AB3868" s="352"/>
      <c r="AC3868" s="352"/>
      <c r="AD3868" s="352"/>
      <c r="AE3868" s="352"/>
      <c r="AF3868" s="352"/>
      <c r="AG3868" s="352"/>
      <c r="AH3868" s="352"/>
      <c r="AI3868" s="352"/>
      <c r="AJ3868" s="352"/>
    </row>
    <row r="3869" spans="2:36" x14ac:dyDescent="0.2">
      <c r="B3869" s="352"/>
      <c r="C3869" s="352"/>
      <c r="D3869" s="352"/>
      <c r="E3869" s="352"/>
      <c r="F3869" s="352"/>
      <c r="H3869" s="352"/>
      <c r="J3869" s="352"/>
      <c r="L3869" s="352"/>
      <c r="M3869" s="352"/>
      <c r="N3869" s="352"/>
      <c r="O3869" s="352"/>
      <c r="P3869" s="352"/>
      <c r="Q3869" s="352"/>
      <c r="R3869" s="352"/>
      <c r="S3869" s="352"/>
      <c r="T3869" s="352"/>
      <c r="U3869" s="352"/>
      <c r="V3869" s="352"/>
      <c r="W3869" s="352"/>
      <c r="X3869" s="352"/>
      <c r="Y3869" s="352"/>
      <c r="Z3869" s="352"/>
      <c r="AA3869" s="352"/>
      <c r="AB3869" s="352"/>
      <c r="AC3869" s="352"/>
      <c r="AD3869" s="352"/>
      <c r="AE3869" s="352"/>
      <c r="AF3869" s="352"/>
      <c r="AG3869" s="352"/>
      <c r="AH3869" s="352"/>
      <c r="AI3869" s="352"/>
      <c r="AJ3869" s="352"/>
    </row>
    <row r="3870" spans="2:36" x14ac:dyDescent="0.2">
      <c r="B3870" s="352"/>
      <c r="C3870" s="352"/>
      <c r="D3870" s="352"/>
      <c r="E3870" s="352"/>
      <c r="F3870" s="352"/>
      <c r="H3870" s="352"/>
      <c r="J3870" s="352"/>
      <c r="L3870" s="352"/>
      <c r="M3870" s="352"/>
      <c r="N3870" s="352"/>
      <c r="O3870" s="352"/>
      <c r="P3870" s="352"/>
      <c r="Q3870" s="352"/>
      <c r="R3870" s="352"/>
      <c r="S3870" s="352"/>
      <c r="T3870" s="352"/>
      <c r="U3870" s="352"/>
      <c r="V3870" s="352"/>
      <c r="W3870" s="352"/>
      <c r="X3870" s="352"/>
      <c r="Y3870" s="352"/>
      <c r="Z3870" s="352"/>
      <c r="AA3870" s="352"/>
      <c r="AB3870" s="352"/>
      <c r="AC3870" s="352"/>
      <c r="AD3870" s="352"/>
      <c r="AE3870" s="352"/>
      <c r="AF3870" s="352"/>
      <c r="AG3870" s="352"/>
      <c r="AH3870" s="352"/>
      <c r="AI3870" s="352"/>
      <c r="AJ3870" s="352"/>
    </row>
    <row r="3871" spans="2:36" x14ac:dyDescent="0.2">
      <c r="B3871" s="352"/>
      <c r="C3871" s="352"/>
      <c r="D3871" s="352"/>
      <c r="E3871" s="352"/>
      <c r="F3871" s="352"/>
      <c r="H3871" s="352"/>
      <c r="J3871" s="352"/>
      <c r="L3871" s="352"/>
      <c r="M3871" s="352"/>
      <c r="N3871" s="352"/>
      <c r="O3871" s="352"/>
      <c r="P3871" s="352"/>
      <c r="Q3871" s="352"/>
      <c r="R3871" s="352"/>
      <c r="S3871" s="352"/>
      <c r="T3871" s="352"/>
      <c r="U3871" s="352"/>
      <c r="V3871" s="352"/>
      <c r="W3871" s="352"/>
      <c r="X3871" s="352"/>
      <c r="Y3871" s="352"/>
      <c r="Z3871" s="352"/>
      <c r="AA3871" s="352"/>
      <c r="AB3871" s="352"/>
      <c r="AC3871" s="352"/>
      <c r="AD3871" s="352"/>
      <c r="AE3871" s="352"/>
      <c r="AF3871" s="352"/>
      <c r="AG3871" s="352"/>
      <c r="AH3871" s="352"/>
      <c r="AI3871" s="352"/>
      <c r="AJ3871" s="352"/>
    </row>
    <row r="3872" spans="2:36" x14ac:dyDescent="0.2">
      <c r="B3872" s="352"/>
      <c r="C3872" s="352"/>
      <c r="D3872" s="352"/>
      <c r="E3872" s="352"/>
      <c r="F3872" s="352"/>
      <c r="H3872" s="352"/>
      <c r="J3872" s="352"/>
      <c r="L3872" s="352"/>
      <c r="M3872" s="352"/>
      <c r="N3872" s="352"/>
      <c r="O3872" s="352"/>
      <c r="P3872" s="352"/>
      <c r="Q3872" s="352"/>
      <c r="R3872" s="352"/>
      <c r="S3872" s="352"/>
      <c r="T3872" s="352"/>
      <c r="U3872" s="352"/>
      <c r="V3872" s="352"/>
      <c r="W3872" s="352"/>
      <c r="X3872" s="352"/>
      <c r="Y3872" s="352"/>
      <c r="Z3872" s="352"/>
      <c r="AA3872" s="352"/>
      <c r="AB3872" s="352"/>
      <c r="AC3872" s="352"/>
      <c r="AD3872" s="352"/>
      <c r="AE3872" s="352"/>
      <c r="AF3872" s="352"/>
      <c r="AG3872" s="352"/>
      <c r="AH3872" s="352"/>
      <c r="AI3872" s="352"/>
      <c r="AJ3872" s="352"/>
    </row>
    <row r="3873" spans="2:36" x14ac:dyDescent="0.2">
      <c r="B3873" s="352"/>
      <c r="C3873" s="352"/>
      <c r="D3873" s="352"/>
      <c r="E3873" s="352"/>
      <c r="F3873" s="352"/>
      <c r="H3873" s="352"/>
      <c r="J3873" s="352"/>
      <c r="L3873" s="352"/>
      <c r="M3873" s="352"/>
      <c r="N3873" s="352"/>
      <c r="O3873" s="352"/>
      <c r="P3873" s="352"/>
      <c r="Q3873" s="352"/>
      <c r="R3873" s="352"/>
      <c r="S3873" s="352"/>
      <c r="T3873" s="352"/>
      <c r="U3873" s="352"/>
      <c r="V3873" s="352"/>
      <c r="W3873" s="352"/>
      <c r="X3873" s="352"/>
      <c r="Y3873" s="352"/>
      <c r="Z3873" s="352"/>
      <c r="AA3873" s="352"/>
      <c r="AB3873" s="352"/>
      <c r="AC3873" s="352"/>
      <c r="AD3873" s="352"/>
      <c r="AE3873" s="352"/>
      <c r="AF3873" s="352"/>
      <c r="AG3873" s="352"/>
      <c r="AH3873" s="352"/>
      <c r="AI3873" s="352"/>
      <c r="AJ3873" s="352"/>
    </row>
    <row r="3874" spans="2:36" x14ac:dyDescent="0.2">
      <c r="B3874" s="352"/>
      <c r="C3874" s="352"/>
      <c r="D3874" s="352"/>
      <c r="E3874" s="352"/>
      <c r="F3874" s="352"/>
      <c r="H3874" s="352"/>
      <c r="J3874" s="352"/>
      <c r="L3874" s="352"/>
      <c r="M3874" s="352"/>
      <c r="N3874" s="352"/>
      <c r="O3874" s="352"/>
      <c r="P3874" s="352"/>
      <c r="Q3874" s="352"/>
      <c r="R3874" s="352"/>
      <c r="S3874" s="352"/>
      <c r="T3874" s="352"/>
      <c r="U3874" s="352"/>
      <c r="V3874" s="352"/>
      <c r="W3874" s="352"/>
      <c r="X3874" s="352"/>
      <c r="Y3874" s="352"/>
      <c r="Z3874" s="352"/>
      <c r="AA3874" s="352"/>
      <c r="AB3874" s="352"/>
      <c r="AC3874" s="352"/>
      <c r="AD3874" s="352"/>
      <c r="AE3874" s="352"/>
      <c r="AF3874" s="352"/>
      <c r="AG3874" s="352"/>
      <c r="AH3874" s="352"/>
      <c r="AI3874" s="352"/>
      <c r="AJ3874" s="352"/>
    </row>
    <row r="3875" spans="2:36" x14ac:dyDescent="0.2">
      <c r="B3875" s="352"/>
      <c r="C3875" s="352"/>
      <c r="D3875" s="352"/>
      <c r="E3875" s="352"/>
      <c r="F3875" s="352"/>
      <c r="H3875" s="352"/>
      <c r="J3875" s="352"/>
      <c r="L3875" s="352"/>
      <c r="M3875" s="352"/>
      <c r="N3875" s="352"/>
      <c r="O3875" s="352"/>
      <c r="P3875" s="352"/>
      <c r="Q3875" s="352"/>
      <c r="R3875" s="352"/>
      <c r="S3875" s="352"/>
      <c r="T3875" s="352"/>
      <c r="U3875" s="352"/>
      <c r="V3875" s="352"/>
      <c r="W3875" s="352"/>
      <c r="X3875" s="352"/>
      <c r="Y3875" s="352"/>
      <c r="Z3875" s="352"/>
      <c r="AA3875" s="352"/>
      <c r="AB3875" s="352"/>
      <c r="AC3875" s="352"/>
      <c r="AD3875" s="352"/>
      <c r="AE3875" s="352"/>
      <c r="AF3875" s="352"/>
      <c r="AG3875" s="352"/>
      <c r="AH3875" s="352"/>
      <c r="AI3875" s="352"/>
      <c r="AJ3875" s="352"/>
    </row>
    <row r="3876" spans="2:36" x14ac:dyDescent="0.2">
      <c r="B3876" s="352"/>
      <c r="C3876" s="352"/>
      <c r="D3876" s="352"/>
      <c r="E3876" s="352"/>
      <c r="F3876" s="352"/>
      <c r="H3876" s="352"/>
      <c r="J3876" s="352"/>
      <c r="L3876" s="352"/>
      <c r="M3876" s="352"/>
      <c r="N3876" s="352"/>
      <c r="O3876" s="352"/>
      <c r="P3876" s="352"/>
      <c r="Q3876" s="352"/>
      <c r="R3876" s="352"/>
      <c r="S3876" s="352"/>
      <c r="T3876" s="352"/>
      <c r="U3876" s="352"/>
      <c r="V3876" s="352"/>
      <c r="W3876" s="352"/>
      <c r="X3876" s="352"/>
      <c r="Y3876" s="352"/>
      <c r="Z3876" s="352"/>
      <c r="AA3876" s="352"/>
      <c r="AB3876" s="352"/>
      <c r="AC3876" s="352"/>
      <c r="AD3876" s="352"/>
      <c r="AE3876" s="352"/>
      <c r="AF3876" s="352"/>
      <c r="AG3876" s="352"/>
      <c r="AH3876" s="352"/>
      <c r="AI3876" s="352"/>
      <c r="AJ3876" s="352"/>
    </row>
    <row r="3877" spans="2:36" x14ac:dyDescent="0.2">
      <c r="B3877" s="352"/>
      <c r="C3877" s="352"/>
      <c r="D3877" s="352"/>
      <c r="E3877" s="352"/>
      <c r="F3877" s="352"/>
      <c r="H3877" s="352"/>
      <c r="J3877" s="352"/>
      <c r="L3877" s="352"/>
      <c r="M3877" s="352"/>
      <c r="N3877" s="352"/>
      <c r="O3877" s="352"/>
      <c r="P3877" s="352"/>
      <c r="Q3877" s="352"/>
      <c r="R3877" s="352"/>
      <c r="S3877" s="352"/>
      <c r="T3877" s="352"/>
      <c r="U3877" s="352"/>
      <c r="V3877" s="352"/>
      <c r="W3877" s="352"/>
      <c r="X3877" s="352"/>
      <c r="Y3877" s="352"/>
      <c r="Z3877" s="352"/>
      <c r="AA3877" s="352"/>
      <c r="AB3877" s="352"/>
      <c r="AC3877" s="352"/>
      <c r="AD3877" s="352"/>
      <c r="AE3877" s="352"/>
      <c r="AF3877" s="352"/>
      <c r="AG3877" s="352"/>
      <c r="AH3877" s="352"/>
      <c r="AI3877" s="352"/>
      <c r="AJ3877" s="352"/>
    </row>
    <row r="3878" spans="2:36" x14ac:dyDescent="0.2">
      <c r="B3878" s="352"/>
      <c r="C3878" s="352"/>
      <c r="D3878" s="352"/>
      <c r="E3878" s="352"/>
      <c r="F3878" s="352"/>
      <c r="H3878" s="352"/>
      <c r="J3878" s="352"/>
      <c r="L3878" s="352"/>
      <c r="M3878" s="352"/>
      <c r="N3878" s="352"/>
      <c r="O3878" s="352"/>
      <c r="P3878" s="352"/>
      <c r="Q3878" s="352"/>
      <c r="R3878" s="352"/>
      <c r="S3878" s="352"/>
      <c r="T3878" s="352"/>
      <c r="U3878" s="352"/>
      <c r="V3878" s="352"/>
      <c r="W3878" s="352"/>
      <c r="X3878" s="352"/>
      <c r="Y3878" s="352"/>
      <c r="Z3878" s="352"/>
      <c r="AA3878" s="352"/>
      <c r="AB3878" s="352"/>
      <c r="AC3878" s="352"/>
      <c r="AD3878" s="352"/>
      <c r="AE3878" s="352"/>
      <c r="AF3878" s="352"/>
      <c r="AG3878" s="352"/>
      <c r="AH3878" s="352"/>
      <c r="AI3878" s="352"/>
      <c r="AJ3878" s="352"/>
    </row>
    <row r="3879" spans="2:36" x14ac:dyDescent="0.2">
      <c r="B3879" s="352"/>
      <c r="C3879" s="352"/>
      <c r="D3879" s="352"/>
      <c r="E3879" s="352"/>
      <c r="F3879" s="352"/>
      <c r="H3879" s="352"/>
      <c r="J3879" s="352"/>
      <c r="L3879" s="352"/>
      <c r="M3879" s="352"/>
      <c r="N3879" s="352"/>
      <c r="O3879" s="352"/>
      <c r="P3879" s="352"/>
      <c r="Q3879" s="352"/>
      <c r="R3879" s="352"/>
      <c r="S3879" s="352"/>
      <c r="T3879" s="352"/>
      <c r="U3879" s="352"/>
      <c r="V3879" s="352"/>
      <c r="W3879" s="352"/>
      <c r="X3879" s="352"/>
      <c r="Y3879" s="352"/>
      <c r="Z3879" s="352"/>
      <c r="AA3879" s="352"/>
      <c r="AB3879" s="352"/>
      <c r="AC3879" s="352"/>
      <c r="AD3879" s="352"/>
      <c r="AE3879" s="352"/>
      <c r="AF3879" s="352"/>
      <c r="AG3879" s="352"/>
      <c r="AH3879" s="352"/>
      <c r="AI3879" s="352"/>
      <c r="AJ3879" s="352"/>
    </row>
    <row r="3880" spans="2:36" x14ac:dyDescent="0.2">
      <c r="B3880" s="352"/>
      <c r="C3880" s="352"/>
      <c r="D3880" s="352"/>
      <c r="E3880" s="352"/>
      <c r="F3880" s="352"/>
      <c r="H3880" s="352"/>
      <c r="J3880" s="352"/>
      <c r="L3880" s="352"/>
      <c r="M3880" s="352"/>
      <c r="N3880" s="352"/>
      <c r="O3880" s="352"/>
      <c r="P3880" s="352"/>
      <c r="Q3880" s="352"/>
      <c r="R3880" s="352"/>
      <c r="S3880" s="352"/>
      <c r="T3880" s="352"/>
      <c r="U3880" s="352"/>
      <c r="V3880" s="352"/>
      <c r="W3880" s="352"/>
      <c r="X3880" s="352"/>
      <c r="Y3880" s="352"/>
      <c r="Z3880" s="352"/>
      <c r="AA3880" s="352"/>
      <c r="AB3880" s="352"/>
      <c r="AC3880" s="352"/>
      <c r="AD3880" s="352"/>
      <c r="AE3880" s="352"/>
      <c r="AF3880" s="352"/>
      <c r="AG3880" s="352"/>
      <c r="AH3880" s="352"/>
      <c r="AI3880" s="352"/>
      <c r="AJ3880" s="352"/>
    </row>
    <row r="3881" spans="2:36" x14ac:dyDescent="0.2">
      <c r="B3881" s="352"/>
      <c r="C3881" s="352"/>
      <c r="D3881" s="352"/>
      <c r="E3881" s="352"/>
      <c r="F3881" s="352"/>
      <c r="H3881" s="352"/>
      <c r="J3881" s="352"/>
      <c r="L3881" s="352"/>
      <c r="M3881" s="352"/>
      <c r="N3881" s="352"/>
      <c r="O3881" s="352"/>
      <c r="P3881" s="352"/>
      <c r="Q3881" s="352"/>
      <c r="R3881" s="352"/>
      <c r="S3881" s="352"/>
      <c r="T3881" s="352"/>
      <c r="U3881" s="352"/>
      <c r="V3881" s="352"/>
      <c r="W3881" s="352"/>
      <c r="X3881" s="352"/>
      <c r="Y3881" s="352"/>
      <c r="Z3881" s="352"/>
      <c r="AA3881" s="352"/>
      <c r="AB3881" s="352"/>
      <c r="AC3881" s="352"/>
      <c r="AD3881" s="352"/>
      <c r="AE3881" s="352"/>
      <c r="AF3881" s="352"/>
      <c r="AG3881" s="352"/>
      <c r="AH3881" s="352"/>
      <c r="AI3881" s="352"/>
      <c r="AJ3881" s="352"/>
    </row>
    <row r="3882" spans="2:36" x14ac:dyDescent="0.2">
      <c r="B3882" s="352"/>
      <c r="C3882" s="352"/>
      <c r="D3882" s="352"/>
      <c r="E3882" s="352"/>
      <c r="F3882" s="352"/>
      <c r="H3882" s="352"/>
      <c r="J3882" s="352"/>
      <c r="L3882" s="352"/>
      <c r="M3882" s="352"/>
      <c r="N3882" s="352"/>
      <c r="O3882" s="352"/>
      <c r="P3882" s="352"/>
      <c r="Q3882" s="352"/>
      <c r="R3882" s="352"/>
      <c r="S3882" s="352"/>
      <c r="T3882" s="352"/>
      <c r="U3882" s="352"/>
      <c r="V3882" s="352"/>
      <c r="W3882" s="352"/>
      <c r="X3882" s="352"/>
      <c r="Y3882" s="352"/>
      <c r="Z3882" s="352"/>
      <c r="AA3882" s="352"/>
      <c r="AB3882" s="352"/>
      <c r="AC3882" s="352"/>
      <c r="AD3882" s="352"/>
      <c r="AE3882" s="352"/>
      <c r="AF3882" s="352"/>
      <c r="AG3882" s="352"/>
      <c r="AH3882" s="352"/>
      <c r="AI3882" s="352"/>
      <c r="AJ3882" s="352"/>
    </row>
    <row r="3883" spans="2:36" x14ac:dyDescent="0.2">
      <c r="B3883" s="352"/>
      <c r="C3883" s="352"/>
      <c r="D3883" s="352"/>
      <c r="E3883" s="352"/>
      <c r="F3883" s="352"/>
      <c r="H3883" s="352"/>
      <c r="J3883" s="352"/>
      <c r="L3883" s="352"/>
      <c r="M3883" s="352"/>
      <c r="N3883" s="352"/>
      <c r="O3883" s="352"/>
      <c r="P3883" s="352"/>
      <c r="Q3883" s="352"/>
      <c r="R3883" s="352"/>
      <c r="S3883" s="352"/>
      <c r="T3883" s="352"/>
      <c r="U3883" s="352"/>
      <c r="V3883" s="352"/>
      <c r="W3883" s="352"/>
      <c r="X3883" s="352"/>
      <c r="Y3883" s="352"/>
      <c r="Z3883" s="352"/>
      <c r="AA3883" s="352"/>
      <c r="AB3883" s="352"/>
      <c r="AC3883" s="352"/>
      <c r="AD3883" s="352"/>
      <c r="AE3883" s="352"/>
      <c r="AF3883" s="352"/>
      <c r="AG3883" s="352"/>
      <c r="AH3883" s="352"/>
      <c r="AI3883" s="352"/>
      <c r="AJ3883" s="352"/>
    </row>
    <row r="3884" spans="2:36" x14ac:dyDescent="0.2">
      <c r="B3884" s="352"/>
      <c r="C3884" s="352"/>
      <c r="D3884" s="352"/>
      <c r="E3884" s="352"/>
      <c r="F3884" s="352"/>
      <c r="H3884" s="352"/>
      <c r="J3884" s="352"/>
      <c r="L3884" s="352"/>
      <c r="M3884" s="352"/>
      <c r="N3884" s="352"/>
      <c r="O3884" s="352"/>
      <c r="P3884" s="352"/>
      <c r="Q3884" s="352"/>
      <c r="R3884" s="352"/>
      <c r="S3884" s="352"/>
      <c r="T3884" s="352"/>
      <c r="U3884" s="352"/>
      <c r="V3884" s="352"/>
      <c r="W3884" s="352"/>
      <c r="X3884" s="352"/>
      <c r="Y3884" s="352"/>
      <c r="Z3884" s="352"/>
      <c r="AA3884" s="352"/>
      <c r="AB3884" s="352"/>
      <c r="AC3884" s="352"/>
      <c r="AD3884" s="352"/>
      <c r="AE3884" s="352"/>
      <c r="AF3884" s="352"/>
      <c r="AG3884" s="352"/>
      <c r="AH3884" s="352"/>
      <c r="AI3884" s="352"/>
      <c r="AJ3884" s="352"/>
    </row>
    <row r="3885" spans="2:36" x14ac:dyDescent="0.2">
      <c r="B3885" s="352"/>
      <c r="C3885" s="352"/>
      <c r="D3885" s="352"/>
      <c r="E3885" s="352"/>
      <c r="F3885" s="352"/>
      <c r="H3885" s="352"/>
      <c r="J3885" s="352"/>
      <c r="L3885" s="352"/>
      <c r="M3885" s="352"/>
      <c r="N3885" s="352"/>
      <c r="O3885" s="352"/>
      <c r="P3885" s="352"/>
      <c r="Q3885" s="352"/>
      <c r="R3885" s="352"/>
      <c r="S3885" s="352"/>
      <c r="T3885" s="352"/>
      <c r="U3885" s="352"/>
      <c r="V3885" s="352"/>
      <c r="W3885" s="352"/>
      <c r="X3885" s="352"/>
      <c r="Y3885" s="352"/>
      <c r="Z3885" s="352"/>
      <c r="AA3885" s="352"/>
      <c r="AB3885" s="352"/>
      <c r="AC3885" s="352"/>
      <c r="AD3885" s="352"/>
      <c r="AE3885" s="352"/>
      <c r="AF3885" s="352"/>
      <c r="AG3885" s="352"/>
      <c r="AH3885" s="352"/>
      <c r="AI3885" s="352"/>
      <c r="AJ3885" s="352"/>
    </row>
    <row r="3886" spans="2:36" x14ac:dyDescent="0.2">
      <c r="B3886" s="352"/>
      <c r="C3886" s="352"/>
      <c r="D3886" s="352"/>
      <c r="E3886" s="352"/>
      <c r="F3886" s="352"/>
      <c r="H3886" s="352"/>
      <c r="J3886" s="352"/>
      <c r="L3886" s="352"/>
      <c r="M3886" s="352"/>
      <c r="N3886" s="352"/>
      <c r="O3886" s="352"/>
      <c r="P3886" s="352"/>
      <c r="Q3886" s="352"/>
      <c r="R3886" s="352"/>
      <c r="S3886" s="352"/>
      <c r="T3886" s="352"/>
      <c r="U3886" s="352"/>
      <c r="V3886" s="352"/>
      <c r="W3886" s="352"/>
      <c r="X3886" s="352"/>
      <c r="Y3886" s="352"/>
      <c r="Z3886" s="352"/>
      <c r="AA3886" s="352"/>
      <c r="AB3886" s="352"/>
      <c r="AC3886" s="352"/>
      <c r="AD3886" s="352"/>
      <c r="AE3886" s="352"/>
      <c r="AF3886" s="352"/>
      <c r="AG3886" s="352"/>
      <c r="AH3886" s="352"/>
      <c r="AI3886" s="352"/>
      <c r="AJ3886" s="352"/>
    </row>
    <row r="3887" spans="2:36" x14ac:dyDescent="0.2">
      <c r="B3887" s="352"/>
      <c r="C3887" s="352"/>
      <c r="D3887" s="352"/>
      <c r="E3887" s="352"/>
      <c r="F3887" s="352"/>
      <c r="H3887" s="352"/>
      <c r="J3887" s="352"/>
      <c r="L3887" s="352"/>
      <c r="M3887" s="352"/>
      <c r="N3887" s="352"/>
      <c r="O3887" s="352"/>
      <c r="P3887" s="352"/>
      <c r="Q3887" s="352"/>
      <c r="R3887" s="352"/>
      <c r="S3887" s="352"/>
      <c r="T3887" s="352"/>
      <c r="U3887" s="352"/>
      <c r="V3887" s="352"/>
      <c r="W3887" s="352"/>
      <c r="X3887" s="352"/>
      <c r="Y3887" s="352"/>
      <c r="Z3887" s="352"/>
      <c r="AA3887" s="352"/>
      <c r="AB3887" s="352"/>
      <c r="AC3887" s="352"/>
      <c r="AD3887" s="352"/>
      <c r="AE3887" s="352"/>
      <c r="AF3887" s="352"/>
      <c r="AG3887" s="352"/>
      <c r="AH3887" s="352"/>
      <c r="AI3887" s="352"/>
      <c r="AJ3887" s="352"/>
    </row>
    <row r="3888" spans="2:36" x14ac:dyDescent="0.2">
      <c r="B3888" s="352"/>
      <c r="C3888" s="352"/>
      <c r="D3888" s="352"/>
      <c r="E3888" s="352"/>
      <c r="F3888" s="352"/>
      <c r="H3888" s="352"/>
      <c r="J3888" s="352"/>
      <c r="L3888" s="352"/>
      <c r="M3888" s="352"/>
      <c r="N3888" s="352"/>
      <c r="O3888" s="352"/>
      <c r="P3888" s="352"/>
      <c r="Q3888" s="352"/>
      <c r="R3888" s="352"/>
      <c r="S3888" s="352"/>
      <c r="T3888" s="352"/>
      <c r="U3888" s="352"/>
      <c r="V3888" s="352"/>
      <c r="W3888" s="352"/>
      <c r="X3888" s="352"/>
      <c r="Y3888" s="352"/>
      <c r="Z3888" s="352"/>
      <c r="AA3888" s="352"/>
      <c r="AB3888" s="352"/>
      <c r="AC3888" s="352"/>
      <c r="AD3888" s="352"/>
      <c r="AE3888" s="352"/>
      <c r="AF3888" s="352"/>
      <c r="AG3888" s="352"/>
      <c r="AH3888" s="352"/>
      <c r="AI3888" s="352"/>
      <c r="AJ3888" s="352"/>
    </row>
    <row r="3889" spans="2:36" x14ac:dyDescent="0.2">
      <c r="B3889" s="352"/>
      <c r="C3889" s="352"/>
      <c r="D3889" s="352"/>
      <c r="E3889" s="352"/>
      <c r="F3889" s="352"/>
      <c r="H3889" s="352"/>
      <c r="J3889" s="352"/>
      <c r="L3889" s="352"/>
      <c r="M3889" s="352"/>
      <c r="N3889" s="352"/>
      <c r="O3889" s="352"/>
      <c r="P3889" s="352"/>
      <c r="Q3889" s="352"/>
      <c r="R3889" s="352"/>
      <c r="S3889" s="352"/>
      <c r="T3889" s="352"/>
      <c r="U3889" s="352"/>
      <c r="V3889" s="352"/>
      <c r="W3889" s="352"/>
      <c r="X3889" s="352"/>
      <c r="Y3889" s="352"/>
      <c r="Z3889" s="352"/>
      <c r="AA3889" s="352"/>
      <c r="AB3889" s="352"/>
      <c r="AC3889" s="352"/>
      <c r="AD3889" s="352"/>
      <c r="AE3889" s="352"/>
      <c r="AF3889" s="352"/>
      <c r="AG3889" s="352"/>
      <c r="AH3889" s="352"/>
      <c r="AI3889" s="352"/>
      <c r="AJ3889" s="352"/>
    </row>
    <row r="3890" spans="2:36" x14ac:dyDescent="0.2">
      <c r="B3890" s="352"/>
      <c r="C3890" s="352"/>
      <c r="D3890" s="352"/>
      <c r="E3890" s="352"/>
      <c r="F3890" s="352"/>
      <c r="H3890" s="352"/>
      <c r="J3890" s="352"/>
      <c r="L3890" s="352"/>
      <c r="M3890" s="352"/>
      <c r="N3890" s="352"/>
      <c r="O3890" s="352"/>
      <c r="P3890" s="352"/>
      <c r="Q3890" s="352"/>
      <c r="R3890" s="352"/>
      <c r="S3890" s="352"/>
      <c r="T3890" s="352"/>
      <c r="U3890" s="352"/>
      <c r="V3890" s="352"/>
      <c r="W3890" s="352"/>
      <c r="X3890" s="352"/>
      <c r="Y3890" s="352"/>
      <c r="Z3890" s="352"/>
      <c r="AA3890" s="352"/>
      <c r="AB3890" s="352"/>
      <c r="AC3890" s="352"/>
      <c r="AD3890" s="352"/>
      <c r="AE3890" s="352"/>
      <c r="AF3890" s="352"/>
      <c r="AG3890" s="352"/>
      <c r="AH3890" s="352"/>
      <c r="AI3890" s="352"/>
      <c r="AJ3890" s="352"/>
    </row>
    <row r="3891" spans="2:36" x14ac:dyDescent="0.2">
      <c r="B3891" s="352"/>
      <c r="C3891" s="352"/>
      <c r="D3891" s="352"/>
      <c r="E3891" s="352"/>
      <c r="F3891" s="352"/>
      <c r="H3891" s="352"/>
      <c r="J3891" s="352"/>
      <c r="L3891" s="352"/>
      <c r="M3891" s="352"/>
      <c r="N3891" s="352"/>
      <c r="O3891" s="352"/>
      <c r="P3891" s="352"/>
      <c r="Q3891" s="352"/>
      <c r="R3891" s="352"/>
      <c r="S3891" s="352"/>
      <c r="T3891" s="352"/>
      <c r="U3891" s="352"/>
      <c r="V3891" s="352"/>
      <c r="W3891" s="352"/>
      <c r="X3891" s="352"/>
      <c r="Y3891" s="352"/>
      <c r="Z3891" s="352"/>
      <c r="AA3891" s="352"/>
      <c r="AB3891" s="352"/>
      <c r="AC3891" s="352"/>
      <c r="AD3891" s="352"/>
      <c r="AE3891" s="352"/>
      <c r="AF3891" s="352"/>
      <c r="AG3891" s="352"/>
      <c r="AH3891" s="352"/>
      <c r="AI3891" s="352"/>
      <c r="AJ3891" s="352"/>
    </row>
    <row r="3892" spans="2:36" x14ac:dyDescent="0.2">
      <c r="B3892" s="352"/>
      <c r="C3892" s="352"/>
      <c r="D3892" s="352"/>
      <c r="E3892" s="352"/>
      <c r="F3892" s="352"/>
      <c r="H3892" s="352"/>
      <c r="J3892" s="352"/>
      <c r="L3892" s="352"/>
      <c r="M3892" s="352"/>
      <c r="N3892" s="352"/>
      <c r="O3892" s="352"/>
      <c r="P3892" s="352"/>
      <c r="Q3892" s="352"/>
      <c r="R3892" s="352"/>
      <c r="S3892" s="352"/>
      <c r="T3892" s="352"/>
      <c r="U3892" s="352"/>
      <c r="V3892" s="352"/>
      <c r="W3892" s="352"/>
      <c r="X3892" s="352"/>
      <c r="Y3892" s="352"/>
      <c r="Z3892" s="352"/>
      <c r="AA3892" s="352"/>
      <c r="AB3892" s="352"/>
      <c r="AC3892" s="352"/>
      <c r="AD3892" s="352"/>
      <c r="AE3892" s="352"/>
      <c r="AF3892" s="352"/>
      <c r="AG3892" s="352"/>
      <c r="AH3892" s="352"/>
      <c r="AI3892" s="352"/>
      <c r="AJ3892" s="352"/>
    </row>
    <row r="3893" spans="2:36" x14ac:dyDescent="0.2">
      <c r="B3893" s="352"/>
      <c r="C3893" s="352"/>
      <c r="D3893" s="352"/>
      <c r="E3893" s="352"/>
      <c r="F3893" s="352"/>
      <c r="H3893" s="352"/>
      <c r="J3893" s="352"/>
      <c r="L3893" s="352"/>
      <c r="M3893" s="352"/>
      <c r="N3893" s="352"/>
      <c r="O3893" s="352"/>
      <c r="P3893" s="352"/>
      <c r="Q3893" s="352"/>
      <c r="R3893" s="352"/>
      <c r="S3893" s="352"/>
      <c r="T3893" s="352"/>
      <c r="U3893" s="352"/>
      <c r="V3893" s="352"/>
      <c r="W3893" s="352"/>
      <c r="X3893" s="352"/>
      <c r="Y3893" s="352"/>
      <c r="Z3893" s="352"/>
      <c r="AA3893" s="352"/>
      <c r="AB3893" s="352"/>
      <c r="AC3893" s="352"/>
      <c r="AD3893" s="352"/>
      <c r="AE3893" s="352"/>
      <c r="AF3893" s="352"/>
      <c r="AG3893" s="352"/>
      <c r="AH3893" s="352"/>
      <c r="AI3893" s="352"/>
      <c r="AJ3893" s="352"/>
    </row>
    <row r="3894" spans="2:36" x14ac:dyDescent="0.2">
      <c r="B3894" s="352"/>
      <c r="C3894" s="352"/>
      <c r="D3894" s="352"/>
      <c r="E3894" s="352"/>
      <c r="F3894" s="352"/>
      <c r="H3894" s="352"/>
      <c r="J3894" s="352"/>
      <c r="L3894" s="352"/>
      <c r="M3894" s="352"/>
      <c r="N3894" s="352"/>
      <c r="O3894" s="352"/>
      <c r="P3894" s="352"/>
      <c r="Q3894" s="352"/>
      <c r="R3894" s="352"/>
      <c r="S3894" s="352"/>
      <c r="T3894" s="352"/>
      <c r="U3894" s="352"/>
      <c r="V3894" s="352"/>
      <c r="W3894" s="352"/>
      <c r="X3894" s="352"/>
      <c r="Y3894" s="352"/>
      <c r="Z3894" s="352"/>
      <c r="AA3894" s="352"/>
      <c r="AB3894" s="352"/>
      <c r="AC3894" s="352"/>
      <c r="AD3894" s="352"/>
      <c r="AE3894" s="352"/>
      <c r="AF3894" s="352"/>
      <c r="AG3894" s="352"/>
      <c r="AH3894" s="352"/>
      <c r="AI3894" s="352"/>
      <c r="AJ3894" s="352"/>
    </row>
    <row r="3895" spans="2:36" x14ac:dyDescent="0.2">
      <c r="B3895" s="352"/>
      <c r="C3895" s="352"/>
      <c r="D3895" s="352"/>
      <c r="E3895" s="352"/>
      <c r="F3895" s="352"/>
      <c r="H3895" s="352"/>
      <c r="J3895" s="352"/>
      <c r="L3895" s="352"/>
      <c r="M3895" s="352"/>
      <c r="N3895" s="352"/>
      <c r="O3895" s="352"/>
      <c r="P3895" s="352"/>
      <c r="Q3895" s="352"/>
      <c r="R3895" s="352"/>
      <c r="S3895" s="352"/>
      <c r="T3895" s="352"/>
      <c r="U3895" s="352"/>
      <c r="V3895" s="352"/>
      <c r="W3895" s="352"/>
      <c r="X3895" s="352"/>
      <c r="Y3895" s="352"/>
      <c r="Z3895" s="352"/>
      <c r="AA3895" s="352"/>
      <c r="AB3895" s="352"/>
      <c r="AC3895" s="352"/>
      <c r="AD3895" s="352"/>
      <c r="AE3895" s="352"/>
      <c r="AF3895" s="352"/>
      <c r="AG3895" s="352"/>
      <c r="AH3895" s="352"/>
      <c r="AI3895" s="352"/>
      <c r="AJ3895" s="352"/>
    </row>
    <row r="3896" spans="2:36" x14ac:dyDescent="0.2">
      <c r="B3896" s="352"/>
      <c r="C3896" s="352"/>
      <c r="D3896" s="352"/>
      <c r="E3896" s="352"/>
      <c r="F3896" s="352"/>
      <c r="H3896" s="352"/>
      <c r="J3896" s="352"/>
      <c r="L3896" s="352"/>
      <c r="M3896" s="352"/>
      <c r="N3896" s="352"/>
      <c r="O3896" s="352"/>
      <c r="P3896" s="352"/>
      <c r="Q3896" s="352"/>
      <c r="R3896" s="352"/>
      <c r="S3896" s="352"/>
      <c r="T3896" s="352"/>
      <c r="U3896" s="352"/>
      <c r="V3896" s="352"/>
      <c r="W3896" s="352"/>
      <c r="X3896" s="352"/>
      <c r="Y3896" s="352"/>
      <c r="Z3896" s="352"/>
      <c r="AA3896" s="352"/>
      <c r="AB3896" s="352"/>
      <c r="AC3896" s="352"/>
      <c r="AD3896" s="352"/>
      <c r="AE3896" s="352"/>
      <c r="AF3896" s="352"/>
      <c r="AG3896" s="352"/>
      <c r="AH3896" s="352"/>
      <c r="AI3896" s="352"/>
      <c r="AJ3896" s="352"/>
    </row>
    <row r="3897" spans="2:36" x14ac:dyDescent="0.2">
      <c r="B3897" s="352"/>
      <c r="C3897" s="352"/>
      <c r="D3897" s="352"/>
      <c r="E3897" s="352"/>
      <c r="F3897" s="352"/>
      <c r="H3897" s="352"/>
      <c r="J3897" s="352"/>
      <c r="L3897" s="352"/>
      <c r="M3897" s="352"/>
      <c r="N3897" s="352"/>
      <c r="O3897" s="352"/>
      <c r="P3897" s="352"/>
      <c r="Q3897" s="352"/>
      <c r="R3897" s="352"/>
      <c r="S3897" s="352"/>
      <c r="T3897" s="352"/>
      <c r="U3897" s="352"/>
      <c r="V3897" s="352"/>
      <c r="W3897" s="352"/>
      <c r="X3897" s="352"/>
      <c r="Y3897" s="352"/>
      <c r="Z3897" s="352"/>
      <c r="AA3897" s="352"/>
      <c r="AB3897" s="352"/>
      <c r="AC3897" s="352"/>
      <c r="AD3897" s="352"/>
      <c r="AE3897" s="352"/>
      <c r="AF3897" s="352"/>
      <c r="AG3897" s="352"/>
      <c r="AH3897" s="352"/>
      <c r="AI3897" s="352"/>
      <c r="AJ3897" s="352"/>
    </row>
    <row r="3898" spans="2:36" x14ac:dyDescent="0.2">
      <c r="B3898" s="352"/>
      <c r="C3898" s="352"/>
      <c r="D3898" s="352"/>
      <c r="E3898" s="352"/>
      <c r="F3898" s="352"/>
      <c r="H3898" s="352"/>
      <c r="J3898" s="352"/>
      <c r="L3898" s="352"/>
      <c r="M3898" s="352"/>
      <c r="N3898" s="352"/>
      <c r="O3898" s="352"/>
      <c r="P3898" s="352"/>
      <c r="Q3898" s="352"/>
      <c r="R3898" s="352"/>
      <c r="S3898" s="352"/>
      <c r="T3898" s="352"/>
      <c r="U3898" s="352"/>
      <c r="V3898" s="352"/>
      <c r="W3898" s="352"/>
      <c r="X3898" s="352"/>
      <c r="Y3898" s="352"/>
      <c r="Z3898" s="352"/>
      <c r="AA3898" s="352"/>
      <c r="AB3898" s="352"/>
      <c r="AC3898" s="352"/>
      <c r="AD3898" s="352"/>
      <c r="AE3898" s="352"/>
      <c r="AF3898" s="352"/>
      <c r="AG3898" s="352"/>
      <c r="AH3898" s="352"/>
      <c r="AI3898" s="352"/>
      <c r="AJ3898" s="352"/>
    </row>
    <row r="3899" spans="2:36" x14ac:dyDescent="0.2">
      <c r="B3899" s="352"/>
      <c r="C3899" s="352"/>
      <c r="D3899" s="352"/>
      <c r="E3899" s="352"/>
      <c r="F3899" s="352"/>
      <c r="H3899" s="352"/>
      <c r="J3899" s="352"/>
      <c r="L3899" s="352"/>
      <c r="M3899" s="352"/>
      <c r="N3899" s="352"/>
      <c r="O3899" s="352"/>
      <c r="P3899" s="352"/>
      <c r="Q3899" s="352"/>
      <c r="R3899" s="352"/>
      <c r="S3899" s="352"/>
      <c r="T3899" s="352"/>
      <c r="U3899" s="352"/>
      <c r="V3899" s="352"/>
      <c r="W3899" s="352"/>
      <c r="X3899" s="352"/>
      <c r="Y3899" s="352"/>
      <c r="Z3899" s="352"/>
      <c r="AA3899" s="352"/>
      <c r="AB3899" s="352"/>
      <c r="AC3899" s="352"/>
      <c r="AD3899" s="352"/>
      <c r="AE3899" s="352"/>
      <c r="AF3899" s="352"/>
      <c r="AG3899" s="352"/>
      <c r="AH3899" s="352"/>
      <c r="AI3899" s="352"/>
      <c r="AJ3899" s="352"/>
    </row>
    <row r="3900" spans="2:36" x14ac:dyDescent="0.2">
      <c r="B3900" s="352"/>
      <c r="C3900" s="352"/>
      <c r="D3900" s="352"/>
      <c r="E3900" s="352"/>
      <c r="F3900" s="352"/>
      <c r="H3900" s="352"/>
      <c r="J3900" s="352"/>
      <c r="L3900" s="352"/>
      <c r="M3900" s="352"/>
      <c r="N3900" s="352"/>
      <c r="O3900" s="352"/>
      <c r="P3900" s="352"/>
      <c r="Q3900" s="352"/>
      <c r="R3900" s="352"/>
      <c r="S3900" s="352"/>
      <c r="T3900" s="352"/>
      <c r="U3900" s="352"/>
      <c r="V3900" s="352"/>
      <c r="W3900" s="352"/>
      <c r="X3900" s="352"/>
      <c r="Y3900" s="352"/>
      <c r="Z3900" s="352"/>
      <c r="AA3900" s="352"/>
      <c r="AB3900" s="352"/>
      <c r="AC3900" s="352"/>
      <c r="AD3900" s="352"/>
      <c r="AE3900" s="352"/>
      <c r="AF3900" s="352"/>
      <c r="AG3900" s="352"/>
      <c r="AH3900" s="352"/>
      <c r="AI3900" s="352"/>
      <c r="AJ3900" s="352"/>
    </row>
    <row r="3901" spans="2:36" x14ac:dyDescent="0.2">
      <c r="B3901" s="352"/>
      <c r="C3901" s="352"/>
      <c r="D3901" s="352"/>
      <c r="E3901" s="352"/>
      <c r="F3901" s="352"/>
      <c r="H3901" s="352"/>
      <c r="J3901" s="352"/>
      <c r="L3901" s="352"/>
      <c r="M3901" s="352"/>
      <c r="N3901" s="352"/>
      <c r="O3901" s="352"/>
      <c r="P3901" s="352"/>
      <c r="Q3901" s="352"/>
      <c r="R3901" s="352"/>
      <c r="S3901" s="352"/>
      <c r="T3901" s="352"/>
      <c r="U3901" s="352"/>
      <c r="V3901" s="352"/>
      <c r="W3901" s="352"/>
      <c r="X3901" s="352"/>
      <c r="Y3901" s="352"/>
      <c r="Z3901" s="352"/>
      <c r="AA3901" s="352"/>
      <c r="AB3901" s="352"/>
      <c r="AC3901" s="352"/>
      <c r="AD3901" s="352"/>
      <c r="AE3901" s="352"/>
      <c r="AF3901" s="352"/>
      <c r="AG3901" s="352"/>
      <c r="AH3901" s="352"/>
      <c r="AI3901" s="352"/>
      <c r="AJ3901" s="352"/>
    </row>
    <row r="3902" spans="2:36" x14ac:dyDescent="0.2">
      <c r="B3902" s="352"/>
      <c r="C3902" s="352"/>
      <c r="D3902" s="352"/>
      <c r="E3902" s="352"/>
      <c r="F3902" s="352"/>
      <c r="H3902" s="352"/>
      <c r="J3902" s="352"/>
      <c r="L3902" s="352"/>
      <c r="M3902" s="352"/>
      <c r="N3902" s="352"/>
      <c r="O3902" s="352"/>
      <c r="P3902" s="352"/>
      <c r="Q3902" s="352"/>
      <c r="R3902" s="352"/>
      <c r="S3902" s="352"/>
      <c r="T3902" s="352"/>
      <c r="U3902" s="352"/>
      <c r="V3902" s="352"/>
      <c r="W3902" s="352"/>
      <c r="X3902" s="352"/>
      <c r="Y3902" s="352"/>
      <c r="Z3902" s="352"/>
      <c r="AA3902" s="352"/>
      <c r="AB3902" s="352"/>
      <c r="AC3902" s="352"/>
      <c r="AD3902" s="352"/>
      <c r="AE3902" s="352"/>
      <c r="AF3902" s="352"/>
      <c r="AG3902" s="352"/>
      <c r="AH3902" s="352"/>
      <c r="AI3902" s="352"/>
      <c r="AJ3902" s="352"/>
    </row>
    <row r="3903" spans="2:36" x14ac:dyDescent="0.2">
      <c r="B3903" s="352"/>
      <c r="C3903" s="352"/>
      <c r="D3903" s="352"/>
      <c r="E3903" s="352"/>
      <c r="F3903" s="352"/>
      <c r="H3903" s="352"/>
      <c r="J3903" s="352"/>
      <c r="L3903" s="352"/>
      <c r="M3903" s="352"/>
      <c r="N3903" s="352"/>
      <c r="O3903" s="352"/>
      <c r="P3903" s="352"/>
      <c r="Q3903" s="352"/>
      <c r="R3903" s="352"/>
      <c r="S3903" s="352"/>
      <c r="T3903" s="352"/>
      <c r="U3903" s="352"/>
      <c r="V3903" s="352"/>
      <c r="W3903" s="352"/>
      <c r="X3903" s="352"/>
      <c r="Y3903" s="352"/>
      <c r="Z3903" s="352"/>
      <c r="AA3903" s="352"/>
      <c r="AB3903" s="352"/>
      <c r="AC3903" s="352"/>
      <c r="AD3903" s="352"/>
      <c r="AE3903" s="352"/>
      <c r="AF3903" s="352"/>
      <c r="AG3903" s="352"/>
      <c r="AH3903" s="352"/>
      <c r="AI3903" s="352"/>
      <c r="AJ3903" s="352"/>
    </row>
    <row r="3904" spans="2:36" x14ac:dyDescent="0.2">
      <c r="B3904" s="352"/>
      <c r="C3904" s="352"/>
      <c r="D3904" s="352"/>
      <c r="E3904" s="352"/>
      <c r="F3904" s="352"/>
      <c r="H3904" s="352"/>
      <c r="J3904" s="352"/>
      <c r="L3904" s="352"/>
      <c r="M3904" s="352"/>
      <c r="N3904" s="352"/>
      <c r="O3904" s="352"/>
      <c r="P3904" s="352"/>
      <c r="Q3904" s="352"/>
      <c r="R3904" s="352"/>
      <c r="S3904" s="352"/>
      <c r="T3904" s="352"/>
      <c r="U3904" s="352"/>
      <c r="V3904" s="352"/>
      <c r="W3904" s="352"/>
      <c r="X3904" s="352"/>
      <c r="Y3904" s="352"/>
      <c r="Z3904" s="352"/>
      <c r="AA3904" s="352"/>
      <c r="AB3904" s="352"/>
      <c r="AC3904" s="352"/>
      <c r="AD3904" s="352"/>
      <c r="AE3904" s="352"/>
      <c r="AF3904" s="352"/>
      <c r="AG3904" s="352"/>
      <c r="AH3904" s="352"/>
      <c r="AI3904" s="352"/>
      <c r="AJ3904" s="352"/>
    </row>
    <row r="3905" spans="2:36" x14ac:dyDescent="0.2">
      <c r="B3905" s="352"/>
      <c r="C3905" s="352"/>
      <c r="D3905" s="352"/>
      <c r="E3905" s="352"/>
      <c r="F3905" s="352"/>
      <c r="H3905" s="352"/>
      <c r="J3905" s="352"/>
      <c r="L3905" s="352"/>
      <c r="M3905" s="352"/>
      <c r="N3905" s="352"/>
      <c r="O3905" s="352"/>
      <c r="P3905" s="352"/>
      <c r="Q3905" s="352"/>
      <c r="R3905" s="352"/>
      <c r="S3905" s="352"/>
      <c r="T3905" s="352"/>
      <c r="U3905" s="352"/>
      <c r="V3905" s="352"/>
      <c r="W3905" s="352"/>
      <c r="X3905" s="352"/>
      <c r="Y3905" s="352"/>
      <c r="Z3905" s="352"/>
      <c r="AA3905" s="352"/>
      <c r="AB3905" s="352"/>
      <c r="AC3905" s="352"/>
      <c r="AD3905" s="352"/>
      <c r="AE3905" s="352"/>
      <c r="AF3905" s="352"/>
      <c r="AG3905" s="352"/>
      <c r="AH3905" s="352"/>
      <c r="AI3905" s="352"/>
      <c r="AJ3905" s="352"/>
    </row>
    <row r="3906" spans="2:36" x14ac:dyDescent="0.2">
      <c r="B3906" s="352"/>
      <c r="C3906" s="352"/>
      <c r="D3906" s="352"/>
      <c r="E3906" s="352"/>
      <c r="F3906" s="352"/>
      <c r="H3906" s="352"/>
      <c r="J3906" s="352"/>
      <c r="L3906" s="352"/>
      <c r="M3906" s="352"/>
      <c r="N3906" s="352"/>
      <c r="O3906" s="352"/>
      <c r="P3906" s="352"/>
      <c r="Q3906" s="352"/>
      <c r="R3906" s="352"/>
      <c r="S3906" s="352"/>
      <c r="T3906" s="352"/>
      <c r="U3906" s="352"/>
      <c r="V3906" s="352"/>
      <c r="W3906" s="352"/>
      <c r="X3906" s="352"/>
      <c r="Y3906" s="352"/>
      <c r="Z3906" s="352"/>
      <c r="AA3906" s="352"/>
      <c r="AB3906" s="352"/>
      <c r="AC3906" s="352"/>
      <c r="AD3906" s="352"/>
      <c r="AE3906" s="352"/>
      <c r="AF3906" s="352"/>
      <c r="AG3906" s="352"/>
      <c r="AH3906" s="352"/>
      <c r="AI3906" s="352"/>
      <c r="AJ3906" s="352"/>
    </row>
    <row r="3907" spans="2:36" x14ac:dyDescent="0.2">
      <c r="B3907" s="352"/>
      <c r="C3907" s="352"/>
      <c r="D3907" s="352"/>
      <c r="E3907" s="352"/>
      <c r="F3907" s="352"/>
      <c r="H3907" s="352"/>
      <c r="J3907" s="352"/>
      <c r="L3907" s="352"/>
      <c r="M3907" s="352"/>
      <c r="N3907" s="352"/>
      <c r="O3907" s="352"/>
      <c r="P3907" s="352"/>
      <c r="Q3907" s="352"/>
      <c r="R3907" s="352"/>
      <c r="S3907" s="352"/>
      <c r="T3907" s="352"/>
      <c r="U3907" s="352"/>
      <c r="V3907" s="352"/>
      <c r="W3907" s="352"/>
      <c r="X3907" s="352"/>
      <c r="Y3907" s="352"/>
      <c r="Z3907" s="352"/>
      <c r="AA3907" s="352"/>
      <c r="AB3907" s="352"/>
      <c r="AC3907" s="352"/>
      <c r="AD3907" s="352"/>
      <c r="AE3907" s="352"/>
      <c r="AF3907" s="352"/>
      <c r="AG3907" s="352"/>
      <c r="AH3907" s="352"/>
      <c r="AI3907" s="352"/>
      <c r="AJ3907" s="352"/>
    </row>
    <row r="3908" spans="2:36" x14ac:dyDescent="0.2">
      <c r="B3908" s="352"/>
      <c r="C3908" s="352"/>
      <c r="D3908" s="352"/>
      <c r="E3908" s="352"/>
      <c r="F3908" s="352"/>
      <c r="H3908" s="352"/>
      <c r="J3908" s="352"/>
      <c r="L3908" s="352"/>
      <c r="M3908" s="352"/>
      <c r="N3908" s="352"/>
      <c r="O3908" s="352"/>
      <c r="P3908" s="352"/>
      <c r="Q3908" s="352"/>
      <c r="R3908" s="352"/>
      <c r="S3908" s="352"/>
      <c r="T3908" s="352"/>
      <c r="U3908" s="352"/>
      <c r="V3908" s="352"/>
      <c r="W3908" s="352"/>
      <c r="X3908" s="352"/>
      <c r="Y3908" s="352"/>
      <c r="Z3908" s="352"/>
      <c r="AA3908" s="352"/>
      <c r="AB3908" s="352"/>
      <c r="AC3908" s="352"/>
      <c r="AD3908" s="352"/>
      <c r="AE3908" s="352"/>
      <c r="AF3908" s="352"/>
      <c r="AG3908" s="352"/>
      <c r="AH3908" s="352"/>
      <c r="AI3908" s="352"/>
      <c r="AJ3908" s="352"/>
    </row>
    <row r="3909" spans="2:36" x14ac:dyDescent="0.2">
      <c r="B3909" s="352"/>
      <c r="C3909" s="352"/>
      <c r="D3909" s="352"/>
      <c r="E3909" s="352"/>
      <c r="F3909" s="352"/>
      <c r="H3909" s="352"/>
      <c r="J3909" s="352"/>
      <c r="L3909" s="352"/>
      <c r="M3909" s="352"/>
      <c r="N3909" s="352"/>
      <c r="O3909" s="352"/>
      <c r="P3909" s="352"/>
      <c r="Q3909" s="352"/>
      <c r="R3909" s="352"/>
      <c r="S3909" s="352"/>
      <c r="T3909" s="352"/>
      <c r="U3909" s="352"/>
      <c r="V3909" s="352"/>
      <c r="W3909" s="352"/>
      <c r="X3909" s="352"/>
      <c r="Y3909" s="352"/>
      <c r="Z3909" s="352"/>
      <c r="AA3909" s="352"/>
      <c r="AB3909" s="352"/>
      <c r="AC3909" s="352"/>
      <c r="AD3909" s="352"/>
      <c r="AE3909" s="352"/>
      <c r="AF3909" s="352"/>
      <c r="AG3909" s="352"/>
      <c r="AH3909" s="352"/>
      <c r="AI3909" s="352"/>
      <c r="AJ3909" s="352"/>
    </row>
    <row r="3910" spans="2:36" x14ac:dyDescent="0.2">
      <c r="B3910" s="352"/>
      <c r="C3910" s="352"/>
      <c r="D3910" s="352"/>
      <c r="E3910" s="352"/>
      <c r="F3910" s="352"/>
      <c r="H3910" s="352"/>
      <c r="J3910" s="352"/>
      <c r="L3910" s="352"/>
      <c r="M3910" s="352"/>
      <c r="N3910" s="352"/>
      <c r="O3910" s="352"/>
      <c r="P3910" s="352"/>
      <c r="Q3910" s="352"/>
      <c r="R3910" s="352"/>
      <c r="S3910" s="352"/>
      <c r="T3910" s="352"/>
      <c r="U3910" s="352"/>
      <c r="V3910" s="352"/>
      <c r="W3910" s="352"/>
      <c r="X3910" s="352"/>
      <c r="Y3910" s="352"/>
      <c r="Z3910" s="352"/>
      <c r="AA3910" s="352"/>
      <c r="AB3910" s="352"/>
      <c r="AC3910" s="352"/>
      <c r="AD3910" s="352"/>
      <c r="AE3910" s="352"/>
      <c r="AF3910" s="352"/>
      <c r="AG3910" s="352"/>
      <c r="AH3910" s="352"/>
      <c r="AI3910" s="352"/>
      <c r="AJ3910" s="352"/>
    </row>
    <row r="3911" spans="2:36" x14ac:dyDescent="0.2">
      <c r="B3911" s="352"/>
      <c r="C3911" s="352"/>
      <c r="D3911" s="352"/>
      <c r="E3911" s="352"/>
      <c r="F3911" s="352"/>
      <c r="H3911" s="352"/>
      <c r="J3911" s="352"/>
      <c r="L3911" s="352"/>
      <c r="M3911" s="352"/>
      <c r="N3911" s="352"/>
      <c r="O3911" s="352"/>
      <c r="P3911" s="352"/>
      <c r="Q3911" s="352"/>
      <c r="R3911" s="352"/>
      <c r="S3911" s="352"/>
      <c r="T3911" s="352"/>
      <c r="U3911" s="352"/>
      <c r="V3911" s="352"/>
      <c r="W3911" s="352"/>
      <c r="X3911" s="352"/>
      <c r="Y3911" s="352"/>
      <c r="Z3911" s="352"/>
      <c r="AA3911" s="352"/>
      <c r="AB3911" s="352"/>
      <c r="AC3911" s="352"/>
      <c r="AD3911" s="352"/>
      <c r="AE3911" s="352"/>
      <c r="AF3911" s="352"/>
      <c r="AG3911" s="352"/>
      <c r="AH3911" s="352"/>
      <c r="AI3911" s="352"/>
      <c r="AJ3911" s="352"/>
    </row>
    <row r="3912" spans="2:36" x14ac:dyDescent="0.2">
      <c r="B3912" s="352"/>
      <c r="C3912" s="352"/>
      <c r="D3912" s="352"/>
      <c r="E3912" s="352"/>
      <c r="F3912" s="352"/>
      <c r="H3912" s="352"/>
      <c r="J3912" s="352"/>
      <c r="L3912" s="352"/>
      <c r="M3912" s="352"/>
      <c r="N3912" s="352"/>
      <c r="O3912" s="352"/>
      <c r="P3912" s="352"/>
      <c r="Q3912" s="352"/>
      <c r="R3912" s="352"/>
      <c r="S3912" s="352"/>
      <c r="T3912" s="352"/>
      <c r="U3912" s="352"/>
      <c r="V3912" s="352"/>
      <c r="W3912" s="352"/>
      <c r="X3912" s="352"/>
      <c r="Y3912" s="352"/>
      <c r="Z3912" s="352"/>
      <c r="AA3912" s="352"/>
      <c r="AB3912" s="352"/>
      <c r="AC3912" s="352"/>
      <c r="AD3912" s="352"/>
      <c r="AE3912" s="352"/>
      <c r="AF3912" s="352"/>
      <c r="AG3912" s="352"/>
      <c r="AH3912" s="352"/>
      <c r="AI3912" s="352"/>
      <c r="AJ3912" s="352"/>
    </row>
    <row r="3913" spans="2:36" x14ac:dyDescent="0.2">
      <c r="B3913" s="352"/>
      <c r="C3913" s="352"/>
      <c r="D3913" s="352"/>
      <c r="E3913" s="352"/>
      <c r="F3913" s="352"/>
      <c r="H3913" s="352"/>
      <c r="J3913" s="352"/>
      <c r="L3913" s="352"/>
      <c r="M3913" s="352"/>
      <c r="N3913" s="352"/>
      <c r="O3913" s="352"/>
      <c r="P3913" s="352"/>
      <c r="Q3913" s="352"/>
      <c r="R3913" s="352"/>
      <c r="S3913" s="352"/>
      <c r="T3913" s="352"/>
      <c r="U3913" s="352"/>
      <c r="V3913" s="352"/>
      <c r="W3913" s="352"/>
      <c r="X3913" s="352"/>
      <c r="Y3913" s="352"/>
      <c r="Z3913" s="352"/>
      <c r="AA3913" s="352"/>
      <c r="AB3913" s="352"/>
      <c r="AC3913" s="352"/>
      <c r="AD3913" s="352"/>
      <c r="AE3913" s="352"/>
      <c r="AF3913" s="352"/>
      <c r="AG3913" s="352"/>
      <c r="AH3913" s="352"/>
      <c r="AI3913" s="352"/>
      <c r="AJ3913" s="352"/>
    </row>
    <row r="3914" spans="2:36" x14ac:dyDescent="0.2">
      <c r="B3914" s="352"/>
      <c r="C3914" s="352"/>
      <c r="D3914" s="352"/>
      <c r="E3914" s="352"/>
      <c r="F3914" s="352"/>
      <c r="H3914" s="352"/>
      <c r="J3914" s="352"/>
      <c r="L3914" s="352"/>
      <c r="M3914" s="352"/>
      <c r="N3914" s="352"/>
      <c r="O3914" s="352"/>
      <c r="P3914" s="352"/>
      <c r="Q3914" s="352"/>
      <c r="R3914" s="352"/>
      <c r="S3914" s="352"/>
      <c r="T3914" s="352"/>
      <c r="U3914" s="352"/>
      <c r="V3914" s="352"/>
      <c r="W3914" s="352"/>
      <c r="X3914" s="352"/>
      <c r="Y3914" s="352"/>
      <c r="Z3914" s="352"/>
      <c r="AA3914" s="352"/>
      <c r="AB3914" s="352"/>
      <c r="AC3914" s="352"/>
      <c r="AD3914" s="352"/>
      <c r="AE3914" s="352"/>
      <c r="AF3914" s="352"/>
      <c r="AG3914" s="352"/>
      <c r="AH3914" s="352"/>
      <c r="AI3914" s="352"/>
      <c r="AJ3914" s="352"/>
    </row>
    <row r="3915" spans="2:36" x14ac:dyDescent="0.2">
      <c r="B3915" s="352"/>
      <c r="C3915" s="352"/>
      <c r="D3915" s="352"/>
      <c r="E3915" s="352"/>
      <c r="F3915" s="352"/>
      <c r="H3915" s="352"/>
      <c r="J3915" s="352"/>
      <c r="L3915" s="352"/>
      <c r="M3915" s="352"/>
      <c r="N3915" s="352"/>
      <c r="O3915" s="352"/>
      <c r="P3915" s="352"/>
      <c r="Q3915" s="352"/>
      <c r="R3915" s="352"/>
      <c r="S3915" s="352"/>
      <c r="T3915" s="352"/>
      <c r="U3915" s="352"/>
      <c r="V3915" s="352"/>
      <c r="W3915" s="352"/>
      <c r="X3915" s="352"/>
      <c r="Y3915" s="352"/>
      <c r="Z3915" s="352"/>
      <c r="AA3915" s="352"/>
      <c r="AB3915" s="352"/>
      <c r="AC3915" s="352"/>
      <c r="AD3915" s="352"/>
      <c r="AE3915" s="352"/>
      <c r="AF3915" s="352"/>
      <c r="AG3915" s="352"/>
      <c r="AH3915" s="352"/>
      <c r="AI3915" s="352"/>
      <c r="AJ3915" s="352"/>
    </row>
    <row r="3916" spans="2:36" x14ac:dyDescent="0.2">
      <c r="B3916" s="352"/>
      <c r="C3916" s="352"/>
      <c r="D3916" s="352"/>
      <c r="E3916" s="352"/>
      <c r="F3916" s="352"/>
      <c r="H3916" s="352"/>
      <c r="J3916" s="352"/>
      <c r="L3916" s="352"/>
      <c r="M3916" s="352"/>
      <c r="N3916" s="352"/>
      <c r="O3916" s="352"/>
      <c r="P3916" s="352"/>
      <c r="Q3916" s="352"/>
      <c r="R3916" s="352"/>
      <c r="S3916" s="352"/>
      <c r="T3916" s="352"/>
      <c r="U3916" s="352"/>
      <c r="V3916" s="352"/>
      <c r="W3916" s="352"/>
      <c r="X3916" s="352"/>
      <c r="Y3916" s="352"/>
      <c r="Z3916" s="352"/>
      <c r="AA3916" s="352"/>
      <c r="AB3916" s="352"/>
      <c r="AC3916" s="352"/>
      <c r="AD3916" s="352"/>
      <c r="AE3916" s="352"/>
      <c r="AF3916" s="352"/>
      <c r="AG3916" s="352"/>
      <c r="AH3916" s="352"/>
      <c r="AI3916" s="352"/>
      <c r="AJ3916" s="352"/>
    </row>
    <row r="3917" spans="2:36" x14ac:dyDescent="0.2">
      <c r="B3917" s="352"/>
      <c r="C3917" s="352"/>
      <c r="D3917" s="352"/>
      <c r="E3917" s="352"/>
      <c r="F3917" s="352"/>
      <c r="H3917" s="352"/>
      <c r="J3917" s="352"/>
      <c r="L3917" s="352"/>
      <c r="M3917" s="352"/>
      <c r="N3917" s="352"/>
      <c r="O3917" s="352"/>
      <c r="P3917" s="352"/>
      <c r="Q3917" s="352"/>
      <c r="R3917" s="352"/>
      <c r="S3917" s="352"/>
      <c r="T3917" s="352"/>
      <c r="U3917" s="352"/>
      <c r="V3917" s="352"/>
      <c r="W3917" s="352"/>
      <c r="X3917" s="352"/>
      <c r="Y3917" s="352"/>
      <c r="Z3917" s="352"/>
      <c r="AA3917" s="352"/>
      <c r="AB3917" s="352"/>
      <c r="AC3917" s="352"/>
      <c r="AD3917" s="352"/>
      <c r="AE3917" s="352"/>
      <c r="AF3917" s="352"/>
      <c r="AG3917" s="352"/>
      <c r="AH3917" s="352"/>
      <c r="AI3917" s="352"/>
      <c r="AJ3917" s="352"/>
    </row>
    <row r="3918" spans="2:36" x14ac:dyDescent="0.2">
      <c r="B3918" s="352"/>
      <c r="C3918" s="352"/>
      <c r="D3918" s="352"/>
      <c r="E3918" s="352"/>
      <c r="F3918" s="352"/>
      <c r="H3918" s="352"/>
      <c r="J3918" s="352"/>
      <c r="L3918" s="352"/>
      <c r="M3918" s="352"/>
      <c r="N3918" s="352"/>
      <c r="O3918" s="352"/>
      <c r="P3918" s="352"/>
      <c r="Q3918" s="352"/>
      <c r="R3918" s="352"/>
      <c r="S3918" s="352"/>
      <c r="T3918" s="352"/>
      <c r="U3918" s="352"/>
      <c r="V3918" s="352"/>
      <c r="W3918" s="352"/>
      <c r="X3918" s="352"/>
      <c r="Y3918" s="352"/>
      <c r="Z3918" s="352"/>
      <c r="AA3918" s="352"/>
      <c r="AB3918" s="352"/>
      <c r="AC3918" s="352"/>
      <c r="AD3918" s="352"/>
      <c r="AE3918" s="352"/>
      <c r="AF3918" s="352"/>
      <c r="AG3918" s="352"/>
      <c r="AH3918" s="352"/>
      <c r="AI3918" s="352"/>
      <c r="AJ3918" s="352"/>
    </row>
    <row r="3919" spans="2:36" x14ac:dyDescent="0.2">
      <c r="B3919" s="352"/>
      <c r="C3919" s="352"/>
      <c r="D3919" s="352"/>
      <c r="E3919" s="352"/>
      <c r="F3919" s="352"/>
      <c r="H3919" s="352"/>
      <c r="J3919" s="352"/>
      <c r="L3919" s="352"/>
      <c r="M3919" s="352"/>
      <c r="N3919" s="352"/>
      <c r="O3919" s="352"/>
      <c r="P3919" s="352"/>
      <c r="Q3919" s="352"/>
      <c r="R3919" s="352"/>
      <c r="S3919" s="352"/>
      <c r="T3919" s="352"/>
      <c r="U3919" s="352"/>
      <c r="V3919" s="352"/>
      <c r="W3919" s="352"/>
      <c r="X3919" s="352"/>
      <c r="Y3919" s="352"/>
      <c r="Z3919" s="352"/>
      <c r="AA3919" s="352"/>
      <c r="AB3919" s="352"/>
      <c r="AC3919" s="352"/>
      <c r="AD3919" s="352"/>
      <c r="AE3919" s="352"/>
      <c r="AF3919" s="352"/>
      <c r="AG3919" s="352"/>
      <c r="AH3919" s="352"/>
      <c r="AI3919" s="352"/>
      <c r="AJ3919" s="352"/>
    </row>
    <row r="3920" spans="2:36" x14ac:dyDescent="0.2">
      <c r="B3920" s="352"/>
      <c r="C3920" s="352"/>
      <c r="D3920" s="352"/>
      <c r="E3920" s="352"/>
      <c r="F3920" s="352"/>
      <c r="H3920" s="352"/>
      <c r="J3920" s="352"/>
      <c r="L3920" s="352"/>
      <c r="M3920" s="352"/>
      <c r="N3920" s="352"/>
      <c r="O3920" s="352"/>
      <c r="P3920" s="352"/>
      <c r="Q3920" s="352"/>
      <c r="R3920" s="352"/>
      <c r="S3920" s="352"/>
      <c r="T3920" s="352"/>
      <c r="U3920" s="352"/>
      <c r="V3920" s="352"/>
      <c r="W3920" s="352"/>
      <c r="X3920" s="352"/>
      <c r="Y3920" s="352"/>
      <c r="Z3920" s="352"/>
      <c r="AA3920" s="352"/>
      <c r="AB3920" s="352"/>
      <c r="AC3920" s="352"/>
      <c r="AD3920" s="352"/>
      <c r="AE3920" s="352"/>
      <c r="AF3920" s="352"/>
      <c r="AG3920" s="352"/>
      <c r="AH3920" s="352"/>
      <c r="AI3920" s="352"/>
      <c r="AJ3920" s="352"/>
    </row>
    <row r="3921" spans="2:36" x14ac:dyDescent="0.2">
      <c r="B3921" s="352"/>
      <c r="C3921" s="352"/>
      <c r="D3921" s="352"/>
      <c r="E3921" s="352"/>
      <c r="F3921" s="352"/>
      <c r="H3921" s="352"/>
      <c r="J3921" s="352"/>
      <c r="L3921" s="352"/>
      <c r="M3921" s="352"/>
      <c r="N3921" s="352"/>
      <c r="O3921" s="352"/>
      <c r="P3921" s="352"/>
      <c r="Q3921" s="352"/>
      <c r="R3921" s="352"/>
      <c r="S3921" s="352"/>
      <c r="T3921" s="352"/>
      <c r="U3921" s="352"/>
      <c r="V3921" s="352"/>
      <c r="W3921" s="352"/>
      <c r="X3921" s="352"/>
      <c r="Y3921" s="352"/>
      <c r="Z3921" s="352"/>
      <c r="AA3921" s="352"/>
      <c r="AB3921" s="352"/>
      <c r="AC3921" s="352"/>
      <c r="AD3921" s="352"/>
      <c r="AE3921" s="352"/>
      <c r="AF3921" s="352"/>
      <c r="AG3921" s="352"/>
      <c r="AH3921" s="352"/>
      <c r="AI3921" s="352"/>
      <c r="AJ3921" s="352"/>
    </row>
    <row r="3922" spans="2:36" x14ac:dyDescent="0.2">
      <c r="B3922" s="352"/>
      <c r="C3922" s="352"/>
      <c r="D3922" s="352"/>
      <c r="E3922" s="352"/>
      <c r="F3922" s="352"/>
      <c r="H3922" s="352"/>
      <c r="J3922" s="352"/>
      <c r="L3922" s="352"/>
      <c r="M3922" s="352"/>
      <c r="N3922" s="352"/>
      <c r="O3922" s="352"/>
      <c r="P3922" s="352"/>
      <c r="Q3922" s="352"/>
      <c r="R3922" s="352"/>
      <c r="S3922" s="352"/>
      <c r="T3922" s="352"/>
      <c r="U3922" s="352"/>
      <c r="V3922" s="352"/>
      <c r="W3922" s="352"/>
      <c r="X3922" s="352"/>
      <c r="Y3922" s="352"/>
      <c r="Z3922" s="352"/>
      <c r="AA3922" s="352"/>
      <c r="AB3922" s="352"/>
      <c r="AC3922" s="352"/>
      <c r="AD3922" s="352"/>
      <c r="AE3922" s="352"/>
      <c r="AF3922" s="352"/>
      <c r="AG3922" s="352"/>
      <c r="AH3922" s="352"/>
      <c r="AI3922" s="352"/>
      <c r="AJ3922" s="352"/>
    </row>
    <row r="3923" spans="2:36" x14ac:dyDescent="0.2">
      <c r="B3923" s="352"/>
      <c r="C3923" s="352"/>
      <c r="D3923" s="352"/>
      <c r="E3923" s="352"/>
      <c r="F3923" s="352"/>
      <c r="H3923" s="352"/>
      <c r="J3923" s="352"/>
      <c r="L3923" s="352"/>
      <c r="M3923" s="352"/>
      <c r="N3923" s="352"/>
      <c r="O3923" s="352"/>
      <c r="P3923" s="352"/>
      <c r="Q3923" s="352"/>
      <c r="R3923" s="352"/>
      <c r="S3923" s="352"/>
      <c r="T3923" s="352"/>
      <c r="U3923" s="352"/>
      <c r="V3923" s="352"/>
      <c r="W3923" s="352"/>
      <c r="X3923" s="352"/>
      <c r="Y3923" s="352"/>
      <c r="Z3923" s="352"/>
      <c r="AA3923" s="352"/>
      <c r="AB3923" s="352"/>
      <c r="AC3923" s="352"/>
      <c r="AD3923" s="352"/>
      <c r="AE3923" s="352"/>
      <c r="AF3923" s="352"/>
      <c r="AG3923" s="352"/>
      <c r="AH3923" s="352"/>
      <c r="AI3923" s="352"/>
      <c r="AJ3923" s="352"/>
    </row>
    <row r="3924" spans="2:36" x14ac:dyDescent="0.2">
      <c r="B3924" s="352"/>
      <c r="C3924" s="352"/>
      <c r="D3924" s="352"/>
      <c r="E3924" s="352"/>
      <c r="F3924" s="352"/>
      <c r="H3924" s="352"/>
      <c r="J3924" s="352"/>
      <c r="L3924" s="352"/>
      <c r="M3924" s="352"/>
      <c r="N3924" s="352"/>
      <c r="O3924" s="352"/>
      <c r="P3924" s="352"/>
      <c r="Q3924" s="352"/>
      <c r="R3924" s="352"/>
      <c r="S3924" s="352"/>
      <c r="T3924" s="352"/>
      <c r="U3924" s="352"/>
      <c r="V3924" s="352"/>
      <c r="W3924" s="352"/>
      <c r="X3924" s="352"/>
      <c r="Y3924" s="352"/>
      <c r="Z3924" s="352"/>
      <c r="AA3924" s="352"/>
      <c r="AB3924" s="352"/>
      <c r="AC3924" s="352"/>
      <c r="AD3924" s="352"/>
      <c r="AE3924" s="352"/>
      <c r="AF3924" s="352"/>
      <c r="AG3924" s="352"/>
      <c r="AH3924" s="352"/>
      <c r="AI3924" s="352"/>
      <c r="AJ3924" s="352"/>
    </row>
    <row r="3925" spans="2:36" x14ac:dyDescent="0.2">
      <c r="B3925" s="352"/>
      <c r="C3925" s="352"/>
      <c r="D3925" s="352"/>
      <c r="E3925" s="352"/>
      <c r="F3925" s="352"/>
      <c r="H3925" s="352"/>
      <c r="J3925" s="352"/>
      <c r="L3925" s="352"/>
      <c r="M3925" s="352"/>
      <c r="N3925" s="352"/>
      <c r="O3925" s="352"/>
      <c r="P3925" s="352"/>
      <c r="Q3925" s="352"/>
      <c r="R3925" s="352"/>
      <c r="S3925" s="352"/>
      <c r="T3925" s="352"/>
      <c r="U3925" s="352"/>
      <c r="V3925" s="352"/>
      <c r="W3925" s="352"/>
      <c r="X3925" s="352"/>
      <c r="Y3925" s="352"/>
      <c r="Z3925" s="352"/>
      <c r="AA3925" s="352"/>
      <c r="AB3925" s="352"/>
      <c r="AC3925" s="352"/>
      <c r="AD3925" s="352"/>
      <c r="AE3925" s="352"/>
      <c r="AF3925" s="352"/>
      <c r="AG3925" s="352"/>
      <c r="AH3925" s="352"/>
      <c r="AI3925" s="352"/>
      <c r="AJ3925" s="352"/>
    </row>
    <row r="3926" spans="2:36" x14ac:dyDescent="0.2">
      <c r="B3926" s="352"/>
      <c r="C3926" s="352"/>
      <c r="D3926" s="352"/>
      <c r="E3926" s="352"/>
      <c r="F3926" s="352"/>
      <c r="H3926" s="352"/>
      <c r="J3926" s="352"/>
      <c r="L3926" s="352"/>
      <c r="M3926" s="352"/>
      <c r="N3926" s="352"/>
      <c r="O3926" s="352"/>
      <c r="P3926" s="352"/>
      <c r="Q3926" s="352"/>
      <c r="R3926" s="352"/>
      <c r="S3926" s="352"/>
      <c r="T3926" s="352"/>
      <c r="U3926" s="352"/>
      <c r="V3926" s="352"/>
      <c r="W3926" s="352"/>
      <c r="X3926" s="352"/>
      <c r="Y3926" s="352"/>
      <c r="Z3926" s="352"/>
      <c r="AA3926" s="352"/>
      <c r="AB3926" s="352"/>
      <c r="AC3926" s="352"/>
      <c r="AD3926" s="352"/>
      <c r="AE3926" s="352"/>
      <c r="AF3926" s="352"/>
      <c r="AG3926" s="352"/>
      <c r="AH3926" s="352"/>
      <c r="AI3926" s="352"/>
      <c r="AJ3926" s="352"/>
    </row>
    <row r="3927" spans="2:36" x14ac:dyDescent="0.2">
      <c r="B3927" s="352"/>
      <c r="C3927" s="352"/>
      <c r="D3927" s="352"/>
      <c r="E3927" s="352"/>
      <c r="F3927" s="352"/>
      <c r="H3927" s="352"/>
      <c r="J3927" s="352"/>
      <c r="L3927" s="352"/>
      <c r="M3927" s="352"/>
      <c r="N3927" s="352"/>
      <c r="O3927" s="352"/>
      <c r="P3927" s="352"/>
      <c r="Q3927" s="352"/>
      <c r="R3927" s="352"/>
      <c r="S3927" s="352"/>
      <c r="T3927" s="352"/>
      <c r="U3927" s="352"/>
      <c r="V3927" s="352"/>
      <c r="W3927" s="352"/>
      <c r="X3927" s="352"/>
      <c r="Y3927" s="352"/>
      <c r="Z3927" s="352"/>
      <c r="AA3927" s="352"/>
      <c r="AB3927" s="352"/>
      <c r="AC3927" s="352"/>
      <c r="AD3927" s="352"/>
      <c r="AE3927" s="352"/>
      <c r="AF3927" s="352"/>
      <c r="AG3927" s="352"/>
      <c r="AH3927" s="352"/>
      <c r="AI3927" s="352"/>
      <c r="AJ3927" s="352"/>
    </row>
    <row r="3928" spans="2:36" x14ac:dyDescent="0.2">
      <c r="B3928" s="352"/>
      <c r="C3928" s="352"/>
      <c r="D3928" s="352"/>
      <c r="E3928" s="352"/>
      <c r="F3928" s="352"/>
      <c r="H3928" s="352"/>
      <c r="J3928" s="352"/>
      <c r="L3928" s="352"/>
      <c r="M3928" s="352"/>
      <c r="N3928" s="352"/>
      <c r="O3928" s="352"/>
      <c r="P3928" s="352"/>
      <c r="Q3928" s="352"/>
      <c r="R3928" s="352"/>
      <c r="S3928" s="352"/>
      <c r="T3928" s="352"/>
      <c r="U3928" s="352"/>
      <c r="V3928" s="352"/>
      <c r="W3928" s="352"/>
      <c r="X3928" s="352"/>
      <c r="Y3928" s="352"/>
      <c r="Z3928" s="352"/>
      <c r="AA3928" s="352"/>
      <c r="AB3928" s="352"/>
      <c r="AC3928" s="352"/>
      <c r="AD3928" s="352"/>
      <c r="AE3928" s="352"/>
      <c r="AF3928" s="352"/>
      <c r="AG3928" s="352"/>
      <c r="AH3928" s="352"/>
      <c r="AI3928" s="352"/>
      <c r="AJ3928" s="352"/>
    </row>
    <row r="3929" spans="2:36" x14ac:dyDescent="0.2">
      <c r="B3929" s="352"/>
      <c r="C3929" s="352"/>
      <c r="D3929" s="352"/>
      <c r="E3929" s="352"/>
      <c r="F3929" s="352"/>
      <c r="H3929" s="352"/>
      <c r="J3929" s="352"/>
      <c r="L3929" s="352"/>
      <c r="M3929" s="352"/>
      <c r="N3929" s="352"/>
      <c r="O3929" s="352"/>
      <c r="P3929" s="352"/>
      <c r="Q3929" s="352"/>
      <c r="R3929" s="352"/>
      <c r="S3929" s="352"/>
      <c r="T3929" s="352"/>
      <c r="U3929" s="352"/>
      <c r="V3929" s="352"/>
      <c r="W3929" s="352"/>
      <c r="X3929" s="352"/>
      <c r="Y3929" s="352"/>
      <c r="Z3929" s="352"/>
      <c r="AA3929" s="352"/>
      <c r="AB3929" s="352"/>
      <c r="AC3929" s="352"/>
      <c r="AD3929" s="352"/>
      <c r="AE3929" s="352"/>
      <c r="AF3929" s="352"/>
      <c r="AG3929" s="352"/>
      <c r="AH3929" s="352"/>
      <c r="AI3929" s="352"/>
      <c r="AJ3929" s="352"/>
    </row>
    <row r="3930" spans="2:36" x14ac:dyDescent="0.2">
      <c r="B3930" s="352"/>
      <c r="C3930" s="352"/>
      <c r="D3930" s="352"/>
      <c r="E3930" s="352"/>
      <c r="F3930" s="352"/>
      <c r="H3930" s="352"/>
      <c r="J3930" s="352"/>
      <c r="L3930" s="352"/>
      <c r="M3930" s="352"/>
      <c r="N3930" s="352"/>
      <c r="O3930" s="352"/>
      <c r="P3930" s="352"/>
      <c r="Q3930" s="352"/>
      <c r="R3930" s="352"/>
      <c r="S3930" s="352"/>
      <c r="T3930" s="352"/>
      <c r="U3930" s="352"/>
      <c r="V3930" s="352"/>
      <c r="W3930" s="352"/>
      <c r="X3930" s="352"/>
      <c r="Y3930" s="352"/>
      <c r="Z3930" s="352"/>
      <c r="AA3930" s="352"/>
      <c r="AB3930" s="352"/>
      <c r="AC3930" s="352"/>
      <c r="AD3930" s="352"/>
      <c r="AE3930" s="352"/>
      <c r="AF3930" s="352"/>
      <c r="AG3930" s="352"/>
      <c r="AH3930" s="352"/>
      <c r="AI3930" s="352"/>
      <c r="AJ3930" s="352"/>
    </row>
    <row r="3931" spans="2:36" x14ac:dyDescent="0.2">
      <c r="B3931" s="352"/>
      <c r="C3931" s="352"/>
      <c r="D3931" s="352"/>
      <c r="E3931" s="352"/>
      <c r="F3931" s="352"/>
      <c r="H3931" s="352"/>
      <c r="J3931" s="352"/>
      <c r="L3931" s="352"/>
      <c r="M3931" s="352"/>
      <c r="N3931" s="352"/>
      <c r="O3931" s="352"/>
      <c r="P3931" s="352"/>
      <c r="Q3931" s="352"/>
      <c r="R3931" s="352"/>
      <c r="S3931" s="352"/>
      <c r="T3931" s="352"/>
      <c r="U3931" s="352"/>
      <c r="V3931" s="352"/>
      <c r="W3931" s="352"/>
      <c r="X3931" s="352"/>
      <c r="Y3931" s="352"/>
      <c r="Z3931" s="352"/>
      <c r="AA3931" s="352"/>
      <c r="AB3931" s="352"/>
      <c r="AC3931" s="352"/>
      <c r="AD3931" s="352"/>
      <c r="AE3931" s="352"/>
      <c r="AF3931" s="352"/>
      <c r="AG3931" s="352"/>
      <c r="AH3931" s="352"/>
      <c r="AI3931" s="352"/>
      <c r="AJ3931" s="352"/>
    </row>
    <row r="3932" spans="2:36" x14ac:dyDescent="0.2">
      <c r="B3932" s="352"/>
      <c r="C3932" s="352"/>
      <c r="D3932" s="352"/>
      <c r="E3932" s="352"/>
      <c r="F3932" s="352"/>
      <c r="H3932" s="352"/>
      <c r="J3932" s="352"/>
      <c r="L3932" s="352"/>
      <c r="M3932" s="352"/>
      <c r="N3932" s="352"/>
      <c r="O3932" s="352"/>
      <c r="P3932" s="352"/>
      <c r="Q3932" s="352"/>
      <c r="R3932" s="352"/>
      <c r="S3932" s="352"/>
      <c r="T3932" s="352"/>
      <c r="U3932" s="352"/>
      <c r="V3932" s="352"/>
      <c r="W3932" s="352"/>
      <c r="X3932" s="352"/>
      <c r="Y3932" s="352"/>
      <c r="Z3932" s="352"/>
      <c r="AA3932" s="352"/>
      <c r="AB3932" s="352"/>
      <c r="AC3932" s="352"/>
      <c r="AD3932" s="352"/>
      <c r="AE3932" s="352"/>
      <c r="AF3932" s="352"/>
      <c r="AG3932" s="352"/>
      <c r="AH3932" s="352"/>
      <c r="AI3932" s="352"/>
      <c r="AJ3932" s="352"/>
    </row>
    <row r="3933" spans="2:36" x14ac:dyDescent="0.2">
      <c r="B3933" s="352"/>
      <c r="C3933" s="352"/>
      <c r="D3933" s="352"/>
      <c r="E3933" s="352"/>
      <c r="F3933" s="352"/>
      <c r="H3933" s="352"/>
      <c r="J3933" s="352"/>
      <c r="L3933" s="352"/>
      <c r="M3933" s="352"/>
      <c r="N3933" s="352"/>
      <c r="O3933" s="352"/>
      <c r="P3933" s="352"/>
      <c r="Q3933" s="352"/>
      <c r="R3933" s="352"/>
      <c r="S3933" s="352"/>
      <c r="T3933" s="352"/>
      <c r="U3933" s="352"/>
      <c r="V3933" s="352"/>
      <c r="W3933" s="352"/>
      <c r="X3933" s="352"/>
      <c r="Y3933" s="352"/>
      <c r="Z3933" s="352"/>
      <c r="AA3933" s="352"/>
      <c r="AB3933" s="352"/>
      <c r="AC3933" s="352"/>
      <c r="AD3933" s="352"/>
      <c r="AE3933" s="352"/>
      <c r="AF3933" s="352"/>
      <c r="AG3933" s="352"/>
      <c r="AH3933" s="352"/>
      <c r="AI3933" s="352"/>
      <c r="AJ3933" s="352"/>
    </row>
    <row r="3934" spans="2:36" x14ac:dyDescent="0.2">
      <c r="B3934" s="352"/>
      <c r="C3934" s="352"/>
      <c r="D3934" s="352"/>
      <c r="E3934" s="352"/>
      <c r="F3934" s="352"/>
      <c r="H3934" s="352"/>
      <c r="J3934" s="352"/>
      <c r="L3934" s="352"/>
      <c r="M3934" s="352"/>
      <c r="N3934" s="352"/>
      <c r="O3934" s="352"/>
      <c r="P3934" s="352"/>
      <c r="Q3934" s="352"/>
      <c r="R3934" s="352"/>
      <c r="S3934" s="352"/>
      <c r="T3934" s="352"/>
      <c r="U3934" s="352"/>
      <c r="V3934" s="352"/>
      <c r="W3934" s="352"/>
      <c r="X3934" s="352"/>
      <c r="Y3934" s="352"/>
      <c r="Z3934" s="352"/>
      <c r="AA3934" s="352"/>
      <c r="AB3934" s="352"/>
      <c r="AC3934" s="352"/>
      <c r="AD3934" s="352"/>
      <c r="AE3934" s="352"/>
      <c r="AF3934" s="352"/>
      <c r="AG3934" s="352"/>
      <c r="AH3934" s="352"/>
      <c r="AI3934" s="352"/>
      <c r="AJ3934" s="352"/>
    </row>
    <row r="3935" spans="2:36" x14ac:dyDescent="0.2">
      <c r="B3935" s="352"/>
      <c r="C3935" s="352"/>
      <c r="D3935" s="352"/>
      <c r="E3935" s="352"/>
      <c r="F3935" s="352"/>
      <c r="H3935" s="352"/>
      <c r="J3935" s="352"/>
      <c r="L3935" s="352"/>
      <c r="M3935" s="352"/>
      <c r="N3935" s="352"/>
      <c r="O3935" s="352"/>
      <c r="P3935" s="352"/>
      <c r="Q3935" s="352"/>
      <c r="R3935" s="352"/>
      <c r="S3935" s="352"/>
      <c r="T3935" s="352"/>
      <c r="U3935" s="352"/>
      <c r="V3935" s="352"/>
      <c r="W3935" s="352"/>
      <c r="X3935" s="352"/>
      <c r="Y3935" s="352"/>
      <c r="Z3935" s="352"/>
      <c r="AA3935" s="352"/>
      <c r="AB3935" s="352"/>
      <c r="AC3935" s="352"/>
      <c r="AD3935" s="352"/>
      <c r="AE3935" s="352"/>
      <c r="AF3935" s="352"/>
      <c r="AG3935" s="352"/>
      <c r="AH3935" s="352"/>
      <c r="AI3935" s="352"/>
      <c r="AJ3935" s="352"/>
    </row>
    <row r="3936" spans="2:36" x14ac:dyDescent="0.2">
      <c r="B3936" s="352"/>
      <c r="C3936" s="352"/>
      <c r="D3936" s="352"/>
      <c r="E3936" s="352"/>
      <c r="F3936" s="352"/>
      <c r="H3936" s="352"/>
      <c r="J3936" s="352"/>
      <c r="L3936" s="352"/>
      <c r="M3936" s="352"/>
      <c r="N3936" s="352"/>
      <c r="O3936" s="352"/>
      <c r="P3936" s="352"/>
      <c r="Q3936" s="352"/>
      <c r="R3936" s="352"/>
      <c r="S3936" s="352"/>
      <c r="T3936" s="352"/>
      <c r="U3936" s="352"/>
      <c r="V3936" s="352"/>
      <c r="W3936" s="352"/>
      <c r="X3936" s="352"/>
      <c r="Y3936" s="352"/>
      <c r="Z3936" s="352"/>
      <c r="AA3936" s="352"/>
      <c r="AB3936" s="352"/>
      <c r="AC3936" s="352"/>
      <c r="AD3936" s="352"/>
      <c r="AE3936" s="352"/>
      <c r="AF3936" s="352"/>
      <c r="AG3936" s="352"/>
      <c r="AH3936" s="352"/>
      <c r="AI3936" s="352"/>
      <c r="AJ3936" s="352"/>
    </row>
    <row r="3937" spans="2:36" x14ac:dyDescent="0.2">
      <c r="B3937" s="352"/>
      <c r="C3937" s="352"/>
      <c r="D3937" s="352"/>
      <c r="E3937" s="352"/>
      <c r="F3937" s="352"/>
      <c r="H3937" s="352"/>
      <c r="J3937" s="352"/>
      <c r="L3937" s="352"/>
      <c r="M3937" s="352"/>
      <c r="N3937" s="352"/>
      <c r="O3937" s="352"/>
      <c r="P3937" s="352"/>
      <c r="Q3937" s="352"/>
      <c r="R3937" s="352"/>
      <c r="S3937" s="352"/>
      <c r="T3937" s="352"/>
      <c r="U3937" s="352"/>
      <c r="V3937" s="352"/>
      <c r="W3937" s="352"/>
      <c r="X3937" s="352"/>
      <c r="Y3937" s="352"/>
      <c r="Z3937" s="352"/>
      <c r="AA3937" s="352"/>
      <c r="AB3937" s="352"/>
      <c r="AC3937" s="352"/>
      <c r="AD3937" s="352"/>
      <c r="AE3937" s="352"/>
      <c r="AF3937" s="352"/>
      <c r="AG3937" s="352"/>
      <c r="AH3937" s="352"/>
      <c r="AI3937" s="352"/>
      <c r="AJ3937" s="352"/>
    </row>
    <row r="3938" spans="2:36" x14ac:dyDescent="0.2">
      <c r="B3938" s="352"/>
      <c r="C3938" s="352"/>
      <c r="D3938" s="352"/>
      <c r="E3938" s="352"/>
      <c r="F3938" s="352"/>
      <c r="H3938" s="352"/>
      <c r="J3938" s="352"/>
      <c r="L3938" s="352"/>
      <c r="M3938" s="352"/>
      <c r="N3938" s="352"/>
      <c r="O3938" s="352"/>
      <c r="P3938" s="352"/>
      <c r="Q3938" s="352"/>
      <c r="R3938" s="352"/>
      <c r="S3938" s="352"/>
      <c r="T3938" s="352"/>
      <c r="U3938" s="352"/>
      <c r="V3938" s="352"/>
      <c r="W3938" s="352"/>
      <c r="X3938" s="352"/>
      <c r="Y3938" s="352"/>
      <c r="Z3938" s="352"/>
      <c r="AA3938" s="352"/>
      <c r="AB3938" s="352"/>
      <c r="AC3938" s="352"/>
      <c r="AD3938" s="352"/>
      <c r="AE3938" s="352"/>
      <c r="AF3938" s="352"/>
      <c r="AG3938" s="352"/>
      <c r="AH3938" s="352"/>
      <c r="AI3938" s="352"/>
      <c r="AJ3938" s="352"/>
    </row>
    <row r="3939" spans="2:36" x14ac:dyDescent="0.2">
      <c r="B3939" s="352"/>
      <c r="C3939" s="352"/>
      <c r="D3939" s="352"/>
      <c r="E3939" s="352"/>
      <c r="F3939" s="352"/>
      <c r="H3939" s="352"/>
      <c r="J3939" s="352"/>
      <c r="L3939" s="352"/>
      <c r="M3939" s="352"/>
      <c r="N3939" s="352"/>
      <c r="O3939" s="352"/>
      <c r="P3939" s="352"/>
      <c r="Q3939" s="352"/>
      <c r="R3939" s="352"/>
      <c r="S3939" s="352"/>
      <c r="T3939" s="352"/>
      <c r="U3939" s="352"/>
      <c r="V3939" s="352"/>
      <c r="W3939" s="352"/>
      <c r="X3939" s="352"/>
      <c r="Y3939" s="352"/>
      <c r="Z3939" s="352"/>
      <c r="AA3939" s="352"/>
      <c r="AB3939" s="352"/>
      <c r="AC3939" s="352"/>
      <c r="AD3939" s="352"/>
      <c r="AE3939" s="352"/>
      <c r="AF3939" s="352"/>
      <c r="AG3939" s="352"/>
      <c r="AH3939" s="352"/>
      <c r="AI3939" s="352"/>
      <c r="AJ3939" s="352"/>
    </row>
    <row r="3940" spans="2:36" x14ac:dyDescent="0.2">
      <c r="B3940" s="352"/>
      <c r="C3940" s="352"/>
      <c r="D3940" s="352"/>
      <c r="E3940" s="352"/>
      <c r="F3940" s="352"/>
      <c r="H3940" s="352"/>
      <c r="J3940" s="352"/>
      <c r="L3940" s="352"/>
      <c r="M3940" s="352"/>
      <c r="N3940" s="352"/>
      <c r="O3940" s="352"/>
      <c r="P3940" s="352"/>
      <c r="Q3940" s="352"/>
      <c r="R3940" s="352"/>
      <c r="S3940" s="352"/>
      <c r="T3940" s="352"/>
      <c r="U3940" s="352"/>
      <c r="V3940" s="352"/>
      <c r="W3940" s="352"/>
      <c r="X3940" s="352"/>
      <c r="Y3940" s="352"/>
      <c r="Z3940" s="352"/>
      <c r="AA3940" s="352"/>
      <c r="AB3940" s="352"/>
      <c r="AC3940" s="352"/>
      <c r="AD3940" s="352"/>
      <c r="AE3940" s="352"/>
      <c r="AF3940" s="352"/>
      <c r="AG3940" s="352"/>
      <c r="AH3940" s="352"/>
      <c r="AI3940" s="352"/>
      <c r="AJ3940" s="352"/>
    </row>
    <row r="3941" spans="2:36" x14ac:dyDescent="0.2">
      <c r="B3941" s="352"/>
      <c r="C3941" s="352"/>
      <c r="D3941" s="352"/>
      <c r="E3941" s="352"/>
      <c r="F3941" s="352"/>
      <c r="H3941" s="352"/>
      <c r="J3941" s="352"/>
      <c r="L3941" s="352"/>
      <c r="M3941" s="352"/>
      <c r="N3941" s="352"/>
      <c r="O3941" s="352"/>
      <c r="P3941" s="352"/>
      <c r="Q3941" s="352"/>
      <c r="R3941" s="352"/>
      <c r="S3941" s="352"/>
      <c r="T3941" s="352"/>
      <c r="U3941" s="352"/>
      <c r="V3941" s="352"/>
      <c r="W3941" s="352"/>
      <c r="X3941" s="352"/>
      <c r="Y3941" s="352"/>
      <c r="Z3941" s="352"/>
      <c r="AA3941" s="352"/>
      <c r="AB3941" s="352"/>
      <c r="AC3941" s="352"/>
      <c r="AD3941" s="352"/>
      <c r="AE3941" s="352"/>
      <c r="AF3941" s="352"/>
      <c r="AG3941" s="352"/>
      <c r="AH3941" s="352"/>
      <c r="AI3941" s="352"/>
      <c r="AJ3941" s="352"/>
    </row>
    <row r="3942" spans="2:36" x14ac:dyDescent="0.2">
      <c r="B3942" s="352"/>
      <c r="C3942" s="352"/>
      <c r="D3942" s="352"/>
      <c r="E3942" s="352"/>
      <c r="F3942" s="352"/>
      <c r="H3942" s="352"/>
      <c r="J3942" s="352"/>
      <c r="L3942" s="352"/>
      <c r="M3942" s="352"/>
      <c r="N3942" s="352"/>
      <c r="O3942" s="352"/>
      <c r="P3942" s="352"/>
      <c r="Q3942" s="352"/>
      <c r="R3942" s="352"/>
      <c r="S3942" s="352"/>
      <c r="T3942" s="352"/>
      <c r="U3942" s="352"/>
      <c r="V3942" s="352"/>
      <c r="W3942" s="352"/>
      <c r="X3942" s="352"/>
      <c r="Y3942" s="352"/>
      <c r="Z3942" s="352"/>
      <c r="AA3942" s="352"/>
      <c r="AB3942" s="352"/>
      <c r="AC3942" s="352"/>
      <c r="AD3942" s="352"/>
      <c r="AE3942" s="352"/>
      <c r="AF3942" s="352"/>
      <c r="AG3942" s="352"/>
      <c r="AH3942" s="352"/>
      <c r="AI3942" s="352"/>
      <c r="AJ3942" s="352"/>
    </row>
    <row r="3943" spans="2:36" x14ac:dyDescent="0.2">
      <c r="B3943" s="352"/>
      <c r="C3943" s="352"/>
      <c r="D3943" s="352"/>
      <c r="E3943" s="352"/>
      <c r="F3943" s="352"/>
      <c r="H3943" s="352"/>
      <c r="J3943" s="352"/>
      <c r="L3943" s="352"/>
      <c r="M3943" s="352"/>
      <c r="N3943" s="352"/>
      <c r="O3943" s="352"/>
      <c r="P3943" s="352"/>
      <c r="Q3943" s="352"/>
      <c r="R3943" s="352"/>
      <c r="S3943" s="352"/>
      <c r="T3943" s="352"/>
      <c r="U3943" s="352"/>
      <c r="V3943" s="352"/>
      <c r="W3943" s="352"/>
      <c r="X3943" s="352"/>
      <c r="Y3943" s="352"/>
      <c r="Z3943" s="352"/>
      <c r="AA3943" s="352"/>
      <c r="AB3943" s="352"/>
      <c r="AC3943" s="352"/>
      <c r="AD3943" s="352"/>
      <c r="AE3943" s="352"/>
      <c r="AF3943" s="352"/>
      <c r="AG3943" s="352"/>
      <c r="AH3943" s="352"/>
      <c r="AI3943" s="352"/>
      <c r="AJ3943" s="352"/>
    </row>
    <row r="3944" spans="2:36" x14ac:dyDescent="0.2">
      <c r="B3944" s="352"/>
      <c r="C3944" s="352"/>
      <c r="D3944" s="352"/>
      <c r="E3944" s="352"/>
      <c r="F3944" s="352"/>
      <c r="H3944" s="352"/>
      <c r="J3944" s="352"/>
      <c r="L3944" s="352"/>
      <c r="M3944" s="352"/>
      <c r="N3944" s="352"/>
      <c r="O3944" s="352"/>
      <c r="P3944" s="352"/>
      <c r="Q3944" s="352"/>
      <c r="R3944" s="352"/>
      <c r="S3944" s="352"/>
      <c r="T3944" s="352"/>
      <c r="U3944" s="352"/>
      <c r="V3944" s="352"/>
      <c r="W3944" s="352"/>
      <c r="X3944" s="352"/>
      <c r="Y3944" s="352"/>
      <c r="Z3944" s="352"/>
      <c r="AA3944" s="352"/>
      <c r="AB3944" s="352"/>
      <c r="AC3944" s="352"/>
      <c r="AD3944" s="352"/>
      <c r="AE3944" s="352"/>
      <c r="AF3944" s="352"/>
      <c r="AG3944" s="352"/>
      <c r="AH3944" s="352"/>
      <c r="AI3944" s="352"/>
      <c r="AJ3944" s="352"/>
    </row>
    <row r="3945" spans="2:36" x14ac:dyDescent="0.2">
      <c r="B3945" s="352"/>
      <c r="C3945" s="352"/>
      <c r="D3945" s="352"/>
      <c r="E3945" s="352"/>
      <c r="F3945" s="352"/>
      <c r="H3945" s="352"/>
      <c r="J3945" s="352"/>
      <c r="L3945" s="352"/>
      <c r="M3945" s="352"/>
      <c r="N3945" s="352"/>
      <c r="O3945" s="352"/>
      <c r="P3945" s="352"/>
      <c r="Q3945" s="352"/>
      <c r="R3945" s="352"/>
      <c r="S3945" s="352"/>
      <c r="T3945" s="352"/>
      <c r="U3945" s="352"/>
      <c r="V3945" s="352"/>
      <c r="W3945" s="352"/>
      <c r="X3945" s="352"/>
      <c r="Y3945" s="352"/>
      <c r="Z3945" s="352"/>
      <c r="AA3945" s="352"/>
      <c r="AB3945" s="352"/>
      <c r="AC3945" s="352"/>
      <c r="AD3945" s="352"/>
      <c r="AE3945" s="352"/>
      <c r="AF3945" s="352"/>
      <c r="AG3945" s="352"/>
      <c r="AH3945" s="352"/>
      <c r="AI3945" s="352"/>
      <c r="AJ3945" s="352"/>
    </row>
    <row r="3946" spans="2:36" x14ac:dyDescent="0.2">
      <c r="B3946" s="352"/>
      <c r="C3946" s="352"/>
      <c r="D3946" s="352"/>
      <c r="E3946" s="352"/>
      <c r="F3946" s="352"/>
      <c r="H3946" s="352"/>
      <c r="J3946" s="352"/>
      <c r="L3946" s="352"/>
      <c r="M3946" s="352"/>
      <c r="N3946" s="352"/>
      <c r="O3946" s="352"/>
      <c r="P3946" s="352"/>
      <c r="Q3946" s="352"/>
      <c r="R3946" s="352"/>
      <c r="S3946" s="352"/>
      <c r="T3946" s="352"/>
      <c r="U3946" s="352"/>
      <c r="V3946" s="352"/>
      <c r="W3946" s="352"/>
      <c r="X3946" s="352"/>
      <c r="Y3946" s="352"/>
      <c r="Z3946" s="352"/>
      <c r="AA3946" s="352"/>
      <c r="AB3946" s="352"/>
      <c r="AC3946" s="352"/>
      <c r="AD3946" s="352"/>
      <c r="AE3946" s="352"/>
      <c r="AF3946" s="352"/>
      <c r="AG3946" s="352"/>
      <c r="AH3946" s="352"/>
      <c r="AI3946" s="352"/>
      <c r="AJ3946" s="352"/>
    </row>
    <row r="3947" spans="2:36" x14ac:dyDescent="0.2">
      <c r="B3947" s="352"/>
      <c r="C3947" s="352"/>
      <c r="D3947" s="352"/>
      <c r="E3947" s="352"/>
      <c r="F3947" s="352"/>
      <c r="H3947" s="352"/>
      <c r="J3947" s="352"/>
      <c r="L3947" s="352"/>
      <c r="M3947" s="352"/>
      <c r="N3947" s="352"/>
      <c r="O3947" s="352"/>
      <c r="P3947" s="352"/>
      <c r="Q3947" s="352"/>
      <c r="R3947" s="352"/>
      <c r="S3947" s="352"/>
      <c r="T3947" s="352"/>
      <c r="U3947" s="352"/>
      <c r="V3947" s="352"/>
      <c r="W3947" s="352"/>
      <c r="X3947" s="352"/>
      <c r="Y3947" s="352"/>
      <c r="Z3947" s="352"/>
      <c r="AA3947" s="352"/>
      <c r="AB3947" s="352"/>
      <c r="AC3947" s="352"/>
      <c r="AD3947" s="352"/>
      <c r="AE3947" s="352"/>
      <c r="AF3947" s="352"/>
      <c r="AG3947" s="352"/>
      <c r="AH3947" s="352"/>
      <c r="AI3947" s="352"/>
      <c r="AJ3947" s="352"/>
    </row>
    <row r="3948" spans="2:36" x14ac:dyDescent="0.2">
      <c r="B3948" s="352"/>
      <c r="C3948" s="352"/>
      <c r="D3948" s="352"/>
      <c r="E3948" s="352"/>
      <c r="F3948" s="352"/>
      <c r="H3948" s="352"/>
      <c r="J3948" s="352"/>
      <c r="L3948" s="352"/>
      <c r="M3948" s="352"/>
      <c r="N3948" s="352"/>
      <c r="O3948" s="352"/>
      <c r="P3948" s="352"/>
      <c r="Q3948" s="352"/>
      <c r="R3948" s="352"/>
      <c r="S3948" s="352"/>
      <c r="T3948" s="352"/>
      <c r="U3948" s="352"/>
      <c r="V3948" s="352"/>
      <c r="W3948" s="352"/>
      <c r="X3948" s="352"/>
      <c r="Y3948" s="352"/>
      <c r="Z3948" s="352"/>
      <c r="AA3948" s="352"/>
      <c r="AB3948" s="352"/>
      <c r="AC3948" s="352"/>
      <c r="AD3948" s="352"/>
      <c r="AE3948" s="352"/>
      <c r="AF3948" s="352"/>
      <c r="AG3948" s="352"/>
      <c r="AH3948" s="352"/>
      <c r="AI3948" s="352"/>
      <c r="AJ3948" s="352"/>
    </row>
    <row r="3949" spans="2:36" x14ac:dyDescent="0.2">
      <c r="B3949" s="352"/>
      <c r="C3949" s="352"/>
      <c r="D3949" s="352"/>
      <c r="E3949" s="352"/>
      <c r="F3949" s="352"/>
      <c r="H3949" s="352"/>
      <c r="J3949" s="352"/>
      <c r="L3949" s="352"/>
      <c r="M3949" s="352"/>
      <c r="N3949" s="352"/>
      <c r="O3949" s="352"/>
      <c r="P3949" s="352"/>
      <c r="Q3949" s="352"/>
      <c r="R3949" s="352"/>
      <c r="S3949" s="352"/>
      <c r="T3949" s="352"/>
      <c r="U3949" s="352"/>
      <c r="V3949" s="352"/>
      <c r="W3949" s="352"/>
      <c r="X3949" s="352"/>
      <c r="Y3949" s="352"/>
      <c r="Z3949" s="352"/>
      <c r="AA3949" s="352"/>
      <c r="AB3949" s="352"/>
      <c r="AC3949" s="352"/>
      <c r="AD3949" s="352"/>
      <c r="AE3949" s="352"/>
      <c r="AF3949" s="352"/>
      <c r="AG3949" s="352"/>
      <c r="AH3949" s="352"/>
      <c r="AI3949" s="352"/>
      <c r="AJ3949" s="352"/>
    </row>
    <row r="3950" spans="2:36" x14ac:dyDescent="0.2">
      <c r="B3950" s="352"/>
      <c r="C3950" s="352"/>
      <c r="D3950" s="352"/>
      <c r="E3950" s="352"/>
      <c r="F3950" s="352"/>
      <c r="H3950" s="352"/>
      <c r="J3950" s="352"/>
      <c r="L3950" s="352"/>
      <c r="M3950" s="352"/>
      <c r="N3950" s="352"/>
      <c r="O3950" s="352"/>
      <c r="P3950" s="352"/>
      <c r="Q3950" s="352"/>
      <c r="R3950" s="352"/>
      <c r="S3950" s="352"/>
      <c r="T3950" s="352"/>
      <c r="U3950" s="352"/>
      <c r="V3950" s="352"/>
      <c r="W3950" s="352"/>
      <c r="X3950" s="352"/>
      <c r="Y3950" s="352"/>
      <c r="Z3950" s="352"/>
      <c r="AA3950" s="352"/>
      <c r="AB3950" s="352"/>
      <c r="AC3950" s="352"/>
      <c r="AD3950" s="352"/>
      <c r="AE3950" s="352"/>
      <c r="AF3950" s="352"/>
      <c r="AG3950" s="352"/>
      <c r="AH3950" s="352"/>
      <c r="AI3950" s="352"/>
      <c r="AJ3950" s="352"/>
    </row>
    <row r="3951" spans="2:36" x14ac:dyDescent="0.2">
      <c r="B3951" s="352"/>
      <c r="C3951" s="352"/>
      <c r="D3951" s="352"/>
      <c r="E3951" s="352"/>
      <c r="F3951" s="352"/>
      <c r="H3951" s="352"/>
      <c r="J3951" s="352"/>
      <c r="L3951" s="352"/>
      <c r="M3951" s="352"/>
      <c r="N3951" s="352"/>
      <c r="O3951" s="352"/>
      <c r="P3951" s="352"/>
      <c r="Q3951" s="352"/>
      <c r="R3951" s="352"/>
      <c r="S3951" s="352"/>
      <c r="T3951" s="352"/>
      <c r="U3951" s="352"/>
      <c r="V3951" s="352"/>
      <c r="W3951" s="352"/>
      <c r="X3951" s="352"/>
      <c r="Y3951" s="352"/>
      <c r="Z3951" s="352"/>
      <c r="AA3951" s="352"/>
      <c r="AB3951" s="352"/>
      <c r="AC3951" s="352"/>
      <c r="AD3951" s="352"/>
      <c r="AE3951" s="352"/>
      <c r="AF3951" s="352"/>
      <c r="AG3951" s="352"/>
      <c r="AH3951" s="352"/>
      <c r="AI3951" s="352"/>
      <c r="AJ3951" s="352"/>
    </row>
    <row r="3952" spans="2:36" x14ac:dyDescent="0.2">
      <c r="B3952" s="352"/>
      <c r="C3952" s="352"/>
      <c r="D3952" s="352"/>
      <c r="E3952" s="352"/>
      <c r="F3952" s="352"/>
      <c r="H3952" s="352"/>
      <c r="J3952" s="352"/>
      <c r="L3952" s="352"/>
      <c r="M3952" s="352"/>
      <c r="N3952" s="352"/>
      <c r="O3952" s="352"/>
      <c r="P3952" s="352"/>
      <c r="Q3952" s="352"/>
      <c r="R3952" s="352"/>
      <c r="S3952" s="352"/>
      <c r="T3952" s="352"/>
      <c r="U3952" s="352"/>
      <c r="V3952" s="352"/>
      <c r="W3952" s="352"/>
      <c r="X3952" s="352"/>
      <c r="Y3952" s="352"/>
      <c r="Z3952" s="352"/>
      <c r="AA3952" s="352"/>
      <c r="AB3952" s="352"/>
      <c r="AC3952" s="352"/>
      <c r="AD3952" s="352"/>
      <c r="AE3952" s="352"/>
      <c r="AF3952" s="352"/>
      <c r="AG3952" s="352"/>
      <c r="AH3952" s="352"/>
      <c r="AI3952" s="352"/>
      <c r="AJ3952" s="352"/>
    </row>
    <row r="3953" spans="2:36" x14ac:dyDescent="0.2">
      <c r="B3953" s="352"/>
      <c r="C3953" s="352"/>
      <c r="D3953" s="352"/>
      <c r="E3953" s="352"/>
      <c r="F3953" s="352"/>
      <c r="H3953" s="352"/>
      <c r="J3953" s="352"/>
      <c r="L3953" s="352"/>
      <c r="M3953" s="352"/>
      <c r="N3953" s="352"/>
      <c r="O3953" s="352"/>
      <c r="P3953" s="352"/>
      <c r="Q3953" s="352"/>
      <c r="R3953" s="352"/>
      <c r="S3953" s="352"/>
      <c r="T3953" s="352"/>
      <c r="U3953" s="352"/>
      <c r="V3953" s="352"/>
      <c r="W3953" s="352"/>
      <c r="X3953" s="352"/>
      <c r="Y3953" s="352"/>
      <c r="Z3953" s="352"/>
      <c r="AA3953" s="352"/>
      <c r="AB3953" s="352"/>
      <c r="AC3953" s="352"/>
      <c r="AD3953" s="352"/>
      <c r="AE3953" s="352"/>
      <c r="AF3953" s="352"/>
      <c r="AG3953" s="352"/>
      <c r="AH3953" s="352"/>
      <c r="AI3953" s="352"/>
      <c r="AJ3953" s="352"/>
    </row>
    <row r="3954" spans="2:36" x14ac:dyDescent="0.2">
      <c r="B3954" s="352"/>
      <c r="C3954" s="352"/>
      <c r="D3954" s="352"/>
      <c r="E3954" s="352"/>
      <c r="F3954" s="352"/>
      <c r="H3954" s="352"/>
      <c r="J3954" s="352"/>
      <c r="L3954" s="352"/>
      <c r="M3954" s="352"/>
      <c r="N3954" s="352"/>
      <c r="O3954" s="352"/>
      <c r="P3954" s="352"/>
      <c r="Q3954" s="352"/>
      <c r="R3954" s="352"/>
      <c r="S3954" s="352"/>
      <c r="T3954" s="352"/>
      <c r="U3954" s="352"/>
      <c r="V3954" s="352"/>
      <c r="W3954" s="352"/>
      <c r="X3954" s="352"/>
      <c r="Y3954" s="352"/>
      <c r="Z3954" s="352"/>
      <c r="AA3954" s="352"/>
      <c r="AB3954" s="352"/>
      <c r="AC3954" s="352"/>
      <c r="AD3954" s="352"/>
      <c r="AE3954" s="352"/>
      <c r="AF3954" s="352"/>
      <c r="AG3954" s="352"/>
      <c r="AH3954" s="352"/>
      <c r="AI3954" s="352"/>
      <c r="AJ3954" s="352"/>
    </row>
    <row r="3955" spans="2:36" x14ac:dyDescent="0.2">
      <c r="B3955" s="352"/>
      <c r="C3955" s="352"/>
      <c r="D3955" s="352"/>
      <c r="E3955" s="352"/>
      <c r="F3955" s="352"/>
      <c r="H3955" s="352"/>
      <c r="J3955" s="352"/>
      <c r="L3955" s="352"/>
      <c r="M3955" s="352"/>
      <c r="N3955" s="352"/>
      <c r="O3955" s="352"/>
      <c r="P3955" s="352"/>
      <c r="Q3955" s="352"/>
      <c r="R3955" s="352"/>
      <c r="S3955" s="352"/>
      <c r="T3955" s="352"/>
      <c r="U3955" s="352"/>
      <c r="V3955" s="352"/>
      <c r="W3955" s="352"/>
      <c r="X3955" s="352"/>
      <c r="Y3955" s="352"/>
      <c r="Z3955" s="352"/>
      <c r="AA3955" s="352"/>
      <c r="AB3955" s="352"/>
      <c r="AC3955" s="352"/>
      <c r="AD3955" s="352"/>
      <c r="AE3955" s="352"/>
      <c r="AF3955" s="352"/>
      <c r="AG3955" s="352"/>
      <c r="AH3955" s="352"/>
      <c r="AI3955" s="352"/>
      <c r="AJ3955" s="352"/>
    </row>
    <row r="3956" spans="2:36" x14ac:dyDescent="0.2">
      <c r="B3956" s="352"/>
      <c r="C3956" s="352"/>
      <c r="D3956" s="352"/>
      <c r="E3956" s="352"/>
      <c r="F3956" s="352"/>
      <c r="H3956" s="352"/>
      <c r="J3956" s="352"/>
      <c r="L3956" s="352"/>
      <c r="M3956" s="352"/>
      <c r="N3956" s="352"/>
      <c r="O3956" s="352"/>
      <c r="P3956" s="352"/>
      <c r="Q3956" s="352"/>
      <c r="R3956" s="352"/>
      <c r="S3956" s="352"/>
      <c r="T3956" s="352"/>
      <c r="U3956" s="352"/>
      <c r="V3956" s="352"/>
      <c r="W3956" s="352"/>
      <c r="X3956" s="352"/>
      <c r="Y3956" s="352"/>
      <c r="Z3956" s="352"/>
      <c r="AA3956" s="352"/>
      <c r="AB3956" s="352"/>
      <c r="AC3956" s="352"/>
      <c r="AD3956" s="352"/>
      <c r="AE3956" s="352"/>
      <c r="AF3956" s="352"/>
      <c r="AG3956" s="352"/>
      <c r="AH3956" s="352"/>
      <c r="AI3956" s="352"/>
      <c r="AJ3956" s="352"/>
    </row>
    <row r="3957" spans="2:36" x14ac:dyDescent="0.2">
      <c r="B3957" s="352"/>
      <c r="C3957" s="352"/>
      <c r="D3957" s="352"/>
      <c r="E3957" s="352"/>
      <c r="F3957" s="352"/>
      <c r="H3957" s="352"/>
      <c r="J3957" s="352"/>
      <c r="L3957" s="352"/>
      <c r="M3957" s="352"/>
      <c r="N3957" s="352"/>
      <c r="O3957" s="352"/>
      <c r="P3957" s="352"/>
      <c r="Q3957" s="352"/>
      <c r="R3957" s="352"/>
      <c r="S3957" s="352"/>
      <c r="T3957" s="352"/>
      <c r="U3957" s="352"/>
      <c r="V3957" s="352"/>
      <c r="W3957" s="352"/>
      <c r="X3957" s="352"/>
      <c r="Y3957" s="352"/>
      <c r="Z3957" s="352"/>
      <c r="AA3957" s="352"/>
      <c r="AB3957" s="352"/>
      <c r="AC3957" s="352"/>
      <c r="AD3957" s="352"/>
      <c r="AE3957" s="352"/>
      <c r="AF3957" s="352"/>
      <c r="AG3957" s="352"/>
      <c r="AH3957" s="352"/>
      <c r="AI3957" s="352"/>
      <c r="AJ3957" s="352"/>
    </row>
    <row r="3958" spans="2:36" x14ac:dyDescent="0.2">
      <c r="B3958" s="352"/>
      <c r="C3958" s="352"/>
      <c r="D3958" s="352"/>
      <c r="E3958" s="352"/>
      <c r="F3958" s="352"/>
      <c r="H3958" s="352"/>
      <c r="J3958" s="352"/>
      <c r="L3958" s="352"/>
      <c r="M3958" s="352"/>
      <c r="N3958" s="352"/>
      <c r="O3958" s="352"/>
      <c r="P3958" s="352"/>
      <c r="Q3958" s="352"/>
      <c r="R3958" s="352"/>
      <c r="S3958" s="352"/>
      <c r="T3958" s="352"/>
      <c r="U3958" s="352"/>
      <c r="V3958" s="352"/>
      <c r="W3958" s="352"/>
      <c r="X3958" s="352"/>
      <c r="Y3958" s="352"/>
      <c r="Z3958" s="352"/>
      <c r="AA3958" s="352"/>
      <c r="AB3958" s="352"/>
      <c r="AC3958" s="352"/>
      <c r="AD3958" s="352"/>
      <c r="AE3958" s="352"/>
      <c r="AF3958" s="352"/>
      <c r="AG3958" s="352"/>
      <c r="AH3958" s="352"/>
      <c r="AI3958" s="352"/>
      <c r="AJ3958" s="352"/>
    </row>
    <row r="3959" spans="2:36" x14ac:dyDescent="0.2">
      <c r="B3959" s="352"/>
      <c r="C3959" s="352"/>
      <c r="D3959" s="352"/>
      <c r="E3959" s="352"/>
      <c r="F3959" s="352"/>
      <c r="H3959" s="352"/>
      <c r="J3959" s="352"/>
      <c r="L3959" s="352"/>
      <c r="M3959" s="352"/>
      <c r="N3959" s="352"/>
      <c r="O3959" s="352"/>
      <c r="P3959" s="352"/>
      <c r="Q3959" s="352"/>
      <c r="R3959" s="352"/>
      <c r="S3959" s="352"/>
      <c r="T3959" s="352"/>
      <c r="U3959" s="352"/>
      <c r="V3959" s="352"/>
      <c r="W3959" s="352"/>
      <c r="X3959" s="352"/>
      <c r="Y3959" s="352"/>
      <c r="Z3959" s="352"/>
      <c r="AA3959" s="352"/>
      <c r="AB3959" s="352"/>
      <c r="AC3959" s="352"/>
      <c r="AD3959" s="352"/>
      <c r="AE3959" s="352"/>
      <c r="AF3959" s="352"/>
      <c r="AG3959" s="352"/>
      <c r="AH3959" s="352"/>
      <c r="AI3959" s="352"/>
      <c r="AJ3959" s="352"/>
    </row>
    <row r="3960" spans="2:36" x14ac:dyDescent="0.2">
      <c r="B3960" s="352"/>
      <c r="C3960" s="352"/>
      <c r="D3960" s="352"/>
      <c r="E3960" s="352"/>
      <c r="F3960" s="352"/>
      <c r="H3960" s="352"/>
      <c r="J3960" s="352"/>
      <c r="L3960" s="352"/>
      <c r="M3960" s="352"/>
      <c r="N3960" s="352"/>
      <c r="O3960" s="352"/>
      <c r="P3960" s="352"/>
      <c r="Q3960" s="352"/>
      <c r="R3960" s="352"/>
      <c r="S3960" s="352"/>
      <c r="T3960" s="352"/>
      <c r="U3960" s="352"/>
      <c r="V3960" s="352"/>
      <c r="W3960" s="352"/>
      <c r="X3960" s="352"/>
      <c r="Y3960" s="352"/>
      <c r="Z3960" s="352"/>
      <c r="AA3960" s="352"/>
      <c r="AB3960" s="352"/>
      <c r="AC3960" s="352"/>
      <c r="AD3960" s="352"/>
      <c r="AE3960" s="352"/>
      <c r="AF3960" s="352"/>
      <c r="AG3960" s="352"/>
      <c r="AH3960" s="352"/>
      <c r="AI3960" s="352"/>
      <c r="AJ3960" s="352"/>
    </row>
    <row r="3961" spans="2:36" x14ac:dyDescent="0.2">
      <c r="B3961" s="352"/>
      <c r="C3961" s="352"/>
      <c r="D3961" s="352"/>
      <c r="E3961" s="352"/>
      <c r="F3961" s="352"/>
      <c r="H3961" s="352"/>
      <c r="J3961" s="352"/>
      <c r="L3961" s="352"/>
      <c r="M3961" s="352"/>
      <c r="N3961" s="352"/>
      <c r="O3961" s="352"/>
      <c r="P3961" s="352"/>
      <c r="Q3961" s="352"/>
      <c r="R3961" s="352"/>
      <c r="S3961" s="352"/>
      <c r="T3961" s="352"/>
      <c r="U3961" s="352"/>
      <c r="V3961" s="352"/>
      <c r="W3961" s="352"/>
      <c r="X3961" s="352"/>
      <c r="Y3961" s="352"/>
      <c r="Z3961" s="352"/>
      <c r="AA3961" s="352"/>
      <c r="AB3961" s="352"/>
      <c r="AC3961" s="352"/>
      <c r="AD3961" s="352"/>
      <c r="AE3961" s="352"/>
      <c r="AF3961" s="352"/>
      <c r="AG3961" s="352"/>
      <c r="AH3961" s="352"/>
      <c r="AI3961" s="352"/>
      <c r="AJ3961" s="352"/>
    </row>
    <row r="3962" spans="2:36" x14ac:dyDescent="0.2">
      <c r="B3962" s="352"/>
      <c r="C3962" s="352"/>
      <c r="D3962" s="352"/>
      <c r="E3962" s="352"/>
      <c r="F3962" s="352"/>
      <c r="H3962" s="352"/>
      <c r="J3962" s="352"/>
      <c r="L3962" s="352"/>
      <c r="M3962" s="352"/>
      <c r="N3962" s="352"/>
      <c r="O3962" s="352"/>
      <c r="P3962" s="352"/>
      <c r="Q3962" s="352"/>
      <c r="R3962" s="352"/>
      <c r="S3962" s="352"/>
      <c r="T3962" s="352"/>
      <c r="U3962" s="352"/>
      <c r="V3962" s="352"/>
      <c r="W3962" s="352"/>
      <c r="X3962" s="352"/>
      <c r="Y3962" s="352"/>
      <c r="Z3962" s="352"/>
      <c r="AA3962" s="352"/>
      <c r="AB3962" s="352"/>
      <c r="AC3962" s="352"/>
      <c r="AD3962" s="352"/>
      <c r="AE3962" s="352"/>
      <c r="AF3962" s="352"/>
      <c r="AG3962" s="352"/>
      <c r="AH3962" s="352"/>
      <c r="AI3962" s="352"/>
      <c r="AJ3962" s="352"/>
    </row>
    <row r="3963" spans="2:36" x14ac:dyDescent="0.2">
      <c r="B3963" s="352"/>
      <c r="C3963" s="352"/>
      <c r="D3963" s="352"/>
      <c r="E3963" s="352"/>
      <c r="F3963" s="352"/>
      <c r="H3963" s="352"/>
      <c r="J3963" s="352"/>
      <c r="L3963" s="352"/>
      <c r="M3963" s="352"/>
      <c r="N3963" s="352"/>
      <c r="O3963" s="352"/>
      <c r="P3963" s="352"/>
      <c r="Q3963" s="352"/>
      <c r="R3963" s="352"/>
      <c r="S3963" s="352"/>
      <c r="T3963" s="352"/>
      <c r="U3963" s="352"/>
      <c r="V3963" s="352"/>
      <c r="W3963" s="352"/>
      <c r="X3963" s="352"/>
      <c r="Y3963" s="352"/>
      <c r="Z3963" s="352"/>
      <c r="AA3963" s="352"/>
      <c r="AB3963" s="352"/>
      <c r="AC3963" s="352"/>
      <c r="AD3963" s="352"/>
      <c r="AE3963" s="352"/>
      <c r="AF3963" s="352"/>
      <c r="AG3963" s="352"/>
      <c r="AH3963" s="352"/>
      <c r="AI3963" s="352"/>
      <c r="AJ3963" s="352"/>
    </row>
    <row r="3964" spans="2:36" x14ac:dyDescent="0.2">
      <c r="B3964" s="352"/>
      <c r="C3964" s="352"/>
      <c r="D3964" s="352"/>
      <c r="E3964" s="352"/>
      <c r="F3964" s="352"/>
      <c r="H3964" s="352"/>
      <c r="J3964" s="352"/>
      <c r="L3964" s="352"/>
      <c r="M3964" s="352"/>
      <c r="N3964" s="352"/>
      <c r="O3964" s="352"/>
      <c r="P3964" s="352"/>
      <c r="Q3964" s="352"/>
      <c r="R3964" s="352"/>
      <c r="S3964" s="352"/>
      <c r="T3964" s="352"/>
      <c r="U3964" s="352"/>
      <c r="V3964" s="352"/>
      <c r="W3964" s="352"/>
      <c r="X3964" s="352"/>
      <c r="Y3964" s="352"/>
      <c r="Z3964" s="352"/>
      <c r="AA3964" s="352"/>
      <c r="AB3964" s="352"/>
      <c r="AC3964" s="352"/>
      <c r="AD3964" s="352"/>
      <c r="AE3964" s="352"/>
      <c r="AF3964" s="352"/>
      <c r="AG3964" s="352"/>
      <c r="AH3964" s="352"/>
      <c r="AI3964" s="352"/>
      <c r="AJ3964" s="352"/>
    </row>
    <row r="3965" spans="2:36" x14ac:dyDescent="0.2">
      <c r="B3965" s="352"/>
      <c r="C3965" s="352"/>
      <c r="D3965" s="352"/>
      <c r="E3965" s="352"/>
      <c r="F3965" s="352"/>
      <c r="H3965" s="352"/>
      <c r="J3965" s="352"/>
      <c r="L3965" s="352"/>
      <c r="M3965" s="352"/>
      <c r="N3965" s="352"/>
      <c r="O3965" s="352"/>
      <c r="P3965" s="352"/>
      <c r="Q3965" s="352"/>
      <c r="R3965" s="352"/>
      <c r="S3965" s="352"/>
      <c r="T3965" s="352"/>
      <c r="U3965" s="352"/>
      <c r="V3965" s="352"/>
      <c r="W3965" s="352"/>
      <c r="X3965" s="352"/>
      <c r="Y3965" s="352"/>
      <c r="Z3965" s="352"/>
      <c r="AA3965" s="352"/>
      <c r="AB3965" s="352"/>
      <c r="AC3965" s="352"/>
      <c r="AD3965" s="352"/>
      <c r="AE3965" s="352"/>
      <c r="AF3965" s="352"/>
      <c r="AG3965" s="352"/>
      <c r="AH3965" s="352"/>
      <c r="AI3965" s="352"/>
      <c r="AJ3965" s="352"/>
    </row>
    <row r="3966" spans="2:36" x14ac:dyDescent="0.2">
      <c r="B3966" s="352"/>
      <c r="C3966" s="352"/>
      <c r="D3966" s="352"/>
      <c r="E3966" s="352"/>
      <c r="F3966" s="352"/>
      <c r="H3966" s="352"/>
      <c r="J3966" s="352"/>
      <c r="L3966" s="352"/>
      <c r="M3966" s="352"/>
      <c r="N3966" s="352"/>
      <c r="O3966" s="352"/>
      <c r="P3966" s="352"/>
      <c r="Q3966" s="352"/>
      <c r="R3966" s="352"/>
      <c r="S3966" s="352"/>
      <c r="T3966" s="352"/>
      <c r="U3966" s="352"/>
      <c r="V3966" s="352"/>
      <c r="W3966" s="352"/>
      <c r="X3966" s="352"/>
      <c r="Y3966" s="352"/>
      <c r="Z3966" s="352"/>
      <c r="AA3966" s="352"/>
      <c r="AB3966" s="352"/>
      <c r="AC3966" s="352"/>
      <c r="AD3966" s="352"/>
      <c r="AE3966" s="352"/>
      <c r="AF3966" s="352"/>
      <c r="AG3966" s="352"/>
      <c r="AH3966" s="352"/>
      <c r="AI3966" s="352"/>
      <c r="AJ3966" s="352"/>
    </row>
    <row r="3967" spans="2:36" x14ac:dyDescent="0.2">
      <c r="B3967" s="352"/>
      <c r="C3967" s="352"/>
      <c r="D3967" s="352"/>
      <c r="E3967" s="352"/>
      <c r="F3967" s="352"/>
      <c r="H3967" s="352"/>
      <c r="J3967" s="352"/>
      <c r="L3967" s="352"/>
      <c r="M3967" s="352"/>
      <c r="N3967" s="352"/>
      <c r="O3967" s="352"/>
      <c r="P3967" s="352"/>
      <c r="Q3967" s="352"/>
      <c r="R3967" s="352"/>
      <c r="S3967" s="352"/>
      <c r="T3967" s="352"/>
      <c r="U3967" s="352"/>
      <c r="V3967" s="352"/>
      <c r="W3967" s="352"/>
      <c r="X3967" s="352"/>
      <c r="Y3967" s="352"/>
      <c r="Z3967" s="352"/>
      <c r="AA3967" s="352"/>
      <c r="AB3967" s="352"/>
      <c r="AC3967" s="352"/>
      <c r="AD3967" s="352"/>
      <c r="AE3967" s="352"/>
      <c r="AF3967" s="352"/>
      <c r="AG3967" s="352"/>
      <c r="AH3967" s="352"/>
      <c r="AI3967" s="352"/>
      <c r="AJ3967" s="352"/>
    </row>
    <row r="3968" spans="2:36" x14ac:dyDescent="0.2">
      <c r="B3968" s="352"/>
      <c r="C3968" s="352"/>
      <c r="D3968" s="352"/>
      <c r="E3968" s="352"/>
      <c r="F3968" s="352"/>
      <c r="H3968" s="352"/>
      <c r="J3968" s="352"/>
      <c r="L3968" s="352"/>
      <c r="M3968" s="352"/>
      <c r="N3968" s="352"/>
      <c r="O3968" s="352"/>
      <c r="P3968" s="352"/>
      <c r="Q3968" s="352"/>
      <c r="R3968" s="352"/>
      <c r="S3968" s="352"/>
      <c r="T3968" s="352"/>
      <c r="U3968" s="352"/>
      <c r="V3968" s="352"/>
      <c r="W3968" s="352"/>
      <c r="X3968" s="352"/>
      <c r="Y3968" s="352"/>
      <c r="Z3968" s="352"/>
      <c r="AA3968" s="352"/>
      <c r="AB3968" s="352"/>
      <c r="AC3968" s="352"/>
      <c r="AD3968" s="352"/>
      <c r="AE3968" s="352"/>
      <c r="AF3968" s="352"/>
      <c r="AG3968" s="352"/>
      <c r="AH3968" s="352"/>
      <c r="AI3968" s="352"/>
      <c r="AJ3968" s="352"/>
    </row>
    <row r="3969" spans="2:36" x14ac:dyDescent="0.2">
      <c r="B3969" s="352"/>
      <c r="C3969" s="352"/>
      <c r="D3969" s="352"/>
      <c r="E3969" s="352"/>
      <c r="F3969" s="352"/>
      <c r="H3969" s="352"/>
      <c r="J3969" s="352"/>
      <c r="L3969" s="352"/>
      <c r="M3969" s="352"/>
      <c r="N3969" s="352"/>
      <c r="O3969" s="352"/>
      <c r="P3969" s="352"/>
      <c r="Q3969" s="352"/>
      <c r="R3969" s="352"/>
      <c r="S3969" s="352"/>
      <c r="T3969" s="352"/>
      <c r="U3969" s="352"/>
      <c r="V3969" s="352"/>
      <c r="W3969" s="352"/>
      <c r="X3969" s="352"/>
      <c r="Y3969" s="352"/>
      <c r="Z3969" s="352"/>
      <c r="AA3969" s="352"/>
      <c r="AB3969" s="352"/>
      <c r="AC3969" s="352"/>
      <c r="AD3969" s="352"/>
      <c r="AE3969" s="352"/>
      <c r="AF3969" s="352"/>
      <c r="AG3969" s="352"/>
      <c r="AH3969" s="352"/>
      <c r="AI3969" s="352"/>
      <c r="AJ3969" s="352"/>
    </row>
    <row r="3970" spans="2:36" x14ac:dyDescent="0.2">
      <c r="B3970" s="352"/>
      <c r="C3970" s="352"/>
      <c r="D3970" s="352"/>
      <c r="E3970" s="352"/>
      <c r="F3970" s="352"/>
      <c r="H3970" s="352"/>
      <c r="J3970" s="352"/>
      <c r="L3970" s="352"/>
      <c r="M3970" s="352"/>
      <c r="N3970" s="352"/>
      <c r="O3970" s="352"/>
      <c r="P3970" s="352"/>
      <c r="Q3970" s="352"/>
      <c r="R3970" s="352"/>
      <c r="S3970" s="352"/>
      <c r="T3970" s="352"/>
      <c r="U3970" s="352"/>
      <c r="V3970" s="352"/>
      <c r="W3970" s="352"/>
      <c r="X3970" s="352"/>
      <c r="Y3970" s="352"/>
      <c r="Z3970" s="352"/>
      <c r="AA3970" s="352"/>
      <c r="AB3970" s="352"/>
      <c r="AC3970" s="352"/>
      <c r="AD3970" s="352"/>
      <c r="AE3970" s="352"/>
      <c r="AF3970" s="352"/>
      <c r="AG3970" s="352"/>
      <c r="AH3970" s="352"/>
      <c r="AI3970" s="352"/>
      <c r="AJ3970" s="352"/>
    </row>
    <row r="3971" spans="2:36" x14ac:dyDescent="0.2">
      <c r="B3971" s="352"/>
      <c r="C3971" s="352"/>
      <c r="D3971" s="352"/>
      <c r="E3971" s="352"/>
      <c r="F3971" s="352"/>
      <c r="H3971" s="352"/>
      <c r="J3971" s="352"/>
      <c r="L3971" s="352"/>
      <c r="M3971" s="352"/>
      <c r="N3971" s="352"/>
      <c r="O3971" s="352"/>
      <c r="P3971" s="352"/>
      <c r="Q3971" s="352"/>
      <c r="R3971" s="352"/>
      <c r="S3971" s="352"/>
      <c r="T3971" s="352"/>
      <c r="U3971" s="352"/>
      <c r="V3971" s="352"/>
      <c r="W3971" s="352"/>
      <c r="X3971" s="352"/>
      <c r="Y3971" s="352"/>
      <c r="Z3971" s="352"/>
      <c r="AA3971" s="352"/>
      <c r="AB3971" s="352"/>
      <c r="AC3971" s="352"/>
      <c r="AD3971" s="352"/>
      <c r="AE3971" s="352"/>
      <c r="AF3971" s="352"/>
      <c r="AG3971" s="352"/>
      <c r="AH3971" s="352"/>
      <c r="AI3971" s="352"/>
      <c r="AJ3971" s="352"/>
    </row>
    <row r="3972" spans="2:36" x14ac:dyDescent="0.2">
      <c r="B3972" s="352"/>
      <c r="C3972" s="352"/>
      <c r="D3972" s="352"/>
      <c r="E3972" s="352"/>
      <c r="F3972" s="352"/>
      <c r="H3972" s="352"/>
      <c r="J3972" s="352"/>
      <c r="L3972" s="352"/>
      <c r="M3972" s="352"/>
      <c r="N3972" s="352"/>
      <c r="O3972" s="352"/>
      <c r="P3972" s="352"/>
      <c r="Q3972" s="352"/>
      <c r="R3972" s="352"/>
      <c r="S3972" s="352"/>
      <c r="T3972" s="352"/>
      <c r="U3972" s="352"/>
      <c r="V3972" s="352"/>
      <c r="W3972" s="352"/>
      <c r="X3972" s="352"/>
      <c r="Y3972" s="352"/>
      <c r="Z3972" s="352"/>
      <c r="AA3972" s="352"/>
      <c r="AB3972" s="352"/>
      <c r="AC3972" s="352"/>
      <c r="AD3972" s="352"/>
      <c r="AE3972" s="352"/>
      <c r="AF3972" s="352"/>
      <c r="AG3972" s="352"/>
      <c r="AH3972" s="352"/>
      <c r="AI3972" s="352"/>
      <c r="AJ3972" s="352"/>
    </row>
    <row r="3973" spans="2:36" x14ac:dyDescent="0.2">
      <c r="B3973" s="352"/>
      <c r="C3973" s="352"/>
      <c r="D3973" s="352"/>
      <c r="E3973" s="352"/>
      <c r="F3973" s="352"/>
      <c r="H3973" s="352"/>
      <c r="J3973" s="352"/>
      <c r="L3973" s="352"/>
      <c r="M3973" s="352"/>
      <c r="N3973" s="352"/>
      <c r="O3973" s="352"/>
      <c r="P3973" s="352"/>
      <c r="Q3973" s="352"/>
      <c r="R3973" s="352"/>
      <c r="S3973" s="352"/>
      <c r="T3973" s="352"/>
      <c r="U3973" s="352"/>
      <c r="V3973" s="352"/>
      <c r="W3973" s="352"/>
      <c r="X3973" s="352"/>
      <c r="Y3973" s="352"/>
      <c r="Z3973" s="352"/>
      <c r="AA3973" s="352"/>
      <c r="AB3973" s="352"/>
      <c r="AC3973" s="352"/>
      <c r="AD3973" s="352"/>
      <c r="AE3973" s="352"/>
      <c r="AF3973" s="352"/>
      <c r="AG3973" s="352"/>
      <c r="AH3973" s="352"/>
      <c r="AI3973" s="352"/>
      <c r="AJ3973" s="352"/>
    </row>
    <row r="3974" spans="2:36" x14ac:dyDescent="0.2">
      <c r="B3974" s="352"/>
      <c r="C3974" s="352"/>
      <c r="D3974" s="352"/>
      <c r="E3974" s="352"/>
      <c r="F3974" s="352"/>
      <c r="H3974" s="352"/>
      <c r="J3974" s="352"/>
      <c r="L3974" s="352"/>
      <c r="M3974" s="352"/>
      <c r="N3974" s="352"/>
      <c r="O3974" s="352"/>
      <c r="P3974" s="352"/>
      <c r="Q3974" s="352"/>
      <c r="R3974" s="352"/>
      <c r="S3974" s="352"/>
      <c r="T3974" s="352"/>
      <c r="U3974" s="352"/>
      <c r="V3974" s="352"/>
      <c r="W3974" s="352"/>
      <c r="X3974" s="352"/>
      <c r="Y3974" s="352"/>
      <c r="Z3974" s="352"/>
      <c r="AA3974" s="352"/>
      <c r="AB3974" s="352"/>
      <c r="AC3974" s="352"/>
      <c r="AD3974" s="352"/>
      <c r="AE3974" s="352"/>
      <c r="AF3974" s="352"/>
      <c r="AG3974" s="352"/>
      <c r="AH3974" s="352"/>
      <c r="AI3974" s="352"/>
      <c r="AJ3974" s="352"/>
    </row>
    <row r="3975" spans="2:36" x14ac:dyDescent="0.2">
      <c r="B3975" s="352"/>
      <c r="C3975" s="352"/>
      <c r="D3975" s="352"/>
      <c r="E3975" s="352"/>
      <c r="F3975" s="352"/>
      <c r="H3975" s="352"/>
      <c r="J3975" s="352"/>
      <c r="L3975" s="352"/>
      <c r="M3975" s="352"/>
      <c r="N3975" s="352"/>
      <c r="O3975" s="352"/>
      <c r="P3975" s="352"/>
      <c r="Q3975" s="352"/>
      <c r="R3975" s="352"/>
      <c r="S3975" s="352"/>
      <c r="T3975" s="352"/>
      <c r="U3975" s="352"/>
      <c r="V3975" s="352"/>
      <c r="W3975" s="352"/>
      <c r="X3975" s="352"/>
      <c r="Y3975" s="352"/>
      <c r="Z3975" s="352"/>
      <c r="AA3975" s="352"/>
      <c r="AB3975" s="352"/>
      <c r="AC3975" s="352"/>
      <c r="AD3975" s="352"/>
      <c r="AE3975" s="352"/>
      <c r="AF3975" s="352"/>
      <c r="AG3975" s="352"/>
      <c r="AH3975" s="352"/>
      <c r="AI3975" s="352"/>
      <c r="AJ3975" s="352"/>
    </row>
    <row r="3976" spans="2:36" x14ac:dyDescent="0.2">
      <c r="B3976" s="352"/>
      <c r="C3976" s="352"/>
      <c r="D3976" s="352"/>
      <c r="E3976" s="352"/>
      <c r="F3976" s="352"/>
      <c r="H3976" s="352"/>
      <c r="J3976" s="352"/>
      <c r="L3976" s="352"/>
      <c r="M3976" s="352"/>
      <c r="N3976" s="352"/>
      <c r="O3976" s="352"/>
      <c r="P3976" s="352"/>
      <c r="Q3976" s="352"/>
      <c r="R3976" s="352"/>
      <c r="S3976" s="352"/>
      <c r="T3976" s="352"/>
      <c r="U3976" s="352"/>
      <c r="V3976" s="352"/>
      <c r="W3976" s="352"/>
      <c r="X3976" s="352"/>
      <c r="Y3976" s="352"/>
      <c r="Z3976" s="352"/>
      <c r="AA3976" s="352"/>
      <c r="AB3976" s="352"/>
      <c r="AC3976" s="352"/>
      <c r="AD3976" s="352"/>
      <c r="AE3976" s="352"/>
      <c r="AF3976" s="352"/>
      <c r="AG3976" s="352"/>
      <c r="AH3976" s="352"/>
      <c r="AI3976" s="352"/>
      <c r="AJ3976" s="352"/>
    </row>
    <row r="3977" spans="2:36" x14ac:dyDescent="0.2">
      <c r="B3977" s="352"/>
      <c r="C3977" s="352"/>
      <c r="D3977" s="352"/>
      <c r="E3977" s="352"/>
      <c r="F3977" s="352"/>
      <c r="H3977" s="352"/>
      <c r="J3977" s="352"/>
      <c r="L3977" s="352"/>
      <c r="M3977" s="352"/>
      <c r="N3977" s="352"/>
      <c r="O3977" s="352"/>
      <c r="P3977" s="352"/>
      <c r="Q3977" s="352"/>
      <c r="R3977" s="352"/>
      <c r="S3977" s="352"/>
      <c r="T3977" s="352"/>
      <c r="U3977" s="352"/>
      <c r="V3977" s="352"/>
      <c r="W3977" s="352"/>
      <c r="X3977" s="352"/>
      <c r="Y3977" s="352"/>
      <c r="Z3977" s="352"/>
      <c r="AA3977" s="352"/>
      <c r="AB3977" s="352"/>
      <c r="AC3977" s="352"/>
      <c r="AD3977" s="352"/>
      <c r="AE3977" s="352"/>
      <c r="AF3977" s="352"/>
      <c r="AG3977" s="352"/>
      <c r="AH3977" s="352"/>
      <c r="AI3977" s="352"/>
      <c r="AJ3977" s="352"/>
    </row>
    <row r="3978" spans="2:36" x14ac:dyDescent="0.2">
      <c r="B3978" s="352"/>
      <c r="C3978" s="352"/>
      <c r="D3978" s="352"/>
      <c r="E3978" s="352"/>
      <c r="F3978" s="352"/>
      <c r="H3978" s="352"/>
      <c r="J3978" s="352"/>
      <c r="L3978" s="352"/>
      <c r="M3978" s="352"/>
      <c r="N3978" s="352"/>
      <c r="O3978" s="352"/>
      <c r="P3978" s="352"/>
      <c r="Q3978" s="352"/>
      <c r="R3978" s="352"/>
      <c r="S3978" s="352"/>
      <c r="T3978" s="352"/>
      <c r="U3978" s="352"/>
      <c r="V3978" s="352"/>
      <c r="W3978" s="352"/>
      <c r="X3978" s="352"/>
      <c r="Y3978" s="352"/>
      <c r="Z3978" s="352"/>
      <c r="AA3978" s="352"/>
      <c r="AB3978" s="352"/>
      <c r="AC3978" s="352"/>
      <c r="AD3978" s="352"/>
      <c r="AE3978" s="352"/>
      <c r="AF3978" s="352"/>
      <c r="AG3978" s="352"/>
      <c r="AH3978" s="352"/>
      <c r="AI3978" s="352"/>
      <c r="AJ3978" s="352"/>
    </row>
    <row r="3979" spans="2:36" x14ac:dyDescent="0.2">
      <c r="B3979" s="352"/>
      <c r="C3979" s="352"/>
      <c r="D3979" s="352"/>
      <c r="E3979" s="352"/>
      <c r="F3979" s="352"/>
      <c r="H3979" s="352"/>
      <c r="J3979" s="352"/>
      <c r="L3979" s="352"/>
      <c r="M3979" s="352"/>
      <c r="N3979" s="352"/>
      <c r="O3979" s="352"/>
      <c r="P3979" s="352"/>
      <c r="Q3979" s="352"/>
      <c r="R3979" s="352"/>
      <c r="S3979" s="352"/>
      <c r="T3979" s="352"/>
      <c r="U3979" s="352"/>
      <c r="V3979" s="352"/>
      <c r="W3979" s="352"/>
      <c r="X3979" s="352"/>
      <c r="Y3979" s="352"/>
      <c r="Z3979" s="352"/>
      <c r="AA3979" s="352"/>
      <c r="AB3979" s="352"/>
      <c r="AC3979" s="352"/>
      <c r="AD3979" s="352"/>
      <c r="AE3979" s="352"/>
      <c r="AF3979" s="352"/>
      <c r="AG3979" s="352"/>
      <c r="AH3979" s="352"/>
      <c r="AI3979" s="352"/>
      <c r="AJ3979" s="352"/>
    </row>
    <row r="3980" spans="2:36" x14ac:dyDescent="0.2">
      <c r="B3980" s="352"/>
      <c r="C3980" s="352"/>
      <c r="D3980" s="352"/>
      <c r="E3980" s="352"/>
      <c r="F3980" s="352"/>
      <c r="H3980" s="352"/>
      <c r="J3980" s="352"/>
      <c r="L3980" s="352"/>
      <c r="M3980" s="352"/>
      <c r="N3980" s="352"/>
      <c r="O3980" s="352"/>
      <c r="P3980" s="352"/>
      <c r="Q3980" s="352"/>
      <c r="R3980" s="352"/>
      <c r="S3980" s="352"/>
      <c r="T3980" s="352"/>
      <c r="U3980" s="352"/>
      <c r="V3980" s="352"/>
      <c r="W3980" s="352"/>
      <c r="X3980" s="352"/>
      <c r="Y3980" s="352"/>
      <c r="Z3980" s="352"/>
      <c r="AA3980" s="352"/>
      <c r="AB3980" s="352"/>
      <c r="AC3980" s="352"/>
      <c r="AD3980" s="352"/>
      <c r="AE3980" s="352"/>
      <c r="AF3980" s="352"/>
      <c r="AG3980" s="352"/>
      <c r="AH3980" s="352"/>
      <c r="AI3980" s="352"/>
      <c r="AJ3980" s="352"/>
    </row>
    <row r="3981" spans="2:36" x14ac:dyDescent="0.2">
      <c r="B3981" s="352"/>
      <c r="C3981" s="352"/>
      <c r="D3981" s="352"/>
      <c r="E3981" s="352"/>
      <c r="F3981" s="352"/>
      <c r="H3981" s="352"/>
      <c r="J3981" s="352"/>
      <c r="L3981" s="352"/>
      <c r="M3981" s="352"/>
      <c r="N3981" s="352"/>
      <c r="O3981" s="352"/>
      <c r="P3981" s="352"/>
      <c r="Q3981" s="352"/>
      <c r="R3981" s="352"/>
      <c r="S3981" s="352"/>
      <c r="T3981" s="352"/>
      <c r="U3981" s="352"/>
      <c r="V3981" s="352"/>
      <c r="W3981" s="352"/>
      <c r="X3981" s="352"/>
      <c r="Y3981" s="352"/>
      <c r="Z3981" s="352"/>
      <c r="AA3981" s="352"/>
      <c r="AB3981" s="352"/>
      <c r="AC3981" s="352"/>
      <c r="AD3981" s="352"/>
      <c r="AE3981" s="352"/>
      <c r="AF3981" s="352"/>
      <c r="AG3981" s="352"/>
      <c r="AH3981" s="352"/>
      <c r="AI3981" s="352"/>
      <c r="AJ3981" s="352"/>
    </row>
    <row r="3982" spans="2:36" x14ac:dyDescent="0.2">
      <c r="B3982" s="352"/>
      <c r="C3982" s="352"/>
      <c r="D3982" s="352"/>
      <c r="E3982" s="352"/>
      <c r="F3982" s="352"/>
      <c r="H3982" s="352"/>
      <c r="J3982" s="352"/>
      <c r="L3982" s="352"/>
      <c r="M3982" s="352"/>
      <c r="N3982" s="352"/>
      <c r="O3982" s="352"/>
      <c r="P3982" s="352"/>
      <c r="Q3982" s="352"/>
      <c r="R3982" s="352"/>
      <c r="S3982" s="352"/>
      <c r="T3982" s="352"/>
      <c r="U3982" s="352"/>
      <c r="V3982" s="352"/>
      <c r="W3982" s="352"/>
      <c r="X3982" s="352"/>
      <c r="Y3982" s="352"/>
      <c r="Z3982" s="352"/>
      <c r="AA3982" s="352"/>
      <c r="AB3982" s="352"/>
      <c r="AC3982" s="352"/>
      <c r="AD3982" s="352"/>
      <c r="AE3982" s="352"/>
      <c r="AF3982" s="352"/>
      <c r="AG3982" s="352"/>
      <c r="AH3982" s="352"/>
      <c r="AI3982" s="352"/>
      <c r="AJ3982" s="352"/>
    </row>
    <row r="3983" spans="2:36" x14ac:dyDescent="0.2">
      <c r="B3983" s="352"/>
      <c r="C3983" s="352"/>
      <c r="D3983" s="352"/>
      <c r="E3983" s="352"/>
      <c r="F3983" s="352"/>
      <c r="H3983" s="352"/>
      <c r="J3983" s="352"/>
      <c r="L3983" s="352"/>
      <c r="M3983" s="352"/>
      <c r="N3983" s="352"/>
      <c r="O3983" s="352"/>
      <c r="P3983" s="352"/>
      <c r="Q3983" s="352"/>
      <c r="R3983" s="352"/>
      <c r="S3983" s="352"/>
      <c r="T3983" s="352"/>
      <c r="U3983" s="352"/>
      <c r="V3983" s="352"/>
      <c r="W3983" s="352"/>
      <c r="X3983" s="352"/>
      <c r="Y3983" s="352"/>
      <c r="Z3983" s="352"/>
      <c r="AA3983" s="352"/>
      <c r="AB3983" s="352"/>
      <c r="AC3983" s="352"/>
      <c r="AD3983" s="352"/>
      <c r="AE3983" s="352"/>
      <c r="AF3983" s="352"/>
      <c r="AG3983" s="352"/>
      <c r="AH3983" s="352"/>
      <c r="AI3983" s="352"/>
      <c r="AJ3983" s="352"/>
    </row>
    <row r="3984" spans="2:36" x14ac:dyDescent="0.2">
      <c r="B3984" s="352"/>
      <c r="C3984" s="352"/>
      <c r="D3984" s="352"/>
      <c r="E3984" s="352"/>
      <c r="F3984" s="352"/>
      <c r="H3984" s="352"/>
      <c r="J3984" s="352"/>
      <c r="L3984" s="352"/>
      <c r="M3984" s="352"/>
      <c r="N3984" s="352"/>
      <c r="O3984" s="352"/>
      <c r="P3984" s="352"/>
      <c r="Q3984" s="352"/>
      <c r="R3984" s="352"/>
      <c r="S3984" s="352"/>
      <c r="T3984" s="352"/>
      <c r="U3984" s="352"/>
      <c r="V3984" s="352"/>
      <c r="W3984" s="352"/>
      <c r="X3984" s="352"/>
      <c r="Y3984" s="352"/>
      <c r="Z3984" s="352"/>
      <c r="AA3984" s="352"/>
      <c r="AB3984" s="352"/>
      <c r="AC3984" s="352"/>
      <c r="AD3984" s="352"/>
      <c r="AE3984" s="352"/>
      <c r="AF3984" s="352"/>
      <c r="AG3984" s="352"/>
      <c r="AH3984" s="352"/>
      <c r="AI3984" s="352"/>
      <c r="AJ3984" s="352"/>
    </row>
    <row r="3985" spans="2:36" x14ac:dyDescent="0.2">
      <c r="B3985" s="352"/>
      <c r="C3985" s="352"/>
      <c r="D3985" s="352"/>
      <c r="E3985" s="352"/>
      <c r="F3985" s="352"/>
      <c r="H3985" s="352"/>
      <c r="J3985" s="352"/>
      <c r="L3985" s="352"/>
      <c r="M3985" s="352"/>
      <c r="N3985" s="352"/>
      <c r="O3985" s="352"/>
      <c r="P3985" s="352"/>
      <c r="Q3985" s="352"/>
      <c r="R3985" s="352"/>
      <c r="S3985" s="352"/>
      <c r="T3985" s="352"/>
      <c r="U3985" s="352"/>
      <c r="V3985" s="352"/>
      <c r="W3985" s="352"/>
      <c r="X3985" s="352"/>
      <c r="Y3985" s="352"/>
      <c r="Z3985" s="352"/>
      <c r="AA3985" s="352"/>
      <c r="AB3985" s="352"/>
      <c r="AC3985" s="352"/>
      <c r="AD3985" s="352"/>
      <c r="AE3985" s="352"/>
      <c r="AF3985" s="352"/>
      <c r="AG3985" s="352"/>
      <c r="AH3985" s="352"/>
      <c r="AI3985" s="352"/>
      <c r="AJ3985" s="352"/>
    </row>
    <row r="3986" spans="2:36" x14ac:dyDescent="0.2">
      <c r="B3986" s="352"/>
      <c r="C3986" s="352"/>
      <c r="D3986" s="352"/>
      <c r="E3986" s="352"/>
      <c r="F3986" s="352"/>
      <c r="H3986" s="352"/>
      <c r="J3986" s="352"/>
      <c r="L3986" s="352"/>
      <c r="M3986" s="352"/>
      <c r="N3986" s="352"/>
      <c r="O3986" s="352"/>
      <c r="P3986" s="352"/>
      <c r="Q3986" s="352"/>
      <c r="R3986" s="352"/>
      <c r="S3986" s="352"/>
      <c r="T3986" s="352"/>
      <c r="U3986" s="352"/>
      <c r="V3986" s="352"/>
      <c r="W3986" s="352"/>
      <c r="X3986" s="352"/>
      <c r="Y3986" s="352"/>
      <c r="Z3986" s="352"/>
      <c r="AA3986" s="352"/>
      <c r="AB3986" s="352"/>
      <c r="AC3986" s="352"/>
      <c r="AD3986" s="352"/>
      <c r="AE3986" s="352"/>
      <c r="AF3986" s="352"/>
      <c r="AG3986" s="352"/>
      <c r="AH3986" s="352"/>
      <c r="AI3986" s="352"/>
      <c r="AJ3986" s="352"/>
    </row>
    <row r="3987" spans="2:36" x14ac:dyDescent="0.2">
      <c r="B3987" s="352"/>
      <c r="C3987" s="352"/>
      <c r="D3987" s="352"/>
      <c r="E3987" s="352"/>
      <c r="F3987" s="352"/>
      <c r="H3987" s="352"/>
      <c r="J3987" s="352"/>
      <c r="L3987" s="352"/>
      <c r="M3987" s="352"/>
      <c r="N3987" s="352"/>
      <c r="O3987" s="352"/>
      <c r="P3987" s="352"/>
      <c r="Q3987" s="352"/>
      <c r="R3987" s="352"/>
      <c r="S3987" s="352"/>
      <c r="T3987" s="352"/>
      <c r="U3987" s="352"/>
      <c r="V3987" s="352"/>
      <c r="W3987" s="352"/>
      <c r="X3987" s="352"/>
      <c r="Y3987" s="352"/>
      <c r="Z3987" s="352"/>
      <c r="AA3987" s="352"/>
      <c r="AB3987" s="352"/>
      <c r="AC3987" s="352"/>
      <c r="AD3987" s="352"/>
      <c r="AE3987" s="352"/>
      <c r="AF3987" s="352"/>
      <c r="AG3987" s="352"/>
      <c r="AH3987" s="352"/>
      <c r="AI3987" s="352"/>
      <c r="AJ3987" s="352"/>
    </row>
    <row r="3988" spans="2:36" x14ac:dyDescent="0.2">
      <c r="B3988" s="352"/>
      <c r="C3988" s="352"/>
      <c r="D3988" s="352"/>
      <c r="E3988" s="352"/>
      <c r="F3988" s="352"/>
      <c r="H3988" s="352"/>
      <c r="J3988" s="352"/>
      <c r="L3988" s="352"/>
      <c r="M3988" s="352"/>
      <c r="N3988" s="352"/>
      <c r="O3988" s="352"/>
      <c r="P3988" s="352"/>
      <c r="Q3988" s="352"/>
      <c r="R3988" s="352"/>
      <c r="S3988" s="352"/>
      <c r="T3988" s="352"/>
      <c r="U3988" s="352"/>
      <c r="V3988" s="352"/>
      <c r="W3988" s="352"/>
      <c r="X3988" s="352"/>
      <c r="Y3988" s="352"/>
      <c r="Z3988" s="352"/>
      <c r="AA3988" s="352"/>
      <c r="AB3988" s="352"/>
      <c r="AC3988" s="352"/>
      <c r="AD3988" s="352"/>
      <c r="AE3988" s="352"/>
      <c r="AF3988" s="352"/>
      <c r="AG3988" s="352"/>
      <c r="AH3988" s="352"/>
      <c r="AI3988" s="352"/>
      <c r="AJ3988" s="352"/>
    </row>
    <row r="3989" spans="2:36" x14ac:dyDescent="0.2">
      <c r="B3989" s="352"/>
      <c r="C3989" s="352"/>
      <c r="D3989" s="352"/>
      <c r="E3989" s="352"/>
      <c r="F3989" s="352"/>
      <c r="H3989" s="352"/>
      <c r="J3989" s="352"/>
      <c r="L3989" s="352"/>
      <c r="M3989" s="352"/>
      <c r="N3989" s="352"/>
      <c r="O3989" s="352"/>
      <c r="P3989" s="352"/>
      <c r="Q3989" s="352"/>
      <c r="R3989" s="352"/>
      <c r="S3989" s="352"/>
      <c r="T3989" s="352"/>
      <c r="U3989" s="352"/>
      <c r="V3989" s="352"/>
      <c r="W3989" s="352"/>
      <c r="X3989" s="352"/>
      <c r="Y3989" s="352"/>
      <c r="Z3989" s="352"/>
      <c r="AA3989" s="352"/>
      <c r="AB3989" s="352"/>
      <c r="AC3989" s="352"/>
      <c r="AD3989" s="352"/>
      <c r="AE3989" s="352"/>
      <c r="AF3989" s="352"/>
      <c r="AG3989" s="352"/>
      <c r="AH3989" s="352"/>
      <c r="AI3989" s="352"/>
      <c r="AJ3989" s="352"/>
    </row>
    <row r="3990" spans="2:36" x14ac:dyDescent="0.2">
      <c r="B3990" s="352"/>
      <c r="C3990" s="352"/>
      <c r="D3990" s="352"/>
      <c r="E3990" s="352"/>
      <c r="F3990" s="352"/>
      <c r="H3990" s="352"/>
      <c r="J3990" s="352"/>
      <c r="L3990" s="352"/>
      <c r="M3990" s="352"/>
      <c r="N3990" s="352"/>
      <c r="O3990" s="352"/>
      <c r="P3990" s="352"/>
      <c r="Q3990" s="352"/>
      <c r="R3990" s="352"/>
      <c r="S3990" s="352"/>
      <c r="T3990" s="352"/>
      <c r="U3990" s="352"/>
      <c r="V3990" s="352"/>
      <c r="W3990" s="352"/>
      <c r="X3990" s="352"/>
      <c r="Y3990" s="352"/>
      <c r="Z3990" s="352"/>
      <c r="AA3990" s="352"/>
      <c r="AB3990" s="352"/>
      <c r="AC3990" s="352"/>
      <c r="AD3990" s="352"/>
      <c r="AE3990" s="352"/>
      <c r="AF3990" s="352"/>
      <c r="AG3990" s="352"/>
      <c r="AH3990" s="352"/>
      <c r="AI3990" s="352"/>
      <c r="AJ3990" s="352"/>
    </row>
    <row r="3991" spans="2:36" x14ac:dyDescent="0.2">
      <c r="B3991" s="352"/>
      <c r="C3991" s="352"/>
      <c r="D3991" s="352"/>
      <c r="E3991" s="352"/>
      <c r="F3991" s="352"/>
      <c r="H3991" s="352"/>
      <c r="J3991" s="352"/>
      <c r="L3991" s="352"/>
      <c r="M3991" s="352"/>
      <c r="N3991" s="352"/>
      <c r="O3991" s="352"/>
      <c r="P3991" s="352"/>
      <c r="Q3991" s="352"/>
      <c r="R3991" s="352"/>
      <c r="S3991" s="352"/>
      <c r="T3991" s="352"/>
      <c r="U3991" s="352"/>
      <c r="V3991" s="352"/>
      <c r="W3991" s="352"/>
      <c r="X3991" s="352"/>
      <c r="Y3991" s="352"/>
      <c r="Z3991" s="352"/>
      <c r="AA3991" s="352"/>
      <c r="AB3991" s="352"/>
      <c r="AC3991" s="352"/>
      <c r="AD3991" s="352"/>
      <c r="AE3991" s="352"/>
      <c r="AF3991" s="352"/>
      <c r="AG3991" s="352"/>
      <c r="AH3991" s="352"/>
      <c r="AI3991" s="352"/>
      <c r="AJ3991" s="352"/>
    </row>
    <row r="3992" spans="2:36" x14ac:dyDescent="0.2">
      <c r="B3992" s="352"/>
      <c r="C3992" s="352"/>
      <c r="D3992" s="352"/>
      <c r="E3992" s="352"/>
      <c r="F3992" s="352"/>
      <c r="H3992" s="352"/>
      <c r="J3992" s="352"/>
      <c r="L3992" s="352"/>
      <c r="M3992" s="352"/>
      <c r="N3992" s="352"/>
      <c r="O3992" s="352"/>
      <c r="P3992" s="352"/>
      <c r="Q3992" s="352"/>
      <c r="R3992" s="352"/>
      <c r="S3992" s="352"/>
      <c r="T3992" s="352"/>
      <c r="U3992" s="352"/>
      <c r="V3992" s="352"/>
      <c r="W3992" s="352"/>
      <c r="X3992" s="352"/>
      <c r="Y3992" s="352"/>
      <c r="Z3992" s="352"/>
      <c r="AA3992" s="352"/>
      <c r="AB3992" s="352"/>
      <c r="AC3992" s="352"/>
      <c r="AD3992" s="352"/>
      <c r="AE3992" s="352"/>
      <c r="AF3992" s="352"/>
      <c r="AG3992" s="352"/>
      <c r="AH3992" s="352"/>
      <c r="AI3992" s="352"/>
      <c r="AJ3992" s="352"/>
    </row>
    <row r="3993" spans="2:36" x14ac:dyDescent="0.2">
      <c r="B3993" s="352"/>
      <c r="C3993" s="352"/>
      <c r="D3993" s="352"/>
      <c r="E3993" s="352"/>
      <c r="F3993" s="352"/>
      <c r="H3993" s="352"/>
      <c r="J3993" s="352"/>
      <c r="L3993" s="352"/>
      <c r="M3993" s="352"/>
      <c r="N3993" s="352"/>
      <c r="O3993" s="352"/>
      <c r="P3993" s="352"/>
      <c r="Q3993" s="352"/>
      <c r="R3993" s="352"/>
      <c r="S3993" s="352"/>
      <c r="T3993" s="352"/>
      <c r="U3993" s="352"/>
      <c r="V3993" s="352"/>
      <c r="W3993" s="352"/>
      <c r="X3993" s="352"/>
      <c r="Y3993" s="352"/>
      <c r="Z3993" s="352"/>
      <c r="AA3993" s="352"/>
      <c r="AB3993" s="352"/>
      <c r="AC3993" s="352"/>
      <c r="AD3993" s="352"/>
      <c r="AE3993" s="352"/>
      <c r="AF3993" s="352"/>
      <c r="AG3993" s="352"/>
      <c r="AH3993" s="352"/>
      <c r="AI3993" s="352"/>
      <c r="AJ3993" s="352"/>
    </row>
    <row r="3994" spans="2:36" x14ac:dyDescent="0.2">
      <c r="B3994" s="352"/>
      <c r="C3994" s="352"/>
      <c r="D3994" s="352"/>
      <c r="E3994" s="352"/>
      <c r="F3994" s="352"/>
      <c r="H3994" s="352"/>
      <c r="J3994" s="352"/>
      <c r="L3994" s="352"/>
      <c r="M3994" s="352"/>
      <c r="N3994" s="352"/>
      <c r="O3994" s="352"/>
      <c r="P3994" s="352"/>
      <c r="Q3994" s="352"/>
      <c r="R3994" s="352"/>
      <c r="S3994" s="352"/>
      <c r="T3994" s="352"/>
      <c r="U3994" s="352"/>
      <c r="V3994" s="352"/>
      <c r="W3994" s="352"/>
      <c r="X3994" s="352"/>
      <c r="Y3994" s="352"/>
      <c r="Z3994" s="352"/>
      <c r="AA3994" s="352"/>
      <c r="AB3994" s="352"/>
      <c r="AC3994" s="352"/>
      <c r="AD3994" s="352"/>
      <c r="AE3994" s="352"/>
      <c r="AF3994" s="352"/>
      <c r="AG3994" s="352"/>
      <c r="AH3994" s="352"/>
      <c r="AI3994" s="352"/>
      <c r="AJ3994" s="352"/>
    </row>
    <row r="3995" spans="2:36" x14ac:dyDescent="0.2">
      <c r="B3995" s="352"/>
      <c r="C3995" s="352"/>
      <c r="D3995" s="352"/>
      <c r="E3995" s="352"/>
      <c r="F3995" s="352"/>
      <c r="H3995" s="352"/>
      <c r="J3995" s="352"/>
      <c r="L3995" s="352"/>
      <c r="M3995" s="352"/>
      <c r="N3995" s="352"/>
      <c r="O3995" s="352"/>
      <c r="P3995" s="352"/>
      <c r="Q3995" s="352"/>
      <c r="R3995" s="352"/>
      <c r="S3995" s="352"/>
      <c r="T3995" s="352"/>
      <c r="U3995" s="352"/>
      <c r="V3995" s="352"/>
      <c r="W3995" s="352"/>
      <c r="X3995" s="352"/>
      <c r="Y3995" s="352"/>
      <c r="Z3995" s="352"/>
      <c r="AA3995" s="352"/>
      <c r="AB3995" s="352"/>
      <c r="AC3995" s="352"/>
      <c r="AD3995" s="352"/>
      <c r="AE3995" s="352"/>
      <c r="AF3995" s="352"/>
      <c r="AG3995" s="352"/>
      <c r="AH3995" s="352"/>
      <c r="AI3995" s="352"/>
      <c r="AJ3995" s="352"/>
    </row>
    <row r="3996" spans="2:36" x14ac:dyDescent="0.2">
      <c r="B3996" s="352"/>
      <c r="C3996" s="352"/>
      <c r="D3996" s="352"/>
      <c r="E3996" s="352"/>
      <c r="F3996" s="352"/>
      <c r="H3996" s="352"/>
      <c r="J3996" s="352"/>
      <c r="L3996" s="352"/>
      <c r="M3996" s="352"/>
      <c r="N3996" s="352"/>
      <c r="O3996" s="352"/>
      <c r="P3996" s="352"/>
      <c r="Q3996" s="352"/>
      <c r="R3996" s="352"/>
      <c r="S3996" s="352"/>
      <c r="T3996" s="352"/>
      <c r="U3996" s="352"/>
      <c r="V3996" s="352"/>
      <c r="W3996" s="352"/>
      <c r="X3996" s="352"/>
      <c r="Y3996" s="352"/>
      <c r="Z3996" s="352"/>
      <c r="AA3996" s="352"/>
      <c r="AB3996" s="352"/>
      <c r="AC3996" s="352"/>
      <c r="AD3996" s="352"/>
      <c r="AE3996" s="352"/>
      <c r="AF3996" s="352"/>
      <c r="AG3996" s="352"/>
      <c r="AH3996" s="352"/>
      <c r="AI3996" s="352"/>
      <c r="AJ3996" s="352"/>
    </row>
    <row r="3997" spans="2:36" x14ac:dyDescent="0.2">
      <c r="B3997" s="352"/>
      <c r="C3997" s="352"/>
      <c r="D3997" s="352"/>
      <c r="E3997" s="352"/>
      <c r="F3997" s="352"/>
      <c r="H3997" s="352"/>
      <c r="J3997" s="352"/>
      <c r="L3997" s="352"/>
      <c r="M3997" s="352"/>
      <c r="N3997" s="352"/>
      <c r="O3997" s="352"/>
      <c r="P3997" s="352"/>
      <c r="Q3997" s="352"/>
      <c r="R3997" s="352"/>
      <c r="S3997" s="352"/>
      <c r="T3997" s="352"/>
      <c r="U3997" s="352"/>
      <c r="V3997" s="352"/>
      <c r="W3997" s="352"/>
      <c r="X3997" s="352"/>
      <c r="Y3997" s="352"/>
      <c r="Z3997" s="352"/>
      <c r="AA3997" s="352"/>
      <c r="AB3997" s="352"/>
      <c r="AC3997" s="352"/>
      <c r="AD3997" s="352"/>
      <c r="AE3997" s="352"/>
      <c r="AF3997" s="352"/>
      <c r="AG3997" s="352"/>
      <c r="AH3997" s="352"/>
      <c r="AI3997" s="352"/>
      <c r="AJ3997" s="352"/>
    </row>
    <row r="3998" spans="2:36" x14ac:dyDescent="0.2">
      <c r="B3998" s="352"/>
      <c r="C3998" s="352"/>
      <c r="D3998" s="352"/>
      <c r="E3998" s="352"/>
      <c r="F3998" s="352"/>
      <c r="H3998" s="352"/>
      <c r="J3998" s="352"/>
      <c r="L3998" s="352"/>
      <c r="M3998" s="352"/>
      <c r="N3998" s="352"/>
      <c r="O3998" s="352"/>
      <c r="P3998" s="352"/>
      <c r="Q3998" s="352"/>
      <c r="R3998" s="352"/>
      <c r="S3998" s="352"/>
      <c r="T3998" s="352"/>
      <c r="U3998" s="352"/>
      <c r="V3998" s="352"/>
      <c r="W3998" s="352"/>
      <c r="X3998" s="352"/>
      <c r="Y3998" s="352"/>
      <c r="Z3998" s="352"/>
      <c r="AA3998" s="352"/>
      <c r="AB3998" s="352"/>
      <c r="AC3998" s="352"/>
      <c r="AD3998" s="352"/>
      <c r="AE3998" s="352"/>
      <c r="AF3998" s="352"/>
      <c r="AG3998" s="352"/>
      <c r="AH3998" s="352"/>
      <c r="AI3998" s="352"/>
      <c r="AJ3998" s="352"/>
    </row>
    <row r="3999" spans="2:36" x14ac:dyDescent="0.2">
      <c r="B3999" s="352"/>
      <c r="C3999" s="352"/>
      <c r="D3999" s="352"/>
      <c r="E3999" s="352"/>
      <c r="F3999" s="352"/>
      <c r="H3999" s="352"/>
      <c r="J3999" s="352"/>
      <c r="L3999" s="352"/>
      <c r="M3999" s="352"/>
      <c r="N3999" s="352"/>
      <c r="O3999" s="352"/>
      <c r="P3999" s="352"/>
      <c r="Q3999" s="352"/>
      <c r="R3999" s="352"/>
      <c r="S3999" s="352"/>
      <c r="T3999" s="352"/>
      <c r="U3999" s="352"/>
      <c r="V3999" s="352"/>
      <c r="W3999" s="352"/>
      <c r="X3999" s="352"/>
      <c r="Y3999" s="352"/>
      <c r="Z3999" s="352"/>
      <c r="AA3999" s="352"/>
      <c r="AB3999" s="352"/>
      <c r="AC3999" s="352"/>
      <c r="AD3999" s="352"/>
      <c r="AE3999" s="352"/>
      <c r="AF3999" s="352"/>
      <c r="AG3999" s="352"/>
      <c r="AH3999" s="352"/>
      <c r="AI3999" s="352"/>
      <c r="AJ3999" s="352"/>
    </row>
    <row r="4000" spans="2:36" x14ac:dyDescent="0.2">
      <c r="B4000" s="352"/>
      <c r="C4000" s="352"/>
      <c r="D4000" s="352"/>
      <c r="E4000" s="352"/>
      <c r="F4000" s="352"/>
      <c r="H4000" s="352"/>
      <c r="J4000" s="352"/>
      <c r="L4000" s="352"/>
      <c r="M4000" s="352"/>
      <c r="N4000" s="352"/>
      <c r="O4000" s="352"/>
      <c r="P4000" s="352"/>
      <c r="Q4000" s="352"/>
      <c r="R4000" s="352"/>
      <c r="S4000" s="352"/>
      <c r="T4000" s="352"/>
      <c r="U4000" s="352"/>
      <c r="V4000" s="352"/>
      <c r="W4000" s="352"/>
      <c r="X4000" s="352"/>
      <c r="Y4000" s="352"/>
      <c r="Z4000" s="352"/>
      <c r="AA4000" s="352"/>
      <c r="AB4000" s="352"/>
      <c r="AC4000" s="352"/>
      <c r="AD4000" s="352"/>
      <c r="AE4000" s="352"/>
      <c r="AF4000" s="352"/>
      <c r="AG4000" s="352"/>
      <c r="AH4000" s="352"/>
      <c r="AI4000" s="352"/>
      <c r="AJ4000" s="352"/>
    </row>
    <row r="4001" spans="2:36" x14ac:dyDescent="0.2">
      <c r="B4001" s="352"/>
      <c r="C4001" s="352"/>
      <c r="D4001" s="352"/>
      <c r="E4001" s="352"/>
      <c r="F4001" s="352"/>
      <c r="H4001" s="352"/>
      <c r="J4001" s="352"/>
      <c r="L4001" s="352"/>
      <c r="M4001" s="352"/>
      <c r="N4001" s="352"/>
      <c r="O4001" s="352"/>
      <c r="P4001" s="352"/>
      <c r="Q4001" s="352"/>
      <c r="R4001" s="352"/>
      <c r="S4001" s="352"/>
      <c r="T4001" s="352"/>
      <c r="U4001" s="352"/>
      <c r="V4001" s="352"/>
      <c r="W4001" s="352"/>
      <c r="X4001" s="352"/>
      <c r="Y4001" s="352"/>
      <c r="Z4001" s="352"/>
      <c r="AA4001" s="352"/>
      <c r="AB4001" s="352"/>
      <c r="AC4001" s="352"/>
      <c r="AD4001" s="352"/>
      <c r="AE4001" s="352"/>
      <c r="AF4001" s="352"/>
      <c r="AG4001" s="352"/>
      <c r="AH4001" s="352"/>
      <c r="AI4001" s="352"/>
      <c r="AJ4001" s="352"/>
    </row>
    <row r="4002" spans="2:36" x14ac:dyDescent="0.2">
      <c r="B4002" s="352"/>
      <c r="C4002" s="352"/>
      <c r="D4002" s="352"/>
      <c r="E4002" s="352"/>
      <c r="F4002" s="352"/>
      <c r="H4002" s="352"/>
      <c r="J4002" s="352"/>
      <c r="L4002" s="352"/>
      <c r="M4002" s="352"/>
      <c r="N4002" s="352"/>
      <c r="O4002" s="352"/>
      <c r="P4002" s="352"/>
      <c r="Q4002" s="352"/>
      <c r="R4002" s="352"/>
      <c r="S4002" s="352"/>
      <c r="T4002" s="352"/>
      <c r="U4002" s="352"/>
      <c r="V4002" s="352"/>
      <c r="W4002" s="352"/>
      <c r="X4002" s="352"/>
      <c r="Y4002" s="352"/>
      <c r="Z4002" s="352"/>
      <c r="AA4002" s="352"/>
      <c r="AB4002" s="352"/>
      <c r="AC4002" s="352"/>
      <c r="AD4002" s="352"/>
      <c r="AE4002" s="352"/>
      <c r="AF4002" s="352"/>
      <c r="AG4002" s="352"/>
      <c r="AH4002" s="352"/>
      <c r="AI4002" s="352"/>
      <c r="AJ4002" s="352"/>
    </row>
    <row r="4003" spans="2:36" x14ac:dyDescent="0.2">
      <c r="B4003" s="352"/>
      <c r="C4003" s="352"/>
      <c r="D4003" s="352"/>
      <c r="E4003" s="352"/>
      <c r="F4003" s="352"/>
      <c r="H4003" s="352"/>
      <c r="J4003" s="352"/>
      <c r="L4003" s="352"/>
      <c r="M4003" s="352"/>
      <c r="N4003" s="352"/>
      <c r="O4003" s="352"/>
      <c r="P4003" s="352"/>
      <c r="Q4003" s="352"/>
      <c r="R4003" s="352"/>
      <c r="S4003" s="352"/>
      <c r="T4003" s="352"/>
      <c r="U4003" s="352"/>
      <c r="V4003" s="352"/>
      <c r="W4003" s="352"/>
      <c r="X4003" s="352"/>
      <c r="Y4003" s="352"/>
      <c r="Z4003" s="352"/>
      <c r="AA4003" s="352"/>
      <c r="AB4003" s="352"/>
      <c r="AC4003" s="352"/>
      <c r="AD4003" s="352"/>
      <c r="AE4003" s="352"/>
      <c r="AF4003" s="352"/>
      <c r="AG4003" s="352"/>
      <c r="AH4003" s="352"/>
      <c r="AI4003" s="352"/>
      <c r="AJ4003" s="352"/>
    </row>
    <row r="4004" spans="2:36" x14ac:dyDescent="0.2">
      <c r="B4004" s="352"/>
      <c r="C4004" s="352"/>
      <c r="D4004" s="352"/>
      <c r="E4004" s="352"/>
      <c r="F4004" s="352"/>
      <c r="H4004" s="352"/>
      <c r="J4004" s="352"/>
      <c r="L4004" s="352"/>
      <c r="M4004" s="352"/>
      <c r="N4004" s="352"/>
      <c r="O4004" s="352"/>
      <c r="P4004" s="352"/>
      <c r="Q4004" s="352"/>
      <c r="R4004" s="352"/>
      <c r="S4004" s="352"/>
      <c r="T4004" s="352"/>
      <c r="U4004" s="352"/>
      <c r="V4004" s="352"/>
      <c r="W4004" s="352"/>
      <c r="X4004" s="352"/>
      <c r="Y4004" s="352"/>
      <c r="Z4004" s="352"/>
      <c r="AA4004" s="352"/>
      <c r="AB4004" s="352"/>
      <c r="AC4004" s="352"/>
      <c r="AD4004" s="352"/>
      <c r="AE4004" s="352"/>
      <c r="AF4004" s="352"/>
      <c r="AG4004" s="352"/>
      <c r="AH4004" s="352"/>
      <c r="AI4004" s="352"/>
      <c r="AJ4004" s="352"/>
    </row>
    <row r="4005" spans="2:36" x14ac:dyDescent="0.2">
      <c r="B4005" s="352"/>
      <c r="C4005" s="352"/>
      <c r="D4005" s="352"/>
      <c r="E4005" s="352"/>
      <c r="F4005" s="352"/>
      <c r="H4005" s="352"/>
      <c r="J4005" s="352"/>
      <c r="L4005" s="352"/>
      <c r="M4005" s="352"/>
      <c r="N4005" s="352"/>
      <c r="O4005" s="352"/>
      <c r="P4005" s="352"/>
      <c r="Q4005" s="352"/>
      <c r="R4005" s="352"/>
      <c r="S4005" s="352"/>
      <c r="T4005" s="352"/>
      <c r="U4005" s="352"/>
      <c r="V4005" s="352"/>
      <c r="W4005" s="352"/>
      <c r="X4005" s="352"/>
      <c r="Y4005" s="352"/>
      <c r="Z4005" s="352"/>
      <c r="AA4005" s="352"/>
      <c r="AB4005" s="352"/>
      <c r="AC4005" s="352"/>
      <c r="AD4005" s="352"/>
      <c r="AE4005" s="352"/>
      <c r="AF4005" s="352"/>
      <c r="AG4005" s="352"/>
      <c r="AH4005" s="352"/>
      <c r="AI4005" s="352"/>
      <c r="AJ4005" s="352"/>
    </row>
    <row r="4006" spans="2:36" x14ac:dyDescent="0.2">
      <c r="B4006" s="352"/>
      <c r="C4006" s="352"/>
      <c r="D4006" s="352"/>
      <c r="E4006" s="352"/>
      <c r="F4006" s="352"/>
      <c r="H4006" s="352"/>
      <c r="J4006" s="352"/>
      <c r="L4006" s="352"/>
      <c r="M4006" s="352"/>
      <c r="N4006" s="352"/>
      <c r="O4006" s="352"/>
      <c r="P4006" s="352"/>
      <c r="Q4006" s="352"/>
      <c r="R4006" s="352"/>
      <c r="S4006" s="352"/>
      <c r="T4006" s="352"/>
      <c r="U4006" s="352"/>
      <c r="V4006" s="352"/>
      <c r="W4006" s="352"/>
      <c r="X4006" s="352"/>
      <c r="Y4006" s="352"/>
      <c r="Z4006" s="352"/>
      <c r="AA4006" s="352"/>
      <c r="AB4006" s="352"/>
      <c r="AC4006" s="352"/>
      <c r="AD4006" s="352"/>
      <c r="AE4006" s="352"/>
      <c r="AF4006" s="352"/>
      <c r="AG4006" s="352"/>
      <c r="AH4006" s="352"/>
      <c r="AI4006" s="352"/>
      <c r="AJ4006" s="352"/>
    </row>
    <row r="4007" spans="2:36" x14ac:dyDescent="0.2">
      <c r="B4007" s="352"/>
      <c r="C4007" s="352"/>
      <c r="D4007" s="352"/>
      <c r="E4007" s="352"/>
      <c r="F4007" s="352"/>
      <c r="H4007" s="352"/>
      <c r="J4007" s="352"/>
      <c r="L4007" s="352"/>
      <c r="M4007" s="352"/>
      <c r="N4007" s="352"/>
      <c r="O4007" s="352"/>
      <c r="P4007" s="352"/>
      <c r="Q4007" s="352"/>
      <c r="R4007" s="352"/>
      <c r="S4007" s="352"/>
      <c r="T4007" s="352"/>
      <c r="U4007" s="352"/>
      <c r="V4007" s="352"/>
      <c r="W4007" s="352"/>
      <c r="X4007" s="352"/>
      <c r="Y4007" s="352"/>
      <c r="Z4007" s="352"/>
      <c r="AA4007" s="352"/>
      <c r="AB4007" s="352"/>
      <c r="AC4007" s="352"/>
      <c r="AD4007" s="352"/>
      <c r="AE4007" s="352"/>
      <c r="AF4007" s="352"/>
      <c r="AG4007" s="352"/>
      <c r="AH4007" s="352"/>
      <c r="AI4007" s="352"/>
      <c r="AJ4007" s="352"/>
    </row>
    <row r="4008" spans="2:36" x14ac:dyDescent="0.2">
      <c r="B4008" s="352"/>
      <c r="C4008" s="352"/>
      <c r="D4008" s="352"/>
      <c r="E4008" s="352"/>
      <c r="F4008" s="352"/>
      <c r="H4008" s="352"/>
      <c r="J4008" s="352"/>
      <c r="L4008" s="352"/>
      <c r="M4008" s="352"/>
      <c r="N4008" s="352"/>
      <c r="O4008" s="352"/>
      <c r="P4008" s="352"/>
      <c r="Q4008" s="352"/>
      <c r="R4008" s="352"/>
      <c r="S4008" s="352"/>
      <c r="T4008" s="352"/>
      <c r="U4008" s="352"/>
      <c r="V4008" s="352"/>
      <c r="W4008" s="352"/>
      <c r="X4008" s="352"/>
      <c r="Y4008" s="352"/>
      <c r="Z4008" s="352"/>
      <c r="AA4008" s="352"/>
      <c r="AB4008" s="352"/>
      <c r="AC4008" s="352"/>
      <c r="AD4008" s="352"/>
      <c r="AE4008" s="352"/>
      <c r="AF4008" s="352"/>
      <c r="AG4008" s="352"/>
      <c r="AH4008" s="352"/>
      <c r="AI4008" s="352"/>
      <c r="AJ4008" s="352"/>
    </row>
    <row r="4009" spans="2:36" x14ac:dyDescent="0.2">
      <c r="B4009" s="352"/>
      <c r="C4009" s="352"/>
      <c r="D4009" s="352"/>
      <c r="E4009" s="352"/>
      <c r="F4009" s="352"/>
      <c r="H4009" s="352"/>
      <c r="J4009" s="352"/>
      <c r="L4009" s="352"/>
      <c r="M4009" s="352"/>
      <c r="N4009" s="352"/>
      <c r="O4009" s="352"/>
      <c r="P4009" s="352"/>
      <c r="Q4009" s="352"/>
      <c r="R4009" s="352"/>
      <c r="S4009" s="352"/>
      <c r="T4009" s="352"/>
      <c r="U4009" s="352"/>
      <c r="V4009" s="352"/>
      <c r="W4009" s="352"/>
      <c r="X4009" s="352"/>
      <c r="Y4009" s="352"/>
      <c r="Z4009" s="352"/>
      <c r="AA4009" s="352"/>
      <c r="AB4009" s="352"/>
      <c r="AC4009" s="352"/>
      <c r="AD4009" s="352"/>
      <c r="AE4009" s="352"/>
      <c r="AF4009" s="352"/>
      <c r="AG4009" s="352"/>
      <c r="AH4009" s="352"/>
      <c r="AI4009" s="352"/>
      <c r="AJ4009" s="352"/>
    </row>
    <row r="4010" spans="2:36" x14ac:dyDescent="0.2">
      <c r="B4010" s="352"/>
      <c r="C4010" s="352"/>
      <c r="D4010" s="352"/>
      <c r="E4010" s="352"/>
      <c r="F4010" s="352"/>
      <c r="H4010" s="352"/>
      <c r="J4010" s="352"/>
      <c r="L4010" s="352"/>
      <c r="M4010" s="352"/>
      <c r="N4010" s="352"/>
      <c r="O4010" s="352"/>
      <c r="P4010" s="352"/>
      <c r="Q4010" s="352"/>
      <c r="R4010" s="352"/>
      <c r="S4010" s="352"/>
      <c r="T4010" s="352"/>
      <c r="U4010" s="352"/>
      <c r="V4010" s="352"/>
      <c r="W4010" s="352"/>
      <c r="X4010" s="352"/>
      <c r="Y4010" s="352"/>
      <c r="Z4010" s="352"/>
      <c r="AA4010" s="352"/>
      <c r="AB4010" s="352"/>
      <c r="AC4010" s="352"/>
      <c r="AD4010" s="352"/>
      <c r="AE4010" s="352"/>
      <c r="AF4010" s="352"/>
      <c r="AG4010" s="352"/>
      <c r="AH4010" s="352"/>
      <c r="AI4010" s="352"/>
      <c r="AJ4010" s="352"/>
    </row>
    <row r="4011" spans="2:36" x14ac:dyDescent="0.2">
      <c r="B4011" s="352"/>
      <c r="C4011" s="352"/>
      <c r="D4011" s="352"/>
      <c r="E4011" s="352"/>
      <c r="F4011" s="352"/>
      <c r="H4011" s="352"/>
      <c r="J4011" s="352"/>
      <c r="L4011" s="352"/>
      <c r="M4011" s="352"/>
      <c r="N4011" s="352"/>
      <c r="O4011" s="352"/>
      <c r="P4011" s="352"/>
      <c r="Q4011" s="352"/>
      <c r="R4011" s="352"/>
      <c r="S4011" s="352"/>
      <c r="T4011" s="352"/>
      <c r="U4011" s="352"/>
      <c r="V4011" s="352"/>
      <c r="W4011" s="352"/>
      <c r="X4011" s="352"/>
      <c r="Y4011" s="352"/>
      <c r="Z4011" s="352"/>
      <c r="AA4011" s="352"/>
      <c r="AB4011" s="352"/>
      <c r="AC4011" s="352"/>
      <c r="AD4011" s="352"/>
      <c r="AE4011" s="352"/>
      <c r="AF4011" s="352"/>
      <c r="AG4011" s="352"/>
      <c r="AH4011" s="352"/>
      <c r="AI4011" s="352"/>
      <c r="AJ4011" s="352"/>
    </row>
    <row r="4012" spans="2:36" x14ac:dyDescent="0.2">
      <c r="B4012" s="352"/>
      <c r="C4012" s="352"/>
      <c r="D4012" s="352"/>
      <c r="E4012" s="352"/>
      <c r="F4012" s="352"/>
      <c r="H4012" s="352"/>
      <c r="J4012" s="352"/>
      <c r="L4012" s="352"/>
      <c r="M4012" s="352"/>
      <c r="N4012" s="352"/>
      <c r="O4012" s="352"/>
      <c r="P4012" s="352"/>
      <c r="Q4012" s="352"/>
      <c r="R4012" s="352"/>
      <c r="S4012" s="352"/>
      <c r="T4012" s="352"/>
      <c r="U4012" s="352"/>
      <c r="V4012" s="352"/>
      <c r="W4012" s="352"/>
      <c r="X4012" s="352"/>
      <c r="Y4012" s="352"/>
      <c r="Z4012" s="352"/>
      <c r="AA4012" s="352"/>
      <c r="AB4012" s="352"/>
      <c r="AC4012" s="352"/>
      <c r="AD4012" s="352"/>
      <c r="AE4012" s="352"/>
      <c r="AF4012" s="352"/>
      <c r="AG4012" s="352"/>
      <c r="AH4012" s="352"/>
      <c r="AI4012" s="352"/>
      <c r="AJ4012" s="352"/>
    </row>
    <row r="4013" spans="2:36" x14ac:dyDescent="0.2">
      <c r="B4013" s="352"/>
      <c r="C4013" s="352"/>
      <c r="D4013" s="352"/>
      <c r="E4013" s="352"/>
      <c r="F4013" s="352"/>
      <c r="H4013" s="352"/>
      <c r="J4013" s="352"/>
      <c r="L4013" s="352"/>
      <c r="M4013" s="352"/>
      <c r="N4013" s="352"/>
      <c r="O4013" s="352"/>
      <c r="P4013" s="352"/>
      <c r="Q4013" s="352"/>
      <c r="R4013" s="352"/>
      <c r="S4013" s="352"/>
      <c r="T4013" s="352"/>
      <c r="U4013" s="352"/>
      <c r="V4013" s="352"/>
      <c r="W4013" s="352"/>
      <c r="X4013" s="352"/>
      <c r="Y4013" s="352"/>
      <c r="Z4013" s="352"/>
      <c r="AA4013" s="352"/>
      <c r="AB4013" s="352"/>
      <c r="AC4013" s="352"/>
      <c r="AD4013" s="352"/>
      <c r="AE4013" s="352"/>
      <c r="AF4013" s="352"/>
      <c r="AG4013" s="352"/>
      <c r="AH4013" s="352"/>
      <c r="AI4013" s="352"/>
      <c r="AJ4013" s="352"/>
    </row>
    <row r="4014" spans="2:36" x14ac:dyDescent="0.2">
      <c r="B4014" s="352"/>
      <c r="C4014" s="352"/>
      <c r="D4014" s="352"/>
      <c r="E4014" s="352"/>
      <c r="F4014" s="352"/>
      <c r="H4014" s="352"/>
      <c r="J4014" s="352"/>
      <c r="L4014" s="352"/>
      <c r="M4014" s="352"/>
      <c r="N4014" s="352"/>
      <c r="O4014" s="352"/>
      <c r="P4014" s="352"/>
      <c r="Q4014" s="352"/>
      <c r="R4014" s="352"/>
      <c r="S4014" s="352"/>
      <c r="T4014" s="352"/>
      <c r="U4014" s="352"/>
      <c r="V4014" s="352"/>
      <c r="W4014" s="352"/>
      <c r="X4014" s="352"/>
      <c r="Y4014" s="352"/>
      <c r="Z4014" s="352"/>
      <c r="AA4014" s="352"/>
      <c r="AB4014" s="352"/>
      <c r="AC4014" s="352"/>
      <c r="AD4014" s="352"/>
      <c r="AE4014" s="352"/>
      <c r="AF4014" s="352"/>
      <c r="AG4014" s="352"/>
      <c r="AH4014" s="352"/>
      <c r="AI4014" s="352"/>
      <c r="AJ4014" s="352"/>
    </row>
    <row r="4015" spans="2:36" x14ac:dyDescent="0.2">
      <c r="B4015" s="352"/>
      <c r="C4015" s="352"/>
      <c r="D4015" s="352"/>
      <c r="E4015" s="352"/>
      <c r="F4015" s="352"/>
      <c r="H4015" s="352"/>
      <c r="J4015" s="352"/>
      <c r="L4015" s="352"/>
      <c r="M4015" s="352"/>
      <c r="N4015" s="352"/>
      <c r="O4015" s="352"/>
      <c r="P4015" s="352"/>
      <c r="Q4015" s="352"/>
      <c r="R4015" s="352"/>
      <c r="S4015" s="352"/>
      <c r="T4015" s="352"/>
      <c r="U4015" s="352"/>
      <c r="V4015" s="352"/>
      <c r="W4015" s="352"/>
      <c r="X4015" s="352"/>
      <c r="Y4015" s="352"/>
      <c r="Z4015" s="352"/>
      <c r="AA4015" s="352"/>
      <c r="AB4015" s="352"/>
      <c r="AC4015" s="352"/>
      <c r="AD4015" s="352"/>
      <c r="AE4015" s="352"/>
      <c r="AF4015" s="352"/>
      <c r="AG4015" s="352"/>
      <c r="AH4015" s="352"/>
      <c r="AI4015" s="352"/>
      <c r="AJ4015" s="352"/>
    </row>
    <row r="4016" spans="2:36" x14ac:dyDescent="0.2">
      <c r="B4016" s="352"/>
      <c r="C4016" s="352"/>
      <c r="D4016" s="352"/>
      <c r="E4016" s="352"/>
      <c r="F4016" s="352"/>
      <c r="H4016" s="352"/>
      <c r="J4016" s="352"/>
      <c r="L4016" s="352"/>
      <c r="M4016" s="352"/>
      <c r="N4016" s="352"/>
      <c r="O4016" s="352"/>
      <c r="P4016" s="352"/>
      <c r="Q4016" s="352"/>
      <c r="R4016" s="352"/>
      <c r="S4016" s="352"/>
      <c r="T4016" s="352"/>
      <c r="U4016" s="352"/>
      <c r="V4016" s="352"/>
      <c r="W4016" s="352"/>
      <c r="X4016" s="352"/>
      <c r="Y4016" s="352"/>
      <c r="Z4016" s="352"/>
      <c r="AA4016" s="352"/>
      <c r="AB4016" s="352"/>
      <c r="AC4016" s="352"/>
      <c r="AD4016" s="352"/>
      <c r="AE4016" s="352"/>
      <c r="AF4016" s="352"/>
      <c r="AG4016" s="352"/>
      <c r="AH4016" s="352"/>
      <c r="AI4016" s="352"/>
      <c r="AJ4016" s="352"/>
    </row>
    <row r="4017" spans="2:36" x14ac:dyDescent="0.2">
      <c r="B4017" s="352"/>
      <c r="C4017" s="352"/>
      <c r="D4017" s="352"/>
      <c r="E4017" s="352"/>
      <c r="F4017" s="352"/>
      <c r="H4017" s="352"/>
      <c r="J4017" s="352"/>
      <c r="L4017" s="352"/>
      <c r="M4017" s="352"/>
      <c r="N4017" s="352"/>
      <c r="O4017" s="352"/>
      <c r="P4017" s="352"/>
      <c r="Q4017" s="352"/>
      <c r="R4017" s="352"/>
      <c r="S4017" s="352"/>
      <c r="T4017" s="352"/>
      <c r="U4017" s="352"/>
      <c r="V4017" s="352"/>
      <c r="W4017" s="352"/>
      <c r="X4017" s="352"/>
      <c r="Y4017" s="352"/>
      <c r="Z4017" s="352"/>
      <c r="AA4017" s="352"/>
      <c r="AB4017" s="352"/>
      <c r="AC4017" s="352"/>
      <c r="AD4017" s="352"/>
      <c r="AE4017" s="352"/>
      <c r="AF4017" s="352"/>
      <c r="AG4017" s="352"/>
      <c r="AH4017" s="352"/>
      <c r="AI4017" s="352"/>
      <c r="AJ4017" s="352"/>
    </row>
    <row r="4018" spans="2:36" x14ac:dyDescent="0.2">
      <c r="B4018" s="352"/>
      <c r="C4018" s="352"/>
      <c r="D4018" s="352"/>
      <c r="E4018" s="352"/>
      <c r="F4018" s="352"/>
      <c r="H4018" s="352"/>
      <c r="J4018" s="352"/>
      <c r="L4018" s="352"/>
      <c r="M4018" s="352"/>
      <c r="N4018" s="352"/>
      <c r="O4018" s="352"/>
      <c r="P4018" s="352"/>
      <c r="Q4018" s="352"/>
      <c r="R4018" s="352"/>
      <c r="S4018" s="352"/>
      <c r="T4018" s="352"/>
      <c r="U4018" s="352"/>
      <c r="V4018" s="352"/>
      <c r="W4018" s="352"/>
      <c r="X4018" s="352"/>
      <c r="Y4018" s="352"/>
      <c r="Z4018" s="352"/>
      <c r="AA4018" s="352"/>
      <c r="AB4018" s="352"/>
      <c r="AC4018" s="352"/>
      <c r="AD4018" s="352"/>
      <c r="AE4018" s="352"/>
      <c r="AF4018" s="352"/>
      <c r="AG4018" s="352"/>
      <c r="AH4018" s="352"/>
      <c r="AI4018" s="352"/>
      <c r="AJ4018" s="352"/>
    </row>
    <row r="4019" spans="2:36" x14ac:dyDescent="0.2">
      <c r="B4019" s="352"/>
      <c r="C4019" s="352"/>
      <c r="D4019" s="352"/>
      <c r="E4019" s="352"/>
      <c r="F4019" s="352"/>
      <c r="H4019" s="352"/>
      <c r="J4019" s="352"/>
      <c r="L4019" s="352"/>
      <c r="M4019" s="352"/>
      <c r="N4019" s="352"/>
      <c r="O4019" s="352"/>
      <c r="P4019" s="352"/>
      <c r="Q4019" s="352"/>
      <c r="R4019" s="352"/>
      <c r="S4019" s="352"/>
      <c r="T4019" s="352"/>
      <c r="U4019" s="352"/>
      <c r="V4019" s="352"/>
      <c r="W4019" s="352"/>
      <c r="X4019" s="352"/>
      <c r="Y4019" s="352"/>
      <c r="Z4019" s="352"/>
      <c r="AA4019" s="352"/>
      <c r="AB4019" s="352"/>
      <c r="AC4019" s="352"/>
      <c r="AD4019" s="352"/>
      <c r="AE4019" s="352"/>
      <c r="AF4019" s="352"/>
      <c r="AG4019" s="352"/>
      <c r="AH4019" s="352"/>
      <c r="AI4019" s="352"/>
      <c r="AJ4019" s="352"/>
    </row>
    <row r="4020" spans="2:36" x14ac:dyDescent="0.2">
      <c r="B4020" s="352"/>
      <c r="C4020" s="352"/>
      <c r="D4020" s="352"/>
      <c r="E4020" s="352"/>
      <c r="F4020" s="352"/>
      <c r="H4020" s="352"/>
      <c r="J4020" s="352"/>
      <c r="L4020" s="352"/>
      <c r="M4020" s="352"/>
      <c r="N4020" s="352"/>
      <c r="O4020" s="352"/>
      <c r="P4020" s="352"/>
      <c r="Q4020" s="352"/>
      <c r="R4020" s="352"/>
      <c r="S4020" s="352"/>
      <c r="T4020" s="352"/>
      <c r="U4020" s="352"/>
      <c r="V4020" s="352"/>
      <c r="W4020" s="352"/>
      <c r="X4020" s="352"/>
      <c r="Y4020" s="352"/>
      <c r="Z4020" s="352"/>
      <c r="AA4020" s="352"/>
      <c r="AB4020" s="352"/>
      <c r="AC4020" s="352"/>
      <c r="AD4020" s="352"/>
      <c r="AE4020" s="352"/>
      <c r="AF4020" s="352"/>
      <c r="AG4020" s="352"/>
      <c r="AH4020" s="352"/>
      <c r="AI4020" s="352"/>
      <c r="AJ4020" s="352"/>
    </row>
    <row r="4021" spans="2:36" x14ac:dyDescent="0.2">
      <c r="B4021" s="352"/>
      <c r="C4021" s="352"/>
      <c r="D4021" s="352"/>
      <c r="E4021" s="352"/>
      <c r="F4021" s="352"/>
      <c r="H4021" s="352"/>
      <c r="J4021" s="352"/>
      <c r="L4021" s="352"/>
      <c r="M4021" s="352"/>
      <c r="N4021" s="352"/>
      <c r="O4021" s="352"/>
      <c r="P4021" s="352"/>
      <c r="Q4021" s="352"/>
      <c r="R4021" s="352"/>
      <c r="S4021" s="352"/>
      <c r="T4021" s="352"/>
      <c r="U4021" s="352"/>
      <c r="V4021" s="352"/>
      <c r="W4021" s="352"/>
      <c r="X4021" s="352"/>
      <c r="Y4021" s="352"/>
      <c r="Z4021" s="352"/>
      <c r="AA4021" s="352"/>
      <c r="AB4021" s="352"/>
      <c r="AC4021" s="352"/>
      <c r="AD4021" s="352"/>
      <c r="AE4021" s="352"/>
      <c r="AF4021" s="352"/>
      <c r="AG4021" s="352"/>
      <c r="AH4021" s="352"/>
      <c r="AI4021" s="352"/>
      <c r="AJ4021" s="352"/>
    </row>
    <row r="4022" spans="2:36" x14ac:dyDescent="0.2">
      <c r="B4022" s="352"/>
      <c r="C4022" s="352"/>
      <c r="D4022" s="352"/>
      <c r="E4022" s="352"/>
      <c r="F4022" s="352"/>
      <c r="H4022" s="352"/>
      <c r="J4022" s="352"/>
      <c r="L4022" s="352"/>
      <c r="M4022" s="352"/>
      <c r="N4022" s="352"/>
      <c r="O4022" s="352"/>
      <c r="P4022" s="352"/>
      <c r="Q4022" s="352"/>
      <c r="R4022" s="352"/>
      <c r="S4022" s="352"/>
      <c r="T4022" s="352"/>
      <c r="U4022" s="352"/>
      <c r="V4022" s="352"/>
      <c r="W4022" s="352"/>
      <c r="X4022" s="352"/>
      <c r="Y4022" s="352"/>
      <c r="Z4022" s="352"/>
      <c r="AA4022" s="352"/>
      <c r="AB4022" s="352"/>
      <c r="AC4022" s="352"/>
      <c r="AD4022" s="352"/>
      <c r="AE4022" s="352"/>
      <c r="AF4022" s="352"/>
      <c r="AG4022" s="352"/>
      <c r="AH4022" s="352"/>
      <c r="AI4022" s="352"/>
      <c r="AJ4022" s="352"/>
    </row>
    <row r="4023" spans="2:36" x14ac:dyDescent="0.2">
      <c r="B4023" s="352"/>
      <c r="C4023" s="352"/>
      <c r="D4023" s="352"/>
      <c r="E4023" s="352"/>
      <c r="F4023" s="352"/>
      <c r="H4023" s="352"/>
      <c r="J4023" s="352"/>
      <c r="L4023" s="352"/>
      <c r="M4023" s="352"/>
      <c r="N4023" s="352"/>
      <c r="O4023" s="352"/>
      <c r="P4023" s="352"/>
      <c r="Q4023" s="352"/>
      <c r="R4023" s="352"/>
      <c r="S4023" s="352"/>
      <c r="T4023" s="352"/>
      <c r="U4023" s="352"/>
      <c r="V4023" s="352"/>
      <c r="W4023" s="352"/>
      <c r="X4023" s="352"/>
      <c r="Y4023" s="352"/>
      <c r="Z4023" s="352"/>
      <c r="AA4023" s="352"/>
      <c r="AB4023" s="352"/>
      <c r="AC4023" s="352"/>
      <c r="AD4023" s="352"/>
      <c r="AE4023" s="352"/>
      <c r="AF4023" s="352"/>
      <c r="AG4023" s="352"/>
      <c r="AH4023" s="352"/>
      <c r="AI4023" s="352"/>
      <c r="AJ4023" s="352"/>
    </row>
    <row r="4024" spans="2:36" x14ac:dyDescent="0.2">
      <c r="B4024" s="352"/>
      <c r="C4024" s="352"/>
      <c r="D4024" s="352"/>
      <c r="E4024" s="352"/>
      <c r="F4024" s="352"/>
      <c r="H4024" s="352"/>
      <c r="J4024" s="352"/>
      <c r="L4024" s="352"/>
      <c r="M4024" s="352"/>
      <c r="N4024" s="352"/>
      <c r="O4024" s="352"/>
      <c r="P4024" s="352"/>
      <c r="Q4024" s="352"/>
      <c r="R4024" s="352"/>
      <c r="S4024" s="352"/>
      <c r="T4024" s="352"/>
      <c r="U4024" s="352"/>
      <c r="V4024" s="352"/>
      <c r="W4024" s="352"/>
      <c r="X4024" s="352"/>
      <c r="Y4024" s="352"/>
      <c r="Z4024" s="352"/>
      <c r="AA4024" s="352"/>
      <c r="AB4024" s="352"/>
      <c r="AC4024" s="352"/>
      <c r="AD4024" s="352"/>
      <c r="AE4024" s="352"/>
      <c r="AF4024" s="352"/>
      <c r="AG4024" s="352"/>
      <c r="AH4024" s="352"/>
      <c r="AI4024" s="352"/>
      <c r="AJ4024" s="352"/>
    </row>
    <row r="4025" spans="2:36" x14ac:dyDescent="0.2">
      <c r="B4025" s="352"/>
      <c r="C4025" s="352"/>
      <c r="D4025" s="352"/>
      <c r="E4025" s="352"/>
      <c r="F4025" s="352"/>
      <c r="H4025" s="352"/>
      <c r="J4025" s="352"/>
      <c r="L4025" s="352"/>
      <c r="M4025" s="352"/>
      <c r="N4025" s="352"/>
      <c r="O4025" s="352"/>
      <c r="P4025" s="352"/>
      <c r="Q4025" s="352"/>
      <c r="R4025" s="352"/>
      <c r="S4025" s="352"/>
      <c r="T4025" s="352"/>
      <c r="U4025" s="352"/>
      <c r="V4025" s="352"/>
      <c r="W4025" s="352"/>
      <c r="X4025" s="352"/>
      <c r="Y4025" s="352"/>
      <c r="Z4025" s="352"/>
      <c r="AA4025" s="352"/>
      <c r="AB4025" s="352"/>
      <c r="AC4025" s="352"/>
      <c r="AD4025" s="352"/>
      <c r="AE4025" s="352"/>
      <c r="AF4025" s="352"/>
      <c r="AG4025" s="352"/>
      <c r="AH4025" s="352"/>
      <c r="AI4025" s="352"/>
      <c r="AJ4025" s="352"/>
    </row>
    <row r="4026" spans="2:36" x14ac:dyDescent="0.2">
      <c r="B4026" s="352"/>
      <c r="C4026" s="352"/>
      <c r="D4026" s="352"/>
      <c r="E4026" s="352"/>
      <c r="F4026" s="352"/>
      <c r="H4026" s="352"/>
      <c r="J4026" s="352"/>
      <c r="L4026" s="352"/>
      <c r="M4026" s="352"/>
      <c r="N4026" s="352"/>
      <c r="O4026" s="352"/>
      <c r="P4026" s="352"/>
      <c r="Q4026" s="352"/>
      <c r="R4026" s="352"/>
      <c r="S4026" s="352"/>
      <c r="T4026" s="352"/>
      <c r="U4026" s="352"/>
      <c r="V4026" s="352"/>
      <c r="W4026" s="352"/>
      <c r="X4026" s="352"/>
      <c r="Y4026" s="352"/>
      <c r="Z4026" s="352"/>
      <c r="AA4026" s="352"/>
      <c r="AB4026" s="352"/>
      <c r="AC4026" s="352"/>
      <c r="AD4026" s="352"/>
      <c r="AE4026" s="352"/>
      <c r="AF4026" s="352"/>
      <c r="AG4026" s="352"/>
      <c r="AH4026" s="352"/>
      <c r="AI4026" s="352"/>
      <c r="AJ4026" s="352"/>
    </row>
    <row r="4027" spans="2:36" x14ac:dyDescent="0.2">
      <c r="B4027" s="352"/>
      <c r="C4027" s="352"/>
      <c r="D4027" s="352"/>
      <c r="E4027" s="352"/>
      <c r="F4027" s="352"/>
      <c r="H4027" s="352"/>
      <c r="J4027" s="352"/>
      <c r="L4027" s="352"/>
      <c r="M4027" s="352"/>
      <c r="N4027" s="352"/>
      <c r="O4027" s="352"/>
      <c r="P4027" s="352"/>
      <c r="Q4027" s="352"/>
      <c r="R4027" s="352"/>
      <c r="S4027" s="352"/>
      <c r="T4027" s="352"/>
      <c r="U4027" s="352"/>
      <c r="V4027" s="352"/>
      <c r="W4027" s="352"/>
      <c r="X4027" s="352"/>
      <c r="Y4027" s="352"/>
      <c r="Z4027" s="352"/>
      <c r="AA4027" s="352"/>
      <c r="AB4027" s="352"/>
      <c r="AC4027" s="352"/>
      <c r="AD4027" s="352"/>
      <c r="AE4027" s="352"/>
      <c r="AF4027" s="352"/>
      <c r="AG4027" s="352"/>
      <c r="AH4027" s="352"/>
      <c r="AI4027" s="352"/>
      <c r="AJ4027" s="352"/>
    </row>
    <row r="4028" spans="2:36" x14ac:dyDescent="0.2">
      <c r="B4028" s="352"/>
      <c r="C4028" s="352"/>
      <c r="D4028" s="352"/>
      <c r="E4028" s="352"/>
      <c r="F4028" s="352"/>
      <c r="H4028" s="352"/>
      <c r="J4028" s="352"/>
      <c r="L4028" s="352"/>
      <c r="M4028" s="352"/>
      <c r="N4028" s="352"/>
      <c r="O4028" s="352"/>
      <c r="P4028" s="352"/>
      <c r="Q4028" s="352"/>
      <c r="R4028" s="352"/>
      <c r="S4028" s="352"/>
      <c r="T4028" s="352"/>
      <c r="U4028" s="352"/>
      <c r="V4028" s="352"/>
      <c r="W4028" s="352"/>
      <c r="X4028" s="352"/>
      <c r="Y4028" s="352"/>
      <c r="Z4028" s="352"/>
      <c r="AA4028" s="352"/>
      <c r="AB4028" s="352"/>
      <c r="AC4028" s="352"/>
      <c r="AD4028" s="352"/>
      <c r="AE4028" s="352"/>
      <c r="AF4028" s="352"/>
      <c r="AG4028" s="352"/>
      <c r="AH4028" s="352"/>
      <c r="AI4028" s="352"/>
      <c r="AJ4028" s="352"/>
    </row>
    <row r="4029" spans="2:36" x14ac:dyDescent="0.2">
      <c r="B4029" s="352"/>
      <c r="C4029" s="352"/>
      <c r="D4029" s="352"/>
      <c r="E4029" s="352"/>
      <c r="F4029" s="352"/>
      <c r="H4029" s="352"/>
      <c r="J4029" s="352"/>
      <c r="L4029" s="352"/>
      <c r="M4029" s="352"/>
      <c r="N4029" s="352"/>
      <c r="O4029" s="352"/>
      <c r="P4029" s="352"/>
      <c r="Q4029" s="352"/>
      <c r="R4029" s="352"/>
      <c r="S4029" s="352"/>
      <c r="T4029" s="352"/>
      <c r="U4029" s="352"/>
      <c r="V4029" s="352"/>
      <c r="W4029" s="352"/>
      <c r="X4029" s="352"/>
      <c r="Y4029" s="352"/>
      <c r="Z4029" s="352"/>
      <c r="AA4029" s="352"/>
      <c r="AB4029" s="352"/>
      <c r="AC4029" s="352"/>
      <c r="AD4029" s="352"/>
      <c r="AE4029" s="352"/>
      <c r="AF4029" s="352"/>
      <c r="AG4029" s="352"/>
      <c r="AH4029" s="352"/>
      <c r="AI4029" s="352"/>
      <c r="AJ4029" s="352"/>
    </row>
    <row r="4030" spans="2:36" x14ac:dyDescent="0.2">
      <c r="B4030" s="352"/>
      <c r="C4030" s="352"/>
      <c r="D4030" s="352"/>
      <c r="E4030" s="352"/>
      <c r="F4030" s="352"/>
      <c r="H4030" s="352"/>
      <c r="J4030" s="352"/>
      <c r="L4030" s="352"/>
      <c r="M4030" s="352"/>
      <c r="N4030" s="352"/>
      <c r="O4030" s="352"/>
      <c r="P4030" s="352"/>
      <c r="Q4030" s="352"/>
      <c r="R4030" s="352"/>
      <c r="S4030" s="352"/>
      <c r="T4030" s="352"/>
      <c r="U4030" s="352"/>
      <c r="V4030" s="352"/>
      <c r="W4030" s="352"/>
      <c r="X4030" s="352"/>
      <c r="Y4030" s="352"/>
      <c r="Z4030" s="352"/>
      <c r="AA4030" s="352"/>
      <c r="AB4030" s="352"/>
      <c r="AC4030" s="352"/>
      <c r="AD4030" s="352"/>
      <c r="AE4030" s="352"/>
      <c r="AF4030" s="352"/>
      <c r="AG4030" s="352"/>
      <c r="AH4030" s="352"/>
      <c r="AI4030" s="352"/>
      <c r="AJ4030" s="352"/>
    </row>
    <row r="4031" spans="2:36" x14ac:dyDescent="0.2">
      <c r="B4031" s="352"/>
      <c r="C4031" s="352"/>
      <c r="D4031" s="352"/>
      <c r="E4031" s="352"/>
      <c r="F4031" s="352"/>
      <c r="H4031" s="352"/>
      <c r="J4031" s="352"/>
      <c r="L4031" s="352"/>
      <c r="M4031" s="352"/>
      <c r="N4031" s="352"/>
      <c r="O4031" s="352"/>
      <c r="P4031" s="352"/>
      <c r="Q4031" s="352"/>
      <c r="R4031" s="352"/>
      <c r="S4031" s="352"/>
      <c r="T4031" s="352"/>
      <c r="U4031" s="352"/>
      <c r="V4031" s="352"/>
      <c r="W4031" s="352"/>
      <c r="X4031" s="352"/>
      <c r="Y4031" s="352"/>
      <c r="Z4031" s="352"/>
      <c r="AA4031" s="352"/>
      <c r="AB4031" s="352"/>
      <c r="AC4031" s="352"/>
      <c r="AD4031" s="352"/>
      <c r="AE4031" s="352"/>
      <c r="AF4031" s="352"/>
      <c r="AG4031" s="352"/>
      <c r="AH4031" s="352"/>
      <c r="AI4031" s="352"/>
      <c r="AJ4031" s="352"/>
    </row>
    <row r="4032" spans="2:36" x14ac:dyDescent="0.2">
      <c r="B4032" s="352"/>
      <c r="C4032" s="352"/>
      <c r="D4032" s="352"/>
      <c r="E4032" s="352"/>
      <c r="F4032" s="352"/>
      <c r="H4032" s="352"/>
      <c r="J4032" s="352"/>
      <c r="L4032" s="352"/>
      <c r="M4032" s="352"/>
      <c r="N4032" s="352"/>
      <c r="O4032" s="352"/>
      <c r="P4032" s="352"/>
      <c r="Q4032" s="352"/>
      <c r="R4032" s="352"/>
      <c r="S4032" s="352"/>
      <c r="T4032" s="352"/>
      <c r="U4032" s="352"/>
      <c r="V4032" s="352"/>
      <c r="W4032" s="352"/>
      <c r="X4032" s="352"/>
      <c r="Y4032" s="352"/>
      <c r="Z4032" s="352"/>
      <c r="AA4032" s="352"/>
      <c r="AB4032" s="352"/>
      <c r="AC4032" s="352"/>
      <c r="AD4032" s="352"/>
      <c r="AE4032" s="352"/>
      <c r="AF4032" s="352"/>
      <c r="AG4032" s="352"/>
      <c r="AH4032" s="352"/>
      <c r="AI4032" s="352"/>
      <c r="AJ4032" s="352"/>
    </row>
    <row r="4033" spans="2:36" x14ac:dyDescent="0.2">
      <c r="B4033" s="352"/>
      <c r="C4033" s="352"/>
      <c r="D4033" s="352"/>
      <c r="E4033" s="352"/>
      <c r="F4033" s="352"/>
      <c r="H4033" s="352"/>
      <c r="J4033" s="352"/>
      <c r="L4033" s="352"/>
      <c r="M4033" s="352"/>
      <c r="N4033" s="352"/>
      <c r="O4033" s="352"/>
      <c r="P4033" s="352"/>
      <c r="Q4033" s="352"/>
      <c r="R4033" s="352"/>
      <c r="S4033" s="352"/>
      <c r="T4033" s="352"/>
      <c r="U4033" s="352"/>
      <c r="V4033" s="352"/>
      <c r="W4033" s="352"/>
      <c r="X4033" s="352"/>
      <c r="Y4033" s="352"/>
      <c r="Z4033" s="352"/>
      <c r="AA4033" s="352"/>
      <c r="AB4033" s="352"/>
      <c r="AC4033" s="352"/>
      <c r="AD4033" s="352"/>
      <c r="AE4033" s="352"/>
      <c r="AF4033" s="352"/>
      <c r="AG4033" s="352"/>
      <c r="AH4033" s="352"/>
      <c r="AI4033" s="352"/>
      <c r="AJ4033" s="352"/>
    </row>
    <row r="4034" spans="2:36" x14ac:dyDescent="0.2">
      <c r="B4034" s="352"/>
      <c r="C4034" s="352"/>
      <c r="D4034" s="352"/>
      <c r="E4034" s="352"/>
      <c r="F4034" s="352"/>
      <c r="H4034" s="352"/>
      <c r="J4034" s="352"/>
      <c r="L4034" s="352"/>
      <c r="M4034" s="352"/>
      <c r="N4034" s="352"/>
      <c r="O4034" s="352"/>
      <c r="P4034" s="352"/>
      <c r="Q4034" s="352"/>
      <c r="R4034" s="352"/>
      <c r="S4034" s="352"/>
      <c r="T4034" s="352"/>
      <c r="U4034" s="352"/>
      <c r="V4034" s="352"/>
      <c r="W4034" s="352"/>
      <c r="X4034" s="352"/>
      <c r="Y4034" s="352"/>
      <c r="Z4034" s="352"/>
      <c r="AA4034" s="352"/>
      <c r="AB4034" s="352"/>
      <c r="AC4034" s="352"/>
      <c r="AD4034" s="352"/>
      <c r="AE4034" s="352"/>
      <c r="AF4034" s="352"/>
      <c r="AG4034" s="352"/>
      <c r="AH4034" s="352"/>
      <c r="AI4034" s="352"/>
      <c r="AJ4034" s="352"/>
    </row>
    <row r="4035" spans="2:36" x14ac:dyDescent="0.2">
      <c r="B4035" s="352"/>
      <c r="C4035" s="352"/>
      <c r="D4035" s="352"/>
      <c r="E4035" s="352"/>
      <c r="F4035" s="352"/>
      <c r="H4035" s="352"/>
      <c r="J4035" s="352"/>
      <c r="L4035" s="352"/>
      <c r="M4035" s="352"/>
      <c r="N4035" s="352"/>
      <c r="O4035" s="352"/>
      <c r="P4035" s="352"/>
      <c r="Q4035" s="352"/>
      <c r="R4035" s="352"/>
      <c r="S4035" s="352"/>
      <c r="T4035" s="352"/>
      <c r="U4035" s="352"/>
      <c r="V4035" s="352"/>
      <c r="W4035" s="352"/>
      <c r="X4035" s="352"/>
      <c r="Y4035" s="352"/>
      <c r="Z4035" s="352"/>
      <c r="AA4035" s="352"/>
      <c r="AB4035" s="352"/>
      <c r="AC4035" s="352"/>
      <c r="AD4035" s="352"/>
      <c r="AE4035" s="352"/>
      <c r="AF4035" s="352"/>
      <c r="AG4035" s="352"/>
      <c r="AH4035" s="352"/>
      <c r="AI4035" s="352"/>
      <c r="AJ4035" s="352"/>
    </row>
    <row r="4036" spans="2:36" x14ac:dyDescent="0.2">
      <c r="B4036" s="352"/>
      <c r="C4036" s="352"/>
      <c r="D4036" s="352"/>
      <c r="E4036" s="352"/>
      <c r="F4036" s="352"/>
      <c r="H4036" s="352"/>
      <c r="J4036" s="352"/>
      <c r="L4036" s="352"/>
      <c r="M4036" s="352"/>
      <c r="N4036" s="352"/>
      <c r="O4036" s="352"/>
      <c r="P4036" s="352"/>
      <c r="Q4036" s="352"/>
      <c r="R4036" s="352"/>
      <c r="S4036" s="352"/>
      <c r="T4036" s="352"/>
      <c r="U4036" s="352"/>
      <c r="V4036" s="352"/>
      <c r="W4036" s="352"/>
      <c r="X4036" s="352"/>
      <c r="Y4036" s="352"/>
      <c r="Z4036" s="352"/>
      <c r="AA4036" s="352"/>
      <c r="AB4036" s="352"/>
      <c r="AC4036" s="352"/>
      <c r="AD4036" s="352"/>
      <c r="AE4036" s="352"/>
      <c r="AF4036" s="352"/>
      <c r="AG4036" s="352"/>
      <c r="AH4036" s="352"/>
      <c r="AI4036" s="352"/>
      <c r="AJ4036" s="352"/>
    </row>
    <row r="4037" spans="2:36" x14ac:dyDescent="0.2">
      <c r="B4037" s="352"/>
      <c r="C4037" s="352"/>
      <c r="D4037" s="352"/>
      <c r="E4037" s="352"/>
      <c r="F4037" s="352"/>
      <c r="H4037" s="352"/>
      <c r="J4037" s="352"/>
      <c r="L4037" s="352"/>
      <c r="M4037" s="352"/>
      <c r="N4037" s="352"/>
      <c r="O4037" s="352"/>
      <c r="P4037" s="352"/>
      <c r="Q4037" s="352"/>
      <c r="R4037" s="352"/>
      <c r="S4037" s="352"/>
      <c r="T4037" s="352"/>
      <c r="U4037" s="352"/>
      <c r="V4037" s="352"/>
      <c r="W4037" s="352"/>
      <c r="X4037" s="352"/>
      <c r="Y4037" s="352"/>
      <c r="Z4037" s="352"/>
      <c r="AA4037" s="352"/>
      <c r="AB4037" s="352"/>
      <c r="AC4037" s="352"/>
      <c r="AD4037" s="352"/>
      <c r="AE4037" s="352"/>
      <c r="AF4037" s="352"/>
      <c r="AG4037" s="352"/>
      <c r="AH4037" s="352"/>
      <c r="AI4037" s="352"/>
      <c r="AJ4037" s="352"/>
    </row>
    <row r="4038" spans="2:36" x14ac:dyDescent="0.2">
      <c r="B4038" s="352"/>
      <c r="C4038" s="352"/>
      <c r="D4038" s="352"/>
      <c r="E4038" s="352"/>
      <c r="F4038" s="352"/>
      <c r="H4038" s="352"/>
      <c r="J4038" s="352"/>
      <c r="L4038" s="352"/>
      <c r="M4038" s="352"/>
      <c r="N4038" s="352"/>
      <c r="O4038" s="352"/>
      <c r="P4038" s="352"/>
      <c r="Q4038" s="352"/>
      <c r="R4038" s="352"/>
      <c r="S4038" s="352"/>
      <c r="T4038" s="352"/>
      <c r="U4038" s="352"/>
      <c r="V4038" s="352"/>
      <c r="W4038" s="352"/>
      <c r="X4038" s="352"/>
      <c r="Y4038" s="352"/>
      <c r="Z4038" s="352"/>
      <c r="AA4038" s="352"/>
      <c r="AB4038" s="352"/>
      <c r="AC4038" s="352"/>
      <c r="AD4038" s="352"/>
      <c r="AE4038" s="352"/>
      <c r="AF4038" s="352"/>
      <c r="AG4038" s="352"/>
      <c r="AH4038" s="352"/>
      <c r="AI4038" s="352"/>
      <c r="AJ4038" s="352"/>
    </row>
    <row r="4039" spans="2:36" x14ac:dyDescent="0.2">
      <c r="B4039" s="352"/>
      <c r="C4039" s="352"/>
      <c r="D4039" s="352"/>
      <c r="E4039" s="352"/>
      <c r="F4039" s="352"/>
      <c r="H4039" s="352"/>
      <c r="J4039" s="352"/>
      <c r="L4039" s="352"/>
      <c r="M4039" s="352"/>
      <c r="N4039" s="352"/>
      <c r="O4039" s="352"/>
      <c r="P4039" s="352"/>
      <c r="Q4039" s="352"/>
      <c r="R4039" s="352"/>
      <c r="S4039" s="352"/>
      <c r="T4039" s="352"/>
      <c r="U4039" s="352"/>
      <c r="V4039" s="352"/>
      <c r="W4039" s="352"/>
      <c r="X4039" s="352"/>
      <c r="Y4039" s="352"/>
      <c r="Z4039" s="352"/>
      <c r="AA4039" s="352"/>
      <c r="AB4039" s="352"/>
      <c r="AC4039" s="352"/>
      <c r="AD4039" s="352"/>
      <c r="AE4039" s="352"/>
      <c r="AF4039" s="352"/>
      <c r="AG4039" s="352"/>
      <c r="AH4039" s="352"/>
      <c r="AI4039" s="352"/>
      <c r="AJ4039" s="352"/>
    </row>
    <row r="4040" spans="2:36" x14ac:dyDescent="0.2">
      <c r="B4040" s="352"/>
      <c r="C4040" s="352"/>
      <c r="D4040" s="352"/>
      <c r="E4040" s="352"/>
      <c r="F4040" s="352"/>
      <c r="H4040" s="352"/>
      <c r="J4040" s="352"/>
      <c r="L4040" s="352"/>
      <c r="M4040" s="352"/>
      <c r="N4040" s="352"/>
      <c r="O4040" s="352"/>
      <c r="P4040" s="352"/>
      <c r="Q4040" s="352"/>
      <c r="R4040" s="352"/>
      <c r="S4040" s="352"/>
      <c r="T4040" s="352"/>
      <c r="U4040" s="352"/>
      <c r="V4040" s="352"/>
      <c r="W4040" s="352"/>
      <c r="X4040" s="352"/>
      <c r="Y4040" s="352"/>
      <c r="Z4040" s="352"/>
      <c r="AA4040" s="352"/>
      <c r="AB4040" s="352"/>
      <c r="AC4040" s="352"/>
      <c r="AD4040" s="352"/>
      <c r="AE4040" s="352"/>
      <c r="AF4040" s="352"/>
      <c r="AG4040" s="352"/>
      <c r="AH4040" s="352"/>
      <c r="AI4040" s="352"/>
      <c r="AJ4040" s="352"/>
    </row>
    <row r="4041" spans="2:36" x14ac:dyDescent="0.2">
      <c r="B4041" s="352"/>
      <c r="C4041" s="352"/>
      <c r="D4041" s="352"/>
      <c r="E4041" s="352"/>
      <c r="F4041" s="352"/>
      <c r="H4041" s="352"/>
      <c r="J4041" s="352"/>
      <c r="L4041" s="352"/>
      <c r="M4041" s="352"/>
      <c r="N4041" s="352"/>
      <c r="O4041" s="352"/>
      <c r="P4041" s="352"/>
      <c r="Q4041" s="352"/>
      <c r="R4041" s="352"/>
      <c r="S4041" s="352"/>
      <c r="T4041" s="352"/>
      <c r="U4041" s="352"/>
      <c r="V4041" s="352"/>
      <c r="W4041" s="352"/>
      <c r="X4041" s="352"/>
      <c r="Y4041" s="352"/>
      <c r="Z4041" s="352"/>
      <c r="AA4041" s="352"/>
      <c r="AB4041" s="352"/>
      <c r="AC4041" s="352"/>
      <c r="AD4041" s="352"/>
      <c r="AE4041" s="352"/>
      <c r="AF4041" s="352"/>
      <c r="AG4041" s="352"/>
      <c r="AH4041" s="352"/>
      <c r="AI4041" s="352"/>
      <c r="AJ4041" s="352"/>
    </row>
    <row r="4042" spans="2:36" x14ac:dyDescent="0.2">
      <c r="B4042" s="352"/>
      <c r="C4042" s="352"/>
      <c r="D4042" s="352"/>
      <c r="E4042" s="352"/>
      <c r="F4042" s="352"/>
      <c r="H4042" s="352"/>
      <c r="J4042" s="352"/>
      <c r="L4042" s="352"/>
      <c r="M4042" s="352"/>
      <c r="N4042" s="352"/>
      <c r="O4042" s="352"/>
      <c r="P4042" s="352"/>
      <c r="Q4042" s="352"/>
      <c r="R4042" s="352"/>
      <c r="S4042" s="352"/>
      <c r="T4042" s="352"/>
      <c r="U4042" s="352"/>
      <c r="V4042" s="352"/>
      <c r="W4042" s="352"/>
      <c r="X4042" s="352"/>
      <c r="Y4042" s="352"/>
      <c r="Z4042" s="352"/>
      <c r="AA4042" s="352"/>
      <c r="AB4042" s="352"/>
      <c r="AC4042" s="352"/>
      <c r="AD4042" s="352"/>
      <c r="AE4042" s="352"/>
      <c r="AF4042" s="352"/>
      <c r="AG4042" s="352"/>
      <c r="AH4042" s="352"/>
      <c r="AI4042" s="352"/>
      <c r="AJ4042" s="352"/>
    </row>
    <row r="4043" spans="2:36" x14ac:dyDescent="0.2">
      <c r="B4043" s="352"/>
      <c r="C4043" s="352"/>
      <c r="D4043" s="352"/>
      <c r="E4043" s="352"/>
      <c r="F4043" s="352"/>
      <c r="H4043" s="352"/>
      <c r="J4043" s="352"/>
      <c r="L4043" s="352"/>
      <c r="M4043" s="352"/>
      <c r="N4043" s="352"/>
      <c r="O4043" s="352"/>
      <c r="P4043" s="352"/>
      <c r="Q4043" s="352"/>
      <c r="R4043" s="352"/>
      <c r="S4043" s="352"/>
      <c r="T4043" s="352"/>
      <c r="U4043" s="352"/>
      <c r="V4043" s="352"/>
      <c r="W4043" s="352"/>
      <c r="X4043" s="352"/>
      <c r="Y4043" s="352"/>
      <c r="Z4043" s="352"/>
      <c r="AA4043" s="352"/>
      <c r="AB4043" s="352"/>
      <c r="AC4043" s="352"/>
      <c r="AD4043" s="352"/>
      <c r="AE4043" s="352"/>
      <c r="AF4043" s="352"/>
      <c r="AG4043" s="352"/>
      <c r="AH4043" s="352"/>
      <c r="AI4043" s="352"/>
      <c r="AJ4043" s="352"/>
    </row>
    <row r="4044" spans="2:36" x14ac:dyDescent="0.2">
      <c r="B4044" s="352"/>
      <c r="C4044" s="352"/>
      <c r="D4044" s="352"/>
      <c r="E4044" s="352"/>
      <c r="F4044" s="352"/>
      <c r="H4044" s="352"/>
      <c r="J4044" s="352"/>
      <c r="L4044" s="352"/>
      <c r="M4044" s="352"/>
      <c r="N4044" s="352"/>
      <c r="O4044" s="352"/>
      <c r="P4044" s="352"/>
      <c r="Q4044" s="352"/>
      <c r="R4044" s="352"/>
      <c r="S4044" s="352"/>
      <c r="T4044" s="352"/>
      <c r="U4044" s="352"/>
      <c r="V4044" s="352"/>
      <c r="W4044" s="352"/>
      <c r="X4044" s="352"/>
      <c r="Y4044" s="352"/>
      <c r="Z4044" s="352"/>
      <c r="AA4044" s="352"/>
      <c r="AB4044" s="352"/>
      <c r="AC4044" s="352"/>
      <c r="AD4044" s="352"/>
      <c r="AE4044" s="352"/>
      <c r="AF4044" s="352"/>
      <c r="AG4044" s="352"/>
      <c r="AH4044" s="352"/>
      <c r="AI4044" s="352"/>
      <c r="AJ4044" s="352"/>
    </row>
    <row r="4045" spans="2:36" x14ac:dyDescent="0.2">
      <c r="B4045" s="352"/>
      <c r="C4045" s="352"/>
      <c r="D4045" s="352"/>
      <c r="E4045" s="352"/>
      <c r="F4045" s="352"/>
      <c r="H4045" s="352"/>
      <c r="J4045" s="352"/>
      <c r="L4045" s="352"/>
      <c r="M4045" s="352"/>
      <c r="N4045" s="352"/>
      <c r="O4045" s="352"/>
      <c r="P4045" s="352"/>
      <c r="Q4045" s="352"/>
      <c r="R4045" s="352"/>
      <c r="S4045" s="352"/>
      <c r="T4045" s="352"/>
      <c r="U4045" s="352"/>
      <c r="V4045" s="352"/>
      <c r="W4045" s="352"/>
      <c r="X4045" s="352"/>
      <c r="Y4045" s="352"/>
      <c r="Z4045" s="352"/>
      <c r="AA4045" s="352"/>
      <c r="AB4045" s="352"/>
      <c r="AC4045" s="352"/>
      <c r="AD4045" s="352"/>
      <c r="AE4045" s="352"/>
      <c r="AF4045" s="352"/>
      <c r="AG4045" s="352"/>
      <c r="AH4045" s="352"/>
      <c r="AI4045" s="352"/>
      <c r="AJ4045" s="352"/>
    </row>
    <row r="4046" spans="2:36" x14ac:dyDescent="0.2">
      <c r="B4046" s="352"/>
      <c r="C4046" s="352"/>
      <c r="D4046" s="352"/>
      <c r="E4046" s="352"/>
      <c r="F4046" s="352"/>
      <c r="H4046" s="352"/>
      <c r="J4046" s="352"/>
      <c r="L4046" s="352"/>
      <c r="M4046" s="352"/>
      <c r="N4046" s="352"/>
      <c r="O4046" s="352"/>
      <c r="P4046" s="352"/>
      <c r="Q4046" s="352"/>
      <c r="R4046" s="352"/>
      <c r="S4046" s="352"/>
      <c r="T4046" s="352"/>
      <c r="U4046" s="352"/>
      <c r="V4046" s="352"/>
      <c r="W4046" s="352"/>
      <c r="X4046" s="352"/>
      <c r="Y4046" s="352"/>
      <c r="Z4046" s="352"/>
      <c r="AA4046" s="352"/>
      <c r="AB4046" s="352"/>
      <c r="AC4046" s="352"/>
      <c r="AD4046" s="352"/>
      <c r="AE4046" s="352"/>
      <c r="AF4046" s="352"/>
      <c r="AG4046" s="352"/>
      <c r="AH4046" s="352"/>
      <c r="AI4046" s="352"/>
      <c r="AJ4046" s="352"/>
    </row>
    <row r="4047" spans="2:36" x14ac:dyDescent="0.2">
      <c r="B4047" s="352"/>
      <c r="C4047" s="352"/>
      <c r="D4047" s="352"/>
      <c r="E4047" s="352"/>
      <c r="F4047" s="352"/>
      <c r="H4047" s="352"/>
      <c r="J4047" s="352"/>
      <c r="L4047" s="352"/>
      <c r="M4047" s="352"/>
      <c r="N4047" s="352"/>
      <c r="O4047" s="352"/>
      <c r="P4047" s="352"/>
      <c r="Q4047" s="352"/>
      <c r="R4047" s="352"/>
      <c r="S4047" s="352"/>
      <c r="T4047" s="352"/>
      <c r="U4047" s="352"/>
      <c r="V4047" s="352"/>
      <c r="W4047" s="352"/>
      <c r="X4047" s="352"/>
      <c r="Y4047" s="352"/>
      <c r="Z4047" s="352"/>
      <c r="AA4047" s="352"/>
      <c r="AB4047" s="352"/>
      <c r="AC4047" s="352"/>
      <c r="AD4047" s="352"/>
      <c r="AE4047" s="352"/>
      <c r="AF4047" s="352"/>
      <c r="AG4047" s="352"/>
      <c r="AH4047" s="352"/>
      <c r="AI4047" s="352"/>
      <c r="AJ4047" s="352"/>
    </row>
    <row r="4048" spans="2:36" x14ac:dyDescent="0.2">
      <c r="B4048" s="352"/>
      <c r="C4048" s="352"/>
      <c r="D4048" s="352"/>
      <c r="E4048" s="352"/>
      <c r="F4048" s="352"/>
      <c r="H4048" s="352"/>
      <c r="J4048" s="352"/>
      <c r="L4048" s="352"/>
      <c r="M4048" s="352"/>
      <c r="N4048" s="352"/>
      <c r="O4048" s="352"/>
      <c r="P4048" s="352"/>
      <c r="Q4048" s="352"/>
      <c r="R4048" s="352"/>
      <c r="S4048" s="352"/>
      <c r="T4048" s="352"/>
      <c r="U4048" s="352"/>
      <c r="V4048" s="352"/>
      <c r="W4048" s="352"/>
      <c r="X4048" s="352"/>
      <c r="Y4048" s="352"/>
      <c r="Z4048" s="352"/>
      <c r="AA4048" s="352"/>
      <c r="AB4048" s="352"/>
      <c r="AC4048" s="352"/>
      <c r="AD4048" s="352"/>
      <c r="AE4048" s="352"/>
      <c r="AF4048" s="352"/>
      <c r="AG4048" s="352"/>
      <c r="AH4048" s="352"/>
      <c r="AI4048" s="352"/>
      <c r="AJ4048" s="352"/>
    </row>
    <row r="4049" spans="2:36" x14ac:dyDescent="0.2">
      <c r="B4049" s="352"/>
      <c r="C4049" s="352"/>
      <c r="D4049" s="352"/>
      <c r="E4049" s="352"/>
      <c r="F4049" s="352"/>
      <c r="H4049" s="352"/>
      <c r="J4049" s="352"/>
      <c r="L4049" s="352"/>
      <c r="M4049" s="352"/>
      <c r="N4049" s="352"/>
      <c r="O4049" s="352"/>
      <c r="P4049" s="352"/>
      <c r="Q4049" s="352"/>
      <c r="R4049" s="352"/>
      <c r="S4049" s="352"/>
      <c r="T4049" s="352"/>
      <c r="U4049" s="352"/>
      <c r="V4049" s="352"/>
      <c r="W4049" s="352"/>
      <c r="X4049" s="352"/>
      <c r="Y4049" s="352"/>
      <c r="Z4049" s="352"/>
      <c r="AA4049" s="352"/>
      <c r="AB4049" s="352"/>
      <c r="AC4049" s="352"/>
      <c r="AD4049" s="352"/>
      <c r="AE4049" s="352"/>
      <c r="AF4049" s="352"/>
      <c r="AG4049" s="352"/>
      <c r="AH4049" s="352"/>
      <c r="AI4049" s="352"/>
      <c r="AJ4049" s="352"/>
    </row>
    <row r="4050" spans="2:36" x14ac:dyDescent="0.2">
      <c r="B4050" s="352"/>
      <c r="C4050" s="352"/>
      <c r="D4050" s="352"/>
      <c r="E4050" s="352"/>
      <c r="F4050" s="352"/>
      <c r="H4050" s="352"/>
      <c r="J4050" s="352"/>
      <c r="L4050" s="352"/>
      <c r="M4050" s="352"/>
      <c r="N4050" s="352"/>
      <c r="O4050" s="352"/>
      <c r="P4050" s="352"/>
      <c r="Q4050" s="352"/>
      <c r="R4050" s="352"/>
      <c r="S4050" s="352"/>
      <c r="T4050" s="352"/>
      <c r="U4050" s="352"/>
      <c r="V4050" s="352"/>
      <c r="W4050" s="352"/>
      <c r="X4050" s="352"/>
      <c r="Y4050" s="352"/>
      <c r="Z4050" s="352"/>
      <c r="AA4050" s="352"/>
      <c r="AB4050" s="352"/>
      <c r="AC4050" s="352"/>
      <c r="AD4050" s="352"/>
      <c r="AE4050" s="352"/>
      <c r="AF4050" s="352"/>
      <c r="AG4050" s="352"/>
      <c r="AH4050" s="352"/>
      <c r="AI4050" s="352"/>
      <c r="AJ4050" s="352"/>
    </row>
    <row r="4051" spans="2:36" x14ac:dyDescent="0.2">
      <c r="B4051" s="352"/>
      <c r="C4051" s="352"/>
      <c r="D4051" s="352"/>
      <c r="E4051" s="352"/>
      <c r="F4051" s="352"/>
      <c r="H4051" s="352"/>
      <c r="J4051" s="352"/>
      <c r="L4051" s="352"/>
      <c r="M4051" s="352"/>
      <c r="N4051" s="352"/>
      <c r="O4051" s="352"/>
      <c r="P4051" s="352"/>
      <c r="Q4051" s="352"/>
      <c r="R4051" s="352"/>
      <c r="S4051" s="352"/>
      <c r="T4051" s="352"/>
      <c r="U4051" s="352"/>
      <c r="V4051" s="352"/>
      <c r="W4051" s="352"/>
      <c r="X4051" s="352"/>
      <c r="Y4051" s="352"/>
      <c r="Z4051" s="352"/>
      <c r="AA4051" s="352"/>
      <c r="AB4051" s="352"/>
      <c r="AC4051" s="352"/>
      <c r="AD4051" s="352"/>
      <c r="AE4051" s="352"/>
      <c r="AF4051" s="352"/>
      <c r="AG4051" s="352"/>
      <c r="AH4051" s="352"/>
      <c r="AI4051" s="352"/>
      <c r="AJ4051" s="352"/>
    </row>
    <row r="4052" spans="2:36" x14ac:dyDescent="0.2">
      <c r="B4052" s="352"/>
      <c r="C4052" s="352"/>
      <c r="D4052" s="352"/>
      <c r="E4052" s="352"/>
      <c r="F4052" s="352"/>
      <c r="H4052" s="352"/>
      <c r="J4052" s="352"/>
      <c r="L4052" s="352"/>
      <c r="M4052" s="352"/>
      <c r="N4052" s="352"/>
      <c r="O4052" s="352"/>
      <c r="P4052" s="352"/>
      <c r="Q4052" s="352"/>
      <c r="R4052" s="352"/>
      <c r="S4052" s="352"/>
      <c r="T4052" s="352"/>
      <c r="U4052" s="352"/>
      <c r="V4052" s="352"/>
      <c r="W4052" s="352"/>
      <c r="X4052" s="352"/>
      <c r="Y4052" s="352"/>
      <c r="Z4052" s="352"/>
      <c r="AA4052" s="352"/>
      <c r="AB4052" s="352"/>
      <c r="AC4052" s="352"/>
      <c r="AD4052" s="352"/>
      <c r="AE4052" s="352"/>
      <c r="AF4052" s="352"/>
      <c r="AG4052" s="352"/>
      <c r="AH4052" s="352"/>
      <c r="AI4052" s="352"/>
      <c r="AJ4052" s="352"/>
    </row>
    <row r="4053" spans="2:36" x14ac:dyDescent="0.2">
      <c r="B4053" s="352"/>
      <c r="C4053" s="352"/>
      <c r="D4053" s="352"/>
      <c r="E4053" s="352"/>
      <c r="F4053" s="352"/>
      <c r="H4053" s="352"/>
      <c r="J4053" s="352"/>
      <c r="L4053" s="352"/>
      <c r="M4053" s="352"/>
      <c r="N4053" s="352"/>
      <c r="O4053" s="352"/>
      <c r="P4053" s="352"/>
      <c r="Q4053" s="352"/>
      <c r="R4053" s="352"/>
      <c r="S4053" s="352"/>
      <c r="T4053" s="352"/>
      <c r="U4053" s="352"/>
      <c r="V4053" s="352"/>
      <c r="W4053" s="352"/>
      <c r="X4053" s="352"/>
      <c r="Y4053" s="352"/>
      <c r="Z4053" s="352"/>
      <c r="AA4053" s="352"/>
      <c r="AB4053" s="352"/>
      <c r="AC4053" s="352"/>
      <c r="AD4053" s="352"/>
      <c r="AE4053" s="352"/>
      <c r="AF4053" s="352"/>
      <c r="AG4053" s="352"/>
      <c r="AH4053" s="352"/>
      <c r="AI4053" s="352"/>
      <c r="AJ4053" s="352"/>
    </row>
    <row r="4054" spans="2:36" x14ac:dyDescent="0.2">
      <c r="B4054" s="352"/>
      <c r="C4054" s="352"/>
      <c r="D4054" s="352"/>
      <c r="E4054" s="352"/>
      <c r="F4054" s="352"/>
      <c r="H4054" s="352"/>
      <c r="J4054" s="352"/>
      <c r="L4054" s="352"/>
      <c r="M4054" s="352"/>
      <c r="N4054" s="352"/>
      <c r="O4054" s="352"/>
      <c r="P4054" s="352"/>
      <c r="Q4054" s="352"/>
      <c r="R4054" s="352"/>
      <c r="S4054" s="352"/>
      <c r="T4054" s="352"/>
      <c r="U4054" s="352"/>
      <c r="V4054" s="352"/>
      <c r="W4054" s="352"/>
      <c r="X4054" s="352"/>
      <c r="Y4054" s="352"/>
      <c r="Z4054" s="352"/>
      <c r="AA4054" s="352"/>
      <c r="AB4054" s="352"/>
      <c r="AC4054" s="352"/>
      <c r="AD4054" s="352"/>
      <c r="AE4054" s="352"/>
      <c r="AF4054" s="352"/>
      <c r="AG4054" s="352"/>
      <c r="AH4054" s="352"/>
      <c r="AI4054" s="352"/>
      <c r="AJ4054" s="352"/>
    </row>
    <row r="4055" spans="2:36" x14ac:dyDescent="0.2">
      <c r="B4055" s="352"/>
      <c r="C4055" s="352"/>
      <c r="D4055" s="352"/>
      <c r="E4055" s="352"/>
      <c r="F4055" s="352"/>
      <c r="H4055" s="352"/>
      <c r="J4055" s="352"/>
      <c r="L4055" s="352"/>
      <c r="M4055" s="352"/>
      <c r="N4055" s="352"/>
      <c r="O4055" s="352"/>
      <c r="P4055" s="352"/>
      <c r="Q4055" s="352"/>
      <c r="R4055" s="352"/>
      <c r="S4055" s="352"/>
      <c r="T4055" s="352"/>
      <c r="U4055" s="352"/>
      <c r="V4055" s="352"/>
      <c r="W4055" s="352"/>
      <c r="X4055" s="352"/>
      <c r="Y4055" s="352"/>
      <c r="Z4055" s="352"/>
      <c r="AA4055" s="352"/>
      <c r="AB4055" s="352"/>
      <c r="AC4055" s="352"/>
      <c r="AD4055" s="352"/>
      <c r="AE4055" s="352"/>
      <c r="AF4055" s="352"/>
      <c r="AG4055" s="352"/>
      <c r="AH4055" s="352"/>
      <c r="AI4055" s="352"/>
      <c r="AJ4055" s="352"/>
    </row>
    <row r="4056" spans="2:36" x14ac:dyDescent="0.2">
      <c r="B4056" s="352"/>
      <c r="C4056" s="352"/>
      <c r="D4056" s="352"/>
      <c r="E4056" s="352"/>
      <c r="F4056" s="352"/>
      <c r="H4056" s="352"/>
      <c r="J4056" s="352"/>
      <c r="L4056" s="352"/>
      <c r="M4056" s="352"/>
      <c r="N4056" s="352"/>
      <c r="O4056" s="352"/>
      <c r="P4056" s="352"/>
      <c r="Q4056" s="352"/>
      <c r="R4056" s="352"/>
      <c r="S4056" s="352"/>
      <c r="T4056" s="352"/>
      <c r="U4056" s="352"/>
      <c r="V4056" s="352"/>
      <c r="W4056" s="352"/>
      <c r="X4056" s="352"/>
      <c r="Y4056" s="352"/>
      <c r="Z4056" s="352"/>
      <c r="AA4056" s="352"/>
      <c r="AB4056" s="352"/>
      <c r="AC4056" s="352"/>
      <c r="AD4056" s="352"/>
      <c r="AE4056" s="352"/>
      <c r="AF4056" s="352"/>
      <c r="AG4056" s="352"/>
      <c r="AH4056" s="352"/>
      <c r="AI4056" s="352"/>
      <c r="AJ4056" s="352"/>
    </row>
    <row r="4057" spans="2:36" x14ac:dyDescent="0.2">
      <c r="B4057" s="352"/>
      <c r="C4057" s="352"/>
      <c r="D4057" s="352"/>
      <c r="E4057" s="352"/>
      <c r="F4057" s="352"/>
      <c r="H4057" s="352"/>
      <c r="J4057" s="352"/>
      <c r="L4057" s="352"/>
      <c r="M4057" s="352"/>
      <c r="N4057" s="352"/>
      <c r="O4057" s="352"/>
      <c r="P4057" s="352"/>
      <c r="Q4057" s="352"/>
      <c r="R4057" s="352"/>
      <c r="S4057" s="352"/>
      <c r="T4057" s="352"/>
      <c r="U4057" s="352"/>
      <c r="V4057" s="352"/>
      <c r="W4057" s="352"/>
      <c r="X4057" s="352"/>
      <c r="Y4057" s="352"/>
      <c r="Z4057" s="352"/>
      <c r="AA4057" s="352"/>
      <c r="AB4057" s="352"/>
      <c r="AC4057" s="352"/>
      <c r="AD4057" s="352"/>
      <c r="AE4057" s="352"/>
      <c r="AF4057" s="352"/>
      <c r="AG4057" s="352"/>
      <c r="AH4057" s="352"/>
      <c r="AI4057" s="352"/>
      <c r="AJ4057" s="352"/>
    </row>
    <row r="4058" spans="2:36" x14ac:dyDescent="0.2">
      <c r="B4058" s="352"/>
      <c r="C4058" s="352"/>
      <c r="D4058" s="352"/>
      <c r="E4058" s="352"/>
      <c r="F4058" s="352"/>
      <c r="H4058" s="352"/>
      <c r="J4058" s="352"/>
      <c r="L4058" s="352"/>
      <c r="M4058" s="352"/>
      <c r="N4058" s="352"/>
      <c r="O4058" s="352"/>
      <c r="P4058" s="352"/>
      <c r="Q4058" s="352"/>
      <c r="R4058" s="352"/>
      <c r="S4058" s="352"/>
      <c r="T4058" s="352"/>
      <c r="U4058" s="352"/>
      <c r="V4058" s="352"/>
      <c r="W4058" s="352"/>
      <c r="X4058" s="352"/>
      <c r="Y4058" s="352"/>
      <c r="Z4058" s="352"/>
      <c r="AA4058" s="352"/>
      <c r="AB4058" s="352"/>
      <c r="AC4058" s="352"/>
      <c r="AD4058" s="352"/>
      <c r="AE4058" s="352"/>
      <c r="AF4058" s="352"/>
      <c r="AG4058" s="352"/>
      <c r="AH4058" s="352"/>
      <c r="AI4058" s="352"/>
      <c r="AJ4058" s="352"/>
    </row>
    <row r="4059" spans="2:36" x14ac:dyDescent="0.2">
      <c r="B4059" s="352"/>
      <c r="C4059" s="352"/>
      <c r="D4059" s="352"/>
      <c r="E4059" s="352"/>
      <c r="F4059" s="352"/>
      <c r="H4059" s="352"/>
      <c r="J4059" s="352"/>
      <c r="L4059" s="352"/>
      <c r="M4059" s="352"/>
      <c r="N4059" s="352"/>
      <c r="O4059" s="352"/>
      <c r="P4059" s="352"/>
      <c r="Q4059" s="352"/>
      <c r="R4059" s="352"/>
      <c r="S4059" s="352"/>
      <c r="T4059" s="352"/>
      <c r="U4059" s="352"/>
      <c r="V4059" s="352"/>
      <c r="W4059" s="352"/>
      <c r="X4059" s="352"/>
      <c r="Y4059" s="352"/>
      <c r="Z4059" s="352"/>
      <c r="AA4059" s="352"/>
      <c r="AB4059" s="352"/>
      <c r="AC4059" s="352"/>
      <c r="AD4059" s="352"/>
      <c r="AE4059" s="352"/>
      <c r="AF4059" s="352"/>
      <c r="AG4059" s="352"/>
      <c r="AH4059" s="352"/>
      <c r="AI4059" s="352"/>
      <c r="AJ4059" s="352"/>
    </row>
    <row r="4060" spans="2:36" x14ac:dyDescent="0.2">
      <c r="B4060" s="352"/>
      <c r="C4060" s="352"/>
      <c r="D4060" s="352"/>
      <c r="E4060" s="352"/>
      <c r="F4060" s="352"/>
      <c r="H4060" s="352"/>
      <c r="J4060" s="352"/>
      <c r="L4060" s="352"/>
      <c r="M4060" s="352"/>
      <c r="N4060" s="352"/>
      <c r="O4060" s="352"/>
      <c r="P4060" s="352"/>
      <c r="Q4060" s="352"/>
      <c r="R4060" s="352"/>
      <c r="S4060" s="352"/>
      <c r="T4060" s="352"/>
      <c r="U4060" s="352"/>
      <c r="V4060" s="352"/>
      <c r="W4060" s="352"/>
      <c r="X4060" s="352"/>
      <c r="Y4060" s="352"/>
      <c r="Z4060" s="352"/>
      <c r="AA4060" s="352"/>
      <c r="AB4060" s="352"/>
      <c r="AC4060" s="352"/>
      <c r="AD4060" s="352"/>
      <c r="AE4060" s="352"/>
      <c r="AF4060" s="352"/>
      <c r="AG4060" s="352"/>
      <c r="AH4060" s="352"/>
      <c r="AI4060" s="352"/>
      <c r="AJ4060" s="352"/>
    </row>
    <row r="4061" spans="2:36" x14ac:dyDescent="0.2">
      <c r="B4061" s="352"/>
      <c r="C4061" s="352"/>
      <c r="D4061" s="352"/>
      <c r="E4061" s="352"/>
      <c r="F4061" s="352"/>
      <c r="H4061" s="352"/>
      <c r="J4061" s="352"/>
      <c r="L4061" s="352"/>
      <c r="M4061" s="352"/>
      <c r="N4061" s="352"/>
      <c r="O4061" s="352"/>
      <c r="P4061" s="352"/>
      <c r="Q4061" s="352"/>
      <c r="R4061" s="352"/>
      <c r="S4061" s="352"/>
      <c r="T4061" s="352"/>
      <c r="U4061" s="352"/>
      <c r="V4061" s="352"/>
      <c r="W4061" s="352"/>
      <c r="X4061" s="352"/>
      <c r="Y4061" s="352"/>
      <c r="Z4061" s="352"/>
      <c r="AA4061" s="352"/>
      <c r="AB4061" s="352"/>
      <c r="AC4061" s="352"/>
      <c r="AD4061" s="352"/>
      <c r="AE4061" s="352"/>
      <c r="AF4061" s="352"/>
      <c r="AG4061" s="352"/>
      <c r="AH4061" s="352"/>
      <c r="AI4061" s="352"/>
      <c r="AJ4061" s="352"/>
    </row>
    <row r="4062" spans="2:36" x14ac:dyDescent="0.2">
      <c r="B4062" s="352"/>
      <c r="C4062" s="352"/>
      <c r="D4062" s="352"/>
      <c r="E4062" s="352"/>
      <c r="F4062" s="352"/>
      <c r="H4062" s="352"/>
      <c r="J4062" s="352"/>
      <c r="L4062" s="352"/>
      <c r="M4062" s="352"/>
      <c r="N4062" s="352"/>
      <c r="O4062" s="352"/>
      <c r="P4062" s="352"/>
      <c r="Q4062" s="352"/>
      <c r="R4062" s="352"/>
      <c r="S4062" s="352"/>
      <c r="T4062" s="352"/>
      <c r="U4062" s="352"/>
      <c r="V4062" s="352"/>
      <c r="W4062" s="352"/>
      <c r="X4062" s="352"/>
      <c r="Y4062" s="352"/>
      <c r="Z4062" s="352"/>
      <c r="AA4062" s="352"/>
      <c r="AB4062" s="352"/>
      <c r="AC4062" s="352"/>
      <c r="AD4062" s="352"/>
      <c r="AE4062" s="352"/>
      <c r="AF4062" s="352"/>
      <c r="AG4062" s="352"/>
      <c r="AH4062" s="352"/>
      <c r="AI4062" s="352"/>
      <c r="AJ4062" s="352"/>
    </row>
    <row r="4063" spans="2:36" x14ac:dyDescent="0.2">
      <c r="B4063" s="352"/>
      <c r="C4063" s="352"/>
      <c r="D4063" s="352"/>
      <c r="E4063" s="352"/>
      <c r="F4063" s="352"/>
      <c r="H4063" s="352"/>
      <c r="J4063" s="352"/>
      <c r="L4063" s="352"/>
      <c r="M4063" s="352"/>
      <c r="N4063" s="352"/>
      <c r="O4063" s="352"/>
      <c r="P4063" s="352"/>
      <c r="Q4063" s="352"/>
      <c r="R4063" s="352"/>
      <c r="S4063" s="352"/>
      <c r="T4063" s="352"/>
      <c r="U4063" s="352"/>
      <c r="V4063" s="352"/>
      <c r="W4063" s="352"/>
      <c r="X4063" s="352"/>
      <c r="Y4063" s="352"/>
      <c r="Z4063" s="352"/>
      <c r="AA4063" s="352"/>
      <c r="AB4063" s="352"/>
      <c r="AC4063" s="352"/>
      <c r="AD4063" s="352"/>
      <c r="AE4063" s="352"/>
      <c r="AF4063" s="352"/>
      <c r="AG4063" s="352"/>
      <c r="AH4063" s="352"/>
      <c r="AI4063" s="352"/>
      <c r="AJ4063" s="352"/>
    </row>
    <row r="4064" spans="2:36" x14ac:dyDescent="0.2">
      <c r="B4064" s="352"/>
      <c r="C4064" s="352"/>
      <c r="D4064" s="352"/>
      <c r="E4064" s="352"/>
      <c r="F4064" s="352"/>
      <c r="H4064" s="352"/>
      <c r="J4064" s="352"/>
      <c r="L4064" s="352"/>
      <c r="M4064" s="352"/>
      <c r="N4064" s="352"/>
      <c r="O4064" s="352"/>
      <c r="P4064" s="352"/>
      <c r="Q4064" s="352"/>
      <c r="R4064" s="352"/>
      <c r="S4064" s="352"/>
      <c r="T4064" s="352"/>
      <c r="U4064" s="352"/>
      <c r="V4064" s="352"/>
      <c r="W4064" s="352"/>
      <c r="X4064" s="352"/>
      <c r="Y4064" s="352"/>
      <c r="Z4064" s="352"/>
      <c r="AA4064" s="352"/>
      <c r="AB4064" s="352"/>
      <c r="AC4064" s="352"/>
      <c r="AD4064" s="352"/>
      <c r="AE4064" s="352"/>
      <c r="AF4064" s="352"/>
      <c r="AG4064" s="352"/>
      <c r="AH4064" s="352"/>
      <c r="AI4064" s="352"/>
      <c r="AJ4064" s="352"/>
    </row>
    <row r="4065" spans="2:36" x14ac:dyDescent="0.2">
      <c r="B4065" s="352"/>
      <c r="C4065" s="352"/>
      <c r="D4065" s="352"/>
      <c r="E4065" s="352"/>
      <c r="F4065" s="352"/>
      <c r="H4065" s="352"/>
      <c r="J4065" s="352"/>
      <c r="L4065" s="352"/>
      <c r="M4065" s="352"/>
      <c r="N4065" s="352"/>
      <c r="O4065" s="352"/>
      <c r="P4065" s="352"/>
      <c r="Q4065" s="352"/>
      <c r="R4065" s="352"/>
      <c r="S4065" s="352"/>
      <c r="T4065" s="352"/>
      <c r="U4065" s="352"/>
      <c r="V4065" s="352"/>
      <c r="W4065" s="352"/>
      <c r="X4065" s="352"/>
      <c r="Y4065" s="352"/>
      <c r="Z4065" s="352"/>
      <c r="AA4065" s="352"/>
      <c r="AB4065" s="352"/>
      <c r="AC4065" s="352"/>
      <c r="AD4065" s="352"/>
      <c r="AE4065" s="352"/>
      <c r="AF4065" s="352"/>
      <c r="AG4065" s="352"/>
      <c r="AH4065" s="352"/>
      <c r="AI4065" s="352"/>
      <c r="AJ4065" s="352"/>
    </row>
    <row r="4066" spans="2:36" x14ac:dyDescent="0.2">
      <c r="B4066" s="352"/>
      <c r="C4066" s="352"/>
      <c r="D4066" s="352"/>
      <c r="E4066" s="352"/>
      <c r="F4066" s="352"/>
      <c r="H4066" s="352"/>
      <c r="J4066" s="352"/>
      <c r="L4066" s="352"/>
      <c r="M4066" s="352"/>
      <c r="N4066" s="352"/>
      <c r="O4066" s="352"/>
      <c r="P4066" s="352"/>
      <c r="Q4066" s="352"/>
      <c r="R4066" s="352"/>
      <c r="S4066" s="352"/>
      <c r="T4066" s="352"/>
      <c r="U4066" s="352"/>
      <c r="V4066" s="352"/>
      <c r="W4066" s="352"/>
      <c r="X4066" s="352"/>
      <c r="Y4066" s="352"/>
      <c r="Z4066" s="352"/>
      <c r="AA4066" s="352"/>
      <c r="AB4066" s="352"/>
      <c r="AC4066" s="352"/>
      <c r="AD4066" s="352"/>
      <c r="AE4066" s="352"/>
      <c r="AF4066" s="352"/>
      <c r="AG4066" s="352"/>
      <c r="AH4066" s="352"/>
      <c r="AI4066" s="352"/>
      <c r="AJ4066" s="352"/>
    </row>
    <row r="4067" spans="2:36" x14ac:dyDescent="0.2">
      <c r="B4067" s="352"/>
      <c r="C4067" s="352"/>
      <c r="D4067" s="352"/>
      <c r="E4067" s="352"/>
      <c r="F4067" s="352"/>
      <c r="H4067" s="352"/>
      <c r="J4067" s="352"/>
      <c r="L4067" s="352"/>
      <c r="M4067" s="352"/>
      <c r="N4067" s="352"/>
      <c r="O4067" s="352"/>
      <c r="P4067" s="352"/>
      <c r="Q4067" s="352"/>
      <c r="R4067" s="352"/>
      <c r="S4067" s="352"/>
      <c r="T4067" s="352"/>
      <c r="U4067" s="352"/>
      <c r="V4067" s="352"/>
      <c r="W4067" s="352"/>
      <c r="X4067" s="352"/>
      <c r="Y4067" s="352"/>
      <c r="Z4067" s="352"/>
      <c r="AA4067" s="352"/>
      <c r="AB4067" s="352"/>
      <c r="AC4067" s="352"/>
      <c r="AD4067" s="352"/>
      <c r="AE4067" s="352"/>
      <c r="AF4067" s="352"/>
      <c r="AG4067" s="352"/>
      <c r="AH4067" s="352"/>
      <c r="AI4067" s="352"/>
      <c r="AJ4067" s="352"/>
    </row>
    <row r="4068" spans="2:36" x14ac:dyDescent="0.2">
      <c r="B4068" s="352"/>
      <c r="C4068" s="352"/>
      <c r="D4068" s="352"/>
      <c r="E4068" s="352"/>
      <c r="F4068" s="352"/>
      <c r="H4068" s="352"/>
      <c r="J4068" s="352"/>
      <c r="L4068" s="352"/>
      <c r="M4068" s="352"/>
      <c r="N4068" s="352"/>
      <c r="O4068" s="352"/>
      <c r="P4068" s="352"/>
      <c r="Q4068" s="352"/>
      <c r="R4068" s="352"/>
      <c r="S4068" s="352"/>
      <c r="T4068" s="352"/>
      <c r="U4068" s="352"/>
      <c r="V4068" s="352"/>
      <c r="W4068" s="352"/>
      <c r="X4068" s="352"/>
      <c r="Y4068" s="352"/>
      <c r="Z4068" s="352"/>
      <c r="AA4068" s="352"/>
      <c r="AB4068" s="352"/>
      <c r="AC4068" s="352"/>
      <c r="AD4068" s="352"/>
      <c r="AE4068" s="352"/>
      <c r="AF4068" s="352"/>
      <c r="AG4068" s="352"/>
      <c r="AH4068" s="352"/>
      <c r="AI4068" s="352"/>
      <c r="AJ4068" s="352"/>
    </row>
    <row r="4069" spans="2:36" x14ac:dyDescent="0.2">
      <c r="B4069" s="352"/>
      <c r="C4069" s="352"/>
      <c r="D4069" s="352"/>
      <c r="E4069" s="352"/>
      <c r="F4069" s="352"/>
      <c r="H4069" s="352"/>
      <c r="J4069" s="352"/>
      <c r="L4069" s="352"/>
      <c r="M4069" s="352"/>
      <c r="N4069" s="352"/>
      <c r="O4069" s="352"/>
      <c r="P4069" s="352"/>
      <c r="Q4069" s="352"/>
      <c r="R4069" s="352"/>
      <c r="S4069" s="352"/>
      <c r="T4069" s="352"/>
      <c r="U4069" s="352"/>
      <c r="V4069" s="352"/>
      <c r="W4069" s="352"/>
      <c r="X4069" s="352"/>
      <c r="Y4069" s="352"/>
      <c r="Z4069" s="352"/>
      <c r="AA4069" s="352"/>
      <c r="AB4069" s="352"/>
      <c r="AC4069" s="352"/>
      <c r="AD4069" s="352"/>
      <c r="AE4069" s="352"/>
      <c r="AF4069" s="352"/>
      <c r="AG4069" s="352"/>
      <c r="AH4069" s="352"/>
      <c r="AI4069" s="352"/>
      <c r="AJ4069" s="352"/>
    </row>
    <row r="4070" spans="2:36" x14ac:dyDescent="0.2">
      <c r="B4070" s="352"/>
      <c r="C4070" s="352"/>
      <c r="D4070" s="352"/>
      <c r="E4070" s="352"/>
      <c r="F4070" s="352"/>
      <c r="H4070" s="352"/>
      <c r="J4070" s="352"/>
      <c r="L4070" s="352"/>
      <c r="M4070" s="352"/>
      <c r="N4070" s="352"/>
      <c r="O4070" s="352"/>
      <c r="P4070" s="352"/>
      <c r="Q4070" s="352"/>
      <c r="R4070" s="352"/>
      <c r="S4070" s="352"/>
      <c r="T4070" s="352"/>
      <c r="U4070" s="352"/>
      <c r="V4070" s="352"/>
      <c r="W4070" s="352"/>
      <c r="X4070" s="352"/>
      <c r="Y4070" s="352"/>
      <c r="Z4070" s="352"/>
      <c r="AA4070" s="352"/>
      <c r="AB4070" s="352"/>
      <c r="AC4070" s="352"/>
      <c r="AD4070" s="352"/>
      <c r="AE4070" s="352"/>
      <c r="AF4070" s="352"/>
      <c r="AG4070" s="352"/>
      <c r="AH4070" s="352"/>
      <c r="AI4070" s="352"/>
      <c r="AJ4070" s="352"/>
    </row>
    <row r="4071" spans="2:36" x14ac:dyDescent="0.2">
      <c r="B4071" s="352"/>
      <c r="C4071" s="352"/>
      <c r="D4071" s="352"/>
      <c r="E4071" s="352"/>
      <c r="F4071" s="352"/>
      <c r="H4071" s="352"/>
      <c r="J4071" s="352"/>
      <c r="L4071" s="352"/>
      <c r="M4071" s="352"/>
      <c r="N4071" s="352"/>
      <c r="O4071" s="352"/>
      <c r="P4071" s="352"/>
      <c r="Q4071" s="352"/>
      <c r="R4071" s="352"/>
      <c r="S4071" s="352"/>
      <c r="T4071" s="352"/>
      <c r="U4071" s="352"/>
      <c r="V4071" s="352"/>
      <c r="W4071" s="352"/>
      <c r="X4071" s="352"/>
      <c r="Y4071" s="352"/>
      <c r="Z4071" s="352"/>
      <c r="AA4071" s="352"/>
      <c r="AB4071" s="352"/>
      <c r="AC4071" s="352"/>
      <c r="AD4071" s="352"/>
      <c r="AE4071" s="352"/>
      <c r="AF4071" s="352"/>
      <c r="AG4071" s="352"/>
      <c r="AH4071" s="352"/>
      <c r="AI4071" s="352"/>
      <c r="AJ4071" s="352"/>
    </row>
    <row r="4072" spans="2:36" x14ac:dyDescent="0.2">
      <c r="B4072" s="352"/>
      <c r="C4072" s="352"/>
      <c r="D4072" s="352"/>
      <c r="E4072" s="352"/>
      <c r="F4072" s="352"/>
      <c r="H4072" s="352"/>
      <c r="J4072" s="352"/>
      <c r="L4072" s="352"/>
      <c r="M4072" s="352"/>
      <c r="N4072" s="352"/>
      <c r="O4072" s="352"/>
      <c r="P4072" s="352"/>
      <c r="Q4072" s="352"/>
      <c r="R4072" s="352"/>
      <c r="S4072" s="352"/>
      <c r="T4072" s="352"/>
      <c r="U4072" s="352"/>
      <c r="V4072" s="352"/>
      <c r="W4072" s="352"/>
      <c r="X4072" s="352"/>
      <c r="Y4072" s="352"/>
      <c r="Z4072" s="352"/>
      <c r="AA4072" s="352"/>
      <c r="AB4072" s="352"/>
      <c r="AC4072" s="352"/>
      <c r="AD4072" s="352"/>
      <c r="AE4072" s="352"/>
      <c r="AF4072" s="352"/>
      <c r="AG4072" s="352"/>
      <c r="AH4072" s="352"/>
      <c r="AI4072" s="352"/>
      <c r="AJ4072" s="352"/>
    </row>
    <row r="4073" spans="2:36" x14ac:dyDescent="0.2">
      <c r="B4073" s="352"/>
      <c r="C4073" s="352"/>
      <c r="D4073" s="352"/>
      <c r="E4073" s="352"/>
      <c r="F4073" s="352"/>
      <c r="H4073" s="352"/>
      <c r="J4073" s="352"/>
      <c r="L4073" s="352"/>
      <c r="M4073" s="352"/>
      <c r="N4073" s="352"/>
      <c r="O4073" s="352"/>
      <c r="P4073" s="352"/>
      <c r="Q4073" s="352"/>
      <c r="R4073" s="352"/>
      <c r="S4073" s="352"/>
      <c r="T4073" s="352"/>
      <c r="U4073" s="352"/>
      <c r="V4073" s="352"/>
      <c r="W4073" s="352"/>
      <c r="X4073" s="352"/>
      <c r="Y4073" s="352"/>
      <c r="Z4073" s="352"/>
      <c r="AA4073" s="352"/>
      <c r="AB4073" s="352"/>
      <c r="AC4073" s="352"/>
      <c r="AD4073" s="352"/>
      <c r="AE4073" s="352"/>
      <c r="AF4073" s="352"/>
      <c r="AG4073" s="352"/>
      <c r="AH4073" s="352"/>
      <c r="AI4073" s="352"/>
      <c r="AJ4073" s="352"/>
    </row>
    <row r="4074" spans="2:36" x14ac:dyDescent="0.2">
      <c r="B4074" s="352"/>
      <c r="C4074" s="352"/>
      <c r="D4074" s="352"/>
      <c r="E4074" s="352"/>
      <c r="F4074" s="352"/>
      <c r="H4074" s="352"/>
      <c r="J4074" s="352"/>
      <c r="L4074" s="352"/>
      <c r="M4074" s="352"/>
      <c r="N4074" s="352"/>
      <c r="O4074" s="352"/>
      <c r="P4074" s="352"/>
      <c r="Q4074" s="352"/>
      <c r="R4074" s="352"/>
      <c r="S4074" s="352"/>
      <c r="T4074" s="352"/>
      <c r="U4074" s="352"/>
      <c r="V4074" s="352"/>
      <c r="W4074" s="352"/>
      <c r="X4074" s="352"/>
      <c r="Y4074" s="352"/>
      <c r="Z4074" s="352"/>
      <c r="AA4074" s="352"/>
      <c r="AB4074" s="352"/>
      <c r="AC4074" s="352"/>
      <c r="AD4074" s="352"/>
      <c r="AE4074" s="352"/>
      <c r="AF4074" s="352"/>
      <c r="AG4074" s="352"/>
      <c r="AH4074" s="352"/>
      <c r="AI4074" s="352"/>
      <c r="AJ4074" s="352"/>
    </row>
    <row r="4075" spans="2:36" x14ac:dyDescent="0.2">
      <c r="B4075" s="352"/>
      <c r="C4075" s="352"/>
      <c r="D4075" s="352"/>
      <c r="E4075" s="352"/>
      <c r="F4075" s="352"/>
      <c r="H4075" s="352"/>
      <c r="J4075" s="352"/>
      <c r="L4075" s="352"/>
      <c r="M4075" s="352"/>
      <c r="N4075" s="352"/>
      <c r="O4075" s="352"/>
      <c r="P4075" s="352"/>
      <c r="Q4075" s="352"/>
      <c r="R4075" s="352"/>
      <c r="S4075" s="352"/>
      <c r="T4075" s="352"/>
      <c r="U4075" s="352"/>
      <c r="V4075" s="352"/>
      <c r="W4075" s="352"/>
      <c r="X4075" s="352"/>
      <c r="Y4075" s="352"/>
      <c r="Z4075" s="352"/>
      <c r="AA4075" s="352"/>
      <c r="AB4075" s="352"/>
      <c r="AC4075" s="352"/>
      <c r="AD4075" s="352"/>
      <c r="AE4075" s="352"/>
      <c r="AF4075" s="352"/>
      <c r="AG4075" s="352"/>
      <c r="AH4075" s="352"/>
      <c r="AI4075" s="352"/>
      <c r="AJ4075" s="352"/>
    </row>
    <row r="4076" spans="2:36" x14ac:dyDescent="0.2">
      <c r="B4076" s="352"/>
      <c r="C4076" s="352"/>
      <c r="D4076" s="352"/>
      <c r="E4076" s="352"/>
      <c r="F4076" s="352"/>
      <c r="H4076" s="352"/>
      <c r="J4076" s="352"/>
      <c r="L4076" s="352"/>
      <c r="M4076" s="352"/>
      <c r="N4076" s="352"/>
      <c r="O4076" s="352"/>
      <c r="P4076" s="352"/>
      <c r="Q4076" s="352"/>
      <c r="R4076" s="352"/>
      <c r="S4076" s="352"/>
      <c r="T4076" s="352"/>
      <c r="U4076" s="352"/>
      <c r="V4076" s="352"/>
      <c r="W4076" s="352"/>
      <c r="X4076" s="352"/>
      <c r="Y4076" s="352"/>
      <c r="Z4076" s="352"/>
      <c r="AA4076" s="352"/>
      <c r="AB4076" s="352"/>
      <c r="AC4076" s="352"/>
      <c r="AD4076" s="352"/>
      <c r="AE4076" s="352"/>
      <c r="AF4076" s="352"/>
      <c r="AG4076" s="352"/>
      <c r="AH4076" s="352"/>
      <c r="AI4076" s="352"/>
      <c r="AJ4076" s="352"/>
    </row>
    <row r="4077" spans="2:36" x14ac:dyDescent="0.2">
      <c r="B4077" s="352"/>
      <c r="C4077" s="352"/>
      <c r="D4077" s="352"/>
      <c r="E4077" s="352"/>
      <c r="F4077" s="352"/>
      <c r="H4077" s="352"/>
      <c r="J4077" s="352"/>
      <c r="L4077" s="352"/>
      <c r="M4077" s="352"/>
      <c r="N4077" s="352"/>
      <c r="O4077" s="352"/>
      <c r="P4077" s="352"/>
      <c r="Q4077" s="352"/>
      <c r="R4077" s="352"/>
      <c r="S4077" s="352"/>
      <c r="T4077" s="352"/>
      <c r="U4077" s="352"/>
      <c r="V4077" s="352"/>
      <c r="W4077" s="352"/>
      <c r="X4077" s="352"/>
      <c r="Y4077" s="352"/>
      <c r="Z4077" s="352"/>
      <c r="AA4077" s="352"/>
      <c r="AB4077" s="352"/>
      <c r="AC4077" s="352"/>
      <c r="AD4077" s="352"/>
      <c r="AE4077" s="352"/>
      <c r="AF4077" s="352"/>
      <c r="AG4077" s="352"/>
      <c r="AH4077" s="352"/>
      <c r="AI4077" s="352"/>
      <c r="AJ4077" s="352"/>
    </row>
    <row r="4078" spans="2:36" x14ac:dyDescent="0.2">
      <c r="B4078" s="352"/>
      <c r="C4078" s="352"/>
      <c r="D4078" s="352"/>
      <c r="E4078" s="352"/>
      <c r="F4078" s="352"/>
      <c r="H4078" s="352"/>
      <c r="J4078" s="352"/>
      <c r="L4078" s="352"/>
      <c r="M4078" s="352"/>
      <c r="N4078" s="352"/>
      <c r="O4078" s="352"/>
      <c r="P4078" s="352"/>
      <c r="Q4078" s="352"/>
      <c r="R4078" s="352"/>
      <c r="S4078" s="352"/>
      <c r="T4078" s="352"/>
      <c r="U4078" s="352"/>
      <c r="V4078" s="352"/>
      <c r="W4078" s="352"/>
      <c r="X4078" s="352"/>
      <c r="Y4078" s="352"/>
      <c r="Z4078" s="352"/>
      <c r="AA4078" s="352"/>
      <c r="AB4078" s="352"/>
      <c r="AC4078" s="352"/>
      <c r="AD4078" s="352"/>
      <c r="AE4078" s="352"/>
      <c r="AF4078" s="352"/>
      <c r="AG4078" s="352"/>
      <c r="AH4078" s="352"/>
      <c r="AI4078" s="352"/>
      <c r="AJ4078" s="352"/>
    </row>
    <row r="4079" spans="2:36" x14ac:dyDescent="0.2">
      <c r="B4079" s="352"/>
      <c r="C4079" s="352"/>
      <c r="D4079" s="352"/>
      <c r="E4079" s="352"/>
      <c r="F4079" s="352"/>
      <c r="H4079" s="352"/>
      <c r="J4079" s="352"/>
      <c r="L4079" s="352"/>
      <c r="M4079" s="352"/>
      <c r="N4079" s="352"/>
      <c r="O4079" s="352"/>
      <c r="P4079" s="352"/>
      <c r="Q4079" s="352"/>
      <c r="R4079" s="352"/>
      <c r="S4079" s="352"/>
      <c r="T4079" s="352"/>
      <c r="U4079" s="352"/>
      <c r="V4079" s="352"/>
      <c r="W4079" s="352"/>
      <c r="X4079" s="352"/>
      <c r="Y4079" s="352"/>
      <c r="Z4079" s="352"/>
      <c r="AA4079" s="352"/>
      <c r="AB4079" s="352"/>
      <c r="AC4079" s="352"/>
      <c r="AD4079" s="352"/>
      <c r="AE4079" s="352"/>
      <c r="AF4079" s="352"/>
      <c r="AG4079" s="352"/>
      <c r="AH4079" s="352"/>
      <c r="AI4079" s="352"/>
      <c r="AJ4079" s="352"/>
    </row>
    <row r="4080" spans="2:36" x14ac:dyDescent="0.2">
      <c r="B4080" s="352"/>
      <c r="C4080" s="352"/>
      <c r="D4080" s="352"/>
      <c r="E4080" s="352"/>
      <c r="F4080" s="352"/>
      <c r="H4080" s="352"/>
      <c r="J4080" s="352"/>
      <c r="L4080" s="352"/>
      <c r="M4080" s="352"/>
      <c r="N4080" s="352"/>
      <c r="O4080" s="352"/>
      <c r="P4080" s="352"/>
      <c r="Q4080" s="352"/>
      <c r="R4080" s="352"/>
      <c r="S4080" s="352"/>
      <c r="T4080" s="352"/>
      <c r="U4080" s="352"/>
      <c r="V4080" s="352"/>
      <c r="W4080" s="352"/>
      <c r="X4080" s="352"/>
      <c r="Y4080" s="352"/>
      <c r="Z4080" s="352"/>
      <c r="AA4080" s="352"/>
      <c r="AB4080" s="352"/>
      <c r="AC4080" s="352"/>
      <c r="AD4080" s="352"/>
      <c r="AE4080" s="352"/>
      <c r="AF4080" s="352"/>
      <c r="AG4080" s="352"/>
      <c r="AH4080" s="352"/>
      <c r="AI4080" s="352"/>
      <c r="AJ4080" s="352"/>
    </row>
    <row r="4081" spans="2:36" x14ac:dyDescent="0.2">
      <c r="B4081" s="352"/>
      <c r="C4081" s="352"/>
      <c r="D4081" s="352"/>
      <c r="E4081" s="352"/>
      <c r="F4081" s="352"/>
      <c r="H4081" s="352"/>
      <c r="J4081" s="352"/>
      <c r="L4081" s="352"/>
      <c r="M4081" s="352"/>
      <c r="N4081" s="352"/>
      <c r="O4081" s="352"/>
      <c r="P4081" s="352"/>
      <c r="Q4081" s="352"/>
      <c r="R4081" s="352"/>
      <c r="S4081" s="352"/>
      <c r="T4081" s="352"/>
      <c r="U4081" s="352"/>
      <c r="V4081" s="352"/>
      <c r="W4081" s="352"/>
      <c r="X4081" s="352"/>
      <c r="Y4081" s="352"/>
      <c r="Z4081" s="352"/>
      <c r="AA4081" s="352"/>
      <c r="AB4081" s="352"/>
      <c r="AC4081" s="352"/>
      <c r="AD4081" s="352"/>
      <c r="AE4081" s="352"/>
      <c r="AF4081" s="352"/>
      <c r="AG4081" s="352"/>
      <c r="AH4081" s="352"/>
      <c r="AI4081" s="352"/>
      <c r="AJ4081" s="352"/>
    </row>
    <row r="4082" spans="2:36" x14ac:dyDescent="0.2">
      <c r="B4082" s="352"/>
      <c r="C4082" s="352"/>
      <c r="D4082" s="352"/>
      <c r="E4082" s="352"/>
      <c r="F4082" s="352"/>
      <c r="H4082" s="352"/>
      <c r="J4082" s="352"/>
      <c r="L4082" s="352"/>
      <c r="M4082" s="352"/>
      <c r="N4082" s="352"/>
      <c r="O4082" s="352"/>
      <c r="P4082" s="352"/>
      <c r="Q4082" s="352"/>
      <c r="R4082" s="352"/>
      <c r="S4082" s="352"/>
      <c r="T4082" s="352"/>
      <c r="U4082" s="352"/>
      <c r="V4082" s="352"/>
      <c r="W4082" s="352"/>
      <c r="X4082" s="352"/>
      <c r="Y4082" s="352"/>
      <c r="Z4082" s="352"/>
      <c r="AA4082" s="352"/>
      <c r="AB4082" s="352"/>
      <c r="AC4082" s="352"/>
      <c r="AD4082" s="352"/>
      <c r="AE4082" s="352"/>
      <c r="AF4082" s="352"/>
      <c r="AG4082" s="352"/>
      <c r="AH4082" s="352"/>
      <c r="AI4082" s="352"/>
      <c r="AJ4082" s="352"/>
    </row>
    <row r="4083" spans="2:36" x14ac:dyDescent="0.2">
      <c r="B4083" s="352"/>
      <c r="C4083" s="352"/>
      <c r="D4083" s="352"/>
      <c r="E4083" s="352"/>
      <c r="F4083" s="352"/>
      <c r="H4083" s="352"/>
      <c r="J4083" s="352"/>
      <c r="L4083" s="352"/>
      <c r="M4083" s="352"/>
      <c r="N4083" s="352"/>
      <c r="O4083" s="352"/>
      <c r="P4083" s="352"/>
      <c r="Q4083" s="352"/>
      <c r="R4083" s="352"/>
      <c r="S4083" s="352"/>
      <c r="T4083" s="352"/>
      <c r="U4083" s="352"/>
      <c r="V4083" s="352"/>
      <c r="W4083" s="352"/>
      <c r="X4083" s="352"/>
      <c r="Y4083" s="352"/>
      <c r="Z4083" s="352"/>
      <c r="AA4083" s="352"/>
      <c r="AB4083" s="352"/>
      <c r="AC4083" s="352"/>
      <c r="AD4083" s="352"/>
      <c r="AE4083" s="352"/>
      <c r="AF4083" s="352"/>
      <c r="AG4083" s="352"/>
      <c r="AH4083" s="352"/>
      <c r="AI4083" s="352"/>
      <c r="AJ4083" s="352"/>
    </row>
    <row r="4084" spans="2:36" x14ac:dyDescent="0.2">
      <c r="B4084" s="352"/>
      <c r="C4084" s="352"/>
      <c r="D4084" s="352"/>
      <c r="E4084" s="352"/>
      <c r="F4084" s="352"/>
      <c r="H4084" s="352"/>
      <c r="J4084" s="352"/>
      <c r="L4084" s="352"/>
      <c r="M4084" s="352"/>
      <c r="N4084" s="352"/>
      <c r="O4084" s="352"/>
      <c r="P4084" s="352"/>
      <c r="Q4084" s="352"/>
      <c r="R4084" s="352"/>
      <c r="S4084" s="352"/>
      <c r="T4084" s="352"/>
      <c r="U4084" s="352"/>
      <c r="V4084" s="352"/>
      <c r="W4084" s="352"/>
      <c r="X4084" s="352"/>
      <c r="Y4084" s="352"/>
      <c r="Z4084" s="352"/>
      <c r="AA4084" s="352"/>
      <c r="AB4084" s="352"/>
      <c r="AC4084" s="352"/>
      <c r="AD4084" s="352"/>
      <c r="AE4084" s="352"/>
      <c r="AF4084" s="352"/>
      <c r="AG4084" s="352"/>
      <c r="AH4084" s="352"/>
      <c r="AI4084" s="352"/>
      <c r="AJ4084" s="352"/>
    </row>
    <row r="4085" spans="2:36" x14ac:dyDescent="0.2">
      <c r="B4085" s="352"/>
      <c r="C4085" s="352"/>
      <c r="D4085" s="352"/>
      <c r="E4085" s="352"/>
      <c r="F4085" s="352"/>
      <c r="H4085" s="352"/>
      <c r="J4085" s="352"/>
      <c r="L4085" s="352"/>
      <c r="M4085" s="352"/>
      <c r="N4085" s="352"/>
      <c r="O4085" s="352"/>
      <c r="P4085" s="352"/>
      <c r="Q4085" s="352"/>
      <c r="R4085" s="352"/>
      <c r="S4085" s="352"/>
      <c r="T4085" s="352"/>
      <c r="U4085" s="352"/>
      <c r="V4085" s="352"/>
      <c r="W4085" s="352"/>
      <c r="X4085" s="352"/>
      <c r="Y4085" s="352"/>
      <c r="Z4085" s="352"/>
      <c r="AA4085" s="352"/>
      <c r="AB4085" s="352"/>
      <c r="AC4085" s="352"/>
      <c r="AD4085" s="352"/>
      <c r="AE4085" s="352"/>
      <c r="AF4085" s="352"/>
      <c r="AG4085" s="352"/>
      <c r="AH4085" s="352"/>
      <c r="AI4085" s="352"/>
      <c r="AJ4085" s="352"/>
    </row>
    <row r="4086" spans="2:36" x14ac:dyDescent="0.2">
      <c r="B4086" s="352"/>
      <c r="C4086" s="352"/>
      <c r="D4086" s="352"/>
      <c r="E4086" s="352"/>
      <c r="F4086" s="352"/>
      <c r="H4086" s="352"/>
      <c r="J4086" s="352"/>
      <c r="L4086" s="352"/>
      <c r="M4086" s="352"/>
      <c r="N4086" s="352"/>
      <c r="O4086" s="352"/>
      <c r="P4086" s="352"/>
      <c r="Q4086" s="352"/>
      <c r="R4086" s="352"/>
      <c r="S4086" s="352"/>
      <c r="T4086" s="352"/>
      <c r="U4086" s="352"/>
      <c r="V4086" s="352"/>
      <c r="W4086" s="352"/>
      <c r="X4086" s="352"/>
      <c r="Y4086" s="352"/>
      <c r="Z4086" s="352"/>
      <c r="AA4086" s="352"/>
      <c r="AB4086" s="352"/>
      <c r="AC4086" s="352"/>
      <c r="AD4086" s="352"/>
      <c r="AE4086" s="352"/>
      <c r="AF4086" s="352"/>
      <c r="AG4086" s="352"/>
      <c r="AH4086" s="352"/>
      <c r="AI4086" s="352"/>
      <c r="AJ4086" s="352"/>
    </row>
    <row r="4087" spans="2:36" x14ac:dyDescent="0.2">
      <c r="B4087" s="352"/>
      <c r="C4087" s="352"/>
      <c r="D4087" s="352"/>
      <c r="E4087" s="352"/>
      <c r="F4087" s="352"/>
      <c r="H4087" s="352"/>
      <c r="J4087" s="352"/>
      <c r="L4087" s="352"/>
      <c r="M4087" s="352"/>
      <c r="N4087" s="352"/>
      <c r="O4087" s="352"/>
      <c r="P4087" s="352"/>
      <c r="Q4087" s="352"/>
      <c r="R4087" s="352"/>
      <c r="S4087" s="352"/>
      <c r="T4087" s="352"/>
      <c r="U4087" s="352"/>
      <c r="V4087" s="352"/>
      <c r="W4087" s="352"/>
      <c r="X4087" s="352"/>
      <c r="Y4087" s="352"/>
      <c r="Z4087" s="352"/>
      <c r="AA4087" s="352"/>
      <c r="AB4087" s="352"/>
      <c r="AC4087" s="352"/>
      <c r="AD4087" s="352"/>
      <c r="AE4087" s="352"/>
      <c r="AF4087" s="352"/>
      <c r="AG4087" s="352"/>
      <c r="AH4087" s="352"/>
      <c r="AI4087" s="352"/>
      <c r="AJ4087" s="352"/>
    </row>
    <row r="4088" spans="2:36" x14ac:dyDescent="0.2">
      <c r="B4088" s="352"/>
      <c r="C4088" s="352"/>
      <c r="D4088" s="352"/>
      <c r="E4088" s="352"/>
      <c r="F4088" s="352"/>
      <c r="H4088" s="352"/>
      <c r="J4088" s="352"/>
      <c r="L4088" s="352"/>
      <c r="M4088" s="352"/>
      <c r="N4088" s="352"/>
      <c r="O4088" s="352"/>
      <c r="P4088" s="352"/>
      <c r="Q4088" s="352"/>
      <c r="R4088" s="352"/>
      <c r="S4088" s="352"/>
      <c r="T4088" s="352"/>
      <c r="U4088" s="352"/>
      <c r="V4088" s="352"/>
      <c r="W4088" s="352"/>
      <c r="X4088" s="352"/>
      <c r="Y4088" s="352"/>
      <c r="Z4088" s="352"/>
      <c r="AA4088" s="352"/>
      <c r="AB4088" s="352"/>
      <c r="AC4088" s="352"/>
      <c r="AD4088" s="352"/>
      <c r="AE4088" s="352"/>
      <c r="AF4088" s="352"/>
      <c r="AG4088" s="352"/>
      <c r="AH4088" s="352"/>
      <c r="AI4088" s="352"/>
      <c r="AJ4088" s="352"/>
    </row>
    <row r="4089" spans="2:36" x14ac:dyDescent="0.2">
      <c r="B4089" s="352"/>
      <c r="C4089" s="352"/>
      <c r="D4089" s="352"/>
      <c r="E4089" s="352"/>
      <c r="F4089" s="352"/>
      <c r="H4089" s="352"/>
      <c r="J4089" s="352"/>
      <c r="L4089" s="352"/>
      <c r="M4089" s="352"/>
      <c r="N4089" s="352"/>
      <c r="O4089" s="352"/>
      <c r="P4089" s="352"/>
      <c r="Q4089" s="352"/>
      <c r="R4089" s="352"/>
      <c r="S4089" s="352"/>
      <c r="T4089" s="352"/>
      <c r="U4089" s="352"/>
      <c r="V4089" s="352"/>
      <c r="W4089" s="352"/>
      <c r="X4089" s="352"/>
      <c r="Y4089" s="352"/>
      <c r="Z4089" s="352"/>
      <c r="AA4089" s="352"/>
      <c r="AB4089" s="352"/>
      <c r="AC4089" s="352"/>
      <c r="AD4089" s="352"/>
      <c r="AE4089" s="352"/>
      <c r="AF4089" s="352"/>
      <c r="AG4089" s="352"/>
      <c r="AH4089" s="352"/>
      <c r="AI4089" s="352"/>
      <c r="AJ4089" s="352"/>
    </row>
    <row r="4090" spans="2:36" x14ac:dyDescent="0.2">
      <c r="B4090" s="352"/>
      <c r="C4090" s="352"/>
      <c r="D4090" s="352"/>
      <c r="E4090" s="352"/>
      <c r="F4090" s="352"/>
      <c r="H4090" s="352"/>
      <c r="J4090" s="352"/>
      <c r="L4090" s="352"/>
      <c r="M4090" s="352"/>
      <c r="N4090" s="352"/>
      <c r="O4090" s="352"/>
      <c r="P4090" s="352"/>
      <c r="Q4090" s="352"/>
      <c r="R4090" s="352"/>
      <c r="S4090" s="352"/>
      <c r="T4090" s="352"/>
      <c r="U4090" s="352"/>
      <c r="V4090" s="352"/>
      <c r="W4090" s="352"/>
      <c r="X4090" s="352"/>
      <c r="Y4090" s="352"/>
      <c r="Z4090" s="352"/>
      <c r="AA4090" s="352"/>
      <c r="AB4090" s="352"/>
      <c r="AC4090" s="352"/>
      <c r="AD4090" s="352"/>
      <c r="AE4090" s="352"/>
      <c r="AF4090" s="352"/>
      <c r="AG4090" s="352"/>
      <c r="AH4090" s="352"/>
      <c r="AI4090" s="352"/>
      <c r="AJ4090" s="352"/>
    </row>
    <row r="4091" spans="2:36" x14ac:dyDescent="0.2">
      <c r="B4091" s="352"/>
      <c r="C4091" s="352"/>
      <c r="D4091" s="352"/>
      <c r="E4091" s="352"/>
      <c r="F4091" s="352"/>
      <c r="H4091" s="352"/>
      <c r="J4091" s="352"/>
      <c r="L4091" s="352"/>
      <c r="M4091" s="352"/>
      <c r="N4091" s="352"/>
      <c r="O4091" s="352"/>
      <c r="P4091" s="352"/>
      <c r="Q4091" s="352"/>
      <c r="R4091" s="352"/>
      <c r="S4091" s="352"/>
      <c r="T4091" s="352"/>
      <c r="U4091" s="352"/>
      <c r="V4091" s="352"/>
      <c r="W4091" s="352"/>
      <c r="X4091" s="352"/>
      <c r="Y4091" s="352"/>
      <c r="Z4091" s="352"/>
      <c r="AA4091" s="352"/>
      <c r="AB4091" s="352"/>
      <c r="AC4091" s="352"/>
      <c r="AD4091" s="352"/>
      <c r="AE4091" s="352"/>
      <c r="AF4091" s="352"/>
      <c r="AG4091" s="352"/>
      <c r="AH4091" s="352"/>
      <c r="AI4091" s="352"/>
      <c r="AJ4091" s="352"/>
    </row>
    <row r="4092" spans="2:36" x14ac:dyDescent="0.2">
      <c r="B4092" s="352"/>
      <c r="C4092" s="352"/>
      <c r="D4092" s="352"/>
      <c r="E4092" s="352"/>
      <c r="F4092" s="352"/>
      <c r="H4092" s="352"/>
      <c r="J4092" s="352"/>
      <c r="L4092" s="352"/>
      <c r="M4092" s="352"/>
      <c r="N4092" s="352"/>
      <c r="O4092" s="352"/>
      <c r="P4092" s="352"/>
      <c r="Q4092" s="352"/>
      <c r="R4092" s="352"/>
      <c r="S4092" s="352"/>
      <c r="T4092" s="352"/>
      <c r="U4092" s="352"/>
      <c r="V4092" s="352"/>
      <c r="W4092" s="352"/>
      <c r="X4092" s="352"/>
      <c r="Y4092" s="352"/>
      <c r="Z4092" s="352"/>
      <c r="AA4092" s="352"/>
      <c r="AB4092" s="352"/>
      <c r="AC4092" s="352"/>
      <c r="AD4092" s="352"/>
      <c r="AE4092" s="352"/>
      <c r="AF4092" s="352"/>
      <c r="AG4092" s="352"/>
      <c r="AH4092" s="352"/>
      <c r="AI4092" s="352"/>
      <c r="AJ4092" s="352"/>
    </row>
    <row r="4093" spans="2:36" x14ac:dyDescent="0.2">
      <c r="B4093" s="352"/>
      <c r="C4093" s="352"/>
      <c r="D4093" s="352"/>
      <c r="E4093" s="352"/>
      <c r="F4093" s="352"/>
      <c r="H4093" s="352"/>
      <c r="J4093" s="352"/>
      <c r="L4093" s="352"/>
      <c r="M4093" s="352"/>
      <c r="N4093" s="352"/>
      <c r="O4093" s="352"/>
      <c r="P4093" s="352"/>
      <c r="Q4093" s="352"/>
      <c r="R4093" s="352"/>
      <c r="S4093" s="352"/>
      <c r="T4093" s="352"/>
      <c r="U4093" s="352"/>
      <c r="V4093" s="352"/>
      <c r="W4093" s="352"/>
      <c r="X4093" s="352"/>
      <c r="Y4093" s="352"/>
      <c r="Z4093" s="352"/>
      <c r="AA4093" s="352"/>
      <c r="AB4093" s="352"/>
      <c r="AC4093" s="352"/>
      <c r="AD4093" s="352"/>
      <c r="AE4093" s="352"/>
      <c r="AF4093" s="352"/>
      <c r="AG4093" s="352"/>
      <c r="AH4093" s="352"/>
      <c r="AI4093" s="352"/>
      <c r="AJ4093" s="352"/>
    </row>
    <row r="4094" spans="2:36" x14ac:dyDescent="0.2">
      <c r="B4094" s="352"/>
      <c r="C4094" s="352"/>
      <c r="D4094" s="352"/>
      <c r="E4094" s="352"/>
      <c r="F4094" s="352"/>
      <c r="H4094" s="352"/>
      <c r="J4094" s="352"/>
      <c r="L4094" s="352"/>
      <c r="M4094" s="352"/>
      <c r="N4094" s="352"/>
      <c r="O4094" s="352"/>
      <c r="P4094" s="352"/>
      <c r="Q4094" s="352"/>
      <c r="R4094" s="352"/>
      <c r="S4094" s="352"/>
      <c r="T4094" s="352"/>
      <c r="U4094" s="352"/>
      <c r="V4094" s="352"/>
      <c r="W4094" s="352"/>
      <c r="X4094" s="352"/>
      <c r="Y4094" s="352"/>
      <c r="Z4094" s="352"/>
      <c r="AA4094" s="352"/>
      <c r="AB4094" s="352"/>
      <c r="AC4094" s="352"/>
      <c r="AD4094" s="352"/>
      <c r="AE4094" s="352"/>
      <c r="AF4094" s="352"/>
      <c r="AG4094" s="352"/>
      <c r="AH4094" s="352"/>
      <c r="AI4094" s="352"/>
      <c r="AJ4094" s="352"/>
    </row>
    <row r="4095" spans="2:36" x14ac:dyDescent="0.2">
      <c r="B4095" s="352"/>
      <c r="C4095" s="352"/>
      <c r="D4095" s="352"/>
      <c r="E4095" s="352"/>
      <c r="F4095" s="352"/>
      <c r="H4095" s="352"/>
      <c r="J4095" s="352"/>
      <c r="L4095" s="352"/>
      <c r="M4095" s="352"/>
      <c r="N4095" s="352"/>
      <c r="O4095" s="352"/>
      <c r="P4095" s="352"/>
      <c r="Q4095" s="352"/>
      <c r="R4095" s="352"/>
      <c r="S4095" s="352"/>
      <c r="T4095" s="352"/>
      <c r="U4095" s="352"/>
      <c r="V4095" s="352"/>
      <c r="W4095" s="352"/>
      <c r="X4095" s="352"/>
      <c r="Y4095" s="352"/>
      <c r="Z4095" s="352"/>
      <c r="AA4095" s="352"/>
      <c r="AB4095" s="352"/>
      <c r="AC4095" s="352"/>
      <c r="AD4095" s="352"/>
      <c r="AE4095" s="352"/>
      <c r="AF4095" s="352"/>
      <c r="AG4095" s="352"/>
      <c r="AH4095" s="352"/>
      <c r="AI4095" s="352"/>
      <c r="AJ4095" s="352"/>
    </row>
    <row r="4096" spans="2:36" x14ac:dyDescent="0.2">
      <c r="B4096" s="352"/>
      <c r="C4096" s="352"/>
      <c r="D4096" s="352"/>
      <c r="E4096" s="352"/>
      <c r="F4096" s="352"/>
      <c r="H4096" s="352"/>
      <c r="J4096" s="352"/>
      <c r="L4096" s="352"/>
      <c r="M4096" s="352"/>
      <c r="N4096" s="352"/>
      <c r="O4096" s="352"/>
      <c r="P4096" s="352"/>
      <c r="Q4096" s="352"/>
      <c r="R4096" s="352"/>
      <c r="S4096" s="352"/>
      <c r="T4096" s="352"/>
      <c r="U4096" s="352"/>
      <c r="V4096" s="352"/>
      <c r="W4096" s="352"/>
      <c r="X4096" s="352"/>
      <c r="Y4096" s="352"/>
      <c r="Z4096" s="352"/>
      <c r="AA4096" s="352"/>
      <c r="AB4096" s="352"/>
      <c r="AC4096" s="352"/>
      <c r="AD4096" s="352"/>
      <c r="AE4096" s="352"/>
      <c r="AF4096" s="352"/>
      <c r="AG4096" s="352"/>
      <c r="AH4096" s="352"/>
      <c r="AI4096" s="352"/>
      <c r="AJ4096" s="352"/>
    </row>
    <row r="4097" spans="2:36" x14ac:dyDescent="0.2">
      <c r="B4097" s="352"/>
      <c r="C4097" s="352"/>
      <c r="D4097" s="352"/>
      <c r="E4097" s="352"/>
      <c r="F4097" s="352"/>
      <c r="H4097" s="352"/>
      <c r="J4097" s="352"/>
      <c r="L4097" s="352"/>
      <c r="M4097" s="352"/>
      <c r="N4097" s="352"/>
      <c r="O4097" s="352"/>
      <c r="P4097" s="352"/>
      <c r="Q4097" s="352"/>
      <c r="R4097" s="352"/>
      <c r="S4097" s="352"/>
      <c r="T4097" s="352"/>
      <c r="U4097" s="352"/>
      <c r="V4097" s="352"/>
      <c r="W4097" s="352"/>
      <c r="X4097" s="352"/>
      <c r="Y4097" s="352"/>
      <c r="Z4097" s="352"/>
      <c r="AA4097" s="352"/>
      <c r="AB4097" s="352"/>
      <c r="AC4097" s="352"/>
      <c r="AD4097" s="352"/>
      <c r="AE4097" s="352"/>
      <c r="AF4097" s="352"/>
      <c r="AG4097" s="352"/>
      <c r="AH4097" s="352"/>
      <c r="AI4097" s="352"/>
      <c r="AJ4097" s="352"/>
    </row>
    <row r="4098" spans="2:36" x14ac:dyDescent="0.2">
      <c r="B4098" s="352"/>
      <c r="C4098" s="352"/>
      <c r="D4098" s="352"/>
      <c r="E4098" s="352"/>
      <c r="F4098" s="352"/>
      <c r="H4098" s="352"/>
      <c r="J4098" s="352"/>
      <c r="L4098" s="352"/>
      <c r="M4098" s="352"/>
      <c r="N4098" s="352"/>
      <c r="O4098" s="352"/>
      <c r="P4098" s="352"/>
      <c r="Q4098" s="352"/>
      <c r="R4098" s="352"/>
      <c r="S4098" s="352"/>
      <c r="T4098" s="352"/>
      <c r="U4098" s="352"/>
      <c r="V4098" s="352"/>
      <c r="W4098" s="352"/>
      <c r="X4098" s="352"/>
      <c r="Y4098" s="352"/>
      <c r="Z4098" s="352"/>
      <c r="AA4098" s="352"/>
      <c r="AB4098" s="352"/>
      <c r="AC4098" s="352"/>
      <c r="AD4098" s="352"/>
      <c r="AE4098" s="352"/>
      <c r="AF4098" s="352"/>
      <c r="AG4098" s="352"/>
      <c r="AH4098" s="352"/>
      <c r="AI4098" s="352"/>
      <c r="AJ4098" s="352"/>
    </row>
    <row r="4099" spans="2:36" x14ac:dyDescent="0.2">
      <c r="B4099" s="352"/>
      <c r="C4099" s="352"/>
      <c r="D4099" s="352"/>
      <c r="E4099" s="352"/>
      <c r="F4099" s="352"/>
      <c r="H4099" s="352"/>
      <c r="J4099" s="352"/>
      <c r="L4099" s="352"/>
      <c r="M4099" s="352"/>
      <c r="N4099" s="352"/>
      <c r="O4099" s="352"/>
      <c r="P4099" s="352"/>
      <c r="Q4099" s="352"/>
      <c r="R4099" s="352"/>
      <c r="S4099" s="352"/>
      <c r="T4099" s="352"/>
      <c r="U4099" s="352"/>
      <c r="V4099" s="352"/>
      <c r="W4099" s="352"/>
      <c r="X4099" s="352"/>
      <c r="Y4099" s="352"/>
      <c r="Z4099" s="352"/>
      <c r="AA4099" s="352"/>
      <c r="AB4099" s="352"/>
      <c r="AC4099" s="352"/>
      <c r="AD4099" s="352"/>
      <c r="AE4099" s="352"/>
      <c r="AF4099" s="352"/>
      <c r="AG4099" s="352"/>
      <c r="AH4099" s="352"/>
      <c r="AI4099" s="352"/>
      <c r="AJ4099" s="352"/>
    </row>
    <row r="4100" spans="2:36" x14ac:dyDescent="0.2">
      <c r="B4100" s="352"/>
      <c r="C4100" s="352"/>
      <c r="D4100" s="352"/>
      <c r="E4100" s="352"/>
      <c r="F4100" s="352"/>
      <c r="H4100" s="352"/>
      <c r="J4100" s="352"/>
      <c r="L4100" s="352"/>
      <c r="M4100" s="352"/>
      <c r="N4100" s="352"/>
      <c r="O4100" s="352"/>
      <c r="P4100" s="352"/>
      <c r="Q4100" s="352"/>
      <c r="R4100" s="352"/>
      <c r="S4100" s="352"/>
      <c r="T4100" s="352"/>
      <c r="U4100" s="352"/>
      <c r="V4100" s="352"/>
      <c r="W4100" s="352"/>
      <c r="X4100" s="352"/>
      <c r="Y4100" s="352"/>
      <c r="Z4100" s="352"/>
      <c r="AA4100" s="352"/>
      <c r="AB4100" s="352"/>
      <c r="AC4100" s="352"/>
      <c r="AD4100" s="352"/>
      <c r="AE4100" s="352"/>
      <c r="AF4100" s="352"/>
      <c r="AG4100" s="352"/>
      <c r="AH4100" s="352"/>
      <c r="AI4100" s="352"/>
      <c r="AJ4100" s="352"/>
    </row>
    <row r="4101" spans="2:36" x14ac:dyDescent="0.2">
      <c r="B4101" s="352"/>
      <c r="C4101" s="352"/>
      <c r="D4101" s="352"/>
      <c r="E4101" s="352"/>
      <c r="F4101" s="352"/>
      <c r="H4101" s="352"/>
      <c r="J4101" s="352"/>
      <c r="L4101" s="352"/>
      <c r="M4101" s="352"/>
      <c r="N4101" s="352"/>
      <c r="O4101" s="352"/>
      <c r="P4101" s="352"/>
      <c r="Q4101" s="352"/>
      <c r="R4101" s="352"/>
      <c r="S4101" s="352"/>
      <c r="T4101" s="352"/>
      <c r="U4101" s="352"/>
      <c r="V4101" s="352"/>
      <c r="W4101" s="352"/>
      <c r="X4101" s="352"/>
      <c r="Y4101" s="352"/>
      <c r="Z4101" s="352"/>
      <c r="AA4101" s="352"/>
      <c r="AB4101" s="352"/>
      <c r="AC4101" s="352"/>
      <c r="AD4101" s="352"/>
      <c r="AE4101" s="352"/>
      <c r="AF4101" s="352"/>
      <c r="AG4101" s="352"/>
      <c r="AH4101" s="352"/>
      <c r="AI4101" s="352"/>
      <c r="AJ4101" s="352"/>
    </row>
    <row r="4102" spans="2:36" x14ac:dyDescent="0.2">
      <c r="B4102" s="352"/>
      <c r="C4102" s="352"/>
      <c r="D4102" s="352"/>
      <c r="E4102" s="352"/>
      <c r="F4102" s="352"/>
      <c r="H4102" s="352"/>
      <c r="J4102" s="352"/>
      <c r="L4102" s="352"/>
      <c r="M4102" s="352"/>
      <c r="N4102" s="352"/>
      <c r="O4102" s="352"/>
      <c r="P4102" s="352"/>
      <c r="Q4102" s="352"/>
      <c r="R4102" s="352"/>
      <c r="S4102" s="352"/>
      <c r="T4102" s="352"/>
      <c r="U4102" s="352"/>
      <c r="V4102" s="352"/>
      <c r="W4102" s="352"/>
      <c r="X4102" s="352"/>
      <c r="Y4102" s="352"/>
      <c r="Z4102" s="352"/>
      <c r="AA4102" s="352"/>
      <c r="AB4102" s="352"/>
      <c r="AC4102" s="352"/>
      <c r="AD4102" s="352"/>
      <c r="AE4102" s="352"/>
      <c r="AF4102" s="352"/>
      <c r="AG4102" s="352"/>
      <c r="AH4102" s="352"/>
      <c r="AI4102" s="352"/>
      <c r="AJ4102" s="352"/>
    </row>
    <row r="4103" spans="2:36" x14ac:dyDescent="0.2">
      <c r="B4103" s="352"/>
      <c r="C4103" s="352"/>
      <c r="D4103" s="352"/>
      <c r="E4103" s="352"/>
      <c r="F4103" s="352"/>
      <c r="H4103" s="352"/>
      <c r="J4103" s="352"/>
      <c r="L4103" s="352"/>
      <c r="M4103" s="352"/>
      <c r="N4103" s="352"/>
      <c r="O4103" s="352"/>
      <c r="P4103" s="352"/>
      <c r="Q4103" s="352"/>
      <c r="R4103" s="352"/>
      <c r="S4103" s="352"/>
      <c r="T4103" s="352"/>
      <c r="U4103" s="352"/>
      <c r="V4103" s="352"/>
      <c r="W4103" s="352"/>
      <c r="X4103" s="352"/>
      <c r="Y4103" s="352"/>
      <c r="Z4103" s="352"/>
      <c r="AA4103" s="352"/>
      <c r="AB4103" s="352"/>
      <c r="AC4103" s="352"/>
      <c r="AD4103" s="352"/>
      <c r="AE4103" s="352"/>
      <c r="AF4103" s="352"/>
      <c r="AG4103" s="352"/>
      <c r="AH4103" s="352"/>
      <c r="AI4103" s="352"/>
      <c r="AJ4103" s="352"/>
    </row>
    <row r="4104" spans="2:36" x14ac:dyDescent="0.2">
      <c r="B4104" s="352"/>
      <c r="C4104" s="352"/>
      <c r="D4104" s="352"/>
      <c r="E4104" s="352"/>
      <c r="F4104" s="352"/>
      <c r="H4104" s="352"/>
      <c r="J4104" s="352"/>
      <c r="L4104" s="352"/>
      <c r="M4104" s="352"/>
      <c r="N4104" s="352"/>
      <c r="O4104" s="352"/>
      <c r="P4104" s="352"/>
      <c r="Q4104" s="352"/>
      <c r="R4104" s="352"/>
      <c r="S4104" s="352"/>
      <c r="T4104" s="352"/>
      <c r="U4104" s="352"/>
      <c r="V4104" s="352"/>
      <c r="W4104" s="352"/>
      <c r="X4104" s="352"/>
      <c r="Y4104" s="352"/>
      <c r="Z4104" s="352"/>
      <c r="AA4104" s="352"/>
      <c r="AB4104" s="352"/>
      <c r="AC4104" s="352"/>
      <c r="AD4104" s="352"/>
      <c r="AE4104" s="352"/>
      <c r="AF4104" s="352"/>
      <c r="AG4104" s="352"/>
      <c r="AH4104" s="352"/>
      <c r="AI4104" s="352"/>
      <c r="AJ4104" s="352"/>
    </row>
    <row r="4105" spans="2:36" x14ac:dyDescent="0.2">
      <c r="B4105" s="352"/>
      <c r="C4105" s="352"/>
      <c r="D4105" s="352"/>
      <c r="E4105" s="352"/>
      <c r="F4105" s="352"/>
      <c r="H4105" s="352"/>
      <c r="J4105" s="352"/>
      <c r="L4105" s="352"/>
      <c r="M4105" s="352"/>
      <c r="N4105" s="352"/>
      <c r="O4105" s="352"/>
      <c r="P4105" s="352"/>
      <c r="Q4105" s="352"/>
      <c r="R4105" s="352"/>
      <c r="S4105" s="352"/>
      <c r="T4105" s="352"/>
      <c r="U4105" s="352"/>
      <c r="V4105" s="352"/>
      <c r="W4105" s="352"/>
      <c r="X4105" s="352"/>
      <c r="Y4105" s="352"/>
      <c r="Z4105" s="352"/>
      <c r="AA4105" s="352"/>
      <c r="AB4105" s="352"/>
      <c r="AC4105" s="352"/>
      <c r="AD4105" s="352"/>
      <c r="AE4105" s="352"/>
      <c r="AF4105" s="352"/>
      <c r="AG4105" s="352"/>
      <c r="AH4105" s="352"/>
      <c r="AI4105" s="352"/>
      <c r="AJ4105" s="352"/>
    </row>
    <row r="4106" spans="2:36" x14ac:dyDescent="0.2">
      <c r="B4106" s="352"/>
      <c r="C4106" s="352"/>
      <c r="D4106" s="352"/>
      <c r="E4106" s="352"/>
      <c r="F4106" s="352"/>
      <c r="H4106" s="352"/>
      <c r="J4106" s="352"/>
      <c r="L4106" s="352"/>
      <c r="M4106" s="352"/>
      <c r="N4106" s="352"/>
      <c r="O4106" s="352"/>
      <c r="P4106" s="352"/>
      <c r="Q4106" s="352"/>
      <c r="R4106" s="352"/>
      <c r="S4106" s="352"/>
      <c r="T4106" s="352"/>
      <c r="U4106" s="352"/>
      <c r="V4106" s="352"/>
      <c r="W4106" s="352"/>
      <c r="X4106" s="352"/>
      <c r="Y4106" s="352"/>
      <c r="Z4106" s="352"/>
      <c r="AA4106" s="352"/>
      <c r="AB4106" s="352"/>
      <c r="AC4106" s="352"/>
      <c r="AD4106" s="352"/>
      <c r="AE4106" s="352"/>
      <c r="AF4106" s="352"/>
      <c r="AG4106" s="352"/>
      <c r="AH4106" s="352"/>
      <c r="AI4106" s="352"/>
      <c r="AJ4106" s="352"/>
    </row>
    <row r="4107" spans="2:36" x14ac:dyDescent="0.2">
      <c r="B4107" s="352"/>
      <c r="C4107" s="352"/>
      <c r="D4107" s="352"/>
      <c r="E4107" s="352"/>
      <c r="F4107" s="352"/>
      <c r="H4107" s="352"/>
      <c r="J4107" s="352"/>
      <c r="L4107" s="352"/>
      <c r="M4107" s="352"/>
      <c r="N4107" s="352"/>
      <c r="O4107" s="352"/>
      <c r="P4107" s="352"/>
      <c r="Q4107" s="352"/>
      <c r="R4107" s="352"/>
      <c r="S4107" s="352"/>
      <c r="T4107" s="352"/>
      <c r="U4107" s="352"/>
      <c r="V4107" s="352"/>
      <c r="W4107" s="352"/>
      <c r="X4107" s="352"/>
      <c r="Y4107" s="352"/>
      <c r="Z4107" s="352"/>
      <c r="AA4107" s="352"/>
      <c r="AB4107" s="352"/>
      <c r="AC4107" s="352"/>
      <c r="AD4107" s="352"/>
      <c r="AE4107" s="352"/>
      <c r="AF4107" s="352"/>
      <c r="AG4107" s="352"/>
      <c r="AH4107" s="352"/>
      <c r="AI4107" s="352"/>
      <c r="AJ4107" s="352"/>
    </row>
    <row r="4108" spans="2:36" x14ac:dyDescent="0.2">
      <c r="B4108" s="352"/>
      <c r="C4108" s="352"/>
      <c r="D4108" s="352"/>
      <c r="E4108" s="352"/>
      <c r="F4108" s="352"/>
      <c r="H4108" s="352"/>
      <c r="J4108" s="352"/>
      <c r="L4108" s="352"/>
      <c r="M4108" s="352"/>
      <c r="N4108" s="352"/>
      <c r="O4108" s="352"/>
      <c r="P4108" s="352"/>
      <c r="Q4108" s="352"/>
      <c r="R4108" s="352"/>
      <c r="S4108" s="352"/>
      <c r="T4108" s="352"/>
      <c r="U4108" s="352"/>
      <c r="V4108" s="352"/>
      <c r="W4108" s="352"/>
      <c r="X4108" s="352"/>
      <c r="Y4108" s="352"/>
      <c r="Z4108" s="352"/>
      <c r="AA4108" s="352"/>
      <c r="AB4108" s="352"/>
      <c r="AC4108" s="352"/>
      <c r="AD4108" s="352"/>
      <c r="AE4108" s="352"/>
      <c r="AF4108" s="352"/>
      <c r="AG4108" s="352"/>
      <c r="AH4108" s="352"/>
      <c r="AI4108" s="352"/>
      <c r="AJ4108" s="352"/>
    </row>
    <row r="4109" spans="2:36" x14ac:dyDescent="0.2">
      <c r="B4109" s="352"/>
      <c r="C4109" s="352"/>
      <c r="D4109" s="352"/>
      <c r="E4109" s="352"/>
      <c r="F4109" s="352"/>
      <c r="H4109" s="352"/>
      <c r="J4109" s="352"/>
      <c r="L4109" s="352"/>
      <c r="M4109" s="352"/>
      <c r="N4109" s="352"/>
      <c r="O4109" s="352"/>
      <c r="P4109" s="352"/>
      <c r="Q4109" s="352"/>
      <c r="R4109" s="352"/>
      <c r="S4109" s="352"/>
      <c r="T4109" s="352"/>
      <c r="U4109" s="352"/>
      <c r="V4109" s="352"/>
      <c r="W4109" s="352"/>
      <c r="X4109" s="352"/>
      <c r="Y4109" s="352"/>
      <c r="Z4109" s="352"/>
      <c r="AA4109" s="352"/>
      <c r="AB4109" s="352"/>
      <c r="AC4109" s="352"/>
      <c r="AD4109" s="352"/>
      <c r="AE4109" s="352"/>
      <c r="AF4109" s="352"/>
      <c r="AG4109" s="352"/>
      <c r="AH4109" s="352"/>
      <c r="AI4109" s="352"/>
      <c r="AJ4109" s="352"/>
    </row>
    <row r="4110" spans="2:36" x14ac:dyDescent="0.2">
      <c r="B4110" s="352"/>
      <c r="C4110" s="352"/>
      <c r="D4110" s="352"/>
      <c r="E4110" s="352"/>
      <c r="F4110" s="352"/>
      <c r="H4110" s="352"/>
      <c r="J4110" s="352"/>
      <c r="L4110" s="352"/>
      <c r="M4110" s="352"/>
      <c r="N4110" s="352"/>
      <c r="O4110" s="352"/>
      <c r="P4110" s="352"/>
      <c r="Q4110" s="352"/>
      <c r="R4110" s="352"/>
      <c r="S4110" s="352"/>
      <c r="T4110" s="352"/>
      <c r="U4110" s="352"/>
      <c r="V4110" s="352"/>
      <c r="W4110" s="352"/>
      <c r="X4110" s="352"/>
      <c r="Y4110" s="352"/>
      <c r="Z4110" s="352"/>
      <c r="AA4110" s="352"/>
      <c r="AB4110" s="352"/>
      <c r="AC4110" s="352"/>
      <c r="AD4110" s="352"/>
      <c r="AE4110" s="352"/>
      <c r="AF4110" s="352"/>
      <c r="AG4110" s="352"/>
      <c r="AH4110" s="352"/>
      <c r="AI4110" s="352"/>
      <c r="AJ4110" s="352"/>
    </row>
    <row r="4111" spans="2:36" x14ac:dyDescent="0.2">
      <c r="B4111" s="352"/>
      <c r="C4111" s="352"/>
      <c r="D4111" s="352"/>
      <c r="E4111" s="352"/>
      <c r="F4111" s="352"/>
      <c r="H4111" s="352"/>
      <c r="J4111" s="352"/>
      <c r="L4111" s="352"/>
      <c r="M4111" s="352"/>
      <c r="N4111" s="352"/>
      <c r="O4111" s="352"/>
      <c r="P4111" s="352"/>
      <c r="Q4111" s="352"/>
      <c r="R4111" s="352"/>
      <c r="S4111" s="352"/>
      <c r="T4111" s="352"/>
      <c r="U4111" s="352"/>
      <c r="V4111" s="352"/>
      <c r="W4111" s="352"/>
      <c r="X4111" s="352"/>
      <c r="Y4111" s="352"/>
      <c r="Z4111" s="352"/>
      <c r="AA4111" s="352"/>
      <c r="AB4111" s="352"/>
      <c r="AC4111" s="352"/>
      <c r="AD4111" s="352"/>
      <c r="AE4111" s="352"/>
      <c r="AF4111" s="352"/>
      <c r="AG4111" s="352"/>
      <c r="AH4111" s="352"/>
      <c r="AI4111" s="352"/>
      <c r="AJ4111" s="352"/>
    </row>
    <row r="4112" spans="2:36" x14ac:dyDescent="0.2">
      <c r="B4112" s="352"/>
      <c r="C4112" s="352"/>
      <c r="D4112" s="352"/>
      <c r="E4112" s="352"/>
      <c r="F4112" s="352"/>
      <c r="H4112" s="352"/>
      <c r="J4112" s="352"/>
      <c r="L4112" s="352"/>
      <c r="M4112" s="352"/>
      <c r="N4112" s="352"/>
      <c r="O4112" s="352"/>
      <c r="P4112" s="352"/>
      <c r="Q4112" s="352"/>
      <c r="R4112" s="352"/>
      <c r="S4112" s="352"/>
      <c r="T4112" s="352"/>
      <c r="U4112" s="352"/>
      <c r="V4112" s="352"/>
      <c r="W4112" s="352"/>
      <c r="X4112" s="352"/>
      <c r="Y4112" s="352"/>
      <c r="Z4112" s="352"/>
      <c r="AA4112" s="352"/>
      <c r="AB4112" s="352"/>
      <c r="AC4112" s="352"/>
      <c r="AD4112" s="352"/>
      <c r="AE4112" s="352"/>
      <c r="AF4112" s="352"/>
      <c r="AG4112" s="352"/>
      <c r="AH4112" s="352"/>
      <c r="AI4112" s="352"/>
      <c r="AJ4112" s="352"/>
    </row>
    <row r="4113" spans="2:36" x14ac:dyDescent="0.2">
      <c r="B4113" s="352"/>
      <c r="C4113" s="352"/>
      <c r="D4113" s="352"/>
      <c r="E4113" s="352"/>
      <c r="F4113" s="352"/>
      <c r="H4113" s="352"/>
      <c r="J4113" s="352"/>
      <c r="L4113" s="352"/>
      <c r="M4113" s="352"/>
      <c r="N4113" s="352"/>
      <c r="O4113" s="352"/>
      <c r="P4113" s="352"/>
      <c r="Q4113" s="352"/>
      <c r="R4113" s="352"/>
      <c r="S4113" s="352"/>
      <c r="T4113" s="352"/>
      <c r="U4113" s="352"/>
      <c r="V4113" s="352"/>
      <c r="W4113" s="352"/>
      <c r="X4113" s="352"/>
      <c r="Y4113" s="352"/>
      <c r="Z4113" s="352"/>
      <c r="AA4113" s="352"/>
      <c r="AB4113" s="352"/>
      <c r="AC4113" s="352"/>
      <c r="AD4113" s="352"/>
      <c r="AE4113" s="352"/>
      <c r="AF4113" s="352"/>
      <c r="AG4113" s="352"/>
      <c r="AH4113" s="352"/>
      <c r="AI4113" s="352"/>
      <c r="AJ4113" s="352"/>
    </row>
    <row r="4114" spans="2:36" x14ac:dyDescent="0.2">
      <c r="B4114" s="352"/>
      <c r="C4114" s="352"/>
      <c r="D4114" s="352"/>
      <c r="E4114" s="352"/>
      <c r="F4114" s="352"/>
      <c r="H4114" s="352"/>
      <c r="J4114" s="352"/>
      <c r="L4114" s="352"/>
      <c r="M4114" s="352"/>
      <c r="N4114" s="352"/>
      <c r="O4114" s="352"/>
      <c r="P4114" s="352"/>
      <c r="Q4114" s="352"/>
      <c r="R4114" s="352"/>
      <c r="S4114" s="352"/>
      <c r="T4114" s="352"/>
      <c r="U4114" s="352"/>
      <c r="V4114" s="352"/>
      <c r="W4114" s="352"/>
      <c r="X4114" s="352"/>
      <c r="Y4114" s="352"/>
      <c r="Z4114" s="352"/>
      <c r="AA4114" s="352"/>
      <c r="AB4114" s="352"/>
      <c r="AC4114" s="352"/>
      <c r="AD4114" s="352"/>
      <c r="AE4114" s="352"/>
      <c r="AF4114" s="352"/>
      <c r="AG4114" s="352"/>
      <c r="AH4114" s="352"/>
      <c r="AI4114" s="352"/>
      <c r="AJ4114" s="352"/>
    </row>
    <row r="4115" spans="2:36" x14ac:dyDescent="0.2">
      <c r="B4115" s="352"/>
      <c r="C4115" s="352"/>
      <c r="D4115" s="352"/>
      <c r="E4115" s="352"/>
      <c r="F4115" s="352"/>
      <c r="H4115" s="352"/>
      <c r="J4115" s="352"/>
      <c r="L4115" s="352"/>
      <c r="M4115" s="352"/>
      <c r="N4115" s="352"/>
      <c r="O4115" s="352"/>
      <c r="P4115" s="352"/>
      <c r="Q4115" s="352"/>
      <c r="R4115" s="352"/>
      <c r="S4115" s="352"/>
      <c r="T4115" s="352"/>
      <c r="U4115" s="352"/>
      <c r="V4115" s="352"/>
      <c r="W4115" s="352"/>
      <c r="X4115" s="352"/>
      <c r="Y4115" s="352"/>
      <c r="Z4115" s="352"/>
      <c r="AA4115" s="352"/>
      <c r="AB4115" s="352"/>
      <c r="AC4115" s="352"/>
      <c r="AD4115" s="352"/>
      <c r="AE4115" s="352"/>
      <c r="AF4115" s="352"/>
      <c r="AG4115" s="352"/>
      <c r="AH4115" s="352"/>
      <c r="AI4115" s="352"/>
      <c r="AJ4115" s="352"/>
    </row>
    <row r="4116" spans="2:36" x14ac:dyDescent="0.2">
      <c r="B4116" s="352"/>
      <c r="C4116" s="352"/>
      <c r="D4116" s="352"/>
      <c r="E4116" s="352"/>
      <c r="F4116" s="352"/>
      <c r="H4116" s="352"/>
      <c r="J4116" s="352"/>
      <c r="L4116" s="352"/>
      <c r="M4116" s="352"/>
      <c r="N4116" s="352"/>
      <c r="O4116" s="352"/>
      <c r="P4116" s="352"/>
      <c r="Q4116" s="352"/>
      <c r="R4116" s="352"/>
      <c r="S4116" s="352"/>
      <c r="T4116" s="352"/>
      <c r="U4116" s="352"/>
      <c r="V4116" s="352"/>
      <c r="W4116" s="352"/>
      <c r="X4116" s="352"/>
      <c r="Y4116" s="352"/>
      <c r="Z4116" s="352"/>
      <c r="AA4116" s="352"/>
      <c r="AB4116" s="352"/>
      <c r="AC4116" s="352"/>
      <c r="AD4116" s="352"/>
      <c r="AE4116" s="352"/>
      <c r="AF4116" s="352"/>
      <c r="AG4116" s="352"/>
      <c r="AH4116" s="352"/>
      <c r="AI4116" s="352"/>
      <c r="AJ4116" s="352"/>
    </row>
    <row r="4117" spans="2:36" x14ac:dyDescent="0.2">
      <c r="B4117" s="352"/>
      <c r="C4117" s="352"/>
      <c r="D4117" s="352"/>
      <c r="E4117" s="352"/>
      <c r="F4117" s="352"/>
      <c r="H4117" s="352"/>
      <c r="J4117" s="352"/>
      <c r="L4117" s="352"/>
      <c r="M4117" s="352"/>
      <c r="N4117" s="352"/>
      <c r="O4117" s="352"/>
      <c r="P4117" s="352"/>
      <c r="Q4117" s="352"/>
      <c r="R4117" s="352"/>
      <c r="S4117" s="352"/>
      <c r="T4117" s="352"/>
      <c r="U4117" s="352"/>
      <c r="V4117" s="352"/>
      <c r="W4117" s="352"/>
      <c r="X4117" s="352"/>
      <c r="Y4117" s="352"/>
      <c r="Z4117" s="352"/>
      <c r="AA4117" s="352"/>
      <c r="AB4117" s="352"/>
      <c r="AC4117" s="352"/>
      <c r="AD4117" s="352"/>
      <c r="AE4117" s="352"/>
      <c r="AF4117" s="352"/>
      <c r="AG4117" s="352"/>
      <c r="AH4117" s="352"/>
      <c r="AI4117" s="352"/>
      <c r="AJ4117" s="352"/>
    </row>
    <row r="4118" spans="2:36" x14ac:dyDescent="0.2">
      <c r="B4118" s="352"/>
      <c r="C4118" s="352"/>
      <c r="D4118" s="352"/>
      <c r="E4118" s="352"/>
      <c r="F4118" s="352"/>
      <c r="H4118" s="352"/>
      <c r="J4118" s="352"/>
      <c r="L4118" s="352"/>
      <c r="M4118" s="352"/>
      <c r="N4118" s="352"/>
      <c r="O4118" s="352"/>
      <c r="P4118" s="352"/>
      <c r="Q4118" s="352"/>
      <c r="R4118" s="352"/>
      <c r="S4118" s="352"/>
      <c r="T4118" s="352"/>
      <c r="U4118" s="352"/>
      <c r="V4118" s="352"/>
      <c r="W4118" s="352"/>
      <c r="X4118" s="352"/>
      <c r="Y4118" s="352"/>
      <c r="Z4118" s="352"/>
      <c r="AA4118" s="352"/>
      <c r="AB4118" s="352"/>
      <c r="AC4118" s="352"/>
      <c r="AD4118" s="352"/>
      <c r="AE4118" s="352"/>
      <c r="AF4118" s="352"/>
      <c r="AG4118" s="352"/>
      <c r="AH4118" s="352"/>
      <c r="AI4118" s="352"/>
      <c r="AJ4118" s="352"/>
    </row>
    <row r="4119" spans="2:36" x14ac:dyDescent="0.2">
      <c r="B4119" s="352"/>
      <c r="C4119" s="352"/>
      <c r="D4119" s="352"/>
      <c r="E4119" s="352"/>
      <c r="F4119" s="352"/>
      <c r="H4119" s="352"/>
      <c r="J4119" s="352"/>
      <c r="L4119" s="352"/>
      <c r="M4119" s="352"/>
      <c r="N4119" s="352"/>
      <c r="O4119" s="352"/>
      <c r="P4119" s="352"/>
      <c r="Q4119" s="352"/>
      <c r="R4119" s="352"/>
      <c r="S4119" s="352"/>
      <c r="T4119" s="352"/>
      <c r="U4119" s="352"/>
      <c r="V4119" s="352"/>
      <c r="W4119" s="352"/>
      <c r="X4119" s="352"/>
      <c r="Y4119" s="352"/>
      <c r="Z4119" s="352"/>
      <c r="AA4119" s="352"/>
      <c r="AB4119" s="352"/>
      <c r="AC4119" s="352"/>
      <c r="AD4119" s="352"/>
      <c r="AE4119" s="352"/>
      <c r="AF4119" s="352"/>
      <c r="AG4119" s="352"/>
      <c r="AH4119" s="352"/>
      <c r="AI4119" s="352"/>
      <c r="AJ4119" s="352"/>
    </row>
    <row r="4120" spans="2:36" x14ac:dyDescent="0.2">
      <c r="B4120" s="352"/>
      <c r="C4120" s="352"/>
      <c r="D4120" s="352"/>
      <c r="E4120" s="352"/>
      <c r="F4120" s="352"/>
      <c r="H4120" s="352"/>
      <c r="J4120" s="352"/>
      <c r="L4120" s="352"/>
      <c r="M4120" s="352"/>
      <c r="N4120" s="352"/>
      <c r="O4120" s="352"/>
      <c r="P4120" s="352"/>
      <c r="Q4120" s="352"/>
      <c r="R4120" s="352"/>
      <c r="S4120" s="352"/>
      <c r="T4120" s="352"/>
      <c r="U4120" s="352"/>
      <c r="V4120" s="352"/>
      <c r="W4120" s="352"/>
      <c r="X4120" s="352"/>
      <c r="Y4120" s="352"/>
      <c r="Z4120" s="352"/>
      <c r="AA4120" s="352"/>
      <c r="AB4120" s="352"/>
      <c r="AC4120" s="352"/>
      <c r="AD4120" s="352"/>
      <c r="AE4120" s="352"/>
      <c r="AF4120" s="352"/>
      <c r="AG4120" s="352"/>
      <c r="AH4120" s="352"/>
      <c r="AI4120" s="352"/>
      <c r="AJ4120" s="352"/>
    </row>
    <row r="4121" spans="2:36" x14ac:dyDescent="0.2">
      <c r="B4121" s="352"/>
      <c r="C4121" s="352"/>
      <c r="D4121" s="352"/>
      <c r="E4121" s="352"/>
      <c r="F4121" s="352"/>
      <c r="H4121" s="352"/>
      <c r="J4121" s="352"/>
      <c r="L4121" s="352"/>
      <c r="M4121" s="352"/>
      <c r="N4121" s="352"/>
      <c r="O4121" s="352"/>
      <c r="P4121" s="352"/>
      <c r="Q4121" s="352"/>
      <c r="R4121" s="352"/>
      <c r="S4121" s="352"/>
      <c r="T4121" s="352"/>
      <c r="U4121" s="352"/>
      <c r="V4121" s="352"/>
      <c r="W4121" s="352"/>
      <c r="X4121" s="352"/>
      <c r="Y4121" s="352"/>
      <c r="Z4121" s="352"/>
      <c r="AA4121" s="352"/>
      <c r="AB4121" s="352"/>
      <c r="AC4121" s="352"/>
      <c r="AD4121" s="352"/>
      <c r="AE4121" s="352"/>
      <c r="AF4121" s="352"/>
      <c r="AG4121" s="352"/>
      <c r="AH4121" s="352"/>
      <c r="AI4121" s="352"/>
      <c r="AJ4121" s="352"/>
    </row>
    <row r="4122" spans="2:36" x14ac:dyDescent="0.2">
      <c r="B4122" s="352"/>
      <c r="C4122" s="352"/>
      <c r="D4122" s="352"/>
      <c r="E4122" s="352"/>
      <c r="F4122" s="352"/>
      <c r="H4122" s="352"/>
      <c r="J4122" s="352"/>
      <c r="L4122" s="352"/>
      <c r="M4122" s="352"/>
      <c r="N4122" s="352"/>
      <c r="O4122" s="352"/>
      <c r="P4122" s="352"/>
      <c r="Q4122" s="352"/>
      <c r="R4122" s="352"/>
      <c r="S4122" s="352"/>
      <c r="T4122" s="352"/>
      <c r="U4122" s="352"/>
      <c r="V4122" s="352"/>
      <c r="W4122" s="352"/>
      <c r="X4122" s="352"/>
      <c r="Y4122" s="352"/>
      <c r="Z4122" s="352"/>
      <c r="AA4122" s="352"/>
      <c r="AB4122" s="352"/>
      <c r="AC4122" s="352"/>
      <c r="AD4122" s="352"/>
      <c r="AE4122" s="352"/>
      <c r="AF4122" s="352"/>
      <c r="AG4122" s="352"/>
      <c r="AH4122" s="352"/>
      <c r="AI4122" s="352"/>
      <c r="AJ4122" s="352"/>
    </row>
    <row r="4123" spans="2:36" x14ac:dyDescent="0.2">
      <c r="B4123" s="352"/>
      <c r="C4123" s="352"/>
      <c r="D4123" s="352"/>
      <c r="E4123" s="352"/>
      <c r="F4123" s="352"/>
      <c r="H4123" s="352"/>
      <c r="J4123" s="352"/>
      <c r="L4123" s="352"/>
      <c r="M4123" s="352"/>
      <c r="N4123" s="352"/>
      <c r="O4123" s="352"/>
      <c r="P4123" s="352"/>
      <c r="Q4123" s="352"/>
      <c r="R4123" s="352"/>
      <c r="S4123" s="352"/>
      <c r="T4123" s="352"/>
      <c r="U4123" s="352"/>
      <c r="V4123" s="352"/>
      <c r="W4123" s="352"/>
      <c r="X4123" s="352"/>
      <c r="Y4123" s="352"/>
      <c r="Z4123" s="352"/>
      <c r="AA4123" s="352"/>
      <c r="AB4123" s="352"/>
      <c r="AC4123" s="352"/>
      <c r="AD4123" s="352"/>
      <c r="AE4123" s="352"/>
      <c r="AF4123" s="352"/>
      <c r="AG4123" s="352"/>
      <c r="AH4123" s="352"/>
      <c r="AI4123" s="352"/>
      <c r="AJ4123" s="352"/>
    </row>
    <row r="4124" spans="2:36" x14ac:dyDescent="0.2">
      <c r="B4124" s="352"/>
      <c r="C4124" s="352"/>
      <c r="D4124" s="352"/>
      <c r="E4124" s="352"/>
      <c r="F4124" s="352"/>
      <c r="H4124" s="352"/>
      <c r="J4124" s="352"/>
      <c r="L4124" s="352"/>
      <c r="M4124" s="352"/>
      <c r="N4124" s="352"/>
      <c r="O4124" s="352"/>
      <c r="P4124" s="352"/>
      <c r="Q4124" s="352"/>
      <c r="R4124" s="352"/>
      <c r="S4124" s="352"/>
      <c r="T4124" s="352"/>
      <c r="U4124" s="352"/>
      <c r="V4124" s="352"/>
      <c r="W4124" s="352"/>
      <c r="X4124" s="352"/>
      <c r="Y4124" s="352"/>
      <c r="Z4124" s="352"/>
      <c r="AA4124" s="352"/>
      <c r="AB4124" s="352"/>
      <c r="AC4124" s="352"/>
      <c r="AD4124" s="352"/>
      <c r="AE4124" s="352"/>
      <c r="AF4124" s="352"/>
      <c r="AG4124" s="352"/>
      <c r="AH4124" s="352"/>
      <c r="AI4124" s="352"/>
      <c r="AJ4124" s="352"/>
    </row>
    <row r="4125" spans="2:36" x14ac:dyDescent="0.2">
      <c r="B4125" s="352"/>
      <c r="C4125" s="352"/>
      <c r="D4125" s="352"/>
      <c r="E4125" s="352"/>
      <c r="F4125" s="352"/>
      <c r="H4125" s="352"/>
      <c r="J4125" s="352"/>
      <c r="L4125" s="352"/>
      <c r="M4125" s="352"/>
      <c r="N4125" s="352"/>
      <c r="O4125" s="352"/>
      <c r="P4125" s="352"/>
      <c r="Q4125" s="352"/>
      <c r="R4125" s="352"/>
      <c r="S4125" s="352"/>
      <c r="T4125" s="352"/>
      <c r="U4125" s="352"/>
      <c r="V4125" s="352"/>
      <c r="W4125" s="352"/>
      <c r="X4125" s="352"/>
      <c r="Y4125" s="352"/>
      <c r="Z4125" s="352"/>
      <c r="AA4125" s="352"/>
      <c r="AB4125" s="352"/>
      <c r="AC4125" s="352"/>
      <c r="AD4125" s="352"/>
      <c r="AE4125" s="352"/>
      <c r="AF4125" s="352"/>
      <c r="AG4125" s="352"/>
      <c r="AH4125" s="352"/>
      <c r="AI4125" s="352"/>
      <c r="AJ4125" s="352"/>
    </row>
    <row r="4126" spans="2:36" x14ac:dyDescent="0.2">
      <c r="B4126" s="352"/>
      <c r="C4126" s="352"/>
      <c r="D4126" s="352"/>
      <c r="E4126" s="352"/>
      <c r="F4126" s="352"/>
      <c r="H4126" s="352"/>
      <c r="J4126" s="352"/>
      <c r="L4126" s="352"/>
      <c r="M4126" s="352"/>
      <c r="N4126" s="352"/>
      <c r="O4126" s="352"/>
      <c r="P4126" s="352"/>
      <c r="Q4126" s="352"/>
      <c r="R4126" s="352"/>
      <c r="S4126" s="352"/>
      <c r="T4126" s="352"/>
      <c r="U4126" s="352"/>
      <c r="V4126" s="352"/>
      <c r="W4126" s="352"/>
      <c r="X4126" s="352"/>
      <c r="Y4126" s="352"/>
      <c r="Z4126" s="352"/>
      <c r="AA4126" s="352"/>
      <c r="AB4126" s="352"/>
      <c r="AC4126" s="352"/>
      <c r="AD4126" s="352"/>
      <c r="AE4126" s="352"/>
      <c r="AF4126" s="352"/>
      <c r="AG4126" s="352"/>
      <c r="AH4126" s="352"/>
      <c r="AI4126" s="352"/>
      <c r="AJ4126" s="352"/>
    </row>
    <row r="4127" spans="2:36" x14ac:dyDescent="0.2">
      <c r="B4127" s="352"/>
      <c r="C4127" s="352"/>
      <c r="D4127" s="352"/>
      <c r="E4127" s="352"/>
      <c r="F4127" s="352"/>
      <c r="H4127" s="352"/>
      <c r="J4127" s="352"/>
      <c r="L4127" s="352"/>
      <c r="M4127" s="352"/>
      <c r="N4127" s="352"/>
      <c r="O4127" s="352"/>
      <c r="P4127" s="352"/>
      <c r="Q4127" s="352"/>
      <c r="R4127" s="352"/>
      <c r="S4127" s="352"/>
      <c r="T4127" s="352"/>
      <c r="U4127" s="352"/>
      <c r="V4127" s="352"/>
      <c r="W4127" s="352"/>
      <c r="X4127" s="352"/>
      <c r="Y4127" s="352"/>
      <c r="Z4127" s="352"/>
      <c r="AA4127" s="352"/>
      <c r="AB4127" s="352"/>
      <c r="AC4127" s="352"/>
      <c r="AD4127" s="352"/>
      <c r="AE4127" s="352"/>
      <c r="AF4127" s="352"/>
      <c r="AG4127" s="352"/>
      <c r="AH4127" s="352"/>
      <c r="AI4127" s="352"/>
      <c r="AJ4127" s="352"/>
    </row>
    <row r="4128" spans="2:36" x14ac:dyDescent="0.2">
      <c r="B4128" s="352"/>
      <c r="C4128" s="352"/>
      <c r="D4128" s="352"/>
      <c r="E4128" s="352"/>
      <c r="F4128" s="352"/>
      <c r="H4128" s="352"/>
      <c r="J4128" s="352"/>
      <c r="L4128" s="352"/>
      <c r="M4128" s="352"/>
      <c r="N4128" s="352"/>
      <c r="O4128" s="352"/>
      <c r="P4128" s="352"/>
      <c r="Q4128" s="352"/>
      <c r="R4128" s="352"/>
      <c r="S4128" s="352"/>
      <c r="T4128" s="352"/>
      <c r="U4128" s="352"/>
      <c r="V4128" s="352"/>
      <c r="W4128" s="352"/>
      <c r="X4128" s="352"/>
      <c r="Y4128" s="352"/>
      <c r="Z4128" s="352"/>
      <c r="AA4128" s="352"/>
      <c r="AB4128" s="352"/>
      <c r="AC4128" s="352"/>
      <c r="AD4128" s="352"/>
      <c r="AE4128" s="352"/>
      <c r="AF4128" s="352"/>
      <c r="AG4128" s="352"/>
      <c r="AH4128" s="352"/>
      <c r="AI4128" s="352"/>
      <c r="AJ4128" s="352"/>
    </row>
    <row r="4129" spans="2:36" x14ac:dyDescent="0.2">
      <c r="B4129" s="352"/>
      <c r="C4129" s="352"/>
      <c r="D4129" s="352"/>
      <c r="E4129" s="352"/>
      <c r="F4129" s="352"/>
      <c r="H4129" s="352"/>
      <c r="J4129" s="352"/>
      <c r="L4129" s="352"/>
      <c r="M4129" s="352"/>
      <c r="N4129" s="352"/>
      <c r="O4129" s="352"/>
      <c r="P4129" s="352"/>
      <c r="Q4129" s="352"/>
      <c r="R4129" s="352"/>
      <c r="S4129" s="352"/>
      <c r="T4129" s="352"/>
      <c r="U4129" s="352"/>
      <c r="V4129" s="352"/>
      <c r="W4129" s="352"/>
      <c r="X4129" s="352"/>
      <c r="Y4129" s="352"/>
      <c r="Z4129" s="352"/>
      <c r="AA4129" s="352"/>
      <c r="AB4129" s="352"/>
      <c r="AC4129" s="352"/>
      <c r="AD4129" s="352"/>
      <c r="AE4129" s="352"/>
      <c r="AF4129" s="352"/>
      <c r="AG4129" s="352"/>
      <c r="AH4129" s="352"/>
      <c r="AI4129" s="352"/>
      <c r="AJ4129" s="352"/>
    </row>
    <row r="4130" spans="2:36" x14ac:dyDescent="0.2">
      <c r="B4130" s="352"/>
      <c r="C4130" s="352"/>
      <c r="D4130" s="352"/>
      <c r="E4130" s="352"/>
      <c r="F4130" s="352"/>
      <c r="H4130" s="352"/>
      <c r="J4130" s="352"/>
      <c r="L4130" s="352"/>
      <c r="M4130" s="352"/>
      <c r="N4130" s="352"/>
      <c r="O4130" s="352"/>
      <c r="P4130" s="352"/>
      <c r="Q4130" s="352"/>
      <c r="R4130" s="352"/>
      <c r="S4130" s="352"/>
      <c r="T4130" s="352"/>
      <c r="U4130" s="352"/>
      <c r="V4130" s="352"/>
      <c r="W4130" s="352"/>
      <c r="X4130" s="352"/>
      <c r="Y4130" s="352"/>
      <c r="Z4130" s="352"/>
      <c r="AA4130" s="352"/>
      <c r="AB4130" s="352"/>
      <c r="AC4130" s="352"/>
      <c r="AD4130" s="352"/>
      <c r="AE4130" s="352"/>
      <c r="AF4130" s="352"/>
      <c r="AG4130" s="352"/>
      <c r="AH4130" s="352"/>
      <c r="AI4130" s="352"/>
      <c r="AJ4130" s="352"/>
    </row>
    <row r="4131" spans="2:36" x14ac:dyDescent="0.2">
      <c r="B4131" s="352"/>
      <c r="C4131" s="352"/>
      <c r="D4131" s="352"/>
      <c r="E4131" s="352"/>
      <c r="F4131" s="352"/>
      <c r="H4131" s="352"/>
      <c r="J4131" s="352"/>
      <c r="L4131" s="352"/>
      <c r="M4131" s="352"/>
      <c r="N4131" s="352"/>
      <c r="O4131" s="352"/>
      <c r="P4131" s="352"/>
      <c r="Q4131" s="352"/>
      <c r="R4131" s="352"/>
      <c r="S4131" s="352"/>
      <c r="T4131" s="352"/>
      <c r="U4131" s="352"/>
      <c r="V4131" s="352"/>
      <c r="W4131" s="352"/>
      <c r="X4131" s="352"/>
      <c r="Y4131" s="352"/>
      <c r="Z4131" s="352"/>
      <c r="AA4131" s="352"/>
      <c r="AB4131" s="352"/>
      <c r="AC4131" s="352"/>
      <c r="AD4131" s="352"/>
      <c r="AE4131" s="352"/>
      <c r="AF4131" s="352"/>
      <c r="AG4131" s="352"/>
      <c r="AH4131" s="352"/>
      <c r="AI4131" s="352"/>
      <c r="AJ4131" s="352"/>
    </row>
    <row r="4132" spans="2:36" x14ac:dyDescent="0.2">
      <c r="B4132" s="352"/>
      <c r="C4132" s="352"/>
      <c r="D4132" s="352"/>
      <c r="E4132" s="352"/>
      <c r="F4132" s="352"/>
      <c r="H4132" s="352"/>
      <c r="J4132" s="352"/>
      <c r="L4132" s="352"/>
      <c r="M4132" s="352"/>
      <c r="N4132" s="352"/>
      <c r="O4132" s="352"/>
      <c r="P4132" s="352"/>
      <c r="Q4132" s="352"/>
      <c r="R4132" s="352"/>
      <c r="S4132" s="352"/>
      <c r="T4132" s="352"/>
      <c r="U4132" s="352"/>
      <c r="V4132" s="352"/>
      <c r="W4132" s="352"/>
      <c r="X4132" s="352"/>
      <c r="Y4132" s="352"/>
      <c r="Z4132" s="352"/>
      <c r="AA4132" s="352"/>
      <c r="AB4132" s="352"/>
      <c r="AC4132" s="352"/>
      <c r="AD4132" s="352"/>
      <c r="AE4132" s="352"/>
      <c r="AF4132" s="352"/>
      <c r="AG4132" s="352"/>
      <c r="AH4132" s="352"/>
      <c r="AI4132" s="352"/>
      <c r="AJ4132" s="352"/>
    </row>
    <row r="4133" spans="2:36" x14ac:dyDescent="0.2">
      <c r="B4133" s="352"/>
      <c r="C4133" s="352"/>
      <c r="D4133" s="352"/>
      <c r="E4133" s="352"/>
      <c r="F4133" s="352"/>
      <c r="H4133" s="352"/>
      <c r="J4133" s="352"/>
      <c r="L4133" s="352"/>
      <c r="M4133" s="352"/>
      <c r="N4133" s="352"/>
      <c r="O4133" s="352"/>
      <c r="P4133" s="352"/>
      <c r="Q4133" s="352"/>
      <c r="R4133" s="352"/>
      <c r="S4133" s="352"/>
      <c r="T4133" s="352"/>
      <c r="U4133" s="352"/>
      <c r="V4133" s="352"/>
      <c r="W4133" s="352"/>
      <c r="X4133" s="352"/>
      <c r="Y4133" s="352"/>
      <c r="Z4133" s="352"/>
      <c r="AA4133" s="352"/>
      <c r="AB4133" s="352"/>
      <c r="AC4133" s="352"/>
      <c r="AD4133" s="352"/>
      <c r="AE4133" s="352"/>
      <c r="AF4133" s="352"/>
      <c r="AG4133" s="352"/>
      <c r="AH4133" s="352"/>
      <c r="AI4133" s="352"/>
      <c r="AJ4133" s="352"/>
    </row>
    <row r="4134" spans="2:36" x14ac:dyDescent="0.2">
      <c r="B4134" s="352"/>
      <c r="C4134" s="352"/>
      <c r="D4134" s="352"/>
      <c r="E4134" s="352"/>
      <c r="F4134" s="352"/>
      <c r="H4134" s="352"/>
      <c r="J4134" s="352"/>
      <c r="L4134" s="352"/>
      <c r="M4134" s="352"/>
      <c r="N4134" s="352"/>
      <c r="O4134" s="352"/>
      <c r="P4134" s="352"/>
      <c r="Q4134" s="352"/>
      <c r="R4134" s="352"/>
      <c r="S4134" s="352"/>
      <c r="T4134" s="352"/>
      <c r="U4134" s="352"/>
      <c r="V4134" s="352"/>
      <c r="W4134" s="352"/>
      <c r="X4134" s="352"/>
      <c r="Y4134" s="352"/>
      <c r="Z4134" s="352"/>
      <c r="AA4134" s="352"/>
      <c r="AB4134" s="352"/>
      <c r="AC4134" s="352"/>
      <c r="AD4134" s="352"/>
      <c r="AE4134" s="352"/>
      <c r="AF4134" s="352"/>
      <c r="AG4134" s="352"/>
      <c r="AH4134" s="352"/>
      <c r="AI4134" s="352"/>
      <c r="AJ4134" s="352"/>
    </row>
    <row r="4135" spans="2:36" x14ac:dyDescent="0.2">
      <c r="B4135" s="352"/>
      <c r="C4135" s="352"/>
      <c r="D4135" s="352"/>
      <c r="E4135" s="352"/>
      <c r="F4135" s="352"/>
      <c r="H4135" s="352"/>
      <c r="J4135" s="352"/>
      <c r="L4135" s="352"/>
      <c r="M4135" s="352"/>
      <c r="N4135" s="352"/>
      <c r="O4135" s="352"/>
      <c r="P4135" s="352"/>
      <c r="Q4135" s="352"/>
      <c r="R4135" s="352"/>
      <c r="S4135" s="352"/>
      <c r="T4135" s="352"/>
      <c r="U4135" s="352"/>
      <c r="V4135" s="352"/>
      <c r="W4135" s="352"/>
      <c r="X4135" s="352"/>
      <c r="Y4135" s="352"/>
      <c r="Z4135" s="352"/>
      <c r="AA4135" s="352"/>
      <c r="AB4135" s="352"/>
      <c r="AC4135" s="352"/>
      <c r="AD4135" s="352"/>
      <c r="AE4135" s="352"/>
      <c r="AF4135" s="352"/>
      <c r="AG4135" s="352"/>
      <c r="AH4135" s="352"/>
      <c r="AI4135" s="352"/>
      <c r="AJ4135" s="352"/>
    </row>
    <row r="4136" spans="2:36" x14ac:dyDescent="0.2">
      <c r="B4136" s="352"/>
      <c r="C4136" s="352"/>
      <c r="D4136" s="352"/>
      <c r="E4136" s="352"/>
      <c r="F4136" s="352"/>
      <c r="H4136" s="352"/>
      <c r="J4136" s="352"/>
      <c r="L4136" s="352"/>
      <c r="M4136" s="352"/>
      <c r="N4136" s="352"/>
      <c r="O4136" s="352"/>
      <c r="P4136" s="352"/>
      <c r="Q4136" s="352"/>
      <c r="R4136" s="352"/>
      <c r="S4136" s="352"/>
      <c r="T4136" s="352"/>
      <c r="U4136" s="352"/>
      <c r="V4136" s="352"/>
      <c r="W4136" s="352"/>
      <c r="X4136" s="352"/>
      <c r="Y4136" s="352"/>
      <c r="Z4136" s="352"/>
      <c r="AA4136" s="352"/>
      <c r="AB4136" s="352"/>
      <c r="AC4136" s="352"/>
      <c r="AD4136" s="352"/>
      <c r="AE4136" s="352"/>
      <c r="AF4136" s="352"/>
      <c r="AG4136" s="352"/>
      <c r="AH4136" s="352"/>
      <c r="AI4136" s="352"/>
      <c r="AJ4136" s="352"/>
    </row>
    <row r="4137" spans="2:36" x14ac:dyDescent="0.2">
      <c r="B4137" s="352"/>
      <c r="C4137" s="352"/>
      <c r="D4137" s="352"/>
      <c r="E4137" s="352"/>
      <c r="F4137" s="352"/>
      <c r="H4137" s="352"/>
      <c r="J4137" s="352"/>
      <c r="L4137" s="352"/>
      <c r="M4137" s="352"/>
      <c r="N4137" s="352"/>
      <c r="O4137" s="352"/>
      <c r="P4137" s="352"/>
      <c r="Q4137" s="352"/>
      <c r="R4137" s="352"/>
      <c r="S4137" s="352"/>
      <c r="T4137" s="352"/>
      <c r="U4137" s="352"/>
      <c r="V4137" s="352"/>
      <c r="W4137" s="352"/>
      <c r="X4137" s="352"/>
      <c r="Y4137" s="352"/>
      <c r="Z4137" s="352"/>
      <c r="AA4137" s="352"/>
      <c r="AB4137" s="352"/>
      <c r="AC4137" s="352"/>
      <c r="AD4137" s="352"/>
      <c r="AE4137" s="352"/>
      <c r="AF4137" s="352"/>
      <c r="AG4137" s="352"/>
      <c r="AH4137" s="352"/>
      <c r="AI4137" s="352"/>
      <c r="AJ4137" s="352"/>
    </row>
    <row r="4138" spans="2:36" x14ac:dyDescent="0.2">
      <c r="B4138" s="352"/>
      <c r="C4138" s="352"/>
      <c r="D4138" s="352"/>
      <c r="E4138" s="352"/>
      <c r="F4138" s="352"/>
      <c r="H4138" s="352"/>
      <c r="J4138" s="352"/>
      <c r="L4138" s="352"/>
      <c r="M4138" s="352"/>
      <c r="N4138" s="352"/>
      <c r="O4138" s="352"/>
      <c r="P4138" s="352"/>
      <c r="Q4138" s="352"/>
      <c r="R4138" s="352"/>
      <c r="S4138" s="352"/>
      <c r="T4138" s="352"/>
      <c r="U4138" s="352"/>
      <c r="V4138" s="352"/>
      <c r="W4138" s="352"/>
      <c r="X4138" s="352"/>
      <c r="Y4138" s="352"/>
      <c r="Z4138" s="352"/>
      <c r="AA4138" s="352"/>
      <c r="AB4138" s="352"/>
      <c r="AC4138" s="352"/>
      <c r="AD4138" s="352"/>
      <c r="AE4138" s="352"/>
      <c r="AF4138" s="352"/>
      <c r="AG4138" s="352"/>
      <c r="AH4138" s="352"/>
      <c r="AI4138" s="352"/>
      <c r="AJ4138" s="352"/>
    </row>
    <row r="4139" spans="2:36" x14ac:dyDescent="0.2">
      <c r="B4139" s="352"/>
      <c r="C4139" s="352"/>
      <c r="D4139" s="352"/>
      <c r="E4139" s="352"/>
      <c r="F4139" s="352"/>
      <c r="H4139" s="352"/>
      <c r="J4139" s="352"/>
      <c r="L4139" s="352"/>
      <c r="M4139" s="352"/>
      <c r="N4139" s="352"/>
      <c r="O4139" s="352"/>
      <c r="P4139" s="352"/>
      <c r="Q4139" s="352"/>
      <c r="R4139" s="352"/>
      <c r="S4139" s="352"/>
      <c r="T4139" s="352"/>
      <c r="U4139" s="352"/>
      <c r="V4139" s="352"/>
      <c r="W4139" s="352"/>
      <c r="X4139" s="352"/>
      <c r="Y4139" s="352"/>
      <c r="Z4139" s="352"/>
      <c r="AA4139" s="352"/>
      <c r="AB4139" s="352"/>
      <c r="AC4139" s="352"/>
      <c r="AD4139" s="352"/>
      <c r="AE4139" s="352"/>
      <c r="AF4139" s="352"/>
      <c r="AG4139" s="352"/>
      <c r="AH4139" s="352"/>
      <c r="AI4139" s="352"/>
      <c r="AJ4139" s="352"/>
    </row>
    <row r="4140" spans="2:36" x14ac:dyDescent="0.2">
      <c r="B4140" s="352"/>
      <c r="C4140" s="352"/>
      <c r="D4140" s="352"/>
      <c r="E4140" s="352"/>
      <c r="F4140" s="352"/>
      <c r="H4140" s="352"/>
      <c r="J4140" s="352"/>
      <c r="L4140" s="352"/>
      <c r="M4140" s="352"/>
      <c r="N4140" s="352"/>
      <c r="O4140" s="352"/>
      <c r="P4140" s="352"/>
      <c r="Q4140" s="352"/>
      <c r="R4140" s="352"/>
      <c r="S4140" s="352"/>
      <c r="T4140" s="352"/>
      <c r="U4140" s="352"/>
      <c r="V4140" s="352"/>
      <c r="W4140" s="352"/>
      <c r="X4140" s="352"/>
      <c r="Y4140" s="352"/>
      <c r="Z4140" s="352"/>
      <c r="AA4140" s="352"/>
      <c r="AB4140" s="352"/>
      <c r="AC4140" s="352"/>
      <c r="AD4140" s="352"/>
      <c r="AE4140" s="352"/>
      <c r="AF4140" s="352"/>
      <c r="AG4140" s="352"/>
      <c r="AH4140" s="352"/>
      <c r="AI4140" s="352"/>
      <c r="AJ4140" s="352"/>
    </row>
    <row r="4141" spans="2:36" x14ac:dyDescent="0.2">
      <c r="B4141" s="352"/>
      <c r="C4141" s="352"/>
      <c r="D4141" s="352"/>
      <c r="E4141" s="352"/>
      <c r="F4141" s="352"/>
      <c r="H4141" s="352"/>
      <c r="J4141" s="352"/>
      <c r="L4141" s="352"/>
      <c r="M4141" s="352"/>
      <c r="N4141" s="352"/>
      <c r="O4141" s="352"/>
      <c r="P4141" s="352"/>
      <c r="Q4141" s="352"/>
      <c r="R4141" s="352"/>
      <c r="S4141" s="352"/>
      <c r="T4141" s="352"/>
      <c r="U4141" s="352"/>
      <c r="V4141" s="352"/>
      <c r="W4141" s="352"/>
      <c r="X4141" s="352"/>
      <c r="Y4141" s="352"/>
      <c r="Z4141" s="352"/>
      <c r="AA4141" s="352"/>
      <c r="AB4141" s="352"/>
      <c r="AC4141" s="352"/>
      <c r="AD4141" s="352"/>
      <c r="AE4141" s="352"/>
      <c r="AF4141" s="352"/>
      <c r="AG4141" s="352"/>
      <c r="AH4141" s="352"/>
      <c r="AI4141" s="352"/>
      <c r="AJ4141" s="352"/>
    </row>
    <row r="4142" spans="2:36" x14ac:dyDescent="0.2">
      <c r="B4142" s="352"/>
      <c r="C4142" s="352"/>
      <c r="D4142" s="352"/>
      <c r="E4142" s="352"/>
      <c r="F4142" s="352"/>
      <c r="H4142" s="352"/>
      <c r="J4142" s="352"/>
      <c r="L4142" s="352"/>
      <c r="M4142" s="352"/>
      <c r="N4142" s="352"/>
      <c r="O4142" s="352"/>
      <c r="P4142" s="352"/>
      <c r="Q4142" s="352"/>
      <c r="R4142" s="352"/>
      <c r="S4142" s="352"/>
      <c r="T4142" s="352"/>
      <c r="U4142" s="352"/>
      <c r="V4142" s="352"/>
      <c r="W4142" s="352"/>
      <c r="X4142" s="352"/>
      <c r="Y4142" s="352"/>
      <c r="Z4142" s="352"/>
      <c r="AA4142" s="352"/>
      <c r="AB4142" s="352"/>
      <c r="AC4142" s="352"/>
      <c r="AD4142" s="352"/>
      <c r="AE4142" s="352"/>
      <c r="AF4142" s="352"/>
      <c r="AG4142" s="352"/>
      <c r="AH4142" s="352"/>
      <c r="AI4142" s="352"/>
      <c r="AJ4142" s="352"/>
    </row>
    <row r="4143" spans="2:36" x14ac:dyDescent="0.2">
      <c r="B4143" s="352"/>
      <c r="C4143" s="352"/>
      <c r="D4143" s="352"/>
      <c r="E4143" s="352"/>
      <c r="F4143" s="352"/>
      <c r="H4143" s="352"/>
      <c r="J4143" s="352"/>
      <c r="L4143" s="352"/>
      <c r="M4143" s="352"/>
      <c r="N4143" s="352"/>
      <c r="O4143" s="352"/>
      <c r="P4143" s="352"/>
      <c r="Q4143" s="352"/>
      <c r="R4143" s="352"/>
      <c r="S4143" s="352"/>
      <c r="T4143" s="352"/>
      <c r="U4143" s="352"/>
      <c r="V4143" s="352"/>
      <c r="W4143" s="352"/>
      <c r="X4143" s="352"/>
      <c r="Y4143" s="352"/>
      <c r="Z4143" s="352"/>
      <c r="AA4143" s="352"/>
      <c r="AB4143" s="352"/>
      <c r="AC4143" s="352"/>
      <c r="AD4143" s="352"/>
      <c r="AE4143" s="352"/>
      <c r="AF4143" s="352"/>
      <c r="AG4143" s="352"/>
      <c r="AH4143" s="352"/>
      <c r="AI4143" s="352"/>
      <c r="AJ4143" s="352"/>
    </row>
    <row r="4144" spans="2:36" x14ac:dyDescent="0.2">
      <c r="B4144" s="352"/>
      <c r="C4144" s="352"/>
      <c r="D4144" s="352"/>
      <c r="E4144" s="352"/>
      <c r="F4144" s="352"/>
      <c r="H4144" s="352"/>
      <c r="J4144" s="352"/>
      <c r="L4144" s="352"/>
      <c r="M4144" s="352"/>
      <c r="N4144" s="352"/>
      <c r="O4144" s="352"/>
      <c r="P4144" s="352"/>
      <c r="Q4144" s="352"/>
      <c r="R4144" s="352"/>
      <c r="S4144" s="352"/>
      <c r="T4144" s="352"/>
      <c r="U4144" s="352"/>
      <c r="V4144" s="352"/>
      <c r="W4144" s="352"/>
      <c r="X4144" s="352"/>
      <c r="Y4144" s="352"/>
      <c r="Z4144" s="352"/>
      <c r="AA4144" s="352"/>
      <c r="AB4144" s="352"/>
      <c r="AC4144" s="352"/>
      <c r="AD4144" s="352"/>
      <c r="AE4144" s="352"/>
      <c r="AF4144" s="352"/>
      <c r="AG4144" s="352"/>
      <c r="AH4144" s="352"/>
      <c r="AI4144" s="352"/>
      <c r="AJ4144" s="352"/>
    </row>
    <row r="4145" spans="2:36" x14ac:dyDescent="0.2">
      <c r="B4145" s="352"/>
      <c r="C4145" s="352"/>
      <c r="D4145" s="352"/>
      <c r="E4145" s="352"/>
      <c r="F4145" s="352"/>
      <c r="H4145" s="352"/>
      <c r="J4145" s="352"/>
      <c r="L4145" s="352"/>
      <c r="M4145" s="352"/>
      <c r="N4145" s="352"/>
      <c r="O4145" s="352"/>
      <c r="P4145" s="352"/>
      <c r="Q4145" s="352"/>
      <c r="R4145" s="352"/>
      <c r="S4145" s="352"/>
      <c r="T4145" s="352"/>
      <c r="U4145" s="352"/>
      <c r="V4145" s="352"/>
      <c r="W4145" s="352"/>
      <c r="X4145" s="352"/>
      <c r="Y4145" s="352"/>
      <c r="Z4145" s="352"/>
      <c r="AA4145" s="352"/>
      <c r="AB4145" s="352"/>
      <c r="AC4145" s="352"/>
      <c r="AD4145" s="352"/>
      <c r="AE4145" s="352"/>
      <c r="AF4145" s="352"/>
      <c r="AG4145" s="352"/>
      <c r="AH4145" s="352"/>
      <c r="AI4145" s="352"/>
      <c r="AJ4145" s="352"/>
    </row>
    <row r="4146" spans="2:36" x14ac:dyDescent="0.2">
      <c r="B4146" s="352"/>
      <c r="C4146" s="352"/>
      <c r="D4146" s="352"/>
      <c r="E4146" s="352"/>
      <c r="F4146" s="352"/>
      <c r="H4146" s="352"/>
      <c r="J4146" s="352"/>
      <c r="L4146" s="352"/>
      <c r="M4146" s="352"/>
      <c r="N4146" s="352"/>
      <c r="O4146" s="352"/>
      <c r="P4146" s="352"/>
      <c r="Q4146" s="352"/>
      <c r="R4146" s="352"/>
      <c r="S4146" s="352"/>
      <c r="T4146" s="352"/>
      <c r="U4146" s="352"/>
      <c r="V4146" s="352"/>
      <c r="W4146" s="352"/>
      <c r="X4146" s="352"/>
      <c r="Y4146" s="352"/>
      <c r="Z4146" s="352"/>
      <c r="AA4146" s="352"/>
      <c r="AB4146" s="352"/>
      <c r="AC4146" s="352"/>
      <c r="AD4146" s="352"/>
      <c r="AE4146" s="352"/>
      <c r="AF4146" s="352"/>
      <c r="AG4146" s="352"/>
      <c r="AH4146" s="352"/>
      <c r="AI4146" s="352"/>
      <c r="AJ4146" s="352"/>
    </row>
    <row r="4147" spans="2:36" x14ac:dyDescent="0.2">
      <c r="B4147" s="352"/>
      <c r="C4147" s="352"/>
      <c r="D4147" s="352"/>
      <c r="E4147" s="352"/>
      <c r="F4147" s="352"/>
      <c r="H4147" s="352"/>
      <c r="J4147" s="352"/>
      <c r="L4147" s="352"/>
      <c r="M4147" s="352"/>
      <c r="N4147" s="352"/>
      <c r="O4147" s="352"/>
      <c r="P4147" s="352"/>
      <c r="Q4147" s="352"/>
      <c r="R4147" s="352"/>
      <c r="S4147" s="352"/>
      <c r="T4147" s="352"/>
      <c r="U4147" s="352"/>
      <c r="V4147" s="352"/>
      <c r="W4147" s="352"/>
      <c r="X4147" s="352"/>
      <c r="Y4147" s="352"/>
      <c r="Z4147" s="352"/>
      <c r="AA4147" s="352"/>
      <c r="AB4147" s="352"/>
      <c r="AC4147" s="352"/>
      <c r="AD4147" s="352"/>
      <c r="AE4147" s="352"/>
      <c r="AF4147" s="352"/>
      <c r="AG4147" s="352"/>
      <c r="AH4147" s="352"/>
      <c r="AI4147" s="352"/>
      <c r="AJ4147" s="352"/>
    </row>
    <row r="4148" spans="2:36" x14ac:dyDescent="0.2">
      <c r="B4148" s="352"/>
      <c r="C4148" s="352"/>
      <c r="D4148" s="352"/>
      <c r="E4148" s="352"/>
      <c r="F4148" s="352"/>
      <c r="H4148" s="352"/>
      <c r="J4148" s="352"/>
      <c r="L4148" s="352"/>
      <c r="M4148" s="352"/>
      <c r="N4148" s="352"/>
      <c r="O4148" s="352"/>
      <c r="P4148" s="352"/>
      <c r="Q4148" s="352"/>
      <c r="R4148" s="352"/>
      <c r="S4148" s="352"/>
      <c r="T4148" s="352"/>
      <c r="U4148" s="352"/>
      <c r="V4148" s="352"/>
      <c r="W4148" s="352"/>
      <c r="X4148" s="352"/>
      <c r="Y4148" s="352"/>
      <c r="Z4148" s="352"/>
      <c r="AA4148" s="352"/>
      <c r="AB4148" s="352"/>
      <c r="AC4148" s="352"/>
      <c r="AD4148" s="352"/>
      <c r="AE4148" s="352"/>
      <c r="AF4148" s="352"/>
      <c r="AG4148" s="352"/>
      <c r="AH4148" s="352"/>
      <c r="AI4148" s="352"/>
      <c r="AJ4148" s="352"/>
    </row>
    <row r="4149" spans="2:36" x14ac:dyDescent="0.2">
      <c r="B4149" s="352"/>
      <c r="C4149" s="352"/>
      <c r="D4149" s="352"/>
      <c r="E4149" s="352"/>
      <c r="F4149" s="352"/>
      <c r="H4149" s="352"/>
      <c r="J4149" s="352"/>
      <c r="L4149" s="352"/>
      <c r="M4149" s="352"/>
      <c r="N4149" s="352"/>
      <c r="O4149" s="352"/>
      <c r="P4149" s="352"/>
      <c r="Q4149" s="352"/>
      <c r="R4149" s="352"/>
      <c r="S4149" s="352"/>
      <c r="T4149" s="352"/>
      <c r="U4149" s="352"/>
      <c r="V4149" s="352"/>
      <c r="W4149" s="352"/>
      <c r="X4149" s="352"/>
      <c r="Y4149" s="352"/>
      <c r="Z4149" s="352"/>
      <c r="AA4149" s="352"/>
      <c r="AB4149" s="352"/>
      <c r="AC4149" s="352"/>
      <c r="AD4149" s="352"/>
      <c r="AE4149" s="352"/>
      <c r="AF4149" s="352"/>
      <c r="AG4149" s="352"/>
      <c r="AH4149" s="352"/>
      <c r="AI4149" s="352"/>
      <c r="AJ4149" s="352"/>
    </row>
    <row r="4150" spans="2:36" x14ac:dyDescent="0.2">
      <c r="B4150" s="352"/>
      <c r="C4150" s="352"/>
      <c r="D4150" s="352"/>
      <c r="E4150" s="352"/>
      <c r="F4150" s="352"/>
      <c r="H4150" s="352"/>
      <c r="J4150" s="352"/>
      <c r="L4150" s="352"/>
      <c r="M4150" s="352"/>
      <c r="N4150" s="352"/>
      <c r="O4150" s="352"/>
      <c r="P4150" s="352"/>
      <c r="Q4150" s="352"/>
      <c r="R4150" s="352"/>
      <c r="S4150" s="352"/>
      <c r="T4150" s="352"/>
      <c r="U4150" s="352"/>
      <c r="V4150" s="352"/>
      <c r="W4150" s="352"/>
      <c r="X4150" s="352"/>
      <c r="Y4150" s="352"/>
      <c r="Z4150" s="352"/>
      <c r="AA4150" s="352"/>
      <c r="AB4150" s="352"/>
      <c r="AC4150" s="352"/>
      <c r="AD4150" s="352"/>
      <c r="AE4150" s="352"/>
      <c r="AF4150" s="352"/>
      <c r="AG4150" s="352"/>
      <c r="AH4150" s="352"/>
      <c r="AI4150" s="352"/>
      <c r="AJ4150" s="352"/>
    </row>
    <row r="4151" spans="2:36" x14ac:dyDescent="0.2">
      <c r="B4151" s="352"/>
      <c r="C4151" s="352"/>
      <c r="D4151" s="352"/>
      <c r="E4151" s="352"/>
      <c r="F4151" s="352"/>
      <c r="H4151" s="352"/>
      <c r="J4151" s="352"/>
      <c r="L4151" s="352"/>
      <c r="M4151" s="352"/>
      <c r="N4151" s="352"/>
      <c r="O4151" s="352"/>
      <c r="P4151" s="352"/>
      <c r="Q4151" s="352"/>
      <c r="R4151" s="352"/>
      <c r="S4151" s="352"/>
      <c r="T4151" s="352"/>
      <c r="U4151" s="352"/>
      <c r="V4151" s="352"/>
      <c r="W4151" s="352"/>
      <c r="X4151" s="352"/>
      <c r="Y4151" s="352"/>
      <c r="Z4151" s="352"/>
      <c r="AA4151" s="352"/>
      <c r="AB4151" s="352"/>
      <c r="AC4151" s="352"/>
      <c r="AD4151" s="352"/>
      <c r="AE4151" s="352"/>
      <c r="AF4151" s="352"/>
      <c r="AG4151" s="352"/>
      <c r="AH4151" s="352"/>
      <c r="AI4151" s="352"/>
      <c r="AJ4151" s="352"/>
    </row>
    <row r="4152" spans="2:36" x14ac:dyDescent="0.2">
      <c r="B4152" s="352"/>
      <c r="C4152" s="352"/>
      <c r="D4152" s="352"/>
      <c r="E4152" s="352"/>
      <c r="F4152" s="352"/>
      <c r="H4152" s="352"/>
      <c r="J4152" s="352"/>
      <c r="L4152" s="352"/>
      <c r="M4152" s="352"/>
      <c r="N4152" s="352"/>
      <c r="O4152" s="352"/>
      <c r="P4152" s="352"/>
      <c r="Q4152" s="352"/>
      <c r="R4152" s="352"/>
      <c r="S4152" s="352"/>
      <c r="T4152" s="352"/>
      <c r="U4152" s="352"/>
      <c r="V4152" s="352"/>
      <c r="W4152" s="352"/>
      <c r="X4152" s="352"/>
      <c r="Y4152" s="352"/>
      <c r="Z4152" s="352"/>
      <c r="AA4152" s="352"/>
      <c r="AB4152" s="352"/>
      <c r="AC4152" s="352"/>
      <c r="AD4152" s="352"/>
      <c r="AE4152" s="352"/>
      <c r="AF4152" s="352"/>
      <c r="AG4152" s="352"/>
      <c r="AH4152" s="352"/>
      <c r="AI4152" s="352"/>
      <c r="AJ4152" s="352"/>
    </row>
    <row r="4153" spans="2:36" x14ac:dyDescent="0.2">
      <c r="B4153" s="352"/>
      <c r="C4153" s="352"/>
      <c r="D4153" s="352"/>
      <c r="E4153" s="352"/>
      <c r="F4153" s="352"/>
      <c r="H4153" s="352"/>
      <c r="J4153" s="352"/>
      <c r="L4153" s="352"/>
      <c r="M4153" s="352"/>
      <c r="N4153" s="352"/>
      <c r="O4153" s="352"/>
      <c r="P4153" s="352"/>
      <c r="Q4153" s="352"/>
      <c r="R4153" s="352"/>
      <c r="S4153" s="352"/>
      <c r="T4153" s="352"/>
      <c r="U4153" s="352"/>
      <c r="V4153" s="352"/>
      <c r="W4153" s="352"/>
      <c r="X4153" s="352"/>
      <c r="Y4153" s="352"/>
      <c r="Z4153" s="352"/>
      <c r="AA4153" s="352"/>
      <c r="AB4153" s="352"/>
      <c r="AC4153" s="352"/>
      <c r="AD4153" s="352"/>
      <c r="AE4153" s="352"/>
      <c r="AF4153" s="352"/>
      <c r="AG4153" s="352"/>
      <c r="AH4153" s="352"/>
      <c r="AI4153" s="352"/>
      <c r="AJ4153" s="352"/>
    </row>
    <row r="4154" spans="2:36" x14ac:dyDescent="0.2">
      <c r="B4154" s="352"/>
      <c r="C4154" s="352"/>
      <c r="D4154" s="352"/>
      <c r="E4154" s="352"/>
      <c r="F4154" s="352"/>
      <c r="H4154" s="352"/>
      <c r="J4154" s="352"/>
      <c r="L4154" s="352"/>
      <c r="M4154" s="352"/>
      <c r="N4154" s="352"/>
      <c r="O4154" s="352"/>
      <c r="P4154" s="352"/>
      <c r="Q4154" s="352"/>
      <c r="R4154" s="352"/>
      <c r="S4154" s="352"/>
      <c r="T4154" s="352"/>
      <c r="U4154" s="352"/>
      <c r="V4154" s="352"/>
      <c r="W4154" s="352"/>
      <c r="X4154" s="352"/>
      <c r="Y4154" s="352"/>
      <c r="Z4154" s="352"/>
      <c r="AA4154" s="352"/>
      <c r="AB4154" s="352"/>
      <c r="AC4154" s="352"/>
      <c r="AD4154" s="352"/>
      <c r="AE4154" s="352"/>
      <c r="AF4154" s="352"/>
      <c r="AG4154" s="352"/>
      <c r="AH4154" s="352"/>
      <c r="AI4154" s="352"/>
      <c r="AJ4154" s="352"/>
    </row>
    <row r="4155" spans="2:36" x14ac:dyDescent="0.2">
      <c r="B4155" s="352"/>
      <c r="C4155" s="352"/>
      <c r="D4155" s="352"/>
      <c r="E4155" s="352"/>
      <c r="F4155" s="352"/>
      <c r="H4155" s="352"/>
      <c r="J4155" s="352"/>
      <c r="L4155" s="352"/>
      <c r="M4155" s="352"/>
      <c r="N4155" s="352"/>
      <c r="O4155" s="352"/>
      <c r="P4155" s="352"/>
      <c r="Q4155" s="352"/>
      <c r="R4155" s="352"/>
      <c r="S4155" s="352"/>
      <c r="T4155" s="352"/>
      <c r="U4155" s="352"/>
      <c r="V4155" s="352"/>
      <c r="W4155" s="352"/>
      <c r="X4155" s="352"/>
      <c r="Y4155" s="352"/>
      <c r="Z4155" s="352"/>
      <c r="AA4155" s="352"/>
      <c r="AB4155" s="352"/>
      <c r="AC4155" s="352"/>
      <c r="AD4155" s="352"/>
      <c r="AE4155" s="352"/>
      <c r="AF4155" s="352"/>
      <c r="AG4155" s="352"/>
      <c r="AH4155" s="352"/>
      <c r="AI4155" s="352"/>
      <c r="AJ4155" s="352"/>
    </row>
    <row r="4156" spans="2:36" x14ac:dyDescent="0.2">
      <c r="B4156" s="352"/>
      <c r="C4156" s="352"/>
      <c r="D4156" s="352"/>
      <c r="E4156" s="352"/>
      <c r="F4156" s="352"/>
      <c r="H4156" s="352"/>
      <c r="J4156" s="352"/>
      <c r="L4156" s="352"/>
      <c r="M4156" s="352"/>
      <c r="N4156" s="352"/>
      <c r="O4156" s="352"/>
      <c r="P4156" s="352"/>
      <c r="Q4156" s="352"/>
      <c r="R4156" s="352"/>
      <c r="S4156" s="352"/>
      <c r="T4156" s="352"/>
      <c r="U4156" s="352"/>
      <c r="V4156" s="352"/>
      <c r="W4156" s="352"/>
      <c r="X4156" s="352"/>
      <c r="Y4156" s="352"/>
      <c r="Z4156" s="352"/>
      <c r="AA4156" s="352"/>
      <c r="AB4156" s="352"/>
      <c r="AC4156" s="352"/>
      <c r="AD4156" s="352"/>
      <c r="AE4156" s="352"/>
      <c r="AF4156" s="352"/>
      <c r="AG4156" s="352"/>
      <c r="AH4156" s="352"/>
      <c r="AI4156" s="352"/>
      <c r="AJ4156" s="352"/>
    </row>
    <row r="4157" spans="2:36" x14ac:dyDescent="0.2">
      <c r="B4157" s="352"/>
      <c r="C4157" s="352"/>
      <c r="D4157" s="352"/>
      <c r="E4157" s="352"/>
      <c r="F4157" s="352"/>
      <c r="H4157" s="352"/>
      <c r="J4157" s="352"/>
      <c r="L4157" s="352"/>
      <c r="M4157" s="352"/>
      <c r="N4157" s="352"/>
      <c r="O4157" s="352"/>
      <c r="P4157" s="352"/>
      <c r="Q4157" s="352"/>
      <c r="R4157" s="352"/>
      <c r="S4157" s="352"/>
      <c r="T4157" s="352"/>
      <c r="U4157" s="352"/>
      <c r="V4157" s="352"/>
      <c r="W4157" s="352"/>
      <c r="X4157" s="352"/>
      <c r="Y4157" s="352"/>
      <c r="Z4157" s="352"/>
      <c r="AA4157" s="352"/>
      <c r="AB4157" s="352"/>
      <c r="AC4157" s="352"/>
      <c r="AD4157" s="352"/>
      <c r="AE4157" s="352"/>
      <c r="AF4157" s="352"/>
      <c r="AG4157" s="352"/>
      <c r="AH4157" s="352"/>
      <c r="AI4157" s="352"/>
      <c r="AJ4157" s="352"/>
    </row>
    <row r="4158" spans="2:36" x14ac:dyDescent="0.2">
      <c r="B4158" s="352"/>
      <c r="C4158" s="352"/>
      <c r="D4158" s="352"/>
      <c r="E4158" s="352"/>
      <c r="F4158" s="352"/>
      <c r="H4158" s="352"/>
      <c r="J4158" s="352"/>
      <c r="L4158" s="352"/>
      <c r="M4158" s="352"/>
      <c r="N4158" s="352"/>
      <c r="O4158" s="352"/>
      <c r="P4158" s="352"/>
      <c r="Q4158" s="352"/>
      <c r="R4158" s="352"/>
      <c r="S4158" s="352"/>
      <c r="T4158" s="352"/>
      <c r="U4158" s="352"/>
      <c r="V4158" s="352"/>
      <c r="W4158" s="352"/>
      <c r="X4158" s="352"/>
      <c r="Y4158" s="352"/>
      <c r="Z4158" s="352"/>
      <c r="AA4158" s="352"/>
      <c r="AB4158" s="352"/>
      <c r="AC4158" s="352"/>
      <c r="AD4158" s="352"/>
      <c r="AE4158" s="352"/>
      <c r="AF4158" s="352"/>
      <c r="AG4158" s="352"/>
      <c r="AH4158" s="352"/>
      <c r="AI4158" s="352"/>
      <c r="AJ4158" s="352"/>
    </row>
    <row r="4159" spans="2:36" x14ac:dyDescent="0.2">
      <c r="B4159" s="352"/>
      <c r="C4159" s="352"/>
      <c r="D4159" s="352"/>
      <c r="E4159" s="352"/>
      <c r="F4159" s="352"/>
      <c r="H4159" s="352"/>
      <c r="J4159" s="352"/>
      <c r="L4159" s="352"/>
      <c r="M4159" s="352"/>
      <c r="N4159" s="352"/>
      <c r="O4159" s="352"/>
      <c r="P4159" s="352"/>
      <c r="Q4159" s="352"/>
      <c r="R4159" s="352"/>
      <c r="S4159" s="352"/>
      <c r="T4159" s="352"/>
      <c r="U4159" s="352"/>
      <c r="V4159" s="352"/>
      <c r="W4159" s="352"/>
      <c r="X4159" s="352"/>
      <c r="Y4159" s="352"/>
      <c r="Z4159" s="352"/>
      <c r="AA4159" s="352"/>
      <c r="AB4159" s="352"/>
      <c r="AC4159" s="352"/>
      <c r="AD4159" s="352"/>
      <c r="AE4159" s="352"/>
      <c r="AF4159" s="352"/>
      <c r="AG4159" s="352"/>
      <c r="AH4159" s="352"/>
      <c r="AI4159" s="352"/>
      <c r="AJ4159" s="352"/>
    </row>
    <row r="4160" spans="2:36" x14ac:dyDescent="0.2">
      <c r="B4160" s="352"/>
      <c r="C4160" s="352"/>
      <c r="D4160" s="352"/>
      <c r="E4160" s="352"/>
      <c r="F4160" s="352"/>
      <c r="H4160" s="352"/>
      <c r="J4160" s="352"/>
      <c r="L4160" s="352"/>
      <c r="M4160" s="352"/>
      <c r="N4160" s="352"/>
      <c r="O4160" s="352"/>
      <c r="P4160" s="352"/>
      <c r="Q4160" s="352"/>
      <c r="R4160" s="352"/>
      <c r="S4160" s="352"/>
      <c r="T4160" s="352"/>
      <c r="U4160" s="352"/>
      <c r="V4160" s="352"/>
      <c r="W4160" s="352"/>
      <c r="X4160" s="352"/>
      <c r="Y4160" s="352"/>
      <c r="Z4160" s="352"/>
      <c r="AA4160" s="352"/>
      <c r="AB4160" s="352"/>
      <c r="AC4160" s="352"/>
      <c r="AD4160" s="352"/>
      <c r="AE4160" s="352"/>
      <c r="AF4160" s="352"/>
      <c r="AG4160" s="352"/>
      <c r="AH4160" s="352"/>
      <c r="AI4160" s="352"/>
      <c r="AJ4160" s="352"/>
    </row>
    <row r="4161" spans="2:36" x14ac:dyDescent="0.2">
      <c r="B4161" s="352"/>
      <c r="C4161" s="352"/>
      <c r="D4161" s="352"/>
      <c r="E4161" s="352"/>
      <c r="F4161" s="352"/>
      <c r="H4161" s="352"/>
      <c r="J4161" s="352"/>
      <c r="L4161" s="352"/>
      <c r="M4161" s="352"/>
      <c r="N4161" s="352"/>
      <c r="O4161" s="352"/>
      <c r="P4161" s="352"/>
      <c r="Q4161" s="352"/>
      <c r="R4161" s="352"/>
      <c r="S4161" s="352"/>
      <c r="T4161" s="352"/>
      <c r="U4161" s="352"/>
      <c r="V4161" s="352"/>
      <c r="W4161" s="352"/>
      <c r="X4161" s="352"/>
      <c r="Y4161" s="352"/>
      <c r="Z4161" s="352"/>
      <c r="AA4161" s="352"/>
      <c r="AB4161" s="352"/>
      <c r="AC4161" s="352"/>
      <c r="AD4161" s="352"/>
      <c r="AE4161" s="352"/>
      <c r="AF4161" s="352"/>
      <c r="AG4161" s="352"/>
      <c r="AH4161" s="352"/>
      <c r="AI4161" s="352"/>
      <c r="AJ4161" s="352"/>
    </row>
    <row r="4162" spans="2:36" x14ac:dyDescent="0.2">
      <c r="B4162" s="352"/>
      <c r="C4162" s="352"/>
      <c r="D4162" s="352"/>
      <c r="E4162" s="352"/>
      <c r="F4162" s="352"/>
      <c r="H4162" s="352"/>
      <c r="J4162" s="352"/>
      <c r="L4162" s="352"/>
      <c r="M4162" s="352"/>
      <c r="N4162" s="352"/>
      <c r="O4162" s="352"/>
      <c r="P4162" s="352"/>
      <c r="Q4162" s="352"/>
      <c r="R4162" s="352"/>
      <c r="S4162" s="352"/>
      <c r="T4162" s="352"/>
      <c r="U4162" s="352"/>
      <c r="V4162" s="352"/>
      <c r="W4162" s="352"/>
      <c r="X4162" s="352"/>
      <c r="Y4162" s="352"/>
      <c r="Z4162" s="352"/>
      <c r="AA4162" s="352"/>
      <c r="AB4162" s="352"/>
      <c r="AC4162" s="352"/>
      <c r="AD4162" s="352"/>
      <c r="AE4162" s="352"/>
      <c r="AF4162" s="352"/>
      <c r="AG4162" s="352"/>
      <c r="AH4162" s="352"/>
      <c r="AI4162" s="352"/>
      <c r="AJ4162" s="352"/>
    </row>
    <row r="4163" spans="2:36" x14ac:dyDescent="0.2">
      <c r="B4163" s="352"/>
      <c r="C4163" s="352"/>
      <c r="D4163" s="352"/>
      <c r="E4163" s="352"/>
      <c r="F4163" s="352"/>
      <c r="H4163" s="352"/>
      <c r="J4163" s="352"/>
      <c r="L4163" s="352"/>
      <c r="M4163" s="352"/>
      <c r="N4163" s="352"/>
      <c r="O4163" s="352"/>
      <c r="P4163" s="352"/>
      <c r="Q4163" s="352"/>
      <c r="R4163" s="352"/>
      <c r="S4163" s="352"/>
      <c r="T4163" s="352"/>
      <c r="U4163" s="352"/>
      <c r="V4163" s="352"/>
      <c r="W4163" s="352"/>
      <c r="X4163" s="352"/>
      <c r="Y4163" s="352"/>
      <c r="Z4163" s="352"/>
      <c r="AA4163" s="352"/>
      <c r="AB4163" s="352"/>
      <c r="AC4163" s="352"/>
      <c r="AD4163" s="352"/>
      <c r="AE4163" s="352"/>
      <c r="AF4163" s="352"/>
      <c r="AG4163" s="352"/>
      <c r="AH4163" s="352"/>
      <c r="AI4163" s="352"/>
      <c r="AJ4163" s="352"/>
    </row>
    <row r="4164" spans="2:36" x14ac:dyDescent="0.2">
      <c r="B4164" s="352"/>
      <c r="C4164" s="352"/>
      <c r="D4164" s="352"/>
      <c r="E4164" s="352"/>
      <c r="F4164" s="352"/>
      <c r="H4164" s="352"/>
      <c r="J4164" s="352"/>
      <c r="L4164" s="352"/>
      <c r="M4164" s="352"/>
      <c r="N4164" s="352"/>
      <c r="O4164" s="352"/>
      <c r="P4164" s="352"/>
      <c r="Q4164" s="352"/>
      <c r="R4164" s="352"/>
      <c r="S4164" s="352"/>
      <c r="T4164" s="352"/>
      <c r="U4164" s="352"/>
      <c r="V4164" s="352"/>
      <c r="W4164" s="352"/>
      <c r="X4164" s="352"/>
      <c r="Y4164" s="352"/>
      <c r="Z4164" s="352"/>
      <c r="AA4164" s="352"/>
      <c r="AB4164" s="352"/>
      <c r="AC4164" s="352"/>
      <c r="AD4164" s="352"/>
      <c r="AE4164" s="352"/>
      <c r="AF4164" s="352"/>
      <c r="AG4164" s="352"/>
      <c r="AH4164" s="352"/>
      <c r="AI4164" s="352"/>
      <c r="AJ4164" s="352"/>
    </row>
    <row r="4165" spans="2:36" x14ac:dyDescent="0.2">
      <c r="B4165" s="352"/>
      <c r="C4165" s="352"/>
      <c r="D4165" s="352"/>
      <c r="E4165" s="352"/>
      <c r="F4165" s="352"/>
      <c r="H4165" s="352"/>
      <c r="J4165" s="352"/>
      <c r="L4165" s="352"/>
      <c r="M4165" s="352"/>
      <c r="N4165" s="352"/>
      <c r="O4165" s="352"/>
      <c r="P4165" s="352"/>
      <c r="Q4165" s="352"/>
      <c r="R4165" s="352"/>
      <c r="S4165" s="352"/>
      <c r="T4165" s="352"/>
      <c r="U4165" s="352"/>
      <c r="V4165" s="352"/>
      <c r="W4165" s="352"/>
      <c r="X4165" s="352"/>
      <c r="Y4165" s="352"/>
      <c r="Z4165" s="352"/>
      <c r="AA4165" s="352"/>
      <c r="AB4165" s="352"/>
      <c r="AC4165" s="352"/>
      <c r="AD4165" s="352"/>
      <c r="AE4165" s="352"/>
      <c r="AF4165" s="352"/>
      <c r="AG4165" s="352"/>
      <c r="AH4165" s="352"/>
      <c r="AI4165" s="352"/>
      <c r="AJ4165" s="352"/>
    </row>
    <row r="4166" spans="2:36" x14ac:dyDescent="0.2">
      <c r="B4166" s="352"/>
      <c r="C4166" s="352"/>
      <c r="D4166" s="352"/>
      <c r="E4166" s="352"/>
      <c r="F4166" s="352"/>
      <c r="H4166" s="352"/>
      <c r="J4166" s="352"/>
      <c r="L4166" s="352"/>
      <c r="M4166" s="352"/>
      <c r="N4166" s="352"/>
      <c r="O4166" s="352"/>
      <c r="P4166" s="352"/>
      <c r="Q4166" s="352"/>
      <c r="R4166" s="352"/>
      <c r="S4166" s="352"/>
      <c r="T4166" s="352"/>
      <c r="U4166" s="352"/>
      <c r="V4166" s="352"/>
      <c r="W4166" s="352"/>
      <c r="X4166" s="352"/>
      <c r="Y4166" s="352"/>
      <c r="Z4166" s="352"/>
      <c r="AA4166" s="352"/>
      <c r="AB4166" s="352"/>
      <c r="AC4166" s="352"/>
      <c r="AD4166" s="352"/>
      <c r="AE4166" s="352"/>
      <c r="AF4166" s="352"/>
      <c r="AG4166" s="352"/>
      <c r="AH4166" s="352"/>
      <c r="AI4166" s="352"/>
      <c r="AJ4166" s="352"/>
    </row>
    <row r="4167" spans="2:36" x14ac:dyDescent="0.2">
      <c r="B4167" s="352"/>
      <c r="C4167" s="352"/>
      <c r="D4167" s="352"/>
      <c r="E4167" s="352"/>
      <c r="F4167" s="352"/>
      <c r="H4167" s="352"/>
      <c r="J4167" s="352"/>
      <c r="L4167" s="352"/>
      <c r="M4167" s="352"/>
      <c r="N4167" s="352"/>
      <c r="O4167" s="352"/>
      <c r="P4167" s="352"/>
      <c r="Q4167" s="352"/>
      <c r="R4167" s="352"/>
      <c r="S4167" s="352"/>
      <c r="T4167" s="352"/>
      <c r="U4167" s="352"/>
      <c r="V4167" s="352"/>
      <c r="W4167" s="352"/>
      <c r="X4167" s="352"/>
      <c r="Y4167" s="352"/>
      <c r="Z4167" s="352"/>
      <c r="AA4167" s="352"/>
      <c r="AB4167" s="352"/>
      <c r="AC4167" s="352"/>
      <c r="AD4167" s="352"/>
      <c r="AE4167" s="352"/>
      <c r="AF4167" s="352"/>
      <c r="AG4167" s="352"/>
      <c r="AH4167" s="352"/>
      <c r="AI4167" s="352"/>
      <c r="AJ4167" s="352"/>
    </row>
    <row r="4168" spans="2:36" x14ac:dyDescent="0.2">
      <c r="B4168" s="352"/>
      <c r="C4168" s="352"/>
      <c r="D4168" s="352"/>
      <c r="E4168" s="352"/>
      <c r="F4168" s="352"/>
      <c r="H4168" s="352"/>
      <c r="J4168" s="352"/>
      <c r="L4168" s="352"/>
      <c r="M4168" s="352"/>
      <c r="N4168" s="352"/>
      <c r="O4168" s="352"/>
      <c r="P4168" s="352"/>
      <c r="Q4168" s="352"/>
      <c r="R4168" s="352"/>
      <c r="S4168" s="352"/>
      <c r="T4168" s="352"/>
      <c r="U4168" s="352"/>
      <c r="V4168" s="352"/>
      <c r="W4168" s="352"/>
      <c r="X4168" s="352"/>
      <c r="Y4168" s="352"/>
      <c r="Z4168" s="352"/>
      <c r="AA4168" s="352"/>
      <c r="AB4168" s="352"/>
      <c r="AC4168" s="352"/>
      <c r="AD4168" s="352"/>
      <c r="AE4168" s="352"/>
      <c r="AF4168" s="352"/>
      <c r="AG4168" s="352"/>
      <c r="AH4168" s="352"/>
      <c r="AI4168" s="352"/>
      <c r="AJ4168" s="352"/>
    </row>
    <row r="4169" spans="2:36" x14ac:dyDescent="0.2">
      <c r="B4169" s="352"/>
      <c r="C4169" s="352"/>
      <c r="D4169" s="352"/>
      <c r="E4169" s="352"/>
      <c r="F4169" s="352"/>
      <c r="H4169" s="352"/>
      <c r="J4169" s="352"/>
      <c r="L4169" s="352"/>
      <c r="M4169" s="352"/>
      <c r="N4169" s="352"/>
      <c r="O4169" s="352"/>
      <c r="P4169" s="352"/>
      <c r="Q4169" s="352"/>
      <c r="R4169" s="352"/>
      <c r="S4169" s="352"/>
      <c r="T4169" s="352"/>
      <c r="U4169" s="352"/>
      <c r="V4169" s="352"/>
      <c r="W4169" s="352"/>
      <c r="X4169" s="352"/>
      <c r="Y4169" s="352"/>
      <c r="Z4169" s="352"/>
      <c r="AA4169" s="352"/>
      <c r="AB4169" s="352"/>
      <c r="AC4169" s="352"/>
      <c r="AD4169" s="352"/>
      <c r="AE4169" s="352"/>
      <c r="AF4169" s="352"/>
      <c r="AG4169" s="352"/>
      <c r="AH4169" s="352"/>
      <c r="AI4169" s="352"/>
      <c r="AJ4169" s="352"/>
    </row>
    <row r="4170" spans="2:36" x14ac:dyDescent="0.2">
      <c r="B4170" s="352"/>
      <c r="C4170" s="352"/>
      <c r="D4170" s="352"/>
      <c r="E4170" s="352"/>
      <c r="F4170" s="352"/>
      <c r="H4170" s="352"/>
      <c r="J4170" s="352"/>
      <c r="L4170" s="352"/>
      <c r="M4170" s="352"/>
      <c r="N4170" s="352"/>
      <c r="O4170" s="352"/>
      <c r="P4170" s="352"/>
      <c r="Q4170" s="352"/>
      <c r="R4170" s="352"/>
      <c r="S4170" s="352"/>
      <c r="T4170" s="352"/>
      <c r="U4170" s="352"/>
      <c r="V4170" s="352"/>
      <c r="W4170" s="352"/>
      <c r="X4170" s="352"/>
      <c r="Y4170" s="352"/>
      <c r="Z4170" s="352"/>
      <c r="AA4170" s="352"/>
      <c r="AB4170" s="352"/>
      <c r="AC4170" s="352"/>
      <c r="AD4170" s="352"/>
      <c r="AE4170" s="352"/>
      <c r="AF4170" s="352"/>
      <c r="AG4170" s="352"/>
      <c r="AH4170" s="352"/>
      <c r="AI4170" s="352"/>
      <c r="AJ4170" s="352"/>
    </row>
    <row r="4171" spans="2:36" x14ac:dyDescent="0.2">
      <c r="B4171" s="352"/>
      <c r="C4171" s="352"/>
      <c r="D4171" s="352"/>
      <c r="E4171" s="352"/>
      <c r="F4171" s="352"/>
      <c r="H4171" s="352"/>
      <c r="J4171" s="352"/>
      <c r="L4171" s="352"/>
      <c r="M4171" s="352"/>
      <c r="N4171" s="352"/>
      <c r="O4171" s="352"/>
      <c r="P4171" s="352"/>
      <c r="Q4171" s="352"/>
      <c r="R4171" s="352"/>
      <c r="S4171" s="352"/>
      <c r="T4171" s="352"/>
      <c r="U4171" s="352"/>
      <c r="V4171" s="352"/>
      <c r="W4171" s="352"/>
      <c r="X4171" s="352"/>
      <c r="Y4171" s="352"/>
      <c r="Z4171" s="352"/>
      <c r="AA4171" s="352"/>
      <c r="AB4171" s="352"/>
      <c r="AC4171" s="352"/>
      <c r="AD4171" s="352"/>
      <c r="AE4171" s="352"/>
      <c r="AF4171" s="352"/>
      <c r="AG4171" s="352"/>
      <c r="AH4171" s="352"/>
      <c r="AI4171" s="352"/>
      <c r="AJ4171" s="352"/>
    </row>
    <row r="4172" spans="2:36" x14ac:dyDescent="0.2">
      <c r="B4172" s="352"/>
      <c r="C4172" s="352"/>
      <c r="D4172" s="352"/>
      <c r="E4172" s="352"/>
      <c r="F4172" s="352"/>
      <c r="H4172" s="352"/>
      <c r="J4172" s="352"/>
      <c r="L4172" s="352"/>
      <c r="M4172" s="352"/>
      <c r="N4172" s="352"/>
      <c r="O4172" s="352"/>
      <c r="P4172" s="352"/>
      <c r="Q4172" s="352"/>
      <c r="R4172" s="352"/>
      <c r="S4172" s="352"/>
      <c r="T4172" s="352"/>
      <c r="U4172" s="352"/>
      <c r="V4172" s="352"/>
      <c r="W4172" s="352"/>
      <c r="X4172" s="352"/>
      <c r="Y4172" s="352"/>
      <c r="Z4172" s="352"/>
      <c r="AA4172" s="352"/>
      <c r="AB4172" s="352"/>
      <c r="AC4172" s="352"/>
      <c r="AD4172" s="352"/>
      <c r="AE4172" s="352"/>
      <c r="AF4172" s="352"/>
      <c r="AG4172" s="352"/>
      <c r="AH4172" s="352"/>
      <c r="AI4172" s="352"/>
      <c r="AJ4172" s="352"/>
    </row>
    <row r="4173" spans="2:36" x14ac:dyDescent="0.2">
      <c r="B4173" s="352"/>
      <c r="C4173" s="352"/>
      <c r="D4173" s="352"/>
      <c r="E4173" s="352"/>
      <c r="F4173" s="352"/>
      <c r="H4173" s="352"/>
      <c r="J4173" s="352"/>
      <c r="L4173" s="352"/>
      <c r="M4173" s="352"/>
      <c r="N4173" s="352"/>
      <c r="O4173" s="352"/>
      <c r="P4173" s="352"/>
      <c r="Q4173" s="352"/>
      <c r="R4173" s="352"/>
      <c r="S4173" s="352"/>
      <c r="T4173" s="352"/>
      <c r="U4173" s="352"/>
      <c r="V4173" s="352"/>
      <c r="W4173" s="352"/>
      <c r="X4173" s="352"/>
      <c r="Y4173" s="352"/>
      <c r="Z4173" s="352"/>
      <c r="AA4173" s="352"/>
      <c r="AB4173" s="352"/>
      <c r="AC4173" s="352"/>
      <c r="AD4173" s="352"/>
      <c r="AE4173" s="352"/>
      <c r="AF4173" s="352"/>
      <c r="AG4173" s="352"/>
      <c r="AH4173" s="352"/>
      <c r="AI4173" s="352"/>
      <c r="AJ4173" s="352"/>
    </row>
    <row r="4174" spans="2:36" x14ac:dyDescent="0.2">
      <c r="B4174" s="352"/>
      <c r="C4174" s="352"/>
      <c r="D4174" s="352"/>
      <c r="E4174" s="352"/>
      <c r="F4174" s="352"/>
      <c r="H4174" s="352"/>
      <c r="J4174" s="352"/>
      <c r="L4174" s="352"/>
      <c r="M4174" s="352"/>
      <c r="N4174" s="352"/>
      <c r="O4174" s="352"/>
      <c r="P4174" s="352"/>
      <c r="Q4174" s="352"/>
      <c r="R4174" s="352"/>
      <c r="S4174" s="352"/>
      <c r="T4174" s="352"/>
      <c r="U4174" s="352"/>
      <c r="V4174" s="352"/>
      <c r="W4174" s="352"/>
      <c r="X4174" s="352"/>
      <c r="Y4174" s="352"/>
      <c r="Z4174" s="352"/>
      <c r="AA4174" s="352"/>
      <c r="AB4174" s="352"/>
      <c r="AC4174" s="352"/>
      <c r="AD4174" s="352"/>
      <c r="AE4174" s="352"/>
      <c r="AF4174" s="352"/>
      <c r="AG4174" s="352"/>
      <c r="AH4174" s="352"/>
      <c r="AI4174" s="352"/>
      <c r="AJ4174" s="352"/>
    </row>
    <row r="4175" spans="2:36" x14ac:dyDescent="0.2">
      <c r="B4175" s="352"/>
      <c r="C4175" s="352"/>
      <c r="D4175" s="352"/>
      <c r="E4175" s="352"/>
      <c r="F4175" s="352"/>
      <c r="H4175" s="352"/>
      <c r="J4175" s="352"/>
      <c r="L4175" s="352"/>
      <c r="M4175" s="352"/>
      <c r="N4175" s="352"/>
      <c r="O4175" s="352"/>
      <c r="P4175" s="352"/>
      <c r="Q4175" s="352"/>
      <c r="R4175" s="352"/>
      <c r="S4175" s="352"/>
      <c r="T4175" s="352"/>
      <c r="U4175" s="352"/>
      <c r="V4175" s="352"/>
      <c r="W4175" s="352"/>
      <c r="X4175" s="352"/>
      <c r="Y4175" s="352"/>
      <c r="Z4175" s="352"/>
      <c r="AA4175" s="352"/>
      <c r="AB4175" s="352"/>
      <c r="AC4175" s="352"/>
      <c r="AD4175" s="352"/>
      <c r="AE4175" s="352"/>
      <c r="AF4175" s="352"/>
      <c r="AG4175" s="352"/>
      <c r="AH4175" s="352"/>
      <c r="AI4175" s="352"/>
      <c r="AJ4175" s="352"/>
    </row>
    <row r="4176" spans="2:36" x14ac:dyDescent="0.2">
      <c r="B4176" s="352"/>
      <c r="C4176" s="352"/>
      <c r="D4176" s="352"/>
      <c r="E4176" s="352"/>
      <c r="F4176" s="352"/>
      <c r="H4176" s="352"/>
      <c r="J4176" s="352"/>
      <c r="L4176" s="352"/>
      <c r="M4176" s="352"/>
      <c r="N4176" s="352"/>
      <c r="O4176" s="352"/>
      <c r="P4176" s="352"/>
      <c r="Q4176" s="352"/>
      <c r="R4176" s="352"/>
      <c r="S4176" s="352"/>
      <c r="T4176" s="352"/>
      <c r="U4176" s="352"/>
      <c r="V4176" s="352"/>
      <c r="W4176" s="352"/>
      <c r="X4176" s="352"/>
      <c r="Y4176" s="352"/>
      <c r="Z4176" s="352"/>
      <c r="AA4176" s="352"/>
      <c r="AB4176" s="352"/>
      <c r="AC4176" s="352"/>
      <c r="AD4176" s="352"/>
      <c r="AE4176" s="352"/>
      <c r="AF4176" s="352"/>
      <c r="AG4176" s="352"/>
      <c r="AH4176" s="352"/>
      <c r="AI4176" s="352"/>
      <c r="AJ4176" s="352"/>
    </row>
    <row r="4177" spans="2:36" x14ac:dyDescent="0.2">
      <c r="B4177" s="352"/>
      <c r="C4177" s="352"/>
      <c r="D4177" s="352"/>
      <c r="E4177" s="352"/>
      <c r="F4177" s="352"/>
      <c r="H4177" s="352"/>
      <c r="J4177" s="352"/>
      <c r="L4177" s="352"/>
      <c r="M4177" s="352"/>
      <c r="N4177" s="352"/>
      <c r="O4177" s="352"/>
      <c r="P4177" s="352"/>
      <c r="Q4177" s="352"/>
      <c r="R4177" s="352"/>
      <c r="S4177" s="352"/>
      <c r="T4177" s="352"/>
      <c r="U4177" s="352"/>
      <c r="V4177" s="352"/>
      <c r="W4177" s="352"/>
      <c r="X4177" s="352"/>
      <c r="Y4177" s="352"/>
      <c r="Z4177" s="352"/>
      <c r="AA4177" s="352"/>
      <c r="AB4177" s="352"/>
      <c r="AC4177" s="352"/>
      <c r="AD4177" s="352"/>
      <c r="AE4177" s="352"/>
      <c r="AF4177" s="352"/>
      <c r="AG4177" s="352"/>
      <c r="AH4177" s="352"/>
      <c r="AI4177" s="352"/>
      <c r="AJ4177" s="352"/>
    </row>
    <row r="4178" spans="2:36" x14ac:dyDescent="0.2">
      <c r="B4178" s="352"/>
      <c r="C4178" s="352"/>
      <c r="D4178" s="352"/>
      <c r="E4178" s="352"/>
      <c r="F4178" s="352"/>
      <c r="H4178" s="352"/>
      <c r="J4178" s="352"/>
      <c r="L4178" s="352"/>
      <c r="M4178" s="352"/>
      <c r="N4178" s="352"/>
      <c r="O4178" s="352"/>
      <c r="P4178" s="352"/>
      <c r="Q4178" s="352"/>
      <c r="R4178" s="352"/>
      <c r="S4178" s="352"/>
      <c r="T4178" s="352"/>
      <c r="U4178" s="352"/>
      <c r="V4178" s="352"/>
      <c r="W4178" s="352"/>
      <c r="X4178" s="352"/>
      <c r="Y4178" s="352"/>
      <c r="Z4178" s="352"/>
      <c r="AA4178" s="352"/>
      <c r="AB4178" s="352"/>
      <c r="AC4178" s="352"/>
      <c r="AD4178" s="352"/>
      <c r="AE4178" s="352"/>
      <c r="AF4178" s="352"/>
      <c r="AG4178" s="352"/>
      <c r="AH4178" s="352"/>
      <c r="AI4178" s="352"/>
      <c r="AJ4178" s="352"/>
    </row>
    <row r="4179" spans="2:36" x14ac:dyDescent="0.2">
      <c r="B4179" s="352"/>
      <c r="C4179" s="352"/>
      <c r="D4179" s="352"/>
      <c r="E4179" s="352"/>
      <c r="F4179" s="352"/>
      <c r="H4179" s="352"/>
      <c r="J4179" s="352"/>
      <c r="L4179" s="352"/>
      <c r="M4179" s="352"/>
      <c r="N4179" s="352"/>
      <c r="O4179" s="352"/>
      <c r="P4179" s="352"/>
      <c r="Q4179" s="352"/>
      <c r="R4179" s="352"/>
      <c r="S4179" s="352"/>
      <c r="T4179" s="352"/>
      <c r="U4179" s="352"/>
      <c r="V4179" s="352"/>
      <c r="W4179" s="352"/>
      <c r="X4179" s="352"/>
      <c r="Y4179" s="352"/>
      <c r="Z4179" s="352"/>
      <c r="AA4179" s="352"/>
      <c r="AB4179" s="352"/>
      <c r="AC4179" s="352"/>
      <c r="AD4179" s="352"/>
      <c r="AE4179" s="352"/>
      <c r="AF4179" s="352"/>
      <c r="AG4179" s="352"/>
      <c r="AH4179" s="352"/>
      <c r="AI4179" s="352"/>
      <c r="AJ4179" s="352"/>
    </row>
    <row r="4180" spans="2:36" x14ac:dyDescent="0.2">
      <c r="B4180" s="352"/>
      <c r="C4180" s="352"/>
      <c r="D4180" s="352"/>
      <c r="E4180" s="352"/>
      <c r="F4180" s="352"/>
      <c r="H4180" s="352"/>
      <c r="J4180" s="352"/>
      <c r="L4180" s="352"/>
      <c r="M4180" s="352"/>
      <c r="N4180" s="352"/>
      <c r="O4180" s="352"/>
      <c r="P4180" s="352"/>
      <c r="Q4180" s="352"/>
      <c r="R4180" s="352"/>
      <c r="S4180" s="352"/>
      <c r="T4180" s="352"/>
      <c r="U4180" s="352"/>
      <c r="V4180" s="352"/>
      <c r="W4180" s="352"/>
      <c r="X4180" s="352"/>
      <c r="Y4180" s="352"/>
      <c r="Z4180" s="352"/>
      <c r="AA4180" s="352"/>
      <c r="AB4180" s="352"/>
      <c r="AC4180" s="352"/>
      <c r="AD4180" s="352"/>
      <c r="AE4180" s="352"/>
      <c r="AF4180" s="352"/>
      <c r="AG4180" s="352"/>
      <c r="AH4180" s="352"/>
      <c r="AI4180" s="352"/>
      <c r="AJ4180" s="352"/>
    </row>
    <row r="4181" spans="2:36" x14ac:dyDescent="0.2">
      <c r="B4181" s="352"/>
      <c r="C4181" s="352"/>
      <c r="D4181" s="352"/>
      <c r="E4181" s="352"/>
      <c r="F4181" s="352"/>
      <c r="H4181" s="352"/>
      <c r="J4181" s="352"/>
      <c r="L4181" s="352"/>
      <c r="M4181" s="352"/>
      <c r="N4181" s="352"/>
      <c r="O4181" s="352"/>
      <c r="P4181" s="352"/>
      <c r="Q4181" s="352"/>
      <c r="R4181" s="352"/>
      <c r="S4181" s="352"/>
      <c r="T4181" s="352"/>
      <c r="U4181" s="352"/>
      <c r="V4181" s="352"/>
      <c r="W4181" s="352"/>
      <c r="X4181" s="352"/>
      <c r="Y4181" s="352"/>
      <c r="Z4181" s="352"/>
      <c r="AA4181" s="352"/>
      <c r="AB4181" s="352"/>
      <c r="AC4181" s="352"/>
      <c r="AD4181" s="352"/>
      <c r="AE4181" s="352"/>
      <c r="AF4181" s="352"/>
      <c r="AG4181" s="352"/>
      <c r="AH4181" s="352"/>
      <c r="AI4181" s="352"/>
      <c r="AJ4181" s="352"/>
    </row>
    <row r="4182" spans="2:36" x14ac:dyDescent="0.2">
      <c r="B4182" s="352"/>
      <c r="C4182" s="352"/>
      <c r="D4182" s="352"/>
      <c r="E4182" s="352"/>
      <c r="F4182" s="352"/>
      <c r="H4182" s="352"/>
      <c r="J4182" s="352"/>
      <c r="L4182" s="352"/>
      <c r="M4182" s="352"/>
      <c r="N4182" s="352"/>
      <c r="O4182" s="352"/>
      <c r="P4182" s="352"/>
      <c r="Q4182" s="352"/>
      <c r="R4182" s="352"/>
      <c r="S4182" s="352"/>
      <c r="T4182" s="352"/>
      <c r="U4182" s="352"/>
      <c r="V4182" s="352"/>
      <c r="W4182" s="352"/>
      <c r="X4182" s="352"/>
      <c r="Y4182" s="352"/>
      <c r="Z4182" s="352"/>
      <c r="AA4182" s="352"/>
      <c r="AB4182" s="352"/>
      <c r="AC4182" s="352"/>
      <c r="AD4182" s="352"/>
      <c r="AE4182" s="352"/>
      <c r="AF4182" s="352"/>
      <c r="AG4182" s="352"/>
      <c r="AH4182" s="352"/>
      <c r="AI4182" s="352"/>
      <c r="AJ4182" s="352"/>
    </row>
    <row r="4183" spans="2:36" x14ac:dyDescent="0.2">
      <c r="B4183" s="352"/>
      <c r="C4183" s="352"/>
      <c r="D4183" s="352"/>
      <c r="E4183" s="352"/>
      <c r="F4183" s="352"/>
      <c r="H4183" s="352"/>
      <c r="J4183" s="352"/>
      <c r="L4183" s="352"/>
      <c r="M4183" s="352"/>
      <c r="N4183" s="352"/>
      <c r="O4183" s="352"/>
      <c r="P4183" s="352"/>
      <c r="Q4183" s="352"/>
      <c r="R4183" s="352"/>
      <c r="S4183" s="352"/>
      <c r="T4183" s="352"/>
      <c r="U4183" s="352"/>
      <c r="V4183" s="352"/>
      <c r="W4183" s="352"/>
      <c r="X4183" s="352"/>
      <c r="Y4183" s="352"/>
      <c r="Z4183" s="352"/>
      <c r="AA4183" s="352"/>
      <c r="AB4183" s="352"/>
      <c r="AC4183" s="352"/>
      <c r="AD4183" s="352"/>
      <c r="AE4183" s="352"/>
      <c r="AF4183" s="352"/>
      <c r="AG4183" s="352"/>
      <c r="AH4183" s="352"/>
      <c r="AI4183" s="352"/>
      <c r="AJ4183" s="352"/>
    </row>
    <row r="4184" spans="2:36" x14ac:dyDescent="0.2">
      <c r="B4184" s="352"/>
      <c r="C4184" s="352"/>
      <c r="D4184" s="352"/>
      <c r="E4184" s="352"/>
      <c r="F4184" s="352"/>
      <c r="H4184" s="352"/>
      <c r="J4184" s="352"/>
      <c r="L4184" s="352"/>
      <c r="M4184" s="352"/>
      <c r="N4184" s="352"/>
      <c r="O4184" s="352"/>
      <c r="P4184" s="352"/>
      <c r="Q4184" s="352"/>
      <c r="R4184" s="352"/>
      <c r="S4184" s="352"/>
      <c r="T4184" s="352"/>
      <c r="U4184" s="352"/>
      <c r="V4184" s="352"/>
      <c r="W4184" s="352"/>
      <c r="X4184" s="352"/>
      <c r="Y4184" s="352"/>
      <c r="Z4184" s="352"/>
      <c r="AA4184" s="352"/>
      <c r="AB4184" s="352"/>
      <c r="AC4184" s="352"/>
      <c r="AD4184" s="352"/>
      <c r="AE4184" s="352"/>
      <c r="AF4184" s="352"/>
      <c r="AG4184" s="352"/>
      <c r="AH4184" s="352"/>
      <c r="AI4184" s="352"/>
      <c r="AJ4184" s="352"/>
    </row>
    <row r="4185" spans="2:36" x14ac:dyDescent="0.2">
      <c r="B4185" s="352"/>
      <c r="C4185" s="352"/>
      <c r="D4185" s="352"/>
      <c r="E4185" s="352"/>
      <c r="F4185" s="352"/>
      <c r="H4185" s="352"/>
      <c r="J4185" s="352"/>
      <c r="L4185" s="352"/>
      <c r="M4185" s="352"/>
      <c r="N4185" s="352"/>
      <c r="O4185" s="352"/>
      <c r="P4185" s="352"/>
      <c r="Q4185" s="352"/>
      <c r="R4185" s="352"/>
      <c r="S4185" s="352"/>
      <c r="T4185" s="352"/>
      <c r="U4185" s="352"/>
      <c r="V4185" s="352"/>
      <c r="W4185" s="352"/>
      <c r="X4185" s="352"/>
      <c r="Y4185" s="352"/>
      <c r="Z4185" s="352"/>
      <c r="AA4185" s="352"/>
      <c r="AB4185" s="352"/>
      <c r="AC4185" s="352"/>
      <c r="AD4185" s="352"/>
      <c r="AE4185" s="352"/>
      <c r="AF4185" s="352"/>
      <c r="AG4185" s="352"/>
      <c r="AH4185" s="352"/>
      <c r="AI4185" s="352"/>
      <c r="AJ4185" s="352"/>
    </row>
    <row r="4186" spans="2:36" x14ac:dyDescent="0.2">
      <c r="B4186" s="352"/>
      <c r="C4186" s="352"/>
      <c r="D4186" s="352"/>
      <c r="E4186" s="352"/>
      <c r="F4186" s="352"/>
      <c r="H4186" s="352"/>
      <c r="J4186" s="352"/>
      <c r="L4186" s="352"/>
      <c r="M4186" s="352"/>
      <c r="N4186" s="352"/>
      <c r="O4186" s="352"/>
      <c r="P4186" s="352"/>
      <c r="Q4186" s="352"/>
      <c r="R4186" s="352"/>
      <c r="S4186" s="352"/>
      <c r="T4186" s="352"/>
      <c r="U4186" s="352"/>
      <c r="V4186" s="352"/>
      <c r="W4186" s="352"/>
      <c r="X4186" s="352"/>
      <c r="Y4186" s="352"/>
      <c r="Z4186" s="352"/>
      <c r="AA4186" s="352"/>
      <c r="AB4186" s="352"/>
      <c r="AC4186" s="352"/>
      <c r="AD4186" s="352"/>
      <c r="AE4186" s="352"/>
      <c r="AF4186" s="352"/>
      <c r="AG4186" s="352"/>
      <c r="AH4186" s="352"/>
      <c r="AI4186" s="352"/>
      <c r="AJ4186" s="352"/>
    </row>
    <row r="4187" spans="2:36" x14ac:dyDescent="0.2">
      <c r="B4187" s="352"/>
      <c r="C4187" s="352"/>
      <c r="D4187" s="352"/>
      <c r="E4187" s="352"/>
      <c r="F4187" s="352"/>
      <c r="H4187" s="352"/>
      <c r="J4187" s="352"/>
      <c r="L4187" s="352"/>
      <c r="M4187" s="352"/>
      <c r="N4187" s="352"/>
      <c r="O4187" s="352"/>
      <c r="P4187" s="352"/>
      <c r="Q4187" s="352"/>
      <c r="R4187" s="352"/>
      <c r="S4187" s="352"/>
      <c r="T4187" s="352"/>
      <c r="U4187" s="352"/>
      <c r="V4187" s="352"/>
      <c r="W4187" s="352"/>
      <c r="X4187" s="352"/>
      <c r="Y4187" s="352"/>
      <c r="Z4187" s="352"/>
      <c r="AA4187" s="352"/>
      <c r="AB4187" s="352"/>
      <c r="AC4187" s="352"/>
      <c r="AD4187" s="352"/>
      <c r="AE4187" s="352"/>
      <c r="AF4187" s="352"/>
      <c r="AG4187" s="352"/>
      <c r="AH4187" s="352"/>
      <c r="AI4187" s="352"/>
      <c r="AJ4187" s="352"/>
    </row>
    <row r="4188" spans="2:36" x14ac:dyDescent="0.2">
      <c r="B4188" s="352"/>
      <c r="C4188" s="352"/>
      <c r="D4188" s="352"/>
      <c r="E4188" s="352"/>
      <c r="F4188" s="352"/>
      <c r="H4188" s="352"/>
      <c r="J4188" s="352"/>
      <c r="L4188" s="352"/>
      <c r="M4188" s="352"/>
      <c r="N4188" s="352"/>
      <c r="O4188" s="352"/>
      <c r="P4188" s="352"/>
      <c r="Q4188" s="352"/>
      <c r="R4188" s="352"/>
      <c r="S4188" s="352"/>
      <c r="T4188" s="352"/>
      <c r="U4188" s="352"/>
      <c r="V4188" s="352"/>
      <c r="W4188" s="352"/>
      <c r="X4188" s="352"/>
      <c r="Y4188" s="352"/>
      <c r="Z4188" s="352"/>
      <c r="AA4188" s="352"/>
      <c r="AB4188" s="352"/>
      <c r="AC4188" s="352"/>
      <c r="AD4188" s="352"/>
      <c r="AE4188" s="352"/>
      <c r="AF4188" s="352"/>
      <c r="AG4188" s="352"/>
      <c r="AH4188" s="352"/>
      <c r="AI4188" s="352"/>
      <c r="AJ4188" s="352"/>
    </row>
    <row r="4189" spans="2:36" x14ac:dyDescent="0.2">
      <c r="B4189" s="352"/>
      <c r="C4189" s="352"/>
      <c r="D4189" s="352"/>
      <c r="E4189" s="352"/>
      <c r="F4189" s="352"/>
      <c r="H4189" s="352"/>
      <c r="J4189" s="352"/>
      <c r="L4189" s="352"/>
      <c r="M4189" s="352"/>
      <c r="N4189" s="352"/>
      <c r="O4189" s="352"/>
      <c r="P4189" s="352"/>
      <c r="Q4189" s="352"/>
      <c r="R4189" s="352"/>
      <c r="S4189" s="352"/>
      <c r="T4189" s="352"/>
      <c r="U4189" s="352"/>
      <c r="V4189" s="352"/>
      <c r="W4189" s="352"/>
      <c r="X4189" s="352"/>
      <c r="Y4189" s="352"/>
      <c r="Z4189" s="352"/>
      <c r="AA4189" s="352"/>
      <c r="AB4189" s="352"/>
      <c r="AC4189" s="352"/>
      <c r="AD4189" s="352"/>
      <c r="AE4189" s="352"/>
      <c r="AF4189" s="352"/>
      <c r="AG4189" s="352"/>
      <c r="AH4189" s="352"/>
      <c r="AI4189" s="352"/>
      <c r="AJ4189" s="352"/>
    </row>
    <row r="4190" spans="2:36" x14ac:dyDescent="0.2">
      <c r="B4190" s="352"/>
      <c r="C4190" s="352"/>
      <c r="D4190" s="352"/>
      <c r="E4190" s="352"/>
      <c r="F4190" s="352"/>
      <c r="H4190" s="352"/>
      <c r="J4190" s="352"/>
      <c r="L4190" s="352"/>
      <c r="M4190" s="352"/>
      <c r="N4190" s="352"/>
      <c r="O4190" s="352"/>
      <c r="P4190" s="352"/>
      <c r="Q4190" s="352"/>
      <c r="R4190" s="352"/>
      <c r="S4190" s="352"/>
      <c r="T4190" s="352"/>
      <c r="U4190" s="352"/>
      <c r="V4190" s="352"/>
      <c r="W4190" s="352"/>
      <c r="X4190" s="352"/>
      <c r="Y4190" s="352"/>
      <c r="Z4190" s="352"/>
      <c r="AA4190" s="352"/>
      <c r="AB4190" s="352"/>
      <c r="AC4190" s="352"/>
      <c r="AD4190" s="352"/>
      <c r="AE4190" s="352"/>
      <c r="AF4190" s="352"/>
      <c r="AG4190" s="352"/>
      <c r="AH4190" s="352"/>
      <c r="AI4190" s="352"/>
      <c r="AJ4190" s="352"/>
    </row>
    <row r="4191" spans="2:36" x14ac:dyDescent="0.2">
      <c r="B4191" s="352"/>
      <c r="C4191" s="352"/>
      <c r="D4191" s="352"/>
      <c r="E4191" s="352"/>
      <c r="F4191" s="352"/>
      <c r="H4191" s="352"/>
      <c r="J4191" s="352"/>
      <c r="L4191" s="352"/>
      <c r="M4191" s="352"/>
      <c r="N4191" s="352"/>
      <c r="O4191" s="352"/>
      <c r="P4191" s="352"/>
      <c r="Q4191" s="352"/>
      <c r="R4191" s="352"/>
      <c r="S4191" s="352"/>
      <c r="T4191" s="352"/>
      <c r="U4191" s="352"/>
      <c r="V4191" s="352"/>
      <c r="W4191" s="352"/>
      <c r="X4191" s="352"/>
      <c r="Y4191" s="352"/>
      <c r="Z4191" s="352"/>
      <c r="AA4191" s="352"/>
      <c r="AB4191" s="352"/>
      <c r="AC4191" s="352"/>
      <c r="AD4191" s="352"/>
      <c r="AE4191" s="352"/>
      <c r="AF4191" s="352"/>
      <c r="AG4191" s="352"/>
      <c r="AH4191" s="352"/>
      <c r="AI4191" s="352"/>
      <c r="AJ4191" s="352"/>
    </row>
    <row r="4192" spans="2:36" x14ac:dyDescent="0.2">
      <c r="B4192" s="352"/>
      <c r="C4192" s="352"/>
      <c r="D4192" s="352"/>
      <c r="E4192" s="352"/>
      <c r="F4192" s="352"/>
      <c r="H4192" s="352"/>
      <c r="J4192" s="352"/>
      <c r="L4192" s="352"/>
      <c r="M4192" s="352"/>
      <c r="N4192" s="352"/>
      <c r="O4192" s="352"/>
      <c r="P4192" s="352"/>
      <c r="Q4192" s="352"/>
      <c r="R4192" s="352"/>
      <c r="S4192" s="352"/>
      <c r="T4192" s="352"/>
      <c r="U4192" s="352"/>
      <c r="V4192" s="352"/>
      <c r="W4192" s="352"/>
      <c r="X4192" s="352"/>
      <c r="Y4192" s="352"/>
      <c r="Z4192" s="352"/>
      <c r="AA4192" s="352"/>
      <c r="AB4192" s="352"/>
      <c r="AC4192" s="352"/>
      <c r="AD4192" s="352"/>
      <c r="AE4192" s="352"/>
      <c r="AF4192" s="352"/>
      <c r="AG4192" s="352"/>
      <c r="AH4192" s="352"/>
      <c r="AI4192" s="352"/>
      <c r="AJ4192" s="352"/>
    </row>
    <row r="4193" spans="2:36" x14ac:dyDescent="0.2">
      <c r="B4193" s="352"/>
      <c r="C4193" s="352"/>
      <c r="D4193" s="352"/>
      <c r="E4193" s="352"/>
      <c r="F4193" s="352"/>
      <c r="H4193" s="352"/>
      <c r="J4193" s="352"/>
      <c r="L4193" s="352"/>
      <c r="M4193" s="352"/>
      <c r="N4193" s="352"/>
      <c r="O4193" s="352"/>
      <c r="P4193" s="352"/>
      <c r="Q4193" s="352"/>
      <c r="R4193" s="352"/>
      <c r="S4193" s="352"/>
      <c r="T4193" s="352"/>
      <c r="U4193" s="352"/>
      <c r="V4193" s="352"/>
      <c r="W4193" s="352"/>
      <c r="X4193" s="352"/>
      <c r="Y4193" s="352"/>
      <c r="Z4193" s="352"/>
      <c r="AA4193" s="352"/>
      <c r="AB4193" s="352"/>
      <c r="AC4193" s="352"/>
      <c r="AD4193" s="352"/>
      <c r="AE4193" s="352"/>
      <c r="AF4193" s="352"/>
      <c r="AG4193" s="352"/>
      <c r="AH4193" s="352"/>
      <c r="AI4193" s="352"/>
      <c r="AJ4193" s="352"/>
    </row>
    <row r="4194" spans="2:36" x14ac:dyDescent="0.2">
      <c r="B4194" s="352"/>
      <c r="C4194" s="352"/>
      <c r="D4194" s="352"/>
      <c r="E4194" s="352"/>
      <c r="F4194" s="352"/>
      <c r="H4194" s="352"/>
      <c r="J4194" s="352"/>
      <c r="L4194" s="352"/>
      <c r="M4194" s="352"/>
      <c r="N4194" s="352"/>
      <c r="O4194" s="352"/>
      <c r="P4194" s="352"/>
      <c r="Q4194" s="352"/>
      <c r="R4194" s="352"/>
      <c r="S4194" s="352"/>
      <c r="T4194" s="352"/>
      <c r="U4194" s="352"/>
      <c r="V4194" s="352"/>
      <c r="W4194" s="352"/>
      <c r="X4194" s="352"/>
      <c r="Y4194" s="352"/>
      <c r="Z4194" s="352"/>
      <c r="AA4194" s="352"/>
      <c r="AB4194" s="352"/>
      <c r="AC4194" s="352"/>
      <c r="AD4194" s="352"/>
      <c r="AE4194" s="352"/>
      <c r="AF4194" s="352"/>
      <c r="AG4194" s="352"/>
      <c r="AH4194" s="352"/>
      <c r="AI4194" s="352"/>
      <c r="AJ4194" s="352"/>
    </row>
    <row r="4195" spans="2:36" x14ac:dyDescent="0.2">
      <c r="B4195" s="352"/>
      <c r="C4195" s="352"/>
      <c r="D4195" s="352"/>
      <c r="E4195" s="352"/>
      <c r="F4195" s="352"/>
      <c r="H4195" s="352"/>
      <c r="J4195" s="352"/>
      <c r="L4195" s="352"/>
      <c r="M4195" s="352"/>
      <c r="N4195" s="352"/>
      <c r="O4195" s="352"/>
      <c r="P4195" s="352"/>
      <c r="Q4195" s="352"/>
      <c r="R4195" s="352"/>
      <c r="S4195" s="352"/>
      <c r="T4195" s="352"/>
      <c r="U4195" s="352"/>
      <c r="V4195" s="352"/>
      <c r="W4195" s="352"/>
      <c r="X4195" s="352"/>
      <c r="Y4195" s="352"/>
      <c r="Z4195" s="352"/>
      <c r="AA4195" s="352"/>
      <c r="AB4195" s="352"/>
      <c r="AC4195" s="352"/>
      <c r="AD4195" s="352"/>
      <c r="AE4195" s="352"/>
      <c r="AF4195" s="352"/>
      <c r="AG4195" s="352"/>
      <c r="AH4195" s="352"/>
      <c r="AI4195" s="352"/>
      <c r="AJ4195" s="352"/>
    </row>
    <row r="4196" spans="2:36" x14ac:dyDescent="0.2">
      <c r="B4196" s="352"/>
      <c r="C4196" s="352"/>
      <c r="D4196" s="352"/>
      <c r="E4196" s="352"/>
      <c r="F4196" s="352"/>
      <c r="H4196" s="352"/>
      <c r="J4196" s="352"/>
      <c r="L4196" s="352"/>
      <c r="M4196" s="352"/>
      <c r="N4196" s="352"/>
      <c r="O4196" s="352"/>
      <c r="P4196" s="352"/>
      <c r="Q4196" s="352"/>
      <c r="R4196" s="352"/>
      <c r="S4196" s="352"/>
      <c r="T4196" s="352"/>
      <c r="U4196" s="352"/>
      <c r="V4196" s="352"/>
      <c r="W4196" s="352"/>
      <c r="X4196" s="352"/>
      <c r="Y4196" s="352"/>
      <c r="Z4196" s="352"/>
      <c r="AA4196" s="352"/>
      <c r="AB4196" s="352"/>
      <c r="AC4196" s="352"/>
      <c r="AD4196" s="352"/>
      <c r="AE4196" s="352"/>
      <c r="AF4196" s="352"/>
      <c r="AG4196" s="352"/>
      <c r="AH4196" s="352"/>
      <c r="AI4196" s="352"/>
      <c r="AJ4196" s="352"/>
    </row>
    <row r="4197" spans="2:36" x14ac:dyDescent="0.2">
      <c r="B4197" s="352"/>
      <c r="C4197" s="352"/>
      <c r="D4197" s="352"/>
      <c r="E4197" s="352"/>
      <c r="F4197" s="352"/>
      <c r="H4197" s="352"/>
      <c r="J4197" s="352"/>
      <c r="L4197" s="352"/>
      <c r="M4197" s="352"/>
      <c r="N4197" s="352"/>
      <c r="O4197" s="352"/>
      <c r="P4197" s="352"/>
      <c r="Q4197" s="352"/>
      <c r="R4197" s="352"/>
      <c r="S4197" s="352"/>
      <c r="T4197" s="352"/>
      <c r="U4197" s="352"/>
      <c r="V4197" s="352"/>
      <c r="W4197" s="352"/>
      <c r="X4197" s="352"/>
      <c r="Y4197" s="352"/>
      <c r="Z4197" s="352"/>
      <c r="AA4197" s="352"/>
      <c r="AB4197" s="352"/>
      <c r="AC4197" s="352"/>
      <c r="AD4197" s="352"/>
      <c r="AE4197" s="352"/>
      <c r="AF4197" s="352"/>
      <c r="AG4197" s="352"/>
      <c r="AH4197" s="352"/>
      <c r="AI4197" s="352"/>
      <c r="AJ4197" s="352"/>
    </row>
    <row r="4198" spans="2:36" x14ac:dyDescent="0.2">
      <c r="B4198" s="352"/>
      <c r="C4198" s="352"/>
      <c r="D4198" s="352"/>
      <c r="E4198" s="352"/>
      <c r="F4198" s="352"/>
      <c r="H4198" s="352"/>
      <c r="J4198" s="352"/>
      <c r="L4198" s="352"/>
      <c r="M4198" s="352"/>
      <c r="N4198" s="352"/>
      <c r="O4198" s="352"/>
      <c r="P4198" s="352"/>
      <c r="Q4198" s="352"/>
      <c r="R4198" s="352"/>
      <c r="S4198" s="352"/>
      <c r="T4198" s="352"/>
      <c r="U4198" s="352"/>
      <c r="V4198" s="352"/>
      <c r="W4198" s="352"/>
      <c r="X4198" s="352"/>
      <c r="Y4198" s="352"/>
      <c r="Z4198" s="352"/>
      <c r="AA4198" s="352"/>
      <c r="AB4198" s="352"/>
      <c r="AC4198" s="352"/>
      <c r="AD4198" s="352"/>
      <c r="AE4198" s="352"/>
      <c r="AF4198" s="352"/>
      <c r="AG4198" s="352"/>
      <c r="AH4198" s="352"/>
      <c r="AI4198" s="352"/>
      <c r="AJ4198" s="352"/>
    </row>
    <row r="4199" spans="2:36" x14ac:dyDescent="0.2">
      <c r="B4199" s="352"/>
      <c r="C4199" s="352"/>
      <c r="D4199" s="352"/>
      <c r="E4199" s="352"/>
      <c r="F4199" s="352"/>
      <c r="H4199" s="352"/>
      <c r="J4199" s="352"/>
      <c r="L4199" s="352"/>
      <c r="M4199" s="352"/>
      <c r="N4199" s="352"/>
      <c r="O4199" s="352"/>
      <c r="P4199" s="352"/>
      <c r="Q4199" s="352"/>
      <c r="R4199" s="352"/>
      <c r="S4199" s="352"/>
      <c r="T4199" s="352"/>
      <c r="U4199" s="352"/>
      <c r="V4199" s="352"/>
      <c r="W4199" s="352"/>
      <c r="X4199" s="352"/>
      <c r="Y4199" s="352"/>
      <c r="Z4199" s="352"/>
      <c r="AA4199" s="352"/>
      <c r="AB4199" s="352"/>
      <c r="AC4199" s="352"/>
      <c r="AD4199" s="352"/>
      <c r="AE4199" s="352"/>
      <c r="AF4199" s="352"/>
      <c r="AG4199" s="352"/>
      <c r="AH4199" s="352"/>
      <c r="AI4199" s="352"/>
      <c r="AJ4199" s="352"/>
    </row>
    <row r="4200" spans="2:36" x14ac:dyDescent="0.2">
      <c r="B4200" s="352"/>
      <c r="C4200" s="352"/>
      <c r="D4200" s="352"/>
      <c r="E4200" s="352"/>
      <c r="F4200" s="352"/>
      <c r="H4200" s="352"/>
      <c r="J4200" s="352"/>
      <c r="L4200" s="352"/>
      <c r="M4200" s="352"/>
      <c r="N4200" s="352"/>
      <c r="O4200" s="352"/>
      <c r="P4200" s="352"/>
      <c r="Q4200" s="352"/>
      <c r="R4200" s="352"/>
      <c r="S4200" s="352"/>
      <c r="T4200" s="352"/>
      <c r="U4200" s="352"/>
      <c r="V4200" s="352"/>
      <c r="W4200" s="352"/>
      <c r="X4200" s="352"/>
      <c r="Y4200" s="352"/>
      <c r="Z4200" s="352"/>
      <c r="AA4200" s="352"/>
      <c r="AB4200" s="352"/>
      <c r="AC4200" s="352"/>
      <c r="AD4200" s="352"/>
      <c r="AE4200" s="352"/>
      <c r="AF4200" s="352"/>
      <c r="AG4200" s="352"/>
      <c r="AH4200" s="352"/>
      <c r="AI4200" s="352"/>
      <c r="AJ4200" s="352"/>
    </row>
    <row r="4201" spans="2:36" x14ac:dyDescent="0.2">
      <c r="B4201" s="352"/>
      <c r="C4201" s="352"/>
      <c r="D4201" s="352"/>
      <c r="E4201" s="352"/>
      <c r="F4201" s="352"/>
      <c r="H4201" s="352"/>
      <c r="J4201" s="352"/>
      <c r="L4201" s="352"/>
      <c r="M4201" s="352"/>
      <c r="N4201" s="352"/>
      <c r="O4201" s="352"/>
      <c r="P4201" s="352"/>
      <c r="Q4201" s="352"/>
      <c r="R4201" s="352"/>
      <c r="S4201" s="352"/>
      <c r="T4201" s="352"/>
      <c r="U4201" s="352"/>
      <c r="V4201" s="352"/>
      <c r="W4201" s="352"/>
      <c r="X4201" s="352"/>
      <c r="Y4201" s="352"/>
      <c r="Z4201" s="352"/>
      <c r="AA4201" s="352"/>
      <c r="AB4201" s="352"/>
      <c r="AC4201" s="352"/>
      <c r="AD4201" s="352"/>
      <c r="AE4201" s="352"/>
      <c r="AF4201" s="352"/>
      <c r="AG4201" s="352"/>
      <c r="AH4201" s="352"/>
      <c r="AI4201" s="352"/>
      <c r="AJ4201" s="352"/>
    </row>
    <row r="4202" spans="2:36" x14ac:dyDescent="0.2">
      <c r="B4202" s="352"/>
      <c r="C4202" s="352"/>
      <c r="D4202" s="352"/>
      <c r="E4202" s="352"/>
      <c r="F4202" s="352"/>
      <c r="H4202" s="352"/>
      <c r="J4202" s="352"/>
      <c r="L4202" s="352"/>
      <c r="M4202" s="352"/>
      <c r="N4202" s="352"/>
      <c r="O4202" s="352"/>
      <c r="P4202" s="352"/>
      <c r="Q4202" s="352"/>
      <c r="R4202" s="352"/>
      <c r="S4202" s="352"/>
      <c r="T4202" s="352"/>
      <c r="U4202" s="352"/>
      <c r="V4202" s="352"/>
      <c r="W4202" s="352"/>
      <c r="X4202" s="352"/>
      <c r="Y4202" s="352"/>
      <c r="Z4202" s="352"/>
      <c r="AA4202" s="352"/>
      <c r="AB4202" s="352"/>
      <c r="AC4202" s="352"/>
      <c r="AD4202" s="352"/>
      <c r="AE4202" s="352"/>
      <c r="AF4202" s="352"/>
      <c r="AG4202" s="352"/>
      <c r="AH4202" s="352"/>
      <c r="AI4202" s="352"/>
      <c r="AJ4202" s="352"/>
    </row>
    <row r="4203" spans="2:36" x14ac:dyDescent="0.2">
      <c r="B4203" s="352"/>
      <c r="C4203" s="352"/>
      <c r="D4203" s="352"/>
      <c r="E4203" s="352"/>
      <c r="F4203" s="352"/>
      <c r="H4203" s="352"/>
      <c r="J4203" s="352"/>
      <c r="L4203" s="352"/>
      <c r="M4203" s="352"/>
      <c r="N4203" s="352"/>
      <c r="O4203" s="352"/>
      <c r="P4203" s="352"/>
      <c r="Q4203" s="352"/>
      <c r="R4203" s="352"/>
      <c r="S4203" s="352"/>
      <c r="T4203" s="352"/>
      <c r="U4203" s="352"/>
      <c r="V4203" s="352"/>
      <c r="W4203" s="352"/>
      <c r="X4203" s="352"/>
      <c r="Y4203" s="352"/>
      <c r="Z4203" s="352"/>
      <c r="AA4203" s="352"/>
      <c r="AB4203" s="352"/>
      <c r="AC4203" s="352"/>
      <c r="AD4203" s="352"/>
      <c r="AE4203" s="352"/>
      <c r="AF4203" s="352"/>
      <c r="AG4203" s="352"/>
      <c r="AH4203" s="352"/>
      <c r="AI4203" s="352"/>
      <c r="AJ4203" s="352"/>
    </row>
    <row r="4204" spans="2:36" x14ac:dyDescent="0.2">
      <c r="B4204" s="352"/>
      <c r="C4204" s="352"/>
      <c r="D4204" s="352"/>
      <c r="E4204" s="352"/>
      <c r="F4204" s="352"/>
      <c r="H4204" s="352"/>
      <c r="J4204" s="352"/>
      <c r="L4204" s="352"/>
      <c r="M4204" s="352"/>
      <c r="N4204" s="352"/>
      <c r="O4204" s="352"/>
      <c r="P4204" s="352"/>
      <c r="Q4204" s="352"/>
      <c r="R4204" s="352"/>
      <c r="S4204" s="352"/>
      <c r="T4204" s="352"/>
      <c r="U4204" s="352"/>
      <c r="V4204" s="352"/>
      <c r="W4204" s="352"/>
      <c r="X4204" s="352"/>
      <c r="Y4204" s="352"/>
      <c r="Z4204" s="352"/>
      <c r="AA4204" s="352"/>
      <c r="AB4204" s="352"/>
      <c r="AC4204" s="352"/>
      <c r="AD4204" s="352"/>
      <c r="AE4204" s="352"/>
      <c r="AF4204" s="352"/>
      <c r="AG4204" s="352"/>
      <c r="AH4204" s="352"/>
      <c r="AI4204" s="352"/>
      <c r="AJ4204" s="352"/>
    </row>
    <row r="4205" spans="2:36" x14ac:dyDescent="0.2">
      <c r="B4205" s="352"/>
      <c r="C4205" s="352"/>
      <c r="D4205" s="352"/>
      <c r="E4205" s="352"/>
      <c r="F4205" s="352"/>
      <c r="H4205" s="352"/>
      <c r="J4205" s="352"/>
      <c r="L4205" s="352"/>
      <c r="M4205" s="352"/>
      <c r="N4205" s="352"/>
      <c r="O4205" s="352"/>
      <c r="P4205" s="352"/>
      <c r="Q4205" s="352"/>
      <c r="R4205" s="352"/>
      <c r="S4205" s="352"/>
      <c r="T4205" s="352"/>
      <c r="U4205" s="352"/>
      <c r="V4205" s="352"/>
      <c r="W4205" s="352"/>
      <c r="X4205" s="352"/>
      <c r="Y4205" s="352"/>
      <c r="Z4205" s="352"/>
      <c r="AA4205" s="352"/>
      <c r="AB4205" s="352"/>
      <c r="AC4205" s="352"/>
      <c r="AD4205" s="352"/>
      <c r="AE4205" s="352"/>
      <c r="AF4205" s="352"/>
      <c r="AG4205" s="352"/>
      <c r="AH4205" s="352"/>
      <c r="AI4205" s="352"/>
      <c r="AJ4205" s="352"/>
    </row>
    <row r="4206" spans="2:36" x14ac:dyDescent="0.2">
      <c r="B4206" s="352"/>
      <c r="C4206" s="352"/>
      <c r="D4206" s="352"/>
      <c r="E4206" s="352"/>
      <c r="F4206" s="352"/>
      <c r="H4206" s="352"/>
      <c r="J4206" s="352"/>
      <c r="L4206" s="352"/>
      <c r="M4206" s="352"/>
      <c r="N4206" s="352"/>
      <c r="O4206" s="352"/>
      <c r="P4206" s="352"/>
      <c r="Q4206" s="352"/>
      <c r="R4206" s="352"/>
      <c r="S4206" s="352"/>
      <c r="T4206" s="352"/>
      <c r="U4206" s="352"/>
      <c r="V4206" s="352"/>
      <c r="W4206" s="352"/>
      <c r="X4206" s="352"/>
      <c r="Y4206" s="352"/>
      <c r="Z4206" s="352"/>
      <c r="AA4206" s="352"/>
      <c r="AB4206" s="352"/>
      <c r="AC4206" s="352"/>
      <c r="AD4206" s="352"/>
      <c r="AE4206" s="352"/>
      <c r="AF4206" s="352"/>
      <c r="AG4206" s="352"/>
      <c r="AH4206" s="352"/>
      <c r="AI4206" s="352"/>
      <c r="AJ4206" s="352"/>
    </row>
    <row r="4207" spans="2:36" x14ac:dyDescent="0.2">
      <c r="B4207" s="352"/>
      <c r="C4207" s="352"/>
      <c r="D4207" s="352"/>
      <c r="E4207" s="352"/>
      <c r="F4207" s="352"/>
      <c r="H4207" s="352"/>
      <c r="J4207" s="352"/>
      <c r="L4207" s="352"/>
      <c r="M4207" s="352"/>
      <c r="N4207" s="352"/>
      <c r="O4207" s="352"/>
      <c r="P4207" s="352"/>
      <c r="Q4207" s="352"/>
      <c r="R4207" s="352"/>
      <c r="S4207" s="352"/>
      <c r="T4207" s="352"/>
      <c r="U4207" s="352"/>
      <c r="V4207" s="352"/>
      <c r="W4207" s="352"/>
      <c r="X4207" s="352"/>
      <c r="Y4207" s="352"/>
      <c r="Z4207" s="352"/>
      <c r="AA4207" s="352"/>
      <c r="AB4207" s="352"/>
      <c r="AC4207" s="352"/>
      <c r="AD4207" s="352"/>
      <c r="AE4207" s="352"/>
      <c r="AF4207" s="352"/>
      <c r="AG4207" s="352"/>
      <c r="AH4207" s="352"/>
      <c r="AI4207" s="352"/>
      <c r="AJ4207" s="352"/>
    </row>
    <row r="4208" spans="2:36" x14ac:dyDescent="0.2">
      <c r="B4208" s="352"/>
      <c r="C4208" s="352"/>
      <c r="D4208" s="352"/>
      <c r="E4208" s="352"/>
      <c r="F4208" s="352"/>
      <c r="H4208" s="352"/>
      <c r="J4208" s="352"/>
      <c r="L4208" s="352"/>
      <c r="M4208" s="352"/>
      <c r="N4208" s="352"/>
      <c r="O4208" s="352"/>
      <c r="P4208" s="352"/>
      <c r="Q4208" s="352"/>
      <c r="R4208" s="352"/>
      <c r="S4208" s="352"/>
      <c r="T4208" s="352"/>
      <c r="U4208" s="352"/>
      <c r="V4208" s="352"/>
      <c r="W4208" s="352"/>
      <c r="X4208" s="352"/>
      <c r="Y4208" s="352"/>
      <c r="Z4208" s="352"/>
      <c r="AA4208" s="352"/>
      <c r="AB4208" s="352"/>
      <c r="AC4208" s="352"/>
      <c r="AD4208" s="352"/>
      <c r="AE4208" s="352"/>
      <c r="AF4208" s="352"/>
      <c r="AG4208" s="352"/>
      <c r="AH4208" s="352"/>
      <c r="AI4208" s="352"/>
      <c r="AJ4208" s="352"/>
    </row>
    <row r="4209" spans="2:36" x14ac:dyDescent="0.2">
      <c r="B4209" s="352"/>
      <c r="C4209" s="352"/>
      <c r="D4209" s="352"/>
      <c r="E4209" s="352"/>
      <c r="F4209" s="352"/>
      <c r="H4209" s="352"/>
      <c r="J4209" s="352"/>
      <c r="L4209" s="352"/>
      <c r="M4209" s="352"/>
      <c r="N4209" s="352"/>
      <c r="O4209" s="352"/>
      <c r="P4209" s="352"/>
      <c r="Q4209" s="352"/>
      <c r="R4209" s="352"/>
      <c r="S4209" s="352"/>
      <c r="T4209" s="352"/>
      <c r="U4209" s="352"/>
      <c r="V4209" s="352"/>
      <c r="W4209" s="352"/>
      <c r="X4209" s="352"/>
      <c r="Y4209" s="352"/>
      <c r="Z4209" s="352"/>
      <c r="AA4209" s="352"/>
      <c r="AB4209" s="352"/>
      <c r="AC4209" s="352"/>
      <c r="AD4209" s="352"/>
      <c r="AE4209" s="352"/>
      <c r="AF4209" s="352"/>
      <c r="AG4209" s="352"/>
      <c r="AH4209" s="352"/>
      <c r="AI4209" s="352"/>
      <c r="AJ4209" s="352"/>
    </row>
    <row r="4210" spans="2:36" x14ac:dyDescent="0.2">
      <c r="B4210" s="352"/>
      <c r="C4210" s="352"/>
      <c r="D4210" s="352"/>
      <c r="E4210" s="352"/>
      <c r="F4210" s="352"/>
      <c r="H4210" s="352"/>
      <c r="J4210" s="352"/>
      <c r="L4210" s="352"/>
      <c r="M4210" s="352"/>
      <c r="N4210" s="352"/>
      <c r="O4210" s="352"/>
      <c r="P4210" s="352"/>
      <c r="Q4210" s="352"/>
      <c r="R4210" s="352"/>
      <c r="S4210" s="352"/>
      <c r="T4210" s="352"/>
      <c r="U4210" s="352"/>
      <c r="V4210" s="352"/>
      <c r="W4210" s="352"/>
      <c r="X4210" s="352"/>
      <c r="Y4210" s="352"/>
      <c r="Z4210" s="352"/>
      <c r="AA4210" s="352"/>
      <c r="AB4210" s="352"/>
      <c r="AC4210" s="352"/>
      <c r="AD4210" s="352"/>
      <c r="AE4210" s="352"/>
      <c r="AF4210" s="352"/>
      <c r="AG4210" s="352"/>
      <c r="AH4210" s="352"/>
      <c r="AI4210" s="352"/>
      <c r="AJ4210" s="352"/>
    </row>
    <row r="4211" spans="2:36" x14ac:dyDescent="0.2">
      <c r="B4211" s="352"/>
      <c r="C4211" s="352"/>
      <c r="D4211" s="352"/>
      <c r="E4211" s="352"/>
      <c r="F4211" s="352"/>
      <c r="H4211" s="352"/>
      <c r="J4211" s="352"/>
      <c r="L4211" s="352"/>
      <c r="M4211" s="352"/>
      <c r="N4211" s="352"/>
      <c r="O4211" s="352"/>
      <c r="P4211" s="352"/>
      <c r="Q4211" s="352"/>
      <c r="R4211" s="352"/>
      <c r="S4211" s="352"/>
      <c r="T4211" s="352"/>
      <c r="U4211" s="352"/>
      <c r="V4211" s="352"/>
      <c r="W4211" s="352"/>
      <c r="X4211" s="352"/>
      <c r="Y4211" s="352"/>
      <c r="Z4211" s="352"/>
      <c r="AA4211" s="352"/>
      <c r="AB4211" s="352"/>
      <c r="AC4211" s="352"/>
      <c r="AD4211" s="352"/>
      <c r="AE4211" s="352"/>
      <c r="AF4211" s="352"/>
      <c r="AG4211" s="352"/>
      <c r="AH4211" s="352"/>
      <c r="AI4211" s="352"/>
      <c r="AJ4211" s="352"/>
    </row>
    <row r="4212" spans="2:36" x14ac:dyDescent="0.2">
      <c r="B4212" s="352"/>
      <c r="C4212" s="352"/>
      <c r="D4212" s="352"/>
      <c r="E4212" s="352"/>
      <c r="F4212" s="352"/>
      <c r="H4212" s="352"/>
      <c r="J4212" s="352"/>
      <c r="L4212" s="352"/>
      <c r="M4212" s="352"/>
      <c r="N4212" s="352"/>
      <c r="O4212" s="352"/>
      <c r="P4212" s="352"/>
      <c r="Q4212" s="352"/>
      <c r="R4212" s="352"/>
      <c r="S4212" s="352"/>
      <c r="T4212" s="352"/>
      <c r="U4212" s="352"/>
      <c r="V4212" s="352"/>
      <c r="W4212" s="352"/>
      <c r="X4212" s="352"/>
      <c r="Y4212" s="352"/>
      <c r="Z4212" s="352"/>
      <c r="AA4212" s="352"/>
      <c r="AB4212" s="352"/>
      <c r="AC4212" s="352"/>
      <c r="AD4212" s="352"/>
      <c r="AE4212" s="352"/>
      <c r="AF4212" s="352"/>
      <c r="AG4212" s="352"/>
      <c r="AH4212" s="352"/>
      <c r="AI4212" s="352"/>
      <c r="AJ4212" s="352"/>
    </row>
    <row r="4213" spans="2:36" x14ac:dyDescent="0.2">
      <c r="B4213" s="352"/>
      <c r="C4213" s="352"/>
      <c r="D4213" s="352"/>
      <c r="E4213" s="352"/>
      <c r="F4213" s="352"/>
      <c r="H4213" s="352"/>
      <c r="J4213" s="352"/>
      <c r="L4213" s="352"/>
      <c r="M4213" s="352"/>
      <c r="N4213" s="352"/>
      <c r="O4213" s="352"/>
      <c r="P4213" s="352"/>
      <c r="Q4213" s="352"/>
      <c r="R4213" s="352"/>
      <c r="S4213" s="352"/>
      <c r="T4213" s="352"/>
      <c r="U4213" s="352"/>
      <c r="V4213" s="352"/>
      <c r="W4213" s="352"/>
      <c r="X4213" s="352"/>
      <c r="Y4213" s="352"/>
      <c r="Z4213" s="352"/>
      <c r="AA4213" s="352"/>
      <c r="AB4213" s="352"/>
      <c r="AC4213" s="352"/>
      <c r="AD4213" s="352"/>
      <c r="AE4213" s="352"/>
      <c r="AF4213" s="352"/>
      <c r="AG4213" s="352"/>
      <c r="AH4213" s="352"/>
      <c r="AI4213" s="352"/>
      <c r="AJ4213" s="352"/>
    </row>
    <row r="4214" spans="2:36" x14ac:dyDescent="0.2">
      <c r="B4214" s="352"/>
      <c r="C4214" s="352"/>
      <c r="D4214" s="352"/>
      <c r="E4214" s="352"/>
      <c r="F4214" s="352"/>
      <c r="H4214" s="352"/>
      <c r="J4214" s="352"/>
      <c r="L4214" s="352"/>
      <c r="M4214" s="352"/>
      <c r="N4214" s="352"/>
      <c r="O4214" s="352"/>
      <c r="P4214" s="352"/>
      <c r="Q4214" s="352"/>
      <c r="R4214" s="352"/>
      <c r="S4214" s="352"/>
      <c r="T4214" s="352"/>
      <c r="U4214" s="352"/>
      <c r="V4214" s="352"/>
      <c r="W4214" s="352"/>
      <c r="X4214" s="352"/>
      <c r="Y4214" s="352"/>
      <c r="Z4214" s="352"/>
      <c r="AA4214" s="352"/>
      <c r="AB4214" s="352"/>
      <c r="AC4214" s="352"/>
      <c r="AD4214" s="352"/>
      <c r="AE4214" s="352"/>
      <c r="AF4214" s="352"/>
      <c r="AG4214" s="352"/>
      <c r="AH4214" s="352"/>
      <c r="AI4214" s="352"/>
      <c r="AJ4214" s="352"/>
    </row>
    <row r="4215" spans="2:36" x14ac:dyDescent="0.2">
      <c r="B4215" s="352"/>
      <c r="C4215" s="352"/>
      <c r="D4215" s="352"/>
      <c r="E4215" s="352"/>
      <c r="F4215" s="352"/>
      <c r="H4215" s="352"/>
      <c r="J4215" s="352"/>
      <c r="L4215" s="352"/>
      <c r="M4215" s="352"/>
      <c r="N4215" s="352"/>
      <c r="O4215" s="352"/>
      <c r="P4215" s="352"/>
      <c r="Q4215" s="352"/>
      <c r="R4215" s="352"/>
      <c r="S4215" s="352"/>
      <c r="T4215" s="352"/>
      <c r="U4215" s="352"/>
      <c r="V4215" s="352"/>
      <c r="W4215" s="352"/>
      <c r="X4215" s="352"/>
      <c r="Y4215" s="352"/>
      <c r="Z4215" s="352"/>
      <c r="AA4215" s="352"/>
      <c r="AB4215" s="352"/>
      <c r="AC4215" s="352"/>
      <c r="AD4215" s="352"/>
      <c r="AE4215" s="352"/>
      <c r="AF4215" s="352"/>
      <c r="AG4215" s="352"/>
      <c r="AH4215" s="352"/>
      <c r="AI4215" s="352"/>
      <c r="AJ4215" s="352"/>
    </row>
    <row r="4216" spans="2:36" x14ac:dyDescent="0.2">
      <c r="B4216" s="352"/>
      <c r="C4216" s="352"/>
      <c r="D4216" s="352"/>
      <c r="E4216" s="352"/>
      <c r="F4216" s="352"/>
      <c r="H4216" s="352"/>
      <c r="J4216" s="352"/>
      <c r="L4216" s="352"/>
      <c r="M4216" s="352"/>
      <c r="N4216" s="352"/>
      <c r="O4216" s="352"/>
      <c r="P4216" s="352"/>
      <c r="Q4216" s="352"/>
      <c r="R4216" s="352"/>
      <c r="S4216" s="352"/>
      <c r="T4216" s="352"/>
      <c r="U4216" s="352"/>
      <c r="V4216" s="352"/>
      <c r="W4216" s="352"/>
      <c r="X4216" s="352"/>
      <c r="Y4216" s="352"/>
      <c r="Z4216" s="352"/>
      <c r="AA4216" s="352"/>
      <c r="AB4216" s="352"/>
      <c r="AC4216" s="352"/>
      <c r="AD4216" s="352"/>
      <c r="AE4216" s="352"/>
      <c r="AF4216" s="352"/>
      <c r="AG4216" s="352"/>
      <c r="AH4216" s="352"/>
      <c r="AI4216" s="352"/>
      <c r="AJ4216" s="352"/>
    </row>
    <row r="4217" spans="2:36" x14ac:dyDescent="0.2">
      <c r="B4217" s="352"/>
      <c r="C4217" s="352"/>
      <c r="D4217" s="352"/>
      <c r="E4217" s="352"/>
      <c r="F4217" s="352"/>
      <c r="H4217" s="352"/>
      <c r="J4217" s="352"/>
      <c r="L4217" s="352"/>
      <c r="M4217" s="352"/>
      <c r="N4217" s="352"/>
      <c r="O4217" s="352"/>
      <c r="P4217" s="352"/>
      <c r="Q4217" s="352"/>
      <c r="R4217" s="352"/>
      <c r="S4217" s="352"/>
      <c r="T4217" s="352"/>
      <c r="U4217" s="352"/>
      <c r="V4217" s="352"/>
      <c r="W4217" s="352"/>
      <c r="X4217" s="352"/>
      <c r="Y4217" s="352"/>
      <c r="Z4217" s="352"/>
      <c r="AA4217" s="352"/>
      <c r="AB4217" s="352"/>
      <c r="AC4217" s="352"/>
      <c r="AD4217" s="352"/>
      <c r="AE4217" s="352"/>
      <c r="AF4217" s="352"/>
      <c r="AG4217" s="352"/>
      <c r="AH4217" s="352"/>
      <c r="AI4217" s="352"/>
      <c r="AJ4217" s="352"/>
    </row>
    <row r="4218" spans="2:36" x14ac:dyDescent="0.2">
      <c r="B4218" s="352"/>
      <c r="C4218" s="352"/>
      <c r="D4218" s="352"/>
      <c r="E4218" s="352"/>
      <c r="F4218" s="352"/>
      <c r="H4218" s="352"/>
      <c r="J4218" s="352"/>
      <c r="L4218" s="352"/>
      <c r="M4218" s="352"/>
      <c r="N4218" s="352"/>
      <c r="O4218" s="352"/>
      <c r="P4218" s="352"/>
      <c r="Q4218" s="352"/>
      <c r="R4218" s="352"/>
      <c r="S4218" s="352"/>
      <c r="T4218" s="352"/>
      <c r="U4218" s="352"/>
      <c r="V4218" s="352"/>
      <c r="W4218" s="352"/>
      <c r="X4218" s="352"/>
      <c r="Y4218" s="352"/>
      <c r="Z4218" s="352"/>
      <c r="AA4218" s="352"/>
      <c r="AB4218" s="352"/>
      <c r="AC4218" s="352"/>
      <c r="AD4218" s="352"/>
      <c r="AE4218" s="352"/>
      <c r="AF4218" s="352"/>
      <c r="AG4218" s="352"/>
      <c r="AH4218" s="352"/>
      <c r="AI4218" s="352"/>
      <c r="AJ4218" s="352"/>
    </row>
    <row r="4219" spans="2:36" x14ac:dyDescent="0.2">
      <c r="B4219" s="352"/>
      <c r="C4219" s="352"/>
      <c r="D4219" s="352"/>
      <c r="E4219" s="352"/>
      <c r="F4219" s="352"/>
      <c r="H4219" s="352"/>
      <c r="J4219" s="352"/>
      <c r="L4219" s="352"/>
      <c r="M4219" s="352"/>
      <c r="N4219" s="352"/>
      <c r="O4219" s="352"/>
      <c r="P4219" s="352"/>
      <c r="Q4219" s="352"/>
      <c r="R4219" s="352"/>
      <c r="S4219" s="352"/>
      <c r="T4219" s="352"/>
      <c r="U4219" s="352"/>
      <c r="V4219" s="352"/>
      <c r="W4219" s="352"/>
      <c r="X4219" s="352"/>
      <c r="Y4219" s="352"/>
      <c r="Z4219" s="352"/>
      <c r="AA4219" s="352"/>
      <c r="AB4219" s="352"/>
      <c r="AC4219" s="352"/>
      <c r="AD4219" s="352"/>
      <c r="AE4219" s="352"/>
      <c r="AF4219" s="352"/>
      <c r="AG4219" s="352"/>
      <c r="AH4219" s="352"/>
      <c r="AI4219" s="352"/>
      <c r="AJ4219" s="352"/>
    </row>
    <row r="4220" spans="2:36" x14ac:dyDescent="0.2">
      <c r="B4220" s="352"/>
      <c r="C4220" s="352"/>
      <c r="D4220" s="352"/>
      <c r="E4220" s="352"/>
      <c r="F4220" s="352"/>
      <c r="H4220" s="352"/>
      <c r="J4220" s="352"/>
      <c r="L4220" s="352"/>
      <c r="M4220" s="352"/>
      <c r="N4220" s="352"/>
      <c r="O4220" s="352"/>
      <c r="P4220" s="352"/>
      <c r="Q4220" s="352"/>
      <c r="R4220" s="352"/>
      <c r="S4220" s="352"/>
      <c r="T4220" s="352"/>
      <c r="U4220" s="352"/>
      <c r="V4220" s="352"/>
      <c r="W4220" s="352"/>
      <c r="X4220" s="352"/>
      <c r="Y4220" s="352"/>
      <c r="Z4220" s="352"/>
      <c r="AA4220" s="352"/>
      <c r="AB4220" s="352"/>
      <c r="AC4220" s="352"/>
      <c r="AD4220" s="352"/>
      <c r="AE4220" s="352"/>
      <c r="AF4220" s="352"/>
      <c r="AG4220" s="352"/>
      <c r="AH4220" s="352"/>
      <c r="AI4220" s="352"/>
      <c r="AJ4220" s="352"/>
    </row>
    <row r="4221" spans="2:36" x14ac:dyDescent="0.2">
      <c r="B4221" s="352"/>
      <c r="C4221" s="352"/>
      <c r="D4221" s="352"/>
      <c r="E4221" s="352"/>
      <c r="F4221" s="352"/>
      <c r="H4221" s="352"/>
      <c r="J4221" s="352"/>
      <c r="L4221" s="352"/>
      <c r="M4221" s="352"/>
      <c r="N4221" s="352"/>
      <c r="O4221" s="352"/>
      <c r="P4221" s="352"/>
      <c r="Q4221" s="352"/>
      <c r="R4221" s="352"/>
      <c r="S4221" s="352"/>
      <c r="T4221" s="352"/>
      <c r="U4221" s="352"/>
      <c r="V4221" s="352"/>
      <c r="W4221" s="352"/>
      <c r="X4221" s="352"/>
      <c r="Y4221" s="352"/>
      <c r="Z4221" s="352"/>
      <c r="AA4221" s="352"/>
      <c r="AB4221" s="352"/>
      <c r="AC4221" s="352"/>
      <c r="AD4221" s="352"/>
      <c r="AE4221" s="352"/>
      <c r="AF4221" s="352"/>
      <c r="AG4221" s="352"/>
      <c r="AH4221" s="352"/>
      <c r="AI4221" s="352"/>
      <c r="AJ4221" s="352"/>
    </row>
    <row r="4222" spans="2:36" x14ac:dyDescent="0.2">
      <c r="B4222" s="352"/>
      <c r="C4222" s="352"/>
      <c r="D4222" s="352"/>
      <c r="E4222" s="352"/>
      <c r="F4222" s="352"/>
      <c r="H4222" s="352"/>
      <c r="J4222" s="352"/>
      <c r="L4222" s="352"/>
      <c r="M4222" s="352"/>
      <c r="N4222" s="352"/>
      <c r="O4222" s="352"/>
      <c r="P4222" s="352"/>
      <c r="Q4222" s="352"/>
      <c r="R4222" s="352"/>
      <c r="S4222" s="352"/>
      <c r="T4222" s="352"/>
      <c r="U4222" s="352"/>
      <c r="V4222" s="352"/>
      <c r="W4222" s="352"/>
      <c r="X4222" s="352"/>
      <c r="Y4222" s="352"/>
      <c r="Z4222" s="352"/>
      <c r="AA4222" s="352"/>
      <c r="AB4222" s="352"/>
      <c r="AC4222" s="352"/>
      <c r="AD4222" s="352"/>
      <c r="AE4222" s="352"/>
      <c r="AF4222" s="352"/>
      <c r="AG4222" s="352"/>
      <c r="AH4222" s="352"/>
      <c r="AI4222" s="352"/>
      <c r="AJ4222" s="352"/>
    </row>
    <row r="4223" spans="2:36" x14ac:dyDescent="0.2">
      <c r="B4223" s="352"/>
      <c r="C4223" s="352"/>
      <c r="D4223" s="352"/>
      <c r="E4223" s="352"/>
      <c r="F4223" s="352"/>
      <c r="H4223" s="352"/>
      <c r="J4223" s="352"/>
      <c r="L4223" s="352"/>
      <c r="M4223" s="352"/>
      <c r="N4223" s="352"/>
      <c r="O4223" s="352"/>
      <c r="P4223" s="352"/>
      <c r="Q4223" s="352"/>
      <c r="R4223" s="352"/>
      <c r="S4223" s="352"/>
      <c r="T4223" s="352"/>
      <c r="U4223" s="352"/>
      <c r="V4223" s="352"/>
      <c r="W4223" s="352"/>
      <c r="X4223" s="352"/>
      <c r="Y4223" s="352"/>
      <c r="Z4223" s="352"/>
      <c r="AA4223" s="352"/>
      <c r="AB4223" s="352"/>
      <c r="AC4223" s="352"/>
      <c r="AD4223" s="352"/>
      <c r="AE4223" s="352"/>
      <c r="AF4223" s="352"/>
      <c r="AG4223" s="352"/>
      <c r="AH4223" s="352"/>
      <c r="AI4223" s="352"/>
      <c r="AJ4223" s="352"/>
    </row>
    <row r="4224" spans="2:36" x14ac:dyDescent="0.2">
      <c r="B4224" s="352"/>
      <c r="C4224" s="352"/>
      <c r="D4224" s="352"/>
      <c r="E4224" s="352"/>
      <c r="F4224" s="352"/>
      <c r="H4224" s="352"/>
      <c r="J4224" s="352"/>
      <c r="L4224" s="352"/>
      <c r="M4224" s="352"/>
      <c r="N4224" s="352"/>
      <c r="O4224" s="352"/>
      <c r="P4224" s="352"/>
      <c r="Q4224" s="352"/>
      <c r="R4224" s="352"/>
      <c r="S4224" s="352"/>
      <c r="T4224" s="352"/>
      <c r="U4224" s="352"/>
      <c r="V4224" s="352"/>
      <c r="W4224" s="352"/>
      <c r="X4224" s="352"/>
      <c r="Y4224" s="352"/>
      <c r="Z4224" s="352"/>
      <c r="AA4224" s="352"/>
      <c r="AB4224" s="352"/>
      <c r="AC4224" s="352"/>
      <c r="AD4224" s="352"/>
      <c r="AE4224" s="352"/>
      <c r="AF4224" s="352"/>
      <c r="AG4224" s="352"/>
      <c r="AH4224" s="352"/>
      <c r="AI4224" s="352"/>
      <c r="AJ4224" s="352"/>
    </row>
    <row r="4225" spans="2:36" x14ac:dyDescent="0.2">
      <c r="B4225" s="352"/>
      <c r="C4225" s="352"/>
      <c r="D4225" s="352"/>
      <c r="E4225" s="352"/>
      <c r="F4225" s="352"/>
      <c r="H4225" s="352"/>
      <c r="J4225" s="352"/>
      <c r="L4225" s="352"/>
      <c r="M4225" s="352"/>
      <c r="N4225" s="352"/>
      <c r="O4225" s="352"/>
      <c r="P4225" s="352"/>
      <c r="Q4225" s="352"/>
      <c r="R4225" s="352"/>
      <c r="S4225" s="352"/>
      <c r="T4225" s="352"/>
      <c r="U4225" s="352"/>
      <c r="V4225" s="352"/>
      <c r="W4225" s="352"/>
      <c r="X4225" s="352"/>
      <c r="Y4225" s="352"/>
      <c r="Z4225" s="352"/>
      <c r="AA4225" s="352"/>
      <c r="AB4225" s="352"/>
      <c r="AC4225" s="352"/>
      <c r="AD4225" s="352"/>
      <c r="AE4225" s="352"/>
      <c r="AF4225" s="352"/>
      <c r="AG4225" s="352"/>
      <c r="AH4225" s="352"/>
      <c r="AI4225" s="352"/>
      <c r="AJ4225" s="352"/>
    </row>
    <row r="4226" spans="2:36" x14ac:dyDescent="0.2">
      <c r="B4226" s="352"/>
      <c r="C4226" s="352"/>
      <c r="D4226" s="352"/>
      <c r="E4226" s="352"/>
      <c r="F4226" s="352"/>
      <c r="H4226" s="352"/>
      <c r="J4226" s="352"/>
      <c r="L4226" s="352"/>
      <c r="M4226" s="352"/>
      <c r="N4226" s="352"/>
      <c r="O4226" s="352"/>
      <c r="P4226" s="352"/>
      <c r="Q4226" s="352"/>
      <c r="R4226" s="352"/>
      <c r="S4226" s="352"/>
      <c r="T4226" s="352"/>
      <c r="U4226" s="352"/>
      <c r="V4226" s="352"/>
      <c r="W4226" s="352"/>
      <c r="X4226" s="352"/>
      <c r="Y4226" s="352"/>
      <c r="Z4226" s="352"/>
      <c r="AA4226" s="352"/>
      <c r="AB4226" s="352"/>
      <c r="AC4226" s="352"/>
      <c r="AD4226" s="352"/>
      <c r="AE4226" s="352"/>
      <c r="AF4226" s="352"/>
      <c r="AG4226" s="352"/>
      <c r="AH4226" s="352"/>
      <c r="AI4226" s="352"/>
      <c r="AJ4226" s="352"/>
    </row>
    <row r="4227" spans="2:36" x14ac:dyDescent="0.2">
      <c r="B4227" s="352"/>
      <c r="C4227" s="352"/>
      <c r="D4227" s="352"/>
      <c r="E4227" s="352"/>
      <c r="F4227" s="352"/>
      <c r="H4227" s="352"/>
      <c r="J4227" s="352"/>
      <c r="L4227" s="352"/>
      <c r="M4227" s="352"/>
      <c r="N4227" s="352"/>
      <c r="O4227" s="352"/>
      <c r="P4227" s="352"/>
      <c r="Q4227" s="352"/>
      <c r="R4227" s="352"/>
      <c r="S4227" s="352"/>
      <c r="T4227" s="352"/>
      <c r="U4227" s="352"/>
      <c r="V4227" s="352"/>
      <c r="W4227" s="352"/>
      <c r="X4227" s="352"/>
      <c r="Y4227" s="352"/>
      <c r="Z4227" s="352"/>
      <c r="AA4227" s="352"/>
      <c r="AB4227" s="352"/>
      <c r="AC4227" s="352"/>
      <c r="AD4227" s="352"/>
      <c r="AE4227" s="352"/>
      <c r="AF4227" s="352"/>
      <c r="AG4227" s="352"/>
      <c r="AH4227" s="352"/>
      <c r="AI4227" s="352"/>
      <c r="AJ4227" s="352"/>
    </row>
    <row r="4228" spans="2:36" x14ac:dyDescent="0.2">
      <c r="B4228" s="352"/>
      <c r="C4228" s="352"/>
      <c r="D4228" s="352"/>
      <c r="E4228" s="352"/>
      <c r="F4228" s="352"/>
      <c r="H4228" s="352"/>
      <c r="J4228" s="352"/>
      <c r="L4228" s="352"/>
      <c r="M4228" s="352"/>
      <c r="N4228" s="352"/>
      <c r="O4228" s="352"/>
      <c r="P4228" s="352"/>
      <c r="Q4228" s="352"/>
      <c r="R4228" s="352"/>
      <c r="S4228" s="352"/>
      <c r="T4228" s="352"/>
      <c r="U4228" s="352"/>
      <c r="V4228" s="352"/>
      <c r="W4228" s="352"/>
      <c r="X4228" s="352"/>
      <c r="Y4228" s="352"/>
      <c r="Z4228" s="352"/>
      <c r="AA4228" s="352"/>
      <c r="AB4228" s="352"/>
      <c r="AC4228" s="352"/>
      <c r="AD4228" s="352"/>
      <c r="AE4228" s="352"/>
      <c r="AF4228" s="352"/>
      <c r="AG4228" s="352"/>
      <c r="AH4228" s="352"/>
      <c r="AI4228" s="352"/>
      <c r="AJ4228" s="352"/>
    </row>
    <row r="4229" spans="2:36" x14ac:dyDescent="0.2">
      <c r="B4229" s="352"/>
      <c r="C4229" s="352"/>
      <c r="D4229" s="352"/>
      <c r="E4229" s="352"/>
      <c r="F4229" s="352"/>
      <c r="H4229" s="352"/>
      <c r="J4229" s="352"/>
      <c r="L4229" s="352"/>
      <c r="M4229" s="352"/>
      <c r="N4229" s="352"/>
      <c r="O4229" s="352"/>
      <c r="P4229" s="352"/>
      <c r="Q4229" s="352"/>
      <c r="R4229" s="352"/>
      <c r="S4229" s="352"/>
      <c r="T4229" s="352"/>
      <c r="U4229" s="352"/>
      <c r="V4229" s="352"/>
      <c r="W4229" s="352"/>
      <c r="X4229" s="352"/>
      <c r="Y4229" s="352"/>
      <c r="Z4229" s="352"/>
      <c r="AA4229" s="352"/>
      <c r="AB4229" s="352"/>
      <c r="AC4229" s="352"/>
      <c r="AD4229" s="352"/>
      <c r="AE4229" s="352"/>
      <c r="AF4229" s="352"/>
      <c r="AG4229" s="352"/>
      <c r="AH4229" s="352"/>
      <c r="AI4229" s="352"/>
      <c r="AJ4229" s="352"/>
    </row>
    <row r="4230" spans="2:36" x14ac:dyDescent="0.2">
      <c r="B4230" s="352"/>
      <c r="C4230" s="352"/>
      <c r="D4230" s="352"/>
      <c r="E4230" s="352"/>
      <c r="F4230" s="352"/>
      <c r="H4230" s="352"/>
      <c r="J4230" s="352"/>
      <c r="L4230" s="352"/>
      <c r="M4230" s="352"/>
      <c r="N4230" s="352"/>
      <c r="O4230" s="352"/>
      <c r="P4230" s="352"/>
      <c r="Q4230" s="352"/>
      <c r="R4230" s="352"/>
      <c r="S4230" s="352"/>
      <c r="T4230" s="352"/>
      <c r="U4230" s="352"/>
      <c r="V4230" s="352"/>
      <c r="W4230" s="352"/>
      <c r="X4230" s="352"/>
      <c r="Y4230" s="352"/>
      <c r="Z4230" s="352"/>
      <c r="AA4230" s="352"/>
      <c r="AB4230" s="352"/>
      <c r="AC4230" s="352"/>
      <c r="AD4230" s="352"/>
      <c r="AE4230" s="352"/>
      <c r="AF4230" s="352"/>
      <c r="AG4230" s="352"/>
      <c r="AH4230" s="352"/>
      <c r="AI4230" s="352"/>
      <c r="AJ4230" s="352"/>
    </row>
    <row r="4231" spans="2:36" x14ac:dyDescent="0.2">
      <c r="B4231" s="352"/>
      <c r="C4231" s="352"/>
      <c r="D4231" s="352"/>
      <c r="E4231" s="352"/>
      <c r="F4231" s="352"/>
      <c r="H4231" s="352"/>
      <c r="J4231" s="352"/>
      <c r="L4231" s="352"/>
      <c r="M4231" s="352"/>
      <c r="N4231" s="352"/>
      <c r="O4231" s="352"/>
      <c r="P4231" s="352"/>
      <c r="Q4231" s="352"/>
      <c r="R4231" s="352"/>
      <c r="S4231" s="352"/>
      <c r="T4231" s="352"/>
      <c r="U4231" s="352"/>
      <c r="V4231" s="352"/>
      <c r="W4231" s="352"/>
      <c r="X4231" s="352"/>
      <c r="Y4231" s="352"/>
      <c r="Z4231" s="352"/>
      <c r="AA4231" s="352"/>
      <c r="AB4231" s="352"/>
      <c r="AC4231" s="352"/>
      <c r="AD4231" s="352"/>
      <c r="AE4231" s="352"/>
      <c r="AF4231" s="352"/>
      <c r="AG4231" s="352"/>
      <c r="AH4231" s="352"/>
      <c r="AI4231" s="352"/>
      <c r="AJ4231" s="352"/>
    </row>
    <row r="4232" spans="2:36" x14ac:dyDescent="0.2">
      <c r="B4232" s="352"/>
      <c r="C4232" s="352"/>
      <c r="D4232" s="352"/>
      <c r="E4232" s="352"/>
      <c r="F4232" s="352"/>
      <c r="H4232" s="352"/>
      <c r="J4232" s="352"/>
      <c r="L4232" s="352"/>
      <c r="M4232" s="352"/>
      <c r="N4232" s="352"/>
      <c r="O4232" s="352"/>
      <c r="P4232" s="352"/>
      <c r="Q4232" s="352"/>
      <c r="R4232" s="352"/>
      <c r="S4232" s="352"/>
      <c r="T4232" s="352"/>
      <c r="U4232" s="352"/>
      <c r="V4232" s="352"/>
      <c r="W4232" s="352"/>
      <c r="X4232" s="352"/>
      <c r="Y4232" s="352"/>
      <c r="Z4232" s="352"/>
      <c r="AA4232" s="352"/>
      <c r="AB4232" s="352"/>
      <c r="AC4232" s="352"/>
      <c r="AD4232" s="352"/>
      <c r="AE4232" s="352"/>
      <c r="AF4232" s="352"/>
      <c r="AG4232" s="352"/>
      <c r="AH4232" s="352"/>
      <c r="AI4232" s="352"/>
      <c r="AJ4232" s="352"/>
    </row>
    <row r="4233" spans="2:36" x14ac:dyDescent="0.2">
      <c r="B4233" s="352"/>
      <c r="C4233" s="352"/>
      <c r="D4233" s="352"/>
      <c r="E4233" s="352"/>
      <c r="F4233" s="352"/>
      <c r="H4233" s="352"/>
      <c r="J4233" s="352"/>
      <c r="L4233" s="352"/>
      <c r="M4233" s="352"/>
      <c r="N4233" s="352"/>
      <c r="O4233" s="352"/>
      <c r="P4233" s="352"/>
      <c r="Q4233" s="352"/>
      <c r="R4233" s="352"/>
      <c r="S4233" s="352"/>
      <c r="T4233" s="352"/>
      <c r="U4233" s="352"/>
      <c r="V4233" s="352"/>
      <c r="W4233" s="352"/>
      <c r="X4233" s="352"/>
      <c r="Y4233" s="352"/>
      <c r="Z4233" s="352"/>
      <c r="AA4233" s="352"/>
      <c r="AB4233" s="352"/>
      <c r="AC4233" s="352"/>
      <c r="AD4233" s="352"/>
      <c r="AE4233" s="352"/>
      <c r="AF4233" s="352"/>
      <c r="AG4233" s="352"/>
      <c r="AH4233" s="352"/>
      <c r="AI4233" s="352"/>
      <c r="AJ4233" s="352"/>
    </row>
    <row r="4234" spans="2:36" x14ac:dyDescent="0.2">
      <c r="B4234" s="352"/>
      <c r="C4234" s="352"/>
      <c r="D4234" s="352"/>
      <c r="E4234" s="352"/>
      <c r="F4234" s="352"/>
      <c r="H4234" s="352"/>
      <c r="J4234" s="352"/>
      <c r="L4234" s="352"/>
      <c r="M4234" s="352"/>
      <c r="N4234" s="352"/>
      <c r="O4234" s="352"/>
      <c r="P4234" s="352"/>
      <c r="Q4234" s="352"/>
      <c r="R4234" s="352"/>
      <c r="S4234" s="352"/>
      <c r="T4234" s="352"/>
      <c r="U4234" s="352"/>
      <c r="V4234" s="352"/>
      <c r="W4234" s="352"/>
      <c r="X4234" s="352"/>
      <c r="Y4234" s="352"/>
      <c r="Z4234" s="352"/>
      <c r="AA4234" s="352"/>
      <c r="AB4234" s="352"/>
      <c r="AC4234" s="352"/>
      <c r="AD4234" s="352"/>
      <c r="AE4234" s="352"/>
      <c r="AF4234" s="352"/>
      <c r="AG4234" s="352"/>
      <c r="AH4234" s="352"/>
      <c r="AI4234" s="352"/>
      <c r="AJ4234" s="352"/>
    </row>
    <row r="4235" spans="2:36" x14ac:dyDescent="0.2">
      <c r="B4235" s="352"/>
      <c r="C4235" s="352"/>
      <c r="D4235" s="352"/>
      <c r="E4235" s="352"/>
      <c r="F4235" s="352"/>
      <c r="H4235" s="352"/>
      <c r="J4235" s="352"/>
      <c r="L4235" s="352"/>
      <c r="M4235" s="352"/>
      <c r="N4235" s="352"/>
      <c r="O4235" s="352"/>
      <c r="P4235" s="352"/>
      <c r="Q4235" s="352"/>
      <c r="R4235" s="352"/>
      <c r="S4235" s="352"/>
      <c r="T4235" s="352"/>
      <c r="U4235" s="352"/>
      <c r="V4235" s="352"/>
      <c r="W4235" s="352"/>
      <c r="X4235" s="352"/>
      <c r="Y4235" s="352"/>
      <c r="Z4235" s="352"/>
      <c r="AA4235" s="352"/>
      <c r="AB4235" s="352"/>
      <c r="AC4235" s="352"/>
      <c r="AD4235" s="352"/>
      <c r="AE4235" s="352"/>
      <c r="AF4235" s="352"/>
      <c r="AG4235" s="352"/>
      <c r="AH4235" s="352"/>
      <c r="AI4235" s="352"/>
      <c r="AJ4235" s="352"/>
    </row>
    <row r="4236" spans="2:36" x14ac:dyDescent="0.2">
      <c r="B4236" s="352"/>
      <c r="C4236" s="352"/>
      <c r="D4236" s="352"/>
      <c r="E4236" s="352"/>
      <c r="F4236" s="352"/>
      <c r="H4236" s="352"/>
      <c r="J4236" s="352"/>
      <c r="L4236" s="352"/>
      <c r="M4236" s="352"/>
      <c r="N4236" s="352"/>
      <c r="O4236" s="352"/>
      <c r="P4236" s="352"/>
      <c r="Q4236" s="352"/>
      <c r="R4236" s="352"/>
      <c r="S4236" s="352"/>
      <c r="T4236" s="352"/>
      <c r="U4236" s="352"/>
      <c r="V4236" s="352"/>
      <c r="W4236" s="352"/>
      <c r="X4236" s="352"/>
      <c r="Y4236" s="352"/>
      <c r="Z4236" s="352"/>
      <c r="AA4236" s="352"/>
      <c r="AB4236" s="352"/>
      <c r="AC4236" s="352"/>
      <c r="AD4236" s="352"/>
      <c r="AE4236" s="352"/>
      <c r="AF4236" s="352"/>
      <c r="AG4236" s="352"/>
      <c r="AH4236" s="352"/>
      <c r="AI4236" s="352"/>
      <c r="AJ4236" s="352"/>
    </row>
    <row r="4237" spans="2:36" x14ac:dyDescent="0.2">
      <c r="B4237" s="352"/>
      <c r="C4237" s="352"/>
      <c r="D4237" s="352"/>
      <c r="E4237" s="352"/>
      <c r="F4237" s="352"/>
      <c r="H4237" s="352"/>
      <c r="J4237" s="352"/>
      <c r="L4237" s="352"/>
      <c r="M4237" s="352"/>
      <c r="N4237" s="352"/>
      <c r="O4237" s="352"/>
      <c r="P4237" s="352"/>
      <c r="Q4237" s="352"/>
      <c r="R4237" s="352"/>
      <c r="S4237" s="352"/>
      <c r="T4237" s="352"/>
      <c r="U4237" s="352"/>
      <c r="V4237" s="352"/>
      <c r="W4237" s="352"/>
      <c r="X4237" s="352"/>
      <c r="Y4237" s="352"/>
      <c r="Z4237" s="352"/>
      <c r="AA4237" s="352"/>
      <c r="AB4237" s="352"/>
      <c r="AC4237" s="352"/>
      <c r="AD4237" s="352"/>
      <c r="AE4237" s="352"/>
      <c r="AF4237" s="352"/>
      <c r="AG4237" s="352"/>
      <c r="AH4237" s="352"/>
      <c r="AI4237" s="352"/>
      <c r="AJ4237" s="352"/>
    </row>
    <row r="4238" spans="2:36" x14ac:dyDescent="0.2">
      <c r="B4238" s="352"/>
      <c r="C4238" s="352"/>
      <c r="D4238" s="352"/>
      <c r="E4238" s="352"/>
      <c r="F4238" s="352"/>
      <c r="H4238" s="352"/>
      <c r="J4238" s="352"/>
      <c r="L4238" s="352"/>
      <c r="M4238" s="352"/>
      <c r="N4238" s="352"/>
      <c r="O4238" s="352"/>
      <c r="P4238" s="352"/>
      <c r="Q4238" s="352"/>
      <c r="R4238" s="352"/>
      <c r="S4238" s="352"/>
      <c r="T4238" s="352"/>
      <c r="U4238" s="352"/>
      <c r="V4238" s="352"/>
      <c r="W4238" s="352"/>
      <c r="X4238" s="352"/>
      <c r="Y4238" s="352"/>
      <c r="Z4238" s="352"/>
      <c r="AA4238" s="352"/>
      <c r="AB4238" s="352"/>
      <c r="AC4238" s="352"/>
      <c r="AD4238" s="352"/>
      <c r="AE4238" s="352"/>
      <c r="AF4238" s="352"/>
      <c r="AG4238" s="352"/>
      <c r="AH4238" s="352"/>
      <c r="AI4238" s="352"/>
      <c r="AJ4238" s="352"/>
    </row>
    <row r="4239" spans="2:36" x14ac:dyDescent="0.2">
      <c r="B4239" s="352"/>
      <c r="C4239" s="352"/>
      <c r="D4239" s="352"/>
      <c r="E4239" s="352"/>
      <c r="F4239" s="352"/>
      <c r="H4239" s="352"/>
      <c r="J4239" s="352"/>
      <c r="L4239" s="352"/>
      <c r="M4239" s="352"/>
      <c r="N4239" s="352"/>
      <c r="O4239" s="352"/>
      <c r="P4239" s="352"/>
      <c r="Q4239" s="352"/>
      <c r="R4239" s="352"/>
      <c r="S4239" s="352"/>
      <c r="T4239" s="352"/>
      <c r="U4239" s="352"/>
      <c r="V4239" s="352"/>
      <c r="W4239" s="352"/>
      <c r="X4239" s="352"/>
      <c r="Y4239" s="352"/>
      <c r="Z4239" s="352"/>
      <c r="AA4239" s="352"/>
      <c r="AB4239" s="352"/>
      <c r="AC4239" s="352"/>
      <c r="AD4239" s="352"/>
      <c r="AE4239" s="352"/>
      <c r="AF4239" s="352"/>
      <c r="AG4239" s="352"/>
      <c r="AH4239" s="352"/>
      <c r="AI4239" s="352"/>
      <c r="AJ4239" s="352"/>
    </row>
    <row r="4240" spans="2:36" x14ac:dyDescent="0.2">
      <c r="B4240" s="352"/>
      <c r="C4240" s="352"/>
      <c r="D4240" s="352"/>
      <c r="E4240" s="352"/>
      <c r="F4240" s="352"/>
      <c r="H4240" s="352"/>
      <c r="J4240" s="352"/>
      <c r="L4240" s="352"/>
      <c r="M4240" s="352"/>
      <c r="N4240" s="352"/>
      <c r="O4240" s="352"/>
      <c r="P4240" s="352"/>
      <c r="Q4240" s="352"/>
      <c r="R4240" s="352"/>
      <c r="S4240" s="352"/>
      <c r="T4240" s="352"/>
      <c r="U4240" s="352"/>
      <c r="V4240" s="352"/>
      <c r="W4240" s="352"/>
      <c r="X4240" s="352"/>
      <c r="Y4240" s="352"/>
      <c r="Z4240" s="352"/>
      <c r="AA4240" s="352"/>
      <c r="AB4240" s="352"/>
      <c r="AC4240" s="352"/>
      <c r="AD4240" s="352"/>
      <c r="AE4240" s="352"/>
      <c r="AF4240" s="352"/>
      <c r="AG4240" s="352"/>
      <c r="AH4240" s="352"/>
      <c r="AI4240" s="352"/>
      <c r="AJ4240" s="352"/>
    </row>
    <row r="4241" spans="2:36" x14ac:dyDescent="0.2">
      <c r="B4241" s="352"/>
      <c r="C4241" s="352"/>
      <c r="D4241" s="352"/>
      <c r="E4241" s="352"/>
      <c r="F4241" s="352"/>
      <c r="H4241" s="352"/>
      <c r="J4241" s="352"/>
      <c r="L4241" s="352"/>
      <c r="M4241" s="352"/>
      <c r="N4241" s="352"/>
      <c r="O4241" s="352"/>
      <c r="P4241" s="352"/>
      <c r="Q4241" s="352"/>
      <c r="R4241" s="352"/>
      <c r="S4241" s="352"/>
      <c r="T4241" s="352"/>
      <c r="U4241" s="352"/>
      <c r="V4241" s="352"/>
      <c r="W4241" s="352"/>
      <c r="X4241" s="352"/>
      <c r="Y4241" s="352"/>
      <c r="Z4241" s="352"/>
      <c r="AA4241" s="352"/>
      <c r="AB4241" s="352"/>
      <c r="AC4241" s="352"/>
      <c r="AD4241" s="352"/>
      <c r="AE4241" s="352"/>
      <c r="AF4241" s="352"/>
      <c r="AG4241" s="352"/>
      <c r="AH4241" s="352"/>
      <c r="AI4241" s="352"/>
      <c r="AJ4241" s="352"/>
    </row>
    <row r="4242" spans="2:36" x14ac:dyDescent="0.2">
      <c r="B4242" s="352"/>
      <c r="C4242" s="352"/>
      <c r="D4242" s="352"/>
      <c r="E4242" s="352"/>
      <c r="F4242" s="352"/>
      <c r="H4242" s="352"/>
      <c r="J4242" s="352"/>
      <c r="L4242" s="352"/>
      <c r="M4242" s="352"/>
      <c r="N4242" s="352"/>
      <c r="O4242" s="352"/>
      <c r="P4242" s="352"/>
      <c r="Q4242" s="352"/>
      <c r="R4242" s="352"/>
      <c r="S4242" s="352"/>
      <c r="T4242" s="352"/>
      <c r="U4242" s="352"/>
      <c r="V4242" s="352"/>
      <c r="W4242" s="352"/>
      <c r="X4242" s="352"/>
      <c r="Y4242" s="352"/>
      <c r="Z4242" s="352"/>
      <c r="AA4242" s="352"/>
      <c r="AB4242" s="352"/>
      <c r="AC4242" s="352"/>
      <c r="AD4242" s="352"/>
      <c r="AE4242" s="352"/>
      <c r="AF4242" s="352"/>
      <c r="AG4242" s="352"/>
      <c r="AH4242" s="352"/>
      <c r="AI4242" s="352"/>
      <c r="AJ4242" s="352"/>
    </row>
    <row r="4243" spans="2:36" x14ac:dyDescent="0.2">
      <c r="B4243" s="352"/>
      <c r="C4243" s="352"/>
      <c r="D4243" s="352"/>
      <c r="E4243" s="352"/>
      <c r="F4243" s="352"/>
      <c r="H4243" s="352"/>
      <c r="J4243" s="352"/>
      <c r="L4243" s="352"/>
      <c r="M4243" s="352"/>
      <c r="N4243" s="352"/>
      <c r="O4243" s="352"/>
      <c r="P4243" s="352"/>
      <c r="Q4243" s="352"/>
      <c r="R4243" s="352"/>
      <c r="S4243" s="352"/>
      <c r="T4243" s="352"/>
      <c r="U4243" s="352"/>
      <c r="V4243" s="352"/>
      <c r="W4243" s="352"/>
      <c r="X4243" s="352"/>
      <c r="Y4243" s="352"/>
      <c r="Z4243" s="352"/>
      <c r="AA4243" s="352"/>
      <c r="AB4243" s="352"/>
      <c r="AC4243" s="352"/>
      <c r="AD4243" s="352"/>
      <c r="AE4243" s="352"/>
      <c r="AF4243" s="352"/>
      <c r="AG4243" s="352"/>
      <c r="AH4243" s="352"/>
      <c r="AI4243" s="352"/>
      <c r="AJ4243" s="352"/>
    </row>
    <row r="4244" spans="2:36" x14ac:dyDescent="0.2">
      <c r="B4244" s="352"/>
      <c r="C4244" s="352"/>
      <c r="D4244" s="352"/>
      <c r="E4244" s="352"/>
      <c r="F4244" s="352"/>
      <c r="H4244" s="352"/>
      <c r="J4244" s="352"/>
      <c r="L4244" s="352"/>
      <c r="M4244" s="352"/>
      <c r="N4244" s="352"/>
      <c r="O4244" s="352"/>
      <c r="P4244" s="352"/>
      <c r="Q4244" s="352"/>
      <c r="R4244" s="352"/>
      <c r="S4244" s="352"/>
      <c r="T4244" s="352"/>
      <c r="U4244" s="352"/>
      <c r="V4244" s="352"/>
      <c r="W4244" s="352"/>
      <c r="X4244" s="352"/>
      <c r="Y4244" s="352"/>
      <c r="Z4244" s="352"/>
      <c r="AA4244" s="352"/>
      <c r="AB4244" s="352"/>
      <c r="AC4244" s="352"/>
      <c r="AD4244" s="352"/>
      <c r="AE4244" s="352"/>
      <c r="AF4244" s="352"/>
      <c r="AG4244" s="352"/>
      <c r="AH4244" s="352"/>
      <c r="AI4244" s="352"/>
      <c r="AJ4244" s="352"/>
    </row>
    <row r="4245" spans="2:36" x14ac:dyDescent="0.2">
      <c r="B4245" s="352"/>
      <c r="C4245" s="352"/>
      <c r="D4245" s="352"/>
      <c r="E4245" s="352"/>
      <c r="F4245" s="352"/>
      <c r="H4245" s="352"/>
      <c r="J4245" s="352"/>
      <c r="L4245" s="352"/>
      <c r="M4245" s="352"/>
      <c r="N4245" s="352"/>
      <c r="O4245" s="352"/>
      <c r="P4245" s="352"/>
      <c r="Q4245" s="352"/>
      <c r="R4245" s="352"/>
      <c r="S4245" s="352"/>
      <c r="T4245" s="352"/>
      <c r="U4245" s="352"/>
      <c r="V4245" s="352"/>
      <c r="W4245" s="352"/>
      <c r="X4245" s="352"/>
      <c r="Y4245" s="352"/>
      <c r="Z4245" s="352"/>
      <c r="AA4245" s="352"/>
      <c r="AB4245" s="352"/>
      <c r="AC4245" s="352"/>
      <c r="AD4245" s="352"/>
      <c r="AE4245" s="352"/>
      <c r="AF4245" s="352"/>
      <c r="AG4245" s="352"/>
      <c r="AH4245" s="352"/>
      <c r="AI4245" s="352"/>
      <c r="AJ4245" s="352"/>
    </row>
    <row r="4246" spans="2:36" x14ac:dyDescent="0.2">
      <c r="B4246" s="352"/>
      <c r="C4246" s="352"/>
      <c r="D4246" s="352"/>
      <c r="E4246" s="352"/>
      <c r="F4246" s="352"/>
      <c r="H4246" s="352"/>
      <c r="J4246" s="352"/>
      <c r="L4246" s="352"/>
      <c r="M4246" s="352"/>
      <c r="N4246" s="352"/>
      <c r="O4246" s="352"/>
      <c r="P4246" s="352"/>
      <c r="Q4246" s="352"/>
      <c r="R4246" s="352"/>
      <c r="S4246" s="352"/>
      <c r="T4246" s="352"/>
      <c r="U4246" s="352"/>
      <c r="V4246" s="352"/>
      <c r="W4246" s="352"/>
      <c r="X4246" s="352"/>
      <c r="Y4246" s="352"/>
      <c r="Z4246" s="352"/>
      <c r="AA4246" s="352"/>
      <c r="AB4246" s="352"/>
      <c r="AC4246" s="352"/>
      <c r="AD4246" s="352"/>
      <c r="AE4246" s="352"/>
      <c r="AF4246" s="352"/>
      <c r="AG4246" s="352"/>
      <c r="AH4246" s="352"/>
      <c r="AI4246" s="352"/>
      <c r="AJ4246" s="352"/>
    </row>
    <row r="4247" spans="2:36" x14ac:dyDescent="0.2">
      <c r="B4247" s="352"/>
      <c r="C4247" s="352"/>
      <c r="D4247" s="352"/>
      <c r="E4247" s="352"/>
      <c r="F4247" s="352"/>
      <c r="H4247" s="352"/>
      <c r="J4247" s="352"/>
      <c r="L4247" s="352"/>
      <c r="M4247" s="352"/>
      <c r="N4247" s="352"/>
      <c r="O4247" s="352"/>
      <c r="P4247" s="352"/>
      <c r="Q4247" s="352"/>
      <c r="R4247" s="352"/>
      <c r="S4247" s="352"/>
      <c r="T4247" s="352"/>
      <c r="U4247" s="352"/>
      <c r="V4247" s="352"/>
      <c r="W4247" s="352"/>
      <c r="X4247" s="352"/>
      <c r="Y4247" s="352"/>
      <c r="Z4247" s="352"/>
      <c r="AA4247" s="352"/>
      <c r="AB4247" s="352"/>
      <c r="AC4247" s="352"/>
      <c r="AD4247" s="352"/>
      <c r="AE4247" s="352"/>
      <c r="AF4247" s="352"/>
      <c r="AG4247" s="352"/>
      <c r="AH4247" s="352"/>
      <c r="AI4247" s="352"/>
      <c r="AJ4247" s="352"/>
    </row>
    <row r="4248" spans="2:36" x14ac:dyDescent="0.2">
      <c r="B4248" s="352"/>
      <c r="C4248" s="352"/>
      <c r="D4248" s="352"/>
      <c r="E4248" s="352"/>
      <c r="F4248" s="352"/>
      <c r="H4248" s="352"/>
      <c r="J4248" s="352"/>
      <c r="L4248" s="352"/>
      <c r="M4248" s="352"/>
      <c r="N4248" s="352"/>
      <c r="O4248" s="352"/>
      <c r="P4248" s="352"/>
      <c r="Q4248" s="352"/>
      <c r="R4248" s="352"/>
      <c r="S4248" s="352"/>
      <c r="T4248" s="352"/>
      <c r="U4248" s="352"/>
      <c r="V4248" s="352"/>
      <c r="W4248" s="352"/>
      <c r="X4248" s="352"/>
      <c r="Y4248" s="352"/>
      <c r="Z4248" s="352"/>
      <c r="AA4248" s="352"/>
      <c r="AB4248" s="352"/>
      <c r="AC4248" s="352"/>
      <c r="AD4248" s="352"/>
      <c r="AE4248" s="352"/>
      <c r="AF4248" s="352"/>
      <c r="AG4248" s="352"/>
      <c r="AH4248" s="352"/>
      <c r="AI4248" s="352"/>
      <c r="AJ4248" s="352"/>
    </row>
    <row r="4249" spans="2:36" x14ac:dyDescent="0.2">
      <c r="B4249" s="352"/>
      <c r="C4249" s="352"/>
      <c r="D4249" s="352"/>
      <c r="E4249" s="352"/>
      <c r="F4249" s="352"/>
      <c r="H4249" s="352"/>
      <c r="J4249" s="352"/>
      <c r="L4249" s="352"/>
      <c r="M4249" s="352"/>
      <c r="N4249" s="352"/>
      <c r="O4249" s="352"/>
      <c r="P4249" s="352"/>
      <c r="Q4249" s="352"/>
      <c r="R4249" s="352"/>
      <c r="S4249" s="352"/>
      <c r="T4249" s="352"/>
      <c r="U4249" s="352"/>
      <c r="V4249" s="352"/>
      <c r="W4249" s="352"/>
      <c r="X4249" s="352"/>
      <c r="Y4249" s="352"/>
      <c r="Z4249" s="352"/>
      <c r="AA4249" s="352"/>
      <c r="AB4249" s="352"/>
      <c r="AC4249" s="352"/>
      <c r="AD4249" s="352"/>
      <c r="AE4249" s="352"/>
      <c r="AF4249" s="352"/>
      <c r="AG4249" s="352"/>
      <c r="AH4249" s="352"/>
      <c r="AI4249" s="352"/>
      <c r="AJ4249" s="352"/>
    </row>
    <row r="4250" spans="2:36" x14ac:dyDescent="0.2">
      <c r="B4250" s="352"/>
      <c r="C4250" s="352"/>
      <c r="D4250" s="352"/>
      <c r="E4250" s="352"/>
      <c r="F4250" s="352"/>
      <c r="H4250" s="352"/>
      <c r="J4250" s="352"/>
      <c r="L4250" s="352"/>
      <c r="M4250" s="352"/>
      <c r="N4250" s="352"/>
      <c r="O4250" s="352"/>
      <c r="P4250" s="352"/>
      <c r="Q4250" s="352"/>
      <c r="R4250" s="352"/>
      <c r="S4250" s="352"/>
      <c r="T4250" s="352"/>
      <c r="U4250" s="352"/>
      <c r="V4250" s="352"/>
      <c r="W4250" s="352"/>
      <c r="X4250" s="352"/>
      <c r="Y4250" s="352"/>
      <c r="Z4250" s="352"/>
      <c r="AA4250" s="352"/>
      <c r="AB4250" s="352"/>
      <c r="AC4250" s="352"/>
      <c r="AD4250" s="352"/>
      <c r="AE4250" s="352"/>
      <c r="AF4250" s="352"/>
      <c r="AG4250" s="352"/>
      <c r="AH4250" s="352"/>
      <c r="AI4250" s="352"/>
      <c r="AJ4250" s="352"/>
    </row>
    <row r="4251" spans="2:36" x14ac:dyDescent="0.2">
      <c r="B4251" s="352"/>
      <c r="C4251" s="352"/>
      <c r="D4251" s="352"/>
      <c r="E4251" s="352"/>
      <c r="F4251" s="352"/>
      <c r="H4251" s="352"/>
      <c r="J4251" s="352"/>
      <c r="L4251" s="352"/>
      <c r="M4251" s="352"/>
      <c r="N4251" s="352"/>
      <c r="O4251" s="352"/>
      <c r="P4251" s="352"/>
      <c r="Q4251" s="352"/>
      <c r="R4251" s="352"/>
      <c r="S4251" s="352"/>
      <c r="T4251" s="352"/>
      <c r="U4251" s="352"/>
      <c r="V4251" s="352"/>
      <c r="W4251" s="352"/>
      <c r="X4251" s="352"/>
      <c r="Y4251" s="352"/>
      <c r="Z4251" s="352"/>
      <c r="AA4251" s="352"/>
      <c r="AB4251" s="352"/>
      <c r="AC4251" s="352"/>
      <c r="AD4251" s="352"/>
      <c r="AE4251" s="352"/>
      <c r="AF4251" s="352"/>
      <c r="AG4251" s="352"/>
      <c r="AH4251" s="352"/>
      <c r="AI4251" s="352"/>
      <c r="AJ4251" s="352"/>
    </row>
    <row r="4252" spans="2:36" x14ac:dyDescent="0.2">
      <c r="B4252" s="352"/>
      <c r="C4252" s="352"/>
      <c r="D4252" s="352"/>
      <c r="E4252" s="352"/>
      <c r="F4252" s="352"/>
      <c r="H4252" s="352"/>
      <c r="J4252" s="352"/>
      <c r="L4252" s="352"/>
      <c r="M4252" s="352"/>
      <c r="N4252" s="352"/>
      <c r="O4252" s="352"/>
      <c r="P4252" s="352"/>
      <c r="Q4252" s="352"/>
      <c r="R4252" s="352"/>
      <c r="S4252" s="352"/>
      <c r="T4252" s="352"/>
      <c r="U4252" s="352"/>
      <c r="V4252" s="352"/>
      <c r="W4252" s="352"/>
      <c r="X4252" s="352"/>
      <c r="Y4252" s="352"/>
      <c r="Z4252" s="352"/>
      <c r="AA4252" s="352"/>
      <c r="AB4252" s="352"/>
      <c r="AC4252" s="352"/>
      <c r="AD4252" s="352"/>
      <c r="AE4252" s="352"/>
      <c r="AF4252" s="352"/>
      <c r="AG4252" s="352"/>
      <c r="AH4252" s="352"/>
      <c r="AI4252" s="352"/>
      <c r="AJ4252" s="352"/>
    </row>
    <row r="4253" spans="2:36" x14ac:dyDescent="0.2">
      <c r="B4253" s="352"/>
      <c r="C4253" s="352"/>
      <c r="D4253" s="352"/>
      <c r="E4253" s="352"/>
      <c r="F4253" s="352"/>
      <c r="H4253" s="352"/>
      <c r="J4253" s="352"/>
      <c r="L4253" s="352"/>
      <c r="M4253" s="352"/>
      <c r="N4253" s="352"/>
      <c r="O4253" s="352"/>
      <c r="P4253" s="352"/>
      <c r="Q4253" s="352"/>
      <c r="R4253" s="352"/>
      <c r="S4253" s="352"/>
      <c r="T4253" s="352"/>
      <c r="U4253" s="352"/>
      <c r="V4253" s="352"/>
      <c r="W4253" s="352"/>
      <c r="X4253" s="352"/>
      <c r="Y4253" s="352"/>
      <c r="Z4253" s="352"/>
      <c r="AA4253" s="352"/>
      <c r="AB4253" s="352"/>
      <c r="AC4253" s="352"/>
      <c r="AD4253" s="352"/>
      <c r="AE4253" s="352"/>
      <c r="AF4253" s="352"/>
      <c r="AG4253" s="352"/>
      <c r="AH4253" s="352"/>
      <c r="AI4253" s="352"/>
      <c r="AJ4253" s="352"/>
    </row>
    <row r="4254" spans="2:36" x14ac:dyDescent="0.2">
      <c r="B4254" s="352"/>
      <c r="C4254" s="352"/>
      <c r="D4254" s="352"/>
      <c r="E4254" s="352"/>
      <c r="F4254" s="352"/>
      <c r="H4254" s="352"/>
      <c r="J4254" s="352"/>
      <c r="L4254" s="352"/>
      <c r="M4254" s="352"/>
      <c r="N4254" s="352"/>
      <c r="O4254" s="352"/>
      <c r="P4254" s="352"/>
      <c r="Q4254" s="352"/>
      <c r="R4254" s="352"/>
      <c r="S4254" s="352"/>
      <c r="T4254" s="352"/>
      <c r="U4254" s="352"/>
      <c r="V4254" s="352"/>
      <c r="W4254" s="352"/>
      <c r="X4254" s="352"/>
      <c r="Y4254" s="352"/>
      <c r="Z4254" s="352"/>
      <c r="AA4254" s="352"/>
      <c r="AB4254" s="352"/>
      <c r="AC4254" s="352"/>
      <c r="AD4254" s="352"/>
      <c r="AE4254" s="352"/>
      <c r="AF4254" s="352"/>
      <c r="AG4254" s="352"/>
      <c r="AH4254" s="352"/>
      <c r="AI4254" s="352"/>
      <c r="AJ4254" s="352"/>
    </row>
    <row r="4255" spans="2:36" x14ac:dyDescent="0.2">
      <c r="B4255" s="352"/>
      <c r="C4255" s="352"/>
      <c r="D4255" s="352"/>
      <c r="E4255" s="352"/>
      <c r="F4255" s="352"/>
      <c r="H4255" s="352"/>
      <c r="J4255" s="352"/>
      <c r="L4255" s="352"/>
      <c r="M4255" s="352"/>
      <c r="N4255" s="352"/>
      <c r="O4255" s="352"/>
      <c r="P4255" s="352"/>
      <c r="Q4255" s="352"/>
      <c r="R4255" s="352"/>
      <c r="S4255" s="352"/>
      <c r="T4255" s="352"/>
      <c r="U4255" s="352"/>
      <c r="V4255" s="352"/>
      <c r="W4255" s="352"/>
      <c r="X4255" s="352"/>
      <c r="Y4255" s="352"/>
      <c r="Z4255" s="352"/>
      <c r="AA4255" s="352"/>
      <c r="AB4255" s="352"/>
      <c r="AC4255" s="352"/>
      <c r="AD4255" s="352"/>
      <c r="AE4255" s="352"/>
      <c r="AF4255" s="352"/>
      <c r="AG4255" s="352"/>
      <c r="AH4255" s="352"/>
      <c r="AI4255" s="352"/>
      <c r="AJ4255" s="352"/>
    </row>
    <row r="4256" spans="2:36" x14ac:dyDescent="0.2">
      <c r="B4256" s="352"/>
      <c r="C4256" s="352"/>
      <c r="D4256" s="352"/>
      <c r="E4256" s="352"/>
      <c r="F4256" s="352"/>
      <c r="H4256" s="352"/>
      <c r="J4256" s="352"/>
      <c r="L4256" s="352"/>
      <c r="M4256" s="352"/>
      <c r="N4256" s="352"/>
      <c r="O4256" s="352"/>
      <c r="P4256" s="352"/>
      <c r="Q4256" s="352"/>
      <c r="R4256" s="352"/>
      <c r="S4256" s="352"/>
      <c r="T4256" s="352"/>
      <c r="U4256" s="352"/>
      <c r="V4256" s="352"/>
      <c r="W4256" s="352"/>
      <c r="X4256" s="352"/>
      <c r="Y4256" s="352"/>
      <c r="Z4256" s="352"/>
      <c r="AA4256" s="352"/>
      <c r="AB4256" s="352"/>
      <c r="AC4256" s="352"/>
      <c r="AD4256" s="352"/>
      <c r="AE4256" s="352"/>
      <c r="AF4256" s="352"/>
      <c r="AG4256" s="352"/>
      <c r="AH4256" s="352"/>
      <c r="AI4256" s="352"/>
      <c r="AJ4256" s="352"/>
    </row>
    <row r="4257" spans="2:36" x14ac:dyDescent="0.2">
      <c r="B4257" s="352"/>
      <c r="C4257" s="352"/>
      <c r="D4257" s="352"/>
      <c r="E4257" s="352"/>
      <c r="F4257" s="352"/>
      <c r="H4257" s="352"/>
      <c r="J4257" s="352"/>
      <c r="L4257" s="352"/>
      <c r="M4257" s="352"/>
      <c r="N4257" s="352"/>
      <c r="O4257" s="352"/>
      <c r="P4257" s="352"/>
      <c r="Q4257" s="352"/>
      <c r="R4257" s="352"/>
      <c r="S4257" s="352"/>
      <c r="T4257" s="352"/>
      <c r="U4257" s="352"/>
      <c r="V4257" s="352"/>
      <c r="W4257" s="352"/>
      <c r="X4257" s="352"/>
      <c r="Y4257" s="352"/>
      <c r="Z4257" s="352"/>
      <c r="AA4257" s="352"/>
      <c r="AB4257" s="352"/>
      <c r="AC4257" s="352"/>
      <c r="AD4257" s="352"/>
      <c r="AE4257" s="352"/>
      <c r="AF4257" s="352"/>
      <c r="AG4257" s="352"/>
      <c r="AH4257" s="352"/>
      <c r="AI4257" s="352"/>
      <c r="AJ4257" s="352"/>
    </row>
    <row r="4258" spans="2:36" x14ac:dyDescent="0.2">
      <c r="B4258" s="352"/>
      <c r="C4258" s="352"/>
      <c r="D4258" s="352"/>
      <c r="E4258" s="352"/>
      <c r="F4258" s="352"/>
      <c r="H4258" s="352"/>
      <c r="J4258" s="352"/>
      <c r="L4258" s="352"/>
      <c r="M4258" s="352"/>
      <c r="N4258" s="352"/>
      <c r="O4258" s="352"/>
      <c r="P4258" s="352"/>
      <c r="Q4258" s="352"/>
      <c r="R4258" s="352"/>
      <c r="S4258" s="352"/>
      <c r="T4258" s="352"/>
      <c r="U4258" s="352"/>
      <c r="V4258" s="352"/>
      <c r="W4258" s="352"/>
      <c r="X4258" s="352"/>
      <c r="Y4258" s="352"/>
      <c r="Z4258" s="352"/>
      <c r="AA4258" s="352"/>
      <c r="AB4258" s="352"/>
      <c r="AC4258" s="352"/>
      <c r="AD4258" s="352"/>
      <c r="AE4258" s="352"/>
      <c r="AF4258" s="352"/>
      <c r="AG4258" s="352"/>
      <c r="AH4258" s="352"/>
      <c r="AI4258" s="352"/>
      <c r="AJ4258" s="352"/>
    </row>
    <row r="4259" spans="2:36" x14ac:dyDescent="0.2">
      <c r="B4259" s="352"/>
      <c r="C4259" s="352"/>
      <c r="D4259" s="352"/>
      <c r="E4259" s="352"/>
      <c r="F4259" s="352"/>
      <c r="H4259" s="352"/>
      <c r="J4259" s="352"/>
      <c r="L4259" s="352"/>
      <c r="M4259" s="352"/>
      <c r="N4259" s="352"/>
      <c r="O4259" s="352"/>
      <c r="P4259" s="352"/>
      <c r="Q4259" s="352"/>
      <c r="R4259" s="352"/>
      <c r="S4259" s="352"/>
      <c r="T4259" s="352"/>
      <c r="U4259" s="352"/>
      <c r="V4259" s="352"/>
      <c r="W4259" s="352"/>
      <c r="X4259" s="352"/>
      <c r="Y4259" s="352"/>
      <c r="Z4259" s="352"/>
      <c r="AA4259" s="352"/>
      <c r="AB4259" s="352"/>
      <c r="AC4259" s="352"/>
      <c r="AD4259" s="352"/>
      <c r="AE4259" s="352"/>
      <c r="AF4259" s="352"/>
      <c r="AG4259" s="352"/>
      <c r="AH4259" s="352"/>
      <c r="AI4259" s="352"/>
      <c r="AJ4259" s="352"/>
    </row>
    <row r="4260" spans="2:36" x14ac:dyDescent="0.2">
      <c r="B4260" s="352"/>
      <c r="C4260" s="352"/>
      <c r="D4260" s="352"/>
      <c r="E4260" s="352"/>
      <c r="F4260" s="352"/>
      <c r="H4260" s="352"/>
      <c r="J4260" s="352"/>
      <c r="L4260" s="352"/>
      <c r="M4260" s="352"/>
      <c r="N4260" s="352"/>
      <c r="O4260" s="352"/>
      <c r="P4260" s="352"/>
      <c r="Q4260" s="352"/>
      <c r="R4260" s="352"/>
      <c r="S4260" s="352"/>
      <c r="T4260" s="352"/>
      <c r="U4260" s="352"/>
      <c r="V4260" s="352"/>
      <c r="W4260" s="352"/>
      <c r="X4260" s="352"/>
      <c r="Y4260" s="352"/>
      <c r="Z4260" s="352"/>
      <c r="AA4260" s="352"/>
      <c r="AB4260" s="352"/>
      <c r="AC4260" s="352"/>
      <c r="AD4260" s="352"/>
      <c r="AE4260" s="352"/>
      <c r="AF4260" s="352"/>
      <c r="AG4260" s="352"/>
      <c r="AH4260" s="352"/>
      <c r="AI4260" s="352"/>
      <c r="AJ4260" s="352"/>
    </row>
    <row r="4261" spans="2:36" x14ac:dyDescent="0.2">
      <c r="B4261" s="352"/>
      <c r="C4261" s="352"/>
      <c r="D4261" s="352"/>
      <c r="E4261" s="352"/>
      <c r="F4261" s="352"/>
      <c r="H4261" s="352"/>
      <c r="J4261" s="352"/>
      <c r="L4261" s="352"/>
      <c r="M4261" s="352"/>
      <c r="N4261" s="352"/>
      <c r="O4261" s="352"/>
      <c r="P4261" s="352"/>
      <c r="Q4261" s="352"/>
      <c r="R4261" s="352"/>
      <c r="S4261" s="352"/>
      <c r="T4261" s="352"/>
      <c r="U4261" s="352"/>
      <c r="V4261" s="352"/>
      <c r="W4261" s="352"/>
      <c r="X4261" s="352"/>
      <c r="Y4261" s="352"/>
      <c r="Z4261" s="352"/>
      <c r="AA4261" s="352"/>
      <c r="AB4261" s="352"/>
      <c r="AC4261" s="352"/>
      <c r="AD4261" s="352"/>
      <c r="AE4261" s="352"/>
      <c r="AF4261" s="352"/>
      <c r="AG4261" s="352"/>
      <c r="AH4261" s="352"/>
      <c r="AI4261" s="352"/>
      <c r="AJ4261" s="352"/>
    </row>
    <row r="4262" spans="2:36" x14ac:dyDescent="0.2">
      <c r="B4262" s="352"/>
      <c r="C4262" s="352"/>
      <c r="D4262" s="352"/>
      <c r="E4262" s="352"/>
      <c r="F4262" s="352"/>
      <c r="H4262" s="352"/>
      <c r="J4262" s="352"/>
      <c r="L4262" s="352"/>
      <c r="M4262" s="352"/>
      <c r="N4262" s="352"/>
      <c r="O4262" s="352"/>
      <c r="P4262" s="352"/>
      <c r="Q4262" s="352"/>
      <c r="R4262" s="352"/>
      <c r="S4262" s="352"/>
      <c r="T4262" s="352"/>
      <c r="U4262" s="352"/>
      <c r="V4262" s="352"/>
      <c r="W4262" s="352"/>
      <c r="X4262" s="352"/>
      <c r="Y4262" s="352"/>
      <c r="Z4262" s="352"/>
      <c r="AA4262" s="352"/>
      <c r="AB4262" s="352"/>
      <c r="AC4262" s="352"/>
      <c r="AD4262" s="352"/>
      <c r="AE4262" s="352"/>
      <c r="AF4262" s="352"/>
      <c r="AG4262" s="352"/>
      <c r="AH4262" s="352"/>
      <c r="AI4262" s="352"/>
      <c r="AJ4262" s="352"/>
    </row>
    <row r="4263" spans="2:36" x14ac:dyDescent="0.2">
      <c r="B4263" s="352"/>
      <c r="C4263" s="352"/>
      <c r="D4263" s="352"/>
      <c r="E4263" s="352"/>
      <c r="F4263" s="352"/>
      <c r="H4263" s="352"/>
      <c r="J4263" s="352"/>
      <c r="L4263" s="352"/>
      <c r="M4263" s="352"/>
      <c r="N4263" s="352"/>
      <c r="O4263" s="352"/>
      <c r="P4263" s="352"/>
      <c r="Q4263" s="352"/>
      <c r="R4263" s="352"/>
      <c r="S4263" s="352"/>
      <c r="T4263" s="352"/>
      <c r="U4263" s="352"/>
      <c r="V4263" s="352"/>
      <c r="W4263" s="352"/>
      <c r="X4263" s="352"/>
      <c r="Y4263" s="352"/>
      <c r="Z4263" s="352"/>
      <c r="AA4263" s="352"/>
      <c r="AB4263" s="352"/>
      <c r="AC4263" s="352"/>
      <c r="AD4263" s="352"/>
      <c r="AE4263" s="352"/>
      <c r="AF4263" s="352"/>
      <c r="AG4263" s="352"/>
      <c r="AH4263" s="352"/>
      <c r="AI4263" s="352"/>
      <c r="AJ4263" s="352"/>
    </row>
    <row r="4264" spans="2:36" x14ac:dyDescent="0.2">
      <c r="B4264" s="352"/>
      <c r="C4264" s="352"/>
      <c r="D4264" s="352"/>
      <c r="E4264" s="352"/>
      <c r="F4264" s="352"/>
      <c r="H4264" s="352"/>
      <c r="J4264" s="352"/>
      <c r="L4264" s="352"/>
      <c r="M4264" s="352"/>
      <c r="N4264" s="352"/>
      <c r="O4264" s="352"/>
      <c r="P4264" s="352"/>
      <c r="Q4264" s="352"/>
      <c r="R4264" s="352"/>
      <c r="S4264" s="352"/>
      <c r="T4264" s="352"/>
      <c r="U4264" s="352"/>
      <c r="V4264" s="352"/>
      <c r="W4264" s="352"/>
      <c r="X4264" s="352"/>
      <c r="Y4264" s="352"/>
      <c r="Z4264" s="352"/>
      <c r="AA4264" s="352"/>
      <c r="AB4264" s="352"/>
      <c r="AC4264" s="352"/>
      <c r="AD4264" s="352"/>
      <c r="AE4264" s="352"/>
      <c r="AF4264" s="352"/>
      <c r="AG4264" s="352"/>
      <c r="AH4264" s="352"/>
      <c r="AI4264" s="352"/>
      <c r="AJ4264" s="352"/>
    </row>
    <row r="4265" spans="2:36" x14ac:dyDescent="0.2">
      <c r="B4265" s="352"/>
      <c r="C4265" s="352"/>
      <c r="D4265" s="352"/>
      <c r="E4265" s="352"/>
      <c r="F4265" s="352"/>
      <c r="H4265" s="352"/>
      <c r="J4265" s="352"/>
      <c r="L4265" s="352"/>
      <c r="M4265" s="352"/>
      <c r="N4265" s="352"/>
      <c r="O4265" s="352"/>
      <c r="P4265" s="352"/>
      <c r="Q4265" s="352"/>
      <c r="R4265" s="352"/>
      <c r="S4265" s="352"/>
      <c r="T4265" s="352"/>
      <c r="U4265" s="352"/>
      <c r="V4265" s="352"/>
      <c r="W4265" s="352"/>
      <c r="X4265" s="352"/>
      <c r="Y4265" s="352"/>
      <c r="Z4265" s="352"/>
      <c r="AA4265" s="352"/>
      <c r="AB4265" s="352"/>
      <c r="AC4265" s="352"/>
      <c r="AD4265" s="352"/>
      <c r="AE4265" s="352"/>
      <c r="AF4265" s="352"/>
      <c r="AG4265" s="352"/>
      <c r="AH4265" s="352"/>
      <c r="AI4265" s="352"/>
      <c r="AJ4265" s="352"/>
    </row>
    <row r="4266" spans="2:36" x14ac:dyDescent="0.2">
      <c r="B4266" s="352"/>
      <c r="C4266" s="352"/>
      <c r="D4266" s="352"/>
      <c r="E4266" s="352"/>
      <c r="F4266" s="352"/>
      <c r="H4266" s="352"/>
      <c r="J4266" s="352"/>
      <c r="L4266" s="352"/>
      <c r="M4266" s="352"/>
      <c r="N4266" s="352"/>
      <c r="O4266" s="352"/>
      <c r="P4266" s="352"/>
      <c r="Q4266" s="352"/>
      <c r="R4266" s="352"/>
      <c r="S4266" s="352"/>
      <c r="T4266" s="352"/>
      <c r="U4266" s="352"/>
      <c r="V4266" s="352"/>
      <c r="W4266" s="352"/>
      <c r="X4266" s="352"/>
      <c r="Y4266" s="352"/>
      <c r="Z4266" s="352"/>
      <c r="AA4266" s="352"/>
      <c r="AB4266" s="352"/>
      <c r="AC4266" s="352"/>
      <c r="AD4266" s="352"/>
      <c r="AE4266" s="352"/>
      <c r="AF4266" s="352"/>
      <c r="AG4266" s="352"/>
      <c r="AH4266" s="352"/>
      <c r="AI4266" s="352"/>
      <c r="AJ4266" s="352"/>
    </row>
    <row r="4267" spans="2:36" x14ac:dyDescent="0.2">
      <c r="B4267" s="352"/>
      <c r="C4267" s="352"/>
      <c r="D4267" s="352"/>
      <c r="E4267" s="352"/>
      <c r="F4267" s="352"/>
      <c r="H4267" s="352"/>
      <c r="J4267" s="352"/>
      <c r="L4267" s="352"/>
      <c r="M4267" s="352"/>
      <c r="N4267" s="352"/>
      <c r="O4267" s="352"/>
      <c r="P4267" s="352"/>
      <c r="Q4267" s="352"/>
      <c r="R4267" s="352"/>
      <c r="S4267" s="352"/>
      <c r="T4267" s="352"/>
      <c r="U4267" s="352"/>
      <c r="V4267" s="352"/>
      <c r="W4267" s="352"/>
      <c r="X4267" s="352"/>
      <c r="Y4267" s="352"/>
      <c r="Z4267" s="352"/>
      <c r="AA4267" s="352"/>
      <c r="AB4267" s="352"/>
      <c r="AC4267" s="352"/>
      <c r="AD4267" s="352"/>
      <c r="AE4267" s="352"/>
      <c r="AF4267" s="352"/>
      <c r="AG4267" s="352"/>
      <c r="AH4267" s="352"/>
      <c r="AI4267" s="352"/>
      <c r="AJ4267" s="352"/>
    </row>
    <row r="4268" spans="2:36" x14ac:dyDescent="0.2">
      <c r="B4268" s="352"/>
      <c r="C4268" s="352"/>
      <c r="D4268" s="352"/>
      <c r="E4268" s="352"/>
      <c r="F4268" s="352"/>
      <c r="H4268" s="352"/>
      <c r="J4268" s="352"/>
      <c r="L4268" s="352"/>
      <c r="M4268" s="352"/>
      <c r="N4268" s="352"/>
      <c r="O4268" s="352"/>
      <c r="P4268" s="352"/>
      <c r="Q4268" s="352"/>
      <c r="R4268" s="352"/>
      <c r="S4268" s="352"/>
      <c r="T4268" s="352"/>
      <c r="U4268" s="352"/>
      <c r="V4268" s="352"/>
      <c r="W4268" s="352"/>
      <c r="X4268" s="352"/>
      <c r="Y4268" s="352"/>
      <c r="Z4268" s="352"/>
      <c r="AA4268" s="352"/>
      <c r="AB4268" s="352"/>
      <c r="AC4268" s="352"/>
      <c r="AD4268" s="352"/>
      <c r="AE4268" s="352"/>
      <c r="AF4268" s="352"/>
      <c r="AG4268" s="352"/>
      <c r="AH4268" s="352"/>
      <c r="AI4268" s="352"/>
      <c r="AJ4268" s="352"/>
    </row>
    <row r="4269" spans="2:36" x14ac:dyDescent="0.2">
      <c r="B4269" s="352"/>
      <c r="C4269" s="352"/>
      <c r="D4269" s="352"/>
      <c r="E4269" s="352"/>
      <c r="F4269" s="352"/>
      <c r="H4269" s="352"/>
      <c r="J4269" s="352"/>
      <c r="L4269" s="352"/>
      <c r="M4269" s="352"/>
      <c r="N4269" s="352"/>
      <c r="O4269" s="352"/>
      <c r="P4269" s="352"/>
      <c r="Q4269" s="352"/>
      <c r="R4269" s="352"/>
      <c r="S4269" s="352"/>
      <c r="T4269" s="352"/>
      <c r="U4269" s="352"/>
      <c r="V4269" s="352"/>
      <c r="W4269" s="352"/>
      <c r="X4269" s="352"/>
      <c r="Y4269" s="352"/>
      <c r="Z4269" s="352"/>
      <c r="AA4269" s="352"/>
      <c r="AB4269" s="352"/>
      <c r="AC4269" s="352"/>
      <c r="AD4269" s="352"/>
      <c r="AE4269" s="352"/>
      <c r="AF4269" s="352"/>
      <c r="AG4269" s="352"/>
      <c r="AH4269" s="352"/>
      <c r="AI4269" s="352"/>
      <c r="AJ4269" s="352"/>
    </row>
    <row r="4270" spans="2:36" x14ac:dyDescent="0.2">
      <c r="B4270" s="352"/>
      <c r="C4270" s="352"/>
      <c r="D4270" s="352"/>
      <c r="E4270" s="352"/>
      <c r="F4270" s="352"/>
      <c r="H4270" s="352"/>
      <c r="J4270" s="352"/>
      <c r="L4270" s="352"/>
      <c r="M4270" s="352"/>
      <c r="N4270" s="352"/>
      <c r="O4270" s="352"/>
      <c r="P4270" s="352"/>
      <c r="Q4270" s="352"/>
      <c r="R4270" s="352"/>
      <c r="S4270" s="352"/>
      <c r="T4270" s="352"/>
      <c r="U4270" s="352"/>
      <c r="V4270" s="352"/>
      <c r="W4270" s="352"/>
      <c r="X4270" s="352"/>
      <c r="Y4270" s="352"/>
      <c r="Z4270" s="352"/>
      <c r="AA4270" s="352"/>
      <c r="AB4270" s="352"/>
      <c r="AC4270" s="352"/>
      <c r="AD4270" s="352"/>
      <c r="AE4270" s="352"/>
      <c r="AF4270" s="352"/>
      <c r="AG4270" s="352"/>
      <c r="AH4270" s="352"/>
      <c r="AI4270" s="352"/>
      <c r="AJ4270" s="352"/>
    </row>
    <row r="4271" spans="2:36" x14ac:dyDescent="0.2">
      <c r="B4271" s="352"/>
      <c r="C4271" s="352"/>
      <c r="D4271" s="352"/>
      <c r="E4271" s="352"/>
      <c r="F4271" s="352"/>
      <c r="H4271" s="352"/>
      <c r="J4271" s="352"/>
      <c r="L4271" s="352"/>
      <c r="M4271" s="352"/>
      <c r="N4271" s="352"/>
      <c r="O4271" s="352"/>
      <c r="P4271" s="352"/>
      <c r="Q4271" s="352"/>
      <c r="R4271" s="352"/>
      <c r="S4271" s="352"/>
      <c r="T4271" s="352"/>
      <c r="U4271" s="352"/>
      <c r="V4271" s="352"/>
      <c r="W4271" s="352"/>
      <c r="X4271" s="352"/>
      <c r="Y4271" s="352"/>
      <c r="Z4271" s="352"/>
      <c r="AA4271" s="352"/>
      <c r="AB4271" s="352"/>
      <c r="AC4271" s="352"/>
      <c r="AD4271" s="352"/>
      <c r="AE4271" s="352"/>
      <c r="AF4271" s="352"/>
      <c r="AG4271" s="352"/>
      <c r="AH4271" s="352"/>
      <c r="AI4271" s="352"/>
      <c r="AJ4271" s="352"/>
    </row>
    <row r="4272" spans="2:36" x14ac:dyDescent="0.2">
      <c r="B4272" s="352"/>
      <c r="C4272" s="352"/>
      <c r="D4272" s="352"/>
      <c r="E4272" s="352"/>
      <c r="F4272" s="352"/>
      <c r="H4272" s="352"/>
      <c r="J4272" s="352"/>
      <c r="L4272" s="352"/>
      <c r="M4272" s="352"/>
      <c r="N4272" s="352"/>
      <c r="O4272" s="352"/>
      <c r="P4272" s="352"/>
      <c r="Q4272" s="352"/>
      <c r="R4272" s="352"/>
      <c r="S4272" s="352"/>
      <c r="T4272" s="352"/>
      <c r="U4272" s="352"/>
      <c r="V4272" s="352"/>
      <c r="W4272" s="352"/>
      <c r="X4272" s="352"/>
      <c r="Y4272" s="352"/>
      <c r="Z4272" s="352"/>
      <c r="AA4272" s="352"/>
      <c r="AB4272" s="352"/>
      <c r="AC4272" s="352"/>
      <c r="AD4272" s="352"/>
      <c r="AE4272" s="352"/>
      <c r="AF4272" s="352"/>
      <c r="AG4272" s="352"/>
      <c r="AH4272" s="352"/>
      <c r="AI4272" s="352"/>
      <c r="AJ4272" s="352"/>
    </row>
    <row r="4273" spans="2:36" x14ac:dyDescent="0.2">
      <c r="B4273" s="352"/>
      <c r="C4273" s="352"/>
      <c r="D4273" s="352"/>
      <c r="E4273" s="352"/>
      <c r="F4273" s="352"/>
      <c r="H4273" s="352"/>
      <c r="J4273" s="352"/>
      <c r="L4273" s="352"/>
      <c r="M4273" s="352"/>
      <c r="N4273" s="352"/>
      <c r="O4273" s="352"/>
      <c r="P4273" s="352"/>
      <c r="Q4273" s="352"/>
      <c r="R4273" s="352"/>
      <c r="S4273" s="352"/>
      <c r="T4273" s="352"/>
      <c r="U4273" s="352"/>
      <c r="V4273" s="352"/>
      <c r="W4273" s="352"/>
      <c r="X4273" s="352"/>
      <c r="Y4273" s="352"/>
      <c r="Z4273" s="352"/>
      <c r="AA4273" s="352"/>
      <c r="AB4273" s="352"/>
      <c r="AC4273" s="352"/>
      <c r="AD4273" s="352"/>
      <c r="AE4273" s="352"/>
      <c r="AF4273" s="352"/>
      <c r="AG4273" s="352"/>
      <c r="AH4273" s="352"/>
      <c r="AI4273" s="352"/>
      <c r="AJ4273" s="352"/>
    </row>
    <row r="4274" spans="2:36" x14ac:dyDescent="0.2">
      <c r="B4274" s="352"/>
      <c r="C4274" s="352"/>
      <c r="D4274" s="352"/>
      <c r="E4274" s="352"/>
      <c r="F4274" s="352"/>
      <c r="H4274" s="352"/>
      <c r="J4274" s="352"/>
      <c r="L4274" s="352"/>
      <c r="M4274" s="352"/>
      <c r="N4274" s="352"/>
      <c r="O4274" s="352"/>
      <c r="P4274" s="352"/>
      <c r="Q4274" s="352"/>
      <c r="R4274" s="352"/>
      <c r="S4274" s="352"/>
      <c r="T4274" s="352"/>
      <c r="U4274" s="352"/>
      <c r="V4274" s="352"/>
      <c r="W4274" s="352"/>
      <c r="X4274" s="352"/>
      <c r="Y4274" s="352"/>
      <c r="Z4274" s="352"/>
      <c r="AA4274" s="352"/>
      <c r="AB4274" s="352"/>
      <c r="AC4274" s="352"/>
      <c r="AD4274" s="352"/>
      <c r="AE4274" s="352"/>
      <c r="AF4274" s="352"/>
      <c r="AG4274" s="352"/>
      <c r="AH4274" s="352"/>
      <c r="AI4274" s="352"/>
      <c r="AJ4274" s="352"/>
    </row>
    <row r="4275" spans="2:36" x14ac:dyDescent="0.2">
      <c r="B4275" s="352"/>
      <c r="C4275" s="352"/>
      <c r="D4275" s="352"/>
      <c r="E4275" s="352"/>
      <c r="F4275" s="352"/>
      <c r="H4275" s="352"/>
      <c r="J4275" s="352"/>
      <c r="L4275" s="352"/>
      <c r="M4275" s="352"/>
      <c r="N4275" s="352"/>
      <c r="O4275" s="352"/>
      <c r="P4275" s="352"/>
      <c r="Q4275" s="352"/>
      <c r="R4275" s="352"/>
      <c r="S4275" s="352"/>
      <c r="T4275" s="352"/>
      <c r="U4275" s="352"/>
      <c r="V4275" s="352"/>
      <c r="W4275" s="352"/>
      <c r="X4275" s="352"/>
      <c r="Y4275" s="352"/>
      <c r="Z4275" s="352"/>
      <c r="AA4275" s="352"/>
      <c r="AB4275" s="352"/>
      <c r="AC4275" s="352"/>
      <c r="AD4275" s="352"/>
      <c r="AE4275" s="352"/>
      <c r="AF4275" s="352"/>
      <c r="AG4275" s="352"/>
      <c r="AH4275" s="352"/>
      <c r="AI4275" s="352"/>
      <c r="AJ4275" s="352"/>
    </row>
    <row r="4276" spans="2:36" x14ac:dyDescent="0.2">
      <c r="B4276" s="352"/>
      <c r="C4276" s="352"/>
      <c r="D4276" s="352"/>
      <c r="E4276" s="352"/>
      <c r="F4276" s="352"/>
      <c r="H4276" s="352"/>
      <c r="J4276" s="352"/>
      <c r="L4276" s="352"/>
      <c r="M4276" s="352"/>
      <c r="N4276" s="352"/>
      <c r="O4276" s="352"/>
      <c r="P4276" s="352"/>
      <c r="Q4276" s="352"/>
      <c r="R4276" s="352"/>
      <c r="S4276" s="352"/>
      <c r="T4276" s="352"/>
      <c r="U4276" s="352"/>
      <c r="V4276" s="352"/>
      <c r="W4276" s="352"/>
      <c r="X4276" s="352"/>
      <c r="Y4276" s="352"/>
      <c r="Z4276" s="352"/>
      <c r="AA4276" s="352"/>
      <c r="AB4276" s="352"/>
      <c r="AC4276" s="352"/>
      <c r="AD4276" s="352"/>
      <c r="AE4276" s="352"/>
      <c r="AF4276" s="352"/>
      <c r="AG4276" s="352"/>
      <c r="AH4276" s="352"/>
      <c r="AI4276" s="352"/>
      <c r="AJ4276" s="352"/>
    </row>
    <row r="4277" spans="2:36" x14ac:dyDescent="0.2">
      <c r="B4277" s="352"/>
      <c r="C4277" s="352"/>
      <c r="D4277" s="352"/>
      <c r="E4277" s="352"/>
      <c r="F4277" s="352"/>
      <c r="H4277" s="352"/>
      <c r="J4277" s="352"/>
      <c r="L4277" s="352"/>
      <c r="M4277" s="352"/>
      <c r="N4277" s="352"/>
      <c r="O4277" s="352"/>
      <c r="P4277" s="352"/>
      <c r="Q4277" s="352"/>
      <c r="R4277" s="352"/>
      <c r="S4277" s="352"/>
      <c r="T4277" s="352"/>
      <c r="U4277" s="352"/>
      <c r="V4277" s="352"/>
      <c r="W4277" s="352"/>
      <c r="X4277" s="352"/>
      <c r="Y4277" s="352"/>
      <c r="Z4277" s="352"/>
      <c r="AA4277" s="352"/>
      <c r="AB4277" s="352"/>
      <c r="AC4277" s="352"/>
      <c r="AD4277" s="352"/>
      <c r="AE4277" s="352"/>
      <c r="AF4277" s="352"/>
      <c r="AG4277" s="352"/>
      <c r="AH4277" s="352"/>
      <c r="AI4277" s="352"/>
      <c r="AJ4277" s="352"/>
    </row>
    <row r="4278" spans="2:36" x14ac:dyDescent="0.2">
      <c r="B4278" s="352"/>
      <c r="C4278" s="352"/>
      <c r="D4278" s="352"/>
      <c r="E4278" s="352"/>
      <c r="F4278" s="352"/>
      <c r="H4278" s="352"/>
      <c r="J4278" s="352"/>
      <c r="L4278" s="352"/>
      <c r="M4278" s="352"/>
      <c r="N4278" s="352"/>
      <c r="O4278" s="352"/>
      <c r="P4278" s="352"/>
      <c r="Q4278" s="352"/>
      <c r="R4278" s="352"/>
      <c r="S4278" s="352"/>
      <c r="T4278" s="352"/>
      <c r="U4278" s="352"/>
      <c r="V4278" s="352"/>
      <c r="W4278" s="352"/>
      <c r="X4278" s="352"/>
      <c r="Y4278" s="352"/>
      <c r="Z4278" s="352"/>
      <c r="AA4278" s="352"/>
      <c r="AB4278" s="352"/>
      <c r="AC4278" s="352"/>
      <c r="AD4278" s="352"/>
      <c r="AE4278" s="352"/>
      <c r="AF4278" s="352"/>
      <c r="AG4278" s="352"/>
      <c r="AH4278" s="352"/>
      <c r="AI4278" s="352"/>
      <c r="AJ4278" s="352"/>
    </row>
    <row r="4279" spans="2:36" x14ac:dyDescent="0.2">
      <c r="B4279" s="352"/>
      <c r="C4279" s="352"/>
      <c r="D4279" s="352"/>
      <c r="E4279" s="352"/>
      <c r="F4279" s="352"/>
      <c r="H4279" s="352"/>
      <c r="J4279" s="352"/>
      <c r="L4279" s="352"/>
      <c r="M4279" s="352"/>
      <c r="N4279" s="352"/>
      <c r="O4279" s="352"/>
      <c r="P4279" s="352"/>
      <c r="Q4279" s="352"/>
      <c r="R4279" s="352"/>
      <c r="S4279" s="352"/>
      <c r="T4279" s="352"/>
      <c r="U4279" s="352"/>
      <c r="V4279" s="352"/>
      <c r="W4279" s="352"/>
      <c r="X4279" s="352"/>
      <c r="Y4279" s="352"/>
      <c r="Z4279" s="352"/>
      <c r="AA4279" s="352"/>
      <c r="AB4279" s="352"/>
      <c r="AC4279" s="352"/>
      <c r="AD4279" s="352"/>
      <c r="AE4279" s="352"/>
      <c r="AF4279" s="352"/>
      <c r="AG4279" s="352"/>
      <c r="AH4279" s="352"/>
      <c r="AI4279" s="352"/>
      <c r="AJ4279" s="352"/>
    </row>
    <row r="4280" spans="2:36" x14ac:dyDescent="0.2">
      <c r="B4280" s="352"/>
      <c r="C4280" s="352"/>
      <c r="D4280" s="352"/>
      <c r="E4280" s="352"/>
      <c r="F4280" s="352"/>
      <c r="H4280" s="352"/>
      <c r="J4280" s="352"/>
      <c r="L4280" s="352"/>
      <c r="M4280" s="352"/>
      <c r="N4280" s="352"/>
      <c r="O4280" s="352"/>
      <c r="P4280" s="352"/>
      <c r="Q4280" s="352"/>
      <c r="R4280" s="352"/>
      <c r="S4280" s="352"/>
      <c r="T4280" s="352"/>
      <c r="U4280" s="352"/>
      <c r="V4280" s="352"/>
      <c r="W4280" s="352"/>
      <c r="X4280" s="352"/>
      <c r="Y4280" s="352"/>
      <c r="Z4280" s="352"/>
      <c r="AA4280" s="352"/>
      <c r="AB4280" s="352"/>
      <c r="AC4280" s="352"/>
      <c r="AD4280" s="352"/>
      <c r="AE4280" s="352"/>
      <c r="AF4280" s="352"/>
      <c r="AG4280" s="352"/>
      <c r="AH4280" s="352"/>
      <c r="AI4280" s="352"/>
      <c r="AJ4280" s="352"/>
    </row>
    <row r="4281" spans="2:36" x14ac:dyDescent="0.2">
      <c r="B4281" s="352"/>
      <c r="C4281" s="352"/>
      <c r="D4281" s="352"/>
      <c r="E4281" s="352"/>
      <c r="F4281" s="352"/>
      <c r="H4281" s="352"/>
      <c r="J4281" s="352"/>
      <c r="L4281" s="352"/>
      <c r="M4281" s="352"/>
      <c r="N4281" s="352"/>
      <c r="O4281" s="352"/>
      <c r="P4281" s="352"/>
      <c r="Q4281" s="352"/>
      <c r="R4281" s="352"/>
      <c r="S4281" s="352"/>
      <c r="T4281" s="352"/>
      <c r="U4281" s="352"/>
      <c r="V4281" s="352"/>
      <c r="W4281" s="352"/>
      <c r="X4281" s="352"/>
      <c r="Y4281" s="352"/>
      <c r="Z4281" s="352"/>
      <c r="AA4281" s="352"/>
      <c r="AB4281" s="352"/>
      <c r="AC4281" s="352"/>
      <c r="AD4281" s="352"/>
      <c r="AE4281" s="352"/>
      <c r="AF4281" s="352"/>
      <c r="AG4281" s="352"/>
      <c r="AH4281" s="352"/>
      <c r="AI4281" s="352"/>
      <c r="AJ4281" s="352"/>
    </row>
    <row r="4282" spans="2:36" x14ac:dyDescent="0.2">
      <c r="B4282" s="352"/>
      <c r="C4282" s="352"/>
      <c r="D4282" s="352"/>
      <c r="E4282" s="352"/>
      <c r="F4282" s="352"/>
      <c r="H4282" s="352"/>
      <c r="J4282" s="352"/>
      <c r="L4282" s="352"/>
      <c r="M4282" s="352"/>
      <c r="N4282" s="352"/>
      <c r="O4282" s="352"/>
      <c r="P4282" s="352"/>
      <c r="Q4282" s="352"/>
      <c r="R4282" s="352"/>
      <c r="S4282" s="352"/>
      <c r="T4282" s="352"/>
      <c r="U4282" s="352"/>
      <c r="V4282" s="352"/>
      <c r="W4282" s="352"/>
      <c r="X4282" s="352"/>
      <c r="Y4282" s="352"/>
      <c r="Z4282" s="352"/>
      <c r="AA4282" s="352"/>
      <c r="AB4282" s="352"/>
      <c r="AC4282" s="352"/>
      <c r="AD4282" s="352"/>
      <c r="AE4282" s="352"/>
      <c r="AF4282" s="352"/>
      <c r="AG4282" s="352"/>
      <c r="AH4282" s="352"/>
      <c r="AI4282" s="352"/>
      <c r="AJ4282" s="352"/>
    </row>
    <row r="4283" spans="2:36" x14ac:dyDescent="0.2">
      <c r="B4283" s="352"/>
      <c r="C4283" s="352"/>
      <c r="D4283" s="352"/>
      <c r="E4283" s="352"/>
      <c r="F4283" s="352"/>
      <c r="H4283" s="352"/>
      <c r="J4283" s="352"/>
      <c r="L4283" s="352"/>
      <c r="M4283" s="352"/>
      <c r="N4283" s="352"/>
      <c r="O4283" s="352"/>
      <c r="P4283" s="352"/>
      <c r="Q4283" s="352"/>
      <c r="R4283" s="352"/>
      <c r="S4283" s="352"/>
      <c r="T4283" s="352"/>
      <c r="U4283" s="352"/>
      <c r="V4283" s="352"/>
      <c r="W4283" s="352"/>
      <c r="X4283" s="352"/>
      <c r="Y4283" s="352"/>
      <c r="Z4283" s="352"/>
      <c r="AA4283" s="352"/>
      <c r="AB4283" s="352"/>
      <c r="AC4283" s="352"/>
      <c r="AD4283" s="352"/>
      <c r="AE4283" s="352"/>
      <c r="AF4283" s="352"/>
      <c r="AG4283" s="352"/>
      <c r="AH4283" s="352"/>
      <c r="AI4283" s="352"/>
      <c r="AJ4283" s="352"/>
    </row>
    <row r="4284" spans="2:36" x14ac:dyDescent="0.2">
      <c r="B4284" s="352"/>
      <c r="C4284" s="352"/>
      <c r="D4284" s="352"/>
      <c r="E4284" s="352"/>
      <c r="F4284" s="352"/>
      <c r="H4284" s="352"/>
      <c r="J4284" s="352"/>
      <c r="L4284" s="352"/>
      <c r="M4284" s="352"/>
      <c r="N4284" s="352"/>
      <c r="O4284" s="352"/>
      <c r="P4284" s="352"/>
      <c r="Q4284" s="352"/>
      <c r="R4284" s="352"/>
      <c r="S4284" s="352"/>
      <c r="T4284" s="352"/>
      <c r="U4284" s="352"/>
      <c r="V4284" s="352"/>
      <c r="W4284" s="352"/>
      <c r="X4284" s="352"/>
      <c r="Y4284" s="352"/>
      <c r="Z4284" s="352"/>
      <c r="AA4284" s="352"/>
      <c r="AB4284" s="352"/>
      <c r="AC4284" s="352"/>
      <c r="AD4284" s="352"/>
      <c r="AE4284" s="352"/>
      <c r="AF4284" s="352"/>
      <c r="AG4284" s="352"/>
      <c r="AH4284" s="352"/>
      <c r="AI4284" s="352"/>
      <c r="AJ4284" s="352"/>
    </row>
    <row r="4285" spans="2:36" x14ac:dyDescent="0.2">
      <c r="B4285" s="352"/>
      <c r="C4285" s="352"/>
      <c r="D4285" s="352"/>
      <c r="E4285" s="352"/>
      <c r="F4285" s="352"/>
      <c r="H4285" s="352"/>
      <c r="J4285" s="352"/>
      <c r="L4285" s="352"/>
      <c r="M4285" s="352"/>
      <c r="N4285" s="352"/>
      <c r="O4285" s="352"/>
      <c r="P4285" s="352"/>
      <c r="Q4285" s="352"/>
      <c r="R4285" s="352"/>
      <c r="S4285" s="352"/>
      <c r="T4285" s="352"/>
      <c r="U4285" s="352"/>
      <c r="V4285" s="352"/>
      <c r="W4285" s="352"/>
      <c r="X4285" s="352"/>
      <c r="Y4285" s="352"/>
      <c r="Z4285" s="352"/>
      <c r="AA4285" s="352"/>
      <c r="AB4285" s="352"/>
      <c r="AC4285" s="352"/>
      <c r="AD4285" s="352"/>
      <c r="AE4285" s="352"/>
      <c r="AF4285" s="352"/>
      <c r="AG4285" s="352"/>
      <c r="AH4285" s="352"/>
      <c r="AI4285" s="352"/>
      <c r="AJ4285" s="352"/>
    </row>
    <row r="4286" spans="2:36" x14ac:dyDescent="0.2">
      <c r="B4286" s="352"/>
      <c r="C4286" s="352"/>
      <c r="D4286" s="352"/>
      <c r="E4286" s="352"/>
      <c r="F4286" s="352"/>
      <c r="H4286" s="352"/>
      <c r="J4286" s="352"/>
      <c r="L4286" s="352"/>
      <c r="M4286" s="352"/>
      <c r="N4286" s="352"/>
      <c r="O4286" s="352"/>
      <c r="P4286" s="352"/>
      <c r="Q4286" s="352"/>
      <c r="R4286" s="352"/>
      <c r="S4286" s="352"/>
      <c r="T4286" s="352"/>
      <c r="U4286" s="352"/>
      <c r="V4286" s="352"/>
      <c r="W4286" s="352"/>
      <c r="X4286" s="352"/>
      <c r="Y4286" s="352"/>
      <c r="Z4286" s="352"/>
      <c r="AA4286" s="352"/>
      <c r="AB4286" s="352"/>
      <c r="AC4286" s="352"/>
      <c r="AD4286" s="352"/>
      <c r="AE4286" s="352"/>
      <c r="AF4286" s="352"/>
      <c r="AG4286" s="352"/>
      <c r="AH4286" s="352"/>
      <c r="AI4286" s="352"/>
      <c r="AJ4286" s="352"/>
    </row>
    <row r="4287" spans="2:36" x14ac:dyDescent="0.2">
      <c r="B4287" s="352"/>
      <c r="C4287" s="352"/>
      <c r="D4287" s="352"/>
      <c r="E4287" s="352"/>
      <c r="F4287" s="352"/>
      <c r="H4287" s="352"/>
      <c r="J4287" s="352"/>
      <c r="L4287" s="352"/>
      <c r="M4287" s="352"/>
      <c r="N4287" s="352"/>
      <c r="O4287" s="352"/>
      <c r="P4287" s="352"/>
      <c r="Q4287" s="352"/>
      <c r="R4287" s="352"/>
      <c r="S4287" s="352"/>
      <c r="T4287" s="352"/>
      <c r="U4287" s="352"/>
      <c r="V4287" s="352"/>
      <c r="W4287" s="352"/>
      <c r="X4287" s="352"/>
      <c r="Y4287" s="352"/>
      <c r="Z4287" s="352"/>
      <c r="AA4287" s="352"/>
      <c r="AB4287" s="352"/>
      <c r="AC4287" s="352"/>
      <c r="AD4287" s="352"/>
      <c r="AE4287" s="352"/>
      <c r="AF4287" s="352"/>
      <c r="AG4287" s="352"/>
      <c r="AH4287" s="352"/>
      <c r="AI4287" s="352"/>
      <c r="AJ4287" s="352"/>
    </row>
    <row r="4288" spans="2:36" x14ac:dyDescent="0.2">
      <c r="B4288" s="352"/>
      <c r="C4288" s="352"/>
      <c r="D4288" s="352"/>
      <c r="E4288" s="352"/>
      <c r="F4288" s="352"/>
      <c r="H4288" s="352"/>
      <c r="J4288" s="352"/>
      <c r="L4288" s="352"/>
      <c r="M4288" s="352"/>
      <c r="N4288" s="352"/>
      <c r="O4288" s="352"/>
      <c r="P4288" s="352"/>
      <c r="Q4288" s="352"/>
      <c r="R4288" s="352"/>
      <c r="S4288" s="352"/>
      <c r="T4288" s="352"/>
      <c r="U4288" s="352"/>
      <c r="V4288" s="352"/>
      <c r="W4288" s="352"/>
      <c r="X4288" s="352"/>
      <c r="Y4288" s="352"/>
      <c r="Z4288" s="352"/>
      <c r="AA4288" s="352"/>
      <c r="AB4288" s="352"/>
      <c r="AC4288" s="352"/>
      <c r="AD4288" s="352"/>
      <c r="AE4288" s="352"/>
      <c r="AF4288" s="352"/>
      <c r="AG4288" s="352"/>
      <c r="AH4288" s="352"/>
      <c r="AI4288" s="352"/>
      <c r="AJ4288" s="352"/>
    </row>
    <row r="4289" spans="2:36" x14ac:dyDescent="0.2">
      <c r="B4289" s="352"/>
      <c r="C4289" s="352"/>
      <c r="D4289" s="352"/>
      <c r="E4289" s="352"/>
      <c r="F4289" s="352"/>
      <c r="H4289" s="352"/>
      <c r="J4289" s="352"/>
      <c r="L4289" s="352"/>
      <c r="M4289" s="352"/>
      <c r="N4289" s="352"/>
      <c r="O4289" s="352"/>
      <c r="P4289" s="352"/>
      <c r="Q4289" s="352"/>
      <c r="R4289" s="352"/>
      <c r="S4289" s="352"/>
      <c r="T4289" s="352"/>
      <c r="U4289" s="352"/>
      <c r="V4289" s="352"/>
      <c r="W4289" s="352"/>
      <c r="X4289" s="352"/>
      <c r="Y4289" s="352"/>
      <c r="Z4289" s="352"/>
      <c r="AA4289" s="352"/>
      <c r="AB4289" s="352"/>
      <c r="AC4289" s="352"/>
      <c r="AD4289" s="352"/>
      <c r="AE4289" s="352"/>
      <c r="AF4289" s="352"/>
      <c r="AG4289" s="352"/>
      <c r="AH4289" s="352"/>
      <c r="AI4289" s="352"/>
      <c r="AJ4289" s="352"/>
    </row>
    <row r="4290" spans="2:36" x14ac:dyDescent="0.2">
      <c r="B4290" s="352"/>
      <c r="C4290" s="352"/>
      <c r="D4290" s="352"/>
      <c r="E4290" s="352"/>
      <c r="F4290" s="352"/>
      <c r="H4290" s="352"/>
      <c r="J4290" s="352"/>
      <c r="L4290" s="352"/>
      <c r="M4290" s="352"/>
      <c r="N4290" s="352"/>
      <c r="O4290" s="352"/>
      <c r="P4290" s="352"/>
      <c r="Q4290" s="352"/>
      <c r="R4290" s="352"/>
      <c r="S4290" s="352"/>
      <c r="T4290" s="352"/>
      <c r="U4290" s="352"/>
      <c r="V4290" s="352"/>
      <c r="W4290" s="352"/>
      <c r="X4290" s="352"/>
      <c r="Y4290" s="352"/>
      <c r="Z4290" s="352"/>
      <c r="AA4290" s="352"/>
      <c r="AB4290" s="352"/>
      <c r="AC4290" s="352"/>
      <c r="AD4290" s="352"/>
      <c r="AE4290" s="352"/>
      <c r="AF4290" s="352"/>
      <c r="AG4290" s="352"/>
      <c r="AH4290" s="352"/>
      <c r="AI4290" s="352"/>
      <c r="AJ4290" s="352"/>
    </row>
    <row r="4291" spans="2:36" x14ac:dyDescent="0.2">
      <c r="B4291" s="352"/>
      <c r="C4291" s="352"/>
      <c r="D4291" s="352"/>
      <c r="E4291" s="352"/>
      <c r="F4291" s="352"/>
      <c r="H4291" s="352"/>
      <c r="J4291" s="352"/>
      <c r="L4291" s="352"/>
      <c r="M4291" s="352"/>
      <c r="N4291" s="352"/>
      <c r="O4291" s="352"/>
      <c r="P4291" s="352"/>
      <c r="Q4291" s="352"/>
      <c r="R4291" s="352"/>
      <c r="S4291" s="352"/>
      <c r="T4291" s="352"/>
      <c r="U4291" s="352"/>
      <c r="V4291" s="352"/>
      <c r="W4291" s="352"/>
      <c r="X4291" s="352"/>
      <c r="Y4291" s="352"/>
      <c r="Z4291" s="352"/>
      <c r="AA4291" s="352"/>
      <c r="AB4291" s="352"/>
      <c r="AC4291" s="352"/>
      <c r="AD4291" s="352"/>
      <c r="AE4291" s="352"/>
      <c r="AF4291" s="352"/>
      <c r="AG4291" s="352"/>
      <c r="AH4291" s="352"/>
      <c r="AI4291" s="352"/>
      <c r="AJ4291" s="352"/>
    </row>
    <row r="4292" spans="2:36" x14ac:dyDescent="0.2">
      <c r="B4292" s="352"/>
      <c r="C4292" s="352"/>
      <c r="D4292" s="352"/>
      <c r="E4292" s="352"/>
      <c r="F4292" s="352"/>
      <c r="H4292" s="352"/>
      <c r="J4292" s="352"/>
      <c r="L4292" s="352"/>
      <c r="M4292" s="352"/>
      <c r="N4292" s="352"/>
      <c r="O4292" s="352"/>
      <c r="P4292" s="352"/>
      <c r="Q4292" s="352"/>
      <c r="R4292" s="352"/>
      <c r="S4292" s="352"/>
      <c r="T4292" s="352"/>
      <c r="U4292" s="352"/>
      <c r="V4292" s="352"/>
      <c r="W4292" s="352"/>
      <c r="X4292" s="352"/>
      <c r="Y4292" s="352"/>
      <c r="Z4292" s="352"/>
      <c r="AA4292" s="352"/>
      <c r="AB4292" s="352"/>
      <c r="AC4292" s="352"/>
      <c r="AD4292" s="352"/>
      <c r="AE4292" s="352"/>
      <c r="AF4292" s="352"/>
      <c r="AG4292" s="352"/>
      <c r="AH4292" s="352"/>
      <c r="AI4292" s="352"/>
      <c r="AJ4292" s="352"/>
    </row>
    <row r="4293" spans="2:36" x14ac:dyDescent="0.2">
      <c r="B4293" s="352"/>
      <c r="C4293" s="352"/>
      <c r="D4293" s="352"/>
      <c r="E4293" s="352"/>
      <c r="F4293" s="352"/>
      <c r="H4293" s="352"/>
      <c r="J4293" s="352"/>
      <c r="L4293" s="352"/>
      <c r="M4293" s="352"/>
      <c r="N4293" s="352"/>
      <c r="O4293" s="352"/>
      <c r="P4293" s="352"/>
      <c r="Q4293" s="352"/>
      <c r="R4293" s="352"/>
      <c r="S4293" s="352"/>
      <c r="T4293" s="352"/>
      <c r="U4293" s="352"/>
      <c r="V4293" s="352"/>
      <c r="W4293" s="352"/>
      <c r="X4293" s="352"/>
      <c r="Y4293" s="352"/>
      <c r="Z4293" s="352"/>
      <c r="AA4293" s="352"/>
      <c r="AB4293" s="352"/>
      <c r="AC4293" s="352"/>
      <c r="AD4293" s="352"/>
      <c r="AE4293" s="352"/>
      <c r="AF4293" s="352"/>
      <c r="AG4293" s="352"/>
      <c r="AH4293" s="352"/>
      <c r="AI4293" s="352"/>
      <c r="AJ4293" s="352"/>
    </row>
    <row r="4294" spans="2:36" x14ac:dyDescent="0.2">
      <c r="B4294" s="352"/>
      <c r="C4294" s="352"/>
      <c r="D4294" s="352"/>
      <c r="E4294" s="352"/>
      <c r="F4294" s="352"/>
      <c r="H4294" s="352"/>
      <c r="J4294" s="352"/>
      <c r="L4294" s="352"/>
      <c r="M4294" s="352"/>
      <c r="N4294" s="352"/>
      <c r="O4294" s="352"/>
      <c r="P4294" s="352"/>
      <c r="Q4294" s="352"/>
      <c r="R4294" s="352"/>
      <c r="S4294" s="352"/>
      <c r="T4294" s="352"/>
      <c r="U4294" s="352"/>
      <c r="V4294" s="352"/>
      <c r="W4294" s="352"/>
      <c r="X4294" s="352"/>
      <c r="Y4294" s="352"/>
      <c r="Z4294" s="352"/>
      <c r="AA4294" s="352"/>
      <c r="AB4294" s="352"/>
      <c r="AC4294" s="352"/>
      <c r="AD4294" s="352"/>
      <c r="AE4294" s="352"/>
      <c r="AF4294" s="352"/>
      <c r="AG4294" s="352"/>
      <c r="AH4294" s="352"/>
      <c r="AI4294" s="352"/>
      <c r="AJ4294" s="352"/>
    </row>
    <row r="4295" spans="2:36" x14ac:dyDescent="0.2">
      <c r="B4295" s="352"/>
      <c r="C4295" s="352"/>
      <c r="D4295" s="352"/>
      <c r="E4295" s="352"/>
      <c r="F4295" s="352"/>
      <c r="H4295" s="352"/>
      <c r="J4295" s="352"/>
      <c r="L4295" s="352"/>
      <c r="M4295" s="352"/>
      <c r="N4295" s="352"/>
      <c r="O4295" s="352"/>
      <c r="P4295" s="352"/>
      <c r="Q4295" s="352"/>
      <c r="R4295" s="352"/>
      <c r="S4295" s="352"/>
      <c r="T4295" s="352"/>
      <c r="U4295" s="352"/>
      <c r="V4295" s="352"/>
      <c r="W4295" s="352"/>
      <c r="X4295" s="352"/>
      <c r="Y4295" s="352"/>
      <c r="Z4295" s="352"/>
      <c r="AA4295" s="352"/>
      <c r="AB4295" s="352"/>
      <c r="AC4295" s="352"/>
      <c r="AD4295" s="352"/>
      <c r="AE4295" s="352"/>
      <c r="AF4295" s="352"/>
      <c r="AG4295" s="352"/>
      <c r="AH4295" s="352"/>
      <c r="AI4295" s="352"/>
      <c r="AJ4295" s="352"/>
    </row>
    <row r="4296" spans="2:36" x14ac:dyDescent="0.2">
      <c r="B4296" s="352"/>
      <c r="C4296" s="352"/>
      <c r="D4296" s="352"/>
      <c r="E4296" s="352"/>
      <c r="F4296" s="352"/>
      <c r="H4296" s="352"/>
      <c r="J4296" s="352"/>
      <c r="L4296" s="352"/>
      <c r="M4296" s="352"/>
      <c r="N4296" s="352"/>
      <c r="O4296" s="352"/>
      <c r="P4296" s="352"/>
      <c r="Q4296" s="352"/>
      <c r="R4296" s="352"/>
      <c r="S4296" s="352"/>
      <c r="T4296" s="352"/>
      <c r="U4296" s="352"/>
      <c r="V4296" s="352"/>
      <c r="W4296" s="352"/>
      <c r="X4296" s="352"/>
      <c r="Y4296" s="352"/>
      <c r="Z4296" s="352"/>
      <c r="AA4296" s="352"/>
      <c r="AB4296" s="352"/>
      <c r="AC4296" s="352"/>
      <c r="AD4296" s="352"/>
      <c r="AE4296" s="352"/>
      <c r="AF4296" s="352"/>
      <c r="AG4296" s="352"/>
      <c r="AH4296" s="352"/>
      <c r="AI4296" s="352"/>
      <c r="AJ4296" s="352"/>
    </row>
    <row r="4297" spans="2:36" x14ac:dyDescent="0.2">
      <c r="B4297" s="352"/>
      <c r="C4297" s="352"/>
      <c r="D4297" s="352"/>
      <c r="E4297" s="352"/>
      <c r="F4297" s="352"/>
      <c r="H4297" s="352"/>
      <c r="J4297" s="352"/>
      <c r="L4297" s="352"/>
      <c r="M4297" s="352"/>
      <c r="N4297" s="352"/>
      <c r="O4297" s="352"/>
      <c r="P4297" s="352"/>
      <c r="Q4297" s="352"/>
      <c r="R4297" s="352"/>
      <c r="S4297" s="352"/>
      <c r="T4297" s="352"/>
      <c r="U4297" s="352"/>
      <c r="V4297" s="352"/>
      <c r="W4297" s="352"/>
      <c r="X4297" s="352"/>
      <c r="Y4297" s="352"/>
      <c r="Z4297" s="352"/>
      <c r="AA4297" s="352"/>
      <c r="AB4297" s="352"/>
      <c r="AC4297" s="352"/>
      <c r="AD4297" s="352"/>
      <c r="AE4297" s="352"/>
      <c r="AF4297" s="352"/>
      <c r="AG4297" s="352"/>
      <c r="AH4297" s="352"/>
      <c r="AI4297" s="352"/>
      <c r="AJ4297" s="352"/>
    </row>
    <row r="4298" spans="2:36" x14ac:dyDescent="0.2">
      <c r="B4298" s="352"/>
      <c r="C4298" s="352"/>
      <c r="D4298" s="352"/>
      <c r="E4298" s="352"/>
      <c r="F4298" s="352"/>
      <c r="H4298" s="352"/>
      <c r="J4298" s="352"/>
      <c r="L4298" s="352"/>
      <c r="M4298" s="352"/>
      <c r="N4298" s="352"/>
      <c r="O4298" s="352"/>
      <c r="P4298" s="352"/>
      <c r="Q4298" s="352"/>
      <c r="R4298" s="352"/>
      <c r="S4298" s="352"/>
      <c r="T4298" s="352"/>
      <c r="U4298" s="352"/>
      <c r="V4298" s="352"/>
      <c r="W4298" s="352"/>
      <c r="X4298" s="352"/>
      <c r="Y4298" s="352"/>
      <c r="Z4298" s="352"/>
      <c r="AA4298" s="352"/>
      <c r="AB4298" s="352"/>
      <c r="AC4298" s="352"/>
      <c r="AD4298" s="352"/>
      <c r="AE4298" s="352"/>
      <c r="AF4298" s="352"/>
      <c r="AG4298" s="352"/>
      <c r="AH4298" s="352"/>
      <c r="AI4298" s="352"/>
      <c r="AJ4298" s="352"/>
    </row>
    <row r="4299" spans="2:36" x14ac:dyDescent="0.2">
      <c r="B4299" s="352"/>
      <c r="C4299" s="352"/>
      <c r="D4299" s="352"/>
      <c r="E4299" s="352"/>
      <c r="F4299" s="352"/>
      <c r="H4299" s="352"/>
      <c r="J4299" s="352"/>
      <c r="L4299" s="352"/>
      <c r="M4299" s="352"/>
      <c r="N4299" s="352"/>
      <c r="O4299" s="352"/>
      <c r="P4299" s="352"/>
      <c r="Q4299" s="352"/>
      <c r="R4299" s="352"/>
      <c r="S4299" s="352"/>
      <c r="T4299" s="352"/>
      <c r="U4299" s="352"/>
      <c r="V4299" s="352"/>
      <c r="W4299" s="352"/>
      <c r="X4299" s="352"/>
      <c r="Y4299" s="352"/>
      <c r="Z4299" s="352"/>
      <c r="AA4299" s="352"/>
      <c r="AB4299" s="352"/>
      <c r="AC4299" s="352"/>
      <c r="AD4299" s="352"/>
      <c r="AE4299" s="352"/>
      <c r="AF4299" s="352"/>
      <c r="AG4299" s="352"/>
      <c r="AH4299" s="352"/>
      <c r="AI4299" s="352"/>
      <c r="AJ4299" s="352"/>
    </row>
    <row r="4300" spans="2:36" x14ac:dyDescent="0.2">
      <c r="B4300" s="352"/>
      <c r="C4300" s="352"/>
      <c r="D4300" s="352"/>
      <c r="E4300" s="352"/>
      <c r="F4300" s="352"/>
      <c r="H4300" s="352"/>
      <c r="J4300" s="352"/>
      <c r="L4300" s="352"/>
      <c r="M4300" s="352"/>
      <c r="N4300" s="352"/>
      <c r="O4300" s="352"/>
      <c r="P4300" s="352"/>
      <c r="Q4300" s="352"/>
      <c r="R4300" s="352"/>
      <c r="S4300" s="352"/>
      <c r="T4300" s="352"/>
      <c r="U4300" s="352"/>
      <c r="V4300" s="352"/>
      <c r="W4300" s="352"/>
      <c r="X4300" s="352"/>
      <c r="Y4300" s="352"/>
      <c r="Z4300" s="352"/>
      <c r="AA4300" s="352"/>
      <c r="AB4300" s="352"/>
      <c r="AC4300" s="352"/>
      <c r="AD4300" s="352"/>
      <c r="AE4300" s="352"/>
      <c r="AF4300" s="352"/>
      <c r="AG4300" s="352"/>
      <c r="AH4300" s="352"/>
      <c r="AI4300" s="352"/>
      <c r="AJ4300" s="352"/>
    </row>
    <row r="4301" spans="2:36" x14ac:dyDescent="0.2">
      <c r="B4301" s="352"/>
      <c r="C4301" s="352"/>
      <c r="D4301" s="352"/>
      <c r="E4301" s="352"/>
      <c r="F4301" s="352"/>
      <c r="H4301" s="352"/>
      <c r="J4301" s="352"/>
      <c r="L4301" s="352"/>
      <c r="M4301" s="352"/>
      <c r="N4301" s="352"/>
      <c r="O4301" s="352"/>
      <c r="P4301" s="352"/>
      <c r="Q4301" s="352"/>
      <c r="R4301" s="352"/>
      <c r="S4301" s="352"/>
      <c r="T4301" s="352"/>
      <c r="U4301" s="352"/>
      <c r="V4301" s="352"/>
      <c r="W4301" s="352"/>
      <c r="X4301" s="352"/>
      <c r="Y4301" s="352"/>
      <c r="Z4301" s="352"/>
      <c r="AA4301" s="352"/>
      <c r="AB4301" s="352"/>
      <c r="AC4301" s="352"/>
      <c r="AD4301" s="352"/>
      <c r="AE4301" s="352"/>
      <c r="AF4301" s="352"/>
      <c r="AG4301" s="352"/>
      <c r="AH4301" s="352"/>
      <c r="AI4301" s="352"/>
      <c r="AJ4301" s="352"/>
    </row>
    <row r="4302" spans="2:36" x14ac:dyDescent="0.2">
      <c r="B4302" s="352"/>
      <c r="C4302" s="352"/>
      <c r="D4302" s="352"/>
      <c r="E4302" s="352"/>
      <c r="F4302" s="352"/>
      <c r="H4302" s="352"/>
      <c r="J4302" s="352"/>
      <c r="L4302" s="352"/>
      <c r="M4302" s="352"/>
      <c r="N4302" s="352"/>
      <c r="O4302" s="352"/>
      <c r="P4302" s="352"/>
      <c r="Q4302" s="352"/>
      <c r="R4302" s="352"/>
      <c r="S4302" s="352"/>
      <c r="T4302" s="352"/>
      <c r="U4302" s="352"/>
      <c r="V4302" s="352"/>
      <c r="W4302" s="352"/>
      <c r="X4302" s="352"/>
      <c r="Y4302" s="352"/>
      <c r="Z4302" s="352"/>
      <c r="AA4302" s="352"/>
      <c r="AB4302" s="352"/>
      <c r="AC4302" s="352"/>
      <c r="AD4302" s="352"/>
      <c r="AE4302" s="352"/>
      <c r="AF4302" s="352"/>
      <c r="AG4302" s="352"/>
      <c r="AH4302" s="352"/>
      <c r="AI4302" s="352"/>
      <c r="AJ4302" s="352"/>
    </row>
    <row r="4303" spans="2:36" x14ac:dyDescent="0.2">
      <c r="B4303" s="352"/>
      <c r="C4303" s="352"/>
      <c r="D4303" s="352"/>
      <c r="E4303" s="352"/>
      <c r="F4303" s="352"/>
      <c r="H4303" s="352"/>
      <c r="J4303" s="352"/>
      <c r="L4303" s="352"/>
      <c r="M4303" s="352"/>
      <c r="N4303" s="352"/>
      <c r="O4303" s="352"/>
      <c r="P4303" s="352"/>
      <c r="Q4303" s="352"/>
      <c r="R4303" s="352"/>
      <c r="S4303" s="352"/>
      <c r="T4303" s="352"/>
      <c r="U4303" s="352"/>
      <c r="V4303" s="352"/>
      <c r="W4303" s="352"/>
      <c r="X4303" s="352"/>
      <c r="Y4303" s="352"/>
      <c r="Z4303" s="352"/>
      <c r="AA4303" s="352"/>
      <c r="AB4303" s="352"/>
      <c r="AC4303" s="352"/>
      <c r="AD4303" s="352"/>
      <c r="AE4303" s="352"/>
      <c r="AF4303" s="352"/>
      <c r="AG4303" s="352"/>
      <c r="AH4303" s="352"/>
      <c r="AI4303" s="352"/>
      <c r="AJ4303" s="352"/>
    </row>
    <row r="4304" spans="2:36" x14ac:dyDescent="0.2">
      <c r="B4304" s="352"/>
      <c r="C4304" s="352"/>
      <c r="D4304" s="352"/>
      <c r="E4304" s="352"/>
      <c r="F4304" s="352"/>
      <c r="H4304" s="352"/>
      <c r="J4304" s="352"/>
      <c r="L4304" s="352"/>
      <c r="M4304" s="352"/>
      <c r="N4304" s="352"/>
      <c r="O4304" s="352"/>
      <c r="P4304" s="352"/>
      <c r="Q4304" s="352"/>
      <c r="R4304" s="352"/>
      <c r="S4304" s="352"/>
      <c r="T4304" s="352"/>
      <c r="U4304" s="352"/>
      <c r="V4304" s="352"/>
      <c r="W4304" s="352"/>
      <c r="X4304" s="352"/>
      <c r="Y4304" s="352"/>
      <c r="Z4304" s="352"/>
      <c r="AA4304" s="352"/>
      <c r="AB4304" s="352"/>
      <c r="AC4304" s="352"/>
      <c r="AD4304" s="352"/>
      <c r="AE4304" s="352"/>
      <c r="AF4304" s="352"/>
      <c r="AG4304" s="352"/>
      <c r="AH4304" s="352"/>
      <c r="AI4304" s="352"/>
      <c r="AJ4304" s="352"/>
    </row>
    <row r="4305" spans="2:36" x14ac:dyDescent="0.2">
      <c r="B4305" s="352"/>
      <c r="C4305" s="352"/>
      <c r="D4305" s="352"/>
      <c r="E4305" s="352"/>
      <c r="F4305" s="352"/>
      <c r="H4305" s="352"/>
      <c r="J4305" s="352"/>
      <c r="L4305" s="352"/>
      <c r="M4305" s="352"/>
      <c r="N4305" s="352"/>
      <c r="O4305" s="352"/>
      <c r="P4305" s="352"/>
      <c r="Q4305" s="352"/>
      <c r="R4305" s="352"/>
      <c r="S4305" s="352"/>
      <c r="T4305" s="352"/>
      <c r="U4305" s="352"/>
      <c r="V4305" s="352"/>
      <c r="W4305" s="352"/>
      <c r="X4305" s="352"/>
      <c r="Y4305" s="352"/>
      <c r="Z4305" s="352"/>
      <c r="AA4305" s="352"/>
      <c r="AB4305" s="352"/>
      <c r="AC4305" s="352"/>
      <c r="AD4305" s="352"/>
      <c r="AE4305" s="352"/>
      <c r="AF4305" s="352"/>
      <c r="AG4305" s="352"/>
      <c r="AH4305" s="352"/>
      <c r="AI4305" s="352"/>
      <c r="AJ4305" s="352"/>
    </row>
    <row r="4306" spans="2:36" x14ac:dyDescent="0.2">
      <c r="B4306" s="352"/>
      <c r="C4306" s="352"/>
      <c r="D4306" s="352"/>
      <c r="E4306" s="352"/>
      <c r="F4306" s="352"/>
      <c r="H4306" s="352"/>
      <c r="J4306" s="352"/>
      <c r="L4306" s="352"/>
      <c r="M4306" s="352"/>
      <c r="N4306" s="352"/>
      <c r="O4306" s="352"/>
      <c r="P4306" s="352"/>
      <c r="Q4306" s="352"/>
      <c r="R4306" s="352"/>
      <c r="S4306" s="352"/>
      <c r="T4306" s="352"/>
      <c r="U4306" s="352"/>
      <c r="V4306" s="352"/>
      <c r="W4306" s="352"/>
      <c r="X4306" s="352"/>
      <c r="Y4306" s="352"/>
      <c r="Z4306" s="352"/>
      <c r="AA4306" s="352"/>
      <c r="AB4306" s="352"/>
      <c r="AC4306" s="352"/>
      <c r="AD4306" s="352"/>
      <c r="AE4306" s="352"/>
      <c r="AF4306" s="352"/>
      <c r="AG4306" s="352"/>
      <c r="AH4306" s="352"/>
      <c r="AI4306" s="352"/>
      <c r="AJ4306" s="352"/>
    </row>
    <row r="4307" spans="2:36" x14ac:dyDescent="0.2">
      <c r="B4307" s="352"/>
      <c r="C4307" s="352"/>
      <c r="D4307" s="352"/>
      <c r="E4307" s="352"/>
      <c r="F4307" s="352"/>
      <c r="H4307" s="352"/>
      <c r="J4307" s="352"/>
      <c r="L4307" s="352"/>
      <c r="M4307" s="352"/>
      <c r="N4307" s="352"/>
      <c r="O4307" s="352"/>
      <c r="P4307" s="352"/>
      <c r="Q4307" s="352"/>
      <c r="R4307" s="352"/>
      <c r="S4307" s="352"/>
      <c r="T4307" s="352"/>
      <c r="U4307" s="352"/>
      <c r="V4307" s="352"/>
      <c r="W4307" s="352"/>
      <c r="X4307" s="352"/>
      <c r="Y4307" s="352"/>
      <c r="Z4307" s="352"/>
      <c r="AA4307" s="352"/>
      <c r="AB4307" s="352"/>
      <c r="AC4307" s="352"/>
      <c r="AD4307" s="352"/>
      <c r="AE4307" s="352"/>
      <c r="AF4307" s="352"/>
      <c r="AG4307" s="352"/>
      <c r="AH4307" s="352"/>
      <c r="AI4307" s="352"/>
      <c r="AJ4307" s="352"/>
    </row>
    <row r="4308" spans="2:36" x14ac:dyDescent="0.2">
      <c r="B4308" s="352"/>
      <c r="C4308" s="352"/>
      <c r="D4308" s="352"/>
      <c r="E4308" s="352"/>
      <c r="F4308" s="352"/>
      <c r="H4308" s="352"/>
      <c r="J4308" s="352"/>
      <c r="L4308" s="352"/>
      <c r="M4308" s="352"/>
      <c r="N4308" s="352"/>
      <c r="O4308" s="352"/>
      <c r="P4308" s="352"/>
      <c r="Q4308" s="352"/>
      <c r="R4308" s="352"/>
      <c r="S4308" s="352"/>
      <c r="T4308" s="352"/>
      <c r="U4308" s="352"/>
      <c r="V4308" s="352"/>
      <c r="W4308" s="352"/>
      <c r="X4308" s="352"/>
      <c r="Y4308" s="352"/>
      <c r="Z4308" s="352"/>
      <c r="AA4308" s="352"/>
      <c r="AB4308" s="352"/>
      <c r="AC4308" s="352"/>
      <c r="AD4308" s="352"/>
      <c r="AE4308" s="352"/>
      <c r="AF4308" s="352"/>
      <c r="AG4308" s="352"/>
      <c r="AH4308" s="352"/>
      <c r="AI4308" s="352"/>
      <c r="AJ4308" s="352"/>
    </row>
    <row r="4309" spans="2:36" x14ac:dyDescent="0.2">
      <c r="B4309" s="352"/>
      <c r="C4309" s="352"/>
      <c r="D4309" s="352"/>
      <c r="E4309" s="352"/>
      <c r="F4309" s="352"/>
      <c r="H4309" s="352"/>
      <c r="J4309" s="352"/>
      <c r="L4309" s="352"/>
      <c r="M4309" s="352"/>
      <c r="N4309" s="352"/>
      <c r="O4309" s="352"/>
      <c r="P4309" s="352"/>
      <c r="Q4309" s="352"/>
      <c r="R4309" s="352"/>
      <c r="S4309" s="352"/>
      <c r="T4309" s="352"/>
      <c r="U4309" s="352"/>
      <c r="V4309" s="352"/>
      <c r="W4309" s="352"/>
      <c r="X4309" s="352"/>
      <c r="Y4309" s="352"/>
      <c r="Z4309" s="352"/>
      <c r="AA4309" s="352"/>
      <c r="AB4309" s="352"/>
      <c r="AC4309" s="352"/>
      <c r="AD4309" s="352"/>
      <c r="AE4309" s="352"/>
      <c r="AF4309" s="352"/>
      <c r="AG4309" s="352"/>
      <c r="AH4309" s="352"/>
      <c r="AI4309" s="352"/>
      <c r="AJ4309" s="352"/>
    </row>
    <row r="4310" spans="2:36" x14ac:dyDescent="0.2">
      <c r="B4310" s="352"/>
      <c r="C4310" s="352"/>
      <c r="D4310" s="352"/>
      <c r="E4310" s="352"/>
      <c r="F4310" s="352"/>
      <c r="H4310" s="352"/>
      <c r="J4310" s="352"/>
      <c r="L4310" s="352"/>
      <c r="M4310" s="352"/>
      <c r="N4310" s="352"/>
      <c r="O4310" s="352"/>
      <c r="P4310" s="352"/>
      <c r="Q4310" s="352"/>
      <c r="R4310" s="352"/>
      <c r="S4310" s="352"/>
      <c r="T4310" s="352"/>
      <c r="U4310" s="352"/>
      <c r="V4310" s="352"/>
      <c r="W4310" s="352"/>
      <c r="X4310" s="352"/>
      <c r="Y4310" s="352"/>
      <c r="Z4310" s="352"/>
      <c r="AA4310" s="352"/>
      <c r="AB4310" s="352"/>
      <c r="AC4310" s="352"/>
      <c r="AD4310" s="352"/>
      <c r="AE4310" s="352"/>
      <c r="AF4310" s="352"/>
      <c r="AG4310" s="352"/>
      <c r="AH4310" s="352"/>
      <c r="AI4310" s="352"/>
      <c r="AJ4310" s="352"/>
    </row>
    <row r="4311" spans="2:36" x14ac:dyDescent="0.2">
      <c r="B4311" s="352"/>
      <c r="C4311" s="352"/>
      <c r="D4311" s="352"/>
      <c r="E4311" s="352"/>
      <c r="F4311" s="352"/>
      <c r="H4311" s="352"/>
      <c r="J4311" s="352"/>
      <c r="L4311" s="352"/>
      <c r="M4311" s="352"/>
      <c r="N4311" s="352"/>
      <c r="O4311" s="352"/>
      <c r="P4311" s="352"/>
      <c r="Q4311" s="352"/>
      <c r="R4311" s="352"/>
      <c r="S4311" s="352"/>
      <c r="T4311" s="352"/>
      <c r="U4311" s="352"/>
      <c r="V4311" s="352"/>
      <c r="W4311" s="352"/>
      <c r="X4311" s="352"/>
      <c r="Y4311" s="352"/>
      <c r="Z4311" s="352"/>
      <c r="AA4311" s="352"/>
      <c r="AB4311" s="352"/>
      <c r="AC4311" s="352"/>
      <c r="AD4311" s="352"/>
      <c r="AE4311" s="352"/>
      <c r="AF4311" s="352"/>
      <c r="AG4311" s="352"/>
      <c r="AH4311" s="352"/>
      <c r="AI4311" s="352"/>
      <c r="AJ4311" s="352"/>
    </row>
    <row r="4312" spans="2:36" x14ac:dyDescent="0.2">
      <c r="B4312" s="352"/>
      <c r="C4312" s="352"/>
      <c r="D4312" s="352"/>
      <c r="E4312" s="352"/>
      <c r="F4312" s="352"/>
      <c r="H4312" s="352"/>
      <c r="J4312" s="352"/>
      <c r="L4312" s="352"/>
      <c r="M4312" s="352"/>
      <c r="N4312" s="352"/>
      <c r="O4312" s="352"/>
      <c r="P4312" s="352"/>
      <c r="Q4312" s="352"/>
      <c r="R4312" s="352"/>
      <c r="S4312" s="352"/>
      <c r="T4312" s="352"/>
      <c r="U4312" s="352"/>
      <c r="V4312" s="352"/>
      <c r="W4312" s="352"/>
      <c r="X4312" s="352"/>
      <c r="Y4312" s="352"/>
      <c r="Z4312" s="352"/>
      <c r="AA4312" s="352"/>
      <c r="AB4312" s="352"/>
      <c r="AC4312" s="352"/>
      <c r="AD4312" s="352"/>
      <c r="AE4312" s="352"/>
      <c r="AF4312" s="352"/>
      <c r="AG4312" s="352"/>
      <c r="AH4312" s="352"/>
      <c r="AI4312" s="352"/>
      <c r="AJ4312" s="352"/>
    </row>
    <row r="4313" spans="2:36" x14ac:dyDescent="0.2">
      <c r="B4313" s="352"/>
      <c r="C4313" s="352"/>
      <c r="D4313" s="352"/>
      <c r="E4313" s="352"/>
      <c r="F4313" s="352"/>
      <c r="H4313" s="352"/>
      <c r="J4313" s="352"/>
      <c r="L4313" s="352"/>
      <c r="M4313" s="352"/>
      <c r="N4313" s="352"/>
      <c r="O4313" s="352"/>
      <c r="P4313" s="352"/>
      <c r="Q4313" s="352"/>
      <c r="R4313" s="352"/>
      <c r="S4313" s="352"/>
      <c r="T4313" s="352"/>
      <c r="U4313" s="352"/>
      <c r="V4313" s="352"/>
      <c r="W4313" s="352"/>
      <c r="X4313" s="352"/>
      <c r="Y4313" s="352"/>
      <c r="Z4313" s="352"/>
      <c r="AA4313" s="352"/>
      <c r="AB4313" s="352"/>
      <c r="AC4313" s="352"/>
      <c r="AD4313" s="352"/>
      <c r="AE4313" s="352"/>
      <c r="AF4313" s="352"/>
      <c r="AG4313" s="352"/>
      <c r="AH4313" s="352"/>
      <c r="AI4313" s="352"/>
      <c r="AJ4313" s="352"/>
    </row>
    <row r="4314" spans="2:36" x14ac:dyDescent="0.2">
      <c r="B4314" s="352"/>
      <c r="C4314" s="352"/>
      <c r="D4314" s="352"/>
      <c r="E4314" s="352"/>
      <c r="F4314" s="352"/>
      <c r="H4314" s="352"/>
      <c r="J4314" s="352"/>
      <c r="L4314" s="352"/>
      <c r="M4314" s="352"/>
      <c r="N4314" s="352"/>
      <c r="O4314" s="352"/>
      <c r="P4314" s="352"/>
      <c r="Q4314" s="352"/>
      <c r="R4314" s="352"/>
      <c r="S4314" s="352"/>
      <c r="T4314" s="352"/>
      <c r="U4314" s="352"/>
      <c r="V4314" s="352"/>
      <c r="W4314" s="352"/>
      <c r="X4314" s="352"/>
      <c r="Y4314" s="352"/>
      <c r="Z4314" s="352"/>
      <c r="AA4314" s="352"/>
      <c r="AB4314" s="352"/>
      <c r="AC4314" s="352"/>
      <c r="AD4314" s="352"/>
      <c r="AE4314" s="352"/>
      <c r="AF4314" s="352"/>
      <c r="AG4314" s="352"/>
      <c r="AH4314" s="352"/>
      <c r="AI4314" s="352"/>
      <c r="AJ4314" s="352"/>
    </row>
    <row r="4315" spans="2:36" x14ac:dyDescent="0.2">
      <c r="B4315" s="352"/>
      <c r="C4315" s="352"/>
      <c r="D4315" s="352"/>
      <c r="E4315" s="352"/>
      <c r="F4315" s="352"/>
      <c r="H4315" s="352"/>
      <c r="J4315" s="352"/>
      <c r="L4315" s="352"/>
      <c r="M4315" s="352"/>
      <c r="N4315" s="352"/>
      <c r="O4315" s="352"/>
      <c r="P4315" s="352"/>
      <c r="Q4315" s="352"/>
      <c r="R4315" s="352"/>
      <c r="S4315" s="352"/>
      <c r="T4315" s="352"/>
      <c r="U4315" s="352"/>
      <c r="V4315" s="352"/>
      <c r="W4315" s="352"/>
      <c r="X4315" s="352"/>
      <c r="Y4315" s="352"/>
      <c r="Z4315" s="352"/>
      <c r="AA4315" s="352"/>
      <c r="AB4315" s="352"/>
      <c r="AC4315" s="352"/>
      <c r="AD4315" s="352"/>
      <c r="AE4315" s="352"/>
      <c r="AF4315" s="352"/>
      <c r="AG4315" s="352"/>
      <c r="AH4315" s="352"/>
      <c r="AI4315" s="352"/>
      <c r="AJ4315" s="352"/>
    </row>
    <row r="4316" spans="2:36" x14ac:dyDescent="0.2">
      <c r="B4316" s="352"/>
      <c r="C4316" s="352"/>
      <c r="D4316" s="352"/>
      <c r="E4316" s="352"/>
      <c r="F4316" s="352"/>
      <c r="H4316" s="352"/>
      <c r="J4316" s="352"/>
      <c r="L4316" s="352"/>
      <c r="M4316" s="352"/>
      <c r="N4316" s="352"/>
      <c r="O4316" s="352"/>
      <c r="P4316" s="352"/>
      <c r="Q4316" s="352"/>
      <c r="R4316" s="352"/>
      <c r="S4316" s="352"/>
      <c r="T4316" s="352"/>
      <c r="U4316" s="352"/>
      <c r="V4316" s="352"/>
      <c r="W4316" s="352"/>
      <c r="X4316" s="352"/>
      <c r="Y4316" s="352"/>
      <c r="Z4316" s="352"/>
      <c r="AA4316" s="352"/>
      <c r="AB4316" s="352"/>
      <c r="AC4316" s="352"/>
      <c r="AD4316" s="352"/>
      <c r="AE4316" s="352"/>
      <c r="AF4316" s="352"/>
      <c r="AG4316" s="352"/>
      <c r="AH4316" s="352"/>
      <c r="AI4316" s="352"/>
      <c r="AJ4316" s="352"/>
    </row>
    <row r="4317" spans="2:36" x14ac:dyDescent="0.2">
      <c r="B4317" s="352"/>
      <c r="C4317" s="352"/>
      <c r="D4317" s="352"/>
      <c r="E4317" s="352"/>
      <c r="F4317" s="352"/>
      <c r="H4317" s="352"/>
      <c r="J4317" s="352"/>
      <c r="L4317" s="352"/>
      <c r="M4317" s="352"/>
      <c r="N4317" s="352"/>
      <c r="O4317" s="352"/>
      <c r="P4317" s="352"/>
      <c r="Q4317" s="352"/>
      <c r="R4317" s="352"/>
      <c r="S4317" s="352"/>
      <c r="T4317" s="352"/>
      <c r="U4317" s="352"/>
      <c r="V4317" s="352"/>
      <c r="W4317" s="352"/>
      <c r="X4317" s="352"/>
      <c r="Y4317" s="352"/>
      <c r="Z4317" s="352"/>
      <c r="AA4317" s="352"/>
      <c r="AB4317" s="352"/>
      <c r="AC4317" s="352"/>
      <c r="AD4317" s="352"/>
      <c r="AE4317" s="352"/>
      <c r="AF4317" s="352"/>
      <c r="AG4317" s="352"/>
      <c r="AH4317" s="352"/>
      <c r="AI4317" s="352"/>
      <c r="AJ4317" s="352"/>
    </row>
    <row r="4318" spans="2:36" x14ac:dyDescent="0.2">
      <c r="B4318" s="352"/>
      <c r="C4318" s="352"/>
      <c r="D4318" s="352"/>
      <c r="E4318" s="352"/>
      <c r="F4318" s="352"/>
      <c r="H4318" s="352"/>
      <c r="J4318" s="352"/>
      <c r="L4318" s="352"/>
      <c r="M4318" s="352"/>
      <c r="N4318" s="352"/>
      <c r="O4318" s="352"/>
      <c r="P4318" s="352"/>
      <c r="Q4318" s="352"/>
      <c r="R4318" s="352"/>
      <c r="S4318" s="352"/>
      <c r="T4318" s="352"/>
      <c r="U4318" s="352"/>
      <c r="V4318" s="352"/>
      <c r="W4318" s="352"/>
      <c r="X4318" s="352"/>
      <c r="Y4318" s="352"/>
      <c r="Z4318" s="352"/>
      <c r="AA4318" s="352"/>
      <c r="AB4318" s="352"/>
      <c r="AC4318" s="352"/>
      <c r="AD4318" s="352"/>
      <c r="AE4318" s="352"/>
      <c r="AF4318" s="352"/>
      <c r="AG4318" s="352"/>
      <c r="AH4318" s="352"/>
      <c r="AI4318" s="352"/>
      <c r="AJ4318" s="352"/>
    </row>
    <row r="4319" spans="2:36" x14ac:dyDescent="0.2">
      <c r="B4319" s="352"/>
      <c r="C4319" s="352"/>
      <c r="D4319" s="352"/>
      <c r="E4319" s="352"/>
      <c r="F4319" s="352"/>
      <c r="H4319" s="352"/>
      <c r="J4319" s="352"/>
      <c r="L4319" s="352"/>
      <c r="M4319" s="352"/>
      <c r="N4319" s="352"/>
      <c r="O4319" s="352"/>
      <c r="P4319" s="352"/>
      <c r="Q4319" s="352"/>
      <c r="R4319" s="352"/>
      <c r="S4319" s="352"/>
      <c r="T4319" s="352"/>
      <c r="U4319" s="352"/>
      <c r="V4319" s="352"/>
      <c r="W4319" s="352"/>
      <c r="X4319" s="352"/>
      <c r="Y4319" s="352"/>
      <c r="Z4319" s="352"/>
      <c r="AA4319" s="352"/>
      <c r="AB4319" s="352"/>
      <c r="AC4319" s="352"/>
      <c r="AD4319" s="352"/>
      <c r="AE4319" s="352"/>
      <c r="AF4319" s="352"/>
      <c r="AG4319" s="352"/>
      <c r="AH4319" s="352"/>
      <c r="AI4319" s="352"/>
      <c r="AJ4319" s="352"/>
    </row>
    <row r="4320" spans="2:36" x14ac:dyDescent="0.2">
      <c r="B4320" s="352"/>
      <c r="C4320" s="352"/>
      <c r="D4320" s="352"/>
      <c r="E4320" s="352"/>
      <c r="F4320" s="352"/>
      <c r="H4320" s="352"/>
      <c r="J4320" s="352"/>
      <c r="L4320" s="352"/>
      <c r="M4320" s="352"/>
      <c r="N4320" s="352"/>
      <c r="O4320" s="352"/>
      <c r="P4320" s="352"/>
      <c r="Q4320" s="352"/>
      <c r="R4320" s="352"/>
      <c r="S4320" s="352"/>
      <c r="T4320" s="352"/>
      <c r="U4320" s="352"/>
      <c r="V4320" s="352"/>
      <c r="W4320" s="352"/>
      <c r="X4320" s="352"/>
      <c r="Y4320" s="352"/>
      <c r="Z4320" s="352"/>
      <c r="AA4320" s="352"/>
      <c r="AB4320" s="352"/>
      <c r="AC4320" s="352"/>
      <c r="AD4320" s="352"/>
      <c r="AE4320" s="352"/>
      <c r="AF4320" s="352"/>
      <c r="AG4320" s="352"/>
      <c r="AH4320" s="352"/>
      <c r="AI4320" s="352"/>
      <c r="AJ4320" s="352"/>
    </row>
    <row r="4321" spans="2:36" x14ac:dyDescent="0.2">
      <c r="B4321" s="352"/>
      <c r="C4321" s="352"/>
      <c r="D4321" s="352"/>
      <c r="E4321" s="352"/>
      <c r="F4321" s="352"/>
      <c r="H4321" s="352"/>
      <c r="J4321" s="352"/>
      <c r="L4321" s="352"/>
      <c r="M4321" s="352"/>
      <c r="N4321" s="352"/>
      <c r="O4321" s="352"/>
      <c r="P4321" s="352"/>
      <c r="Q4321" s="352"/>
      <c r="R4321" s="352"/>
      <c r="S4321" s="352"/>
      <c r="T4321" s="352"/>
      <c r="U4321" s="352"/>
      <c r="V4321" s="352"/>
      <c r="W4321" s="352"/>
      <c r="X4321" s="352"/>
      <c r="Y4321" s="352"/>
      <c r="Z4321" s="352"/>
      <c r="AA4321" s="352"/>
      <c r="AB4321" s="352"/>
      <c r="AC4321" s="352"/>
      <c r="AD4321" s="352"/>
      <c r="AE4321" s="352"/>
      <c r="AF4321" s="352"/>
      <c r="AG4321" s="352"/>
      <c r="AH4321" s="352"/>
      <c r="AI4321" s="352"/>
      <c r="AJ4321" s="352"/>
    </row>
    <row r="4322" spans="2:36" x14ac:dyDescent="0.2">
      <c r="B4322" s="352"/>
      <c r="C4322" s="352"/>
      <c r="D4322" s="352"/>
      <c r="E4322" s="352"/>
      <c r="F4322" s="352"/>
      <c r="H4322" s="352"/>
      <c r="J4322" s="352"/>
      <c r="L4322" s="352"/>
      <c r="M4322" s="352"/>
      <c r="N4322" s="352"/>
      <c r="O4322" s="352"/>
      <c r="P4322" s="352"/>
      <c r="Q4322" s="352"/>
      <c r="R4322" s="352"/>
      <c r="S4322" s="352"/>
      <c r="T4322" s="352"/>
      <c r="U4322" s="352"/>
      <c r="V4322" s="352"/>
      <c r="W4322" s="352"/>
      <c r="X4322" s="352"/>
      <c r="Y4322" s="352"/>
      <c r="Z4322" s="352"/>
      <c r="AA4322" s="352"/>
      <c r="AB4322" s="352"/>
      <c r="AC4322" s="352"/>
      <c r="AD4322" s="352"/>
      <c r="AE4322" s="352"/>
      <c r="AF4322" s="352"/>
      <c r="AG4322" s="352"/>
      <c r="AH4322" s="352"/>
      <c r="AI4322" s="352"/>
      <c r="AJ4322" s="352"/>
    </row>
    <row r="4323" spans="2:36" x14ac:dyDescent="0.2">
      <c r="B4323" s="352"/>
      <c r="C4323" s="352"/>
      <c r="D4323" s="352"/>
      <c r="E4323" s="352"/>
      <c r="F4323" s="352"/>
      <c r="H4323" s="352"/>
      <c r="J4323" s="352"/>
      <c r="L4323" s="352"/>
      <c r="M4323" s="352"/>
      <c r="N4323" s="352"/>
      <c r="O4323" s="352"/>
      <c r="P4323" s="352"/>
      <c r="Q4323" s="352"/>
      <c r="R4323" s="352"/>
      <c r="S4323" s="352"/>
      <c r="T4323" s="352"/>
      <c r="U4323" s="352"/>
      <c r="V4323" s="352"/>
      <c r="W4323" s="352"/>
      <c r="X4323" s="352"/>
      <c r="Y4323" s="352"/>
      <c r="Z4323" s="352"/>
      <c r="AA4323" s="352"/>
      <c r="AB4323" s="352"/>
      <c r="AC4323" s="352"/>
      <c r="AD4323" s="352"/>
      <c r="AE4323" s="352"/>
      <c r="AF4323" s="352"/>
      <c r="AG4323" s="352"/>
      <c r="AH4323" s="352"/>
      <c r="AI4323" s="352"/>
      <c r="AJ4323" s="352"/>
    </row>
    <row r="4324" spans="2:36" x14ac:dyDescent="0.2">
      <c r="B4324" s="352"/>
      <c r="C4324" s="352"/>
      <c r="D4324" s="352"/>
      <c r="E4324" s="352"/>
      <c r="F4324" s="352"/>
      <c r="H4324" s="352"/>
      <c r="J4324" s="352"/>
      <c r="L4324" s="352"/>
      <c r="M4324" s="352"/>
      <c r="N4324" s="352"/>
      <c r="O4324" s="352"/>
      <c r="P4324" s="352"/>
      <c r="Q4324" s="352"/>
      <c r="R4324" s="352"/>
      <c r="S4324" s="352"/>
      <c r="T4324" s="352"/>
      <c r="U4324" s="352"/>
      <c r="V4324" s="352"/>
      <c r="W4324" s="352"/>
      <c r="X4324" s="352"/>
      <c r="Y4324" s="352"/>
      <c r="Z4324" s="352"/>
      <c r="AA4324" s="352"/>
      <c r="AB4324" s="352"/>
      <c r="AC4324" s="352"/>
      <c r="AD4324" s="352"/>
      <c r="AE4324" s="352"/>
      <c r="AF4324" s="352"/>
      <c r="AG4324" s="352"/>
      <c r="AH4324" s="352"/>
      <c r="AI4324" s="352"/>
      <c r="AJ4324" s="352"/>
    </row>
    <row r="4325" spans="2:36" x14ac:dyDescent="0.2">
      <c r="B4325" s="352"/>
      <c r="C4325" s="352"/>
      <c r="D4325" s="352"/>
      <c r="E4325" s="352"/>
      <c r="F4325" s="352"/>
      <c r="H4325" s="352"/>
      <c r="J4325" s="352"/>
      <c r="L4325" s="352"/>
      <c r="M4325" s="352"/>
      <c r="N4325" s="352"/>
      <c r="O4325" s="352"/>
      <c r="P4325" s="352"/>
      <c r="Q4325" s="352"/>
      <c r="R4325" s="352"/>
      <c r="S4325" s="352"/>
      <c r="T4325" s="352"/>
      <c r="U4325" s="352"/>
      <c r="V4325" s="352"/>
      <c r="W4325" s="352"/>
      <c r="X4325" s="352"/>
      <c r="Y4325" s="352"/>
      <c r="Z4325" s="352"/>
      <c r="AA4325" s="352"/>
      <c r="AB4325" s="352"/>
      <c r="AC4325" s="352"/>
      <c r="AD4325" s="352"/>
      <c r="AE4325" s="352"/>
      <c r="AF4325" s="352"/>
      <c r="AG4325" s="352"/>
      <c r="AH4325" s="352"/>
      <c r="AI4325" s="352"/>
      <c r="AJ4325" s="352"/>
    </row>
    <row r="4326" spans="2:36" x14ac:dyDescent="0.2">
      <c r="B4326" s="352"/>
      <c r="C4326" s="352"/>
      <c r="D4326" s="352"/>
      <c r="E4326" s="352"/>
      <c r="F4326" s="352"/>
      <c r="H4326" s="352"/>
      <c r="J4326" s="352"/>
      <c r="L4326" s="352"/>
      <c r="M4326" s="352"/>
      <c r="N4326" s="352"/>
      <c r="O4326" s="352"/>
      <c r="P4326" s="352"/>
      <c r="Q4326" s="352"/>
      <c r="R4326" s="352"/>
      <c r="S4326" s="352"/>
      <c r="T4326" s="352"/>
      <c r="U4326" s="352"/>
      <c r="V4326" s="352"/>
      <c r="W4326" s="352"/>
      <c r="X4326" s="352"/>
      <c r="Y4326" s="352"/>
      <c r="Z4326" s="352"/>
      <c r="AA4326" s="352"/>
      <c r="AB4326" s="352"/>
      <c r="AC4326" s="352"/>
      <c r="AD4326" s="352"/>
      <c r="AE4326" s="352"/>
      <c r="AF4326" s="352"/>
      <c r="AG4326" s="352"/>
      <c r="AH4326" s="352"/>
      <c r="AI4326" s="352"/>
      <c r="AJ4326" s="352"/>
    </row>
    <row r="4327" spans="2:36" x14ac:dyDescent="0.2">
      <c r="B4327" s="352"/>
      <c r="C4327" s="352"/>
      <c r="D4327" s="352"/>
      <c r="E4327" s="352"/>
      <c r="F4327" s="352"/>
      <c r="H4327" s="352"/>
      <c r="J4327" s="352"/>
      <c r="L4327" s="352"/>
      <c r="M4327" s="352"/>
      <c r="N4327" s="352"/>
      <c r="O4327" s="352"/>
      <c r="P4327" s="352"/>
      <c r="Q4327" s="352"/>
      <c r="R4327" s="352"/>
      <c r="S4327" s="352"/>
      <c r="T4327" s="352"/>
      <c r="U4327" s="352"/>
      <c r="V4327" s="352"/>
      <c r="W4327" s="352"/>
      <c r="X4327" s="352"/>
      <c r="Y4327" s="352"/>
      <c r="Z4327" s="352"/>
      <c r="AA4327" s="352"/>
      <c r="AB4327" s="352"/>
      <c r="AC4327" s="352"/>
      <c r="AD4327" s="352"/>
      <c r="AE4327" s="352"/>
      <c r="AF4327" s="352"/>
      <c r="AG4327" s="352"/>
      <c r="AH4327" s="352"/>
      <c r="AI4327" s="352"/>
      <c r="AJ4327" s="352"/>
    </row>
    <row r="4328" spans="2:36" x14ac:dyDescent="0.2">
      <c r="B4328" s="352"/>
      <c r="C4328" s="352"/>
      <c r="D4328" s="352"/>
      <c r="E4328" s="352"/>
      <c r="F4328" s="352"/>
      <c r="H4328" s="352"/>
      <c r="J4328" s="352"/>
      <c r="L4328" s="352"/>
      <c r="M4328" s="352"/>
      <c r="N4328" s="352"/>
      <c r="O4328" s="352"/>
      <c r="P4328" s="352"/>
      <c r="Q4328" s="352"/>
      <c r="R4328" s="352"/>
      <c r="S4328" s="352"/>
      <c r="T4328" s="352"/>
      <c r="U4328" s="352"/>
      <c r="V4328" s="352"/>
      <c r="W4328" s="352"/>
      <c r="X4328" s="352"/>
      <c r="Y4328" s="352"/>
      <c r="Z4328" s="352"/>
      <c r="AA4328" s="352"/>
      <c r="AB4328" s="352"/>
      <c r="AC4328" s="352"/>
      <c r="AD4328" s="352"/>
      <c r="AE4328" s="352"/>
      <c r="AF4328" s="352"/>
      <c r="AG4328" s="352"/>
      <c r="AH4328" s="352"/>
      <c r="AI4328" s="352"/>
      <c r="AJ4328" s="352"/>
    </row>
    <row r="4329" spans="2:36" x14ac:dyDescent="0.2">
      <c r="B4329" s="352"/>
      <c r="C4329" s="352"/>
      <c r="D4329" s="352"/>
      <c r="E4329" s="352"/>
      <c r="F4329" s="352"/>
      <c r="H4329" s="352"/>
      <c r="J4329" s="352"/>
      <c r="L4329" s="352"/>
      <c r="M4329" s="352"/>
      <c r="N4329" s="352"/>
      <c r="O4329" s="352"/>
      <c r="P4329" s="352"/>
      <c r="Q4329" s="352"/>
      <c r="R4329" s="352"/>
      <c r="S4329" s="352"/>
      <c r="T4329" s="352"/>
      <c r="U4329" s="352"/>
      <c r="V4329" s="352"/>
      <c r="W4329" s="352"/>
      <c r="X4329" s="352"/>
      <c r="Y4329" s="352"/>
      <c r="Z4329" s="352"/>
      <c r="AA4329" s="352"/>
      <c r="AB4329" s="352"/>
      <c r="AC4329" s="352"/>
      <c r="AD4329" s="352"/>
      <c r="AE4329" s="352"/>
      <c r="AF4329" s="352"/>
      <c r="AG4329" s="352"/>
      <c r="AH4329" s="352"/>
      <c r="AI4329" s="352"/>
      <c r="AJ4329" s="352"/>
    </row>
    <row r="4330" spans="2:36" x14ac:dyDescent="0.2">
      <c r="B4330" s="352"/>
      <c r="C4330" s="352"/>
      <c r="D4330" s="352"/>
      <c r="E4330" s="352"/>
      <c r="F4330" s="352"/>
      <c r="H4330" s="352"/>
      <c r="J4330" s="352"/>
      <c r="L4330" s="352"/>
      <c r="M4330" s="352"/>
      <c r="N4330" s="352"/>
      <c r="O4330" s="352"/>
      <c r="P4330" s="352"/>
      <c r="Q4330" s="352"/>
      <c r="R4330" s="352"/>
      <c r="S4330" s="352"/>
      <c r="T4330" s="352"/>
      <c r="U4330" s="352"/>
      <c r="V4330" s="352"/>
      <c r="W4330" s="352"/>
      <c r="X4330" s="352"/>
      <c r="Y4330" s="352"/>
      <c r="Z4330" s="352"/>
      <c r="AA4330" s="352"/>
      <c r="AB4330" s="352"/>
      <c r="AC4330" s="352"/>
      <c r="AD4330" s="352"/>
      <c r="AE4330" s="352"/>
      <c r="AF4330" s="352"/>
      <c r="AG4330" s="352"/>
      <c r="AH4330" s="352"/>
      <c r="AI4330" s="352"/>
      <c r="AJ4330" s="352"/>
    </row>
    <row r="4331" spans="2:36" x14ac:dyDescent="0.2">
      <c r="B4331" s="352"/>
      <c r="C4331" s="352"/>
      <c r="D4331" s="352"/>
      <c r="E4331" s="352"/>
      <c r="F4331" s="352"/>
      <c r="H4331" s="352"/>
      <c r="J4331" s="352"/>
      <c r="L4331" s="352"/>
      <c r="M4331" s="352"/>
      <c r="N4331" s="352"/>
      <c r="O4331" s="352"/>
      <c r="P4331" s="352"/>
      <c r="Q4331" s="352"/>
      <c r="R4331" s="352"/>
      <c r="S4331" s="352"/>
      <c r="T4331" s="352"/>
      <c r="U4331" s="352"/>
      <c r="V4331" s="352"/>
      <c r="W4331" s="352"/>
      <c r="X4331" s="352"/>
      <c r="Y4331" s="352"/>
      <c r="Z4331" s="352"/>
      <c r="AA4331" s="352"/>
      <c r="AB4331" s="352"/>
      <c r="AC4331" s="352"/>
      <c r="AD4331" s="352"/>
      <c r="AE4331" s="352"/>
      <c r="AF4331" s="352"/>
      <c r="AG4331" s="352"/>
      <c r="AH4331" s="352"/>
      <c r="AI4331" s="352"/>
      <c r="AJ4331" s="352"/>
    </row>
    <row r="4332" spans="2:36" x14ac:dyDescent="0.2">
      <c r="B4332" s="352"/>
      <c r="C4332" s="352"/>
      <c r="D4332" s="352"/>
      <c r="E4332" s="352"/>
      <c r="F4332" s="352"/>
      <c r="H4332" s="352"/>
      <c r="J4332" s="352"/>
      <c r="L4332" s="352"/>
      <c r="M4332" s="352"/>
      <c r="N4332" s="352"/>
      <c r="O4332" s="352"/>
      <c r="P4332" s="352"/>
      <c r="Q4332" s="352"/>
      <c r="R4332" s="352"/>
      <c r="S4332" s="352"/>
      <c r="T4332" s="352"/>
      <c r="U4332" s="352"/>
      <c r="V4332" s="352"/>
      <c r="W4332" s="352"/>
      <c r="X4332" s="352"/>
      <c r="Y4332" s="352"/>
      <c r="Z4332" s="352"/>
      <c r="AA4332" s="352"/>
      <c r="AB4332" s="352"/>
      <c r="AC4332" s="352"/>
      <c r="AD4332" s="352"/>
      <c r="AE4332" s="352"/>
      <c r="AF4332" s="352"/>
      <c r="AG4332" s="352"/>
      <c r="AH4332" s="352"/>
      <c r="AI4332" s="352"/>
      <c r="AJ4332" s="352"/>
    </row>
    <row r="4333" spans="2:36" x14ac:dyDescent="0.2">
      <c r="B4333" s="352"/>
      <c r="C4333" s="352"/>
      <c r="D4333" s="352"/>
      <c r="E4333" s="352"/>
      <c r="F4333" s="352"/>
      <c r="H4333" s="352"/>
      <c r="J4333" s="352"/>
      <c r="L4333" s="352"/>
      <c r="M4333" s="352"/>
      <c r="N4333" s="352"/>
      <c r="O4333" s="352"/>
      <c r="P4333" s="352"/>
      <c r="Q4333" s="352"/>
      <c r="R4333" s="352"/>
      <c r="S4333" s="352"/>
      <c r="T4333" s="352"/>
      <c r="U4333" s="352"/>
      <c r="V4333" s="352"/>
      <c r="W4333" s="352"/>
      <c r="X4333" s="352"/>
      <c r="Y4333" s="352"/>
      <c r="Z4333" s="352"/>
      <c r="AA4333" s="352"/>
      <c r="AB4333" s="352"/>
      <c r="AC4333" s="352"/>
      <c r="AD4333" s="352"/>
      <c r="AE4333" s="352"/>
      <c r="AF4333" s="352"/>
      <c r="AG4333" s="352"/>
      <c r="AH4333" s="352"/>
      <c r="AI4333" s="352"/>
      <c r="AJ4333" s="352"/>
    </row>
    <row r="4334" spans="2:36" x14ac:dyDescent="0.2">
      <c r="B4334" s="352"/>
      <c r="C4334" s="352"/>
      <c r="D4334" s="352"/>
      <c r="E4334" s="352"/>
      <c r="F4334" s="352"/>
      <c r="H4334" s="352"/>
      <c r="J4334" s="352"/>
      <c r="L4334" s="352"/>
      <c r="M4334" s="352"/>
      <c r="N4334" s="352"/>
      <c r="O4334" s="352"/>
      <c r="P4334" s="352"/>
      <c r="Q4334" s="352"/>
      <c r="R4334" s="352"/>
      <c r="S4334" s="352"/>
      <c r="T4334" s="352"/>
      <c r="U4334" s="352"/>
      <c r="V4334" s="352"/>
      <c r="W4334" s="352"/>
      <c r="X4334" s="352"/>
      <c r="Y4334" s="352"/>
      <c r="Z4334" s="352"/>
      <c r="AA4334" s="352"/>
      <c r="AB4334" s="352"/>
      <c r="AC4334" s="352"/>
      <c r="AD4334" s="352"/>
      <c r="AE4334" s="352"/>
      <c r="AF4334" s="352"/>
      <c r="AG4334" s="352"/>
      <c r="AH4334" s="352"/>
      <c r="AI4334" s="352"/>
      <c r="AJ4334" s="352"/>
    </row>
    <row r="4335" spans="2:36" x14ac:dyDescent="0.2">
      <c r="B4335" s="352"/>
      <c r="C4335" s="352"/>
      <c r="D4335" s="352"/>
      <c r="E4335" s="352"/>
      <c r="F4335" s="352"/>
      <c r="H4335" s="352"/>
      <c r="J4335" s="352"/>
      <c r="L4335" s="352"/>
      <c r="M4335" s="352"/>
      <c r="N4335" s="352"/>
      <c r="O4335" s="352"/>
      <c r="P4335" s="352"/>
      <c r="Q4335" s="352"/>
      <c r="R4335" s="352"/>
      <c r="S4335" s="352"/>
      <c r="T4335" s="352"/>
      <c r="U4335" s="352"/>
      <c r="V4335" s="352"/>
      <c r="W4335" s="352"/>
      <c r="X4335" s="352"/>
      <c r="Y4335" s="352"/>
      <c r="Z4335" s="352"/>
      <c r="AA4335" s="352"/>
      <c r="AB4335" s="352"/>
      <c r="AC4335" s="352"/>
      <c r="AD4335" s="352"/>
      <c r="AE4335" s="352"/>
      <c r="AF4335" s="352"/>
      <c r="AG4335" s="352"/>
      <c r="AH4335" s="352"/>
      <c r="AI4335" s="352"/>
      <c r="AJ4335" s="352"/>
    </row>
    <row r="4336" spans="2:36" x14ac:dyDescent="0.2">
      <c r="B4336" s="352"/>
      <c r="C4336" s="352"/>
      <c r="D4336" s="352"/>
      <c r="E4336" s="352"/>
      <c r="F4336" s="352"/>
      <c r="H4336" s="352"/>
      <c r="J4336" s="352"/>
      <c r="L4336" s="352"/>
      <c r="M4336" s="352"/>
      <c r="N4336" s="352"/>
      <c r="O4336" s="352"/>
      <c r="P4336" s="352"/>
      <c r="Q4336" s="352"/>
      <c r="R4336" s="352"/>
      <c r="S4336" s="352"/>
      <c r="T4336" s="352"/>
      <c r="U4336" s="352"/>
      <c r="V4336" s="352"/>
      <c r="W4336" s="352"/>
      <c r="X4336" s="352"/>
      <c r="Y4336" s="352"/>
      <c r="Z4336" s="352"/>
      <c r="AA4336" s="352"/>
      <c r="AB4336" s="352"/>
      <c r="AC4336" s="352"/>
      <c r="AD4336" s="352"/>
      <c r="AE4336" s="352"/>
      <c r="AF4336" s="352"/>
      <c r="AG4336" s="352"/>
      <c r="AH4336" s="352"/>
      <c r="AI4336" s="352"/>
      <c r="AJ4336" s="352"/>
    </row>
    <row r="4337" spans="2:36" x14ac:dyDescent="0.2">
      <c r="B4337" s="352"/>
      <c r="C4337" s="352"/>
      <c r="D4337" s="352"/>
      <c r="E4337" s="352"/>
      <c r="F4337" s="352"/>
      <c r="H4337" s="352"/>
      <c r="J4337" s="352"/>
      <c r="L4337" s="352"/>
      <c r="M4337" s="352"/>
      <c r="N4337" s="352"/>
      <c r="O4337" s="352"/>
      <c r="P4337" s="352"/>
      <c r="Q4337" s="352"/>
      <c r="R4337" s="352"/>
      <c r="S4337" s="352"/>
      <c r="T4337" s="352"/>
      <c r="U4337" s="352"/>
      <c r="V4337" s="352"/>
      <c r="W4337" s="352"/>
      <c r="X4337" s="352"/>
      <c r="Y4337" s="352"/>
      <c r="Z4337" s="352"/>
      <c r="AA4337" s="352"/>
      <c r="AB4337" s="352"/>
      <c r="AC4337" s="352"/>
      <c r="AD4337" s="352"/>
      <c r="AE4337" s="352"/>
      <c r="AF4337" s="352"/>
      <c r="AG4337" s="352"/>
      <c r="AH4337" s="352"/>
      <c r="AI4337" s="352"/>
      <c r="AJ4337" s="352"/>
    </row>
    <row r="4338" spans="2:36" x14ac:dyDescent="0.2">
      <c r="B4338" s="352"/>
      <c r="C4338" s="352"/>
      <c r="D4338" s="352"/>
      <c r="E4338" s="352"/>
      <c r="F4338" s="352"/>
      <c r="H4338" s="352"/>
      <c r="J4338" s="352"/>
      <c r="L4338" s="352"/>
      <c r="M4338" s="352"/>
      <c r="N4338" s="352"/>
      <c r="O4338" s="352"/>
      <c r="P4338" s="352"/>
      <c r="Q4338" s="352"/>
      <c r="R4338" s="352"/>
      <c r="S4338" s="352"/>
      <c r="T4338" s="352"/>
      <c r="U4338" s="352"/>
      <c r="V4338" s="352"/>
      <c r="W4338" s="352"/>
      <c r="X4338" s="352"/>
      <c r="Y4338" s="352"/>
      <c r="Z4338" s="352"/>
      <c r="AA4338" s="352"/>
      <c r="AB4338" s="352"/>
      <c r="AC4338" s="352"/>
      <c r="AD4338" s="352"/>
      <c r="AE4338" s="352"/>
      <c r="AF4338" s="352"/>
      <c r="AG4338" s="352"/>
      <c r="AH4338" s="352"/>
      <c r="AI4338" s="352"/>
      <c r="AJ4338" s="352"/>
    </row>
    <row r="4339" spans="2:36" x14ac:dyDescent="0.2">
      <c r="B4339" s="352"/>
      <c r="C4339" s="352"/>
      <c r="D4339" s="352"/>
      <c r="E4339" s="352"/>
      <c r="F4339" s="352"/>
      <c r="H4339" s="352"/>
      <c r="J4339" s="352"/>
      <c r="L4339" s="352"/>
      <c r="M4339" s="352"/>
      <c r="N4339" s="352"/>
      <c r="O4339" s="352"/>
      <c r="P4339" s="352"/>
      <c r="Q4339" s="352"/>
      <c r="R4339" s="352"/>
      <c r="S4339" s="352"/>
      <c r="T4339" s="352"/>
      <c r="U4339" s="352"/>
      <c r="V4339" s="352"/>
      <c r="W4339" s="352"/>
      <c r="X4339" s="352"/>
      <c r="Y4339" s="352"/>
      <c r="Z4339" s="352"/>
      <c r="AA4339" s="352"/>
      <c r="AB4339" s="352"/>
      <c r="AC4339" s="352"/>
      <c r="AD4339" s="352"/>
      <c r="AE4339" s="352"/>
      <c r="AF4339" s="352"/>
      <c r="AG4339" s="352"/>
      <c r="AH4339" s="352"/>
      <c r="AI4339" s="352"/>
      <c r="AJ4339" s="352"/>
    </row>
    <row r="4340" spans="2:36" x14ac:dyDescent="0.2">
      <c r="B4340" s="352"/>
      <c r="C4340" s="352"/>
      <c r="D4340" s="352"/>
      <c r="E4340" s="352"/>
      <c r="F4340" s="352"/>
      <c r="H4340" s="352"/>
      <c r="J4340" s="352"/>
      <c r="L4340" s="352"/>
      <c r="M4340" s="352"/>
      <c r="N4340" s="352"/>
      <c r="O4340" s="352"/>
      <c r="P4340" s="352"/>
      <c r="Q4340" s="352"/>
      <c r="R4340" s="352"/>
      <c r="S4340" s="352"/>
      <c r="T4340" s="352"/>
      <c r="U4340" s="352"/>
      <c r="V4340" s="352"/>
      <c r="W4340" s="352"/>
      <c r="X4340" s="352"/>
      <c r="Y4340" s="352"/>
      <c r="Z4340" s="352"/>
      <c r="AA4340" s="352"/>
      <c r="AB4340" s="352"/>
      <c r="AC4340" s="352"/>
      <c r="AD4340" s="352"/>
      <c r="AE4340" s="352"/>
      <c r="AF4340" s="352"/>
      <c r="AG4340" s="352"/>
      <c r="AH4340" s="352"/>
      <c r="AI4340" s="352"/>
      <c r="AJ4340" s="352"/>
    </row>
    <row r="4341" spans="2:36" x14ac:dyDescent="0.2">
      <c r="B4341" s="352"/>
      <c r="C4341" s="352"/>
      <c r="D4341" s="352"/>
      <c r="E4341" s="352"/>
      <c r="F4341" s="352"/>
      <c r="H4341" s="352"/>
      <c r="J4341" s="352"/>
      <c r="L4341" s="352"/>
      <c r="M4341" s="352"/>
      <c r="N4341" s="352"/>
      <c r="O4341" s="352"/>
      <c r="P4341" s="352"/>
      <c r="Q4341" s="352"/>
      <c r="R4341" s="352"/>
      <c r="S4341" s="352"/>
      <c r="T4341" s="352"/>
      <c r="U4341" s="352"/>
      <c r="V4341" s="352"/>
      <c r="W4341" s="352"/>
      <c r="X4341" s="352"/>
      <c r="Y4341" s="352"/>
      <c r="Z4341" s="352"/>
      <c r="AA4341" s="352"/>
      <c r="AB4341" s="352"/>
      <c r="AC4341" s="352"/>
      <c r="AD4341" s="352"/>
      <c r="AE4341" s="352"/>
      <c r="AF4341" s="352"/>
      <c r="AG4341" s="352"/>
      <c r="AH4341" s="352"/>
      <c r="AI4341" s="352"/>
      <c r="AJ4341" s="352"/>
    </row>
    <row r="4342" spans="2:36" x14ac:dyDescent="0.2">
      <c r="B4342" s="352"/>
      <c r="C4342" s="352"/>
      <c r="D4342" s="352"/>
      <c r="E4342" s="352"/>
      <c r="F4342" s="352"/>
      <c r="H4342" s="352"/>
      <c r="J4342" s="352"/>
      <c r="L4342" s="352"/>
      <c r="M4342" s="352"/>
      <c r="N4342" s="352"/>
      <c r="O4342" s="352"/>
      <c r="P4342" s="352"/>
      <c r="Q4342" s="352"/>
      <c r="R4342" s="352"/>
      <c r="S4342" s="352"/>
      <c r="T4342" s="352"/>
      <c r="U4342" s="352"/>
      <c r="V4342" s="352"/>
      <c r="W4342" s="352"/>
      <c r="X4342" s="352"/>
      <c r="Y4342" s="352"/>
      <c r="Z4342" s="352"/>
      <c r="AA4342" s="352"/>
      <c r="AB4342" s="352"/>
      <c r="AC4342" s="352"/>
      <c r="AD4342" s="352"/>
      <c r="AE4342" s="352"/>
      <c r="AF4342" s="352"/>
      <c r="AG4342" s="352"/>
      <c r="AH4342" s="352"/>
      <c r="AI4342" s="352"/>
      <c r="AJ4342" s="352"/>
    </row>
    <row r="4343" spans="2:36" x14ac:dyDescent="0.2">
      <c r="B4343" s="352"/>
      <c r="C4343" s="352"/>
      <c r="D4343" s="352"/>
      <c r="E4343" s="352"/>
      <c r="F4343" s="352"/>
      <c r="H4343" s="352"/>
      <c r="J4343" s="352"/>
      <c r="L4343" s="352"/>
      <c r="M4343" s="352"/>
      <c r="N4343" s="352"/>
      <c r="O4343" s="352"/>
      <c r="P4343" s="352"/>
      <c r="Q4343" s="352"/>
      <c r="R4343" s="352"/>
      <c r="S4343" s="352"/>
      <c r="T4343" s="352"/>
      <c r="U4343" s="352"/>
      <c r="V4343" s="352"/>
      <c r="W4343" s="352"/>
      <c r="X4343" s="352"/>
      <c r="Y4343" s="352"/>
      <c r="Z4343" s="352"/>
      <c r="AA4343" s="352"/>
      <c r="AB4343" s="352"/>
      <c r="AC4343" s="352"/>
      <c r="AD4343" s="352"/>
      <c r="AE4343" s="352"/>
      <c r="AF4343" s="352"/>
      <c r="AG4343" s="352"/>
      <c r="AH4343" s="352"/>
      <c r="AI4343" s="352"/>
      <c r="AJ4343" s="352"/>
    </row>
    <row r="4344" spans="2:36" x14ac:dyDescent="0.2">
      <c r="B4344" s="352"/>
      <c r="C4344" s="352"/>
      <c r="D4344" s="352"/>
      <c r="E4344" s="352"/>
      <c r="F4344" s="352"/>
      <c r="H4344" s="352"/>
      <c r="J4344" s="352"/>
      <c r="L4344" s="352"/>
      <c r="M4344" s="352"/>
      <c r="N4344" s="352"/>
      <c r="O4344" s="352"/>
      <c r="P4344" s="352"/>
      <c r="Q4344" s="352"/>
      <c r="R4344" s="352"/>
      <c r="S4344" s="352"/>
      <c r="T4344" s="352"/>
      <c r="U4344" s="352"/>
      <c r="V4344" s="352"/>
      <c r="W4344" s="352"/>
      <c r="X4344" s="352"/>
      <c r="Y4344" s="352"/>
      <c r="Z4344" s="352"/>
      <c r="AA4344" s="352"/>
      <c r="AB4344" s="352"/>
      <c r="AC4344" s="352"/>
      <c r="AD4344" s="352"/>
      <c r="AE4344" s="352"/>
      <c r="AF4344" s="352"/>
      <c r="AG4344" s="352"/>
      <c r="AH4344" s="352"/>
      <c r="AI4344" s="352"/>
      <c r="AJ4344" s="352"/>
    </row>
    <row r="4345" spans="2:36" x14ac:dyDescent="0.2">
      <c r="B4345" s="352"/>
      <c r="C4345" s="352"/>
      <c r="D4345" s="352"/>
      <c r="E4345" s="352"/>
      <c r="F4345" s="352"/>
      <c r="H4345" s="352"/>
      <c r="J4345" s="352"/>
      <c r="L4345" s="352"/>
      <c r="M4345" s="352"/>
      <c r="N4345" s="352"/>
      <c r="O4345" s="352"/>
      <c r="P4345" s="352"/>
      <c r="Q4345" s="352"/>
      <c r="R4345" s="352"/>
      <c r="S4345" s="352"/>
      <c r="T4345" s="352"/>
      <c r="U4345" s="352"/>
      <c r="V4345" s="352"/>
      <c r="W4345" s="352"/>
      <c r="X4345" s="352"/>
      <c r="Y4345" s="352"/>
      <c r="Z4345" s="352"/>
      <c r="AA4345" s="352"/>
      <c r="AB4345" s="352"/>
      <c r="AC4345" s="352"/>
      <c r="AD4345" s="352"/>
      <c r="AE4345" s="352"/>
      <c r="AF4345" s="352"/>
      <c r="AG4345" s="352"/>
      <c r="AH4345" s="352"/>
      <c r="AI4345" s="352"/>
      <c r="AJ4345" s="352"/>
    </row>
    <row r="4346" spans="2:36" x14ac:dyDescent="0.2">
      <c r="B4346" s="352"/>
      <c r="C4346" s="352"/>
      <c r="D4346" s="352"/>
      <c r="E4346" s="352"/>
      <c r="F4346" s="352"/>
      <c r="H4346" s="352"/>
      <c r="J4346" s="352"/>
      <c r="L4346" s="352"/>
      <c r="M4346" s="352"/>
      <c r="N4346" s="352"/>
      <c r="O4346" s="352"/>
      <c r="P4346" s="352"/>
      <c r="Q4346" s="352"/>
      <c r="R4346" s="352"/>
      <c r="S4346" s="352"/>
      <c r="T4346" s="352"/>
      <c r="U4346" s="352"/>
      <c r="V4346" s="352"/>
      <c r="W4346" s="352"/>
      <c r="X4346" s="352"/>
      <c r="Y4346" s="352"/>
      <c r="Z4346" s="352"/>
      <c r="AA4346" s="352"/>
      <c r="AB4346" s="352"/>
      <c r="AC4346" s="352"/>
      <c r="AD4346" s="352"/>
      <c r="AE4346" s="352"/>
      <c r="AF4346" s="352"/>
      <c r="AG4346" s="352"/>
      <c r="AH4346" s="352"/>
      <c r="AI4346" s="352"/>
      <c r="AJ4346" s="352"/>
    </row>
    <row r="4347" spans="2:36" x14ac:dyDescent="0.2">
      <c r="B4347" s="352"/>
      <c r="C4347" s="352"/>
      <c r="D4347" s="352"/>
      <c r="E4347" s="352"/>
      <c r="F4347" s="352"/>
      <c r="H4347" s="352"/>
      <c r="J4347" s="352"/>
      <c r="L4347" s="352"/>
      <c r="M4347" s="352"/>
      <c r="N4347" s="352"/>
      <c r="O4347" s="352"/>
      <c r="P4347" s="352"/>
      <c r="Q4347" s="352"/>
      <c r="R4347" s="352"/>
      <c r="S4347" s="352"/>
      <c r="T4347" s="352"/>
      <c r="U4347" s="352"/>
      <c r="V4347" s="352"/>
      <c r="W4347" s="352"/>
      <c r="X4347" s="352"/>
      <c r="Y4347" s="352"/>
      <c r="Z4347" s="352"/>
      <c r="AA4347" s="352"/>
      <c r="AB4347" s="352"/>
      <c r="AC4347" s="352"/>
      <c r="AD4347" s="352"/>
      <c r="AE4347" s="352"/>
      <c r="AF4347" s="352"/>
      <c r="AG4347" s="352"/>
      <c r="AH4347" s="352"/>
      <c r="AI4347" s="352"/>
      <c r="AJ4347" s="352"/>
    </row>
    <row r="4348" spans="2:36" x14ac:dyDescent="0.2">
      <c r="B4348" s="352"/>
      <c r="C4348" s="352"/>
      <c r="D4348" s="352"/>
      <c r="E4348" s="352"/>
      <c r="F4348" s="352"/>
      <c r="H4348" s="352"/>
      <c r="J4348" s="352"/>
      <c r="L4348" s="352"/>
      <c r="M4348" s="352"/>
      <c r="N4348" s="352"/>
      <c r="O4348" s="352"/>
      <c r="P4348" s="352"/>
      <c r="Q4348" s="352"/>
      <c r="R4348" s="352"/>
      <c r="S4348" s="352"/>
      <c r="T4348" s="352"/>
      <c r="U4348" s="352"/>
      <c r="V4348" s="352"/>
      <c r="W4348" s="352"/>
      <c r="X4348" s="352"/>
      <c r="Y4348" s="352"/>
      <c r="Z4348" s="352"/>
      <c r="AA4348" s="352"/>
      <c r="AB4348" s="352"/>
      <c r="AC4348" s="352"/>
      <c r="AD4348" s="352"/>
      <c r="AE4348" s="352"/>
      <c r="AF4348" s="352"/>
      <c r="AG4348" s="352"/>
      <c r="AH4348" s="352"/>
      <c r="AI4348" s="352"/>
      <c r="AJ4348" s="352"/>
    </row>
    <row r="4349" spans="2:36" x14ac:dyDescent="0.2">
      <c r="B4349" s="352"/>
      <c r="C4349" s="352"/>
      <c r="D4349" s="352"/>
      <c r="E4349" s="352"/>
      <c r="F4349" s="352"/>
      <c r="H4349" s="352"/>
      <c r="J4349" s="352"/>
      <c r="L4349" s="352"/>
      <c r="M4349" s="352"/>
      <c r="N4349" s="352"/>
      <c r="O4349" s="352"/>
      <c r="P4349" s="352"/>
      <c r="Q4349" s="352"/>
      <c r="R4349" s="352"/>
      <c r="S4349" s="352"/>
      <c r="T4349" s="352"/>
      <c r="U4349" s="352"/>
      <c r="V4349" s="352"/>
      <c r="W4349" s="352"/>
      <c r="X4349" s="352"/>
      <c r="Y4349" s="352"/>
      <c r="Z4349" s="352"/>
      <c r="AA4349" s="352"/>
      <c r="AB4349" s="352"/>
      <c r="AC4349" s="352"/>
      <c r="AD4349" s="352"/>
      <c r="AE4349" s="352"/>
      <c r="AF4349" s="352"/>
      <c r="AG4349" s="352"/>
      <c r="AH4349" s="352"/>
      <c r="AI4349" s="352"/>
      <c r="AJ4349" s="352"/>
    </row>
    <row r="4350" spans="2:36" x14ac:dyDescent="0.2">
      <c r="B4350" s="352"/>
      <c r="C4350" s="352"/>
      <c r="D4350" s="352"/>
      <c r="E4350" s="352"/>
      <c r="F4350" s="352"/>
      <c r="H4350" s="352"/>
      <c r="J4350" s="352"/>
      <c r="L4350" s="352"/>
      <c r="M4350" s="352"/>
      <c r="N4350" s="352"/>
      <c r="O4350" s="352"/>
      <c r="P4350" s="352"/>
      <c r="Q4350" s="352"/>
      <c r="R4350" s="352"/>
      <c r="S4350" s="352"/>
      <c r="T4350" s="352"/>
      <c r="U4350" s="352"/>
      <c r="V4350" s="352"/>
      <c r="W4350" s="352"/>
      <c r="X4350" s="352"/>
      <c r="Y4350" s="352"/>
      <c r="Z4350" s="352"/>
      <c r="AA4350" s="352"/>
      <c r="AB4350" s="352"/>
      <c r="AC4350" s="352"/>
      <c r="AD4350" s="352"/>
      <c r="AE4350" s="352"/>
      <c r="AF4350" s="352"/>
      <c r="AG4350" s="352"/>
      <c r="AH4350" s="352"/>
      <c r="AI4350" s="352"/>
      <c r="AJ4350" s="352"/>
    </row>
    <row r="4351" spans="2:36" x14ac:dyDescent="0.2">
      <c r="B4351" s="352"/>
      <c r="C4351" s="352"/>
      <c r="D4351" s="352"/>
      <c r="E4351" s="352"/>
      <c r="F4351" s="352"/>
      <c r="H4351" s="352"/>
      <c r="J4351" s="352"/>
      <c r="L4351" s="352"/>
      <c r="M4351" s="352"/>
      <c r="N4351" s="352"/>
      <c r="O4351" s="352"/>
      <c r="P4351" s="352"/>
      <c r="Q4351" s="352"/>
      <c r="R4351" s="352"/>
      <c r="S4351" s="352"/>
      <c r="T4351" s="352"/>
      <c r="U4351" s="352"/>
      <c r="V4351" s="352"/>
      <c r="W4351" s="352"/>
      <c r="X4351" s="352"/>
      <c r="Y4351" s="352"/>
      <c r="Z4351" s="352"/>
      <c r="AA4351" s="352"/>
      <c r="AB4351" s="352"/>
      <c r="AC4351" s="352"/>
      <c r="AD4351" s="352"/>
      <c r="AE4351" s="352"/>
      <c r="AF4351" s="352"/>
      <c r="AG4351" s="352"/>
      <c r="AH4351" s="352"/>
      <c r="AI4351" s="352"/>
      <c r="AJ4351" s="352"/>
    </row>
    <row r="4352" spans="2:36" x14ac:dyDescent="0.2">
      <c r="B4352" s="352"/>
      <c r="C4352" s="352"/>
      <c r="D4352" s="352"/>
      <c r="E4352" s="352"/>
      <c r="F4352" s="352"/>
      <c r="H4352" s="352"/>
      <c r="J4352" s="352"/>
      <c r="L4352" s="352"/>
      <c r="M4352" s="352"/>
      <c r="N4352" s="352"/>
      <c r="O4352" s="352"/>
      <c r="P4352" s="352"/>
      <c r="Q4352" s="352"/>
      <c r="R4352" s="352"/>
      <c r="S4352" s="352"/>
      <c r="T4352" s="352"/>
      <c r="U4352" s="352"/>
      <c r="V4352" s="352"/>
      <c r="W4352" s="352"/>
      <c r="X4352" s="352"/>
      <c r="Y4352" s="352"/>
      <c r="Z4352" s="352"/>
      <c r="AA4352" s="352"/>
      <c r="AB4352" s="352"/>
      <c r="AC4352" s="352"/>
      <c r="AD4352" s="352"/>
      <c r="AE4352" s="352"/>
      <c r="AF4352" s="352"/>
      <c r="AG4352" s="352"/>
      <c r="AH4352" s="352"/>
      <c r="AI4352" s="352"/>
      <c r="AJ4352" s="352"/>
    </row>
    <row r="4353" spans="2:36" x14ac:dyDescent="0.2">
      <c r="B4353" s="352"/>
      <c r="C4353" s="352"/>
      <c r="D4353" s="352"/>
      <c r="E4353" s="352"/>
      <c r="F4353" s="352"/>
      <c r="H4353" s="352"/>
      <c r="J4353" s="352"/>
      <c r="L4353" s="352"/>
      <c r="M4353" s="352"/>
      <c r="N4353" s="352"/>
      <c r="O4353" s="352"/>
      <c r="P4353" s="352"/>
      <c r="Q4353" s="352"/>
      <c r="R4353" s="352"/>
      <c r="S4353" s="352"/>
      <c r="T4353" s="352"/>
      <c r="U4353" s="352"/>
      <c r="V4353" s="352"/>
      <c r="W4353" s="352"/>
      <c r="X4353" s="352"/>
      <c r="Y4353" s="352"/>
      <c r="Z4353" s="352"/>
      <c r="AA4353" s="352"/>
      <c r="AB4353" s="352"/>
      <c r="AC4353" s="352"/>
      <c r="AD4353" s="352"/>
      <c r="AE4353" s="352"/>
      <c r="AF4353" s="352"/>
      <c r="AG4353" s="352"/>
      <c r="AH4353" s="352"/>
      <c r="AI4353" s="352"/>
      <c r="AJ4353" s="352"/>
    </row>
    <row r="4354" spans="2:36" x14ac:dyDescent="0.2">
      <c r="B4354" s="352"/>
      <c r="C4354" s="352"/>
      <c r="D4354" s="352"/>
      <c r="E4354" s="352"/>
      <c r="F4354" s="352"/>
      <c r="H4354" s="352"/>
      <c r="J4354" s="352"/>
      <c r="L4354" s="352"/>
      <c r="M4354" s="352"/>
      <c r="N4354" s="352"/>
      <c r="O4354" s="352"/>
      <c r="P4354" s="352"/>
      <c r="Q4354" s="352"/>
      <c r="R4354" s="352"/>
      <c r="S4354" s="352"/>
      <c r="T4354" s="352"/>
      <c r="U4354" s="352"/>
      <c r="V4354" s="352"/>
      <c r="W4354" s="352"/>
      <c r="X4354" s="352"/>
      <c r="Y4354" s="352"/>
      <c r="Z4354" s="352"/>
      <c r="AA4354" s="352"/>
      <c r="AB4354" s="352"/>
      <c r="AC4354" s="352"/>
      <c r="AD4354" s="352"/>
      <c r="AE4354" s="352"/>
      <c r="AF4354" s="352"/>
      <c r="AG4354" s="352"/>
      <c r="AH4354" s="352"/>
      <c r="AI4354" s="352"/>
      <c r="AJ4354" s="352"/>
    </row>
    <row r="4355" spans="2:36" x14ac:dyDescent="0.2">
      <c r="B4355" s="352"/>
      <c r="C4355" s="352"/>
      <c r="D4355" s="352"/>
      <c r="E4355" s="352"/>
      <c r="F4355" s="352"/>
      <c r="H4355" s="352"/>
      <c r="J4355" s="352"/>
      <c r="L4355" s="352"/>
      <c r="M4355" s="352"/>
      <c r="N4355" s="352"/>
      <c r="O4355" s="352"/>
      <c r="P4355" s="352"/>
      <c r="Q4355" s="352"/>
      <c r="R4355" s="352"/>
      <c r="S4355" s="352"/>
      <c r="T4355" s="352"/>
      <c r="U4355" s="352"/>
      <c r="V4355" s="352"/>
      <c r="W4355" s="352"/>
      <c r="X4355" s="352"/>
      <c r="Y4355" s="352"/>
      <c r="Z4355" s="352"/>
      <c r="AA4355" s="352"/>
      <c r="AB4355" s="352"/>
      <c r="AC4355" s="352"/>
      <c r="AD4355" s="352"/>
      <c r="AE4355" s="352"/>
      <c r="AF4355" s="352"/>
      <c r="AG4355" s="352"/>
      <c r="AH4355" s="352"/>
      <c r="AI4355" s="352"/>
      <c r="AJ4355" s="352"/>
    </row>
    <row r="4356" spans="2:36" x14ac:dyDescent="0.2">
      <c r="B4356" s="352"/>
      <c r="C4356" s="352"/>
      <c r="D4356" s="352"/>
      <c r="E4356" s="352"/>
      <c r="F4356" s="352"/>
      <c r="H4356" s="352"/>
      <c r="J4356" s="352"/>
      <c r="L4356" s="352"/>
      <c r="M4356" s="352"/>
      <c r="N4356" s="352"/>
      <c r="O4356" s="352"/>
      <c r="P4356" s="352"/>
      <c r="Q4356" s="352"/>
      <c r="R4356" s="352"/>
      <c r="S4356" s="352"/>
      <c r="T4356" s="352"/>
      <c r="U4356" s="352"/>
      <c r="V4356" s="352"/>
      <c r="W4356" s="352"/>
      <c r="X4356" s="352"/>
      <c r="Y4356" s="352"/>
      <c r="Z4356" s="352"/>
      <c r="AA4356" s="352"/>
      <c r="AB4356" s="352"/>
      <c r="AC4356" s="352"/>
      <c r="AD4356" s="352"/>
      <c r="AE4356" s="352"/>
      <c r="AF4356" s="352"/>
      <c r="AG4356" s="352"/>
      <c r="AH4356" s="352"/>
      <c r="AI4356" s="352"/>
      <c r="AJ4356" s="352"/>
    </row>
    <row r="4357" spans="2:36" x14ac:dyDescent="0.2">
      <c r="B4357" s="352"/>
      <c r="C4357" s="352"/>
      <c r="D4357" s="352"/>
      <c r="E4357" s="352"/>
      <c r="F4357" s="352"/>
      <c r="H4357" s="352"/>
      <c r="J4357" s="352"/>
      <c r="L4357" s="352"/>
      <c r="M4357" s="352"/>
      <c r="N4357" s="352"/>
      <c r="O4357" s="352"/>
      <c r="P4357" s="352"/>
      <c r="Q4357" s="352"/>
      <c r="R4357" s="352"/>
      <c r="S4357" s="352"/>
      <c r="T4357" s="352"/>
      <c r="U4357" s="352"/>
      <c r="V4357" s="352"/>
      <c r="W4357" s="352"/>
      <c r="X4357" s="352"/>
      <c r="Y4357" s="352"/>
      <c r="Z4357" s="352"/>
      <c r="AA4357" s="352"/>
      <c r="AB4357" s="352"/>
      <c r="AC4357" s="352"/>
      <c r="AD4357" s="352"/>
      <c r="AE4357" s="352"/>
      <c r="AF4357" s="352"/>
      <c r="AG4357" s="352"/>
      <c r="AH4357" s="352"/>
      <c r="AI4357" s="352"/>
      <c r="AJ4357" s="352"/>
    </row>
    <row r="4358" spans="2:36" x14ac:dyDescent="0.2">
      <c r="B4358" s="352"/>
      <c r="C4358" s="352"/>
      <c r="D4358" s="352"/>
      <c r="E4358" s="352"/>
      <c r="F4358" s="352"/>
      <c r="H4358" s="352"/>
      <c r="J4358" s="352"/>
      <c r="L4358" s="352"/>
      <c r="M4358" s="352"/>
      <c r="N4358" s="352"/>
      <c r="O4358" s="352"/>
      <c r="P4358" s="352"/>
      <c r="Q4358" s="352"/>
      <c r="R4358" s="352"/>
      <c r="S4358" s="352"/>
      <c r="T4358" s="352"/>
      <c r="U4358" s="352"/>
      <c r="V4358" s="352"/>
      <c r="W4358" s="352"/>
      <c r="X4358" s="352"/>
      <c r="Y4358" s="352"/>
      <c r="Z4358" s="352"/>
      <c r="AA4358" s="352"/>
      <c r="AB4358" s="352"/>
      <c r="AC4358" s="352"/>
      <c r="AD4358" s="352"/>
      <c r="AE4358" s="352"/>
      <c r="AF4358" s="352"/>
      <c r="AG4358" s="352"/>
      <c r="AH4358" s="352"/>
      <c r="AI4358" s="352"/>
      <c r="AJ4358" s="352"/>
    </row>
    <row r="4359" spans="2:36" x14ac:dyDescent="0.2">
      <c r="B4359" s="352"/>
      <c r="C4359" s="352"/>
      <c r="D4359" s="352"/>
      <c r="E4359" s="352"/>
      <c r="F4359" s="352"/>
      <c r="H4359" s="352"/>
      <c r="J4359" s="352"/>
      <c r="L4359" s="352"/>
      <c r="M4359" s="352"/>
      <c r="N4359" s="352"/>
      <c r="O4359" s="352"/>
      <c r="P4359" s="352"/>
      <c r="Q4359" s="352"/>
      <c r="R4359" s="352"/>
      <c r="S4359" s="352"/>
      <c r="T4359" s="352"/>
      <c r="U4359" s="352"/>
      <c r="V4359" s="352"/>
      <c r="W4359" s="352"/>
      <c r="X4359" s="352"/>
      <c r="Y4359" s="352"/>
      <c r="Z4359" s="352"/>
      <c r="AA4359" s="352"/>
      <c r="AB4359" s="352"/>
      <c r="AC4359" s="352"/>
      <c r="AD4359" s="352"/>
      <c r="AE4359" s="352"/>
      <c r="AF4359" s="352"/>
      <c r="AG4359" s="352"/>
      <c r="AH4359" s="352"/>
      <c r="AI4359" s="352"/>
      <c r="AJ4359" s="352"/>
    </row>
    <row r="4360" spans="2:36" x14ac:dyDescent="0.2">
      <c r="B4360" s="352"/>
      <c r="C4360" s="352"/>
      <c r="D4360" s="352"/>
      <c r="E4360" s="352"/>
      <c r="F4360" s="352"/>
      <c r="H4360" s="352"/>
      <c r="J4360" s="352"/>
      <c r="L4360" s="352"/>
      <c r="M4360" s="352"/>
      <c r="N4360" s="352"/>
      <c r="O4360" s="352"/>
      <c r="P4360" s="352"/>
      <c r="Q4360" s="352"/>
      <c r="R4360" s="352"/>
      <c r="S4360" s="352"/>
      <c r="T4360" s="352"/>
      <c r="U4360" s="352"/>
      <c r="V4360" s="352"/>
      <c r="W4360" s="352"/>
      <c r="X4360" s="352"/>
      <c r="Y4360" s="352"/>
      <c r="Z4360" s="352"/>
      <c r="AA4360" s="352"/>
      <c r="AB4360" s="352"/>
      <c r="AC4360" s="352"/>
      <c r="AD4360" s="352"/>
      <c r="AE4360" s="352"/>
      <c r="AF4360" s="352"/>
      <c r="AG4360" s="352"/>
      <c r="AH4360" s="352"/>
      <c r="AI4360" s="352"/>
      <c r="AJ4360" s="352"/>
    </row>
    <row r="4361" spans="2:36" x14ac:dyDescent="0.2">
      <c r="B4361" s="352"/>
      <c r="C4361" s="352"/>
      <c r="D4361" s="352"/>
      <c r="E4361" s="352"/>
      <c r="F4361" s="352"/>
      <c r="H4361" s="352"/>
      <c r="J4361" s="352"/>
      <c r="L4361" s="352"/>
      <c r="M4361" s="352"/>
      <c r="N4361" s="352"/>
      <c r="O4361" s="352"/>
      <c r="P4361" s="352"/>
      <c r="Q4361" s="352"/>
      <c r="R4361" s="352"/>
      <c r="S4361" s="352"/>
      <c r="T4361" s="352"/>
      <c r="U4361" s="352"/>
      <c r="V4361" s="352"/>
      <c r="W4361" s="352"/>
      <c r="X4361" s="352"/>
      <c r="Y4361" s="352"/>
      <c r="Z4361" s="352"/>
      <c r="AA4361" s="352"/>
      <c r="AB4361" s="352"/>
      <c r="AC4361" s="352"/>
      <c r="AD4361" s="352"/>
      <c r="AE4361" s="352"/>
      <c r="AF4361" s="352"/>
      <c r="AG4361" s="352"/>
      <c r="AH4361" s="352"/>
      <c r="AI4361" s="352"/>
      <c r="AJ4361" s="352"/>
    </row>
    <row r="4362" spans="2:36" x14ac:dyDescent="0.2">
      <c r="B4362" s="352"/>
      <c r="C4362" s="352"/>
      <c r="D4362" s="352"/>
      <c r="E4362" s="352"/>
      <c r="F4362" s="352"/>
      <c r="H4362" s="352"/>
      <c r="J4362" s="352"/>
      <c r="L4362" s="352"/>
      <c r="M4362" s="352"/>
      <c r="N4362" s="352"/>
      <c r="O4362" s="352"/>
      <c r="P4362" s="352"/>
      <c r="Q4362" s="352"/>
      <c r="R4362" s="352"/>
      <c r="S4362" s="352"/>
      <c r="T4362" s="352"/>
      <c r="U4362" s="352"/>
      <c r="V4362" s="352"/>
      <c r="W4362" s="352"/>
      <c r="X4362" s="352"/>
      <c r="Y4362" s="352"/>
      <c r="Z4362" s="352"/>
      <c r="AA4362" s="352"/>
      <c r="AB4362" s="352"/>
      <c r="AC4362" s="352"/>
      <c r="AD4362" s="352"/>
      <c r="AE4362" s="352"/>
      <c r="AF4362" s="352"/>
      <c r="AG4362" s="352"/>
      <c r="AH4362" s="352"/>
      <c r="AI4362" s="352"/>
      <c r="AJ4362" s="352"/>
    </row>
    <row r="4363" spans="2:36" x14ac:dyDescent="0.2">
      <c r="B4363" s="352"/>
      <c r="C4363" s="352"/>
      <c r="D4363" s="352"/>
      <c r="E4363" s="352"/>
      <c r="F4363" s="352"/>
      <c r="H4363" s="352"/>
      <c r="J4363" s="352"/>
      <c r="L4363" s="352"/>
      <c r="M4363" s="352"/>
      <c r="N4363" s="352"/>
      <c r="O4363" s="352"/>
      <c r="P4363" s="352"/>
      <c r="Q4363" s="352"/>
      <c r="R4363" s="352"/>
      <c r="S4363" s="352"/>
      <c r="T4363" s="352"/>
      <c r="U4363" s="352"/>
      <c r="V4363" s="352"/>
      <c r="W4363" s="352"/>
      <c r="X4363" s="352"/>
      <c r="Y4363" s="352"/>
      <c r="Z4363" s="352"/>
      <c r="AA4363" s="352"/>
      <c r="AB4363" s="352"/>
      <c r="AC4363" s="352"/>
      <c r="AD4363" s="352"/>
      <c r="AE4363" s="352"/>
      <c r="AF4363" s="352"/>
      <c r="AG4363" s="352"/>
      <c r="AH4363" s="352"/>
      <c r="AI4363" s="352"/>
      <c r="AJ4363" s="352"/>
    </row>
    <row r="4364" spans="2:36" x14ac:dyDescent="0.2">
      <c r="B4364" s="352"/>
      <c r="C4364" s="352"/>
      <c r="D4364" s="352"/>
      <c r="E4364" s="352"/>
      <c r="F4364" s="352"/>
      <c r="H4364" s="352"/>
      <c r="J4364" s="352"/>
      <c r="L4364" s="352"/>
      <c r="M4364" s="352"/>
      <c r="N4364" s="352"/>
      <c r="O4364" s="352"/>
      <c r="P4364" s="352"/>
      <c r="Q4364" s="352"/>
      <c r="R4364" s="352"/>
      <c r="S4364" s="352"/>
      <c r="T4364" s="352"/>
      <c r="U4364" s="352"/>
      <c r="V4364" s="352"/>
      <c r="W4364" s="352"/>
      <c r="X4364" s="352"/>
      <c r="Y4364" s="352"/>
      <c r="Z4364" s="352"/>
      <c r="AA4364" s="352"/>
      <c r="AB4364" s="352"/>
      <c r="AC4364" s="352"/>
      <c r="AD4364" s="352"/>
      <c r="AE4364" s="352"/>
      <c r="AF4364" s="352"/>
      <c r="AG4364" s="352"/>
      <c r="AH4364" s="352"/>
      <c r="AI4364" s="352"/>
      <c r="AJ4364" s="352"/>
    </row>
    <row r="4365" spans="2:36" x14ac:dyDescent="0.2">
      <c r="B4365" s="352"/>
      <c r="C4365" s="352"/>
      <c r="D4365" s="352"/>
      <c r="E4365" s="352"/>
      <c r="F4365" s="352"/>
      <c r="H4365" s="352"/>
      <c r="J4365" s="352"/>
      <c r="L4365" s="352"/>
      <c r="M4365" s="352"/>
      <c r="N4365" s="352"/>
      <c r="O4365" s="352"/>
      <c r="P4365" s="352"/>
      <c r="Q4365" s="352"/>
      <c r="R4365" s="352"/>
      <c r="S4365" s="352"/>
      <c r="T4365" s="352"/>
      <c r="U4365" s="352"/>
      <c r="V4365" s="352"/>
      <c r="W4365" s="352"/>
      <c r="X4365" s="352"/>
      <c r="Y4365" s="352"/>
      <c r="Z4365" s="352"/>
      <c r="AA4365" s="352"/>
      <c r="AB4365" s="352"/>
      <c r="AC4365" s="352"/>
      <c r="AD4365" s="352"/>
      <c r="AE4365" s="352"/>
      <c r="AF4365" s="352"/>
      <c r="AG4365" s="352"/>
      <c r="AH4365" s="352"/>
      <c r="AI4365" s="352"/>
      <c r="AJ4365" s="352"/>
    </row>
    <row r="4366" spans="2:36" x14ac:dyDescent="0.2">
      <c r="B4366" s="352"/>
      <c r="C4366" s="352"/>
      <c r="D4366" s="352"/>
      <c r="E4366" s="352"/>
      <c r="F4366" s="352"/>
      <c r="H4366" s="352"/>
      <c r="J4366" s="352"/>
      <c r="L4366" s="352"/>
      <c r="M4366" s="352"/>
      <c r="N4366" s="352"/>
      <c r="O4366" s="352"/>
      <c r="P4366" s="352"/>
      <c r="Q4366" s="352"/>
      <c r="R4366" s="352"/>
      <c r="S4366" s="352"/>
      <c r="T4366" s="352"/>
      <c r="U4366" s="352"/>
      <c r="V4366" s="352"/>
      <c r="W4366" s="352"/>
      <c r="X4366" s="352"/>
      <c r="Y4366" s="352"/>
      <c r="Z4366" s="352"/>
      <c r="AA4366" s="352"/>
      <c r="AB4366" s="352"/>
      <c r="AC4366" s="352"/>
      <c r="AD4366" s="352"/>
      <c r="AE4366" s="352"/>
      <c r="AF4366" s="352"/>
      <c r="AG4366" s="352"/>
      <c r="AH4366" s="352"/>
      <c r="AI4366" s="352"/>
      <c r="AJ4366" s="352"/>
    </row>
    <row r="4367" spans="2:36" x14ac:dyDescent="0.2">
      <c r="B4367" s="352"/>
      <c r="C4367" s="352"/>
      <c r="D4367" s="352"/>
      <c r="E4367" s="352"/>
      <c r="F4367" s="352"/>
      <c r="H4367" s="352"/>
      <c r="J4367" s="352"/>
      <c r="L4367" s="352"/>
      <c r="M4367" s="352"/>
      <c r="N4367" s="352"/>
      <c r="O4367" s="352"/>
      <c r="P4367" s="352"/>
      <c r="Q4367" s="352"/>
      <c r="R4367" s="352"/>
      <c r="S4367" s="352"/>
      <c r="T4367" s="352"/>
      <c r="U4367" s="352"/>
      <c r="V4367" s="352"/>
      <c r="W4367" s="352"/>
      <c r="X4367" s="352"/>
      <c r="Y4367" s="352"/>
      <c r="Z4367" s="352"/>
      <c r="AA4367" s="352"/>
      <c r="AB4367" s="352"/>
      <c r="AC4367" s="352"/>
      <c r="AD4367" s="352"/>
      <c r="AE4367" s="352"/>
      <c r="AF4367" s="352"/>
      <c r="AG4367" s="352"/>
      <c r="AH4367" s="352"/>
      <c r="AI4367" s="352"/>
      <c r="AJ4367" s="352"/>
    </row>
    <row r="4368" spans="2:36" x14ac:dyDescent="0.2">
      <c r="B4368" s="352"/>
      <c r="C4368" s="352"/>
      <c r="D4368" s="352"/>
      <c r="E4368" s="352"/>
      <c r="F4368" s="352"/>
      <c r="H4368" s="352"/>
      <c r="J4368" s="352"/>
      <c r="L4368" s="352"/>
      <c r="M4368" s="352"/>
      <c r="N4368" s="352"/>
      <c r="O4368" s="352"/>
      <c r="P4368" s="352"/>
      <c r="Q4368" s="352"/>
      <c r="R4368" s="352"/>
      <c r="S4368" s="352"/>
      <c r="T4368" s="352"/>
      <c r="U4368" s="352"/>
      <c r="V4368" s="352"/>
      <c r="W4368" s="352"/>
      <c r="X4368" s="352"/>
      <c r="Y4368" s="352"/>
      <c r="Z4368" s="352"/>
      <c r="AA4368" s="352"/>
      <c r="AB4368" s="352"/>
      <c r="AC4368" s="352"/>
      <c r="AD4368" s="352"/>
      <c r="AE4368" s="352"/>
      <c r="AF4368" s="352"/>
      <c r="AG4368" s="352"/>
      <c r="AH4368" s="352"/>
      <c r="AI4368" s="352"/>
      <c r="AJ4368" s="352"/>
    </row>
    <row r="4369" spans="2:36" x14ac:dyDescent="0.2">
      <c r="B4369" s="352"/>
      <c r="C4369" s="352"/>
      <c r="D4369" s="352"/>
      <c r="E4369" s="352"/>
      <c r="F4369" s="352"/>
      <c r="H4369" s="352"/>
      <c r="J4369" s="352"/>
      <c r="L4369" s="352"/>
      <c r="M4369" s="352"/>
      <c r="N4369" s="352"/>
      <c r="O4369" s="352"/>
      <c r="P4369" s="352"/>
      <c r="Q4369" s="352"/>
      <c r="R4369" s="352"/>
      <c r="S4369" s="352"/>
      <c r="T4369" s="352"/>
      <c r="U4369" s="352"/>
      <c r="V4369" s="352"/>
      <c r="W4369" s="352"/>
      <c r="X4369" s="352"/>
      <c r="Y4369" s="352"/>
      <c r="Z4369" s="352"/>
      <c r="AA4369" s="352"/>
      <c r="AB4369" s="352"/>
      <c r="AC4369" s="352"/>
      <c r="AD4369" s="352"/>
      <c r="AE4369" s="352"/>
      <c r="AF4369" s="352"/>
      <c r="AG4369" s="352"/>
      <c r="AH4369" s="352"/>
      <c r="AI4369" s="352"/>
      <c r="AJ4369" s="352"/>
    </row>
    <row r="4370" spans="2:36" x14ac:dyDescent="0.2">
      <c r="B4370" s="352"/>
      <c r="C4370" s="352"/>
      <c r="D4370" s="352"/>
      <c r="E4370" s="352"/>
      <c r="F4370" s="352"/>
      <c r="H4370" s="352"/>
      <c r="J4370" s="352"/>
      <c r="L4370" s="352"/>
      <c r="M4370" s="352"/>
      <c r="N4370" s="352"/>
      <c r="O4370" s="352"/>
      <c r="P4370" s="352"/>
      <c r="Q4370" s="352"/>
      <c r="R4370" s="352"/>
      <c r="S4370" s="352"/>
      <c r="T4370" s="352"/>
      <c r="U4370" s="352"/>
      <c r="V4370" s="352"/>
      <c r="W4370" s="352"/>
      <c r="X4370" s="352"/>
      <c r="Y4370" s="352"/>
      <c r="Z4370" s="352"/>
      <c r="AA4370" s="352"/>
      <c r="AB4370" s="352"/>
      <c r="AC4370" s="352"/>
      <c r="AD4370" s="352"/>
      <c r="AE4370" s="352"/>
      <c r="AF4370" s="352"/>
      <c r="AG4370" s="352"/>
      <c r="AH4370" s="352"/>
      <c r="AI4370" s="352"/>
      <c r="AJ4370" s="352"/>
    </row>
    <row r="4371" spans="2:36" x14ac:dyDescent="0.2">
      <c r="B4371" s="352"/>
      <c r="C4371" s="352"/>
      <c r="D4371" s="352"/>
      <c r="E4371" s="352"/>
      <c r="F4371" s="352"/>
      <c r="H4371" s="352"/>
      <c r="J4371" s="352"/>
      <c r="L4371" s="352"/>
      <c r="M4371" s="352"/>
      <c r="N4371" s="352"/>
      <c r="O4371" s="352"/>
      <c r="P4371" s="352"/>
      <c r="Q4371" s="352"/>
      <c r="R4371" s="352"/>
      <c r="S4371" s="352"/>
      <c r="T4371" s="352"/>
      <c r="U4371" s="352"/>
      <c r="V4371" s="352"/>
      <c r="W4371" s="352"/>
      <c r="X4371" s="352"/>
      <c r="Y4371" s="352"/>
      <c r="Z4371" s="352"/>
      <c r="AA4371" s="352"/>
      <c r="AB4371" s="352"/>
      <c r="AC4371" s="352"/>
      <c r="AD4371" s="352"/>
      <c r="AE4371" s="352"/>
      <c r="AF4371" s="352"/>
      <c r="AG4371" s="352"/>
      <c r="AH4371" s="352"/>
      <c r="AI4371" s="352"/>
      <c r="AJ4371" s="352"/>
    </row>
    <row r="4372" spans="2:36" x14ac:dyDescent="0.2">
      <c r="B4372" s="352"/>
      <c r="C4372" s="352"/>
      <c r="D4372" s="352"/>
      <c r="E4372" s="352"/>
      <c r="F4372" s="352"/>
      <c r="H4372" s="352"/>
      <c r="J4372" s="352"/>
      <c r="L4372" s="352"/>
      <c r="M4372" s="352"/>
      <c r="N4372" s="352"/>
      <c r="O4372" s="352"/>
      <c r="P4372" s="352"/>
      <c r="Q4372" s="352"/>
      <c r="R4372" s="352"/>
      <c r="S4372" s="352"/>
      <c r="T4372" s="352"/>
      <c r="U4372" s="352"/>
      <c r="V4372" s="352"/>
      <c r="W4372" s="352"/>
      <c r="X4372" s="352"/>
      <c r="Y4372" s="352"/>
      <c r="Z4372" s="352"/>
      <c r="AA4372" s="352"/>
      <c r="AB4372" s="352"/>
      <c r="AC4372" s="352"/>
      <c r="AD4372" s="352"/>
      <c r="AE4372" s="352"/>
      <c r="AF4372" s="352"/>
      <c r="AG4372" s="352"/>
      <c r="AH4372" s="352"/>
      <c r="AI4372" s="352"/>
      <c r="AJ4372" s="352"/>
    </row>
    <row r="4373" spans="2:36" x14ac:dyDescent="0.2">
      <c r="B4373" s="352"/>
      <c r="C4373" s="352"/>
      <c r="D4373" s="352"/>
      <c r="E4373" s="352"/>
      <c r="F4373" s="352"/>
      <c r="H4373" s="352"/>
      <c r="J4373" s="352"/>
      <c r="L4373" s="352"/>
      <c r="M4373" s="352"/>
      <c r="N4373" s="352"/>
      <c r="O4373" s="352"/>
      <c r="P4373" s="352"/>
      <c r="Q4373" s="352"/>
      <c r="R4373" s="352"/>
      <c r="S4373" s="352"/>
      <c r="T4373" s="352"/>
      <c r="U4373" s="352"/>
      <c r="V4373" s="352"/>
      <c r="W4373" s="352"/>
      <c r="X4373" s="352"/>
      <c r="Y4373" s="352"/>
      <c r="Z4373" s="352"/>
      <c r="AA4373" s="352"/>
      <c r="AB4373" s="352"/>
      <c r="AC4373" s="352"/>
      <c r="AD4373" s="352"/>
      <c r="AE4373" s="352"/>
      <c r="AF4373" s="352"/>
      <c r="AG4373" s="352"/>
      <c r="AH4373" s="352"/>
      <c r="AI4373" s="352"/>
      <c r="AJ4373" s="352"/>
    </row>
    <row r="4374" spans="2:36" x14ac:dyDescent="0.2">
      <c r="B4374" s="352"/>
      <c r="C4374" s="352"/>
      <c r="D4374" s="352"/>
      <c r="E4374" s="352"/>
      <c r="F4374" s="352"/>
      <c r="H4374" s="352"/>
      <c r="J4374" s="352"/>
      <c r="L4374" s="352"/>
      <c r="M4374" s="352"/>
      <c r="N4374" s="352"/>
      <c r="O4374" s="352"/>
      <c r="P4374" s="352"/>
      <c r="Q4374" s="352"/>
      <c r="R4374" s="352"/>
      <c r="S4374" s="352"/>
      <c r="T4374" s="352"/>
      <c r="U4374" s="352"/>
      <c r="V4374" s="352"/>
      <c r="W4374" s="352"/>
      <c r="X4374" s="352"/>
      <c r="Y4374" s="352"/>
      <c r="Z4374" s="352"/>
      <c r="AA4374" s="352"/>
      <c r="AB4374" s="352"/>
      <c r="AC4374" s="352"/>
      <c r="AD4374" s="352"/>
      <c r="AE4374" s="352"/>
      <c r="AF4374" s="352"/>
      <c r="AG4374" s="352"/>
      <c r="AH4374" s="352"/>
      <c r="AI4374" s="352"/>
      <c r="AJ4374" s="352"/>
    </row>
    <row r="4375" spans="2:36" x14ac:dyDescent="0.2">
      <c r="B4375" s="352"/>
      <c r="C4375" s="352"/>
      <c r="D4375" s="352"/>
      <c r="E4375" s="352"/>
      <c r="F4375" s="352"/>
      <c r="H4375" s="352"/>
      <c r="J4375" s="352"/>
      <c r="L4375" s="352"/>
      <c r="M4375" s="352"/>
      <c r="N4375" s="352"/>
      <c r="O4375" s="352"/>
      <c r="P4375" s="352"/>
      <c r="Q4375" s="352"/>
      <c r="R4375" s="352"/>
      <c r="S4375" s="352"/>
      <c r="T4375" s="352"/>
      <c r="U4375" s="352"/>
      <c r="V4375" s="352"/>
      <c r="W4375" s="352"/>
      <c r="X4375" s="352"/>
      <c r="Y4375" s="352"/>
      <c r="Z4375" s="352"/>
      <c r="AA4375" s="352"/>
      <c r="AB4375" s="352"/>
      <c r="AC4375" s="352"/>
      <c r="AD4375" s="352"/>
      <c r="AE4375" s="352"/>
      <c r="AF4375" s="352"/>
      <c r="AG4375" s="352"/>
      <c r="AH4375" s="352"/>
      <c r="AI4375" s="352"/>
      <c r="AJ4375" s="352"/>
    </row>
    <row r="4376" spans="2:36" x14ac:dyDescent="0.2">
      <c r="B4376" s="352"/>
      <c r="C4376" s="352"/>
      <c r="D4376" s="352"/>
      <c r="E4376" s="352"/>
      <c r="F4376" s="352"/>
      <c r="H4376" s="352"/>
      <c r="J4376" s="352"/>
      <c r="L4376" s="352"/>
      <c r="M4376" s="352"/>
      <c r="N4376" s="352"/>
      <c r="O4376" s="352"/>
      <c r="P4376" s="352"/>
      <c r="Q4376" s="352"/>
      <c r="R4376" s="352"/>
      <c r="S4376" s="352"/>
      <c r="T4376" s="352"/>
      <c r="U4376" s="352"/>
      <c r="V4376" s="352"/>
      <c r="W4376" s="352"/>
      <c r="X4376" s="352"/>
      <c r="Y4376" s="352"/>
      <c r="Z4376" s="352"/>
      <c r="AA4376" s="352"/>
      <c r="AB4376" s="352"/>
      <c r="AC4376" s="352"/>
      <c r="AD4376" s="352"/>
      <c r="AE4376" s="352"/>
      <c r="AF4376" s="352"/>
      <c r="AG4376" s="352"/>
      <c r="AH4376" s="352"/>
      <c r="AI4376" s="352"/>
      <c r="AJ4376" s="352"/>
    </row>
    <row r="4377" spans="2:36" x14ac:dyDescent="0.2">
      <c r="B4377" s="352"/>
      <c r="C4377" s="352"/>
      <c r="D4377" s="352"/>
      <c r="E4377" s="352"/>
      <c r="F4377" s="352"/>
      <c r="H4377" s="352"/>
      <c r="J4377" s="352"/>
      <c r="L4377" s="352"/>
      <c r="M4377" s="352"/>
      <c r="N4377" s="352"/>
      <c r="O4377" s="352"/>
      <c r="P4377" s="352"/>
      <c r="Q4377" s="352"/>
      <c r="R4377" s="352"/>
      <c r="S4377" s="352"/>
      <c r="T4377" s="352"/>
      <c r="U4377" s="352"/>
      <c r="V4377" s="352"/>
      <c r="W4377" s="352"/>
      <c r="X4377" s="352"/>
      <c r="Y4377" s="352"/>
      <c r="Z4377" s="352"/>
      <c r="AA4377" s="352"/>
      <c r="AB4377" s="352"/>
      <c r="AC4377" s="352"/>
      <c r="AD4377" s="352"/>
      <c r="AE4377" s="352"/>
      <c r="AF4377" s="352"/>
      <c r="AG4377" s="352"/>
      <c r="AH4377" s="352"/>
      <c r="AI4377" s="352"/>
      <c r="AJ4377" s="352"/>
    </row>
    <row r="4378" spans="2:36" x14ac:dyDescent="0.2">
      <c r="B4378" s="352"/>
      <c r="C4378" s="352"/>
      <c r="D4378" s="352"/>
      <c r="E4378" s="352"/>
      <c r="F4378" s="352"/>
      <c r="H4378" s="352"/>
      <c r="J4378" s="352"/>
      <c r="L4378" s="352"/>
      <c r="M4378" s="352"/>
      <c r="N4378" s="352"/>
      <c r="O4378" s="352"/>
      <c r="P4378" s="352"/>
      <c r="Q4378" s="352"/>
      <c r="R4378" s="352"/>
      <c r="S4378" s="352"/>
      <c r="T4378" s="352"/>
      <c r="U4378" s="352"/>
      <c r="V4378" s="352"/>
      <c r="W4378" s="352"/>
      <c r="X4378" s="352"/>
      <c r="Y4378" s="352"/>
      <c r="Z4378" s="352"/>
      <c r="AA4378" s="352"/>
      <c r="AB4378" s="352"/>
      <c r="AC4378" s="352"/>
      <c r="AD4378" s="352"/>
      <c r="AE4378" s="352"/>
      <c r="AF4378" s="352"/>
      <c r="AG4378" s="352"/>
      <c r="AH4378" s="352"/>
      <c r="AI4378" s="352"/>
      <c r="AJ4378" s="352"/>
    </row>
    <row r="4379" spans="2:36" x14ac:dyDescent="0.2">
      <c r="B4379" s="352"/>
      <c r="C4379" s="352"/>
      <c r="D4379" s="352"/>
      <c r="E4379" s="352"/>
      <c r="F4379" s="352"/>
      <c r="H4379" s="352"/>
      <c r="J4379" s="352"/>
      <c r="L4379" s="352"/>
      <c r="M4379" s="352"/>
      <c r="N4379" s="352"/>
      <c r="O4379" s="352"/>
      <c r="P4379" s="352"/>
      <c r="Q4379" s="352"/>
      <c r="R4379" s="352"/>
      <c r="S4379" s="352"/>
      <c r="T4379" s="352"/>
      <c r="U4379" s="352"/>
      <c r="V4379" s="352"/>
      <c r="W4379" s="352"/>
      <c r="X4379" s="352"/>
      <c r="Y4379" s="352"/>
      <c r="Z4379" s="352"/>
      <c r="AA4379" s="352"/>
      <c r="AB4379" s="352"/>
      <c r="AC4379" s="352"/>
      <c r="AD4379" s="352"/>
      <c r="AE4379" s="352"/>
      <c r="AF4379" s="352"/>
      <c r="AG4379" s="352"/>
      <c r="AH4379" s="352"/>
      <c r="AI4379" s="352"/>
      <c r="AJ4379" s="352"/>
    </row>
    <row r="4380" spans="2:36" x14ac:dyDescent="0.2">
      <c r="B4380" s="352"/>
      <c r="C4380" s="352"/>
      <c r="D4380" s="352"/>
      <c r="E4380" s="352"/>
      <c r="F4380" s="352"/>
      <c r="H4380" s="352"/>
      <c r="J4380" s="352"/>
      <c r="L4380" s="352"/>
      <c r="M4380" s="352"/>
      <c r="N4380" s="352"/>
      <c r="O4380" s="352"/>
      <c r="P4380" s="352"/>
      <c r="Q4380" s="352"/>
      <c r="R4380" s="352"/>
      <c r="S4380" s="352"/>
      <c r="T4380" s="352"/>
      <c r="U4380" s="352"/>
      <c r="V4380" s="352"/>
      <c r="W4380" s="352"/>
      <c r="X4380" s="352"/>
      <c r="Y4380" s="352"/>
      <c r="Z4380" s="352"/>
      <c r="AA4380" s="352"/>
      <c r="AB4380" s="352"/>
      <c r="AC4380" s="352"/>
      <c r="AD4380" s="352"/>
      <c r="AE4380" s="352"/>
      <c r="AF4380" s="352"/>
      <c r="AG4380" s="352"/>
      <c r="AH4380" s="352"/>
      <c r="AI4380" s="352"/>
      <c r="AJ4380" s="352"/>
    </row>
    <row r="4381" spans="2:36" x14ac:dyDescent="0.2">
      <c r="B4381" s="352"/>
      <c r="C4381" s="352"/>
      <c r="D4381" s="352"/>
      <c r="E4381" s="352"/>
      <c r="F4381" s="352"/>
      <c r="H4381" s="352"/>
      <c r="J4381" s="352"/>
      <c r="L4381" s="352"/>
      <c r="M4381" s="352"/>
      <c r="N4381" s="352"/>
      <c r="O4381" s="352"/>
      <c r="P4381" s="352"/>
      <c r="Q4381" s="352"/>
      <c r="R4381" s="352"/>
      <c r="S4381" s="352"/>
      <c r="T4381" s="352"/>
      <c r="U4381" s="352"/>
      <c r="V4381" s="352"/>
      <c r="W4381" s="352"/>
      <c r="X4381" s="352"/>
      <c r="Y4381" s="352"/>
      <c r="Z4381" s="352"/>
      <c r="AA4381" s="352"/>
      <c r="AB4381" s="352"/>
      <c r="AC4381" s="352"/>
      <c r="AD4381" s="352"/>
      <c r="AE4381" s="352"/>
      <c r="AF4381" s="352"/>
      <c r="AG4381" s="352"/>
      <c r="AH4381" s="352"/>
      <c r="AI4381" s="352"/>
      <c r="AJ4381" s="352"/>
    </row>
    <row r="4382" spans="2:36" x14ac:dyDescent="0.2">
      <c r="B4382" s="352"/>
      <c r="C4382" s="352"/>
      <c r="D4382" s="352"/>
      <c r="E4382" s="352"/>
      <c r="F4382" s="352"/>
      <c r="H4382" s="352"/>
      <c r="J4382" s="352"/>
      <c r="L4382" s="352"/>
      <c r="M4382" s="352"/>
      <c r="N4382" s="352"/>
      <c r="O4382" s="352"/>
      <c r="P4382" s="352"/>
      <c r="Q4382" s="352"/>
      <c r="R4382" s="352"/>
      <c r="S4382" s="352"/>
      <c r="T4382" s="352"/>
      <c r="U4382" s="352"/>
      <c r="V4382" s="352"/>
      <c r="W4382" s="352"/>
      <c r="X4382" s="352"/>
      <c r="Y4382" s="352"/>
      <c r="Z4382" s="352"/>
      <c r="AA4382" s="352"/>
      <c r="AB4382" s="352"/>
      <c r="AC4382" s="352"/>
      <c r="AD4382" s="352"/>
      <c r="AE4382" s="352"/>
      <c r="AF4382" s="352"/>
      <c r="AG4382" s="352"/>
      <c r="AH4382" s="352"/>
      <c r="AI4382" s="352"/>
      <c r="AJ4382" s="352"/>
    </row>
    <row r="4383" spans="2:36" x14ac:dyDescent="0.2">
      <c r="B4383" s="352"/>
      <c r="C4383" s="352"/>
      <c r="D4383" s="352"/>
      <c r="E4383" s="352"/>
      <c r="F4383" s="352"/>
      <c r="H4383" s="352"/>
      <c r="J4383" s="352"/>
      <c r="L4383" s="352"/>
      <c r="M4383" s="352"/>
      <c r="N4383" s="352"/>
      <c r="O4383" s="352"/>
      <c r="P4383" s="352"/>
      <c r="Q4383" s="352"/>
      <c r="R4383" s="352"/>
      <c r="S4383" s="352"/>
      <c r="T4383" s="352"/>
      <c r="U4383" s="352"/>
      <c r="V4383" s="352"/>
      <c r="W4383" s="352"/>
      <c r="X4383" s="352"/>
      <c r="Y4383" s="352"/>
      <c r="Z4383" s="352"/>
      <c r="AA4383" s="352"/>
      <c r="AB4383" s="352"/>
      <c r="AC4383" s="352"/>
      <c r="AD4383" s="352"/>
      <c r="AE4383" s="352"/>
      <c r="AF4383" s="352"/>
      <c r="AG4383" s="352"/>
      <c r="AH4383" s="352"/>
      <c r="AI4383" s="352"/>
      <c r="AJ4383" s="352"/>
    </row>
    <row r="4384" spans="2:36" x14ac:dyDescent="0.2">
      <c r="B4384" s="352"/>
      <c r="C4384" s="352"/>
      <c r="D4384" s="352"/>
      <c r="E4384" s="352"/>
      <c r="F4384" s="352"/>
      <c r="H4384" s="352"/>
      <c r="J4384" s="352"/>
      <c r="L4384" s="352"/>
      <c r="M4384" s="352"/>
      <c r="N4384" s="352"/>
      <c r="O4384" s="352"/>
      <c r="P4384" s="352"/>
      <c r="Q4384" s="352"/>
      <c r="R4384" s="352"/>
      <c r="S4384" s="352"/>
      <c r="T4384" s="352"/>
      <c r="U4384" s="352"/>
      <c r="V4384" s="352"/>
      <c r="W4384" s="352"/>
      <c r="X4384" s="352"/>
      <c r="Y4384" s="352"/>
      <c r="Z4384" s="352"/>
      <c r="AA4384" s="352"/>
      <c r="AB4384" s="352"/>
      <c r="AC4384" s="352"/>
      <c r="AD4384" s="352"/>
      <c r="AE4384" s="352"/>
      <c r="AF4384" s="352"/>
      <c r="AG4384" s="352"/>
      <c r="AH4384" s="352"/>
      <c r="AI4384" s="352"/>
      <c r="AJ4384" s="352"/>
    </row>
    <row r="4385" spans="2:36" x14ac:dyDescent="0.2">
      <c r="B4385" s="352"/>
      <c r="C4385" s="352"/>
      <c r="D4385" s="352"/>
      <c r="E4385" s="352"/>
      <c r="F4385" s="352"/>
      <c r="H4385" s="352"/>
      <c r="J4385" s="352"/>
      <c r="L4385" s="352"/>
      <c r="M4385" s="352"/>
      <c r="N4385" s="352"/>
      <c r="O4385" s="352"/>
      <c r="P4385" s="352"/>
      <c r="Q4385" s="352"/>
      <c r="R4385" s="352"/>
      <c r="S4385" s="352"/>
      <c r="T4385" s="352"/>
      <c r="U4385" s="352"/>
      <c r="V4385" s="352"/>
      <c r="W4385" s="352"/>
      <c r="X4385" s="352"/>
      <c r="Y4385" s="352"/>
      <c r="Z4385" s="352"/>
      <c r="AA4385" s="352"/>
      <c r="AB4385" s="352"/>
      <c r="AC4385" s="352"/>
      <c r="AD4385" s="352"/>
      <c r="AE4385" s="352"/>
      <c r="AF4385" s="352"/>
      <c r="AG4385" s="352"/>
      <c r="AH4385" s="352"/>
      <c r="AI4385" s="352"/>
      <c r="AJ4385" s="352"/>
    </row>
    <row r="4386" spans="2:36" x14ac:dyDescent="0.2">
      <c r="B4386" s="352"/>
      <c r="C4386" s="352"/>
      <c r="D4386" s="352"/>
      <c r="E4386" s="352"/>
      <c r="F4386" s="352"/>
      <c r="H4386" s="352"/>
      <c r="J4386" s="352"/>
      <c r="L4386" s="352"/>
      <c r="M4386" s="352"/>
      <c r="N4386" s="352"/>
      <c r="O4386" s="352"/>
      <c r="P4386" s="352"/>
      <c r="Q4386" s="352"/>
      <c r="R4386" s="352"/>
      <c r="S4386" s="352"/>
      <c r="T4386" s="352"/>
      <c r="U4386" s="352"/>
      <c r="V4386" s="352"/>
      <c r="W4386" s="352"/>
      <c r="X4386" s="352"/>
      <c r="Y4386" s="352"/>
      <c r="Z4386" s="352"/>
      <c r="AA4386" s="352"/>
      <c r="AB4386" s="352"/>
      <c r="AC4386" s="352"/>
      <c r="AD4386" s="352"/>
      <c r="AE4386" s="352"/>
      <c r="AF4386" s="352"/>
      <c r="AG4386" s="352"/>
      <c r="AH4386" s="352"/>
      <c r="AI4386" s="352"/>
      <c r="AJ4386" s="352"/>
    </row>
    <row r="4387" spans="2:36" x14ac:dyDescent="0.2">
      <c r="B4387" s="352"/>
      <c r="C4387" s="352"/>
      <c r="D4387" s="352"/>
      <c r="E4387" s="352"/>
      <c r="F4387" s="352"/>
      <c r="H4387" s="352"/>
      <c r="J4387" s="352"/>
      <c r="L4387" s="352"/>
      <c r="M4387" s="352"/>
      <c r="N4387" s="352"/>
      <c r="O4387" s="352"/>
      <c r="P4387" s="352"/>
      <c r="Q4387" s="352"/>
      <c r="R4387" s="352"/>
      <c r="S4387" s="352"/>
      <c r="T4387" s="352"/>
      <c r="U4387" s="352"/>
      <c r="V4387" s="352"/>
      <c r="W4387" s="352"/>
      <c r="X4387" s="352"/>
      <c r="Y4387" s="352"/>
      <c r="Z4387" s="352"/>
      <c r="AA4387" s="352"/>
      <c r="AB4387" s="352"/>
      <c r="AC4387" s="352"/>
      <c r="AD4387" s="352"/>
      <c r="AE4387" s="352"/>
      <c r="AF4387" s="352"/>
      <c r="AG4387" s="352"/>
      <c r="AH4387" s="352"/>
      <c r="AI4387" s="352"/>
      <c r="AJ4387" s="352"/>
    </row>
    <row r="4388" spans="2:36" x14ac:dyDescent="0.2">
      <c r="B4388" s="352"/>
      <c r="C4388" s="352"/>
      <c r="D4388" s="352"/>
      <c r="E4388" s="352"/>
      <c r="F4388" s="352"/>
      <c r="H4388" s="352"/>
      <c r="J4388" s="352"/>
      <c r="L4388" s="352"/>
      <c r="M4388" s="352"/>
      <c r="N4388" s="352"/>
      <c r="O4388" s="352"/>
      <c r="P4388" s="352"/>
      <c r="Q4388" s="352"/>
      <c r="R4388" s="352"/>
      <c r="S4388" s="352"/>
      <c r="T4388" s="352"/>
      <c r="U4388" s="352"/>
      <c r="V4388" s="352"/>
      <c r="W4388" s="352"/>
      <c r="X4388" s="352"/>
      <c r="Y4388" s="352"/>
      <c r="Z4388" s="352"/>
      <c r="AA4388" s="352"/>
      <c r="AB4388" s="352"/>
      <c r="AC4388" s="352"/>
      <c r="AD4388" s="352"/>
      <c r="AE4388" s="352"/>
      <c r="AF4388" s="352"/>
      <c r="AG4388" s="352"/>
      <c r="AH4388" s="352"/>
      <c r="AI4388" s="352"/>
      <c r="AJ4388" s="352"/>
    </row>
    <row r="4389" spans="2:36" x14ac:dyDescent="0.2">
      <c r="B4389" s="352"/>
      <c r="C4389" s="352"/>
      <c r="D4389" s="352"/>
      <c r="E4389" s="352"/>
      <c r="F4389" s="352"/>
      <c r="H4389" s="352"/>
      <c r="J4389" s="352"/>
      <c r="L4389" s="352"/>
      <c r="M4389" s="352"/>
      <c r="N4389" s="352"/>
      <c r="O4389" s="352"/>
      <c r="P4389" s="352"/>
      <c r="Q4389" s="352"/>
      <c r="R4389" s="352"/>
      <c r="S4389" s="352"/>
      <c r="T4389" s="352"/>
      <c r="U4389" s="352"/>
      <c r="V4389" s="352"/>
      <c r="W4389" s="352"/>
      <c r="X4389" s="352"/>
      <c r="Y4389" s="352"/>
      <c r="Z4389" s="352"/>
      <c r="AA4389" s="352"/>
      <c r="AB4389" s="352"/>
      <c r="AC4389" s="352"/>
      <c r="AD4389" s="352"/>
      <c r="AE4389" s="352"/>
      <c r="AF4389" s="352"/>
      <c r="AG4389" s="352"/>
      <c r="AH4389" s="352"/>
      <c r="AI4389" s="352"/>
      <c r="AJ4389" s="352"/>
    </row>
    <row r="4390" spans="2:36" x14ac:dyDescent="0.2">
      <c r="B4390" s="352"/>
      <c r="C4390" s="352"/>
      <c r="D4390" s="352"/>
      <c r="E4390" s="352"/>
      <c r="F4390" s="352"/>
      <c r="H4390" s="352"/>
      <c r="J4390" s="352"/>
      <c r="L4390" s="352"/>
      <c r="M4390" s="352"/>
      <c r="N4390" s="352"/>
      <c r="O4390" s="352"/>
      <c r="P4390" s="352"/>
      <c r="Q4390" s="352"/>
      <c r="R4390" s="352"/>
      <c r="S4390" s="352"/>
      <c r="T4390" s="352"/>
      <c r="U4390" s="352"/>
      <c r="V4390" s="352"/>
      <c r="W4390" s="352"/>
      <c r="X4390" s="352"/>
      <c r="Y4390" s="352"/>
      <c r="Z4390" s="352"/>
      <c r="AA4390" s="352"/>
      <c r="AB4390" s="352"/>
      <c r="AC4390" s="352"/>
      <c r="AD4390" s="352"/>
      <c r="AE4390" s="352"/>
      <c r="AF4390" s="352"/>
      <c r="AG4390" s="352"/>
      <c r="AH4390" s="352"/>
      <c r="AI4390" s="352"/>
      <c r="AJ4390" s="352"/>
    </row>
    <row r="4391" spans="2:36" x14ac:dyDescent="0.2">
      <c r="B4391" s="352"/>
      <c r="C4391" s="352"/>
      <c r="D4391" s="352"/>
      <c r="E4391" s="352"/>
      <c r="F4391" s="352"/>
      <c r="H4391" s="352"/>
      <c r="J4391" s="352"/>
      <c r="L4391" s="352"/>
      <c r="M4391" s="352"/>
      <c r="N4391" s="352"/>
      <c r="O4391" s="352"/>
      <c r="P4391" s="352"/>
      <c r="Q4391" s="352"/>
      <c r="R4391" s="352"/>
      <c r="S4391" s="352"/>
      <c r="T4391" s="352"/>
      <c r="U4391" s="352"/>
      <c r="V4391" s="352"/>
      <c r="W4391" s="352"/>
      <c r="X4391" s="352"/>
      <c r="Y4391" s="352"/>
      <c r="Z4391" s="352"/>
      <c r="AA4391" s="352"/>
      <c r="AB4391" s="352"/>
      <c r="AC4391" s="352"/>
      <c r="AD4391" s="352"/>
      <c r="AE4391" s="352"/>
      <c r="AF4391" s="352"/>
      <c r="AG4391" s="352"/>
      <c r="AH4391" s="352"/>
      <c r="AI4391" s="352"/>
      <c r="AJ4391" s="352"/>
    </row>
    <row r="4392" spans="2:36" x14ac:dyDescent="0.2">
      <c r="B4392" s="352"/>
      <c r="C4392" s="352"/>
      <c r="D4392" s="352"/>
      <c r="E4392" s="352"/>
      <c r="F4392" s="352"/>
      <c r="H4392" s="352"/>
      <c r="J4392" s="352"/>
      <c r="L4392" s="352"/>
      <c r="M4392" s="352"/>
      <c r="N4392" s="352"/>
      <c r="O4392" s="352"/>
      <c r="P4392" s="352"/>
      <c r="Q4392" s="352"/>
      <c r="R4392" s="352"/>
      <c r="S4392" s="352"/>
      <c r="T4392" s="352"/>
      <c r="U4392" s="352"/>
      <c r="V4392" s="352"/>
      <c r="W4392" s="352"/>
      <c r="X4392" s="352"/>
      <c r="Y4392" s="352"/>
      <c r="Z4392" s="352"/>
      <c r="AA4392" s="352"/>
      <c r="AB4392" s="352"/>
      <c r="AC4392" s="352"/>
      <c r="AD4392" s="352"/>
      <c r="AE4392" s="352"/>
      <c r="AF4392" s="352"/>
      <c r="AG4392" s="352"/>
      <c r="AH4392" s="352"/>
      <c r="AI4392" s="352"/>
      <c r="AJ4392" s="352"/>
    </row>
    <row r="4393" spans="2:36" x14ac:dyDescent="0.2">
      <c r="B4393" s="352"/>
      <c r="C4393" s="352"/>
      <c r="D4393" s="352"/>
      <c r="E4393" s="352"/>
      <c r="F4393" s="352"/>
      <c r="H4393" s="352"/>
      <c r="J4393" s="352"/>
      <c r="L4393" s="352"/>
      <c r="M4393" s="352"/>
      <c r="N4393" s="352"/>
      <c r="O4393" s="352"/>
      <c r="P4393" s="352"/>
      <c r="Q4393" s="352"/>
      <c r="R4393" s="352"/>
      <c r="S4393" s="352"/>
      <c r="T4393" s="352"/>
      <c r="U4393" s="352"/>
      <c r="V4393" s="352"/>
      <c r="W4393" s="352"/>
      <c r="X4393" s="352"/>
      <c r="Y4393" s="352"/>
      <c r="Z4393" s="352"/>
      <c r="AA4393" s="352"/>
      <c r="AB4393" s="352"/>
      <c r="AC4393" s="352"/>
      <c r="AD4393" s="352"/>
      <c r="AE4393" s="352"/>
      <c r="AF4393" s="352"/>
      <c r="AG4393" s="352"/>
      <c r="AH4393" s="352"/>
      <c r="AI4393" s="352"/>
      <c r="AJ4393" s="352"/>
    </row>
    <row r="4394" spans="2:36" x14ac:dyDescent="0.2">
      <c r="B4394" s="352"/>
      <c r="C4394" s="352"/>
      <c r="D4394" s="352"/>
      <c r="E4394" s="352"/>
      <c r="F4394" s="352"/>
      <c r="H4394" s="352"/>
      <c r="J4394" s="352"/>
      <c r="L4394" s="352"/>
      <c r="M4394" s="352"/>
      <c r="N4394" s="352"/>
      <c r="O4394" s="352"/>
      <c r="P4394" s="352"/>
      <c r="Q4394" s="352"/>
      <c r="R4394" s="352"/>
      <c r="S4394" s="352"/>
      <c r="T4394" s="352"/>
      <c r="U4394" s="352"/>
      <c r="V4394" s="352"/>
      <c r="W4394" s="352"/>
      <c r="X4394" s="352"/>
      <c r="Y4394" s="352"/>
      <c r="Z4394" s="352"/>
      <c r="AA4394" s="352"/>
      <c r="AB4394" s="352"/>
      <c r="AC4394" s="352"/>
      <c r="AD4394" s="352"/>
      <c r="AE4394" s="352"/>
      <c r="AF4394" s="352"/>
      <c r="AG4394" s="352"/>
      <c r="AH4394" s="352"/>
      <c r="AI4394" s="352"/>
      <c r="AJ4394" s="352"/>
    </row>
    <row r="4395" spans="2:36" x14ac:dyDescent="0.2">
      <c r="B4395" s="352"/>
      <c r="C4395" s="352"/>
      <c r="D4395" s="352"/>
      <c r="E4395" s="352"/>
      <c r="F4395" s="352"/>
      <c r="H4395" s="352"/>
      <c r="J4395" s="352"/>
      <c r="L4395" s="352"/>
      <c r="M4395" s="352"/>
      <c r="N4395" s="352"/>
      <c r="O4395" s="352"/>
      <c r="P4395" s="352"/>
      <c r="Q4395" s="352"/>
      <c r="R4395" s="352"/>
      <c r="S4395" s="352"/>
      <c r="T4395" s="352"/>
      <c r="U4395" s="352"/>
      <c r="V4395" s="352"/>
      <c r="W4395" s="352"/>
      <c r="X4395" s="352"/>
      <c r="Y4395" s="352"/>
      <c r="Z4395" s="352"/>
      <c r="AA4395" s="352"/>
      <c r="AB4395" s="352"/>
      <c r="AC4395" s="352"/>
      <c r="AD4395" s="352"/>
      <c r="AE4395" s="352"/>
      <c r="AF4395" s="352"/>
      <c r="AG4395" s="352"/>
      <c r="AH4395" s="352"/>
      <c r="AI4395" s="352"/>
      <c r="AJ4395" s="352"/>
    </row>
    <row r="4396" spans="2:36" x14ac:dyDescent="0.2">
      <c r="B4396" s="352"/>
      <c r="C4396" s="352"/>
      <c r="D4396" s="352"/>
      <c r="E4396" s="352"/>
      <c r="F4396" s="352"/>
      <c r="H4396" s="352"/>
      <c r="J4396" s="352"/>
      <c r="L4396" s="352"/>
      <c r="M4396" s="352"/>
      <c r="N4396" s="352"/>
      <c r="O4396" s="352"/>
      <c r="P4396" s="352"/>
      <c r="Q4396" s="352"/>
      <c r="R4396" s="352"/>
      <c r="S4396" s="352"/>
      <c r="T4396" s="352"/>
      <c r="U4396" s="352"/>
      <c r="V4396" s="352"/>
      <c r="W4396" s="352"/>
      <c r="X4396" s="352"/>
      <c r="Y4396" s="352"/>
      <c r="Z4396" s="352"/>
      <c r="AA4396" s="352"/>
      <c r="AB4396" s="352"/>
      <c r="AC4396" s="352"/>
      <c r="AD4396" s="352"/>
      <c r="AE4396" s="352"/>
      <c r="AF4396" s="352"/>
      <c r="AG4396" s="352"/>
      <c r="AH4396" s="352"/>
      <c r="AI4396" s="352"/>
      <c r="AJ4396" s="352"/>
    </row>
    <row r="4397" spans="2:36" x14ac:dyDescent="0.2">
      <c r="B4397" s="352"/>
      <c r="C4397" s="352"/>
      <c r="D4397" s="352"/>
      <c r="E4397" s="352"/>
      <c r="F4397" s="352"/>
      <c r="H4397" s="352"/>
      <c r="J4397" s="352"/>
      <c r="L4397" s="352"/>
      <c r="M4397" s="352"/>
      <c r="N4397" s="352"/>
      <c r="O4397" s="352"/>
      <c r="P4397" s="352"/>
      <c r="Q4397" s="352"/>
      <c r="R4397" s="352"/>
      <c r="S4397" s="352"/>
      <c r="T4397" s="352"/>
      <c r="U4397" s="352"/>
      <c r="V4397" s="352"/>
      <c r="W4397" s="352"/>
      <c r="X4397" s="352"/>
      <c r="Y4397" s="352"/>
      <c r="Z4397" s="352"/>
      <c r="AA4397" s="352"/>
      <c r="AB4397" s="352"/>
      <c r="AC4397" s="352"/>
      <c r="AD4397" s="352"/>
      <c r="AE4397" s="352"/>
      <c r="AF4397" s="352"/>
      <c r="AG4397" s="352"/>
      <c r="AH4397" s="352"/>
      <c r="AI4397" s="352"/>
      <c r="AJ4397" s="352"/>
    </row>
    <row r="4398" spans="2:36" x14ac:dyDescent="0.2">
      <c r="B4398" s="352"/>
      <c r="C4398" s="352"/>
      <c r="D4398" s="352"/>
      <c r="E4398" s="352"/>
      <c r="F4398" s="352"/>
      <c r="H4398" s="352"/>
      <c r="J4398" s="352"/>
      <c r="L4398" s="352"/>
      <c r="M4398" s="352"/>
      <c r="N4398" s="352"/>
      <c r="O4398" s="352"/>
      <c r="P4398" s="352"/>
      <c r="Q4398" s="352"/>
      <c r="R4398" s="352"/>
      <c r="S4398" s="352"/>
      <c r="T4398" s="352"/>
      <c r="U4398" s="352"/>
      <c r="V4398" s="352"/>
      <c r="W4398" s="352"/>
      <c r="X4398" s="352"/>
      <c r="Y4398" s="352"/>
      <c r="Z4398" s="352"/>
      <c r="AA4398" s="352"/>
      <c r="AB4398" s="352"/>
      <c r="AC4398" s="352"/>
      <c r="AD4398" s="352"/>
      <c r="AE4398" s="352"/>
      <c r="AF4398" s="352"/>
      <c r="AG4398" s="352"/>
      <c r="AH4398" s="352"/>
      <c r="AI4398" s="352"/>
      <c r="AJ4398" s="352"/>
    </row>
    <row r="4399" spans="2:36" x14ac:dyDescent="0.2">
      <c r="B4399" s="352"/>
      <c r="C4399" s="352"/>
      <c r="D4399" s="352"/>
      <c r="E4399" s="352"/>
      <c r="F4399" s="352"/>
      <c r="H4399" s="352"/>
      <c r="J4399" s="352"/>
      <c r="L4399" s="352"/>
      <c r="M4399" s="352"/>
      <c r="N4399" s="352"/>
      <c r="O4399" s="352"/>
      <c r="P4399" s="352"/>
      <c r="Q4399" s="352"/>
      <c r="R4399" s="352"/>
      <c r="S4399" s="352"/>
      <c r="T4399" s="352"/>
      <c r="U4399" s="352"/>
      <c r="V4399" s="352"/>
      <c r="W4399" s="352"/>
      <c r="X4399" s="352"/>
      <c r="Y4399" s="352"/>
      <c r="Z4399" s="352"/>
      <c r="AA4399" s="352"/>
      <c r="AB4399" s="352"/>
      <c r="AC4399" s="352"/>
      <c r="AD4399" s="352"/>
      <c r="AE4399" s="352"/>
      <c r="AF4399" s="352"/>
      <c r="AG4399" s="352"/>
      <c r="AH4399" s="352"/>
      <c r="AI4399" s="352"/>
      <c r="AJ4399" s="352"/>
    </row>
    <row r="4400" spans="2:36" x14ac:dyDescent="0.2">
      <c r="B4400" s="352"/>
      <c r="C4400" s="352"/>
      <c r="D4400" s="352"/>
      <c r="E4400" s="352"/>
      <c r="F4400" s="352"/>
      <c r="H4400" s="352"/>
      <c r="J4400" s="352"/>
      <c r="L4400" s="352"/>
      <c r="M4400" s="352"/>
      <c r="N4400" s="352"/>
      <c r="O4400" s="352"/>
      <c r="P4400" s="352"/>
      <c r="Q4400" s="352"/>
      <c r="R4400" s="352"/>
      <c r="S4400" s="352"/>
      <c r="T4400" s="352"/>
      <c r="U4400" s="352"/>
      <c r="V4400" s="352"/>
      <c r="W4400" s="352"/>
      <c r="X4400" s="352"/>
      <c r="Y4400" s="352"/>
      <c r="Z4400" s="352"/>
      <c r="AA4400" s="352"/>
      <c r="AB4400" s="352"/>
      <c r="AC4400" s="352"/>
      <c r="AD4400" s="352"/>
      <c r="AE4400" s="352"/>
      <c r="AF4400" s="352"/>
      <c r="AG4400" s="352"/>
      <c r="AH4400" s="352"/>
      <c r="AI4400" s="352"/>
      <c r="AJ4400" s="352"/>
    </row>
    <row r="4401" spans="2:36" x14ac:dyDescent="0.2">
      <c r="B4401" s="352"/>
      <c r="C4401" s="352"/>
      <c r="D4401" s="352"/>
      <c r="E4401" s="352"/>
      <c r="F4401" s="352"/>
      <c r="H4401" s="352"/>
      <c r="J4401" s="352"/>
      <c r="L4401" s="352"/>
      <c r="M4401" s="352"/>
      <c r="N4401" s="352"/>
      <c r="O4401" s="352"/>
      <c r="P4401" s="352"/>
      <c r="Q4401" s="352"/>
      <c r="R4401" s="352"/>
      <c r="S4401" s="352"/>
      <c r="T4401" s="352"/>
      <c r="U4401" s="352"/>
      <c r="V4401" s="352"/>
      <c r="W4401" s="352"/>
      <c r="X4401" s="352"/>
      <c r="Y4401" s="352"/>
      <c r="Z4401" s="352"/>
      <c r="AA4401" s="352"/>
      <c r="AB4401" s="352"/>
      <c r="AC4401" s="352"/>
      <c r="AD4401" s="352"/>
      <c r="AE4401" s="352"/>
      <c r="AF4401" s="352"/>
      <c r="AG4401" s="352"/>
      <c r="AH4401" s="352"/>
      <c r="AI4401" s="352"/>
      <c r="AJ4401" s="352"/>
    </row>
    <row r="4402" spans="2:36" x14ac:dyDescent="0.2">
      <c r="B4402" s="352"/>
      <c r="C4402" s="352"/>
      <c r="D4402" s="352"/>
      <c r="E4402" s="352"/>
      <c r="F4402" s="352"/>
      <c r="H4402" s="352"/>
      <c r="J4402" s="352"/>
      <c r="L4402" s="352"/>
      <c r="M4402" s="352"/>
      <c r="N4402" s="352"/>
      <c r="O4402" s="352"/>
      <c r="P4402" s="352"/>
      <c r="Q4402" s="352"/>
      <c r="R4402" s="352"/>
      <c r="S4402" s="352"/>
      <c r="T4402" s="352"/>
      <c r="U4402" s="352"/>
      <c r="V4402" s="352"/>
      <c r="W4402" s="352"/>
      <c r="X4402" s="352"/>
      <c r="Y4402" s="352"/>
      <c r="Z4402" s="352"/>
      <c r="AA4402" s="352"/>
      <c r="AB4402" s="352"/>
      <c r="AC4402" s="352"/>
      <c r="AD4402" s="352"/>
      <c r="AE4402" s="352"/>
      <c r="AF4402" s="352"/>
      <c r="AG4402" s="352"/>
      <c r="AH4402" s="352"/>
      <c r="AI4402" s="352"/>
      <c r="AJ4402" s="352"/>
    </row>
    <row r="4403" spans="2:36" x14ac:dyDescent="0.2">
      <c r="B4403" s="352"/>
      <c r="C4403" s="352"/>
      <c r="D4403" s="352"/>
      <c r="E4403" s="352"/>
      <c r="F4403" s="352"/>
      <c r="H4403" s="352"/>
      <c r="J4403" s="352"/>
      <c r="L4403" s="352"/>
      <c r="M4403" s="352"/>
      <c r="N4403" s="352"/>
      <c r="O4403" s="352"/>
      <c r="P4403" s="352"/>
      <c r="Q4403" s="352"/>
      <c r="R4403" s="352"/>
      <c r="S4403" s="352"/>
      <c r="T4403" s="352"/>
      <c r="U4403" s="352"/>
      <c r="V4403" s="352"/>
      <c r="W4403" s="352"/>
      <c r="X4403" s="352"/>
      <c r="Y4403" s="352"/>
      <c r="Z4403" s="352"/>
      <c r="AA4403" s="352"/>
      <c r="AB4403" s="352"/>
      <c r="AC4403" s="352"/>
      <c r="AD4403" s="352"/>
      <c r="AE4403" s="352"/>
      <c r="AF4403" s="352"/>
      <c r="AG4403" s="352"/>
      <c r="AH4403" s="352"/>
      <c r="AI4403" s="352"/>
      <c r="AJ4403" s="352"/>
    </row>
    <row r="4404" spans="2:36" x14ac:dyDescent="0.2">
      <c r="B4404" s="352"/>
      <c r="C4404" s="352"/>
      <c r="D4404" s="352"/>
      <c r="E4404" s="352"/>
      <c r="F4404" s="352"/>
      <c r="H4404" s="352"/>
      <c r="J4404" s="352"/>
      <c r="L4404" s="352"/>
      <c r="M4404" s="352"/>
      <c r="N4404" s="352"/>
      <c r="O4404" s="352"/>
      <c r="P4404" s="352"/>
      <c r="Q4404" s="352"/>
      <c r="R4404" s="352"/>
      <c r="S4404" s="352"/>
      <c r="T4404" s="352"/>
      <c r="U4404" s="352"/>
      <c r="V4404" s="352"/>
      <c r="W4404" s="352"/>
      <c r="X4404" s="352"/>
      <c r="Y4404" s="352"/>
      <c r="Z4404" s="352"/>
      <c r="AA4404" s="352"/>
      <c r="AB4404" s="352"/>
      <c r="AC4404" s="352"/>
      <c r="AD4404" s="352"/>
      <c r="AE4404" s="352"/>
      <c r="AF4404" s="352"/>
      <c r="AG4404" s="352"/>
      <c r="AH4404" s="352"/>
      <c r="AI4404" s="352"/>
      <c r="AJ4404" s="352"/>
    </row>
    <row r="4405" spans="2:36" x14ac:dyDescent="0.2">
      <c r="B4405" s="352"/>
      <c r="C4405" s="352"/>
      <c r="D4405" s="352"/>
      <c r="E4405" s="352"/>
      <c r="F4405" s="352"/>
      <c r="H4405" s="352"/>
      <c r="J4405" s="352"/>
      <c r="L4405" s="352"/>
      <c r="M4405" s="352"/>
      <c r="N4405" s="352"/>
      <c r="O4405" s="352"/>
      <c r="P4405" s="352"/>
      <c r="Q4405" s="352"/>
      <c r="R4405" s="352"/>
      <c r="S4405" s="352"/>
      <c r="T4405" s="352"/>
      <c r="U4405" s="352"/>
      <c r="V4405" s="352"/>
      <c r="W4405" s="352"/>
      <c r="X4405" s="352"/>
      <c r="Y4405" s="352"/>
      <c r="Z4405" s="352"/>
      <c r="AA4405" s="352"/>
      <c r="AB4405" s="352"/>
      <c r="AC4405" s="352"/>
      <c r="AD4405" s="352"/>
      <c r="AE4405" s="352"/>
      <c r="AF4405" s="352"/>
      <c r="AG4405" s="352"/>
      <c r="AH4405" s="352"/>
      <c r="AI4405" s="352"/>
      <c r="AJ4405" s="352"/>
    </row>
    <row r="4406" spans="2:36" x14ac:dyDescent="0.2">
      <c r="B4406" s="352"/>
      <c r="C4406" s="352"/>
      <c r="D4406" s="352"/>
      <c r="E4406" s="352"/>
      <c r="F4406" s="352"/>
      <c r="H4406" s="352"/>
      <c r="J4406" s="352"/>
      <c r="L4406" s="352"/>
      <c r="M4406" s="352"/>
      <c r="N4406" s="352"/>
      <c r="O4406" s="352"/>
      <c r="P4406" s="352"/>
      <c r="Q4406" s="352"/>
      <c r="R4406" s="352"/>
      <c r="S4406" s="352"/>
      <c r="T4406" s="352"/>
      <c r="U4406" s="352"/>
      <c r="V4406" s="352"/>
      <c r="W4406" s="352"/>
      <c r="X4406" s="352"/>
      <c r="Y4406" s="352"/>
      <c r="Z4406" s="352"/>
      <c r="AA4406" s="352"/>
      <c r="AB4406" s="352"/>
      <c r="AC4406" s="352"/>
      <c r="AD4406" s="352"/>
      <c r="AE4406" s="352"/>
      <c r="AF4406" s="352"/>
      <c r="AG4406" s="352"/>
      <c r="AH4406" s="352"/>
      <c r="AI4406" s="352"/>
      <c r="AJ4406" s="352"/>
    </row>
    <row r="4407" spans="2:36" x14ac:dyDescent="0.2">
      <c r="B4407" s="352"/>
      <c r="C4407" s="352"/>
      <c r="D4407" s="352"/>
      <c r="E4407" s="352"/>
      <c r="F4407" s="352"/>
      <c r="H4407" s="352"/>
      <c r="J4407" s="352"/>
      <c r="L4407" s="352"/>
      <c r="M4407" s="352"/>
      <c r="N4407" s="352"/>
      <c r="O4407" s="352"/>
      <c r="P4407" s="352"/>
      <c r="Q4407" s="352"/>
      <c r="R4407" s="352"/>
      <c r="S4407" s="352"/>
      <c r="T4407" s="352"/>
      <c r="U4407" s="352"/>
      <c r="V4407" s="352"/>
      <c r="W4407" s="352"/>
      <c r="X4407" s="352"/>
      <c r="Y4407" s="352"/>
      <c r="Z4407" s="352"/>
      <c r="AA4407" s="352"/>
      <c r="AB4407" s="352"/>
      <c r="AC4407" s="352"/>
      <c r="AD4407" s="352"/>
      <c r="AE4407" s="352"/>
      <c r="AF4407" s="352"/>
      <c r="AG4407" s="352"/>
      <c r="AH4407" s="352"/>
      <c r="AI4407" s="352"/>
      <c r="AJ4407" s="352"/>
    </row>
    <row r="4408" spans="2:36" x14ac:dyDescent="0.2">
      <c r="B4408" s="352"/>
      <c r="C4408" s="352"/>
      <c r="D4408" s="352"/>
      <c r="E4408" s="352"/>
      <c r="F4408" s="352"/>
      <c r="H4408" s="352"/>
      <c r="J4408" s="352"/>
      <c r="L4408" s="352"/>
      <c r="M4408" s="352"/>
      <c r="N4408" s="352"/>
      <c r="O4408" s="352"/>
      <c r="P4408" s="352"/>
      <c r="Q4408" s="352"/>
      <c r="R4408" s="352"/>
      <c r="S4408" s="352"/>
      <c r="T4408" s="352"/>
      <c r="U4408" s="352"/>
      <c r="V4408" s="352"/>
      <c r="W4408" s="352"/>
      <c r="X4408" s="352"/>
      <c r="Y4408" s="352"/>
      <c r="Z4408" s="352"/>
      <c r="AA4408" s="352"/>
      <c r="AB4408" s="352"/>
      <c r="AC4408" s="352"/>
      <c r="AD4408" s="352"/>
      <c r="AE4408" s="352"/>
      <c r="AF4408" s="352"/>
      <c r="AG4408" s="352"/>
      <c r="AH4408" s="352"/>
      <c r="AI4408" s="352"/>
      <c r="AJ4408" s="352"/>
    </row>
    <row r="4409" spans="2:36" x14ac:dyDescent="0.2">
      <c r="B4409" s="352"/>
      <c r="C4409" s="352"/>
      <c r="D4409" s="352"/>
      <c r="E4409" s="352"/>
      <c r="F4409" s="352"/>
      <c r="H4409" s="352"/>
      <c r="J4409" s="352"/>
      <c r="L4409" s="352"/>
      <c r="M4409" s="352"/>
      <c r="N4409" s="352"/>
      <c r="O4409" s="352"/>
      <c r="P4409" s="352"/>
      <c r="Q4409" s="352"/>
      <c r="R4409" s="352"/>
      <c r="S4409" s="352"/>
      <c r="T4409" s="352"/>
      <c r="U4409" s="352"/>
      <c r="V4409" s="352"/>
      <c r="W4409" s="352"/>
      <c r="X4409" s="352"/>
      <c r="Y4409" s="352"/>
      <c r="Z4409" s="352"/>
      <c r="AA4409" s="352"/>
      <c r="AB4409" s="352"/>
      <c r="AC4409" s="352"/>
      <c r="AD4409" s="352"/>
      <c r="AE4409" s="352"/>
      <c r="AF4409" s="352"/>
      <c r="AG4409" s="352"/>
      <c r="AH4409" s="352"/>
      <c r="AI4409" s="352"/>
      <c r="AJ4409" s="352"/>
    </row>
    <row r="4410" spans="2:36" x14ac:dyDescent="0.2">
      <c r="B4410" s="352"/>
      <c r="C4410" s="352"/>
      <c r="D4410" s="352"/>
      <c r="E4410" s="352"/>
      <c r="F4410" s="352"/>
      <c r="H4410" s="352"/>
      <c r="J4410" s="352"/>
      <c r="L4410" s="352"/>
      <c r="M4410" s="352"/>
      <c r="N4410" s="352"/>
      <c r="O4410" s="352"/>
      <c r="P4410" s="352"/>
      <c r="Q4410" s="352"/>
      <c r="R4410" s="352"/>
      <c r="S4410" s="352"/>
      <c r="T4410" s="352"/>
      <c r="U4410" s="352"/>
      <c r="V4410" s="352"/>
      <c r="W4410" s="352"/>
      <c r="X4410" s="352"/>
      <c r="Y4410" s="352"/>
      <c r="Z4410" s="352"/>
      <c r="AA4410" s="352"/>
      <c r="AB4410" s="352"/>
      <c r="AC4410" s="352"/>
      <c r="AD4410" s="352"/>
      <c r="AE4410" s="352"/>
      <c r="AF4410" s="352"/>
      <c r="AG4410" s="352"/>
      <c r="AH4410" s="352"/>
      <c r="AI4410" s="352"/>
      <c r="AJ4410" s="352"/>
    </row>
    <row r="4411" spans="2:36" x14ac:dyDescent="0.2">
      <c r="B4411" s="352"/>
      <c r="C4411" s="352"/>
      <c r="D4411" s="352"/>
      <c r="E4411" s="352"/>
      <c r="F4411" s="352"/>
      <c r="H4411" s="352"/>
      <c r="J4411" s="352"/>
      <c r="L4411" s="352"/>
      <c r="M4411" s="352"/>
      <c r="N4411" s="352"/>
      <c r="O4411" s="352"/>
      <c r="P4411" s="352"/>
      <c r="Q4411" s="352"/>
      <c r="R4411" s="352"/>
      <c r="S4411" s="352"/>
      <c r="T4411" s="352"/>
      <c r="U4411" s="352"/>
      <c r="V4411" s="352"/>
      <c r="W4411" s="352"/>
      <c r="X4411" s="352"/>
      <c r="Y4411" s="352"/>
      <c r="Z4411" s="352"/>
      <c r="AA4411" s="352"/>
      <c r="AB4411" s="352"/>
      <c r="AC4411" s="352"/>
      <c r="AD4411" s="352"/>
      <c r="AE4411" s="352"/>
      <c r="AF4411" s="352"/>
      <c r="AG4411" s="352"/>
      <c r="AH4411" s="352"/>
      <c r="AI4411" s="352"/>
      <c r="AJ4411" s="352"/>
    </row>
    <row r="4412" spans="2:36" x14ac:dyDescent="0.2">
      <c r="B4412" s="352"/>
      <c r="C4412" s="352"/>
      <c r="D4412" s="352"/>
      <c r="E4412" s="352"/>
      <c r="F4412" s="352"/>
      <c r="H4412" s="352"/>
      <c r="J4412" s="352"/>
      <c r="L4412" s="352"/>
      <c r="M4412" s="352"/>
      <c r="N4412" s="352"/>
      <c r="O4412" s="352"/>
      <c r="P4412" s="352"/>
      <c r="Q4412" s="352"/>
      <c r="R4412" s="352"/>
      <c r="S4412" s="352"/>
      <c r="T4412" s="352"/>
      <c r="U4412" s="352"/>
      <c r="V4412" s="352"/>
      <c r="W4412" s="352"/>
      <c r="X4412" s="352"/>
      <c r="Y4412" s="352"/>
      <c r="Z4412" s="352"/>
      <c r="AA4412" s="352"/>
      <c r="AB4412" s="352"/>
      <c r="AC4412" s="352"/>
      <c r="AD4412" s="352"/>
      <c r="AE4412" s="352"/>
      <c r="AF4412" s="352"/>
      <c r="AG4412" s="352"/>
      <c r="AH4412" s="352"/>
      <c r="AI4412" s="352"/>
      <c r="AJ4412" s="352"/>
    </row>
    <row r="4413" spans="2:36" x14ac:dyDescent="0.2">
      <c r="B4413" s="352"/>
      <c r="C4413" s="352"/>
      <c r="D4413" s="352"/>
      <c r="E4413" s="352"/>
      <c r="F4413" s="352"/>
      <c r="H4413" s="352"/>
      <c r="J4413" s="352"/>
      <c r="L4413" s="352"/>
      <c r="M4413" s="352"/>
      <c r="N4413" s="352"/>
      <c r="O4413" s="352"/>
      <c r="P4413" s="352"/>
      <c r="Q4413" s="352"/>
      <c r="R4413" s="352"/>
      <c r="S4413" s="352"/>
      <c r="T4413" s="352"/>
      <c r="U4413" s="352"/>
      <c r="V4413" s="352"/>
      <c r="W4413" s="352"/>
      <c r="X4413" s="352"/>
      <c r="Y4413" s="352"/>
      <c r="Z4413" s="352"/>
      <c r="AA4413" s="352"/>
      <c r="AB4413" s="352"/>
      <c r="AC4413" s="352"/>
      <c r="AD4413" s="352"/>
      <c r="AE4413" s="352"/>
      <c r="AF4413" s="352"/>
      <c r="AG4413" s="352"/>
      <c r="AH4413" s="352"/>
      <c r="AI4413" s="352"/>
      <c r="AJ4413" s="352"/>
    </row>
    <row r="4414" spans="2:36" x14ac:dyDescent="0.2">
      <c r="B4414" s="352"/>
      <c r="C4414" s="352"/>
      <c r="D4414" s="352"/>
      <c r="E4414" s="352"/>
      <c r="F4414" s="352"/>
      <c r="H4414" s="352"/>
      <c r="J4414" s="352"/>
      <c r="L4414" s="352"/>
      <c r="M4414" s="352"/>
      <c r="N4414" s="352"/>
      <c r="O4414" s="352"/>
      <c r="P4414" s="352"/>
      <c r="Q4414" s="352"/>
      <c r="R4414" s="352"/>
      <c r="S4414" s="352"/>
      <c r="T4414" s="352"/>
      <c r="U4414" s="352"/>
      <c r="V4414" s="352"/>
      <c r="W4414" s="352"/>
      <c r="X4414" s="352"/>
      <c r="Y4414" s="352"/>
      <c r="Z4414" s="352"/>
      <c r="AA4414" s="352"/>
      <c r="AB4414" s="352"/>
      <c r="AC4414" s="352"/>
      <c r="AD4414" s="352"/>
      <c r="AE4414" s="352"/>
      <c r="AF4414" s="352"/>
      <c r="AG4414" s="352"/>
      <c r="AH4414" s="352"/>
      <c r="AI4414" s="352"/>
      <c r="AJ4414" s="352"/>
    </row>
    <row r="4415" spans="2:36" x14ac:dyDescent="0.2">
      <c r="B4415" s="352"/>
      <c r="C4415" s="352"/>
      <c r="D4415" s="352"/>
      <c r="E4415" s="352"/>
      <c r="F4415" s="352"/>
      <c r="H4415" s="352"/>
      <c r="J4415" s="352"/>
      <c r="L4415" s="352"/>
      <c r="M4415" s="352"/>
      <c r="N4415" s="352"/>
      <c r="O4415" s="352"/>
      <c r="P4415" s="352"/>
      <c r="Q4415" s="352"/>
      <c r="R4415" s="352"/>
      <c r="S4415" s="352"/>
      <c r="T4415" s="352"/>
      <c r="U4415" s="352"/>
      <c r="V4415" s="352"/>
      <c r="W4415" s="352"/>
      <c r="X4415" s="352"/>
      <c r="Y4415" s="352"/>
      <c r="Z4415" s="352"/>
      <c r="AA4415" s="352"/>
      <c r="AB4415" s="352"/>
      <c r="AC4415" s="352"/>
      <c r="AD4415" s="352"/>
      <c r="AE4415" s="352"/>
      <c r="AF4415" s="352"/>
      <c r="AG4415" s="352"/>
      <c r="AH4415" s="352"/>
      <c r="AI4415" s="352"/>
      <c r="AJ4415" s="352"/>
    </row>
    <row r="4416" spans="2:36" x14ac:dyDescent="0.2">
      <c r="B4416" s="352"/>
      <c r="C4416" s="352"/>
      <c r="D4416" s="352"/>
      <c r="E4416" s="352"/>
      <c r="F4416" s="352"/>
      <c r="H4416" s="352"/>
      <c r="J4416" s="352"/>
      <c r="L4416" s="352"/>
      <c r="M4416" s="352"/>
      <c r="N4416" s="352"/>
      <c r="O4416" s="352"/>
      <c r="P4416" s="352"/>
      <c r="Q4416" s="352"/>
      <c r="R4416" s="352"/>
      <c r="S4416" s="352"/>
      <c r="T4416" s="352"/>
      <c r="U4416" s="352"/>
      <c r="V4416" s="352"/>
      <c r="W4416" s="352"/>
      <c r="X4416" s="352"/>
      <c r="Y4416" s="352"/>
      <c r="Z4416" s="352"/>
      <c r="AA4416" s="352"/>
      <c r="AB4416" s="352"/>
      <c r="AC4416" s="352"/>
      <c r="AD4416" s="352"/>
      <c r="AE4416" s="352"/>
      <c r="AF4416" s="352"/>
      <c r="AG4416" s="352"/>
      <c r="AH4416" s="352"/>
      <c r="AI4416" s="352"/>
      <c r="AJ4416" s="352"/>
    </row>
    <row r="4417" spans="2:36" x14ac:dyDescent="0.2">
      <c r="B4417" s="352"/>
      <c r="C4417" s="352"/>
      <c r="D4417" s="352"/>
      <c r="E4417" s="352"/>
      <c r="F4417" s="352"/>
      <c r="H4417" s="352"/>
      <c r="J4417" s="352"/>
      <c r="L4417" s="352"/>
      <c r="M4417" s="352"/>
      <c r="N4417" s="352"/>
      <c r="O4417" s="352"/>
      <c r="P4417" s="352"/>
      <c r="Q4417" s="352"/>
      <c r="R4417" s="352"/>
      <c r="S4417" s="352"/>
      <c r="T4417" s="352"/>
      <c r="U4417" s="352"/>
      <c r="V4417" s="352"/>
      <c r="W4417" s="352"/>
      <c r="X4417" s="352"/>
      <c r="Y4417" s="352"/>
      <c r="Z4417" s="352"/>
      <c r="AA4417" s="352"/>
      <c r="AB4417" s="352"/>
      <c r="AC4417" s="352"/>
      <c r="AD4417" s="352"/>
      <c r="AE4417" s="352"/>
      <c r="AF4417" s="352"/>
      <c r="AG4417" s="352"/>
      <c r="AH4417" s="352"/>
      <c r="AI4417" s="352"/>
      <c r="AJ4417" s="352"/>
    </row>
    <row r="4418" spans="2:36" x14ac:dyDescent="0.2">
      <c r="B4418" s="352"/>
      <c r="C4418" s="352"/>
      <c r="D4418" s="352"/>
      <c r="E4418" s="352"/>
      <c r="F4418" s="352"/>
      <c r="H4418" s="352"/>
      <c r="J4418" s="352"/>
      <c r="L4418" s="352"/>
      <c r="M4418" s="352"/>
      <c r="N4418" s="352"/>
      <c r="O4418" s="352"/>
      <c r="P4418" s="352"/>
      <c r="Q4418" s="352"/>
      <c r="R4418" s="352"/>
      <c r="S4418" s="352"/>
      <c r="T4418" s="352"/>
      <c r="U4418" s="352"/>
      <c r="V4418" s="352"/>
      <c r="W4418" s="352"/>
      <c r="X4418" s="352"/>
      <c r="Y4418" s="352"/>
      <c r="Z4418" s="352"/>
      <c r="AA4418" s="352"/>
      <c r="AB4418" s="352"/>
      <c r="AC4418" s="352"/>
      <c r="AD4418" s="352"/>
      <c r="AE4418" s="352"/>
      <c r="AF4418" s="352"/>
      <c r="AG4418" s="352"/>
      <c r="AH4418" s="352"/>
      <c r="AI4418" s="352"/>
      <c r="AJ4418" s="352"/>
    </row>
    <row r="4419" spans="2:36" x14ac:dyDescent="0.2">
      <c r="B4419" s="352"/>
      <c r="C4419" s="352"/>
      <c r="D4419" s="352"/>
      <c r="E4419" s="352"/>
      <c r="F4419" s="352"/>
      <c r="H4419" s="352"/>
      <c r="J4419" s="352"/>
      <c r="L4419" s="352"/>
      <c r="M4419" s="352"/>
      <c r="N4419" s="352"/>
      <c r="O4419" s="352"/>
      <c r="P4419" s="352"/>
      <c r="Q4419" s="352"/>
      <c r="R4419" s="352"/>
      <c r="S4419" s="352"/>
      <c r="T4419" s="352"/>
      <c r="U4419" s="352"/>
      <c r="V4419" s="352"/>
      <c r="W4419" s="352"/>
      <c r="X4419" s="352"/>
      <c r="Y4419" s="352"/>
      <c r="Z4419" s="352"/>
      <c r="AA4419" s="352"/>
      <c r="AB4419" s="352"/>
      <c r="AC4419" s="352"/>
      <c r="AD4419" s="352"/>
      <c r="AE4419" s="352"/>
      <c r="AF4419" s="352"/>
      <c r="AG4419" s="352"/>
      <c r="AH4419" s="352"/>
      <c r="AI4419" s="352"/>
      <c r="AJ4419" s="352"/>
    </row>
    <row r="4420" spans="2:36" x14ac:dyDescent="0.2">
      <c r="B4420" s="352"/>
      <c r="C4420" s="352"/>
      <c r="D4420" s="352"/>
      <c r="E4420" s="352"/>
      <c r="F4420" s="352"/>
      <c r="H4420" s="352"/>
      <c r="J4420" s="352"/>
      <c r="L4420" s="352"/>
      <c r="M4420" s="352"/>
      <c r="N4420" s="352"/>
      <c r="O4420" s="352"/>
      <c r="P4420" s="352"/>
      <c r="Q4420" s="352"/>
      <c r="R4420" s="352"/>
      <c r="S4420" s="352"/>
      <c r="T4420" s="352"/>
      <c r="U4420" s="352"/>
      <c r="V4420" s="352"/>
      <c r="W4420" s="352"/>
      <c r="X4420" s="352"/>
      <c r="Y4420" s="352"/>
      <c r="Z4420" s="352"/>
      <c r="AA4420" s="352"/>
      <c r="AB4420" s="352"/>
      <c r="AC4420" s="352"/>
      <c r="AD4420" s="352"/>
      <c r="AE4420" s="352"/>
      <c r="AF4420" s="352"/>
      <c r="AG4420" s="352"/>
      <c r="AH4420" s="352"/>
      <c r="AI4420" s="352"/>
      <c r="AJ4420" s="352"/>
    </row>
    <row r="4421" spans="2:36" x14ac:dyDescent="0.2">
      <c r="B4421" s="352"/>
      <c r="C4421" s="352"/>
      <c r="D4421" s="352"/>
      <c r="E4421" s="352"/>
      <c r="F4421" s="352"/>
      <c r="H4421" s="352"/>
      <c r="J4421" s="352"/>
      <c r="L4421" s="352"/>
      <c r="M4421" s="352"/>
      <c r="N4421" s="352"/>
      <c r="O4421" s="352"/>
      <c r="P4421" s="352"/>
      <c r="Q4421" s="352"/>
      <c r="R4421" s="352"/>
      <c r="S4421" s="352"/>
      <c r="T4421" s="352"/>
      <c r="U4421" s="352"/>
      <c r="V4421" s="352"/>
      <c r="W4421" s="352"/>
      <c r="X4421" s="352"/>
      <c r="Y4421" s="352"/>
      <c r="Z4421" s="352"/>
      <c r="AA4421" s="352"/>
      <c r="AB4421" s="352"/>
      <c r="AC4421" s="352"/>
      <c r="AD4421" s="352"/>
      <c r="AE4421" s="352"/>
      <c r="AF4421" s="352"/>
      <c r="AG4421" s="352"/>
      <c r="AH4421" s="352"/>
      <c r="AI4421" s="352"/>
      <c r="AJ4421" s="352"/>
    </row>
    <row r="4422" spans="2:36" x14ac:dyDescent="0.2">
      <c r="B4422" s="352"/>
      <c r="C4422" s="352"/>
      <c r="D4422" s="352"/>
      <c r="E4422" s="352"/>
      <c r="F4422" s="352"/>
      <c r="H4422" s="352"/>
      <c r="J4422" s="352"/>
      <c r="L4422" s="352"/>
      <c r="M4422" s="352"/>
      <c r="N4422" s="352"/>
      <c r="O4422" s="352"/>
      <c r="P4422" s="352"/>
      <c r="Q4422" s="352"/>
      <c r="R4422" s="352"/>
      <c r="S4422" s="352"/>
      <c r="T4422" s="352"/>
      <c r="U4422" s="352"/>
      <c r="V4422" s="352"/>
      <c r="W4422" s="352"/>
      <c r="X4422" s="352"/>
      <c r="Y4422" s="352"/>
      <c r="Z4422" s="352"/>
      <c r="AA4422" s="352"/>
      <c r="AB4422" s="352"/>
      <c r="AC4422" s="352"/>
      <c r="AD4422" s="352"/>
      <c r="AE4422" s="352"/>
      <c r="AF4422" s="352"/>
      <c r="AG4422" s="352"/>
      <c r="AH4422" s="352"/>
      <c r="AI4422" s="352"/>
      <c r="AJ4422" s="352"/>
    </row>
    <row r="4423" spans="2:36" x14ac:dyDescent="0.2">
      <c r="B4423" s="352"/>
      <c r="C4423" s="352"/>
      <c r="D4423" s="352"/>
      <c r="E4423" s="352"/>
      <c r="F4423" s="352"/>
      <c r="H4423" s="352"/>
      <c r="J4423" s="352"/>
      <c r="L4423" s="352"/>
      <c r="M4423" s="352"/>
      <c r="N4423" s="352"/>
      <c r="O4423" s="352"/>
      <c r="P4423" s="352"/>
      <c r="Q4423" s="352"/>
      <c r="R4423" s="352"/>
      <c r="S4423" s="352"/>
      <c r="T4423" s="352"/>
      <c r="U4423" s="352"/>
      <c r="V4423" s="352"/>
      <c r="W4423" s="352"/>
      <c r="X4423" s="352"/>
      <c r="Y4423" s="352"/>
      <c r="Z4423" s="352"/>
      <c r="AA4423" s="352"/>
      <c r="AB4423" s="352"/>
      <c r="AC4423" s="352"/>
      <c r="AD4423" s="352"/>
      <c r="AE4423" s="352"/>
      <c r="AF4423" s="352"/>
      <c r="AG4423" s="352"/>
      <c r="AH4423" s="352"/>
      <c r="AI4423" s="352"/>
      <c r="AJ4423" s="352"/>
    </row>
    <row r="4424" spans="2:36" x14ac:dyDescent="0.2">
      <c r="B4424" s="352"/>
      <c r="C4424" s="352"/>
      <c r="D4424" s="352"/>
      <c r="E4424" s="352"/>
      <c r="F4424" s="352"/>
      <c r="H4424" s="352"/>
      <c r="J4424" s="352"/>
      <c r="L4424" s="352"/>
      <c r="M4424" s="352"/>
      <c r="N4424" s="352"/>
      <c r="O4424" s="352"/>
      <c r="P4424" s="352"/>
      <c r="Q4424" s="352"/>
      <c r="R4424" s="352"/>
      <c r="S4424" s="352"/>
      <c r="T4424" s="352"/>
      <c r="U4424" s="352"/>
      <c r="V4424" s="352"/>
      <c r="W4424" s="352"/>
      <c r="X4424" s="352"/>
      <c r="Y4424" s="352"/>
      <c r="Z4424" s="352"/>
      <c r="AA4424" s="352"/>
      <c r="AB4424" s="352"/>
      <c r="AC4424" s="352"/>
      <c r="AD4424" s="352"/>
      <c r="AE4424" s="352"/>
      <c r="AF4424" s="352"/>
      <c r="AG4424" s="352"/>
      <c r="AH4424" s="352"/>
      <c r="AI4424" s="352"/>
      <c r="AJ4424" s="352"/>
    </row>
    <row r="4425" spans="2:36" x14ac:dyDescent="0.2">
      <c r="B4425" s="352"/>
      <c r="C4425" s="352"/>
      <c r="D4425" s="352"/>
      <c r="E4425" s="352"/>
      <c r="F4425" s="352"/>
      <c r="H4425" s="352"/>
      <c r="J4425" s="352"/>
      <c r="L4425" s="352"/>
      <c r="M4425" s="352"/>
      <c r="N4425" s="352"/>
      <c r="O4425" s="352"/>
      <c r="P4425" s="352"/>
      <c r="Q4425" s="352"/>
      <c r="R4425" s="352"/>
      <c r="S4425" s="352"/>
      <c r="T4425" s="352"/>
      <c r="U4425" s="352"/>
      <c r="V4425" s="352"/>
      <c r="W4425" s="352"/>
      <c r="X4425" s="352"/>
      <c r="Y4425" s="352"/>
      <c r="Z4425" s="352"/>
      <c r="AA4425" s="352"/>
      <c r="AB4425" s="352"/>
      <c r="AC4425" s="352"/>
      <c r="AD4425" s="352"/>
      <c r="AE4425" s="352"/>
      <c r="AF4425" s="352"/>
      <c r="AG4425" s="352"/>
      <c r="AH4425" s="352"/>
      <c r="AI4425" s="352"/>
      <c r="AJ4425" s="352"/>
    </row>
    <row r="4426" spans="2:36" x14ac:dyDescent="0.2">
      <c r="B4426" s="352"/>
      <c r="C4426" s="352"/>
      <c r="D4426" s="352"/>
      <c r="E4426" s="352"/>
      <c r="F4426" s="352"/>
      <c r="H4426" s="352"/>
      <c r="J4426" s="352"/>
      <c r="L4426" s="352"/>
      <c r="M4426" s="352"/>
      <c r="N4426" s="352"/>
      <c r="O4426" s="352"/>
      <c r="P4426" s="352"/>
      <c r="Q4426" s="352"/>
      <c r="R4426" s="352"/>
      <c r="S4426" s="352"/>
      <c r="T4426" s="352"/>
      <c r="U4426" s="352"/>
      <c r="V4426" s="352"/>
      <c r="W4426" s="352"/>
      <c r="X4426" s="352"/>
      <c r="Y4426" s="352"/>
      <c r="Z4426" s="352"/>
      <c r="AA4426" s="352"/>
      <c r="AB4426" s="352"/>
      <c r="AC4426" s="352"/>
      <c r="AD4426" s="352"/>
      <c r="AE4426" s="352"/>
      <c r="AF4426" s="352"/>
      <c r="AG4426" s="352"/>
      <c r="AH4426" s="352"/>
      <c r="AI4426" s="352"/>
      <c r="AJ4426" s="352"/>
    </row>
    <row r="4427" spans="2:36" x14ac:dyDescent="0.2">
      <c r="B4427" s="352"/>
      <c r="C4427" s="352"/>
      <c r="D4427" s="352"/>
      <c r="E4427" s="352"/>
      <c r="F4427" s="352"/>
      <c r="H4427" s="352"/>
      <c r="J4427" s="352"/>
      <c r="L4427" s="352"/>
      <c r="M4427" s="352"/>
      <c r="N4427" s="352"/>
      <c r="O4427" s="352"/>
      <c r="P4427" s="352"/>
      <c r="Q4427" s="352"/>
      <c r="R4427" s="352"/>
      <c r="S4427" s="352"/>
      <c r="T4427" s="352"/>
      <c r="U4427" s="352"/>
      <c r="V4427" s="352"/>
      <c r="W4427" s="352"/>
      <c r="X4427" s="352"/>
      <c r="Y4427" s="352"/>
      <c r="Z4427" s="352"/>
      <c r="AA4427" s="352"/>
      <c r="AB4427" s="352"/>
      <c r="AC4427" s="352"/>
      <c r="AD4427" s="352"/>
      <c r="AE4427" s="352"/>
      <c r="AF4427" s="352"/>
      <c r="AG4427" s="352"/>
      <c r="AH4427" s="352"/>
      <c r="AI4427" s="352"/>
      <c r="AJ4427" s="352"/>
    </row>
    <row r="4428" spans="2:36" x14ac:dyDescent="0.2">
      <c r="B4428" s="352"/>
      <c r="C4428" s="352"/>
      <c r="D4428" s="352"/>
      <c r="E4428" s="352"/>
      <c r="F4428" s="352"/>
      <c r="H4428" s="352"/>
      <c r="J4428" s="352"/>
      <c r="L4428" s="352"/>
      <c r="M4428" s="352"/>
      <c r="N4428" s="352"/>
      <c r="O4428" s="352"/>
      <c r="P4428" s="352"/>
      <c r="Q4428" s="352"/>
      <c r="R4428" s="352"/>
      <c r="S4428" s="352"/>
      <c r="T4428" s="352"/>
      <c r="U4428" s="352"/>
      <c r="V4428" s="352"/>
      <c r="W4428" s="352"/>
      <c r="X4428" s="352"/>
      <c r="Y4428" s="352"/>
      <c r="Z4428" s="352"/>
      <c r="AA4428" s="352"/>
      <c r="AB4428" s="352"/>
      <c r="AC4428" s="352"/>
      <c r="AD4428" s="352"/>
      <c r="AE4428" s="352"/>
      <c r="AF4428" s="352"/>
      <c r="AG4428" s="352"/>
      <c r="AH4428" s="352"/>
      <c r="AI4428" s="352"/>
      <c r="AJ4428" s="352"/>
    </row>
    <row r="4429" spans="2:36" x14ac:dyDescent="0.2">
      <c r="B4429" s="352"/>
      <c r="C4429" s="352"/>
      <c r="D4429" s="352"/>
      <c r="E4429" s="352"/>
      <c r="F4429" s="352"/>
      <c r="H4429" s="352"/>
      <c r="J4429" s="352"/>
      <c r="L4429" s="352"/>
      <c r="M4429" s="352"/>
      <c r="N4429" s="352"/>
      <c r="O4429" s="352"/>
      <c r="P4429" s="352"/>
      <c r="Q4429" s="352"/>
      <c r="R4429" s="352"/>
      <c r="S4429" s="352"/>
      <c r="T4429" s="352"/>
      <c r="U4429" s="352"/>
      <c r="V4429" s="352"/>
      <c r="W4429" s="352"/>
      <c r="X4429" s="352"/>
      <c r="Y4429" s="352"/>
      <c r="Z4429" s="352"/>
      <c r="AA4429" s="352"/>
      <c r="AB4429" s="352"/>
      <c r="AC4429" s="352"/>
      <c r="AD4429" s="352"/>
      <c r="AE4429" s="352"/>
      <c r="AF4429" s="352"/>
      <c r="AG4429" s="352"/>
      <c r="AH4429" s="352"/>
      <c r="AI4429" s="352"/>
      <c r="AJ4429" s="352"/>
    </row>
    <row r="4430" spans="2:36" x14ac:dyDescent="0.2">
      <c r="B4430" s="352"/>
      <c r="C4430" s="352"/>
      <c r="D4430" s="352"/>
      <c r="E4430" s="352"/>
      <c r="F4430" s="352"/>
      <c r="H4430" s="352"/>
      <c r="J4430" s="352"/>
      <c r="L4430" s="352"/>
      <c r="M4430" s="352"/>
      <c r="N4430" s="352"/>
      <c r="O4430" s="352"/>
      <c r="P4430" s="352"/>
      <c r="Q4430" s="352"/>
      <c r="R4430" s="352"/>
      <c r="S4430" s="352"/>
      <c r="T4430" s="352"/>
      <c r="U4430" s="352"/>
      <c r="V4430" s="352"/>
      <c r="W4430" s="352"/>
      <c r="X4430" s="352"/>
      <c r="Y4430" s="352"/>
      <c r="Z4430" s="352"/>
      <c r="AA4430" s="352"/>
      <c r="AB4430" s="352"/>
      <c r="AC4430" s="352"/>
      <c r="AD4430" s="352"/>
      <c r="AE4430" s="352"/>
      <c r="AF4430" s="352"/>
      <c r="AG4430" s="352"/>
      <c r="AH4430" s="352"/>
      <c r="AI4430" s="352"/>
      <c r="AJ4430" s="352"/>
    </row>
    <row r="4431" spans="2:36" x14ac:dyDescent="0.2">
      <c r="B4431" s="352"/>
      <c r="C4431" s="352"/>
      <c r="D4431" s="352"/>
      <c r="E4431" s="352"/>
      <c r="F4431" s="352"/>
      <c r="H4431" s="352"/>
      <c r="J4431" s="352"/>
      <c r="L4431" s="352"/>
      <c r="M4431" s="352"/>
      <c r="N4431" s="352"/>
      <c r="O4431" s="352"/>
      <c r="P4431" s="352"/>
      <c r="Q4431" s="352"/>
      <c r="R4431" s="352"/>
      <c r="S4431" s="352"/>
      <c r="T4431" s="352"/>
      <c r="U4431" s="352"/>
      <c r="V4431" s="352"/>
      <c r="W4431" s="352"/>
      <c r="X4431" s="352"/>
      <c r="Y4431" s="352"/>
      <c r="Z4431" s="352"/>
      <c r="AA4431" s="352"/>
      <c r="AB4431" s="352"/>
      <c r="AC4431" s="352"/>
      <c r="AD4431" s="352"/>
      <c r="AE4431" s="352"/>
      <c r="AF4431" s="352"/>
      <c r="AG4431" s="352"/>
      <c r="AH4431" s="352"/>
      <c r="AI4431" s="352"/>
      <c r="AJ4431" s="352"/>
    </row>
    <row r="4432" spans="2:36" x14ac:dyDescent="0.2">
      <c r="B4432" s="352"/>
      <c r="C4432" s="352"/>
      <c r="D4432" s="352"/>
      <c r="E4432" s="352"/>
      <c r="F4432" s="352"/>
      <c r="H4432" s="352"/>
      <c r="J4432" s="352"/>
      <c r="L4432" s="352"/>
      <c r="M4432" s="352"/>
      <c r="N4432" s="352"/>
      <c r="O4432" s="352"/>
      <c r="P4432" s="352"/>
      <c r="Q4432" s="352"/>
      <c r="R4432" s="352"/>
      <c r="S4432" s="352"/>
      <c r="T4432" s="352"/>
      <c r="U4432" s="352"/>
      <c r="V4432" s="352"/>
      <c r="W4432" s="352"/>
      <c r="X4432" s="352"/>
      <c r="Y4432" s="352"/>
      <c r="Z4432" s="352"/>
      <c r="AA4432" s="352"/>
      <c r="AB4432" s="352"/>
      <c r="AC4432" s="352"/>
      <c r="AD4432" s="352"/>
      <c r="AE4432" s="352"/>
      <c r="AF4432" s="352"/>
      <c r="AG4432" s="352"/>
      <c r="AH4432" s="352"/>
      <c r="AI4432" s="352"/>
      <c r="AJ4432" s="352"/>
    </row>
    <row r="4433" spans="2:36" x14ac:dyDescent="0.2">
      <c r="B4433" s="352"/>
      <c r="C4433" s="352"/>
      <c r="D4433" s="352"/>
      <c r="E4433" s="352"/>
      <c r="F4433" s="352"/>
      <c r="H4433" s="352"/>
      <c r="J4433" s="352"/>
      <c r="L4433" s="352"/>
      <c r="M4433" s="352"/>
      <c r="N4433" s="352"/>
      <c r="O4433" s="352"/>
      <c r="P4433" s="352"/>
      <c r="Q4433" s="352"/>
      <c r="R4433" s="352"/>
      <c r="S4433" s="352"/>
      <c r="T4433" s="352"/>
      <c r="U4433" s="352"/>
      <c r="V4433" s="352"/>
      <c r="W4433" s="352"/>
      <c r="X4433" s="352"/>
      <c r="Y4433" s="352"/>
      <c r="Z4433" s="352"/>
      <c r="AA4433" s="352"/>
      <c r="AB4433" s="352"/>
      <c r="AC4433" s="352"/>
      <c r="AD4433" s="352"/>
      <c r="AE4433" s="352"/>
      <c r="AF4433" s="352"/>
      <c r="AG4433" s="352"/>
      <c r="AH4433" s="352"/>
      <c r="AI4433" s="352"/>
      <c r="AJ4433" s="352"/>
    </row>
    <row r="4434" spans="2:36" x14ac:dyDescent="0.2">
      <c r="B4434" s="352"/>
      <c r="C4434" s="352"/>
      <c r="D4434" s="352"/>
      <c r="E4434" s="352"/>
      <c r="F4434" s="352"/>
      <c r="H4434" s="352"/>
      <c r="J4434" s="352"/>
      <c r="L4434" s="352"/>
      <c r="M4434" s="352"/>
      <c r="N4434" s="352"/>
      <c r="O4434" s="352"/>
      <c r="P4434" s="352"/>
      <c r="Q4434" s="352"/>
      <c r="R4434" s="352"/>
      <c r="S4434" s="352"/>
      <c r="T4434" s="352"/>
      <c r="U4434" s="352"/>
      <c r="V4434" s="352"/>
      <c r="W4434" s="352"/>
      <c r="X4434" s="352"/>
      <c r="Y4434" s="352"/>
      <c r="Z4434" s="352"/>
      <c r="AA4434" s="352"/>
      <c r="AB4434" s="352"/>
      <c r="AC4434" s="352"/>
      <c r="AD4434" s="352"/>
      <c r="AE4434" s="352"/>
      <c r="AF4434" s="352"/>
      <c r="AG4434" s="352"/>
      <c r="AH4434" s="352"/>
      <c r="AI4434" s="352"/>
      <c r="AJ4434" s="352"/>
    </row>
    <row r="4435" spans="2:36" x14ac:dyDescent="0.2">
      <c r="B4435" s="352"/>
      <c r="C4435" s="352"/>
      <c r="D4435" s="352"/>
      <c r="E4435" s="352"/>
      <c r="F4435" s="352"/>
      <c r="H4435" s="352"/>
      <c r="J4435" s="352"/>
      <c r="L4435" s="352"/>
      <c r="M4435" s="352"/>
      <c r="N4435" s="352"/>
      <c r="O4435" s="352"/>
      <c r="P4435" s="352"/>
      <c r="Q4435" s="352"/>
      <c r="R4435" s="352"/>
      <c r="S4435" s="352"/>
      <c r="T4435" s="352"/>
      <c r="U4435" s="352"/>
      <c r="V4435" s="352"/>
      <c r="W4435" s="352"/>
      <c r="X4435" s="352"/>
      <c r="Y4435" s="352"/>
      <c r="Z4435" s="352"/>
      <c r="AA4435" s="352"/>
      <c r="AB4435" s="352"/>
      <c r="AC4435" s="352"/>
      <c r="AD4435" s="352"/>
      <c r="AE4435" s="352"/>
      <c r="AF4435" s="352"/>
      <c r="AG4435" s="352"/>
      <c r="AH4435" s="352"/>
      <c r="AI4435" s="352"/>
      <c r="AJ4435" s="352"/>
    </row>
    <row r="4436" spans="2:36" x14ac:dyDescent="0.2">
      <c r="B4436" s="352"/>
      <c r="C4436" s="352"/>
      <c r="D4436" s="352"/>
      <c r="E4436" s="352"/>
      <c r="F4436" s="352"/>
      <c r="H4436" s="352"/>
      <c r="J4436" s="352"/>
      <c r="L4436" s="352"/>
      <c r="M4436" s="352"/>
      <c r="N4436" s="352"/>
      <c r="O4436" s="352"/>
      <c r="P4436" s="352"/>
      <c r="Q4436" s="352"/>
      <c r="R4436" s="352"/>
      <c r="S4436" s="352"/>
      <c r="T4436" s="352"/>
      <c r="U4436" s="352"/>
      <c r="V4436" s="352"/>
      <c r="W4436" s="352"/>
      <c r="X4436" s="352"/>
      <c r="Y4436" s="352"/>
      <c r="Z4436" s="352"/>
      <c r="AA4436" s="352"/>
      <c r="AB4436" s="352"/>
      <c r="AC4436" s="352"/>
      <c r="AD4436" s="352"/>
      <c r="AE4436" s="352"/>
      <c r="AF4436" s="352"/>
      <c r="AG4436" s="352"/>
      <c r="AH4436" s="352"/>
      <c r="AI4436" s="352"/>
      <c r="AJ4436" s="352"/>
    </row>
    <row r="4437" spans="2:36" x14ac:dyDescent="0.2">
      <c r="B4437" s="352"/>
      <c r="C4437" s="352"/>
      <c r="D4437" s="352"/>
      <c r="E4437" s="352"/>
      <c r="F4437" s="352"/>
      <c r="H4437" s="352"/>
      <c r="J4437" s="352"/>
      <c r="L4437" s="352"/>
      <c r="M4437" s="352"/>
      <c r="N4437" s="352"/>
      <c r="O4437" s="352"/>
      <c r="P4437" s="352"/>
      <c r="Q4437" s="352"/>
      <c r="R4437" s="352"/>
      <c r="S4437" s="352"/>
      <c r="T4437" s="352"/>
      <c r="U4437" s="352"/>
      <c r="V4437" s="352"/>
      <c r="W4437" s="352"/>
      <c r="X4437" s="352"/>
      <c r="Y4437" s="352"/>
      <c r="Z4437" s="352"/>
      <c r="AA4437" s="352"/>
      <c r="AB4437" s="352"/>
      <c r="AC4437" s="352"/>
      <c r="AD4437" s="352"/>
      <c r="AE4437" s="352"/>
      <c r="AF4437" s="352"/>
      <c r="AG4437" s="352"/>
      <c r="AH4437" s="352"/>
      <c r="AI4437" s="352"/>
      <c r="AJ4437" s="352"/>
    </row>
    <row r="4438" spans="2:36" x14ac:dyDescent="0.2">
      <c r="B4438" s="352"/>
      <c r="C4438" s="352"/>
      <c r="D4438" s="352"/>
      <c r="E4438" s="352"/>
      <c r="F4438" s="352"/>
      <c r="H4438" s="352"/>
      <c r="J4438" s="352"/>
      <c r="L4438" s="352"/>
      <c r="M4438" s="352"/>
      <c r="N4438" s="352"/>
      <c r="O4438" s="352"/>
      <c r="P4438" s="352"/>
      <c r="Q4438" s="352"/>
      <c r="R4438" s="352"/>
      <c r="S4438" s="352"/>
      <c r="T4438" s="352"/>
      <c r="U4438" s="352"/>
      <c r="V4438" s="352"/>
      <c r="W4438" s="352"/>
      <c r="X4438" s="352"/>
      <c r="Y4438" s="352"/>
      <c r="Z4438" s="352"/>
      <c r="AA4438" s="352"/>
      <c r="AB4438" s="352"/>
      <c r="AC4438" s="352"/>
      <c r="AD4438" s="352"/>
      <c r="AE4438" s="352"/>
      <c r="AF4438" s="352"/>
      <c r="AG4438" s="352"/>
      <c r="AH4438" s="352"/>
      <c r="AI4438" s="352"/>
      <c r="AJ4438" s="352"/>
    </row>
    <row r="4439" spans="2:36" x14ac:dyDescent="0.2">
      <c r="B4439" s="352"/>
      <c r="C4439" s="352"/>
      <c r="D4439" s="352"/>
      <c r="E4439" s="352"/>
      <c r="F4439" s="352"/>
      <c r="H4439" s="352"/>
      <c r="J4439" s="352"/>
      <c r="L4439" s="352"/>
      <c r="M4439" s="352"/>
      <c r="N4439" s="352"/>
      <c r="O4439" s="352"/>
      <c r="P4439" s="352"/>
      <c r="Q4439" s="352"/>
      <c r="R4439" s="352"/>
      <c r="S4439" s="352"/>
      <c r="T4439" s="352"/>
      <c r="U4439" s="352"/>
      <c r="V4439" s="352"/>
      <c r="W4439" s="352"/>
      <c r="X4439" s="352"/>
      <c r="Y4439" s="352"/>
      <c r="Z4439" s="352"/>
      <c r="AA4439" s="352"/>
      <c r="AB4439" s="352"/>
      <c r="AC4439" s="352"/>
      <c r="AD4439" s="352"/>
      <c r="AE4439" s="352"/>
      <c r="AF4439" s="352"/>
      <c r="AG4439" s="352"/>
      <c r="AH4439" s="352"/>
      <c r="AI4439" s="352"/>
      <c r="AJ4439" s="352"/>
    </row>
    <row r="4440" spans="2:36" x14ac:dyDescent="0.2">
      <c r="B4440" s="352"/>
      <c r="C4440" s="352"/>
      <c r="D4440" s="352"/>
      <c r="E4440" s="352"/>
      <c r="F4440" s="352"/>
      <c r="H4440" s="352"/>
      <c r="J4440" s="352"/>
      <c r="L4440" s="352"/>
      <c r="M4440" s="352"/>
      <c r="N4440" s="352"/>
      <c r="O4440" s="352"/>
      <c r="P4440" s="352"/>
      <c r="Q4440" s="352"/>
      <c r="R4440" s="352"/>
      <c r="S4440" s="352"/>
      <c r="T4440" s="352"/>
      <c r="U4440" s="352"/>
      <c r="V4440" s="352"/>
      <c r="W4440" s="352"/>
      <c r="X4440" s="352"/>
      <c r="Y4440" s="352"/>
      <c r="Z4440" s="352"/>
      <c r="AA4440" s="352"/>
      <c r="AB4440" s="352"/>
      <c r="AC4440" s="352"/>
      <c r="AD4440" s="352"/>
      <c r="AE4440" s="352"/>
      <c r="AF4440" s="352"/>
      <c r="AG4440" s="352"/>
      <c r="AH4440" s="352"/>
      <c r="AI4440" s="352"/>
      <c r="AJ4440" s="352"/>
    </row>
    <row r="4441" spans="2:36" x14ac:dyDescent="0.2">
      <c r="B4441" s="352"/>
      <c r="C4441" s="352"/>
      <c r="D4441" s="352"/>
      <c r="E4441" s="352"/>
      <c r="F4441" s="352"/>
      <c r="H4441" s="352"/>
      <c r="J4441" s="352"/>
      <c r="L4441" s="352"/>
      <c r="M4441" s="352"/>
      <c r="N4441" s="352"/>
      <c r="O4441" s="352"/>
      <c r="P4441" s="352"/>
      <c r="Q4441" s="352"/>
      <c r="R4441" s="352"/>
      <c r="S4441" s="352"/>
      <c r="T4441" s="352"/>
      <c r="U4441" s="352"/>
      <c r="V4441" s="352"/>
      <c r="W4441" s="352"/>
      <c r="X4441" s="352"/>
      <c r="Y4441" s="352"/>
      <c r="Z4441" s="352"/>
      <c r="AA4441" s="352"/>
      <c r="AB4441" s="352"/>
      <c r="AC4441" s="352"/>
      <c r="AD4441" s="352"/>
      <c r="AE4441" s="352"/>
      <c r="AF4441" s="352"/>
      <c r="AG4441" s="352"/>
      <c r="AH4441" s="352"/>
      <c r="AI4441" s="352"/>
      <c r="AJ4441" s="352"/>
    </row>
    <row r="4442" spans="2:36" x14ac:dyDescent="0.2">
      <c r="B4442" s="352"/>
      <c r="C4442" s="352"/>
      <c r="D4442" s="352"/>
      <c r="E4442" s="352"/>
      <c r="F4442" s="352"/>
      <c r="H4442" s="352"/>
      <c r="J4442" s="352"/>
      <c r="L4442" s="352"/>
      <c r="M4442" s="352"/>
      <c r="N4442" s="352"/>
      <c r="O4442" s="352"/>
      <c r="P4442" s="352"/>
      <c r="Q4442" s="352"/>
      <c r="R4442" s="352"/>
      <c r="S4442" s="352"/>
      <c r="T4442" s="352"/>
      <c r="U4442" s="352"/>
      <c r="V4442" s="352"/>
      <c r="W4442" s="352"/>
      <c r="X4442" s="352"/>
      <c r="Y4442" s="352"/>
      <c r="Z4442" s="352"/>
      <c r="AA4442" s="352"/>
      <c r="AB4442" s="352"/>
      <c r="AC4442" s="352"/>
      <c r="AD4442" s="352"/>
      <c r="AE4442" s="352"/>
      <c r="AF4442" s="352"/>
      <c r="AG4442" s="352"/>
      <c r="AH4442" s="352"/>
      <c r="AI4442" s="352"/>
      <c r="AJ4442" s="352"/>
    </row>
    <row r="4443" spans="2:36" x14ac:dyDescent="0.2">
      <c r="B4443" s="352"/>
      <c r="C4443" s="352"/>
      <c r="D4443" s="352"/>
      <c r="E4443" s="352"/>
      <c r="F4443" s="352"/>
      <c r="H4443" s="352"/>
      <c r="J4443" s="352"/>
      <c r="L4443" s="352"/>
      <c r="M4443" s="352"/>
      <c r="N4443" s="352"/>
      <c r="O4443" s="352"/>
      <c r="P4443" s="352"/>
      <c r="Q4443" s="352"/>
      <c r="R4443" s="352"/>
      <c r="S4443" s="352"/>
      <c r="T4443" s="352"/>
      <c r="U4443" s="352"/>
      <c r="V4443" s="352"/>
      <c r="W4443" s="352"/>
      <c r="X4443" s="352"/>
      <c r="Y4443" s="352"/>
      <c r="Z4443" s="352"/>
      <c r="AA4443" s="352"/>
      <c r="AB4443" s="352"/>
      <c r="AC4443" s="352"/>
      <c r="AD4443" s="352"/>
      <c r="AE4443" s="352"/>
      <c r="AF4443" s="352"/>
      <c r="AG4443" s="352"/>
      <c r="AH4443" s="352"/>
      <c r="AI4443" s="352"/>
      <c r="AJ4443" s="352"/>
    </row>
    <row r="4444" spans="2:36" x14ac:dyDescent="0.2">
      <c r="B4444" s="352"/>
      <c r="C4444" s="352"/>
      <c r="D4444" s="352"/>
      <c r="E4444" s="352"/>
      <c r="F4444" s="352"/>
      <c r="H4444" s="352"/>
      <c r="J4444" s="352"/>
      <c r="L4444" s="352"/>
      <c r="M4444" s="352"/>
      <c r="N4444" s="352"/>
      <c r="O4444" s="352"/>
      <c r="P4444" s="352"/>
      <c r="Q4444" s="352"/>
      <c r="R4444" s="352"/>
      <c r="S4444" s="352"/>
      <c r="T4444" s="352"/>
      <c r="U4444" s="352"/>
      <c r="V4444" s="352"/>
      <c r="W4444" s="352"/>
      <c r="X4444" s="352"/>
      <c r="Y4444" s="352"/>
      <c r="Z4444" s="352"/>
      <c r="AA4444" s="352"/>
      <c r="AB4444" s="352"/>
      <c r="AC4444" s="352"/>
      <c r="AD4444" s="352"/>
      <c r="AE4444" s="352"/>
      <c r="AF4444" s="352"/>
      <c r="AG4444" s="352"/>
      <c r="AH4444" s="352"/>
      <c r="AI4444" s="352"/>
      <c r="AJ4444" s="352"/>
    </row>
    <row r="4445" spans="2:36" x14ac:dyDescent="0.2">
      <c r="B4445" s="352"/>
      <c r="C4445" s="352"/>
      <c r="D4445" s="352"/>
      <c r="E4445" s="352"/>
      <c r="F4445" s="352"/>
      <c r="H4445" s="352"/>
      <c r="J4445" s="352"/>
      <c r="L4445" s="352"/>
      <c r="M4445" s="352"/>
      <c r="N4445" s="352"/>
      <c r="O4445" s="352"/>
      <c r="P4445" s="352"/>
      <c r="Q4445" s="352"/>
      <c r="R4445" s="352"/>
      <c r="S4445" s="352"/>
      <c r="T4445" s="352"/>
      <c r="U4445" s="352"/>
      <c r="V4445" s="352"/>
      <c r="W4445" s="352"/>
      <c r="X4445" s="352"/>
      <c r="Y4445" s="352"/>
      <c r="Z4445" s="352"/>
      <c r="AA4445" s="352"/>
      <c r="AB4445" s="352"/>
      <c r="AC4445" s="352"/>
      <c r="AD4445" s="352"/>
      <c r="AE4445" s="352"/>
      <c r="AF4445" s="352"/>
      <c r="AG4445" s="352"/>
      <c r="AH4445" s="352"/>
      <c r="AI4445" s="352"/>
      <c r="AJ4445" s="352"/>
    </row>
    <row r="4446" spans="2:36" x14ac:dyDescent="0.2">
      <c r="B4446" s="352"/>
      <c r="C4446" s="352"/>
      <c r="D4446" s="352"/>
      <c r="E4446" s="352"/>
      <c r="F4446" s="352"/>
      <c r="H4446" s="352"/>
      <c r="J4446" s="352"/>
      <c r="L4446" s="352"/>
      <c r="M4446" s="352"/>
      <c r="N4446" s="352"/>
      <c r="O4446" s="352"/>
      <c r="P4446" s="352"/>
      <c r="Q4446" s="352"/>
      <c r="R4446" s="352"/>
      <c r="S4446" s="352"/>
      <c r="T4446" s="352"/>
      <c r="U4446" s="352"/>
      <c r="V4446" s="352"/>
      <c r="W4446" s="352"/>
      <c r="X4446" s="352"/>
      <c r="Y4446" s="352"/>
      <c r="Z4446" s="352"/>
      <c r="AA4446" s="352"/>
      <c r="AB4446" s="352"/>
      <c r="AC4446" s="352"/>
      <c r="AD4446" s="352"/>
      <c r="AE4446" s="352"/>
      <c r="AF4446" s="352"/>
      <c r="AG4446" s="352"/>
      <c r="AH4446" s="352"/>
      <c r="AI4446" s="352"/>
      <c r="AJ4446" s="352"/>
    </row>
    <row r="4447" spans="2:36" x14ac:dyDescent="0.2">
      <c r="B4447" s="352"/>
      <c r="C4447" s="352"/>
      <c r="D4447" s="352"/>
      <c r="E4447" s="352"/>
      <c r="F4447" s="352"/>
      <c r="H4447" s="352"/>
      <c r="J4447" s="352"/>
      <c r="L4447" s="352"/>
      <c r="M4447" s="352"/>
      <c r="N4447" s="352"/>
      <c r="O4447" s="352"/>
      <c r="P4447" s="352"/>
      <c r="Q4447" s="352"/>
      <c r="R4447" s="352"/>
      <c r="S4447" s="352"/>
      <c r="T4447" s="352"/>
      <c r="U4447" s="352"/>
      <c r="V4447" s="352"/>
      <c r="W4447" s="352"/>
      <c r="X4447" s="352"/>
      <c r="Y4447" s="352"/>
      <c r="Z4447" s="352"/>
      <c r="AA4447" s="352"/>
      <c r="AB4447" s="352"/>
      <c r="AC4447" s="352"/>
      <c r="AD4447" s="352"/>
      <c r="AE4447" s="352"/>
      <c r="AF4447" s="352"/>
      <c r="AG4447" s="352"/>
      <c r="AH4447" s="352"/>
      <c r="AI4447" s="352"/>
      <c r="AJ4447" s="352"/>
    </row>
    <row r="4448" spans="2:36" x14ac:dyDescent="0.2">
      <c r="B4448" s="352"/>
      <c r="C4448" s="352"/>
      <c r="D4448" s="352"/>
      <c r="E4448" s="352"/>
      <c r="F4448" s="352"/>
      <c r="H4448" s="352"/>
      <c r="J4448" s="352"/>
      <c r="L4448" s="352"/>
      <c r="M4448" s="352"/>
      <c r="N4448" s="352"/>
      <c r="O4448" s="352"/>
      <c r="P4448" s="352"/>
      <c r="Q4448" s="352"/>
      <c r="R4448" s="352"/>
      <c r="S4448" s="352"/>
      <c r="T4448" s="352"/>
      <c r="U4448" s="352"/>
      <c r="V4448" s="352"/>
      <c r="W4448" s="352"/>
      <c r="X4448" s="352"/>
      <c r="Y4448" s="352"/>
      <c r="Z4448" s="352"/>
      <c r="AA4448" s="352"/>
      <c r="AB4448" s="352"/>
      <c r="AC4448" s="352"/>
      <c r="AD4448" s="352"/>
      <c r="AE4448" s="352"/>
      <c r="AF4448" s="352"/>
      <c r="AG4448" s="352"/>
      <c r="AH4448" s="352"/>
      <c r="AI4448" s="352"/>
      <c r="AJ4448" s="352"/>
    </row>
    <row r="4449" spans="2:36" x14ac:dyDescent="0.2">
      <c r="B4449" s="352"/>
      <c r="C4449" s="352"/>
      <c r="D4449" s="352"/>
      <c r="E4449" s="352"/>
      <c r="F4449" s="352"/>
      <c r="H4449" s="352"/>
      <c r="J4449" s="352"/>
      <c r="L4449" s="352"/>
      <c r="M4449" s="352"/>
      <c r="N4449" s="352"/>
      <c r="O4449" s="352"/>
      <c r="P4449" s="352"/>
      <c r="Q4449" s="352"/>
      <c r="R4449" s="352"/>
      <c r="S4449" s="352"/>
      <c r="T4449" s="352"/>
      <c r="U4449" s="352"/>
      <c r="V4449" s="352"/>
      <c r="W4449" s="352"/>
      <c r="X4449" s="352"/>
      <c r="Y4449" s="352"/>
      <c r="Z4449" s="352"/>
      <c r="AA4449" s="352"/>
      <c r="AB4449" s="352"/>
      <c r="AC4449" s="352"/>
      <c r="AD4449" s="352"/>
      <c r="AE4449" s="352"/>
      <c r="AF4449" s="352"/>
      <c r="AG4449" s="352"/>
      <c r="AH4449" s="352"/>
      <c r="AI4449" s="352"/>
      <c r="AJ4449" s="352"/>
    </row>
    <row r="4450" spans="2:36" x14ac:dyDescent="0.2">
      <c r="B4450" s="352"/>
      <c r="C4450" s="352"/>
      <c r="D4450" s="352"/>
      <c r="E4450" s="352"/>
      <c r="F4450" s="352"/>
      <c r="H4450" s="352"/>
      <c r="J4450" s="352"/>
      <c r="L4450" s="352"/>
      <c r="M4450" s="352"/>
      <c r="N4450" s="352"/>
      <c r="O4450" s="352"/>
      <c r="P4450" s="352"/>
      <c r="Q4450" s="352"/>
      <c r="R4450" s="352"/>
      <c r="S4450" s="352"/>
      <c r="T4450" s="352"/>
      <c r="U4450" s="352"/>
      <c r="V4450" s="352"/>
      <c r="W4450" s="352"/>
      <c r="X4450" s="352"/>
      <c r="Y4450" s="352"/>
      <c r="Z4450" s="352"/>
      <c r="AA4450" s="352"/>
      <c r="AB4450" s="352"/>
      <c r="AC4450" s="352"/>
      <c r="AD4450" s="352"/>
      <c r="AE4450" s="352"/>
      <c r="AF4450" s="352"/>
      <c r="AG4450" s="352"/>
      <c r="AH4450" s="352"/>
      <c r="AI4450" s="352"/>
      <c r="AJ4450" s="352"/>
    </row>
    <row r="4451" spans="2:36" x14ac:dyDescent="0.2">
      <c r="B4451" s="352"/>
      <c r="C4451" s="352"/>
      <c r="D4451" s="352"/>
      <c r="E4451" s="352"/>
      <c r="F4451" s="352"/>
      <c r="H4451" s="352"/>
      <c r="J4451" s="352"/>
      <c r="L4451" s="352"/>
      <c r="M4451" s="352"/>
      <c r="N4451" s="352"/>
      <c r="O4451" s="352"/>
      <c r="P4451" s="352"/>
      <c r="Q4451" s="352"/>
      <c r="R4451" s="352"/>
      <c r="S4451" s="352"/>
      <c r="T4451" s="352"/>
      <c r="U4451" s="352"/>
      <c r="V4451" s="352"/>
      <c r="W4451" s="352"/>
      <c r="X4451" s="352"/>
      <c r="Y4451" s="352"/>
      <c r="Z4451" s="352"/>
      <c r="AA4451" s="352"/>
      <c r="AB4451" s="352"/>
      <c r="AC4451" s="352"/>
      <c r="AD4451" s="352"/>
      <c r="AE4451" s="352"/>
      <c r="AF4451" s="352"/>
      <c r="AG4451" s="352"/>
      <c r="AH4451" s="352"/>
      <c r="AI4451" s="352"/>
      <c r="AJ4451" s="352"/>
    </row>
    <row r="4452" spans="2:36" x14ac:dyDescent="0.2">
      <c r="B4452" s="352"/>
      <c r="C4452" s="352"/>
      <c r="D4452" s="352"/>
      <c r="E4452" s="352"/>
      <c r="F4452" s="352"/>
      <c r="H4452" s="352"/>
      <c r="J4452" s="352"/>
      <c r="L4452" s="352"/>
      <c r="M4452" s="352"/>
      <c r="N4452" s="352"/>
      <c r="O4452" s="352"/>
      <c r="P4452" s="352"/>
      <c r="Q4452" s="352"/>
      <c r="R4452" s="352"/>
      <c r="S4452" s="352"/>
      <c r="T4452" s="352"/>
      <c r="U4452" s="352"/>
      <c r="V4452" s="352"/>
      <c r="W4452" s="352"/>
      <c r="X4452" s="352"/>
      <c r="Y4452" s="352"/>
      <c r="Z4452" s="352"/>
      <c r="AA4452" s="352"/>
      <c r="AB4452" s="352"/>
      <c r="AC4452" s="352"/>
      <c r="AD4452" s="352"/>
      <c r="AE4452" s="352"/>
      <c r="AF4452" s="352"/>
      <c r="AG4452" s="352"/>
      <c r="AH4452" s="352"/>
      <c r="AI4452" s="352"/>
      <c r="AJ4452" s="352"/>
    </row>
    <row r="4453" spans="2:36" x14ac:dyDescent="0.2">
      <c r="B4453" s="352"/>
      <c r="C4453" s="352"/>
      <c r="D4453" s="352"/>
      <c r="E4453" s="352"/>
      <c r="F4453" s="352"/>
      <c r="H4453" s="352"/>
      <c r="J4453" s="352"/>
      <c r="L4453" s="352"/>
      <c r="M4453" s="352"/>
      <c r="N4453" s="352"/>
      <c r="O4453" s="352"/>
      <c r="P4453" s="352"/>
      <c r="Q4453" s="352"/>
      <c r="R4453" s="352"/>
      <c r="S4453" s="352"/>
      <c r="T4453" s="352"/>
      <c r="U4453" s="352"/>
      <c r="V4453" s="352"/>
      <c r="W4453" s="352"/>
      <c r="X4453" s="352"/>
      <c r="Y4453" s="352"/>
      <c r="Z4453" s="352"/>
      <c r="AA4453" s="352"/>
      <c r="AB4453" s="352"/>
      <c r="AC4453" s="352"/>
      <c r="AD4453" s="352"/>
      <c r="AE4453" s="352"/>
      <c r="AF4453" s="352"/>
      <c r="AG4453" s="352"/>
      <c r="AH4453" s="352"/>
      <c r="AI4453" s="352"/>
      <c r="AJ4453" s="352"/>
    </row>
    <row r="4454" spans="2:36" x14ac:dyDescent="0.2">
      <c r="B4454" s="352"/>
      <c r="C4454" s="352"/>
      <c r="D4454" s="352"/>
      <c r="E4454" s="352"/>
      <c r="F4454" s="352"/>
      <c r="H4454" s="352"/>
      <c r="J4454" s="352"/>
      <c r="L4454" s="352"/>
      <c r="M4454" s="352"/>
      <c r="N4454" s="352"/>
      <c r="O4454" s="352"/>
      <c r="P4454" s="352"/>
      <c r="Q4454" s="352"/>
      <c r="R4454" s="352"/>
      <c r="S4454" s="352"/>
      <c r="T4454" s="352"/>
      <c r="U4454" s="352"/>
      <c r="V4454" s="352"/>
      <c r="W4454" s="352"/>
      <c r="X4454" s="352"/>
      <c r="Y4454" s="352"/>
      <c r="Z4454" s="352"/>
      <c r="AA4454" s="352"/>
      <c r="AB4454" s="352"/>
      <c r="AC4454" s="352"/>
      <c r="AD4454" s="352"/>
      <c r="AE4454" s="352"/>
      <c r="AF4454" s="352"/>
      <c r="AG4454" s="352"/>
      <c r="AH4454" s="352"/>
      <c r="AI4454" s="352"/>
      <c r="AJ4454" s="352"/>
    </row>
    <row r="4455" spans="2:36" x14ac:dyDescent="0.2">
      <c r="B4455" s="352"/>
      <c r="C4455" s="352"/>
      <c r="D4455" s="352"/>
      <c r="E4455" s="352"/>
      <c r="F4455" s="352"/>
      <c r="H4455" s="352"/>
      <c r="J4455" s="352"/>
      <c r="L4455" s="352"/>
      <c r="M4455" s="352"/>
      <c r="N4455" s="352"/>
      <c r="O4455" s="352"/>
      <c r="P4455" s="352"/>
      <c r="Q4455" s="352"/>
      <c r="R4455" s="352"/>
      <c r="S4455" s="352"/>
      <c r="T4455" s="352"/>
      <c r="U4455" s="352"/>
      <c r="V4455" s="352"/>
      <c r="W4455" s="352"/>
      <c r="X4455" s="352"/>
      <c r="Y4455" s="352"/>
      <c r="Z4455" s="352"/>
      <c r="AA4455" s="352"/>
      <c r="AB4455" s="352"/>
      <c r="AC4455" s="352"/>
      <c r="AD4455" s="352"/>
      <c r="AE4455" s="352"/>
      <c r="AF4455" s="352"/>
      <c r="AG4455" s="352"/>
      <c r="AH4455" s="352"/>
      <c r="AI4455" s="352"/>
      <c r="AJ4455" s="352"/>
    </row>
    <row r="4456" spans="2:36" x14ac:dyDescent="0.2">
      <c r="B4456" s="352"/>
      <c r="C4456" s="352"/>
      <c r="D4456" s="352"/>
      <c r="E4456" s="352"/>
      <c r="F4456" s="352"/>
      <c r="H4456" s="352"/>
      <c r="J4456" s="352"/>
      <c r="L4456" s="352"/>
      <c r="M4456" s="352"/>
      <c r="N4456" s="352"/>
      <c r="O4456" s="352"/>
      <c r="P4456" s="352"/>
      <c r="Q4456" s="352"/>
      <c r="R4456" s="352"/>
      <c r="S4456" s="352"/>
      <c r="T4456" s="352"/>
      <c r="U4456" s="352"/>
      <c r="V4456" s="352"/>
      <c r="W4456" s="352"/>
      <c r="X4456" s="352"/>
      <c r="Y4456" s="352"/>
      <c r="Z4456" s="352"/>
      <c r="AA4456" s="352"/>
      <c r="AB4456" s="352"/>
      <c r="AC4456" s="352"/>
      <c r="AD4456" s="352"/>
      <c r="AE4456" s="352"/>
      <c r="AF4456" s="352"/>
      <c r="AG4456" s="352"/>
      <c r="AH4456" s="352"/>
      <c r="AI4456" s="352"/>
      <c r="AJ4456" s="352"/>
    </row>
    <row r="4457" spans="2:36" x14ac:dyDescent="0.2">
      <c r="B4457" s="352"/>
      <c r="C4457" s="352"/>
      <c r="D4457" s="352"/>
      <c r="E4457" s="352"/>
      <c r="F4457" s="352"/>
      <c r="H4457" s="352"/>
      <c r="J4457" s="352"/>
      <c r="L4457" s="352"/>
      <c r="M4457" s="352"/>
      <c r="N4457" s="352"/>
      <c r="O4457" s="352"/>
      <c r="P4457" s="352"/>
      <c r="Q4457" s="352"/>
      <c r="R4457" s="352"/>
      <c r="S4457" s="352"/>
      <c r="T4457" s="352"/>
      <c r="U4457" s="352"/>
      <c r="V4457" s="352"/>
      <c r="W4457" s="352"/>
      <c r="X4457" s="352"/>
      <c r="Y4457" s="352"/>
      <c r="Z4457" s="352"/>
      <c r="AA4457" s="352"/>
      <c r="AB4457" s="352"/>
      <c r="AC4457" s="352"/>
      <c r="AD4457" s="352"/>
      <c r="AE4457" s="352"/>
      <c r="AF4457" s="352"/>
      <c r="AG4457" s="352"/>
      <c r="AH4457" s="352"/>
      <c r="AI4457" s="352"/>
      <c r="AJ4457" s="352"/>
    </row>
    <row r="4458" spans="2:36" x14ac:dyDescent="0.2">
      <c r="B4458" s="352"/>
      <c r="C4458" s="352"/>
      <c r="D4458" s="352"/>
      <c r="E4458" s="352"/>
      <c r="F4458" s="352"/>
      <c r="H4458" s="352"/>
      <c r="J4458" s="352"/>
      <c r="L4458" s="352"/>
      <c r="M4458" s="352"/>
      <c r="N4458" s="352"/>
      <c r="O4458" s="352"/>
      <c r="P4458" s="352"/>
      <c r="Q4458" s="352"/>
      <c r="R4458" s="352"/>
      <c r="S4458" s="352"/>
      <c r="T4458" s="352"/>
      <c r="U4458" s="352"/>
      <c r="V4458" s="352"/>
      <c r="W4458" s="352"/>
      <c r="X4458" s="352"/>
      <c r="Y4458" s="352"/>
      <c r="Z4458" s="352"/>
      <c r="AA4458" s="352"/>
      <c r="AB4458" s="352"/>
      <c r="AC4458" s="352"/>
      <c r="AD4458" s="352"/>
      <c r="AE4458" s="352"/>
      <c r="AF4458" s="352"/>
      <c r="AG4458" s="352"/>
      <c r="AH4458" s="352"/>
      <c r="AI4458" s="352"/>
      <c r="AJ4458" s="352"/>
    </row>
    <row r="4459" spans="2:36" x14ac:dyDescent="0.2">
      <c r="B4459" s="352"/>
      <c r="C4459" s="352"/>
      <c r="D4459" s="352"/>
      <c r="E4459" s="352"/>
      <c r="F4459" s="352"/>
      <c r="H4459" s="352"/>
      <c r="J4459" s="352"/>
      <c r="L4459" s="352"/>
      <c r="M4459" s="352"/>
      <c r="N4459" s="352"/>
      <c r="O4459" s="352"/>
      <c r="P4459" s="352"/>
      <c r="Q4459" s="352"/>
      <c r="R4459" s="352"/>
      <c r="S4459" s="352"/>
      <c r="T4459" s="352"/>
      <c r="U4459" s="352"/>
      <c r="V4459" s="352"/>
      <c r="W4459" s="352"/>
      <c r="X4459" s="352"/>
      <c r="Y4459" s="352"/>
      <c r="Z4459" s="352"/>
      <c r="AA4459" s="352"/>
      <c r="AB4459" s="352"/>
      <c r="AC4459" s="352"/>
      <c r="AD4459" s="352"/>
      <c r="AE4459" s="352"/>
      <c r="AF4459" s="352"/>
      <c r="AG4459" s="352"/>
      <c r="AH4459" s="352"/>
      <c r="AI4459" s="352"/>
      <c r="AJ4459" s="352"/>
    </row>
    <row r="4460" spans="2:36" x14ac:dyDescent="0.2">
      <c r="B4460" s="352"/>
      <c r="C4460" s="352"/>
      <c r="D4460" s="352"/>
      <c r="E4460" s="352"/>
      <c r="F4460" s="352"/>
      <c r="H4460" s="352"/>
      <c r="J4460" s="352"/>
      <c r="L4460" s="352"/>
      <c r="M4460" s="352"/>
      <c r="N4460" s="352"/>
      <c r="O4460" s="352"/>
      <c r="P4460" s="352"/>
      <c r="Q4460" s="352"/>
      <c r="R4460" s="352"/>
      <c r="S4460" s="352"/>
      <c r="T4460" s="352"/>
      <c r="U4460" s="352"/>
      <c r="V4460" s="352"/>
      <c r="W4460" s="352"/>
      <c r="X4460" s="352"/>
      <c r="Y4460" s="352"/>
      <c r="Z4460" s="352"/>
      <c r="AA4460" s="352"/>
      <c r="AB4460" s="352"/>
      <c r="AC4460" s="352"/>
      <c r="AD4460" s="352"/>
      <c r="AE4460" s="352"/>
      <c r="AF4460" s="352"/>
      <c r="AG4460" s="352"/>
      <c r="AH4460" s="352"/>
      <c r="AI4460" s="352"/>
      <c r="AJ4460" s="352"/>
    </row>
    <row r="4461" spans="2:36" x14ac:dyDescent="0.2">
      <c r="B4461" s="352"/>
      <c r="C4461" s="352"/>
      <c r="D4461" s="352"/>
      <c r="E4461" s="352"/>
      <c r="F4461" s="352"/>
      <c r="H4461" s="352"/>
      <c r="J4461" s="352"/>
      <c r="L4461" s="352"/>
      <c r="M4461" s="352"/>
      <c r="N4461" s="352"/>
      <c r="O4461" s="352"/>
      <c r="P4461" s="352"/>
      <c r="Q4461" s="352"/>
      <c r="R4461" s="352"/>
      <c r="S4461" s="352"/>
      <c r="T4461" s="352"/>
      <c r="U4461" s="352"/>
      <c r="V4461" s="352"/>
      <c r="W4461" s="352"/>
      <c r="X4461" s="352"/>
      <c r="Y4461" s="352"/>
      <c r="Z4461" s="352"/>
      <c r="AA4461" s="352"/>
      <c r="AB4461" s="352"/>
      <c r="AC4461" s="352"/>
      <c r="AD4461" s="352"/>
      <c r="AE4461" s="352"/>
      <c r="AF4461" s="352"/>
      <c r="AG4461" s="352"/>
      <c r="AH4461" s="352"/>
      <c r="AI4461" s="352"/>
      <c r="AJ4461" s="352"/>
    </row>
    <row r="4462" spans="2:36" x14ac:dyDescent="0.2">
      <c r="B4462" s="352"/>
      <c r="C4462" s="352"/>
      <c r="D4462" s="352"/>
      <c r="E4462" s="352"/>
      <c r="F4462" s="352"/>
      <c r="H4462" s="352"/>
      <c r="J4462" s="352"/>
      <c r="L4462" s="352"/>
      <c r="M4462" s="352"/>
      <c r="N4462" s="352"/>
      <c r="O4462" s="352"/>
      <c r="P4462" s="352"/>
      <c r="Q4462" s="352"/>
      <c r="R4462" s="352"/>
      <c r="S4462" s="352"/>
      <c r="T4462" s="352"/>
      <c r="U4462" s="352"/>
      <c r="V4462" s="352"/>
      <c r="W4462" s="352"/>
      <c r="X4462" s="352"/>
      <c r="Y4462" s="352"/>
      <c r="Z4462" s="352"/>
      <c r="AA4462" s="352"/>
      <c r="AB4462" s="352"/>
      <c r="AC4462" s="352"/>
      <c r="AD4462" s="352"/>
      <c r="AE4462" s="352"/>
      <c r="AF4462" s="352"/>
      <c r="AG4462" s="352"/>
      <c r="AH4462" s="352"/>
      <c r="AI4462" s="352"/>
      <c r="AJ4462" s="352"/>
    </row>
    <row r="4463" spans="2:36" x14ac:dyDescent="0.2">
      <c r="B4463" s="352"/>
      <c r="C4463" s="352"/>
      <c r="D4463" s="352"/>
      <c r="E4463" s="352"/>
      <c r="F4463" s="352"/>
      <c r="H4463" s="352"/>
      <c r="J4463" s="352"/>
      <c r="L4463" s="352"/>
      <c r="M4463" s="352"/>
      <c r="N4463" s="352"/>
      <c r="O4463" s="352"/>
      <c r="P4463" s="352"/>
      <c r="Q4463" s="352"/>
      <c r="R4463" s="352"/>
      <c r="S4463" s="352"/>
      <c r="T4463" s="352"/>
      <c r="U4463" s="352"/>
      <c r="V4463" s="352"/>
      <c r="W4463" s="352"/>
      <c r="X4463" s="352"/>
      <c r="Y4463" s="352"/>
      <c r="Z4463" s="352"/>
      <c r="AA4463" s="352"/>
      <c r="AB4463" s="352"/>
      <c r="AC4463" s="352"/>
      <c r="AD4463" s="352"/>
      <c r="AE4463" s="352"/>
      <c r="AF4463" s="352"/>
      <c r="AG4463" s="352"/>
      <c r="AH4463" s="352"/>
      <c r="AI4463" s="352"/>
      <c r="AJ4463" s="352"/>
    </row>
    <row r="4464" spans="2:36" x14ac:dyDescent="0.2">
      <c r="B4464" s="352"/>
      <c r="C4464" s="352"/>
      <c r="D4464" s="352"/>
      <c r="E4464" s="352"/>
      <c r="F4464" s="352"/>
      <c r="H4464" s="352"/>
      <c r="J4464" s="352"/>
      <c r="L4464" s="352"/>
      <c r="M4464" s="352"/>
      <c r="N4464" s="352"/>
      <c r="O4464" s="352"/>
      <c r="P4464" s="352"/>
      <c r="Q4464" s="352"/>
      <c r="R4464" s="352"/>
      <c r="S4464" s="352"/>
      <c r="T4464" s="352"/>
      <c r="U4464" s="352"/>
      <c r="V4464" s="352"/>
      <c r="W4464" s="352"/>
      <c r="X4464" s="352"/>
      <c r="Y4464" s="352"/>
      <c r="Z4464" s="352"/>
      <c r="AA4464" s="352"/>
      <c r="AB4464" s="352"/>
      <c r="AC4464" s="352"/>
      <c r="AD4464" s="352"/>
      <c r="AE4464" s="352"/>
      <c r="AF4464" s="352"/>
      <c r="AG4464" s="352"/>
      <c r="AH4464" s="352"/>
      <c r="AI4464" s="352"/>
      <c r="AJ4464" s="352"/>
    </row>
    <row r="4465" spans="2:36" x14ac:dyDescent="0.2">
      <c r="B4465" s="352"/>
      <c r="C4465" s="352"/>
      <c r="D4465" s="352"/>
      <c r="E4465" s="352"/>
      <c r="F4465" s="352"/>
      <c r="H4465" s="352"/>
      <c r="J4465" s="352"/>
      <c r="L4465" s="352"/>
      <c r="M4465" s="352"/>
      <c r="N4465" s="352"/>
      <c r="O4465" s="352"/>
      <c r="P4465" s="352"/>
      <c r="Q4465" s="352"/>
      <c r="R4465" s="352"/>
      <c r="S4465" s="352"/>
      <c r="T4465" s="352"/>
      <c r="U4465" s="352"/>
      <c r="V4465" s="352"/>
      <c r="W4465" s="352"/>
      <c r="X4465" s="352"/>
      <c r="Y4465" s="352"/>
      <c r="Z4465" s="352"/>
      <c r="AA4465" s="352"/>
      <c r="AB4465" s="352"/>
      <c r="AC4465" s="352"/>
      <c r="AD4465" s="352"/>
      <c r="AE4465" s="352"/>
      <c r="AF4465" s="352"/>
      <c r="AG4465" s="352"/>
      <c r="AH4465" s="352"/>
      <c r="AI4465" s="352"/>
      <c r="AJ4465" s="352"/>
    </row>
    <row r="4466" spans="2:36" x14ac:dyDescent="0.2">
      <c r="B4466" s="352"/>
      <c r="C4466" s="352"/>
      <c r="D4466" s="352"/>
      <c r="E4466" s="352"/>
      <c r="F4466" s="352"/>
      <c r="H4466" s="352"/>
      <c r="J4466" s="352"/>
      <c r="L4466" s="352"/>
      <c r="M4466" s="352"/>
      <c r="N4466" s="352"/>
      <c r="O4466" s="352"/>
      <c r="P4466" s="352"/>
      <c r="Q4466" s="352"/>
      <c r="R4466" s="352"/>
      <c r="S4466" s="352"/>
      <c r="T4466" s="352"/>
      <c r="U4466" s="352"/>
      <c r="V4466" s="352"/>
      <c r="W4466" s="352"/>
      <c r="X4466" s="352"/>
      <c r="Y4466" s="352"/>
      <c r="Z4466" s="352"/>
      <c r="AA4466" s="352"/>
      <c r="AB4466" s="352"/>
      <c r="AC4466" s="352"/>
      <c r="AD4466" s="352"/>
      <c r="AE4466" s="352"/>
      <c r="AF4466" s="352"/>
      <c r="AG4466" s="352"/>
      <c r="AH4466" s="352"/>
      <c r="AI4466" s="352"/>
      <c r="AJ4466" s="352"/>
    </row>
    <row r="4467" spans="2:36" x14ac:dyDescent="0.2">
      <c r="B4467" s="352"/>
      <c r="C4467" s="352"/>
      <c r="D4467" s="352"/>
      <c r="E4467" s="352"/>
      <c r="F4467" s="352"/>
      <c r="H4467" s="352"/>
      <c r="J4467" s="352"/>
      <c r="L4467" s="352"/>
      <c r="M4467" s="352"/>
      <c r="N4467" s="352"/>
      <c r="O4467" s="352"/>
      <c r="P4467" s="352"/>
      <c r="Q4467" s="352"/>
      <c r="R4467" s="352"/>
      <c r="S4467" s="352"/>
      <c r="T4467" s="352"/>
      <c r="U4467" s="352"/>
      <c r="V4467" s="352"/>
      <c r="W4467" s="352"/>
      <c r="X4467" s="352"/>
      <c r="Y4467" s="352"/>
      <c r="Z4467" s="352"/>
      <c r="AA4467" s="352"/>
      <c r="AB4467" s="352"/>
      <c r="AC4467" s="352"/>
      <c r="AD4467" s="352"/>
      <c r="AE4467" s="352"/>
      <c r="AF4467" s="352"/>
      <c r="AG4467" s="352"/>
      <c r="AH4467" s="352"/>
      <c r="AI4467" s="352"/>
      <c r="AJ4467" s="352"/>
    </row>
    <row r="4468" spans="2:36" x14ac:dyDescent="0.2">
      <c r="B4468" s="352"/>
      <c r="C4468" s="352"/>
      <c r="D4468" s="352"/>
      <c r="E4468" s="352"/>
      <c r="F4468" s="352"/>
      <c r="H4468" s="352"/>
      <c r="J4468" s="352"/>
      <c r="L4468" s="352"/>
      <c r="M4468" s="352"/>
      <c r="N4468" s="352"/>
      <c r="O4468" s="352"/>
      <c r="P4468" s="352"/>
      <c r="Q4468" s="352"/>
      <c r="R4468" s="352"/>
      <c r="S4468" s="352"/>
      <c r="T4468" s="352"/>
      <c r="U4468" s="352"/>
      <c r="V4468" s="352"/>
      <c r="W4468" s="352"/>
      <c r="X4468" s="352"/>
      <c r="Y4468" s="352"/>
      <c r="Z4468" s="352"/>
      <c r="AA4468" s="352"/>
      <c r="AB4468" s="352"/>
      <c r="AC4468" s="352"/>
      <c r="AD4468" s="352"/>
      <c r="AE4468" s="352"/>
      <c r="AF4468" s="352"/>
      <c r="AG4468" s="352"/>
      <c r="AH4468" s="352"/>
      <c r="AI4468" s="352"/>
      <c r="AJ4468" s="352"/>
    </row>
    <row r="4469" spans="2:36" x14ac:dyDescent="0.2">
      <c r="B4469" s="352"/>
      <c r="C4469" s="352"/>
      <c r="D4469" s="352"/>
      <c r="E4469" s="352"/>
      <c r="F4469" s="352"/>
      <c r="H4469" s="352"/>
      <c r="J4469" s="352"/>
      <c r="L4469" s="352"/>
      <c r="M4469" s="352"/>
      <c r="N4469" s="352"/>
      <c r="O4469" s="352"/>
      <c r="P4469" s="352"/>
      <c r="Q4469" s="352"/>
      <c r="R4469" s="352"/>
      <c r="S4469" s="352"/>
      <c r="T4469" s="352"/>
      <c r="U4469" s="352"/>
      <c r="V4469" s="352"/>
      <c r="W4469" s="352"/>
      <c r="X4469" s="352"/>
      <c r="Y4469" s="352"/>
      <c r="Z4469" s="352"/>
      <c r="AA4469" s="352"/>
      <c r="AB4469" s="352"/>
      <c r="AC4469" s="352"/>
      <c r="AD4469" s="352"/>
      <c r="AE4469" s="352"/>
      <c r="AF4469" s="352"/>
      <c r="AG4469" s="352"/>
      <c r="AH4469" s="352"/>
      <c r="AI4469" s="352"/>
      <c r="AJ4469" s="352"/>
    </row>
    <row r="4470" spans="2:36" x14ac:dyDescent="0.2">
      <c r="B4470" s="352"/>
      <c r="C4470" s="352"/>
      <c r="D4470" s="352"/>
      <c r="E4470" s="352"/>
      <c r="F4470" s="352"/>
      <c r="H4470" s="352"/>
      <c r="J4470" s="352"/>
      <c r="L4470" s="352"/>
      <c r="M4470" s="352"/>
      <c r="N4470" s="352"/>
      <c r="O4470" s="352"/>
      <c r="P4470" s="352"/>
      <c r="Q4470" s="352"/>
      <c r="R4470" s="352"/>
      <c r="S4470" s="352"/>
      <c r="T4470" s="352"/>
      <c r="U4470" s="352"/>
      <c r="V4470" s="352"/>
      <c r="W4470" s="352"/>
      <c r="X4470" s="352"/>
      <c r="Y4470" s="352"/>
      <c r="Z4470" s="352"/>
      <c r="AA4470" s="352"/>
      <c r="AB4470" s="352"/>
      <c r="AC4470" s="352"/>
      <c r="AD4470" s="352"/>
      <c r="AE4470" s="352"/>
      <c r="AF4470" s="352"/>
      <c r="AG4470" s="352"/>
      <c r="AH4470" s="352"/>
      <c r="AI4470" s="352"/>
      <c r="AJ4470" s="352"/>
    </row>
    <row r="4471" spans="2:36" x14ac:dyDescent="0.2">
      <c r="B4471" s="352"/>
      <c r="C4471" s="352"/>
      <c r="D4471" s="352"/>
      <c r="E4471" s="352"/>
      <c r="F4471" s="352"/>
      <c r="H4471" s="352"/>
      <c r="J4471" s="352"/>
      <c r="L4471" s="352"/>
      <c r="M4471" s="352"/>
      <c r="N4471" s="352"/>
      <c r="O4471" s="352"/>
      <c r="P4471" s="352"/>
      <c r="Q4471" s="352"/>
      <c r="R4471" s="352"/>
      <c r="S4471" s="352"/>
      <c r="T4471" s="352"/>
      <c r="U4471" s="352"/>
      <c r="V4471" s="352"/>
      <c r="W4471" s="352"/>
      <c r="X4471" s="352"/>
      <c r="Y4471" s="352"/>
      <c r="Z4471" s="352"/>
      <c r="AA4471" s="352"/>
      <c r="AB4471" s="352"/>
      <c r="AC4471" s="352"/>
      <c r="AD4471" s="352"/>
      <c r="AE4471" s="352"/>
      <c r="AF4471" s="352"/>
      <c r="AG4471" s="352"/>
      <c r="AH4471" s="352"/>
      <c r="AI4471" s="352"/>
      <c r="AJ4471" s="352"/>
    </row>
    <row r="4472" spans="2:36" x14ac:dyDescent="0.2">
      <c r="B4472" s="352"/>
      <c r="C4472" s="352"/>
      <c r="D4472" s="352"/>
      <c r="E4472" s="352"/>
      <c r="F4472" s="352"/>
      <c r="H4472" s="352"/>
      <c r="J4472" s="352"/>
      <c r="L4472" s="352"/>
      <c r="M4472" s="352"/>
      <c r="N4472" s="352"/>
      <c r="O4472" s="352"/>
      <c r="P4472" s="352"/>
      <c r="Q4472" s="352"/>
      <c r="R4472" s="352"/>
      <c r="S4472" s="352"/>
      <c r="T4472" s="352"/>
      <c r="U4472" s="352"/>
      <c r="V4472" s="352"/>
      <c r="W4472" s="352"/>
      <c r="X4472" s="352"/>
      <c r="Y4472" s="352"/>
      <c r="Z4472" s="352"/>
      <c r="AA4472" s="352"/>
      <c r="AB4472" s="352"/>
      <c r="AC4472" s="352"/>
      <c r="AD4472" s="352"/>
      <c r="AE4472" s="352"/>
      <c r="AF4472" s="352"/>
      <c r="AG4472" s="352"/>
      <c r="AH4472" s="352"/>
      <c r="AI4472" s="352"/>
      <c r="AJ4472" s="352"/>
    </row>
    <row r="4473" spans="2:36" x14ac:dyDescent="0.2">
      <c r="B4473" s="352"/>
      <c r="C4473" s="352"/>
      <c r="D4473" s="352"/>
      <c r="E4473" s="352"/>
      <c r="F4473" s="352"/>
      <c r="H4473" s="352"/>
      <c r="J4473" s="352"/>
      <c r="L4473" s="352"/>
      <c r="M4473" s="352"/>
      <c r="N4473" s="352"/>
      <c r="O4473" s="352"/>
      <c r="P4473" s="352"/>
      <c r="Q4473" s="352"/>
      <c r="R4473" s="352"/>
      <c r="S4473" s="352"/>
      <c r="T4473" s="352"/>
      <c r="U4473" s="352"/>
      <c r="V4473" s="352"/>
      <c r="W4473" s="352"/>
      <c r="X4473" s="352"/>
      <c r="Y4473" s="352"/>
      <c r="Z4473" s="352"/>
      <c r="AA4473" s="352"/>
      <c r="AB4473" s="352"/>
      <c r="AC4473" s="352"/>
      <c r="AD4473" s="352"/>
      <c r="AE4473" s="352"/>
      <c r="AF4473" s="352"/>
      <c r="AG4473" s="352"/>
      <c r="AH4473" s="352"/>
      <c r="AI4473" s="352"/>
      <c r="AJ4473" s="352"/>
    </row>
    <row r="4474" spans="2:36" x14ac:dyDescent="0.2">
      <c r="B4474" s="352"/>
      <c r="C4474" s="352"/>
      <c r="D4474" s="352"/>
      <c r="E4474" s="352"/>
      <c r="F4474" s="352"/>
      <c r="H4474" s="352"/>
      <c r="J4474" s="352"/>
      <c r="L4474" s="352"/>
      <c r="M4474" s="352"/>
      <c r="N4474" s="352"/>
      <c r="O4474" s="352"/>
      <c r="P4474" s="352"/>
      <c r="Q4474" s="352"/>
      <c r="R4474" s="352"/>
      <c r="S4474" s="352"/>
      <c r="T4474" s="352"/>
      <c r="U4474" s="352"/>
      <c r="V4474" s="352"/>
      <c r="W4474" s="352"/>
      <c r="X4474" s="352"/>
      <c r="Y4474" s="352"/>
      <c r="Z4474" s="352"/>
      <c r="AA4474" s="352"/>
      <c r="AB4474" s="352"/>
      <c r="AC4474" s="352"/>
      <c r="AD4474" s="352"/>
      <c r="AE4474" s="352"/>
      <c r="AF4474" s="352"/>
      <c r="AG4474" s="352"/>
      <c r="AH4474" s="352"/>
      <c r="AI4474" s="352"/>
      <c r="AJ4474" s="352"/>
    </row>
    <row r="4475" spans="2:36" x14ac:dyDescent="0.2">
      <c r="B4475" s="352"/>
      <c r="C4475" s="352"/>
      <c r="D4475" s="352"/>
      <c r="E4475" s="352"/>
      <c r="F4475" s="352"/>
      <c r="H4475" s="352"/>
      <c r="J4475" s="352"/>
      <c r="L4475" s="352"/>
      <c r="M4475" s="352"/>
      <c r="N4475" s="352"/>
      <c r="O4475" s="352"/>
      <c r="P4475" s="352"/>
      <c r="Q4475" s="352"/>
      <c r="R4475" s="352"/>
      <c r="S4475" s="352"/>
      <c r="T4475" s="352"/>
      <c r="U4475" s="352"/>
      <c r="V4475" s="352"/>
      <c r="W4475" s="352"/>
      <c r="X4475" s="352"/>
      <c r="Y4475" s="352"/>
      <c r="Z4475" s="352"/>
      <c r="AA4475" s="352"/>
      <c r="AB4475" s="352"/>
      <c r="AC4475" s="352"/>
      <c r="AD4475" s="352"/>
      <c r="AE4475" s="352"/>
      <c r="AF4475" s="352"/>
      <c r="AG4475" s="352"/>
      <c r="AH4475" s="352"/>
      <c r="AI4475" s="352"/>
      <c r="AJ4475" s="352"/>
    </row>
    <row r="4476" spans="2:36" x14ac:dyDescent="0.2">
      <c r="B4476" s="352"/>
      <c r="C4476" s="352"/>
      <c r="D4476" s="352"/>
      <c r="E4476" s="352"/>
      <c r="F4476" s="352"/>
      <c r="H4476" s="352"/>
      <c r="J4476" s="352"/>
      <c r="L4476" s="352"/>
      <c r="M4476" s="352"/>
      <c r="N4476" s="352"/>
      <c r="O4476" s="352"/>
      <c r="P4476" s="352"/>
      <c r="Q4476" s="352"/>
      <c r="R4476" s="352"/>
      <c r="S4476" s="352"/>
      <c r="T4476" s="352"/>
      <c r="U4476" s="352"/>
      <c r="V4476" s="352"/>
      <c r="W4476" s="352"/>
      <c r="X4476" s="352"/>
      <c r="Y4476" s="352"/>
      <c r="Z4476" s="352"/>
      <c r="AA4476" s="352"/>
      <c r="AB4476" s="352"/>
      <c r="AC4476" s="352"/>
      <c r="AD4476" s="352"/>
      <c r="AE4476" s="352"/>
      <c r="AF4476" s="352"/>
      <c r="AG4476" s="352"/>
      <c r="AH4476" s="352"/>
      <c r="AI4476" s="352"/>
      <c r="AJ4476" s="352"/>
    </row>
    <row r="4477" spans="2:36" x14ac:dyDescent="0.2">
      <c r="B4477" s="352"/>
      <c r="C4477" s="352"/>
      <c r="D4477" s="352"/>
      <c r="E4477" s="352"/>
      <c r="F4477" s="352"/>
      <c r="H4477" s="352"/>
      <c r="J4477" s="352"/>
      <c r="L4477" s="352"/>
      <c r="M4477" s="352"/>
      <c r="N4477" s="352"/>
      <c r="O4477" s="352"/>
      <c r="P4477" s="352"/>
      <c r="Q4477" s="352"/>
      <c r="R4477" s="352"/>
      <c r="S4477" s="352"/>
      <c r="T4477" s="352"/>
      <c r="U4477" s="352"/>
      <c r="V4477" s="352"/>
      <c r="W4477" s="352"/>
      <c r="X4477" s="352"/>
      <c r="Y4477" s="352"/>
      <c r="Z4477" s="352"/>
      <c r="AA4477" s="352"/>
      <c r="AB4477" s="352"/>
      <c r="AC4477" s="352"/>
      <c r="AD4477" s="352"/>
      <c r="AE4477" s="352"/>
      <c r="AF4477" s="352"/>
      <c r="AG4477" s="352"/>
      <c r="AH4477" s="352"/>
      <c r="AI4477" s="352"/>
      <c r="AJ4477" s="352"/>
    </row>
    <row r="4478" spans="2:36" x14ac:dyDescent="0.2">
      <c r="B4478" s="352"/>
      <c r="C4478" s="352"/>
      <c r="D4478" s="352"/>
      <c r="E4478" s="352"/>
      <c r="F4478" s="352"/>
      <c r="H4478" s="352"/>
      <c r="J4478" s="352"/>
      <c r="L4478" s="352"/>
      <c r="M4478" s="352"/>
      <c r="N4478" s="352"/>
      <c r="O4478" s="352"/>
      <c r="P4478" s="352"/>
      <c r="Q4478" s="352"/>
      <c r="R4478" s="352"/>
      <c r="S4478" s="352"/>
      <c r="T4478" s="352"/>
      <c r="U4478" s="352"/>
      <c r="V4478" s="352"/>
      <c r="W4478" s="352"/>
      <c r="X4478" s="352"/>
      <c r="Y4478" s="352"/>
      <c r="Z4478" s="352"/>
      <c r="AA4478" s="352"/>
      <c r="AB4478" s="352"/>
      <c r="AC4478" s="352"/>
      <c r="AD4478" s="352"/>
      <c r="AE4478" s="352"/>
      <c r="AF4478" s="352"/>
      <c r="AG4478" s="352"/>
      <c r="AH4478" s="352"/>
      <c r="AI4478" s="352"/>
      <c r="AJ4478" s="352"/>
    </row>
    <row r="4479" spans="2:36" x14ac:dyDescent="0.2">
      <c r="B4479" s="352"/>
      <c r="C4479" s="352"/>
      <c r="D4479" s="352"/>
      <c r="E4479" s="352"/>
      <c r="F4479" s="352"/>
      <c r="H4479" s="352"/>
      <c r="J4479" s="352"/>
      <c r="L4479" s="352"/>
      <c r="M4479" s="352"/>
      <c r="N4479" s="352"/>
      <c r="O4479" s="352"/>
      <c r="P4479" s="352"/>
      <c r="Q4479" s="352"/>
      <c r="R4479" s="352"/>
      <c r="S4479" s="352"/>
      <c r="T4479" s="352"/>
      <c r="U4479" s="352"/>
      <c r="V4479" s="352"/>
      <c r="W4479" s="352"/>
      <c r="X4479" s="352"/>
      <c r="Y4479" s="352"/>
      <c r="Z4479" s="352"/>
      <c r="AA4479" s="352"/>
      <c r="AB4479" s="352"/>
      <c r="AC4479" s="352"/>
      <c r="AD4479" s="352"/>
      <c r="AE4479" s="352"/>
      <c r="AF4479" s="352"/>
      <c r="AG4479" s="352"/>
      <c r="AH4479" s="352"/>
      <c r="AI4479" s="352"/>
      <c r="AJ4479" s="352"/>
    </row>
    <row r="4480" spans="2:36" x14ac:dyDescent="0.2">
      <c r="B4480" s="352"/>
      <c r="C4480" s="352"/>
      <c r="D4480" s="352"/>
      <c r="E4480" s="352"/>
      <c r="F4480" s="352"/>
      <c r="H4480" s="352"/>
      <c r="J4480" s="352"/>
      <c r="L4480" s="352"/>
      <c r="M4480" s="352"/>
      <c r="N4480" s="352"/>
      <c r="O4480" s="352"/>
      <c r="P4480" s="352"/>
      <c r="Q4480" s="352"/>
      <c r="R4480" s="352"/>
      <c r="S4480" s="352"/>
      <c r="T4480" s="352"/>
      <c r="U4480" s="352"/>
      <c r="V4480" s="352"/>
      <c r="W4480" s="352"/>
      <c r="X4480" s="352"/>
      <c r="Y4480" s="352"/>
      <c r="Z4480" s="352"/>
      <c r="AA4480" s="352"/>
      <c r="AB4480" s="352"/>
      <c r="AC4480" s="352"/>
      <c r="AD4480" s="352"/>
      <c r="AE4480" s="352"/>
      <c r="AF4480" s="352"/>
      <c r="AG4480" s="352"/>
      <c r="AH4480" s="352"/>
      <c r="AI4480" s="352"/>
      <c r="AJ4480" s="352"/>
    </row>
    <row r="4481" spans="2:36" x14ac:dyDescent="0.2">
      <c r="B4481" s="352"/>
      <c r="C4481" s="352"/>
      <c r="D4481" s="352"/>
      <c r="E4481" s="352"/>
      <c r="F4481" s="352"/>
      <c r="H4481" s="352"/>
      <c r="J4481" s="352"/>
      <c r="L4481" s="352"/>
      <c r="M4481" s="352"/>
      <c r="N4481" s="352"/>
      <c r="O4481" s="352"/>
      <c r="P4481" s="352"/>
      <c r="Q4481" s="352"/>
      <c r="R4481" s="352"/>
      <c r="S4481" s="352"/>
      <c r="T4481" s="352"/>
      <c r="U4481" s="352"/>
      <c r="V4481" s="352"/>
      <c r="W4481" s="352"/>
      <c r="X4481" s="352"/>
      <c r="Y4481" s="352"/>
      <c r="Z4481" s="352"/>
      <c r="AA4481" s="352"/>
      <c r="AB4481" s="352"/>
      <c r="AC4481" s="352"/>
      <c r="AD4481" s="352"/>
      <c r="AE4481" s="352"/>
      <c r="AF4481" s="352"/>
      <c r="AG4481" s="352"/>
      <c r="AH4481" s="352"/>
      <c r="AI4481" s="352"/>
      <c r="AJ4481" s="352"/>
    </row>
    <row r="4482" spans="2:36" x14ac:dyDescent="0.2">
      <c r="B4482" s="352"/>
      <c r="C4482" s="352"/>
      <c r="D4482" s="352"/>
      <c r="E4482" s="352"/>
      <c r="F4482" s="352"/>
      <c r="H4482" s="352"/>
      <c r="J4482" s="352"/>
      <c r="L4482" s="352"/>
      <c r="M4482" s="352"/>
      <c r="N4482" s="352"/>
      <c r="O4482" s="352"/>
      <c r="P4482" s="352"/>
      <c r="Q4482" s="352"/>
      <c r="R4482" s="352"/>
      <c r="S4482" s="352"/>
      <c r="T4482" s="352"/>
      <c r="U4482" s="352"/>
      <c r="V4482" s="352"/>
      <c r="W4482" s="352"/>
      <c r="X4482" s="352"/>
      <c r="Y4482" s="352"/>
      <c r="Z4482" s="352"/>
      <c r="AA4482" s="352"/>
      <c r="AB4482" s="352"/>
      <c r="AC4482" s="352"/>
      <c r="AD4482" s="352"/>
      <c r="AE4482" s="352"/>
      <c r="AF4482" s="352"/>
      <c r="AG4482" s="352"/>
      <c r="AH4482" s="352"/>
      <c r="AI4482" s="352"/>
      <c r="AJ4482" s="352"/>
    </row>
    <row r="4483" spans="2:36" x14ac:dyDescent="0.2">
      <c r="B4483" s="352"/>
      <c r="C4483" s="352"/>
      <c r="D4483" s="352"/>
      <c r="E4483" s="352"/>
      <c r="F4483" s="352"/>
      <c r="H4483" s="352"/>
      <c r="J4483" s="352"/>
      <c r="L4483" s="352"/>
      <c r="M4483" s="352"/>
      <c r="N4483" s="352"/>
      <c r="O4483" s="352"/>
      <c r="P4483" s="352"/>
      <c r="Q4483" s="352"/>
      <c r="R4483" s="352"/>
      <c r="S4483" s="352"/>
      <c r="T4483" s="352"/>
      <c r="U4483" s="352"/>
      <c r="V4483" s="352"/>
      <c r="W4483" s="352"/>
      <c r="X4483" s="352"/>
      <c r="Y4483" s="352"/>
      <c r="Z4483" s="352"/>
      <c r="AA4483" s="352"/>
      <c r="AB4483" s="352"/>
      <c r="AC4483" s="352"/>
      <c r="AD4483" s="352"/>
      <c r="AE4483" s="352"/>
      <c r="AF4483" s="352"/>
      <c r="AG4483" s="352"/>
      <c r="AH4483" s="352"/>
      <c r="AI4483" s="352"/>
      <c r="AJ4483" s="352"/>
    </row>
    <row r="4484" spans="2:36" x14ac:dyDescent="0.2">
      <c r="B4484" s="352"/>
      <c r="C4484" s="352"/>
      <c r="D4484" s="352"/>
      <c r="E4484" s="352"/>
      <c r="F4484" s="352"/>
      <c r="H4484" s="352"/>
      <c r="J4484" s="352"/>
      <c r="L4484" s="352"/>
      <c r="M4484" s="352"/>
      <c r="N4484" s="352"/>
      <c r="O4484" s="352"/>
      <c r="P4484" s="352"/>
      <c r="Q4484" s="352"/>
      <c r="R4484" s="352"/>
      <c r="S4484" s="352"/>
      <c r="T4484" s="352"/>
      <c r="U4484" s="352"/>
      <c r="V4484" s="352"/>
      <c r="W4484" s="352"/>
      <c r="X4484" s="352"/>
      <c r="Y4484" s="352"/>
      <c r="Z4484" s="352"/>
      <c r="AA4484" s="352"/>
      <c r="AB4484" s="352"/>
      <c r="AC4484" s="352"/>
      <c r="AD4484" s="352"/>
      <c r="AE4484" s="352"/>
      <c r="AF4484" s="352"/>
      <c r="AG4484" s="352"/>
      <c r="AH4484" s="352"/>
      <c r="AI4484" s="352"/>
      <c r="AJ4484" s="352"/>
    </row>
    <row r="4485" spans="2:36" x14ac:dyDescent="0.2">
      <c r="B4485" s="352"/>
      <c r="C4485" s="352"/>
      <c r="D4485" s="352"/>
      <c r="E4485" s="352"/>
      <c r="F4485" s="352"/>
      <c r="H4485" s="352"/>
      <c r="J4485" s="352"/>
      <c r="L4485" s="352"/>
      <c r="M4485" s="352"/>
      <c r="N4485" s="352"/>
      <c r="O4485" s="352"/>
      <c r="P4485" s="352"/>
      <c r="Q4485" s="352"/>
      <c r="R4485" s="352"/>
      <c r="S4485" s="352"/>
      <c r="T4485" s="352"/>
      <c r="U4485" s="352"/>
      <c r="V4485" s="352"/>
      <c r="W4485" s="352"/>
      <c r="X4485" s="352"/>
      <c r="Y4485" s="352"/>
      <c r="Z4485" s="352"/>
      <c r="AA4485" s="352"/>
      <c r="AB4485" s="352"/>
      <c r="AC4485" s="352"/>
      <c r="AD4485" s="352"/>
      <c r="AE4485" s="352"/>
      <c r="AF4485" s="352"/>
      <c r="AG4485" s="352"/>
      <c r="AH4485" s="352"/>
      <c r="AI4485" s="352"/>
      <c r="AJ4485" s="352"/>
    </row>
    <row r="4486" spans="2:36" x14ac:dyDescent="0.2">
      <c r="B4486" s="352"/>
      <c r="C4486" s="352"/>
      <c r="D4486" s="352"/>
      <c r="E4486" s="352"/>
      <c r="F4486" s="352"/>
      <c r="H4486" s="352"/>
      <c r="J4486" s="352"/>
      <c r="L4486" s="352"/>
      <c r="M4486" s="352"/>
      <c r="N4486" s="352"/>
      <c r="O4486" s="352"/>
      <c r="P4486" s="352"/>
      <c r="Q4486" s="352"/>
      <c r="R4486" s="352"/>
      <c r="S4486" s="352"/>
      <c r="T4486" s="352"/>
      <c r="U4486" s="352"/>
      <c r="V4486" s="352"/>
      <c r="W4486" s="352"/>
      <c r="X4486" s="352"/>
      <c r="Y4486" s="352"/>
      <c r="Z4486" s="352"/>
      <c r="AA4486" s="352"/>
      <c r="AB4486" s="352"/>
      <c r="AC4486" s="352"/>
      <c r="AD4486" s="352"/>
      <c r="AE4486" s="352"/>
      <c r="AF4486" s="352"/>
      <c r="AG4486" s="352"/>
      <c r="AH4486" s="352"/>
      <c r="AI4486" s="352"/>
      <c r="AJ4486" s="352"/>
    </row>
    <row r="4487" spans="2:36" x14ac:dyDescent="0.2">
      <c r="B4487" s="352"/>
      <c r="C4487" s="352"/>
      <c r="D4487" s="352"/>
      <c r="E4487" s="352"/>
      <c r="F4487" s="352"/>
      <c r="H4487" s="352"/>
      <c r="J4487" s="352"/>
      <c r="L4487" s="352"/>
      <c r="M4487" s="352"/>
      <c r="N4487" s="352"/>
      <c r="O4487" s="352"/>
      <c r="P4487" s="352"/>
      <c r="Q4487" s="352"/>
      <c r="R4487" s="352"/>
      <c r="S4487" s="352"/>
      <c r="T4487" s="352"/>
      <c r="U4487" s="352"/>
      <c r="V4487" s="352"/>
      <c r="W4487" s="352"/>
      <c r="X4487" s="352"/>
      <c r="Y4487" s="352"/>
      <c r="Z4487" s="352"/>
      <c r="AA4487" s="352"/>
      <c r="AB4487" s="352"/>
      <c r="AC4487" s="352"/>
      <c r="AD4487" s="352"/>
      <c r="AE4487" s="352"/>
      <c r="AF4487" s="352"/>
      <c r="AG4487" s="352"/>
      <c r="AH4487" s="352"/>
      <c r="AI4487" s="352"/>
      <c r="AJ4487" s="352"/>
    </row>
    <row r="4488" spans="2:36" x14ac:dyDescent="0.2">
      <c r="B4488" s="352"/>
      <c r="C4488" s="352"/>
      <c r="D4488" s="352"/>
      <c r="E4488" s="352"/>
      <c r="F4488" s="352"/>
      <c r="H4488" s="352"/>
      <c r="J4488" s="352"/>
      <c r="L4488" s="352"/>
      <c r="M4488" s="352"/>
      <c r="N4488" s="352"/>
      <c r="O4488" s="352"/>
      <c r="P4488" s="352"/>
      <c r="Q4488" s="352"/>
      <c r="R4488" s="352"/>
      <c r="S4488" s="352"/>
      <c r="T4488" s="352"/>
      <c r="U4488" s="352"/>
      <c r="V4488" s="352"/>
      <c r="W4488" s="352"/>
      <c r="X4488" s="352"/>
      <c r="Y4488" s="352"/>
      <c r="Z4488" s="352"/>
      <c r="AA4488" s="352"/>
      <c r="AB4488" s="352"/>
      <c r="AC4488" s="352"/>
      <c r="AD4488" s="352"/>
      <c r="AE4488" s="352"/>
      <c r="AF4488" s="352"/>
      <c r="AG4488" s="352"/>
      <c r="AH4488" s="352"/>
      <c r="AI4488" s="352"/>
      <c r="AJ4488" s="352"/>
    </row>
    <row r="4489" spans="2:36" x14ac:dyDescent="0.2">
      <c r="B4489" s="352"/>
      <c r="C4489" s="352"/>
      <c r="D4489" s="352"/>
      <c r="E4489" s="352"/>
      <c r="F4489" s="352"/>
      <c r="H4489" s="352"/>
      <c r="J4489" s="352"/>
      <c r="L4489" s="352"/>
      <c r="M4489" s="352"/>
      <c r="N4489" s="352"/>
      <c r="O4489" s="352"/>
      <c r="P4489" s="352"/>
      <c r="Q4489" s="352"/>
      <c r="R4489" s="352"/>
      <c r="S4489" s="352"/>
      <c r="T4489" s="352"/>
      <c r="U4489" s="352"/>
      <c r="V4489" s="352"/>
      <c r="W4489" s="352"/>
      <c r="X4489" s="352"/>
      <c r="Y4489" s="352"/>
      <c r="Z4489" s="352"/>
      <c r="AA4489" s="352"/>
      <c r="AB4489" s="352"/>
      <c r="AC4489" s="352"/>
      <c r="AD4489" s="352"/>
      <c r="AE4489" s="352"/>
      <c r="AF4489" s="352"/>
      <c r="AG4489" s="352"/>
      <c r="AH4489" s="352"/>
      <c r="AI4489" s="352"/>
      <c r="AJ4489" s="352"/>
    </row>
    <row r="4490" spans="2:36" x14ac:dyDescent="0.2">
      <c r="B4490" s="352"/>
      <c r="C4490" s="352"/>
      <c r="D4490" s="352"/>
      <c r="E4490" s="352"/>
      <c r="F4490" s="352"/>
      <c r="H4490" s="352"/>
      <c r="J4490" s="352"/>
      <c r="L4490" s="352"/>
      <c r="M4490" s="352"/>
      <c r="N4490" s="352"/>
      <c r="O4490" s="352"/>
      <c r="P4490" s="352"/>
      <c r="Q4490" s="352"/>
      <c r="R4490" s="352"/>
      <c r="S4490" s="352"/>
      <c r="T4490" s="352"/>
      <c r="U4490" s="352"/>
      <c r="V4490" s="352"/>
      <c r="W4490" s="352"/>
      <c r="X4490" s="352"/>
      <c r="Y4490" s="352"/>
      <c r="Z4490" s="352"/>
      <c r="AA4490" s="352"/>
      <c r="AB4490" s="352"/>
      <c r="AC4490" s="352"/>
      <c r="AD4490" s="352"/>
      <c r="AE4490" s="352"/>
      <c r="AF4490" s="352"/>
      <c r="AG4490" s="352"/>
      <c r="AH4490" s="352"/>
      <c r="AI4490" s="352"/>
      <c r="AJ4490" s="352"/>
    </row>
    <row r="4491" spans="2:36" x14ac:dyDescent="0.2">
      <c r="B4491" s="352"/>
      <c r="C4491" s="352"/>
      <c r="D4491" s="352"/>
      <c r="E4491" s="352"/>
      <c r="F4491" s="352"/>
      <c r="H4491" s="352"/>
      <c r="J4491" s="352"/>
      <c r="L4491" s="352"/>
      <c r="M4491" s="352"/>
      <c r="N4491" s="352"/>
      <c r="O4491" s="352"/>
      <c r="P4491" s="352"/>
      <c r="Q4491" s="352"/>
      <c r="R4491" s="352"/>
      <c r="S4491" s="352"/>
      <c r="T4491" s="352"/>
      <c r="U4491" s="352"/>
      <c r="V4491" s="352"/>
      <c r="W4491" s="352"/>
      <c r="X4491" s="352"/>
      <c r="Y4491" s="352"/>
      <c r="Z4491" s="352"/>
      <c r="AA4491" s="352"/>
      <c r="AB4491" s="352"/>
      <c r="AC4491" s="352"/>
      <c r="AD4491" s="352"/>
      <c r="AE4491" s="352"/>
      <c r="AF4491" s="352"/>
      <c r="AG4491" s="352"/>
      <c r="AH4491" s="352"/>
      <c r="AI4491" s="352"/>
      <c r="AJ4491" s="352"/>
    </row>
    <row r="4492" spans="2:36" x14ac:dyDescent="0.2">
      <c r="B4492" s="352"/>
      <c r="C4492" s="352"/>
      <c r="D4492" s="352"/>
      <c r="E4492" s="352"/>
      <c r="F4492" s="352"/>
      <c r="H4492" s="352"/>
      <c r="J4492" s="352"/>
      <c r="L4492" s="352"/>
      <c r="M4492" s="352"/>
      <c r="N4492" s="352"/>
      <c r="O4492" s="352"/>
      <c r="P4492" s="352"/>
      <c r="Q4492" s="352"/>
      <c r="R4492" s="352"/>
      <c r="S4492" s="352"/>
      <c r="T4492" s="352"/>
      <c r="U4492" s="352"/>
      <c r="V4492" s="352"/>
      <c r="W4492" s="352"/>
      <c r="X4492" s="352"/>
      <c r="Y4492" s="352"/>
      <c r="Z4492" s="352"/>
      <c r="AA4492" s="352"/>
      <c r="AB4492" s="352"/>
      <c r="AC4492" s="352"/>
      <c r="AD4492" s="352"/>
      <c r="AE4492" s="352"/>
      <c r="AF4492" s="352"/>
      <c r="AG4492" s="352"/>
      <c r="AH4492" s="352"/>
      <c r="AI4492" s="352"/>
      <c r="AJ4492" s="352"/>
    </row>
    <row r="4493" spans="2:36" x14ac:dyDescent="0.2">
      <c r="B4493" s="352"/>
      <c r="C4493" s="352"/>
      <c r="D4493" s="352"/>
      <c r="E4493" s="352"/>
      <c r="F4493" s="352"/>
      <c r="H4493" s="352"/>
      <c r="J4493" s="352"/>
      <c r="L4493" s="352"/>
      <c r="M4493" s="352"/>
      <c r="N4493" s="352"/>
      <c r="O4493" s="352"/>
      <c r="P4493" s="352"/>
      <c r="Q4493" s="352"/>
      <c r="R4493" s="352"/>
      <c r="S4493" s="352"/>
      <c r="T4493" s="352"/>
      <c r="U4493" s="352"/>
      <c r="V4493" s="352"/>
      <c r="W4493" s="352"/>
      <c r="X4493" s="352"/>
      <c r="Y4493" s="352"/>
      <c r="Z4493" s="352"/>
      <c r="AA4493" s="352"/>
      <c r="AB4493" s="352"/>
      <c r="AC4493" s="352"/>
      <c r="AD4493" s="352"/>
      <c r="AE4493" s="352"/>
      <c r="AF4493" s="352"/>
      <c r="AG4493" s="352"/>
      <c r="AH4493" s="352"/>
      <c r="AI4493" s="352"/>
      <c r="AJ4493" s="352"/>
    </row>
    <row r="4494" spans="2:36" x14ac:dyDescent="0.2">
      <c r="B4494" s="352"/>
      <c r="C4494" s="352"/>
      <c r="D4494" s="352"/>
      <c r="E4494" s="352"/>
      <c r="F4494" s="352"/>
      <c r="H4494" s="352"/>
      <c r="J4494" s="352"/>
      <c r="L4494" s="352"/>
      <c r="M4494" s="352"/>
      <c r="N4494" s="352"/>
      <c r="O4494" s="352"/>
      <c r="P4494" s="352"/>
      <c r="Q4494" s="352"/>
      <c r="R4494" s="352"/>
      <c r="S4494" s="352"/>
      <c r="T4494" s="352"/>
      <c r="U4494" s="352"/>
      <c r="V4494" s="352"/>
      <c r="W4494" s="352"/>
      <c r="X4494" s="352"/>
      <c r="Y4494" s="352"/>
      <c r="Z4494" s="352"/>
      <c r="AA4494" s="352"/>
      <c r="AB4494" s="352"/>
      <c r="AC4494" s="352"/>
      <c r="AD4494" s="352"/>
      <c r="AE4494" s="352"/>
      <c r="AF4494" s="352"/>
      <c r="AG4494" s="352"/>
      <c r="AH4494" s="352"/>
      <c r="AI4494" s="352"/>
      <c r="AJ4494" s="352"/>
    </row>
    <row r="4495" spans="2:36" x14ac:dyDescent="0.2">
      <c r="B4495" s="352"/>
      <c r="C4495" s="352"/>
      <c r="D4495" s="352"/>
      <c r="E4495" s="352"/>
      <c r="F4495" s="352"/>
      <c r="H4495" s="352"/>
      <c r="J4495" s="352"/>
      <c r="L4495" s="352"/>
      <c r="M4495" s="352"/>
      <c r="N4495" s="352"/>
      <c r="O4495" s="352"/>
      <c r="P4495" s="352"/>
      <c r="Q4495" s="352"/>
      <c r="R4495" s="352"/>
      <c r="S4495" s="352"/>
      <c r="T4495" s="352"/>
      <c r="U4495" s="352"/>
      <c r="V4495" s="352"/>
      <c r="W4495" s="352"/>
      <c r="X4495" s="352"/>
      <c r="Y4495" s="352"/>
      <c r="Z4495" s="352"/>
      <c r="AA4495" s="352"/>
      <c r="AB4495" s="352"/>
      <c r="AC4495" s="352"/>
      <c r="AD4495" s="352"/>
      <c r="AE4495" s="352"/>
      <c r="AF4495" s="352"/>
      <c r="AG4495" s="352"/>
      <c r="AH4495" s="352"/>
      <c r="AI4495" s="352"/>
      <c r="AJ4495" s="352"/>
    </row>
    <row r="4496" spans="2:36" x14ac:dyDescent="0.2">
      <c r="B4496" s="352"/>
      <c r="C4496" s="352"/>
      <c r="D4496" s="352"/>
      <c r="E4496" s="352"/>
      <c r="F4496" s="352"/>
      <c r="H4496" s="352"/>
      <c r="J4496" s="352"/>
      <c r="L4496" s="352"/>
      <c r="M4496" s="352"/>
      <c r="N4496" s="352"/>
      <c r="O4496" s="352"/>
      <c r="P4496" s="352"/>
      <c r="Q4496" s="352"/>
      <c r="R4496" s="352"/>
      <c r="S4496" s="352"/>
      <c r="T4496" s="352"/>
      <c r="U4496" s="352"/>
      <c r="V4496" s="352"/>
      <c r="W4496" s="352"/>
      <c r="X4496" s="352"/>
      <c r="Y4496" s="352"/>
      <c r="Z4496" s="352"/>
      <c r="AA4496" s="352"/>
      <c r="AB4496" s="352"/>
      <c r="AC4496" s="352"/>
      <c r="AD4496" s="352"/>
      <c r="AE4496" s="352"/>
      <c r="AF4496" s="352"/>
      <c r="AG4496" s="352"/>
      <c r="AH4496" s="352"/>
      <c r="AI4496" s="352"/>
      <c r="AJ4496" s="352"/>
    </row>
    <row r="4497" spans="2:36" x14ac:dyDescent="0.2">
      <c r="B4497" s="352"/>
      <c r="C4497" s="352"/>
      <c r="D4497" s="352"/>
      <c r="E4497" s="352"/>
      <c r="F4497" s="352"/>
      <c r="H4497" s="352"/>
      <c r="J4497" s="352"/>
      <c r="L4497" s="352"/>
      <c r="M4497" s="352"/>
      <c r="N4497" s="352"/>
      <c r="O4497" s="352"/>
      <c r="P4497" s="352"/>
      <c r="Q4497" s="352"/>
      <c r="R4497" s="352"/>
      <c r="S4497" s="352"/>
      <c r="T4497" s="352"/>
      <c r="U4497" s="352"/>
      <c r="V4497" s="352"/>
      <c r="W4497" s="352"/>
      <c r="X4497" s="352"/>
      <c r="Y4497" s="352"/>
      <c r="Z4497" s="352"/>
      <c r="AA4497" s="352"/>
      <c r="AB4497" s="352"/>
      <c r="AC4497" s="352"/>
      <c r="AD4497" s="352"/>
      <c r="AE4497" s="352"/>
      <c r="AF4497" s="352"/>
      <c r="AG4497" s="352"/>
      <c r="AH4497" s="352"/>
      <c r="AI4497" s="352"/>
      <c r="AJ4497" s="352"/>
    </row>
    <row r="4498" spans="2:36" x14ac:dyDescent="0.2">
      <c r="B4498" s="352"/>
      <c r="C4498" s="352"/>
      <c r="D4498" s="352"/>
      <c r="E4498" s="352"/>
      <c r="F4498" s="352"/>
      <c r="H4498" s="352"/>
      <c r="J4498" s="352"/>
      <c r="L4498" s="352"/>
      <c r="M4498" s="352"/>
      <c r="N4498" s="352"/>
      <c r="O4498" s="352"/>
      <c r="P4498" s="352"/>
      <c r="Q4498" s="352"/>
      <c r="R4498" s="352"/>
      <c r="S4498" s="352"/>
      <c r="T4498" s="352"/>
      <c r="U4498" s="352"/>
      <c r="V4498" s="352"/>
      <c r="W4498" s="352"/>
      <c r="X4498" s="352"/>
      <c r="Y4498" s="352"/>
      <c r="Z4498" s="352"/>
      <c r="AA4498" s="352"/>
      <c r="AB4498" s="352"/>
      <c r="AC4498" s="352"/>
      <c r="AD4498" s="352"/>
      <c r="AE4498" s="352"/>
      <c r="AF4498" s="352"/>
      <c r="AG4498" s="352"/>
      <c r="AH4498" s="352"/>
      <c r="AI4498" s="352"/>
      <c r="AJ4498" s="352"/>
    </row>
    <row r="4499" spans="2:36" x14ac:dyDescent="0.2">
      <c r="B4499" s="352"/>
      <c r="C4499" s="352"/>
      <c r="D4499" s="352"/>
      <c r="E4499" s="352"/>
      <c r="F4499" s="352"/>
      <c r="H4499" s="352"/>
      <c r="J4499" s="352"/>
      <c r="L4499" s="352"/>
      <c r="M4499" s="352"/>
      <c r="N4499" s="352"/>
      <c r="O4499" s="352"/>
      <c r="P4499" s="352"/>
      <c r="Q4499" s="352"/>
      <c r="R4499" s="352"/>
      <c r="S4499" s="352"/>
      <c r="T4499" s="352"/>
      <c r="U4499" s="352"/>
      <c r="V4499" s="352"/>
      <c r="W4499" s="352"/>
      <c r="X4499" s="352"/>
      <c r="Y4499" s="352"/>
      <c r="Z4499" s="352"/>
      <c r="AA4499" s="352"/>
      <c r="AB4499" s="352"/>
      <c r="AC4499" s="352"/>
      <c r="AD4499" s="352"/>
      <c r="AE4499" s="352"/>
      <c r="AF4499" s="352"/>
      <c r="AG4499" s="352"/>
      <c r="AH4499" s="352"/>
      <c r="AI4499" s="352"/>
      <c r="AJ4499" s="352"/>
    </row>
    <row r="4500" spans="2:36" x14ac:dyDescent="0.2">
      <c r="B4500" s="352"/>
      <c r="C4500" s="352"/>
      <c r="D4500" s="352"/>
      <c r="E4500" s="352"/>
      <c r="F4500" s="352"/>
      <c r="H4500" s="352"/>
      <c r="J4500" s="352"/>
      <c r="L4500" s="352"/>
      <c r="M4500" s="352"/>
      <c r="N4500" s="352"/>
      <c r="O4500" s="352"/>
      <c r="P4500" s="352"/>
      <c r="Q4500" s="352"/>
      <c r="R4500" s="352"/>
      <c r="S4500" s="352"/>
      <c r="T4500" s="352"/>
      <c r="U4500" s="352"/>
      <c r="V4500" s="352"/>
      <c r="W4500" s="352"/>
      <c r="X4500" s="352"/>
      <c r="Y4500" s="352"/>
      <c r="Z4500" s="352"/>
      <c r="AA4500" s="352"/>
      <c r="AB4500" s="352"/>
      <c r="AC4500" s="352"/>
      <c r="AD4500" s="352"/>
      <c r="AE4500" s="352"/>
      <c r="AF4500" s="352"/>
      <c r="AG4500" s="352"/>
      <c r="AH4500" s="352"/>
      <c r="AI4500" s="352"/>
      <c r="AJ4500" s="352"/>
    </row>
    <row r="4501" spans="2:36" x14ac:dyDescent="0.2">
      <c r="B4501" s="352"/>
      <c r="C4501" s="352"/>
      <c r="D4501" s="352"/>
      <c r="E4501" s="352"/>
      <c r="F4501" s="352"/>
      <c r="H4501" s="352"/>
      <c r="J4501" s="352"/>
      <c r="L4501" s="352"/>
      <c r="M4501" s="352"/>
      <c r="N4501" s="352"/>
      <c r="O4501" s="352"/>
      <c r="P4501" s="352"/>
      <c r="Q4501" s="352"/>
      <c r="R4501" s="352"/>
      <c r="S4501" s="352"/>
      <c r="T4501" s="352"/>
      <c r="U4501" s="352"/>
      <c r="V4501" s="352"/>
      <c r="W4501" s="352"/>
      <c r="X4501" s="352"/>
      <c r="Y4501" s="352"/>
      <c r="Z4501" s="352"/>
      <c r="AA4501" s="352"/>
      <c r="AB4501" s="352"/>
      <c r="AC4501" s="352"/>
      <c r="AD4501" s="352"/>
      <c r="AE4501" s="352"/>
      <c r="AF4501" s="352"/>
      <c r="AG4501" s="352"/>
      <c r="AH4501" s="352"/>
      <c r="AI4501" s="352"/>
      <c r="AJ4501" s="352"/>
    </row>
    <row r="4502" spans="2:36" x14ac:dyDescent="0.2">
      <c r="B4502" s="352"/>
      <c r="C4502" s="352"/>
      <c r="D4502" s="352"/>
      <c r="E4502" s="352"/>
      <c r="F4502" s="352"/>
      <c r="H4502" s="352"/>
      <c r="J4502" s="352"/>
      <c r="L4502" s="352"/>
      <c r="M4502" s="352"/>
      <c r="N4502" s="352"/>
      <c r="O4502" s="352"/>
      <c r="P4502" s="352"/>
      <c r="Q4502" s="352"/>
      <c r="R4502" s="352"/>
      <c r="S4502" s="352"/>
      <c r="T4502" s="352"/>
      <c r="U4502" s="352"/>
      <c r="V4502" s="352"/>
      <c r="W4502" s="352"/>
      <c r="X4502" s="352"/>
      <c r="Y4502" s="352"/>
      <c r="Z4502" s="352"/>
      <c r="AA4502" s="352"/>
      <c r="AB4502" s="352"/>
      <c r="AC4502" s="352"/>
      <c r="AD4502" s="352"/>
      <c r="AE4502" s="352"/>
      <c r="AF4502" s="352"/>
      <c r="AG4502" s="352"/>
      <c r="AH4502" s="352"/>
      <c r="AI4502" s="352"/>
      <c r="AJ4502" s="352"/>
    </row>
    <row r="4503" spans="2:36" x14ac:dyDescent="0.2">
      <c r="B4503" s="352"/>
      <c r="C4503" s="352"/>
      <c r="D4503" s="352"/>
      <c r="E4503" s="352"/>
      <c r="F4503" s="352"/>
      <c r="H4503" s="352"/>
      <c r="J4503" s="352"/>
      <c r="L4503" s="352"/>
      <c r="M4503" s="352"/>
      <c r="N4503" s="352"/>
      <c r="O4503" s="352"/>
      <c r="P4503" s="352"/>
      <c r="Q4503" s="352"/>
      <c r="R4503" s="352"/>
      <c r="S4503" s="352"/>
      <c r="T4503" s="352"/>
      <c r="U4503" s="352"/>
      <c r="V4503" s="352"/>
      <c r="W4503" s="352"/>
      <c r="X4503" s="352"/>
      <c r="Y4503" s="352"/>
      <c r="Z4503" s="352"/>
      <c r="AA4503" s="352"/>
      <c r="AB4503" s="352"/>
      <c r="AC4503" s="352"/>
      <c r="AD4503" s="352"/>
      <c r="AE4503" s="352"/>
      <c r="AF4503" s="352"/>
      <c r="AG4503" s="352"/>
      <c r="AH4503" s="352"/>
      <c r="AI4503" s="352"/>
      <c r="AJ4503" s="352"/>
    </row>
    <row r="4504" spans="2:36" x14ac:dyDescent="0.2">
      <c r="B4504" s="352"/>
      <c r="C4504" s="352"/>
      <c r="D4504" s="352"/>
      <c r="E4504" s="352"/>
      <c r="F4504" s="352"/>
      <c r="H4504" s="352"/>
      <c r="J4504" s="352"/>
      <c r="L4504" s="352"/>
      <c r="M4504" s="352"/>
      <c r="N4504" s="352"/>
      <c r="O4504" s="352"/>
      <c r="P4504" s="352"/>
      <c r="Q4504" s="352"/>
      <c r="R4504" s="352"/>
      <c r="S4504" s="352"/>
      <c r="T4504" s="352"/>
      <c r="U4504" s="352"/>
      <c r="V4504" s="352"/>
      <c r="W4504" s="352"/>
      <c r="X4504" s="352"/>
      <c r="Y4504" s="352"/>
      <c r="Z4504" s="352"/>
      <c r="AA4504" s="352"/>
      <c r="AB4504" s="352"/>
      <c r="AC4504" s="352"/>
      <c r="AD4504" s="352"/>
      <c r="AE4504" s="352"/>
      <c r="AF4504" s="352"/>
      <c r="AG4504" s="352"/>
      <c r="AH4504" s="352"/>
      <c r="AI4504" s="352"/>
      <c r="AJ4504" s="352"/>
    </row>
    <row r="4505" spans="2:36" x14ac:dyDescent="0.2">
      <c r="B4505" s="352"/>
      <c r="C4505" s="352"/>
      <c r="D4505" s="352"/>
      <c r="E4505" s="352"/>
      <c r="F4505" s="352"/>
      <c r="H4505" s="352"/>
      <c r="J4505" s="352"/>
      <c r="L4505" s="352"/>
      <c r="M4505" s="352"/>
      <c r="N4505" s="352"/>
      <c r="O4505" s="352"/>
      <c r="P4505" s="352"/>
      <c r="Q4505" s="352"/>
      <c r="R4505" s="352"/>
      <c r="S4505" s="352"/>
      <c r="T4505" s="352"/>
      <c r="U4505" s="352"/>
      <c r="V4505" s="352"/>
      <c r="W4505" s="352"/>
      <c r="X4505" s="352"/>
      <c r="Y4505" s="352"/>
      <c r="Z4505" s="352"/>
      <c r="AA4505" s="352"/>
      <c r="AB4505" s="352"/>
      <c r="AC4505" s="352"/>
      <c r="AD4505" s="352"/>
      <c r="AE4505" s="352"/>
      <c r="AF4505" s="352"/>
      <c r="AG4505" s="352"/>
      <c r="AH4505" s="352"/>
      <c r="AI4505" s="352"/>
      <c r="AJ4505" s="352"/>
    </row>
    <row r="4506" spans="2:36" x14ac:dyDescent="0.2">
      <c r="B4506" s="352"/>
      <c r="C4506" s="352"/>
      <c r="D4506" s="352"/>
      <c r="E4506" s="352"/>
      <c r="F4506" s="352"/>
      <c r="H4506" s="352"/>
      <c r="J4506" s="352"/>
      <c r="L4506" s="352"/>
      <c r="M4506" s="352"/>
      <c r="N4506" s="352"/>
      <c r="O4506" s="352"/>
      <c r="P4506" s="352"/>
      <c r="Q4506" s="352"/>
      <c r="R4506" s="352"/>
      <c r="S4506" s="352"/>
      <c r="T4506" s="352"/>
      <c r="U4506" s="352"/>
      <c r="V4506" s="352"/>
      <c r="W4506" s="352"/>
      <c r="X4506" s="352"/>
      <c r="Y4506" s="352"/>
      <c r="Z4506" s="352"/>
      <c r="AA4506" s="352"/>
      <c r="AB4506" s="352"/>
      <c r="AC4506" s="352"/>
      <c r="AD4506" s="352"/>
      <c r="AE4506" s="352"/>
      <c r="AF4506" s="352"/>
      <c r="AG4506" s="352"/>
      <c r="AH4506" s="352"/>
      <c r="AI4506" s="352"/>
      <c r="AJ4506" s="352"/>
    </row>
    <row r="4507" spans="2:36" x14ac:dyDescent="0.2">
      <c r="B4507" s="352"/>
      <c r="C4507" s="352"/>
      <c r="D4507" s="352"/>
      <c r="E4507" s="352"/>
      <c r="F4507" s="352"/>
      <c r="H4507" s="352"/>
      <c r="J4507" s="352"/>
      <c r="L4507" s="352"/>
      <c r="M4507" s="352"/>
      <c r="N4507" s="352"/>
      <c r="O4507" s="352"/>
      <c r="P4507" s="352"/>
      <c r="Q4507" s="352"/>
      <c r="R4507" s="352"/>
      <c r="S4507" s="352"/>
      <c r="T4507" s="352"/>
      <c r="U4507" s="352"/>
      <c r="V4507" s="352"/>
      <c r="W4507" s="352"/>
      <c r="X4507" s="352"/>
      <c r="Y4507" s="352"/>
      <c r="Z4507" s="352"/>
      <c r="AA4507" s="352"/>
      <c r="AB4507" s="352"/>
      <c r="AC4507" s="352"/>
      <c r="AD4507" s="352"/>
      <c r="AE4507" s="352"/>
      <c r="AF4507" s="352"/>
      <c r="AG4507" s="352"/>
      <c r="AH4507" s="352"/>
      <c r="AI4507" s="352"/>
      <c r="AJ4507" s="352"/>
    </row>
    <row r="4508" spans="2:36" x14ac:dyDescent="0.2">
      <c r="B4508" s="352"/>
      <c r="C4508" s="352"/>
      <c r="D4508" s="352"/>
      <c r="E4508" s="352"/>
      <c r="F4508" s="352"/>
      <c r="H4508" s="352"/>
      <c r="J4508" s="352"/>
      <c r="L4508" s="352"/>
      <c r="M4508" s="352"/>
      <c r="N4508" s="352"/>
      <c r="O4508" s="352"/>
      <c r="P4508" s="352"/>
      <c r="Q4508" s="352"/>
      <c r="R4508" s="352"/>
      <c r="S4508" s="352"/>
      <c r="T4508" s="352"/>
      <c r="U4508" s="352"/>
      <c r="V4508" s="352"/>
      <c r="W4508" s="352"/>
      <c r="X4508" s="352"/>
      <c r="Y4508" s="352"/>
      <c r="Z4508" s="352"/>
      <c r="AA4508" s="352"/>
      <c r="AB4508" s="352"/>
      <c r="AC4508" s="352"/>
      <c r="AD4508" s="352"/>
      <c r="AE4508" s="352"/>
      <c r="AF4508" s="352"/>
      <c r="AG4508" s="352"/>
      <c r="AH4508" s="352"/>
      <c r="AI4508" s="352"/>
      <c r="AJ4508" s="352"/>
    </row>
    <row r="4509" spans="2:36" x14ac:dyDescent="0.2">
      <c r="B4509" s="352"/>
      <c r="C4509" s="352"/>
      <c r="D4509" s="352"/>
      <c r="E4509" s="352"/>
      <c r="F4509" s="352"/>
      <c r="H4509" s="352"/>
      <c r="J4509" s="352"/>
      <c r="L4509" s="352"/>
      <c r="M4509" s="352"/>
      <c r="N4509" s="352"/>
      <c r="O4509" s="352"/>
      <c r="P4509" s="352"/>
      <c r="Q4509" s="352"/>
      <c r="R4509" s="352"/>
      <c r="S4509" s="352"/>
      <c r="T4509" s="352"/>
      <c r="U4509" s="352"/>
      <c r="V4509" s="352"/>
      <c r="W4509" s="352"/>
      <c r="X4509" s="352"/>
      <c r="Y4509" s="352"/>
      <c r="Z4509" s="352"/>
      <c r="AA4509" s="352"/>
      <c r="AB4509" s="352"/>
      <c r="AC4509" s="352"/>
      <c r="AD4509" s="352"/>
      <c r="AE4509" s="352"/>
      <c r="AF4509" s="352"/>
      <c r="AG4509" s="352"/>
      <c r="AH4509" s="352"/>
      <c r="AI4509" s="352"/>
      <c r="AJ4509" s="352"/>
    </row>
    <row r="4510" spans="2:36" x14ac:dyDescent="0.2">
      <c r="B4510" s="352"/>
      <c r="C4510" s="352"/>
      <c r="D4510" s="352"/>
      <c r="E4510" s="352"/>
      <c r="F4510" s="352"/>
      <c r="H4510" s="352"/>
      <c r="J4510" s="352"/>
      <c r="L4510" s="352"/>
      <c r="M4510" s="352"/>
      <c r="N4510" s="352"/>
      <c r="O4510" s="352"/>
      <c r="P4510" s="352"/>
      <c r="Q4510" s="352"/>
      <c r="R4510" s="352"/>
      <c r="S4510" s="352"/>
      <c r="T4510" s="352"/>
      <c r="U4510" s="352"/>
      <c r="V4510" s="352"/>
      <c r="W4510" s="352"/>
      <c r="X4510" s="352"/>
      <c r="Y4510" s="352"/>
      <c r="Z4510" s="352"/>
      <c r="AA4510" s="352"/>
      <c r="AB4510" s="352"/>
      <c r="AC4510" s="352"/>
      <c r="AD4510" s="352"/>
      <c r="AE4510" s="352"/>
      <c r="AF4510" s="352"/>
      <c r="AG4510" s="352"/>
      <c r="AH4510" s="352"/>
      <c r="AI4510" s="352"/>
      <c r="AJ4510" s="352"/>
    </row>
    <row r="4511" spans="2:36" x14ac:dyDescent="0.2">
      <c r="B4511" s="352"/>
      <c r="C4511" s="352"/>
      <c r="D4511" s="352"/>
      <c r="E4511" s="352"/>
      <c r="F4511" s="352"/>
      <c r="H4511" s="352"/>
      <c r="J4511" s="352"/>
      <c r="L4511" s="352"/>
      <c r="M4511" s="352"/>
      <c r="N4511" s="352"/>
      <c r="O4511" s="352"/>
      <c r="P4511" s="352"/>
      <c r="Q4511" s="352"/>
      <c r="R4511" s="352"/>
      <c r="S4511" s="352"/>
      <c r="T4511" s="352"/>
      <c r="U4511" s="352"/>
      <c r="V4511" s="352"/>
      <c r="W4511" s="352"/>
      <c r="X4511" s="352"/>
      <c r="Y4511" s="352"/>
      <c r="Z4511" s="352"/>
      <c r="AA4511" s="352"/>
      <c r="AB4511" s="352"/>
      <c r="AC4511" s="352"/>
      <c r="AD4511" s="352"/>
      <c r="AE4511" s="352"/>
      <c r="AF4511" s="352"/>
      <c r="AG4511" s="352"/>
      <c r="AH4511" s="352"/>
      <c r="AI4511" s="352"/>
      <c r="AJ4511" s="352"/>
    </row>
    <row r="4512" spans="2:36" x14ac:dyDescent="0.2">
      <c r="B4512" s="352"/>
      <c r="C4512" s="352"/>
      <c r="D4512" s="352"/>
      <c r="E4512" s="352"/>
      <c r="F4512" s="352"/>
      <c r="H4512" s="352"/>
      <c r="J4512" s="352"/>
      <c r="L4512" s="352"/>
      <c r="M4512" s="352"/>
      <c r="N4512" s="352"/>
      <c r="O4512" s="352"/>
      <c r="P4512" s="352"/>
      <c r="Q4512" s="352"/>
      <c r="R4512" s="352"/>
      <c r="S4512" s="352"/>
      <c r="T4512" s="352"/>
      <c r="U4512" s="352"/>
      <c r="V4512" s="352"/>
      <c r="W4512" s="352"/>
      <c r="X4512" s="352"/>
      <c r="Y4512" s="352"/>
      <c r="Z4512" s="352"/>
      <c r="AA4512" s="352"/>
      <c r="AB4512" s="352"/>
      <c r="AC4512" s="352"/>
      <c r="AD4512" s="352"/>
      <c r="AE4512" s="352"/>
      <c r="AF4512" s="352"/>
      <c r="AG4512" s="352"/>
      <c r="AH4512" s="352"/>
      <c r="AI4512" s="352"/>
      <c r="AJ4512" s="352"/>
    </row>
    <row r="4513" spans="2:36" x14ac:dyDescent="0.2">
      <c r="B4513" s="352"/>
      <c r="C4513" s="352"/>
      <c r="D4513" s="352"/>
      <c r="E4513" s="352"/>
      <c r="F4513" s="352"/>
      <c r="H4513" s="352"/>
      <c r="J4513" s="352"/>
      <c r="L4513" s="352"/>
      <c r="M4513" s="352"/>
      <c r="N4513" s="352"/>
      <c r="O4513" s="352"/>
      <c r="P4513" s="352"/>
      <c r="Q4513" s="352"/>
      <c r="R4513" s="352"/>
      <c r="S4513" s="352"/>
      <c r="T4513" s="352"/>
      <c r="U4513" s="352"/>
      <c r="V4513" s="352"/>
      <c r="W4513" s="352"/>
      <c r="X4513" s="352"/>
      <c r="Y4513" s="352"/>
      <c r="Z4513" s="352"/>
      <c r="AA4513" s="352"/>
      <c r="AB4513" s="352"/>
      <c r="AC4513" s="352"/>
      <c r="AD4513" s="352"/>
      <c r="AE4513" s="352"/>
      <c r="AF4513" s="352"/>
      <c r="AG4513" s="352"/>
      <c r="AH4513" s="352"/>
      <c r="AI4513" s="352"/>
      <c r="AJ4513" s="352"/>
    </row>
    <row r="4514" spans="2:36" x14ac:dyDescent="0.2">
      <c r="B4514" s="352"/>
      <c r="C4514" s="352"/>
      <c r="D4514" s="352"/>
      <c r="E4514" s="352"/>
      <c r="F4514" s="352"/>
      <c r="H4514" s="352"/>
      <c r="J4514" s="352"/>
      <c r="L4514" s="352"/>
      <c r="M4514" s="352"/>
      <c r="N4514" s="352"/>
      <c r="O4514" s="352"/>
      <c r="P4514" s="352"/>
      <c r="Q4514" s="352"/>
      <c r="R4514" s="352"/>
      <c r="S4514" s="352"/>
      <c r="T4514" s="352"/>
      <c r="U4514" s="352"/>
      <c r="V4514" s="352"/>
      <c r="W4514" s="352"/>
      <c r="X4514" s="352"/>
      <c r="Y4514" s="352"/>
      <c r="Z4514" s="352"/>
      <c r="AA4514" s="352"/>
      <c r="AB4514" s="352"/>
      <c r="AC4514" s="352"/>
      <c r="AD4514" s="352"/>
      <c r="AE4514" s="352"/>
      <c r="AF4514" s="352"/>
      <c r="AG4514" s="352"/>
      <c r="AH4514" s="352"/>
      <c r="AI4514" s="352"/>
      <c r="AJ4514" s="352"/>
    </row>
    <row r="4515" spans="2:36" x14ac:dyDescent="0.2">
      <c r="B4515" s="352"/>
      <c r="C4515" s="352"/>
      <c r="D4515" s="352"/>
      <c r="E4515" s="352"/>
      <c r="F4515" s="352"/>
      <c r="H4515" s="352"/>
      <c r="J4515" s="352"/>
      <c r="L4515" s="352"/>
      <c r="M4515" s="352"/>
      <c r="N4515" s="352"/>
      <c r="O4515" s="352"/>
      <c r="P4515" s="352"/>
      <c r="Q4515" s="352"/>
      <c r="R4515" s="352"/>
      <c r="S4515" s="352"/>
      <c r="T4515" s="352"/>
      <c r="U4515" s="352"/>
      <c r="V4515" s="352"/>
      <c r="W4515" s="352"/>
      <c r="X4515" s="352"/>
      <c r="Y4515" s="352"/>
      <c r="Z4515" s="352"/>
      <c r="AA4515" s="352"/>
      <c r="AB4515" s="352"/>
      <c r="AC4515" s="352"/>
      <c r="AD4515" s="352"/>
      <c r="AE4515" s="352"/>
      <c r="AF4515" s="352"/>
      <c r="AG4515" s="352"/>
      <c r="AH4515" s="352"/>
      <c r="AI4515" s="352"/>
      <c r="AJ4515" s="352"/>
    </row>
    <row r="4516" spans="2:36" x14ac:dyDescent="0.2">
      <c r="B4516" s="352"/>
      <c r="C4516" s="352"/>
      <c r="D4516" s="352"/>
      <c r="E4516" s="352"/>
      <c r="F4516" s="352"/>
      <c r="H4516" s="352"/>
      <c r="J4516" s="352"/>
      <c r="L4516" s="352"/>
      <c r="M4516" s="352"/>
      <c r="N4516" s="352"/>
      <c r="O4516" s="352"/>
      <c r="P4516" s="352"/>
      <c r="Q4516" s="352"/>
      <c r="R4516" s="352"/>
      <c r="S4516" s="352"/>
      <c r="T4516" s="352"/>
      <c r="U4516" s="352"/>
      <c r="V4516" s="352"/>
      <c r="W4516" s="352"/>
      <c r="X4516" s="352"/>
      <c r="Y4516" s="352"/>
      <c r="Z4516" s="352"/>
      <c r="AA4516" s="352"/>
      <c r="AB4516" s="352"/>
      <c r="AC4516" s="352"/>
      <c r="AD4516" s="352"/>
      <c r="AE4516" s="352"/>
      <c r="AF4516" s="352"/>
      <c r="AG4516" s="352"/>
      <c r="AH4516" s="352"/>
      <c r="AI4516" s="352"/>
      <c r="AJ4516" s="352"/>
    </row>
    <row r="4517" spans="2:36" x14ac:dyDescent="0.2">
      <c r="B4517" s="352"/>
      <c r="C4517" s="352"/>
      <c r="D4517" s="352"/>
      <c r="E4517" s="352"/>
      <c r="F4517" s="352"/>
      <c r="H4517" s="352"/>
      <c r="J4517" s="352"/>
      <c r="L4517" s="352"/>
      <c r="M4517" s="352"/>
      <c r="N4517" s="352"/>
      <c r="O4517" s="352"/>
      <c r="P4517" s="352"/>
      <c r="Q4517" s="352"/>
      <c r="R4517" s="352"/>
      <c r="S4517" s="352"/>
      <c r="T4517" s="352"/>
      <c r="U4517" s="352"/>
      <c r="V4517" s="352"/>
      <c r="W4517" s="352"/>
      <c r="X4517" s="352"/>
      <c r="Y4517" s="352"/>
      <c r="Z4517" s="352"/>
      <c r="AA4517" s="352"/>
      <c r="AB4517" s="352"/>
      <c r="AC4517" s="352"/>
      <c r="AD4517" s="352"/>
      <c r="AE4517" s="352"/>
      <c r="AF4517" s="352"/>
      <c r="AG4517" s="352"/>
      <c r="AH4517" s="352"/>
      <c r="AI4517" s="352"/>
      <c r="AJ4517" s="352"/>
    </row>
    <row r="4518" spans="2:36" x14ac:dyDescent="0.2">
      <c r="B4518" s="352"/>
      <c r="C4518" s="352"/>
      <c r="D4518" s="352"/>
      <c r="E4518" s="352"/>
      <c r="F4518" s="352"/>
      <c r="H4518" s="352"/>
      <c r="J4518" s="352"/>
      <c r="L4518" s="352"/>
      <c r="M4518" s="352"/>
      <c r="N4518" s="352"/>
      <c r="O4518" s="352"/>
      <c r="P4518" s="352"/>
      <c r="Q4518" s="352"/>
      <c r="R4518" s="352"/>
      <c r="S4518" s="352"/>
      <c r="T4518" s="352"/>
      <c r="U4518" s="352"/>
      <c r="V4518" s="352"/>
      <c r="W4518" s="352"/>
      <c r="X4518" s="352"/>
      <c r="Y4518" s="352"/>
      <c r="Z4518" s="352"/>
      <c r="AA4518" s="352"/>
      <c r="AB4518" s="352"/>
      <c r="AC4518" s="352"/>
      <c r="AD4518" s="352"/>
      <c r="AE4518" s="352"/>
      <c r="AF4518" s="352"/>
      <c r="AG4518" s="352"/>
      <c r="AH4518" s="352"/>
      <c r="AI4518" s="352"/>
      <c r="AJ4518" s="352"/>
    </row>
    <row r="4519" spans="2:36" x14ac:dyDescent="0.2">
      <c r="B4519" s="352"/>
      <c r="C4519" s="352"/>
      <c r="D4519" s="352"/>
      <c r="E4519" s="352"/>
      <c r="F4519" s="352"/>
      <c r="H4519" s="352"/>
      <c r="J4519" s="352"/>
      <c r="L4519" s="352"/>
      <c r="M4519" s="352"/>
      <c r="N4519" s="352"/>
      <c r="O4519" s="352"/>
      <c r="P4519" s="352"/>
      <c r="Q4519" s="352"/>
      <c r="R4519" s="352"/>
      <c r="S4519" s="352"/>
      <c r="T4519" s="352"/>
      <c r="U4519" s="352"/>
      <c r="V4519" s="352"/>
      <c r="W4519" s="352"/>
      <c r="X4519" s="352"/>
      <c r="Y4519" s="352"/>
      <c r="Z4519" s="352"/>
      <c r="AA4519" s="352"/>
      <c r="AB4519" s="352"/>
      <c r="AC4519" s="352"/>
      <c r="AD4519" s="352"/>
      <c r="AE4519" s="352"/>
      <c r="AF4519" s="352"/>
      <c r="AG4519" s="352"/>
      <c r="AH4519" s="352"/>
      <c r="AI4519" s="352"/>
      <c r="AJ4519" s="352"/>
    </row>
    <row r="4520" spans="2:36" x14ac:dyDescent="0.2">
      <c r="B4520" s="352"/>
      <c r="C4520" s="352"/>
      <c r="D4520" s="352"/>
      <c r="E4520" s="352"/>
      <c r="F4520" s="352"/>
      <c r="H4520" s="352"/>
      <c r="J4520" s="352"/>
      <c r="L4520" s="352"/>
      <c r="M4520" s="352"/>
      <c r="N4520" s="352"/>
      <c r="O4520" s="352"/>
      <c r="P4520" s="352"/>
      <c r="Q4520" s="352"/>
      <c r="R4520" s="352"/>
      <c r="S4520" s="352"/>
      <c r="T4520" s="352"/>
      <c r="U4520" s="352"/>
      <c r="V4520" s="352"/>
      <c r="W4520" s="352"/>
      <c r="X4520" s="352"/>
      <c r="Y4520" s="352"/>
      <c r="Z4520" s="352"/>
      <c r="AA4520" s="352"/>
      <c r="AB4520" s="352"/>
      <c r="AC4520" s="352"/>
      <c r="AD4520" s="352"/>
      <c r="AE4520" s="352"/>
      <c r="AF4520" s="352"/>
      <c r="AG4520" s="352"/>
      <c r="AH4520" s="352"/>
      <c r="AI4520" s="352"/>
      <c r="AJ4520" s="352"/>
    </row>
    <row r="4521" spans="2:36" x14ac:dyDescent="0.2">
      <c r="B4521" s="352"/>
      <c r="C4521" s="352"/>
      <c r="D4521" s="352"/>
      <c r="E4521" s="352"/>
      <c r="F4521" s="352"/>
      <c r="H4521" s="352"/>
      <c r="J4521" s="352"/>
      <c r="L4521" s="352"/>
      <c r="M4521" s="352"/>
      <c r="N4521" s="352"/>
      <c r="O4521" s="352"/>
      <c r="P4521" s="352"/>
      <c r="Q4521" s="352"/>
      <c r="R4521" s="352"/>
      <c r="S4521" s="352"/>
      <c r="T4521" s="352"/>
      <c r="U4521" s="352"/>
      <c r="V4521" s="352"/>
      <c r="W4521" s="352"/>
      <c r="X4521" s="352"/>
      <c r="Y4521" s="352"/>
      <c r="Z4521" s="352"/>
      <c r="AA4521" s="352"/>
      <c r="AB4521" s="352"/>
      <c r="AC4521" s="352"/>
      <c r="AD4521" s="352"/>
      <c r="AE4521" s="352"/>
      <c r="AF4521" s="352"/>
      <c r="AG4521" s="352"/>
      <c r="AH4521" s="352"/>
      <c r="AI4521" s="352"/>
      <c r="AJ4521" s="352"/>
    </row>
    <row r="4522" spans="2:36" x14ac:dyDescent="0.2">
      <c r="B4522" s="352"/>
      <c r="C4522" s="352"/>
      <c r="D4522" s="352"/>
      <c r="E4522" s="352"/>
      <c r="F4522" s="352"/>
      <c r="H4522" s="352"/>
      <c r="J4522" s="352"/>
      <c r="L4522" s="352"/>
      <c r="M4522" s="352"/>
      <c r="N4522" s="352"/>
      <c r="O4522" s="352"/>
      <c r="P4522" s="352"/>
      <c r="Q4522" s="352"/>
      <c r="R4522" s="352"/>
      <c r="S4522" s="352"/>
      <c r="T4522" s="352"/>
      <c r="U4522" s="352"/>
      <c r="V4522" s="352"/>
      <c r="W4522" s="352"/>
      <c r="X4522" s="352"/>
      <c r="Y4522" s="352"/>
      <c r="Z4522" s="352"/>
      <c r="AA4522" s="352"/>
      <c r="AB4522" s="352"/>
      <c r="AC4522" s="352"/>
      <c r="AD4522" s="352"/>
      <c r="AE4522" s="352"/>
      <c r="AF4522" s="352"/>
      <c r="AG4522" s="352"/>
      <c r="AH4522" s="352"/>
      <c r="AI4522" s="352"/>
      <c r="AJ4522" s="352"/>
    </row>
    <row r="4523" spans="2:36" x14ac:dyDescent="0.2">
      <c r="B4523" s="352"/>
      <c r="C4523" s="352"/>
      <c r="D4523" s="352"/>
      <c r="E4523" s="352"/>
      <c r="F4523" s="352"/>
      <c r="H4523" s="352"/>
      <c r="J4523" s="352"/>
      <c r="L4523" s="352"/>
      <c r="M4523" s="352"/>
      <c r="N4523" s="352"/>
      <c r="O4523" s="352"/>
      <c r="P4523" s="352"/>
      <c r="Q4523" s="352"/>
      <c r="R4523" s="352"/>
      <c r="S4523" s="352"/>
      <c r="T4523" s="352"/>
      <c r="U4523" s="352"/>
      <c r="V4523" s="352"/>
      <c r="W4523" s="352"/>
      <c r="X4523" s="352"/>
      <c r="Y4523" s="352"/>
      <c r="Z4523" s="352"/>
      <c r="AA4523" s="352"/>
      <c r="AB4523" s="352"/>
      <c r="AC4523" s="352"/>
      <c r="AD4523" s="352"/>
      <c r="AE4523" s="352"/>
      <c r="AF4523" s="352"/>
      <c r="AG4523" s="352"/>
      <c r="AH4523" s="352"/>
      <c r="AI4523" s="352"/>
      <c r="AJ4523" s="352"/>
    </row>
    <row r="4524" spans="2:36" x14ac:dyDescent="0.2">
      <c r="B4524" s="352"/>
      <c r="C4524" s="352"/>
      <c r="D4524" s="352"/>
      <c r="E4524" s="352"/>
      <c r="F4524" s="352"/>
      <c r="H4524" s="352"/>
      <c r="J4524" s="352"/>
      <c r="L4524" s="352"/>
      <c r="M4524" s="352"/>
      <c r="N4524" s="352"/>
      <c r="O4524" s="352"/>
      <c r="P4524" s="352"/>
      <c r="Q4524" s="352"/>
      <c r="R4524" s="352"/>
      <c r="S4524" s="352"/>
      <c r="T4524" s="352"/>
      <c r="U4524" s="352"/>
      <c r="V4524" s="352"/>
      <c r="W4524" s="352"/>
      <c r="X4524" s="352"/>
      <c r="Y4524" s="352"/>
      <c r="Z4524" s="352"/>
      <c r="AA4524" s="352"/>
      <c r="AB4524" s="352"/>
      <c r="AC4524" s="352"/>
      <c r="AD4524" s="352"/>
      <c r="AE4524" s="352"/>
      <c r="AF4524" s="352"/>
      <c r="AG4524" s="352"/>
      <c r="AH4524" s="352"/>
      <c r="AI4524" s="352"/>
      <c r="AJ4524" s="352"/>
    </row>
    <row r="4525" spans="2:36" x14ac:dyDescent="0.2">
      <c r="B4525" s="352"/>
      <c r="C4525" s="352"/>
      <c r="D4525" s="352"/>
      <c r="E4525" s="352"/>
      <c r="F4525" s="352"/>
      <c r="H4525" s="352"/>
      <c r="J4525" s="352"/>
      <c r="L4525" s="352"/>
      <c r="M4525" s="352"/>
      <c r="N4525" s="352"/>
      <c r="O4525" s="352"/>
      <c r="P4525" s="352"/>
      <c r="Q4525" s="352"/>
      <c r="R4525" s="352"/>
      <c r="S4525" s="352"/>
      <c r="T4525" s="352"/>
      <c r="U4525" s="352"/>
      <c r="V4525" s="352"/>
      <c r="W4525" s="352"/>
      <c r="X4525" s="352"/>
      <c r="Y4525" s="352"/>
      <c r="Z4525" s="352"/>
      <c r="AA4525" s="352"/>
      <c r="AB4525" s="352"/>
      <c r="AC4525" s="352"/>
      <c r="AD4525" s="352"/>
      <c r="AE4525" s="352"/>
      <c r="AF4525" s="352"/>
      <c r="AG4525" s="352"/>
      <c r="AH4525" s="352"/>
      <c r="AI4525" s="352"/>
      <c r="AJ4525" s="352"/>
    </row>
    <row r="4526" spans="2:36" x14ac:dyDescent="0.2">
      <c r="B4526" s="352"/>
      <c r="C4526" s="352"/>
      <c r="D4526" s="352"/>
      <c r="E4526" s="352"/>
      <c r="F4526" s="352"/>
      <c r="H4526" s="352"/>
      <c r="J4526" s="352"/>
      <c r="L4526" s="352"/>
      <c r="M4526" s="352"/>
      <c r="N4526" s="352"/>
      <c r="O4526" s="352"/>
      <c r="P4526" s="352"/>
      <c r="Q4526" s="352"/>
      <c r="R4526" s="352"/>
      <c r="S4526" s="352"/>
      <c r="T4526" s="352"/>
      <c r="U4526" s="352"/>
      <c r="V4526" s="352"/>
      <c r="W4526" s="352"/>
      <c r="X4526" s="352"/>
      <c r="Y4526" s="352"/>
      <c r="Z4526" s="352"/>
      <c r="AA4526" s="352"/>
      <c r="AB4526" s="352"/>
      <c r="AC4526" s="352"/>
      <c r="AD4526" s="352"/>
      <c r="AE4526" s="352"/>
      <c r="AF4526" s="352"/>
      <c r="AG4526" s="352"/>
      <c r="AH4526" s="352"/>
      <c r="AI4526" s="352"/>
      <c r="AJ4526" s="352"/>
    </row>
    <row r="4527" spans="2:36" x14ac:dyDescent="0.2">
      <c r="B4527" s="352"/>
      <c r="C4527" s="352"/>
      <c r="D4527" s="352"/>
      <c r="E4527" s="352"/>
      <c r="F4527" s="352"/>
      <c r="H4527" s="352"/>
      <c r="J4527" s="352"/>
      <c r="L4527" s="352"/>
      <c r="M4527" s="352"/>
      <c r="N4527" s="352"/>
      <c r="O4527" s="352"/>
      <c r="P4527" s="352"/>
      <c r="Q4527" s="352"/>
      <c r="R4527" s="352"/>
      <c r="S4527" s="352"/>
      <c r="T4527" s="352"/>
      <c r="U4527" s="352"/>
      <c r="V4527" s="352"/>
      <c r="W4527" s="352"/>
      <c r="X4527" s="352"/>
      <c r="Y4527" s="352"/>
      <c r="Z4527" s="352"/>
      <c r="AA4527" s="352"/>
      <c r="AB4527" s="352"/>
      <c r="AC4527" s="352"/>
      <c r="AD4527" s="352"/>
      <c r="AE4527" s="352"/>
      <c r="AF4527" s="352"/>
      <c r="AG4527" s="352"/>
      <c r="AH4527" s="352"/>
      <c r="AI4527" s="352"/>
      <c r="AJ4527" s="352"/>
    </row>
    <row r="4528" spans="2:36" x14ac:dyDescent="0.2">
      <c r="B4528" s="352"/>
      <c r="C4528" s="352"/>
      <c r="D4528" s="352"/>
      <c r="E4528" s="352"/>
      <c r="F4528" s="352"/>
      <c r="H4528" s="352"/>
      <c r="J4528" s="352"/>
      <c r="L4528" s="352"/>
      <c r="M4528" s="352"/>
      <c r="N4528" s="352"/>
      <c r="O4528" s="352"/>
      <c r="P4528" s="352"/>
      <c r="Q4528" s="352"/>
      <c r="R4528" s="352"/>
      <c r="S4528" s="352"/>
      <c r="T4528" s="352"/>
      <c r="U4528" s="352"/>
      <c r="V4528" s="352"/>
      <c r="W4528" s="352"/>
      <c r="X4528" s="352"/>
      <c r="Y4528" s="352"/>
      <c r="Z4528" s="352"/>
      <c r="AA4528" s="352"/>
      <c r="AB4528" s="352"/>
      <c r="AC4528" s="352"/>
      <c r="AD4528" s="352"/>
      <c r="AE4528" s="352"/>
      <c r="AF4528" s="352"/>
      <c r="AG4528" s="352"/>
      <c r="AH4528" s="352"/>
      <c r="AI4528" s="352"/>
      <c r="AJ4528" s="352"/>
    </row>
    <row r="4529" spans="2:36" x14ac:dyDescent="0.2">
      <c r="B4529" s="352"/>
      <c r="C4529" s="352"/>
      <c r="D4529" s="352"/>
      <c r="E4529" s="352"/>
      <c r="F4529" s="352"/>
      <c r="H4529" s="352"/>
      <c r="J4529" s="352"/>
      <c r="L4529" s="352"/>
      <c r="M4529" s="352"/>
      <c r="N4529" s="352"/>
      <c r="O4529" s="352"/>
      <c r="P4529" s="352"/>
      <c r="Q4529" s="352"/>
      <c r="R4529" s="352"/>
      <c r="S4529" s="352"/>
      <c r="T4529" s="352"/>
      <c r="U4529" s="352"/>
      <c r="V4529" s="352"/>
      <c r="W4529" s="352"/>
      <c r="X4529" s="352"/>
      <c r="Y4529" s="352"/>
      <c r="Z4529" s="352"/>
      <c r="AA4529" s="352"/>
      <c r="AB4529" s="352"/>
      <c r="AC4529" s="352"/>
      <c r="AD4529" s="352"/>
      <c r="AE4529" s="352"/>
      <c r="AF4529" s="352"/>
      <c r="AG4529" s="352"/>
      <c r="AH4529" s="352"/>
      <c r="AI4529" s="352"/>
      <c r="AJ4529" s="352"/>
    </row>
    <row r="4530" spans="2:36" x14ac:dyDescent="0.2">
      <c r="B4530" s="352"/>
      <c r="C4530" s="352"/>
      <c r="D4530" s="352"/>
      <c r="E4530" s="352"/>
      <c r="F4530" s="352"/>
      <c r="H4530" s="352"/>
      <c r="J4530" s="352"/>
      <c r="L4530" s="352"/>
      <c r="M4530" s="352"/>
      <c r="N4530" s="352"/>
      <c r="O4530" s="352"/>
      <c r="P4530" s="352"/>
      <c r="Q4530" s="352"/>
      <c r="R4530" s="352"/>
      <c r="S4530" s="352"/>
      <c r="T4530" s="352"/>
      <c r="U4530" s="352"/>
      <c r="V4530" s="352"/>
      <c r="W4530" s="352"/>
      <c r="X4530" s="352"/>
      <c r="Y4530" s="352"/>
      <c r="Z4530" s="352"/>
      <c r="AA4530" s="352"/>
      <c r="AB4530" s="352"/>
      <c r="AC4530" s="352"/>
      <c r="AD4530" s="352"/>
      <c r="AE4530" s="352"/>
      <c r="AF4530" s="352"/>
      <c r="AG4530" s="352"/>
      <c r="AH4530" s="352"/>
      <c r="AI4530" s="352"/>
      <c r="AJ4530" s="352"/>
    </row>
    <row r="4531" spans="2:36" x14ac:dyDescent="0.2">
      <c r="B4531" s="352"/>
      <c r="C4531" s="352"/>
      <c r="D4531" s="352"/>
      <c r="E4531" s="352"/>
      <c r="F4531" s="352"/>
      <c r="H4531" s="352"/>
      <c r="J4531" s="352"/>
      <c r="L4531" s="352"/>
      <c r="M4531" s="352"/>
      <c r="N4531" s="352"/>
      <c r="O4531" s="352"/>
      <c r="P4531" s="352"/>
      <c r="Q4531" s="352"/>
      <c r="R4531" s="352"/>
      <c r="S4531" s="352"/>
      <c r="T4531" s="352"/>
      <c r="U4531" s="352"/>
      <c r="V4531" s="352"/>
      <c r="W4531" s="352"/>
      <c r="X4531" s="352"/>
      <c r="Y4531" s="352"/>
      <c r="Z4531" s="352"/>
      <c r="AA4531" s="352"/>
      <c r="AB4531" s="352"/>
      <c r="AC4531" s="352"/>
      <c r="AD4531" s="352"/>
      <c r="AE4531" s="352"/>
      <c r="AF4531" s="352"/>
      <c r="AG4531" s="352"/>
      <c r="AH4531" s="352"/>
      <c r="AI4531" s="352"/>
      <c r="AJ4531" s="352"/>
    </row>
    <row r="4532" spans="2:36" x14ac:dyDescent="0.2">
      <c r="B4532" s="352"/>
      <c r="C4532" s="352"/>
      <c r="D4532" s="352"/>
      <c r="E4532" s="352"/>
      <c r="F4532" s="352"/>
      <c r="H4532" s="352"/>
      <c r="J4532" s="352"/>
      <c r="L4532" s="352"/>
      <c r="M4532" s="352"/>
      <c r="N4532" s="352"/>
      <c r="O4532" s="352"/>
      <c r="P4532" s="352"/>
      <c r="Q4532" s="352"/>
      <c r="R4532" s="352"/>
      <c r="S4532" s="352"/>
      <c r="T4532" s="352"/>
      <c r="U4532" s="352"/>
      <c r="V4532" s="352"/>
      <c r="W4532" s="352"/>
      <c r="X4532" s="352"/>
      <c r="Y4532" s="352"/>
      <c r="Z4532" s="352"/>
      <c r="AA4532" s="352"/>
      <c r="AB4532" s="352"/>
      <c r="AC4532" s="352"/>
      <c r="AD4532" s="352"/>
      <c r="AE4532" s="352"/>
      <c r="AF4532" s="352"/>
      <c r="AG4532" s="352"/>
      <c r="AH4532" s="352"/>
      <c r="AI4532" s="352"/>
      <c r="AJ4532" s="352"/>
    </row>
    <row r="4533" spans="2:36" x14ac:dyDescent="0.2">
      <c r="B4533" s="352"/>
      <c r="C4533" s="352"/>
      <c r="D4533" s="352"/>
      <c r="E4533" s="352"/>
      <c r="F4533" s="352"/>
      <c r="H4533" s="352"/>
      <c r="J4533" s="352"/>
      <c r="L4533" s="352"/>
      <c r="M4533" s="352"/>
      <c r="N4533" s="352"/>
      <c r="O4533" s="352"/>
      <c r="P4533" s="352"/>
      <c r="Q4533" s="352"/>
      <c r="R4533" s="352"/>
      <c r="S4533" s="352"/>
      <c r="T4533" s="352"/>
      <c r="U4533" s="352"/>
      <c r="V4533" s="352"/>
      <c r="W4533" s="352"/>
      <c r="X4533" s="352"/>
      <c r="Y4533" s="352"/>
      <c r="Z4533" s="352"/>
      <c r="AA4533" s="352"/>
      <c r="AB4533" s="352"/>
      <c r="AC4533" s="352"/>
      <c r="AD4533" s="352"/>
      <c r="AE4533" s="352"/>
      <c r="AF4533" s="352"/>
      <c r="AG4533" s="352"/>
      <c r="AH4533" s="352"/>
      <c r="AI4533" s="352"/>
      <c r="AJ4533" s="352"/>
    </row>
    <row r="4534" spans="2:36" x14ac:dyDescent="0.2">
      <c r="B4534" s="352"/>
      <c r="C4534" s="352"/>
      <c r="D4534" s="352"/>
      <c r="E4534" s="352"/>
      <c r="F4534" s="352"/>
      <c r="H4534" s="352"/>
      <c r="J4534" s="352"/>
      <c r="L4534" s="352"/>
      <c r="M4534" s="352"/>
      <c r="N4534" s="352"/>
      <c r="O4534" s="352"/>
      <c r="P4534" s="352"/>
      <c r="Q4534" s="352"/>
      <c r="R4534" s="352"/>
      <c r="S4534" s="352"/>
      <c r="T4534" s="352"/>
      <c r="U4534" s="352"/>
      <c r="V4534" s="352"/>
      <c r="W4534" s="352"/>
      <c r="X4534" s="352"/>
      <c r="Y4534" s="352"/>
      <c r="Z4534" s="352"/>
      <c r="AA4534" s="352"/>
      <c r="AB4534" s="352"/>
      <c r="AC4534" s="352"/>
      <c r="AD4534" s="352"/>
      <c r="AE4534" s="352"/>
      <c r="AF4534" s="352"/>
      <c r="AG4534" s="352"/>
      <c r="AH4534" s="352"/>
      <c r="AI4534" s="352"/>
      <c r="AJ4534" s="352"/>
    </row>
    <row r="4535" spans="2:36" x14ac:dyDescent="0.2">
      <c r="B4535" s="352"/>
      <c r="C4535" s="352"/>
      <c r="D4535" s="352"/>
      <c r="E4535" s="352"/>
      <c r="F4535" s="352"/>
      <c r="H4535" s="352"/>
      <c r="J4535" s="352"/>
      <c r="L4535" s="352"/>
      <c r="M4535" s="352"/>
      <c r="N4535" s="352"/>
      <c r="O4535" s="352"/>
      <c r="P4535" s="352"/>
      <c r="Q4535" s="352"/>
      <c r="R4535" s="352"/>
      <c r="S4535" s="352"/>
      <c r="T4535" s="352"/>
      <c r="U4535" s="352"/>
      <c r="V4535" s="352"/>
      <c r="W4535" s="352"/>
      <c r="X4535" s="352"/>
      <c r="Y4535" s="352"/>
      <c r="Z4535" s="352"/>
      <c r="AA4535" s="352"/>
      <c r="AB4535" s="352"/>
      <c r="AC4535" s="352"/>
      <c r="AD4535" s="352"/>
      <c r="AE4535" s="352"/>
      <c r="AF4535" s="352"/>
      <c r="AG4535" s="352"/>
      <c r="AH4535" s="352"/>
      <c r="AI4535" s="352"/>
      <c r="AJ4535" s="352"/>
    </row>
    <row r="4536" spans="2:36" x14ac:dyDescent="0.2">
      <c r="B4536" s="352"/>
      <c r="C4536" s="352"/>
      <c r="D4536" s="352"/>
      <c r="E4536" s="352"/>
      <c r="F4536" s="352"/>
      <c r="H4536" s="352"/>
      <c r="J4536" s="352"/>
      <c r="L4536" s="352"/>
      <c r="M4536" s="352"/>
      <c r="N4536" s="352"/>
      <c r="O4536" s="352"/>
      <c r="P4536" s="352"/>
      <c r="Q4536" s="352"/>
      <c r="R4536" s="352"/>
      <c r="S4536" s="352"/>
      <c r="T4536" s="352"/>
      <c r="U4536" s="352"/>
      <c r="V4536" s="352"/>
      <c r="W4536" s="352"/>
      <c r="X4536" s="352"/>
      <c r="Y4536" s="352"/>
      <c r="Z4536" s="352"/>
      <c r="AA4536" s="352"/>
      <c r="AB4536" s="352"/>
      <c r="AC4536" s="352"/>
      <c r="AD4536" s="352"/>
      <c r="AE4536" s="352"/>
      <c r="AF4536" s="352"/>
      <c r="AG4536" s="352"/>
      <c r="AH4536" s="352"/>
      <c r="AI4536" s="352"/>
      <c r="AJ4536" s="352"/>
    </row>
    <row r="4537" spans="2:36" x14ac:dyDescent="0.2">
      <c r="B4537" s="352"/>
      <c r="C4537" s="352"/>
      <c r="D4537" s="352"/>
      <c r="E4537" s="352"/>
      <c r="F4537" s="352"/>
      <c r="H4537" s="352"/>
      <c r="J4537" s="352"/>
      <c r="L4537" s="352"/>
      <c r="M4537" s="352"/>
      <c r="N4537" s="352"/>
      <c r="O4537" s="352"/>
      <c r="P4537" s="352"/>
      <c r="Q4537" s="352"/>
      <c r="R4537" s="352"/>
      <c r="S4537" s="352"/>
      <c r="T4537" s="352"/>
      <c r="U4537" s="352"/>
      <c r="V4537" s="352"/>
      <c r="W4537" s="352"/>
      <c r="X4537" s="352"/>
      <c r="Y4537" s="352"/>
      <c r="Z4537" s="352"/>
      <c r="AA4537" s="352"/>
      <c r="AB4537" s="352"/>
      <c r="AC4537" s="352"/>
      <c r="AD4537" s="352"/>
      <c r="AE4537" s="352"/>
      <c r="AF4537" s="352"/>
      <c r="AG4537" s="352"/>
      <c r="AH4537" s="352"/>
      <c r="AI4537" s="352"/>
      <c r="AJ4537" s="352"/>
    </row>
    <row r="4538" spans="2:36" x14ac:dyDescent="0.2">
      <c r="B4538" s="352"/>
      <c r="C4538" s="352"/>
      <c r="D4538" s="352"/>
      <c r="E4538" s="352"/>
      <c r="F4538" s="352"/>
      <c r="H4538" s="352"/>
      <c r="J4538" s="352"/>
      <c r="L4538" s="352"/>
      <c r="M4538" s="352"/>
      <c r="N4538" s="352"/>
      <c r="O4538" s="352"/>
      <c r="P4538" s="352"/>
      <c r="Q4538" s="352"/>
      <c r="R4538" s="352"/>
      <c r="S4538" s="352"/>
      <c r="T4538" s="352"/>
      <c r="U4538" s="352"/>
      <c r="V4538" s="352"/>
      <c r="W4538" s="352"/>
      <c r="X4538" s="352"/>
      <c r="Y4538" s="352"/>
      <c r="Z4538" s="352"/>
      <c r="AA4538" s="352"/>
      <c r="AB4538" s="352"/>
      <c r="AC4538" s="352"/>
      <c r="AD4538" s="352"/>
      <c r="AE4538" s="352"/>
      <c r="AF4538" s="352"/>
      <c r="AG4538" s="352"/>
      <c r="AH4538" s="352"/>
      <c r="AI4538" s="352"/>
      <c r="AJ4538" s="352"/>
    </row>
    <row r="4539" spans="2:36" x14ac:dyDescent="0.2">
      <c r="B4539" s="352"/>
      <c r="C4539" s="352"/>
      <c r="D4539" s="352"/>
      <c r="E4539" s="352"/>
      <c r="F4539" s="352"/>
      <c r="H4539" s="352"/>
      <c r="J4539" s="352"/>
      <c r="L4539" s="352"/>
      <c r="M4539" s="352"/>
      <c r="N4539" s="352"/>
      <c r="O4539" s="352"/>
      <c r="P4539" s="352"/>
      <c r="Q4539" s="352"/>
      <c r="R4539" s="352"/>
      <c r="S4539" s="352"/>
      <c r="T4539" s="352"/>
      <c r="U4539" s="352"/>
      <c r="V4539" s="352"/>
      <c r="W4539" s="352"/>
      <c r="X4539" s="352"/>
      <c r="Y4539" s="352"/>
      <c r="Z4539" s="352"/>
      <c r="AA4539" s="352"/>
      <c r="AB4539" s="352"/>
      <c r="AC4539" s="352"/>
      <c r="AD4539" s="352"/>
      <c r="AE4539" s="352"/>
      <c r="AF4539" s="352"/>
      <c r="AG4539" s="352"/>
      <c r="AH4539" s="352"/>
      <c r="AI4539" s="352"/>
      <c r="AJ4539" s="352"/>
    </row>
    <row r="4540" spans="2:36" x14ac:dyDescent="0.2">
      <c r="B4540" s="352"/>
      <c r="C4540" s="352"/>
      <c r="D4540" s="352"/>
      <c r="E4540" s="352"/>
      <c r="F4540" s="352"/>
      <c r="H4540" s="352"/>
      <c r="J4540" s="352"/>
      <c r="L4540" s="352"/>
      <c r="M4540" s="352"/>
      <c r="N4540" s="352"/>
      <c r="O4540" s="352"/>
      <c r="P4540" s="352"/>
      <c r="Q4540" s="352"/>
      <c r="R4540" s="352"/>
      <c r="S4540" s="352"/>
      <c r="T4540" s="352"/>
      <c r="U4540" s="352"/>
      <c r="V4540" s="352"/>
      <c r="W4540" s="352"/>
      <c r="X4540" s="352"/>
      <c r="Y4540" s="352"/>
      <c r="Z4540" s="352"/>
      <c r="AA4540" s="352"/>
      <c r="AB4540" s="352"/>
      <c r="AC4540" s="352"/>
      <c r="AD4540" s="352"/>
      <c r="AE4540" s="352"/>
      <c r="AF4540" s="352"/>
      <c r="AG4540" s="352"/>
      <c r="AH4540" s="352"/>
      <c r="AI4540" s="352"/>
      <c r="AJ4540" s="352"/>
    </row>
    <row r="4541" spans="2:36" x14ac:dyDescent="0.2">
      <c r="B4541" s="352"/>
      <c r="C4541" s="352"/>
      <c r="D4541" s="352"/>
      <c r="E4541" s="352"/>
      <c r="F4541" s="352"/>
      <c r="H4541" s="352"/>
      <c r="J4541" s="352"/>
      <c r="L4541" s="352"/>
      <c r="M4541" s="352"/>
      <c r="N4541" s="352"/>
      <c r="O4541" s="352"/>
      <c r="P4541" s="352"/>
      <c r="Q4541" s="352"/>
      <c r="R4541" s="352"/>
      <c r="S4541" s="352"/>
      <c r="T4541" s="352"/>
      <c r="U4541" s="352"/>
      <c r="V4541" s="352"/>
      <c r="W4541" s="352"/>
      <c r="X4541" s="352"/>
      <c r="Y4541" s="352"/>
      <c r="Z4541" s="352"/>
      <c r="AA4541" s="352"/>
      <c r="AB4541" s="352"/>
      <c r="AC4541" s="352"/>
      <c r="AD4541" s="352"/>
      <c r="AE4541" s="352"/>
      <c r="AF4541" s="352"/>
      <c r="AG4541" s="352"/>
      <c r="AH4541" s="352"/>
      <c r="AI4541" s="352"/>
      <c r="AJ4541" s="352"/>
    </row>
    <row r="4542" spans="2:36" x14ac:dyDescent="0.2">
      <c r="B4542" s="352"/>
      <c r="C4542" s="352"/>
      <c r="D4542" s="352"/>
      <c r="E4542" s="352"/>
      <c r="F4542" s="352"/>
      <c r="H4542" s="352"/>
      <c r="J4542" s="352"/>
      <c r="L4542" s="352"/>
      <c r="M4542" s="352"/>
      <c r="N4542" s="352"/>
      <c r="O4542" s="352"/>
      <c r="P4542" s="352"/>
      <c r="Q4542" s="352"/>
      <c r="R4542" s="352"/>
      <c r="S4542" s="352"/>
      <c r="T4542" s="352"/>
      <c r="U4542" s="352"/>
      <c r="V4542" s="352"/>
      <c r="W4542" s="352"/>
      <c r="X4542" s="352"/>
      <c r="Y4542" s="352"/>
      <c r="Z4542" s="352"/>
      <c r="AA4542" s="352"/>
      <c r="AB4542" s="352"/>
      <c r="AC4542" s="352"/>
      <c r="AD4542" s="352"/>
      <c r="AE4542" s="352"/>
      <c r="AF4542" s="352"/>
      <c r="AG4542" s="352"/>
      <c r="AH4542" s="352"/>
      <c r="AI4542" s="352"/>
      <c r="AJ4542" s="352"/>
    </row>
    <row r="4543" spans="2:36" x14ac:dyDescent="0.2">
      <c r="B4543" s="352"/>
      <c r="C4543" s="352"/>
      <c r="D4543" s="352"/>
      <c r="E4543" s="352"/>
      <c r="F4543" s="352"/>
      <c r="H4543" s="352"/>
      <c r="J4543" s="352"/>
      <c r="L4543" s="352"/>
      <c r="M4543" s="352"/>
      <c r="N4543" s="352"/>
      <c r="O4543" s="352"/>
      <c r="P4543" s="352"/>
      <c r="Q4543" s="352"/>
      <c r="R4543" s="352"/>
      <c r="S4543" s="352"/>
      <c r="T4543" s="352"/>
      <c r="U4543" s="352"/>
      <c r="V4543" s="352"/>
      <c r="W4543" s="352"/>
      <c r="X4543" s="352"/>
      <c r="Y4543" s="352"/>
      <c r="Z4543" s="352"/>
      <c r="AA4543" s="352"/>
      <c r="AB4543" s="352"/>
      <c r="AC4543" s="352"/>
      <c r="AD4543" s="352"/>
      <c r="AE4543" s="352"/>
      <c r="AF4543" s="352"/>
      <c r="AG4543" s="352"/>
      <c r="AH4543" s="352"/>
      <c r="AI4543" s="352"/>
      <c r="AJ4543" s="352"/>
    </row>
    <row r="4544" spans="2:36" x14ac:dyDescent="0.2">
      <c r="B4544" s="352"/>
      <c r="C4544" s="352"/>
      <c r="D4544" s="352"/>
      <c r="E4544" s="352"/>
      <c r="F4544" s="352"/>
      <c r="H4544" s="352"/>
      <c r="J4544" s="352"/>
      <c r="L4544" s="352"/>
      <c r="M4544" s="352"/>
      <c r="N4544" s="352"/>
      <c r="O4544" s="352"/>
      <c r="P4544" s="352"/>
      <c r="Q4544" s="352"/>
      <c r="R4544" s="352"/>
      <c r="S4544" s="352"/>
      <c r="T4544" s="352"/>
      <c r="U4544" s="352"/>
      <c r="V4544" s="352"/>
      <c r="W4544" s="352"/>
      <c r="X4544" s="352"/>
      <c r="Y4544" s="352"/>
      <c r="Z4544" s="352"/>
      <c r="AA4544" s="352"/>
      <c r="AB4544" s="352"/>
      <c r="AC4544" s="352"/>
      <c r="AD4544" s="352"/>
      <c r="AE4544" s="352"/>
      <c r="AF4544" s="352"/>
      <c r="AG4544" s="352"/>
      <c r="AH4544" s="352"/>
      <c r="AI4544" s="352"/>
      <c r="AJ4544" s="352"/>
    </row>
    <row r="4545" spans="2:36" x14ac:dyDescent="0.2">
      <c r="B4545" s="352"/>
      <c r="C4545" s="352"/>
      <c r="D4545" s="352"/>
      <c r="E4545" s="352"/>
      <c r="F4545" s="352"/>
      <c r="H4545" s="352"/>
      <c r="J4545" s="352"/>
      <c r="L4545" s="352"/>
      <c r="M4545" s="352"/>
      <c r="N4545" s="352"/>
      <c r="O4545" s="352"/>
      <c r="P4545" s="352"/>
      <c r="Q4545" s="352"/>
      <c r="R4545" s="352"/>
      <c r="S4545" s="352"/>
      <c r="T4545" s="352"/>
      <c r="U4545" s="352"/>
      <c r="V4545" s="352"/>
      <c r="W4545" s="352"/>
      <c r="X4545" s="352"/>
      <c r="Y4545" s="352"/>
      <c r="Z4545" s="352"/>
      <c r="AA4545" s="352"/>
      <c r="AB4545" s="352"/>
      <c r="AC4545" s="352"/>
      <c r="AD4545" s="352"/>
      <c r="AE4545" s="352"/>
      <c r="AF4545" s="352"/>
      <c r="AG4545" s="352"/>
      <c r="AH4545" s="352"/>
      <c r="AI4545" s="352"/>
      <c r="AJ4545" s="352"/>
    </row>
    <row r="4546" spans="2:36" x14ac:dyDescent="0.2">
      <c r="B4546" s="352"/>
      <c r="C4546" s="352"/>
      <c r="D4546" s="352"/>
      <c r="E4546" s="352"/>
      <c r="F4546" s="352"/>
      <c r="H4546" s="352"/>
      <c r="J4546" s="352"/>
      <c r="L4546" s="352"/>
      <c r="M4546" s="352"/>
      <c r="N4546" s="352"/>
      <c r="O4546" s="352"/>
      <c r="P4546" s="352"/>
      <c r="Q4546" s="352"/>
      <c r="R4546" s="352"/>
      <c r="S4546" s="352"/>
      <c r="T4546" s="352"/>
      <c r="U4546" s="352"/>
      <c r="V4546" s="352"/>
      <c r="W4546" s="352"/>
      <c r="X4546" s="352"/>
      <c r="Y4546" s="352"/>
      <c r="Z4546" s="352"/>
      <c r="AA4546" s="352"/>
      <c r="AB4546" s="352"/>
      <c r="AC4546" s="352"/>
      <c r="AD4546" s="352"/>
      <c r="AE4546" s="352"/>
      <c r="AF4546" s="352"/>
      <c r="AG4546" s="352"/>
      <c r="AH4546" s="352"/>
      <c r="AI4546" s="352"/>
      <c r="AJ4546" s="352"/>
    </row>
    <row r="4547" spans="2:36" x14ac:dyDescent="0.2">
      <c r="B4547" s="352"/>
      <c r="C4547" s="352"/>
      <c r="D4547" s="352"/>
      <c r="E4547" s="352"/>
      <c r="F4547" s="352"/>
      <c r="H4547" s="352"/>
      <c r="J4547" s="352"/>
      <c r="L4547" s="352"/>
      <c r="M4547" s="352"/>
      <c r="N4547" s="352"/>
      <c r="O4547" s="352"/>
      <c r="P4547" s="352"/>
      <c r="Q4547" s="352"/>
      <c r="R4547" s="352"/>
      <c r="S4547" s="352"/>
      <c r="T4547" s="352"/>
      <c r="U4547" s="352"/>
      <c r="V4547" s="352"/>
      <c r="W4547" s="352"/>
      <c r="X4547" s="352"/>
      <c r="Y4547" s="352"/>
      <c r="Z4547" s="352"/>
      <c r="AA4547" s="352"/>
      <c r="AB4547" s="352"/>
      <c r="AC4547" s="352"/>
      <c r="AD4547" s="352"/>
      <c r="AE4547" s="352"/>
      <c r="AF4547" s="352"/>
      <c r="AG4547" s="352"/>
      <c r="AH4547" s="352"/>
      <c r="AI4547" s="352"/>
      <c r="AJ4547" s="352"/>
    </row>
    <row r="4548" spans="2:36" x14ac:dyDescent="0.2">
      <c r="B4548" s="352"/>
      <c r="C4548" s="352"/>
      <c r="D4548" s="352"/>
      <c r="E4548" s="352"/>
      <c r="F4548" s="352"/>
      <c r="H4548" s="352"/>
      <c r="J4548" s="352"/>
      <c r="L4548" s="352"/>
      <c r="M4548" s="352"/>
      <c r="N4548" s="352"/>
      <c r="O4548" s="352"/>
      <c r="P4548" s="352"/>
      <c r="Q4548" s="352"/>
      <c r="R4548" s="352"/>
      <c r="S4548" s="352"/>
      <c r="T4548" s="352"/>
      <c r="U4548" s="352"/>
      <c r="V4548" s="352"/>
      <c r="W4548" s="352"/>
      <c r="X4548" s="352"/>
      <c r="Y4548" s="352"/>
      <c r="Z4548" s="352"/>
      <c r="AA4548" s="352"/>
      <c r="AB4548" s="352"/>
      <c r="AC4548" s="352"/>
      <c r="AD4548" s="352"/>
      <c r="AE4548" s="352"/>
      <c r="AF4548" s="352"/>
      <c r="AG4548" s="352"/>
      <c r="AH4548" s="352"/>
      <c r="AI4548" s="352"/>
      <c r="AJ4548" s="352"/>
    </row>
    <row r="4549" spans="2:36" x14ac:dyDescent="0.2">
      <c r="B4549" s="352"/>
      <c r="C4549" s="352"/>
      <c r="D4549" s="352"/>
      <c r="E4549" s="352"/>
      <c r="F4549" s="352"/>
      <c r="H4549" s="352"/>
      <c r="J4549" s="352"/>
      <c r="L4549" s="352"/>
      <c r="M4549" s="352"/>
      <c r="N4549" s="352"/>
      <c r="O4549" s="352"/>
      <c r="P4549" s="352"/>
      <c r="Q4549" s="352"/>
      <c r="R4549" s="352"/>
      <c r="S4549" s="352"/>
      <c r="T4549" s="352"/>
      <c r="U4549" s="352"/>
      <c r="V4549" s="352"/>
      <c r="W4549" s="352"/>
      <c r="X4549" s="352"/>
      <c r="Y4549" s="352"/>
      <c r="Z4549" s="352"/>
      <c r="AA4549" s="352"/>
      <c r="AB4549" s="352"/>
      <c r="AC4549" s="352"/>
      <c r="AD4549" s="352"/>
      <c r="AE4549" s="352"/>
      <c r="AF4549" s="352"/>
      <c r="AG4549" s="352"/>
      <c r="AH4549" s="352"/>
      <c r="AI4549" s="352"/>
      <c r="AJ4549" s="352"/>
    </row>
    <row r="4550" spans="2:36" x14ac:dyDescent="0.2">
      <c r="B4550" s="352"/>
      <c r="C4550" s="352"/>
      <c r="D4550" s="352"/>
      <c r="E4550" s="352"/>
      <c r="F4550" s="352"/>
      <c r="H4550" s="352"/>
      <c r="J4550" s="352"/>
      <c r="L4550" s="352"/>
      <c r="M4550" s="352"/>
      <c r="N4550" s="352"/>
      <c r="O4550" s="352"/>
      <c r="P4550" s="352"/>
      <c r="Q4550" s="352"/>
      <c r="R4550" s="352"/>
      <c r="S4550" s="352"/>
      <c r="T4550" s="352"/>
      <c r="U4550" s="352"/>
      <c r="V4550" s="352"/>
      <c r="W4550" s="352"/>
      <c r="X4550" s="352"/>
      <c r="Y4550" s="352"/>
      <c r="Z4550" s="352"/>
      <c r="AA4550" s="352"/>
      <c r="AB4550" s="352"/>
      <c r="AC4550" s="352"/>
      <c r="AD4550" s="352"/>
      <c r="AE4550" s="352"/>
      <c r="AF4550" s="352"/>
      <c r="AG4550" s="352"/>
      <c r="AH4550" s="352"/>
      <c r="AI4550" s="352"/>
      <c r="AJ4550" s="352"/>
    </row>
    <row r="4551" spans="2:36" x14ac:dyDescent="0.2">
      <c r="B4551" s="352"/>
      <c r="C4551" s="352"/>
      <c r="D4551" s="352"/>
      <c r="E4551" s="352"/>
      <c r="F4551" s="352"/>
      <c r="H4551" s="352"/>
      <c r="J4551" s="352"/>
      <c r="L4551" s="352"/>
      <c r="M4551" s="352"/>
      <c r="N4551" s="352"/>
      <c r="O4551" s="352"/>
      <c r="P4551" s="352"/>
      <c r="Q4551" s="352"/>
      <c r="R4551" s="352"/>
      <c r="S4551" s="352"/>
      <c r="T4551" s="352"/>
      <c r="U4551" s="352"/>
      <c r="V4551" s="352"/>
      <c r="W4551" s="352"/>
      <c r="X4551" s="352"/>
      <c r="Y4551" s="352"/>
      <c r="Z4551" s="352"/>
      <c r="AA4551" s="352"/>
      <c r="AB4551" s="352"/>
      <c r="AC4551" s="352"/>
      <c r="AD4551" s="352"/>
      <c r="AE4551" s="352"/>
      <c r="AF4551" s="352"/>
      <c r="AG4551" s="352"/>
      <c r="AH4551" s="352"/>
      <c r="AI4551" s="352"/>
      <c r="AJ4551" s="352"/>
    </row>
    <row r="4552" spans="2:36" x14ac:dyDescent="0.2">
      <c r="B4552" s="352"/>
      <c r="C4552" s="352"/>
      <c r="D4552" s="352"/>
      <c r="E4552" s="352"/>
      <c r="F4552" s="352"/>
      <c r="H4552" s="352"/>
      <c r="J4552" s="352"/>
      <c r="L4552" s="352"/>
      <c r="M4552" s="352"/>
      <c r="N4552" s="352"/>
      <c r="O4552" s="352"/>
      <c r="P4552" s="352"/>
      <c r="Q4552" s="352"/>
      <c r="R4552" s="352"/>
      <c r="S4552" s="352"/>
      <c r="T4552" s="352"/>
      <c r="U4552" s="352"/>
      <c r="V4552" s="352"/>
      <c r="W4552" s="352"/>
      <c r="X4552" s="352"/>
      <c r="Y4552" s="352"/>
      <c r="Z4552" s="352"/>
      <c r="AA4552" s="352"/>
      <c r="AB4552" s="352"/>
      <c r="AC4552" s="352"/>
      <c r="AD4552" s="352"/>
      <c r="AE4552" s="352"/>
      <c r="AF4552" s="352"/>
      <c r="AG4552" s="352"/>
      <c r="AH4552" s="352"/>
      <c r="AI4552" s="352"/>
      <c r="AJ4552" s="352"/>
    </row>
    <row r="4553" spans="2:36" x14ac:dyDescent="0.2">
      <c r="B4553" s="352"/>
      <c r="C4553" s="352"/>
      <c r="D4553" s="352"/>
      <c r="E4553" s="352"/>
      <c r="F4553" s="352"/>
      <c r="H4553" s="352"/>
      <c r="J4553" s="352"/>
      <c r="L4553" s="352"/>
      <c r="M4553" s="352"/>
      <c r="N4553" s="352"/>
      <c r="O4553" s="352"/>
      <c r="P4553" s="352"/>
      <c r="Q4553" s="352"/>
      <c r="R4553" s="352"/>
      <c r="S4553" s="352"/>
      <c r="T4553" s="352"/>
      <c r="U4553" s="352"/>
      <c r="V4553" s="352"/>
      <c r="W4553" s="352"/>
      <c r="X4553" s="352"/>
      <c r="Y4553" s="352"/>
      <c r="Z4553" s="352"/>
      <c r="AA4553" s="352"/>
      <c r="AB4553" s="352"/>
      <c r="AC4553" s="352"/>
      <c r="AD4553" s="352"/>
      <c r="AE4553" s="352"/>
      <c r="AF4553" s="352"/>
      <c r="AG4553" s="352"/>
      <c r="AH4553" s="352"/>
      <c r="AI4553" s="352"/>
      <c r="AJ4553" s="352"/>
    </row>
    <row r="4554" spans="2:36" x14ac:dyDescent="0.2">
      <c r="B4554" s="352"/>
      <c r="C4554" s="352"/>
      <c r="D4554" s="352"/>
      <c r="E4554" s="352"/>
      <c r="F4554" s="352"/>
      <c r="H4554" s="352"/>
      <c r="J4554" s="352"/>
      <c r="L4554" s="352"/>
      <c r="M4554" s="352"/>
      <c r="N4554" s="352"/>
      <c r="O4554" s="352"/>
      <c r="P4554" s="352"/>
      <c r="Q4554" s="352"/>
      <c r="R4554" s="352"/>
      <c r="S4554" s="352"/>
      <c r="T4554" s="352"/>
      <c r="U4554" s="352"/>
      <c r="V4554" s="352"/>
      <c r="W4554" s="352"/>
      <c r="X4554" s="352"/>
      <c r="Y4554" s="352"/>
      <c r="Z4554" s="352"/>
      <c r="AA4554" s="352"/>
      <c r="AB4554" s="352"/>
      <c r="AC4554" s="352"/>
      <c r="AD4554" s="352"/>
      <c r="AE4554" s="352"/>
      <c r="AF4554" s="352"/>
      <c r="AG4554" s="352"/>
      <c r="AH4554" s="352"/>
      <c r="AI4554" s="352"/>
      <c r="AJ4554" s="352"/>
    </row>
    <row r="4555" spans="2:36" x14ac:dyDescent="0.2">
      <c r="B4555" s="352"/>
      <c r="C4555" s="352"/>
      <c r="D4555" s="352"/>
      <c r="E4555" s="352"/>
      <c r="F4555" s="352"/>
      <c r="H4555" s="352"/>
      <c r="J4555" s="352"/>
      <c r="L4555" s="352"/>
      <c r="M4555" s="352"/>
      <c r="N4555" s="352"/>
      <c r="O4555" s="352"/>
      <c r="P4555" s="352"/>
      <c r="Q4555" s="352"/>
      <c r="R4555" s="352"/>
      <c r="S4555" s="352"/>
      <c r="T4555" s="352"/>
      <c r="U4555" s="352"/>
      <c r="V4555" s="352"/>
      <c r="W4555" s="352"/>
      <c r="X4555" s="352"/>
      <c r="Y4555" s="352"/>
      <c r="Z4555" s="352"/>
      <c r="AA4555" s="352"/>
      <c r="AB4555" s="352"/>
      <c r="AC4555" s="352"/>
      <c r="AD4555" s="352"/>
      <c r="AE4555" s="352"/>
      <c r="AF4555" s="352"/>
      <c r="AG4555" s="352"/>
      <c r="AH4555" s="352"/>
      <c r="AI4555" s="352"/>
      <c r="AJ4555" s="352"/>
    </row>
    <row r="4556" spans="2:36" x14ac:dyDescent="0.2">
      <c r="B4556" s="352"/>
      <c r="C4556" s="352"/>
      <c r="D4556" s="352"/>
      <c r="E4556" s="352"/>
      <c r="F4556" s="352"/>
      <c r="H4556" s="352"/>
      <c r="J4556" s="352"/>
      <c r="L4556" s="352"/>
      <c r="M4556" s="352"/>
      <c r="N4556" s="352"/>
      <c r="O4556" s="352"/>
      <c r="P4556" s="352"/>
      <c r="Q4556" s="352"/>
      <c r="R4556" s="352"/>
      <c r="S4556" s="352"/>
      <c r="T4556" s="352"/>
      <c r="U4556" s="352"/>
      <c r="V4556" s="352"/>
      <c r="W4556" s="352"/>
      <c r="X4556" s="352"/>
      <c r="Y4556" s="352"/>
      <c r="Z4556" s="352"/>
      <c r="AA4556" s="352"/>
      <c r="AB4556" s="352"/>
      <c r="AC4556" s="352"/>
      <c r="AD4556" s="352"/>
      <c r="AE4556" s="352"/>
      <c r="AF4556" s="352"/>
      <c r="AG4556" s="352"/>
      <c r="AH4556" s="352"/>
      <c r="AI4556" s="352"/>
      <c r="AJ4556" s="352"/>
    </row>
    <row r="4557" spans="2:36" x14ac:dyDescent="0.2">
      <c r="B4557" s="352"/>
      <c r="C4557" s="352"/>
      <c r="D4557" s="352"/>
      <c r="E4557" s="352"/>
      <c r="F4557" s="352"/>
      <c r="H4557" s="352"/>
      <c r="J4557" s="352"/>
      <c r="L4557" s="352"/>
      <c r="M4557" s="352"/>
      <c r="N4557" s="352"/>
      <c r="O4557" s="352"/>
      <c r="P4557" s="352"/>
      <c r="Q4557" s="352"/>
      <c r="R4557" s="352"/>
      <c r="S4557" s="352"/>
      <c r="T4557" s="352"/>
      <c r="U4557" s="352"/>
      <c r="V4557" s="352"/>
      <c r="W4557" s="352"/>
      <c r="X4557" s="352"/>
      <c r="Y4557" s="352"/>
      <c r="Z4557" s="352"/>
      <c r="AA4557" s="352"/>
      <c r="AB4557" s="352"/>
      <c r="AC4557" s="352"/>
      <c r="AD4557" s="352"/>
      <c r="AE4557" s="352"/>
      <c r="AF4557" s="352"/>
      <c r="AG4557" s="352"/>
      <c r="AH4557" s="352"/>
      <c r="AI4557" s="352"/>
      <c r="AJ4557" s="352"/>
    </row>
    <row r="4558" spans="2:36" x14ac:dyDescent="0.2">
      <c r="B4558" s="352"/>
      <c r="C4558" s="352"/>
      <c r="D4558" s="352"/>
      <c r="E4558" s="352"/>
      <c r="F4558" s="352"/>
      <c r="H4558" s="352"/>
      <c r="J4558" s="352"/>
      <c r="L4558" s="352"/>
      <c r="M4558" s="352"/>
      <c r="N4558" s="352"/>
      <c r="O4558" s="352"/>
      <c r="P4558" s="352"/>
      <c r="Q4558" s="352"/>
      <c r="R4558" s="352"/>
      <c r="S4558" s="352"/>
      <c r="T4558" s="352"/>
      <c r="U4558" s="352"/>
      <c r="V4558" s="352"/>
      <c r="W4558" s="352"/>
      <c r="X4558" s="352"/>
      <c r="Y4558" s="352"/>
      <c r="Z4558" s="352"/>
      <c r="AA4558" s="352"/>
      <c r="AB4558" s="352"/>
      <c r="AC4558" s="352"/>
      <c r="AD4558" s="352"/>
      <c r="AE4558" s="352"/>
      <c r="AF4558" s="352"/>
      <c r="AG4558" s="352"/>
      <c r="AH4558" s="352"/>
      <c r="AI4558" s="352"/>
      <c r="AJ4558" s="352"/>
    </row>
    <row r="4559" spans="2:36" x14ac:dyDescent="0.2">
      <c r="B4559" s="352"/>
      <c r="C4559" s="352"/>
      <c r="D4559" s="352"/>
      <c r="E4559" s="352"/>
      <c r="F4559" s="352"/>
      <c r="H4559" s="352"/>
      <c r="J4559" s="352"/>
      <c r="L4559" s="352"/>
      <c r="M4559" s="352"/>
      <c r="N4559" s="352"/>
      <c r="O4559" s="352"/>
      <c r="P4559" s="352"/>
      <c r="Q4559" s="352"/>
      <c r="R4559" s="352"/>
      <c r="S4559" s="352"/>
      <c r="T4559" s="352"/>
      <c r="U4559" s="352"/>
      <c r="V4559" s="352"/>
      <c r="W4559" s="352"/>
      <c r="X4559" s="352"/>
      <c r="Y4559" s="352"/>
      <c r="Z4559" s="352"/>
      <c r="AA4559" s="352"/>
      <c r="AB4559" s="352"/>
      <c r="AC4559" s="352"/>
      <c r="AD4559" s="352"/>
      <c r="AE4559" s="352"/>
      <c r="AF4559" s="352"/>
      <c r="AG4559" s="352"/>
      <c r="AH4559" s="352"/>
      <c r="AI4559" s="352"/>
      <c r="AJ4559" s="352"/>
    </row>
    <row r="4560" spans="2:36" x14ac:dyDescent="0.2">
      <c r="B4560" s="352"/>
      <c r="C4560" s="352"/>
      <c r="D4560" s="352"/>
      <c r="E4560" s="352"/>
      <c r="F4560" s="352"/>
      <c r="H4560" s="352"/>
      <c r="J4560" s="352"/>
      <c r="L4560" s="352"/>
      <c r="M4560" s="352"/>
      <c r="N4560" s="352"/>
      <c r="O4560" s="352"/>
      <c r="P4560" s="352"/>
      <c r="Q4560" s="352"/>
      <c r="R4560" s="352"/>
      <c r="S4560" s="352"/>
      <c r="T4560" s="352"/>
      <c r="U4560" s="352"/>
      <c r="V4560" s="352"/>
      <c r="W4560" s="352"/>
      <c r="X4560" s="352"/>
      <c r="Y4560" s="352"/>
      <c r="Z4560" s="352"/>
      <c r="AA4560" s="352"/>
      <c r="AB4560" s="352"/>
      <c r="AC4560" s="352"/>
      <c r="AD4560" s="352"/>
      <c r="AE4560" s="352"/>
      <c r="AF4560" s="352"/>
      <c r="AG4560" s="352"/>
      <c r="AH4560" s="352"/>
      <c r="AI4560" s="352"/>
      <c r="AJ4560" s="352"/>
    </row>
    <row r="4561" spans="2:36" x14ac:dyDescent="0.2">
      <c r="B4561" s="352"/>
      <c r="C4561" s="352"/>
      <c r="D4561" s="352"/>
      <c r="E4561" s="352"/>
      <c r="F4561" s="352"/>
      <c r="H4561" s="352"/>
      <c r="J4561" s="352"/>
      <c r="L4561" s="352"/>
      <c r="M4561" s="352"/>
      <c r="N4561" s="352"/>
      <c r="O4561" s="352"/>
      <c r="P4561" s="352"/>
      <c r="Q4561" s="352"/>
      <c r="R4561" s="352"/>
      <c r="S4561" s="352"/>
      <c r="T4561" s="352"/>
      <c r="U4561" s="352"/>
      <c r="V4561" s="352"/>
      <c r="W4561" s="352"/>
      <c r="X4561" s="352"/>
      <c r="Y4561" s="352"/>
      <c r="Z4561" s="352"/>
      <c r="AA4561" s="352"/>
      <c r="AB4561" s="352"/>
      <c r="AC4561" s="352"/>
      <c r="AD4561" s="352"/>
      <c r="AE4561" s="352"/>
      <c r="AF4561" s="352"/>
      <c r="AG4561" s="352"/>
      <c r="AH4561" s="352"/>
      <c r="AI4561" s="352"/>
      <c r="AJ4561" s="352"/>
    </row>
    <row r="4562" spans="2:36" x14ac:dyDescent="0.2">
      <c r="B4562" s="352"/>
      <c r="C4562" s="352"/>
      <c r="D4562" s="352"/>
      <c r="E4562" s="352"/>
      <c r="F4562" s="352"/>
      <c r="H4562" s="352"/>
      <c r="J4562" s="352"/>
      <c r="L4562" s="352"/>
      <c r="M4562" s="352"/>
      <c r="N4562" s="352"/>
      <c r="O4562" s="352"/>
      <c r="P4562" s="352"/>
      <c r="Q4562" s="352"/>
      <c r="R4562" s="352"/>
      <c r="S4562" s="352"/>
      <c r="T4562" s="352"/>
      <c r="U4562" s="352"/>
      <c r="V4562" s="352"/>
      <c r="W4562" s="352"/>
      <c r="X4562" s="352"/>
      <c r="Y4562" s="352"/>
      <c r="Z4562" s="352"/>
      <c r="AA4562" s="352"/>
      <c r="AB4562" s="352"/>
      <c r="AC4562" s="352"/>
      <c r="AD4562" s="352"/>
      <c r="AE4562" s="352"/>
      <c r="AF4562" s="352"/>
      <c r="AG4562" s="352"/>
      <c r="AH4562" s="352"/>
      <c r="AI4562" s="352"/>
      <c r="AJ4562" s="352"/>
    </row>
    <row r="4563" spans="2:36" x14ac:dyDescent="0.2">
      <c r="B4563" s="352"/>
      <c r="C4563" s="352"/>
      <c r="D4563" s="352"/>
      <c r="E4563" s="352"/>
      <c r="F4563" s="352"/>
      <c r="H4563" s="352"/>
      <c r="J4563" s="352"/>
      <c r="L4563" s="352"/>
      <c r="M4563" s="352"/>
      <c r="N4563" s="352"/>
      <c r="O4563" s="352"/>
      <c r="P4563" s="352"/>
      <c r="Q4563" s="352"/>
      <c r="R4563" s="352"/>
      <c r="S4563" s="352"/>
      <c r="T4563" s="352"/>
      <c r="U4563" s="352"/>
      <c r="V4563" s="352"/>
      <c r="W4563" s="352"/>
      <c r="X4563" s="352"/>
      <c r="Y4563" s="352"/>
      <c r="Z4563" s="352"/>
      <c r="AA4563" s="352"/>
      <c r="AB4563" s="352"/>
      <c r="AC4563" s="352"/>
      <c r="AD4563" s="352"/>
      <c r="AE4563" s="352"/>
      <c r="AF4563" s="352"/>
      <c r="AG4563" s="352"/>
      <c r="AH4563" s="352"/>
      <c r="AI4563" s="352"/>
      <c r="AJ4563" s="352"/>
    </row>
    <row r="4564" spans="2:36" x14ac:dyDescent="0.2">
      <c r="B4564" s="352"/>
      <c r="C4564" s="352"/>
      <c r="D4564" s="352"/>
      <c r="E4564" s="352"/>
      <c r="F4564" s="352"/>
      <c r="H4564" s="352"/>
      <c r="J4564" s="352"/>
      <c r="L4564" s="352"/>
      <c r="M4564" s="352"/>
      <c r="N4564" s="352"/>
      <c r="O4564" s="352"/>
      <c r="P4564" s="352"/>
      <c r="Q4564" s="352"/>
      <c r="R4564" s="352"/>
      <c r="S4564" s="352"/>
      <c r="T4564" s="352"/>
      <c r="U4564" s="352"/>
      <c r="V4564" s="352"/>
      <c r="W4564" s="352"/>
      <c r="X4564" s="352"/>
      <c r="Y4564" s="352"/>
      <c r="Z4564" s="352"/>
      <c r="AA4564" s="352"/>
      <c r="AB4564" s="352"/>
      <c r="AC4564" s="352"/>
      <c r="AD4564" s="352"/>
      <c r="AE4564" s="352"/>
      <c r="AF4564" s="352"/>
      <c r="AG4564" s="352"/>
      <c r="AH4564" s="352"/>
      <c r="AI4564" s="352"/>
      <c r="AJ4564" s="352"/>
    </row>
    <row r="4565" spans="2:36" x14ac:dyDescent="0.2">
      <c r="B4565" s="352"/>
      <c r="C4565" s="352"/>
      <c r="D4565" s="352"/>
      <c r="E4565" s="352"/>
      <c r="F4565" s="352"/>
      <c r="H4565" s="352"/>
      <c r="J4565" s="352"/>
      <c r="L4565" s="352"/>
      <c r="M4565" s="352"/>
      <c r="N4565" s="352"/>
      <c r="O4565" s="352"/>
      <c r="P4565" s="352"/>
      <c r="Q4565" s="352"/>
      <c r="R4565" s="352"/>
      <c r="S4565" s="352"/>
      <c r="T4565" s="352"/>
      <c r="U4565" s="352"/>
      <c r="V4565" s="352"/>
      <c r="W4565" s="352"/>
      <c r="X4565" s="352"/>
      <c r="Y4565" s="352"/>
      <c r="Z4565" s="352"/>
      <c r="AA4565" s="352"/>
      <c r="AB4565" s="352"/>
      <c r="AC4565" s="352"/>
      <c r="AD4565" s="352"/>
      <c r="AE4565" s="352"/>
      <c r="AF4565" s="352"/>
      <c r="AG4565" s="352"/>
      <c r="AH4565" s="352"/>
      <c r="AI4565" s="352"/>
      <c r="AJ4565" s="352"/>
    </row>
    <row r="4566" spans="2:36" x14ac:dyDescent="0.2">
      <c r="B4566" s="352"/>
      <c r="C4566" s="352"/>
      <c r="D4566" s="352"/>
      <c r="E4566" s="352"/>
      <c r="F4566" s="352"/>
      <c r="H4566" s="352"/>
      <c r="J4566" s="352"/>
      <c r="L4566" s="352"/>
      <c r="M4566" s="352"/>
      <c r="N4566" s="352"/>
      <c r="O4566" s="352"/>
      <c r="P4566" s="352"/>
      <c r="Q4566" s="352"/>
      <c r="R4566" s="352"/>
      <c r="S4566" s="352"/>
      <c r="T4566" s="352"/>
      <c r="U4566" s="352"/>
      <c r="V4566" s="352"/>
      <c r="W4566" s="352"/>
      <c r="X4566" s="352"/>
      <c r="Y4566" s="352"/>
      <c r="Z4566" s="352"/>
      <c r="AA4566" s="352"/>
      <c r="AB4566" s="352"/>
      <c r="AC4566" s="352"/>
      <c r="AD4566" s="352"/>
      <c r="AE4566" s="352"/>
      <c r="AF4566" s="352"/>
      <c r="AG4566" s="352"/>
      <c r="AH4566" s="352"/>
      <c r="AI4566" s="352"/>
      <c r="AJ4566" s="352"/>
    </row>
    <row r="4567" spans="2:36" x14ac:dyDescent="0.2">
      <c r="B4567" s="352"/>
      <c r="C4567" s="352"/>
      <c r="D4567" s="352"/>
      <c r="E4567" s="352"/>
      <c r="F4567" s="352"/>
      <c r="H4567" s="352"/>
      <c r="J4567" s="352"/>
      <c r="L4567" s="352"/>
      <c r="M4567" s="352"/>
      <c r="N4567" s="352"/>
      <c r="O4567" s="352"/>
      <c r="P4567" s="352"/>
      <c r="Q4567" s="352"/>
      <c r="R4567" s="352"/>
      <c r="S4567" s="352"/>
      <c r="T4567" s="352"/>
      <c r="U4567" s="352"/>
      <c r="V4567" s="352"/>
      <c r="W4567" s="352"/>
      <c r="X4567" s="352"/>
      <c r="Y4567" s="352"/>
      <c r="Z4567" s="352"/>
      <c r="AA4567" s="352"/>
      <c r="AB4567" s="352"/>
      <c r="AC4567" s="352"/>
      <c r="AD4567" s="352"/>
      <c r="AE4567" s="352"/>
      <c r="AF4567" s="352"/>
      <c r="AG4567" s="352"/>
      <c r="AH4567" s="352"/>
      <c r="AI4567" s="352"/>
      <c r="AJ4567" s="352"/>
    </row>
    <row r="4568" spans="2:36" x14ac:dyDescent="0.2">
      <c r="B4568" s="352"/>
      <c r="C4568" s="352"/>
      <c r="D4568" s="352"/>
      <c r="E4568" s="352"/>
      <c r="F4568" s="352"/>
      <c r="H4568" s="352"/>
      <c r="J4568" s="352"/>
      <c r="L4568" s="352"/>
      <c r="M4568" s="352"/>
      <c r="N4568" s="352"/>
      <c r="O4568" s="352"/>
      <c r="P4568" s="352"/>
      <c r="Q4568" s="352"/>
      <c r="R4568" s="352"/>
      <c r="S4568" s="352"/>
      <c r="T4568" s="352"/>
      <c r="U4568" s="352"/>
      <c r="V4568" s="352"/>
      <c r="W4568" s="352"/>
      <c r="X4568" s="352"/>
      <c r="Y4568" s="352"/>
      <c r="Z4568" s="352"/>
      <c r="AA4568" s="352"/>
      <c r="AB4568" s="352"/>
      <c r="AC4568" s="352"/>
      <c r="AD4568" s="352"/>
      <c r="AE4568" s="352"/>
      <c r="AF4568" s="352"/>
      <c r="AG4568" s="352"/>
      <c r="AH4568" s="352"/>
      <c r="AI4568" s="352"/>
      <c r="AJ4568" s="352"/>
    </row>
    <row r="4569" spans="2:36" x14ac:dyDescent="0.2">
      <c r="B4569" s="352"/>
      <c r="C4569" s="352"/>
      <c r="D4569" s="352"/>
      <c r="E4569" s="352"/>
      <c r="F4569" s="352"/>
      <c r="H4569" s="352"/>
      <c r="J4569" s="352"/>
      <c r="L4569" s="352"/>
      <c r="M4569" s="352"/>
      <c r="N4569" s="352"/>
      <c r="O4569" s="352"/>
      <c r="P4569" s="352"/>
      <c r="Q4569" s="352"/>
      <c r="R4569" s="352"/>
      <c r="S4569" s="352"/>
      <c r="T4569" s="352"/>
      <c r="U4569" s="352"/>
      <c r="V4569" s="352"/>
      <c r="W4569" s="352"/>
      <c r="X4569" s="352"/>
      <c r="Y4569" s="352"/>
      <c r="Z4569" s="352"/>
      <c r="AA4569" s="352"/>
      <c r="AB4569" s="352"/>
      <c r="AC4569" s="352"/>
      <c r="AD4569" s="352"/>
      <c r="AE4569" s="352"/>
      <c r="AF4569" s="352"/>
      <c r="AG4569" s="352"/>
      <c r="AH4569" s="352"/>
      <c r="AI4569" s="352"/>
      <c r="AJ4569" s="352"/>
    </row>
    <row r="4570" spans="2:36" x14ac:dyDescent="0.2">
      <c r="B4570" s="352"/>
      <c r="C4570" s="352"/>
      <c r="D4570" s="352"/>
      <c r="E4570" s="352"/>
      <c r="F4570" s="352"/>
      <c r="H4570" s="352"/>
      <c r="J4570" s="352"/>
      <c r="L4570" s="352"/>
      <c r="M4570" s="352"/>
      <c r="N4570" s="352"/>
      <c r="O4570" s="352"/>
      <c r="P4570" s="352"/>
      <c r="Q4570" s="352"/>
      <c r="R4570" s="352"/>
      <c r="S4570" s="352"/>
      <c r="T4570" s="352"/>
      <c r="U4570" s="352"/>
      <c r="V4570" s="352"/>
      <c r="W4570" s="352"/>
      <c r="X4570" s="352"/>
      <c r="Y4570" s="352"/>
      <c r="Z4570" s="352"/>
      <c r="AA4570" s="352"/>
      <c r="AB4570" s="352"/>
      <c r="AC4570" s="352"/>
      <c r="AD4570" s="352"/>
      <c r="AE4570" s="352"/>
      <c r="AF4570" s="352"/>
      <c r="AG4570" s="352"/>
      <c r="AH4570" s="352"/>
      <c r="AI4570" s="352"/>
      <c r="AJ4570" s="352"/>
    </row>
    <row r="4571" spans="2:36" x14ac:dyDescent="0.2">
      <c r="B4571" s="352"/>
      <c r="C4571" s="352"/>
      <c r="D4571" s="352"/>
      <c r="E4571" s="352"/>
      <c r="F4571" s="352"/>
      <c r="H4571" s="352"/>
      <c r="J4571" s="352"/>
      <c r="L4571" s="352"/>
      <c r="M4571" s="352"/>
      <c r="N4571" s="352"/>
      <c r="O4571" s="352"/>
      <c r="P4571" s="352"/>
      <c r="Q4571" s="352"/>
      <c r="R4571" s="352"/>
      <c r="S4571" s="352"/>
      <c r="T4571" s="352"/>
      <c r="U4571" s="352"/>
      <c r="V4571" s="352"/>
      <c r="W4571" s="352"/>
      <c r="X4571" s="352"/>
      <c r="Y4571" s="352"/>
      <c r="Z4571" s="352"/>
      <c r="AA4571" s="352"/>
      <c r="AB4571" s="352"/>
      <c r="AC4571" s="352"/>
      <c r="AD4571" s="352"/>
      <c r="AE4571" s="352"/>
      <c r="AF4571" s="352"/>
      <c r="AG4571" s="352"/>
      <c r="AH4571" s="352"/>
      <c r="AI4571" s="352"/>
      <c r="AJ4571" s="352"/>
    </row>
    <row r="4572" spans="2:36" x14ac:dyDescent="0.2">
      <c r="B4572" s="352"/>
      <c r="C4572" s="352"/>
      <c r="D4572" s="352"/>
      <c r="E4572" s="352"/>
      <c r="F4572" s="352"/>
      <c r="H4572" s="352"/>
      <c r="J4572" s="352"/>
      <c r="L4572" s="352"/>
      <c r="M4572" s="352"/>
      <c r="N4572" s="352"/>
      <c r="O4572" s="352"/>
      <c r="P4572" s="352"/>
      <c r="Q4572" s="352"/>
      <c r="R4572" s="352"/>
      <c r="S4572" s="352"/>
      <c r="T4572" s="352"/>
      <c r="U4572" s="352"/>
      <c r="V4572" s="352"/>
      <c r="W4572" s="352"/>
      <c r="X4572" s="352"/>
      <c r="Y4572" s="352"/>
      <c r="Z4572" s="352"/>
      <c r="AA4572" s="352"/>
      <c r="AB4572" s="352"/>
      <c r="AC4572" s="352"/>
      <c r="AD4572" s="352"/>
      <c r="AE4572" s="352"/>
      <c r="AF4572" s="352"/>
      <c r="AG4572" s="352"/>
      <c r="AH4572" s="352"/>
      <c r="AI4572" s="352"/>
      <c r="AJ4572" s="352"/>
    </row>
    <row r="4573" spans="2:36" x14ac:dyDescent="0.2">
      <c r="B4573" s="352"/>
      <c r="C4573" s="352"/>
      <c r="D4573" s="352"/>
      <c r="E4573" s="352"/>
      <c r="F4573" s="352"/>
      <c r="H4573" s="352"/>
      <c r="J4573" s="352"/>
      <c r="L4573" s="352"/>
      <c r="M4573" s="352"/>
      <c r="N4573" s="352"/>
      <c r="O4573" s="352"/>
      <c r="P4573" s="352"/>
      <c r="Q4573" s="352"/>
      <c r="R4573" s="352"/>
      <c r="S4573" s="352"/>
      <c r="T4573" s="352"/>
      <c r="U4573" s="352"/>
      <c r="V4573" s="352"/>
      <c r="W4573" s="352"/>
      <c r="X4573" s="352"/>
      <c r="Y4573" s="352"/>
      <c r="Z4573" s="352"/>
      <c r="AA4573" s="352"/>
      <c r="AB4573" s="352"/>
      <c r="AC4573" s="352"/>
      <c r="AD4573" s="352"/>
      <c r="AE4573" s="352"/>
      <c r="AF4573" s="352"/>
      <c r="AG4573" s="352"/>
      <c r="AH4573" s="352"/>
      <c r="AI4573" s="352"/>
      <c r="AJ4573" s="352"/>
    </row>
    <row r="4574" spans="2:36" x14ac:dyDescent="0.2">
      <c r="B4574" s="352"/>
      <c r="C4574" s="352"/>
      <c r="D4574" s="352"/>
      <c r="E4574" s="352"/>
      <c r="F4574" s="352"/>
      <c r="H4574" s="352"/>
      <c r="J4574" s="352"/>
      <c r="L4574" s="352"/>
      <c r="M4574" s="352"/>
      <c r="N4574" s="352"/>
      <c r="O4574" s="352"/>
      <c r="P4574" s="352"/>
      <c r="Q4574" s="352"/>
      <c r="R4574" s="352"/>
      <c r="S4574" s="352"/>
      <c r="T4574" s="352"/>
      <c r="U4574" s="352"/>
      <c r="V4574" s="352"/>
      <c r="W4574" s="352"/>
      <c r="X4574" s="352"/>
      <c r="Y4574" s="352"/>
      <c r="Z4574" s="352"/>
      <c r="AA4574" s="352"/>
      <c r="AB4574" s="352"/>
      <c r="AC4574" s="352"/>
      <c r="AD4574" s="352"/>
      <c r="AE4574" s="352"/>
      <c r="AF4574" s="352"/>
      <c r="AG4574" s="352"/>
      <c r="AH4574" s="352"/>
      <c r="AI4574" s="352"/>
      <c r="AJ4574" s="352"/>
    </row>
    <row r="4575" spans="2:36" x14ac:dyDescent="0.2">
      <c r="B4575" s="352"/>
      <c r="C4575" s="352"/>
      <c r="D4575" s="352"/>
      <c r="E4575" s="352"/>
      <c r="F4575" s="352"/>
      <c r="H4575" s="352"/>
      <c r="J4575" s="352"/>
      <c r="L4575" s="352"/>
      <c r="M4575" s="352"/>
      <c r="N4575" s="352"/>
      <c r="O4575" s="352"/>
      <c r="P4575" s="352"/>
      <c r="Q4575" s="352"/>
      <c r="R4575" s="352"/>
      <c r="S4575" s="352"/>
      <c r="T4575" s="352"/>
      <c r="U4575" s="352"/>
      <c r="V4575" s="352"/>
      <c r="W4575" s="352"/>
      <c r="X4575" s="352"/>
      <c r="Y4575" s="352"/>
      <c r="Z4575" s="352"/>
      <c r="AA4575" s="352"/>
      <c r="AB4575" s="352"/>
      <c r="AC4575" s="352"/>
      <c r="AD4575" s="352"/>
      <c r="AE4575" s="352"/>
      <c r="AF4575" s="352"/>
      <c r="AG4575" s="352"/>
      <c r="AH4575" s="352"/>
      <c r="AI4575" s="352"/>
      <c r="AJ4575" s="352"/>
    </row>
    <row r="4576" spans="2:36" x14ac:dyDescent="0.2">
      <c r="B4576" s="352"/>
      <c r="C4576" s="352"/>
      <c r="D4576" s="352"/>
      <c r="E4576" s="352"/>
      <c r="F4576" s="352"/>
      <c r="H4576" s="352"/>
      <c r="J4576" s="352"/>
      <c r="L4576" s="352"/>
      <c r="M4576" s="352"/>
      <c r="N4576" s="352"/>
      <c r="O4576" s="352"/>
      <c r="P4576" s="352"/>
      <c r="Q4576" s="352"/>
      <c r="R4576" s="352"/>
      <c r="S4576" s="352"/>
      <c r="T4576" s="352"/>
      <c r="U4576" s="352"/>
      <c r="V4576" s="352"/>
      <c r="W4576" s="352"/>
      <c r="X4576" s="352"/>
      <c r="Y4576" s="352"/>
      <c r="Z4576" s="352"/>
      <c r="AA4576" s="352"/>
      <c r="AB4576" s="352"/>
      <c r="AC4576" s="352"/>
      <c r="AD4576" s="352"/>
      <c r="AE4576" s="352"/>
      <c r="AF4576" s="352"/>
      <c r="AG4576" s="352"/>
      <c r="AH4576" s="352"/>
      <c r="AI4576" s="352"/>
      <c r="AJ4576" s="352"/>
    </row>
    <row r="4577" spans="2:36" x14ac:dyDescent="0.2">
      <c r="B4577" s="352"/>
      <c r="C4577" s="352"/>
      <c r="D4577" s="352"/>
      <c r="E4577" s="352"/>
      <c r="F4577" s="352"/>
      <c r="H4577" s="352"/>
      <c r="J4577" s="352"/>
      <c r="L4577" s="352"/>
      <c r="M4577" s="352"/>
      <c r="N4577" s="352"/>
      <c r="O4577" s="352"/>
      <c r="P4577" s="352"/>
      <c r="Q4577" s="352"/>
      <c r="R4577" s="352"/>
      <c r="S4577" s="352"/>
      <c r="T4577" s="352"/>
      <c r="U4577" s="352"/>
      <c r="V4577" s="352"/>
      <c r="W4577" s="352"/>
      <c r="X4577" s="352"/>
      <c r="Y4577" s="352"/>
      <c r="Z4577" s="352"/>
      <c r="AA4577" s="352"/>
      <c r="AB4577" s="352"/>
      <c r="AC4577" s="352"/>
      <c r="AD4577" s="352"/>
      <c r="AE4577" s="352"/>
      <c r="AF4577" s="352"/>
      <c r="AG4577" s="352"/>
      <c r="AH4577" s="352"/>
      <c r="AI4577" s="352"/>
      <c r="AJ4577" s="352"/>
    </row>
    <row r="4578" spans="2:36" x14ac:dyDescent="0.2">
      <c r="B4578" s="352"/>
      <c r="C4578" s="352"/>
      <c r="D4578" s="352"/>
      <c r="E4578" s="352"/>
      <c r="F4578" s="352"/>
      <c r="H4578" s="352"/>
      <c r="J4578" s="352"/>
      <c r="L4578" s="352"/>
      <c r="M4578" s="352"/>
      <c r="N4578" s="352"/>
      <c r="O4578" s="352"/>
      <c r="P4578" s="352"/>
      <c r="Q4578" s="352"/>
      <c r="R4578" s="352"/>
      <c r="S4578" s="352"/>
      <c r="T4578" s="352"/>
      <c r="U4578" s="352"/>
      <c r="V4578" s="352"/>
      <c r="W4578" s="352"/>
      <c r="X4578" s="352"/>
      <c r="Y4578" s="352"/>
      <c r="Z4578" s="352"/>
      <c r="AA4578" s="352"/>
      <c r="AB4578" s="352"/>
      <c r="AC4578" s="352"/>
      <c r="AD4578" s="352"/>
      <c r="AE4578" s="352"/>
      <c r="AF4578" s="352"/>
      <c r="AG4578" s="352"/>
      <c r="AH4578" s="352"/>
      <c r="AI4578" s="352"/>
      <c r="AJ4578" s="352"/>
    </row>
    <row r="4579" spans="2:36" x14ac:dyDescent="0.2">
      <c r="B4579" s="352"/>
      <c r="C4579" s="352"/>
      <c r="D4579" s="352"/>
      <c r="E4579" s="352"/>
      <c r="F4579" s="352"/>
      <c r="H4579" s="352"/>
      <c r="J4579" s="352"/>
      <c r="L4579" s="352"/>
      <c r="M4579" s="352"/>
      <c r="N4579" s="352"/>
      <c r="O4579" s="352"/>
      <c r="P4579" s="352"/>
      <c r="Q4579" s="352"/>
      <c r="R4579" s="352"/>
      <c r="S4579" s="352"/>
      <c r="T4579" s="352"/>
      <c r="U4579" s="352"/>
      <c r="V4579" s="352"/>
      <c r="W4579" s="352"/>
      <c r="X4579" s="352"/>
      <c r="Y4579" s="352"/>
      <c r="Z4579" s="352"/>
      <c r="AA4579" s="352"/>
      <c r="AB4579" s="352"/>
      <c r="AC4579" s="352"/>
      <c r="AD4579" s="352"/>
      <c r="AE4579" s="352"/>
      <c r="AF4579" s="352"/>
      <c r="AG4579" s="352"/>
      <c r="AH4579" s="352"/>
      <c r="AI4579" s="352"/>
      <c r="AJ4579" s="352"/>
    </row>
    <row r="4580" spans="2:36" x14ac:dyDescent="0.2">
      <c r="B4580" s="352"/>
      <c r="C4580" s="352"/>
      <c r="D4580" s="352"/>
      <c r="E4580" s="352"/>
      <c r="F4580" s="352"/>
      <c r="H4580" s="352"/>
      <c r="J4580" s="352"/>
      <c r="L4580" s="352"/>
      <c r="M4580" s="352"/>
      <c r="N4580" s="352"/>
      <c r="O4580" s="352"/>
      <c r="P4580" s="352"/>
      <c r="Q4580" s="352"/>
      <c r="R4580" s="352"/>
      <c r="S4580" s="352"/>
      <c r="T4580" s="352"/>
      <c r="U4580" s="352"/>
      <c r="V4580" s="352"/>
      <c r="W4580" s="352"/>
      <c r="X4580" s="352"/>
      <c r="Y4580" s="352"/>
      <c r="Z4580" s="352"/>
      <c r="AA4580" s="352"/>
      <c r="AB4580" s="352"/>
      <c r="AC4580" s="352"/>
      <c r="AD4580" s="352"/>
      <c r="AE4580" s="352"/>
      <c r="AF4580" s="352"/>
      <c r="AG4580" s="352"/>
      <c r="AH4580" s="352"/>
      <c r="AI4580" s="352"/>
      <c r="AJ4580" s="352"/>
    </row>
    <row r="4581" spans="2:36" x14ac:dyDescent="0.2">
      <c r="B4581" s="352"/>
      <c r="C4581" s="352"/>
      <c r="D4581" s="352"/>
      <c r="E4581" s="352"/>
      <c r="F4581" s="352"/>
      <c r="H4581" s="352"/>
      <c r="J4581" s="352"/>
      <c r="L4581" s="352"/>
      <c r="M4581" s="352"/>
      <c r="N4581" s="352"/>
      <c r="O4581" s="352"/>
      <c r="P4581" s="352"/>
      <c r="Q4581" s="352"/>
      <c r="R4581" s="352"/>
      <c r="S4581" s="352"/>
      <c r="T4581" s="352"/>
      <c r="U4581" s="352"/>
      <c r="V4581" s="352"/>
      <c r="W4581" s="352"/>
      <c r="X4581" s="352"/>
      <c r="Y4581" s="352"/>
      <c r="Z4581" s="352"/>
      <c r="AA4581" s="352"/>
      <c r="AB4581" s="352"/>
      <c r="AC4581" s="352"/>
      <c r="AD4581" s="352"/>
      <c r="AE4581" s="352"/>
      <c r="AF4581" s="352"/>
      <c r="AG4581" s="352"/>
      <c r="AH4581" s="352"/>
      <c r="AI4581" s="352"/>
      <c r="AJ4581" s="352"/>
    </row>
    <row r="4582" spans="2:36" x14ac:dyDescent="0.2">
      <c r="B4582" s="352"/>
      <c r="C4582" s="352"/>
      <c r="D4582" s="352"/>
      <c r="E4582" s="352"/>
      <c r="F4582" s="352"/>
      <c r="H4582" s="352"/>
      <c r="J4582" s="352"/>
      <c r="L4582" s="352"/>
      <c r="M4582" s="352"/>
      <c r="N4582" s="352"/>
      <c r="O4582" s="352"/>
      <c r="P4582" s="352"/>
      <c r="Q4582" s="352"/>
      <c r="R4582" s="352"/>
      <c r="S4582" s="352"/>
      <c r="T4582" s="352"/>
      <c r="U4582" s="352"/>
      <c r="V4582" s="352"/>
      <c r="W4582" s="352"/>
      <c r="X4582" s="352"/>
      <c r="Y4582" s="352"/>
      <c r="Z4582" s="352"/>
      <c r="AA4582" s="352"/>
      <c r="AB4582" s="352"/>
      <c r="AC4582" s="352"/>
      <c r="AD4582" s="352"/>
      <c r="AE4582" s="352"/>
      <c r="AF4582" s="352"/>
      <c r="AG4582" s="352"/>
      <c r="AH4582" s="352"/>
      <c r="AI4582" s="352"/>
      <c r="AJ4582" s="352"/>
    </row>
    <row r="4583" spans="2:36" x14ac:dyDescent="0.2">
      <c r="B4583" s="352"/>
      <c r="C4583" s="352"/>
      <c r="D4583" s="352"/>
      <c r="E4583" s="352"/>
      <c r="F4583" s="352"/>
      <c r="H4583" s="352"/>
      <c r="J4583" s="352"/>
      <c r="L4583" s="352"/>
      <c r="M4583" s="352"/>
      <c r="N4583" s="352"/>
      <c r="O4583" s="352"/>
      <c r="P4583" s="352"/>
      <c r="Q4583" s="352"/>
      <c r="R4583" s="352"/>
      <c r="S4583" s="352"/>
      <c r="T4583" s="352"/>
      <c r="U4583" s="352"/>
      <c r="V4583" s="352"/>
      <c r="W4583" s="352"/>
      <c r="X4583" s="352"/>
      <c r="Y4583" s="352"/>
      <c r="Z4583" s="352"/>
      <c r="AA4583" s="352"/>
      <c r="AB4583" s="352"/>
      <c r="AC4583" s="352"/>
      <c r="AD4583" s="352"/>
      <c r="AE4583" s="352"/>
      <c r="AF4583" s="352"/>
      <c r="AG4583" s="352"/>
      <c r="AH4583" s="352"/>
      <c r="AI4583" s="352"/>
      <c r="AJ4583" s="352"/>
    </row>
    <row r="4584" spans="2:36" x14ac:dyDescent="0.2">
      <c r="B4584" s="352"/>
      <c r="C4584" s="352"/>
      <c r="D4584" s="352"/>
      <c r="E4584" s="352"/>
      <c r="F4584" s="352"/>
      <c r="H4584" s="352"/>
      <c r="J4584" s="352"/>
      <c r="L4584" s="352"/>
      <c r="M4584" s="352"/>
      <c r="N4584" s="352"/>
      <c r="O4584" s="352"/>
      <c r="P4584" s="352"/>
      <c r="Q4584" s="352"/>
      <c r="R4584" s="352"/>
      <c r="S4584" s="352"/>
      <c r="T4584" s="352"/>
      <c r="U4584" s="352"/>
      <c r="V4584" s="352"/>
      <c r="W4584" s="352"/>
      <c r="X4584" s="352"/>
      <c r="Y4584" s="352"/>
      <c r="Z4584" s="352"/>
      <c r="AA4584" s="352"/>
      <c r="AB4584" s="352"/>
      <c r="AC4584" s="352"/>
      <c r="AD4584" s="352"/>
      <c r="AE4584" s="352"/>
      <c r="AF4584" s="352"/>
      <c r="AG4584" s="352"/>
      <c r="AH4584" s="352"/>
      <c r="AI4584" s="352"/>
      <c r="AJ4584" s="352"/>
    </row>
    <row r="4585" spans="2:36" x14ac:dyDescent="0.2">
      <c r="B4585" s="352"/>
      <c r="C4585" s="352"/>
      <c r="D4585" s="352"/>
      <c r="E4585" s="352"/>
      <c r="F4585" s="352"/>
      <c r="H4585" s="352"/>
      <c r="J4585" s="352"/>
      <c r="L4585" s="352"/>
      <c r="M4585" s="352"/>
      <c r="N4585" s="352"/>
      <c r="O4585" s="352"/>
      <c r="P4585" s="352"/>
      <c r="Q4585" s="352"/>
      <c r="R4585" s="352"/>
      <c r="S4585" s="352"/>
      <c r="T4585" s="352"/>
      <c r="U4585" s="352"/>
      <c r="V4585" s="352"/>
      <c r="W4585" s="352"/>
      <c r="X4585" s="352"/>
      <c r="Y4585" s="352"/>
      <c r="Z4585" s="352"/>
      <c r="AA4585" s="352"/>
      <c r="AB4585" s="352"/>
      <c r="AC4585" s="352"/>
      <c r="AD4585" s="352"/>
      <c r="AE4585" s="352"/>
      <c r="AF4585" s="352"/>
      <c r="AG4585" s="352"/>
      <c r="AH4585" s="352"/>
      <c r="AI4585" s="352"/>
      <c r="AJ4585" s="352"/>
    </row>
    <row r="4586" spans="2:36" x14ac:dyDescent="0.2">
      <c r="B4586" s="352"/>
      <c r="C4586" s="352"/>
      <c r="D4586" s="352"/>
      <c r="E4586" s="352"/>
      <c r="F4586" s="352"/>
      <c r="H4586" s="352"/>
      <c r="J4586" s="352"/>
      <c r="L4586" s="352"/>
      <c r="M4586" s="352"/>
      <c r="N4586" s="352"/>
      <c r="O4586" s="352"/>
      <c r="P4586" s="352"/>
      <c r="Q4586" s="352"/>
      <c r="R4586" s="352"/>
      <c r="S4586" s="352"/>
      <c r="T4586" s="352"/>
      <c r="U4586" s="352"/>
      <c r="V4586" s="352"/>
      <c r="W4586" s="352"/>
      <c r="X4586" s="352"/>
      <c r="Y4586" s="352"/>
      <c r="Z4586" s="352"/>
      <c r="AA4586" s="352"/>
      <c r="AB4586" s="352"/>
      <c r="AC4586" s="352"/>
      <c r="AD4586" s="352"/>
      <c r="AE4586" s="352"/>
      <c r="AF4586" s="352"/>
      <c r="AG4586" s="352"/>
      <c r="AH4586" s="352"/>
      <c r="AI4586" s="352"/>
      <c r="AJ4586" s="352"/>
    </row>
    <row r="4587" spans="2:36" x14ac:dyDescent="0.2">
      <c r="B4587" s="352"/>
      <c r="C4587" s="352"/>
      <c r="D4587" s="352"/>
      <c r="E4587" s="352"/>
      <c r="F4587" s="352"/>
      <c r="H4587" s="352"/>
      <c r="J4587" s="352"/>
      <c r="L4587" s="352"/>
      <c r="M4587" s="352"/>
      <c r="N4587" s="352"/>
      <c r="O4587" s="352"/>
      <c r="P4587" s="352"/>
      <c r="Q4587" s="352"/>
      <c r="R4587" s="352"/>
      <c r="S4587" s="352"/>
      <c r="T4587" s="352"/>
      <c r="U4587" s="352"/>
      <c r="V4587" s="352"/>
      <c r="W4587" s="352"/>
      <c r="X4587" s="352"/>
      <c r="Y4587" s="352"/>
      <c r="Z4587" s="352"/>
      <c r="AA4587" s="352"/>
      <c r="AB4587" s="352"/>
      <c r="AC4587" s="352"/>
      <c r="AD4587" s="352"/>
      <c r="AE4587" s="352"/>
      <c r="AF4587" s="352"/>
      <c r="AG4587" s="352"/>
      <c r="AH4587" s="352"/>
      <c r="AI4587" s="352"/>
      <c r="AJ4587" s="352"/>
    </row>
    <row r="4588" spans="2:36" x14ac:dyDescent="0.2">
      <c r="B4588" s="352"/>
      <c r="C4588" s="352"/>
      <c r="D4588" s="352"/>
      <c r="E4588" s="352"/>
      <c r="F4588" s="352"/>
      <c r="H4588" s="352"/>
      <c r="J4588" s="352"/>
      <c r="L4588" s="352"/>
      <c r="M4588" s="352"/>
      <c r="N4588" s="352"/>
      <c r="O4588" s="352"/>
      <c r="P4588" s="352"/>
      <c r="Q4588" s="352"/>
      <c r="R4588" s="352"/>
      <c r="S4588" s="352"/>
      <c r="T4588" s="352"/>
      <c r="U4588" s="352"/>
      <c r="V4588" s="352"/>
      <c r="W4588" s="352"/>
      <c r="X4588" s="352"/>
      <c r="Y4588" s="352"/>
      <c r="Z4588" s="352"/>
      <c r="AA4588" s="352"/>
      <c r="AB4588" s="352"/>
      <c r="AC4588" s="352"/>
      <c r="AD4588" s="352"/>
      <c r="AE4588" s="352"/>
      <c r="AF4588" s="352"/>
      <c r="AG4588" s="352"/>
      <c r="AH4588" s="352"/>
      <c r="AI4588" s="352"/>
      <c r="AJ4588" s="352"/>
    </row>
    <row r="4589" spans="2:36" x14ac:dyDescent="0.2">
      <c r="B4589" s="352"/>
      <c r="C4589" s="352"/>
      <c r="D4589" s="352"/>
      <c r="E4589" s="352"/>
      <c r="F4589" s="352"/>
      <c r="H4589" s="352"/>
      <c r="J4589" s="352"/>
      <c r="L4589" s="352"/>
      <c r="M4589" s="352"/>
      <c r="N4589" s="352"/>
      <c r="O4589" s="352"/>
      <c r="P4589" s="352"/>
      <c r="Q4589" s="352"/>
      <c r="R4589" s="352"/>
      <c r="S4589" s="352"/>
      <c r="T4589" s="352"/>
      <c r="U4589" s="352"/>
      <c r="V4589" s="352"/>
      <c r="W4589" s="352"/>
      <c r="X4589" s="352"/>
      <c r="Y4589" s="352"/>
      <c r="Z4589" s="352"/>
      <c r="AA4589" s="352"/>
      <c r="AB4589" s="352"/>
      <c r="AC4589" s="352"/>
      <c r="AD4589" s="352"/>
      <c r="AE4589" s="352"/>
      <c r="AF4589" s="352"/>
      <c r="AG4589" s="352"/>
      <c r="AH4589" s="352"/>
      <c r="AI4589" s="352"/>
      <c r="AJ4589" s="352"/>
    </row>
    <row r="4590" spans="2:36" x14ac:dyDescent="0.2">
      <c r="B4590" s="352"/>
      <c r="C4590" s="352"/>
      <c r="D4590" s="352"/>
      <c r="E4590" s="352"/>
      <c r="F4590" s="352"/>
      <c r="H4590" s="352"/>
      <c r="J4590" s="352"/>
      <c r="L4590" s="352"/>
      <c r="M4590" s="352"/>
      <c r="N4590" s="352"/>
      <c r="O4590" s="352"/>
      <c r="P4590" s="352"/>
      <c r="Q4590" s="352"/>
      <c r="R4590" s="352"/>
      <c r="S4590" s="352"/>
      <c r="T4590" s="352"/>
      <c r="U4590" s="352"/>
      <c r="V4590" s="352"/>
      <c r="W4590" s="352"/>
      <c r="X4590" s="352"/>
      <c r="Y4590" s="352"/>
      <c r="Z4590" s="352"/>
      <c r="AA4590" s="352"/>
      <c r="AB4590" s="352"/>
      <c r="AC4590" s="352"/>
      <c r="AD4590" s="352"/>
      <c r="AE4590" s="352"/>
      <c r="AF4590" s="352"/>
      <c r="AG4590" s="352"/>
      <c r="AH4590" s="352"/>
      <c r="AI4590" s="352"/>
      <c r="AJ4590" s="352"/>
    </row>
    <row r="4591" spans="2:36" x14ac:dyDescent="0.2">
      <c r="B4591" s="352"/>
      <c r="C4591" s="352"/>
      <c r="D4591" s="352"/>
      <c r="E4591" s="352"/>
      <c r="F4591" s="352"/>
      <c r="H4591" s="352"/>
      <c r="J4591" s="352"/>
      <c r="L4591" s="352"/>
      <c r="M4591" s="352"/>
      <c r="N4591" s="352"/>
      <c r="O4591" s="352"/>
      <c r="P4591" s="352"/>
      <c r="Q4591" s="352"/>
      <c r="R4591" s="352"/>
      <c r="S4591" s="352"/>
      <c r="T4591" s="352"/>
      <c r="U4591" s="352"/>
      <c r="V4591" s="352"/>
      <c r="W4591" s="352"/>
      <c r="X4591" s="352"/>
      <c r="Y4591" s="352"/>
      <c r="Z4591" s="352"/>
      <c r="AA4591" s="352"/>
      <c r="AB4591" s="352"/>
      <c r="AC4591" s="352"/>
      <c r="AD4591" s="352"/>
      <c r="AE4591" s="352"/>
      <c r="AF4591" s="352"/>
      <c r="AG4591" s="352"/>
      <c r="AH4591" s="352"/>
      <c r="AI4591" s="352"/>
      <c r="AJ4591" s="352"/>
    </row>
    <row r="4592" spans="2:36" x14ac:dyDescent="0.2">
      <c r="B4592" s="352"/>
      <c r="C4592" s="352"/>
      <c r="D4592" s="352"/>
      <c r="E4592" s="352"/>
      <c r="F4592" s="352"/>
      <c r="H4592" s="352"/>
      <c r="J4592" s="352"/>
      <c r="L4592" s="352"/>
      <c r="M4592" s="352"/>
      <c r="N4592" s="352"/>
      <c r="O4592" s="352"/>
      <c r="P4592" s="352"/>
      <c r="Q4592" s="352"/>
      <c r="R4592" s="352"/>
      <c r="S4592" s="352"/>
      <c r="T4592" s="352"/>
      <c r="U4592" s="352"/>
      <c r="V4592" s="352"/>
      <c r="W4592" s="352"/>
      <c r="X4592" s="352"/>
      <c r="Y4592" s="352"/>
      <c r="Z4592" s="352"/>
      <c r="AA4592" s="352"/>
      <c r="AB4592" s="352"/>
      <c r="AC4592" s="352"/>
      <c r="AD4592" s="352"/>
      <c r="AE4592" s="352"/>
      <c r="AF4592" s="352"/>
      <c r="AG4592" s="352"/>
      <c r="AH4592" s="352"/>
      <c r="AI4592" s="352"/>
      <c r="AJ4592" s="352"/>
    </row>
    <row r="4593" spans="2:36" x14ac:dyDescent="0.2">
      <c r="B4593" s="352"/>
      <c r="C4593" s="352"/>
      <c r="D4593" s="352"/>
      <c r="E4593" s="352"/>
      <c r="F4593" s="352"/>
      <c r="H4593" s="352"/>
      <c r="J4593" s="352"/>
      <c r="L4593" s="352"/>
      <c r="M4593" s="352"/>
      <c r="N4593" s="352"/>
      <c r="O4593" s="352"/>
      <c r="P4593" s="352"/>
      <c r="Q4593" s="352"/>
      <c r="R4593" s="352"/>
      <c r="S4593" s="352"/>
      <c r="T4593" s="352"/>
      <c r="U4593" s="352"/>
      <c r="V4593" s="352"/>
      <c r="W4593" s="352"/>
      <c r="X4593" s="352"/>
      <c r="Y4593" s="352"/>
      <c r="Z4593" s="352"/>
      <c r="AA4593" s="352"/>
      <c r="AB4593" s="352"/>
      <c r="AC4593" s="352"/>
      <c r="AD4593" s="352"/>
      <c r="AE4593" s="352"/>
      <c r="AF4593" s="352"/>
      <c r="AG4593" s="352"/>
      <c r="AH4593" s="352"/>
      <c r="AI4593" s="352"/>
      <c r="AJ4593" s="352"/>
    </row>
    <row r="4594" spans="2:36" x14ac:dyDescent="0.2">
      <c r="B4594" s="352"/>
      <c r="C4594" s="352"/>
      <c r="D4594" s="352"/>
      <c r="E4594" s="352"/>
      <c r="F4594" s="352"/>
      <c r="H4594" s="352"/>
      <c r="J4594" s="352"/>
      <c r="L4594" s="352"/>
      <c r="M4594" s="352"/>
      <c r="N4594" s="352"/>
      <c r="O4594" s="352"/>
      <c r="P4594" s="352"/>
      <c r="Q4594" s="352"/>
      <c r="R4594" s="352"/>
      <c r="S4594" s="352"/>
      <c r="T4594" s="352"/>
      <c r="U4594" s="352"/>
      <c r="V4594" s="352"/>
      <c r="W4594" s="352"/>
      <c r="X4594" s="352"/>
      <c r="Y4594" s="352"/>
      <c r="Z4594" s="352"/>
      <c r="AA4594" s="352"/>
      <c r="AB4594" s="352"/>
      <c r="AC4594" s="352"/>
      <c r="AD4594" s="352"/>
      <c r="AE4594" s="352"/>
      <c r="AF4594" s="352"/>
      <c r="AG4594" s="352"/>
      <c r="AH4594" s="352"/>
      <c r="AI4594" s="352"/>
      <c r="AJ4594" s="352"/>
    </row>
    <row r="4595" spans="2:36" x14ac:dyDescent="0.2">
      <c r="B4595" s="352"/>
      <c r="C4595" s="352"/>
      <c r="D4595" s="352"/>
      <c r="E4595" s="352"/>
      <c r="F4595" s="352"/>
      <c r="H4595" s="352"/>
      <c r="J4595" s="352"/>
      <c r="L4595" s="352"/>
      <c r="M4595" s="352"/>
      <c r="N4595" s="352"/>
      <c r="O4595" s="352"/>
      <c r="P4595" s="352"/>
      <c r="Q4595" s="352"/>
      <c r="R4595" s="352"/>
      <c r="S4595" s="352"/>
      <c r="T4595" s="352"/>
      <c r="U4595" s="352"/>
      <c r="V4595" s="352"/>
      <c r="W4595" s="352"/>
      <c r="X4595" s="352"/>
      <c r="Y4595" s="352"/>
      <c r="Z4595" s="352"/>
      <c r="AA4595" s="352"/>
      <c r="AB4595" s="352"/>
      <c r="AC4595" s="352"/>
      <c r="AD4595" s="352"/>
      <c r="AE4595" s="352"/>
      <c r="AF4595" s="352"/>
      <c r="AG4595" s="352"/>
      <c r="AH4595" s="352"/>
      <c r="AI4595" s="352"/>
      <c r="AJ4595" s="352"/>
    </row>
    <row r="4596" spans="2:36" x14ac:dyDescent="0.2">
      <c r="B4596" s="352"/>
      <c r="C4596" s="352"/>
      <c r="D4596" s="352"/>
      <c r="E4596" s="352"/>
      <c r="F4596" s="352"/>
      <c r="H4596" s="352"/>
      <c r="J4596" s="352"/>
      <c r="L4596" s="352"/>
      <c r="M4596" s="352"/>
      <c r="N4596" s="352"/>
      <c r="O4596" s="352"/>
      <c r="P4596" s="352"/>
      <c r="Q4596" s="352"/>
      <c r="R4596" s="352"/>
      <c r="S4596" s="352"/>
      <c r="T4596" s="352"/>
      <c r="U4596" s="352"/>
      <c r="V4596" s="352"/>
      <c r="W4596" s="352"/>
      <c r="X4596" s="352"/>
      <c r="Y4596" s="352"/>
      <c r="Z4596" s="352"/>
      <c r="AA4596" s="352"/>
      <c r="AB4596" s="352"/>
      <c r="AC4596" s="352"/>
      <c r="AD4596" s="352"/>
      <c r="AE4596" s="352"/>
      <c r="AF4596" s="352"/>
      <c r="AG4596" s="352"/>
      <c r="AH4596" s="352"/>
      <c r="AI4596" s="352"/>
      <c r="AJ4596" s="352"/>
    </row>
    <row r="4597" spans="2:36" x14ac:dyDescent="0.2">
      <c r="B4597" s="352"/>
      <c r="C4597" s="352"/>
      <c r="D4597" s="352"/>
      <c r="E4597" s="352"/>
      <c r="F4597" s="352"/>
      <c r="H4597" s="352"/>
      <c r="J4597" s="352"/>
      <c r="L4597" s="352"/>
      <c r="M4597" s="352"/>
      <c r="N4597" s="352"/>
      <c r="O4597" s="352"/>
      <c r="P4597" s="352"/>
      <c r="Q4597" s="352"/>
      <c r="R4597" s="352"/>
      <c r="S4597" s="352"/>
      <c r="T4597" s="352"/>
      <c r="U4597" s="352"/>
      <c r="V4597" s="352"/>
      <c r="W4597" s="352"/>
      <c r="X4597" s="352"/>
      <c r="Y4597" s="352"/>
      <c r="Z4597" s="352"/>
      <c r="AA4597" s="352"/>
      <c r="AB4597" s="352"/>
      <c r="AC4597" s="352"/>
      <c r="AD4597" s="352"/>
      <c r="AE4597" s="352"/>
      <c r="AF4597" s="352"/>
      <c r="AG4597" s="352"/>
      <c r="AH4597" s="352"/>
      <c r="AI4597" s="352"/>
      <c r="AJ4597" s="352"/>
    </row>
    <row r="4598" spans="2:36" x14ac:dyDescent="0.2">
      <c r="B4598" s="352"/>
      <c r="C4598" s="352"/>
      <c r="D4598" s="352"/>
      <c r="E4598" s="352"/>
      <c r="F4598" s="352"/>
      <c r="H4598" s="352"/>
      <c r="J4598" s="352"/>
      <c r="L4598" s="352"/>
      <c r="M4598" s="352"/>
      <c r="N4598" s="352"/>
      <c r="O4598" s="352"/>
      <c r="P4598" s="352"/>
      <c r="Q4598" s="352"/>
      <c r="R4598" s="352"/>
      <c r="S4598" s="352"/>
      <c r="T4598" s="352"/>
      <c r="U4598" s="352"/>
      <c r="V4598" s="352"/>
      <c r="W4598" s="352"/>
      <c r="X4598" s="352"/>
      <c r="Y4598" s="352"/>
      <c r="Z4598" s="352"/>
      <c r="AA4598" s="352"/>
      <c r="AB4598" s="352"/>
      <c r="AC4598" s="352"/>
      <c r="AD4598" s="352"/>
      <c r="AE4598" s="352"/>
      <c r="AF4598" s="352"/>
      <c r="AG4598" s="352"/>
      <c r="AH4598" s="352"/>
      <c r="AI4598" s="352"/>
      <c r="AJ4598" s="352"/>
    </row>
    <row r="4599" spans="2:36" x14ac:dyDescent="0.2">
      <c r="B4599" s="352"/>
      <c r="C4599" s="352"/>
      <c r="D4599" s="352"/>
      <c r="E4599" s="352"/>
      <c r="F4599" s="352"/>
      <c r="H4599" s="352"/>
      <c r="J4599" s="352"/>
      <c r="L4599" s="352"/>
      <c r="M4599" s="352"/>
      <c r="N4599" s="352"/>
      <c r="O4599" s="352"/>
      <c r="P4599" s="352"/>
      <c r="Q4599" s="352"/>
      <c r="R4599" s="352"/>
      <c r="S4599" s="352"/>
      <c r="T4599" s="352"/>
      <c r="U4599" s="352"/>
      <c r="V4599" s="352"/>
      <c r="W4599" s="352"/>
      <c r="X4599" s="352"/>
      <c r="Y4599" s="352"/>
      <c r="Z4599" s="352"/>
      <c r="AA4599" s="352"/>
      <c r="AB4599" s="352"/>
      <c r="AC4599" s="352"/>
      <c r="AD4599" s="352"/>
      <c r="AE4599" s="352"/>
      <c r="AF4599" s="352"/>
      <c r="AG4599" s="352"/>
      <c r="AH4599" s="352"/>
      <c r="AI4599" s="352"/>
      <c r="AJ4599" s="352"/>
    </row>
    <row r="4600" spans="2:36" x14ac:dyDescent="0.2">
      <c r="B4600" s="352"/>
      <c r="C4600" s="352"/>
      <c r="D4600" s="352"/>
      <c r="E4600" s="352"/>
      <c r="F4600" s="352"/>
      <c r="H4600" s="352"/>
      <c r="J4600" s="352"/>
      <c r="L4600" s="352"/>
      <c r="M4600" s="352"/>
      <c r="N4600" s="352"/>
      <c r="O4600" s="352"/>
      <c r="P4600" s="352"/>
      <c r="Q4600" s="352"/>
      <c r="R4600" s="352"/>
      <c r="S4600" s="352"/>
      <c r="T4600" s="352"/>
      <c r="U4600" s="352"/>
      <c r="V4600" s="352"/>
      <c r="W4600" s="352"/>
      <c r="X4600" s="352"/>
      <c r="Y4600" s="352"/>
      <c r="Z4600" s="352"/>
      <c r="AA4600" s="352"/>
      <c r="AB4600" s="352"/>
      <c r="AC4600" s="352"/>
      <c r="AD4600" s="352"/>
      <c r="AE4600" s="352"/>
      <c r="AF4600" s="352"/>
      <c r="AG4600" s="352"/>
      <c r="AH4600" s="352"/>
      <c r="AI4600" s="352"/>
      <c r="AJ4600" s="352"/>
    </row>
    <row r="4601" spans="2:36" x14ac:dyDescent="0.2">
      <c r="B4601" s="352"/>
      <c r="C4601" s="352"/>
      <c r="D4601" s="352"/>
      <c r="E4601" s="352"/>
      <c r="F4601" s="352"/>
      <c r="H4601" s="352"/>
      <c r="J4601" s="352"/>
      <c r="L4601" s="352"/>
      <c r="M4601" s="352"/>
      <c r="N4601" s="352"/>
      <c r="O4601" s="352"/>
      <c r="P4601" s="352"/>
      <c r="Q4601" s="352"/>
      <c r="R4601" s="352"/>
      <c r="S4601" s="352"/>
      <c r="T4601" s="352"/>
      <c r="U4601" s="352"/>
      <c r="V4601" s="352"/>
      <c r="W4601" s="352"/>
      <c r="X4601" s="352"/>
      <c r="Y4601" s="352"/>
      <c r="Z4601" s="352"/>
      <c r="AA4601" s="352"/>
      <c r="AB4601" s="352"/>
      <c r="AC4601" s="352"/>
      <c r="AD4601" s="352"/>
      <c r="AE4601" s="352"/>
      <c r="AF4601" s="352"/>
      <c r="AG4601" s="352"/>
      <c r="AH4601" s="352"/>
      <c r="AI4601" s="352"/>
      <c r="AJ4601" s="352"/>
    </row>
    <row r="4602" spans="2:36" x14ac:dyDescent="0.2">
      <c r="B4602" s="352"/>
      <c r="C4602" s="352"/>
      <c r="D4602" s="352"/>
      <c r="E4602" s="352"/>
      <c r="F4602" s="352"/>
      <c r="H4602" s="352"/>
      <c r="J4602" s="352"/>
      <c r="L4602" s="352"/>
      <c r="M4602" s="352"/>
      <c r="N4602" s="352"/>
      <c r="O4602" s="352"/>
      <c r="P4602" s="352"/>
      <c r="Q4602" s="352"/>
      <c r="R4602" s="352"/>
      <c r="S4602" s="352"/>
      <c r="T4602" s="352"/>
      <c r="U4602" s="352"/>
      <c r="V4602" s="352"/>
      <c r="W4602" s="352"/>
      <c r="X4602" s="352"/>
      <c r="Y4602" s="352"/>
      <c r="Z4602" s="352"/>
      <c r="AA4602" s="352"/>
      <c r="AB4602" s="352"/>
      <c r="AC4602" s="352"/>
      <c r="AD4602" s="352"/>
      <c r="AE4602" s="352"/>
      <c r="AF4602" s="352"/>
      <c r="AG4602" s="352"/>
      <c r="AH4602" s="352"/>
      <c r="AI4602" s="352"/>
      <c r="AJ4602" s="352"/>
    </row>
    <row r="4603" spans="2:36" x14ac:dyDescent="0.2">
      <c r="B4603" s="352"/>
      <c r="C4603" s="352"/>
      <c r="D4603" s="352"/>
      <c r="E4603" s="352"/>
      <c r="F4603" s="352"/>
      <c r="H4603" s="352"/>
      <c r="J4603" s="352"/>
      <c r="L4603" s="352"/>
      <c r="M4603" s="352"/>
      <c r="N4603" s="352"/>
      <c r="O4603" s="352"/>
      <c r="P4603" s="352"/>
      <c r="Q4603" s="352"/>
      <c r="R4603" s="352"/>
      <c r="S4603" s="352"/>
      <c r="T4603" s="352"/>
      <c r="U4603" s="352"/>
      <c r="V4603" s="352"/>
      <c r="W4603" s="352"/>
      <c r="X4603" s="352"/>
      <c r="Y4603" s="352"/>
      <c r="Z4603" s="352"/>
      <c r="AA4603" s="352"/>
      <c r="AB4603" s="352"/>
      <c r="AC4603" s="352"/>
      <c r="AD4603" s="352"/>
      <c r="AE4603" s="352"/>
      <c r="AF4603" s="352"/>
      <c r="AG4603" s="352"/>
      <c r="AH4603" s="352"/>
      <c r="AI4603" s="352"/>
      <c r="AJ4603" s="352"/>
    </row>
    <row r="4604" spans="2:36" x14ac:dyDescent="0.2">
      <c r="B4604" s="352"/>
      <c r="C4604" s="352"/>
      <c r="D4604" s="352"/>
      <c r="E4604" s="352"/>
      <c r="F4604" s="352"/>
      <c r="H4604" s="352"/>
      <c r="J4604" s="352"/>
      <c r="L4604" s="352"/>
      <c r="M4604" s="352"/>
      <c r="N4604" s="352"/>
      <c r="O4604" s="352"/>
      <c r="P4604" s="352"/>
      <c r="Q4604" s="352"/>
      <c r="R4604" s="352"/>
      <c r="S4604" s="352"/>
      <c r="T4604" s="352"/>
      <c r="U4604" s="352"/>
      <c r="V4604" s="352"/>
      <c r="W4604" s="352"/>
      <c r="X4604" s="352"/>
      <c r="Y4604" s="352"/>
      <c r="Z4604" s="352"/>
      <c r="AA4604" s="352"/>
      <c r="AB4604" s="352"/>
      <c r="AC4604" s="352"/>
      <c r="AD4604" s="352"/>
      <c r="AE4604" s="352"/>
      <c r="AF4604" s="352"/>
      <c r="AG4604" s="352"/>
      <c r="AH4604" s="352"/>
      <c r="AI4604" s="352"/>
      <c r="AJ4604" s="352"/>
    </row>
    <row r="4605" spans="2:36" x14ac:dyDescent="0.2">
      <c r="B4605" s="352"/>
      <c r="C4605" s="352"/>
      <c r="D4605" s="352"/>
      <c r="E4605" s="352"/>
      <c r="F4605" s="352"/>
      <c r="H4605" s="352"/>
      <c r="J4605" s="352"/>
      <c r="L4605" s="352"/>
      <c r="M4605" s="352"/>
      <c r="N4605" s="352"/>
      <c r="O4605" s="352"/>
      <c r="P4605" s="352"/>
      <c r="Q4605" s="352"/>
      <c r="R4605" s="352"/>
      <c r="S4605" s="352"/>
      <c r="T4605" s="352"/>
      <c r="U4605" s="352"/>
      <c r="V4605" s="352"/>
      <c r="W4605" s="352"/>
      <c r="X4605" s="352"/>
      <c r="Y4605" s="352"/>
      <c r="Z4605" s="352"/>
      <c r="AA4605" s="352"/>
      <c r="AB4605" s="352"/>
      <c r="AC4605" s="352"/>
      <c r="AD4605" s="352"/>
      <c r="AE4605" s="352"/>
      <c r="AF4605" s="352"/>
      <c r="AG4605" s="352"/>
      <c r="AH4605" s="352"/>
      <c r="AI4605" s="352"/>
      <c r="AJ4605" s="352"/>
    </row>
    <row r="4606" spans="2:36" x14ac:dyDescent="0.2">
      <c r="B4606" s="352"/>
      <c r="C4606" s="352"/>
      <c r="D4606" s="352"/>
      <c r="E4606" s="352"/>
      <c r="F4606" s="352"/>
      <c r="H4606" s="352"/>
      <c r="J4606" s="352"/>
      <c r="L4606" s="352"/>
      <c r="M4606" s="352"/>
      <c r="N4606" s="352"/>
      <c r="O4606" s="352"/>
      <c r="P4606" s="352"/>
      <c r="Q4606" s="352"/>
      <c r="R4606" s="352"/>
      <c r="S4606" s="352"/>
      <c r="T4606" s="352"/>
      <c r="U4606" s="352"/>
      <c r="V4606" s="352"/>
      <c r="W4606" s="352"/>
      <c r="X4606" s="352"/>
      <c r="Y4606" s="352"/>
      <c r="Z4606" s="352"/>
      <c r="AA4606" s="352"/>
      <c r="AB4606" s="352"/>
      <c r="AC4606" s="352"/>
      <c r="AD4606" s="352"/>
      <c r="AE4606" s="352"/>
      <c r="AF4606" s="352"/>
      <c r="AG4606" s="352"/>
      <c r="AH4606" s="352"/>
      <c r="AI4606" s="352"/>
      <c r="AJ4606" s="352"/>
    </row>
    <row r="4607" spans="2:36" x14ac:dyDescent="0.2">
      <c r="B4607" s="352"/>
      <c r="C4607" s="352"/>
      <c r="D4607" s="352"/>
      <c r="E4607" s="352"/>
      <c r="F4607" s="352"/>
      <c r="H4607" s="352"/>
      <c r="J4607" s="352"/>
      <c r="L4607" s="352"/>
      <c r="M4607" s="352"/>
      <c r="N4607" s="352"/>
      <c r="O4607" s="352"/>
      <c r="P4607" s="352"/>
      <c r="Q4607" s="352"/>
      <c r="R4607" s="352"/>
      <c r="S4607" s="352"/>
      <c r="T4607" s="352"/>
      <c r="U4607" s="352"/>
      <c r="V4607" s="352"/>
      <c r="W4607" s="352"/>
      <c r="X4607" s="352"/>
      <c r="Y4607" s="352"/>
      <c r="Z4607" s="352"/>
      <c r="AA4607" s="352"/>
      <c r="AB4607" s="352"/>
      <c r="AC4607" s="352"/>
      <c r="AD4607" s="352"/>
      <c r="AE4607" s="352"/>
      <c r="AF4607" s="352"/>
      <c r="AG4607" s="352"/>
      <c r="AH4607" s="352"/>
      <c r="AI4607" s="352"/>
      <c r="AJ4607" s="352"/>
    </row>
    <row r="4608" spans="2:36" x14ac:dyDescent="0.2">
      <c r="B4608" s="352"/>
      <c r="C4608" s="352"/>
      <c r="D4608" s="352"/>
      <c r="E4608" s="352"/>
      <c r="F4608" s="352"/>
      <c r="H4608" s="352"/>
      <c r="J4608" s="352"/>
      <c r="L4608" s="352"/>
      <c r="M4608" s="352"/>
      <c r="N4608" s="352"/>
      <c r="O4608" s="352"/>
      <c r="P4608" s="352"/>
      <c r="Q4608" s="352"/>
      <c r="R4608" s="352"/>
      <c r="S4608" s="352"/>
      <c r="T4608" s="352"/>
      <c r="U4608" s="352"/>
      <c r="V4608" s="352"/>
      <c r="W4608" s="352"/>
      <c r="X4608" s="352"/>
      <c r="Y4608" s="352"/>
      <c r="Z4608" s="352"/>
      <c r="AA4608" s="352"/>
      <c r="AB4608" s="352"/>
      <c r="AC4608" s="352"/>
      <c r="AD4608" s="352"/>
      <c r="AE4608" s="352"/>
      <c r="AF4608" s="352"/>
      <c r="AG4608" s="352"/>
      <c r="AH4608" s="352"/>
      <c r="AI4608" s="352"/>
      <c r="AJ4608" s="352"/>
    </row>
    <row r="4609" spans="2:36" x14ac:dyDescent="0.2">
      <c r="B4609" s="352"/>
      <c r="C4609" s="352"/>
      <c r="D4609" s="352"/>
      <c r="E4609" s="352"/>
      <c r="F4609" s="352"/>
      <c r="H4609" s="352"/>
      <c r="J4609" s="352"/>
      <c r="L4609" s="352"/>
      <c r="M4609" s="352"/>
      <c r="N4609" s="352"/>
      <c r="O4609" s="352"/>
      <c r="P4609" s="352"/>
      <c r="Q4609" s="352"/>
      <c r="R4609" s="352"/>
      <c r="S4609" s="352"/>
      <c r="T4609" s="352"/>
      <c r="U4609" s="352"/>
      <c r="V4609" s="352"/>
      <c r="W4609" s="352"/>
      <c r="X4609" s="352"/>
      <c r="Y4609" s="352"/>
      <c r="Z4609" s="352"/>
      <c r="AA4609" s="352"/>
      <c r="AB4609" s="352"/>
      <c r="AC4609" s="352"/>
      <c r="AD4609" s="352"/>
      <c r="AE4609" s="352"/>
      <c r="AF4609" s="352"/>
      <c r="AG4609" s="352"/>
      <c r="AH4609" s="352"/>
      <c r="AI4609" s="352"/>
      <c r="AJ4609" s="352"/>
    </row>
    <row r="4610" spans="2:36" x14ac:dyDescent="0.2">
      <c r="B4610" s="352"/>
      <c r="C4610" s="352"/>
      <c r="D4610" s="352"/>
      <c r="E4610" s="352"/>
      <c r="F4610" s="352"/>
      <c r="H4610" s="352"/>
      <c r="J4610" s="352"/>
      <c r="L4610" s="352"/>
      <c r="M4610" s="352"/>
      <c r="N4610" s="352"/>
      <c r="O4610" s="352"/>
      <c r="P4610" s="352"/>
      <c r="Q4610" s="352"/>
      <c r="R4610" s="352"/>
      <c r="S4610" s="352"/>
      <c r="T4610" s="352"/>
      <c r="U4610" s="352"/>
      <c r="V4610" s="352"/>
      <c r="W4610" s="352"/>
      <c r="X4610" s="352"/>
      <c r="Y4610" s="352"/>
      <c r="Z4610" s="352"/>
      <c r="AA4610" s="352"/>
      <c r="AB4610" s="352"/>
      <c r="AC4610" s="352"/>
      <c r="AD4610" s="352"/>
      <c r="AE4610" s="352"/>
      <c r="AF4610" s="352"/>
      <c r="AG4610" s="352"/>
      <c r="AH4610" s="352"/>
      <c r="AI4610" s="352"/>
      <c r="AJ4610" s="352"/>
    </row>
    <row r="4611" spans="2:36" x14ac:dyDescent="0.2">
      <c r="B4611" s="352"/>
      <c r="C4611" s="352"/>
      <c r="D4611" s="352"/>
      <c r="E4611" s="352"/>
      <c r="F4611" s="352"/>
      <c r="H4611" s="352"/>
      <c r="J4611" s="352"/>
      <c r="L4611" s="352"/>
      <c r="M4611" s="352"/>
      <c r="N4611" s="352"/>
      <c r="O4611" s="352"/>
      <c r="P4611" s="352"/>
      <c r="Q4611" s="352"/>
      <c r="R4611" s="352"/>
      <c r="S4611" s="352"/>
      <c r="T4611" s="352"/>
      <c r="U4611" s="352"/>
      <c r="V4611" s="352"/>
      <c r="W4611" s="352"/>
      <c r="X4611" s="352"/>
      <c r="Y4611" s="352"/>
      <c r="Z4611" s="352"/>
      <c r="AA4611" s="352"/>
      <c r="AB4611" s="352"/>
      <c r="AC4611" s="352"/>
      <c r="AD4611" s="352"/>
      <c r="AE4611" s="352"/>
      <c r="AF4611" s="352"/>
      <c r="AG4611" s="352"/>
      <c r="AH4611" s="352"/>
      <c r="AI4611" s="352"/>
      <c r="AJ4611" s="352"/>
    </row>
    <row r="4612" spans="2:36" x14ac:dyDescent="0.2">
      <c r="B4612" s="352"/>
      <c r="C4612" s="352"/>
      <c r="D4612" s="352"/>
      <c r="E4612" s="352"/>
      <c r="F4612" s="352"/>
      <c r="H4612" s="352"/>
      <c r="J4612" s="352"/>
      <c r="L4612" s="352"/>
      <c r="M4612" s="352"/>
      <c r="N4612" s="352"/>
      <c r="O4612" s="352"/>
      <c r="P4612" s="352"/>
      <c r="Q4612" s="352"/>
      <c r="R4612" s="352"/>
      <c r="S4612" s="352"/>
      <c r="T4612" s="352"/>
      <c r="U4612" s="352"/>
      <c r="V4612" s="352"/>
      <c r="W4612" s="352"/>
      <c r="X4612" s="352"/>
      <c r="Y4612" s="352"/>
      <c r="Z4612" s="352"/>
      <c r="AA4612" s="352"/>
      <c r="AB4612" s="352"/>
      <c r="AC4612" s="352"/>
      <c r="AD4612" s="352"/>
      <c r="AE4612" s="352"/>
      <c r="AF4612" s="352"/>
      <c r="AG4612" s="352"/>
      <c r="AH4612" s="352"/>
      <c r="AI4612" s="352"/>
      <c r="AJ4612" s="352"/>
    </row>
    <row r="4613" spans="2:36" x14ac:dyDescent="0.2">
      <c r="B4613" s="352"/>
      <c r="C4613" s="352"/>
      <c r="D4613" s="352"/>
      <c r="E4613" s="352"/>
      <c r="F4613" s="352"/>
      <c r="H4613" s="352"/>
      <c r="J4613" s="352"/>
      <c r="L4613" s="352"/>
      <c r="M4613" s="352"/>
      <c r="N4613" s="352"/>
      <c r="O4613" s="352"/>
      <c r="P4613" s="352"/>
      <c r="Q4613" s="352"/>
      <c r="R4613" s="352"/>
      <c r="S4613" s="352"/>
      <c r="T4613" s="352"/>
      <c r="U4613" s="352"/>
      <c r="V4613" s="352"/>
      <c r="W4613" s="352"/>
      <c r="X4613" s="352"/>
      <c r="Y4613" s="352"/>
      <c r="Z4613" s="352"/>
      <c r="AA4613" s="352"/>
      <c r="AB4613" s="352"/>
      <c r="AC4613" s="352"/>
      <c r="AD4613" s="352"/>
      <c r="AE4613" s="352"/>
      <c r="AF4613" s="352"/>
      <c r="AG4613" s="352"/>
      <c r="AH4613" s="352"/>
      <c r="AI4613" s="352"/>
      <c r="AJ4613" s="352"/>
    </row>
    <row r="4614" spans="2:36" x14ac:dyDescent="0.2">
      <c r="B4614" s="352"/>
      <c r="C4614" s="352"/>
      <c r="D4614" s="352"/>
      <c r="E4614" s="352"/>
      <c r="F4614" s="352"/>
      <c r="H4614" s="352"/>
      <c r="J4614" s="352"/>
      <c r="L4614" s="352"/>
      <c r="M4614" s="352"/>
      <c r="N4614" s="352"/>
      <c r="O4614" s="352"/>
      <c r="P4614" s="352"/>
      <c r="Q4614" s="352"/>
      <c r="R4614" s="352"/>
      <c r="S4614" s="352"/>
      <c r="T4614" s="352"/>
      <c r="U4614" s="352"/>
      <c r="V4614" s="352"/>
      <c r="W4614" s="352"/>
      <c r="X4614" s="352"/>
      <c r="Y4614" s="352"/>
      <c r="Z4614" s="352"/>
      <c r="AA4614" s="352"/>
      <c r="AB4614" s="352"/>
      <c r="AC4614" s="352"/>
      <c r="AD4614" s="352"/>
      <c r="AE4614" s="352"/>
      <c r="AF4614" s="352"/>
      <c r="AG4614" s="352"/>
      <c r="AH4614" s="352"/>
      <c r="AI4614" s="352"/>
      <c r="AJ4614" s="352"/>
    </row>
    <row r="4615" spans="2:36" x14ac:dyDescent="0.2">
      <c r="B4615" s="352"/>
      <c r="C4615" s="352"/>
      <c r="D4615" s="352"/>
      <c r="E4615" s="352"/>
      <c r="F4615" s="352"/>
      <c r="H4615" s="352"/>
      <c r="J4615" s="352"/>
      <c r="L4615" s="352"/>
      <c r="M4615" s="352"/>
      <c r="N4615" s="352"/>
      <c r="O4615" s="352"/>
      <c r="P4615" s="352"/>
      <c r="Q4615" s="352"/>
      <c r="R4615" s="352"/>
      <c r="S4615" s="352"/>
      <c r="T4615" s="352"/>
      <c r="U4615" s="352"/>
      <c r="V4615" s="352"/>
      <c r="W4615" s="352"/>
      <c r="X4615" s="352"/>
      <c r="Y4615" s="352"/>
      <c r="Z4615" s="352"/>
      <c r="AA4615" s="352"/>
      <c r="AB4615" s="352"/>
      <c r="AC4615" s="352"/>
      <c r="AD4615" s="352"/>
      <c r="AE4615" s="352"/>
      <c r="AF4615" s="352"/>
      <c r="AG4615" s="352"/>
      <c r="AH4615" s="352"/>
      <c r="AI4615" s="352"/>
      <c r="AJ4615" s="352"/>
    </row>
    <row r="4616" spans="2:36" x14ac:dyDescent="0.2">
      <c r="B4616" s="352"/>
      <c r="C4616" s="352"/>
      <c r="D4616" s="352"/>
      <c r="E4616" s="352"/>
      <c r="F4616" s="352"/>
      <c r="H4616" s="352"/>
      <c r="J4616" s="352"/>
      <c r="L4616" s="352"/>
      <c r="M4616" s="352"/>
      <c r="N4616" s="352"/>
      <c r="O4616" s="352"/>
      <c r="P4616" s="352"/>
      <c r="Q4616" s="352"/>
      <c r="R4616" s="352"/>
      <c r="S4616" s="352"/>
      <c r="T4616" s="352"/>
      <c r="U4616" s="352"/>
      <c r="V4616" s="352"/>
      <c r="W4616" s="352"/>
      <c r="X4616" s="352"/>
      <c r="Y4616" s="352"/>
      <c r="Z4616" s="352"/>
      <c r="AA4616" s="352"/>
      <c r="AB4616" s="352"/>
      <c r="AC4616" s="352"/>
      <c r="AD4616" s="352"/>
      <c r="AE4616" s="352"/>
      <c r="AF4616" s="352"/>
      <c r="AG4616" s="352"/>
      <c r="AH4616" s="352"/>
      <c r="AI4616" s="352"/>
      <c r="AJ4616" s="352"/>
    </row>
    <row r="4617" spans="2:36" x14ac:dyDescent="0.2">
      <c r="B4617" s="352"/>
      <c r="C4617" s="352"/>
      <c r="D4617" s="352"/>
      <c r="E4617" s="352"/>
      <c r="F4617" s="352"/>
      <c r="H4617" s="352"/>
      <c r="J4617" s="352"/>
      <c r="L4617" s="352"/>
      <c r="M4617" s="352"/>
      <c r="N4617" s="352"/>
      <c r="O4617" s="352"/>
      <c r="P4617" s="352"/>
      <c r="Q4617" s="352"/>
      <c r="R4617" s="352"/>
      <c r="S4617" s="352"/>
      <c r="T4617" s="352"/>
      <c r="U4617" s="352"/>
      <c r="V4617" s="352"/>
      <c r="W4617" s="352"/>
      <c r="X4617" s="352"/>
      <c r="Y4617" s="352"/>
      <c r="Z4617" s="352"/>
      <c r="AA4617" s="352"/>
      <c r="AB4617" s="352"/>
      <c r="AC4617" s="352"/>
      <c r="AD4617" s="352"/>
      <c r="AE4617" s="352"/>
      <c r="AF4617" s="352"/>
      <c r="AG4617" s="352"/>
      <c r="AH4617" s="352"/>
      <c r="AI4617" s="352"/>
      <c r="AJ4617" s="352"/>
    </row>
    <row r="4618" spans="2:36" x14ac:dyDescent="0.2">
      <c r="B4618" s="352"/>
      <c r="C4618" s="352"/>
      <c r="D4618" s="352"/>
      <c r="E4618" s="352"/>
      <c r="F4618" s="352"/>
      <c r="H4618" s="352"/>
      <c r="J4618" s="352"/>
      <c r="L4618" s="352"/>
      <c r="M4618" s="352"/>
      <c r="N4618" s="352"/>
      <c r="O4618" s="352"/>
      <c r="P4618" s="352"/>
      <c r="Q4618" s="352"/>
      <c r="R4618" s="352"/>
      <c r="S4618" s="352"/>
      <c r="T4618" s="352"/>
      <c r="U4618" s="352"/>
      <c r="V4618" s="352"/>
      <c r="W4618" s="352"/>
      <c r="X4618" s="352"/>
      <c r="Y4618" s="352"/>
      <c r="Z4618" s="352"/>
      <c r="AA4618" s="352"/>
      <c r="AB4618" s="352"/>
      <c r="AC4618" s="352"/>
      <c r="AD4618" s="352"/>
      <c r="AE4618" s="352"/>
      <c r="AF4618" s="352"/>
      <c r="AG4618" s="352"/>
      <c r="AH4618" s="352"/>
      <c r="AI4618" s="352"/>
      <c r="AJ4618" s="352"/>
    </row>
    <row r="4619" spans="2:36" x14ac:dyDescent="0.2">
      <c r="B4619" s="352"/>
      <c r="C4619" s="352"/>
      <c r="D4619" s="352"/>
      <c r="E4619" s="352"/>
      <c r="F4619" s="352"/>
      <c r="H4619" s="352"/>
      <c r="J4619" s="352"/>
      <c r="L4619" s="352"/>
      <c r="M4619" s="352"/>
      <c r="N4619" s="352"/>
      <c r="O4619" s="352"/>
      <c r="P4619" s="352"/>
      <c r="Q4619" s="352"/>
      <c r="R4619" s="352"/>
      <c r="S4619" s="352"/>
      <c r="T4619" s="352"/>
      <c r="U4619" s="352"/>
      <c r="V4619" s="352"/>
      <c r="W4619" s="352"/>
      <c r="X4619" s="352"/>
      <c r="Y4619" s="352"/>
      <c r="Z4619" s="352"/>
      <c r="AA4619" s="352"/>
      <c r="AB4619" s="352"/>
      <c r="AC4619" s="352"/>
      <c r="AD4619" s="352"/>
      <c r="AE4619" s="352"/>
      <c r="AF4619" s="352"/>
      <c r="AG4619" s="352"/>
      <c r="AH4619" s="352"/>
      <c r="AI4619" s="352"/>
      <c r="AJ4619" s="352"/>
    </row>
    <row r="4620" spans="2:36" x14ac:dyDescent="0.2">
      <c r="B4620" s="352"/>
      <c r="C4620" s="352"/>
      <c r="D4620" s="352"/>
      <c r="E4620" s="352"/>
      <c r="F4620" s="352"/>
      <c r="H4620" s="352"/>
      <c r="J4620" s="352"/>
      <c r="L4620" s="352"/>
      <c r="M4620" s="352"/>
      <c r="N4620" s="352"/>
      <c r="O4620" s="352"/>
      <c r="P4620" s="352"/>
      <c r="Q4620" s="352"/>
      <c r="R4620" s="352"/>
      <c r="S4620" s="352"/>
      <c r="T4620" s="352"/>
      <c r="U4620" s="352"/>
      <c r="V4620" s="352"/>
      <c r="W4620" s="352"/>
      <c r="X4620" s="352"/>
      <c r="Y4620" s="352"/>
      <c r="Z4620" s="352"/>
      <c r="AA4620" s="352"/>
      <c r="AB4620" s="352"/>
      <c r="AC4620" s="352"/>
      <c r="AD4620" s="352"/>
      <c r="AE4620" s="352"/>
      <c r="AF4620" s="352"/>
      <c r="AG4620" s="352"/>
      <c r="AH4620" s="352"/>
      <c r="AI4620" s="352"/>
      <c r="AJ4620" s="352"/>
    </row>
    <row r="4621" spans="2:36" x14ac:dyDescent="0.2">
      <c r="B4621" s="352"/>
      <c r="C4621" s="352"/>
      <c r="D4621" s="352"/>
      <c r="E4621" s="352"/>
      <c r="F4621" s="352"/>
      <c r="H4621" s="352"/>
      <c r="J4621" s="352"/>
      <c r="L4621" s="352"/>
      <c r="M4621" s="352"/>
      <c r="N4621" s="352"/>
      <c r="O4621" s="352"/>
      <c r="P4621" s="352"/>
      <c r="Q4621" s="352"/>
      <c r="R4621" s="352"/>
      <c r="S4621" s="352"/>
      <c r="T4621" s="352"/>
      <c r="U4621" s="352"/>
      <c r="V4621" s="352"/>
      <c r="W4621" s="352"/>
      <c r="X4621" s="352"/>
      <c r="Y4621" s="352"/>
      <c r="Z4621" s="352"/>
      <c r="AA4621" s="352"/>
      <c r="AB4621" s="352"/>
      <c r="AC4621" s="352"/>
      <c r="AD4621" s="352"/>
      <c r="AE4621" s="352"/>
      <c r="AF4621" s="352"/>
      <c r="AG4621" s="352"/>
      <c r="AH4621" s="352"/>
      <c r="AI4621" s="352"/>
      <c r="AJ4621" s="352"/>
    </row>
    <row r="4622" spans="2:36" x14ac:dyDescent="0.2">
      <c r="B4622" s="352"/>
      <c r="C4622" s="352"/>
      <c r="D4622" s="352"/>
      <c r="E4622" s="352"/>
      <c r="F4622" s="352"/>
      <c r="H4622" s="352"/>
      <c r="J4622" s="352"/>
      <c r="L4622" s="352"/>
      <c r="M4622" s="352"/>
      <c r="N4622" s="352"/>
      <c r="O4622" s="352"/>
      <c r="P4622" s="352"/>
      <c r="Q4622" s="352"/>
      <c r="R4622" s="352"/>
      <c r="S4622" s="352"/>
      <c r="T4622" s="352"/>
      <c r="U4622" s="352"/>
      <c r="V4622" s="352"/>
      <c r="W4622" s="352"/>
      <c r="X4622" s="352"/>
      <c r="Y4622" s="352"/>
      <c r="Z4622" s="352"/>
      <c r="AA4622" s="352"/>
      <c r="AB4622" s="352"/>
      <c r="AC4622" s="352"/>
      <c r="AD4622" s="352"/>
      <c r="AE4622" s="352"/>
      <c r="AF4622" s="352"/>
      <c r="AG4622" s="352"/>
      <c r="AH4622" s="352"/>
      <c r="AI4622" s="352"/>
      <c r="AJ4622" s="352"/>
    </row>
    <row r="4623" spans="2:36" x14ac:dyDescent="0.2">
      <c r="B4623" s="352"/>
      <c r="C4623" s="352"/>
      <c r="D4623" s="352"/>
      <c r="E4623" s="352"/>
      <c r="F4623" s="352"/>
      <c r="H4623" s="352"/>
      <c r="J4623" s="352"/>
      <c r="L4623" s="352"/>
      <c r="M4623" s="352"/>
      <c r="N4623" s="352"/>
      <c r="O4623" s="352"/>
      <c r="P4623" s="352"/>
      <c r="Q4623" s="352"/>
      <c r="R4623" s="352"/>
      <c r="S4623" s="352"/>
      <c r="T4623" s="352"/>
      <c r="U4623" s="352"/>
      <c r="V4623" s="352"/>
      <c r="W4623" s="352"/>
      <c r="X4623" s="352"/>
      <c r="Y4623" s="352"/>
      <c r="Z4623" s="352"/>
      <c r="AA4623" s="352"/>
      <c r="AB4623" s="352"/>
      <c r="AC4623" s="352"/>
      <c r="AD4623" s="352"/>
      <c r="AE4623" s="352"/>
      <c r="AF4623" s="352"/>
      <c r="AG4623" s="352"/>
      <c r="AH4623" s="352"/>
      <c r="AI4623" s="352"/>
      <c r="AJ4623" s="352"/>
    </row>
    <row r="4624" spans="2:36" x14ac:dyDescent="0.2">
      <c r="B4624" s="352"/>
      <c r="C4624" s="352"/>
      <c r="D4624" s="352"/>
      <c r="E4624" s="352"/>
      <c r="F4624" s="352"/>
      <c r="H4624" s="352"/>
      <c r="J4624" s="352"/>
      <c r="L4624" s="352"/>
      <c r="M4624" s="352"/>
      <c r="N4624" s="352"/>
      <c r="O4624" s="352"/>
      <c r="P4624" s="352"/>
      <c r="Q4624" s="352"/>
      <c r="R4624" s="352"/>
      <c r="S4624" s="352"/>
      <c r="T4624" s="352"/>
      <c r="U4624" s="352"/>
      <c r="V4624" s="352"/>
      <c r="W4624" s="352"/>
      <c r="X4624" s="352"/>
      <c r="Y4624" s="352"/>
      <c r="Z4624" s="352"/>
      <c r="AA4624" s="352"/>
      <c r="AB4624" s="352"/>
      <c r="AC4624" s="352"/>
      <c r="AD4624" s="352"/>
      <c r="AE4624" s="352"/>
      <c r="AF4624" s="352"/>
      <c r="AG4624" s="352"/>
      <c r="AH4624" s="352"/>
      <c r="AI4624" s="352"/>
      <c r="AJ4624" s="352"/>
    </row>
    <row r="4625" spans="2:36" x14ac:dyDescent="0.2">
      <c r="B4625" s="352"/>
      <c r="C4625" s="352"/>
      <c r="D4625" s="352"/>
      <c r="E4625" s="352"/>
      <c r="F4625" s="352"/>
      <c r="H4625" s="352"/>
      <c r="J4625" s="352"/>
      <c r="L4625" s="352"/>
      <c r="M4625" s="352"/>
      <c r="N4625" s="352"/>
      <c r="O4625" s="352"/>
      <c r="P4625" s="352"/>
      <c r="Q4625" s="352"/>
      <c r="R4625" s="352"/>
      <c r="S4625" s="352"/>
      <c r="T4625" s="352"/>
      <c r="U4625" s="352"/>
      <c r="V4625" s="352"/>
      <c r="W4625" s="352"/>
      <c r="X4625" s="352"/>
      <c r="Y4625" s="352"/>
      <c r="Z4625" s="352"/>
      <c r="AA4625" s="352"/>
      <c r="AB4625" s="352"/>
      <c r="AC4625" s="352"/>
      <c r="AD4625" s="352"/>
      <c r="AE4625" s="352"/>
      <c r="AF4625" s="352"/>
      <c r="AG4625" s="352"/>
      <c r="AH4625" s="352"/>
      <c r="AI4625" s="352"/>
      <c r="AJ4625" s="352"/>
    </row>
    <row r="4626" spans="2:36" x14ac:dyDescent="0.2">
      <c r="B4626" s="352"/>
      <c r="C4626" s="352"/>
      <c r="D4626" s="352"/>
      <c r="E4626" s="352"/>
      <c r="F4626" s="352"/>
      <c r="H4626" s="352"/>
      <c r="J4626" s="352"/>
      <c r="L4626" s="352"/>
      <c r="M4626" s="352"/>
      <c r="N4626" s="352"/>
      <c r="O4626" s="352"/>
      <c r="P4626" s="352"/>
      <c r="Q4626" s="352"/>
      <c r="R4626" s="352"/>
      <c r="S4626" s="352"/>
      <c r="T4626" s="352"/>
      <c r="U4626" s="352"/>
      <c r="V4626" s="352"/>
      <c r="W4626" s="352"/>
      <c r="X4626" s="352"/>
      <c r="Y4626" s="352"/>
      <c r="Z4626" s="352"/>
      <c r="AA4626" s="352"/>
      <c r="AB4626" s="352"/>
      <c r="AC4626" s="352"/>
      <c r="AD4626" s="352"/>
      <c r="AE4626" s="352"/>
      <c r="AF4626" s="352"/>
      <c r="AG4626" s="352"/>
      <c r="AH4626" s="352"/>
      <c r="AI4626" s="352"/>
      <c r="AJ4626" s="352"/>
    </row>
    <row r="4627" spans="2:36" x14ac:dyDescent="0.2">
      <c r="B4627" s="352"/>
      <c r="C4627" s="352"/>
      <c r="D4627" s="352"/>
      <c r="E4627" s="352"/>
      <c r="F4627" s="352"/>
      <c r="H4627" s="352"/>
      <c r="J4627" s="352"/>
      <c r="L4627" s="352"/>
      <c r="M4627" s="352"/>
      <c r="N4627" s="352"/>
      <c r="O4627" s="352"/>
      <c r="P4627" s="352"/>
      <c r="Q4627" s="352"/>
      <c r="R4627" s="352"/>
      <c r="S4627" s="352"/>
      <c r="T4627" s="352"/>
      <c r="U4627" s="352"/>
      <c r="V4627" s="352"/>
      <c r="W4627" s="352"/>
      <c r="X4627" s="352"/>
      <c r="Y4627" s="352"/>
      <c r="Z4627" s="352"/>
      <c r="AA4627" s="352"/>
      <c r="AB4627" s="352"/>
      <c r="AC4627" s="352"/>
      <c r="AD4627" s="352"/>
      <c r="AE4627" s="352"/>
      <c r="AF4627" s="352"/>
      <c r="AG4627" s="352"/>
      <c r="AH4627" s="352"/>
      <c r="AI4627" s="352"/>
      <c r="AJ4627" s="352"/>
    </row>
    <row r="4628" spans="2:36" x14ac:dyDescent="0.2">
      <c r="B4628" s="352"/>
      <c r="C4628" s="352"/>
      <c r="D4628" s="352"/>
      <c r="E4628" s="352"/>
      <c r="F4628" s="352"/>
      <c r="H4628" s="352"/>
      <c r="J4628" s="352"/>
      <c r="L4628" s="352"/>
      <c r="M4628" s="352"/>
      <c r="N4628" s="352"/>
      <c r="O4628" s="352"/>
      <c r="P4628" s="352"/>
      <c r="Q4628" s="352"/>
      <c r="R4628" s="352"/>
      <c r="S4628" s="352"/>
      <c r="T4628" s="352"/>
      <c r="U4628" s="352"/>
      <c r="V4628" s="352"/>
      <c r="W4628" s="352"/>
      <c r="X4628" s="352"/>
      <c r="Y4628" s="352"/>
      <c r="Z4628" s="352"/>
      <c r="AA4628" s="352"/>
      <c r="AB4628" s="352"/>
      <c r="AC4628" s="352"/>
      <c r="AD4628" s="352"/>
      <c r="AE4628" s="352"/>
      <c r="AF4628" s="352"/>
      <c r="AG4628" s="352"/>
      <c r="AH4628" s="352"/>
      <c r="AI4628" s="352"/>
      <c r="AJ4628" s="352"/>
    </row>
    <row r="4629" spans="2:36" x14ac:dyDescent="0.2">
      <c r="B4629" s="352"/>
      <c r="C4629" s="352"/>
      <c r="D4629" s="352"/>
      <c r="E4629" s="352"/>
      <c r="F4629" s="352"/>
      <c r="H4629" s="352"/>
      <c r="J4629" s="352"/>
      <c r="L4629" s="352"/>
      <c r="M4629" s="352"/>
      <c r="N4629" s="352"/>
      <c r="O4629" s="352"/>
      <c r="P4629" s="352"/>
      <c r="Q4629" s="352"/>
      <c r="R4629" s="352"/>
      <c r="S4629" s="352"/>
      <c r="T4629" s="352"/>
      <c r="U4629" s="352"/>
      <c r="V4629" s="352"/>
      <c r="W4629" s="352"/>
      <c r="X4629" s="352"/>
      <c r="Y4629" s="352"/>
      <c r="Z4629" s="352"/>
      <c r="AA4629" s="352"/>
      <c r="AB4629" s="352"/>
      <c r="AC4629" s="352"/>
      <c r="AD4629" s="352"/>
      <c r="AE4629" s="352"/>
      <c r="AF4629" s="352"/>
      <c r="AG4629" s="352"/>
      <c r="AH4629" s="352"/>
      <c r="AI4629" s="352"/>
      <c r="AJ4629" s="352"/>
    </row>
    <row r="4630" spans="2:36" x14ac:dyDescent="0.2">
      <c r="B4630" s="352"/>
      <c r="C4630" s="352"/>
      <c r="D4630" s="352"/>
      <c r="E4630" s="352"/>
      <c r="F4630" s="352"/>
      <c r="H4630" s="352"/>
      <c r="J4630" s="352"/>
      <c r="L4630" s="352"/>
      <c r="M4630" s="352"/>
      <c r="N4630" s="352"/>
      <c r="O4630" s="352"/>
      <c r="P4630" s="352"/>
      <c r="Q4630" s="352"/>
      <c r="R4630" s="352"/>
      <c r="S4630" s="352"/>
      <c r="T4630" s="352"/>
      <c r="U4630" s="352"/>
      <c r="V4630" s="352"/>
      <c r="W4630" s="352"/>
      <c r="X4630" s="352"/>
      <c r="Y4630" s="352"/>
      <c r="Z4630" s="352"/>
      <c r="AA4630" s="352"/>
      <c r="AB4630" s="352"/>
      <c r="AC4630" s="352"/>
      <c r="AD4630" s="352"/>
      <c r="AE4630" s="352"/>
      <c r="AF4630" s="352"/>
      <c r="AG4630" s="352"/>
      <c r="AH4630" s="352"/>
      <c r="AI4630" s="352"/>
      <c r="AJ4630" s="352"/>
    </row>
    <row r="4631" spans="2:36" x14ac:dyDescent="0.2">
      <c r="B4631" s="352"/>
      <c r="C4631" s="352"/>
      <c r="D4631" s="352"/>
      <c r="E4631" s="352"/>
      <c r="F4631" s="352"/>
      <c r="H4631" s="352"/>
      <c r="J4631" s="352"/>
      <c r="L4631" s="352"/>
      <c r="M4631" s="352"/>
      <c r="N4631" s="352"/>
      <c r="O4631" s="352"/>
      <c r="P4631" s="352"/>
      <c r="Q4631" s="352"/>
      <c r="R4631" s="352"/>
      <c r="S4631" s="352"/>
      <c r="T4631" s="352"/>
      <c r="U4631" s="352"/>
      <c r="V4631" s="352"/>
      <c r="W4631" s="352"/>
      <c r="X4631" s="352"/>
      <c r="Y4631" s="352"/>
      <c r="Z4631" s="352"/>
      <c r="AA4631" s="352"/>
      <c r="AB4631" s="352"/>
      <c r="AC4631" s="352"/>
      <c r="AD4631" s="352"/>
      <c r="AE4631" s="352"/>
      <c r="AF4631" s="352"/>
      <c r="AG4631" s="352"/>
      <c r="AH4631" s="352"/>
      <c r="AI4631" s="352"/>
      <c r="AJ4631" s="352"/>
    </row>
    <row r="4632" spans="2:36" x14ac:dyDescent="0.2">
      <c r="B4632" s="352"/>
      <c r="C4632" s="352"/>
      <c r="D4632" s="352"/>
      <c r="E4632" s="352"/>
      <c r="F4632" s="352"/>
      <c r="H4632" s="352"/>
      <c r="J4632" s="352"/>
      <c r="L4632" s="352"/>
      <c r="M4632" s="352"/>
      <c r="N4632" s="352"/>
      <c r="O4632" s="352"/>
      <c r="P4632" s="352"/>
      <c r="Q4632" s="352"/>
      <c r="R4632" s="352"/>
      <c r="S4632" s="352"/>
      <c r="T4632" s="352"/>
      <c r="U4632" s="352"/>
      <c r="V4632" s="352"/>
      <c r="W4632" s="352"/>
      <c r="X4632" s="352"/>
      <c r="Y4632" s="352"/>
      <c r="Z4632" s="352"/>
      <c r="AA4632" s="352"/>
      <c r="AB4632" s="352"/>
      <c r="AC4632" s="352"/>
      <c r="AD4632" s="352"/>
      <c r="AE4632" s="352"/>
      <c r="AF4632" s="352"/>
      <c r="AG4632" s="352"/>
      <c r="AH4632" s="352"/>
      <c r="AI4632" s="352"/>
      <c r="AJ4632" s="352"/>
    </row>
    <row r="4633" spans="2:36" x14ac:dyDescent="0.2">
      <c r="B4633" s="352"/>
      <c r="C4633" s="352"/>
      <c r="D4633" s="352"/>
      <c r="E4633" s="352"/>
      <c r="F4633" s="352"/>
      <c r="H4633" s="352"/>
      <c r="J4633" s="352"/>
      <c r="L4633" s="352"/>
      <c r="M4633" s="352"/>
      <c r="N4633" s="352"/>
      <c r="O4633" s="352"/>
      <c r="P4633" s="352"/>
      <c r="Q4633" s="352"/>
      <c r="R4633" s="352"/>
      <c r="S4633" s="352"/>
      <c r="T4633" s="352"/>
      <c r="U4633" s="352"/>
      <c r="V4633" s="352"/>
      <c r="W4633" s="352"/>
      <c r="X4633" s="352"/>
      <c r="Y4633" s="352"/>
      <c r="Z4633" s="352"/>
      <c r="AA4633" s="352"/>
      <c r="AB4633" s="352"/>
      <c r="AC4633" s="352"/>
      <c r="AD4633" s="352"/>
      <c r="AE4633" s="352"/>
      <c r="AF4633" s="352"/>
      <c r="AG4633" s="352"/>
      <c r="AH4633" s="352"/>
      <c r="AI4633" s="352"/>
      <c r="AJ4633" s="352"/>
    </row>
    <row r="4634" spans="2:36" x14ac:dyDescent="0.2">
      <c r="B4634" s="352"/>
      <c r="C4634" s="352"/>
      <c r="D4634" s="352"/>
      <c r="E4634" s="352"/>
      <c r="F4634" s="352"/>
      <c r="H4634" s="352"/>
      <c r="J4634" s="352"/>
      <c r="L4634" s="352"/>
      <c r="M4634" s="352"/>
      <c r="N4634" s="352"/>
      <c r="O4634" s="352"/>
      <c r="P4634" s="352"/>
      <c r="Q4634" s="352"/>
      <c r="R4634" s="352"/>
      <c r="S4634" s="352"/>
      <c r="T4634" s="352"/>
      <c r="U4634" s="352"/>
      <c r="V4634" s="352"/>
      <c r="W4634" s="352"/>
      <c r="X4634" s="352"/>
      <c r="Y4634" s="352"/>
      <c r="Z4634" s="352"/>
      <c r="AA4634" s="352"/>
      <c r="AB4634" s="352"/>
      <c r="AC4634" s="352"/>
      <c r="AD4634" s="352"/>
      <c r="AE4634" s="352"/>
      <c r="AF4634" s="352"/>
      <c r="AG4634" s="352"/>
      <c r="AH4634" s="352"/>
      <c r="AI4634" s="352"/>
      <c r="AJ4634" s="352"/>
    </row>
    <row r="4635" spans="2:36" x14ac:dyDescent="0.2">
      <c r="B4635" s="352"/>
      <c r="C4635" s="352"/>
      <c r="D4635" s="352"/>
      <c r="E4635" s="352"/>
      <c r="F4635" s="352"/>
      <c r="H4635" s="352"/>
      <c r="J4635" s="352"/>
      <c r="L4635" s="352"/>
      <c r="M4635" s="352"/>
      <c r="N4635" s="352"/>
      <c r="O4635" s="352"/>
      <c r="P4635" s="352"/>
      <c r="Q4635" s="352"/>
      <c r="R4635" s="352"/>
      <c r="S4635" s="352"/>
      <c r="T4635" s="352"/>
      <c r="U4635" s="352"/>
      <c r="V4635" s="352"/>
      <c r="W4635" s="352"/>
      <c r="X4635" s="352"/>
      <c r="Y4635" s="352"/>
      <c r="Z4635" s="352"/>
      <c r="AA4635" s="352"/>
      <c r="AB4635" s="352"/>
      <c r="AC4635" s="352"/>
      <c r="AD4635" s="352"/>
      <c r="AE4635" s="352"/>
      <c r="AF4635" s="352"/>
      <c r="AG4635" s="352"/>
      <c r="AH4635" s="352"/>
      <c r="AI4635" s="352"/>
      <c r="AJ4635" s="352"/>
    </row>
    <row r="4636" spans="2:36" x14ac:dyDescent="0.2">
      <c r="B4636" s="352"/>
      <c r="C4636" s="352"/>
      <c r="D4636" s="352"/>
      <c r="E4636" s="352"/>
      <c r="F4636" s="352"/>
      <c r="H4636" s="352"/>
      <c r="J4636" s="352"/>
      <c r="L4636" s="352"/>
      <c r="M4636" s="352"/>
      <c r="N4636" s="352"/>
      <c r="O4636" s="352"/>
      <c r="P4636" s="352"/>
      <c r="Q4636" s="352"/>
      <c r="R4636" s="352"/>
      <c r="S4636" s="352"/>
      <c r="T4636" s="352"/>
      <c r="U4636" s="352"/>
      <c r="V4636" s="352"/>
      <c r="W4636" s="352"/>
      <c r="X4636" s="352"/>
      <c r="Y4636" s="352"/>
      <c r="Z4636" s="352"/>
      <c r="AA4636" s="352"/>
      <c r="AB4636" s="352"/>
      <c r="AC4636" s="352"/>
      <c r="AD4636" s="352"/>
      <c r="AE4636" s="352"/>
      <c r="AF4636" s="352"/>
      <c r="AG4636" s="352"/>
      <c r="AH4636" s="352"/>
      <c r="AI4636" s="352"/>
      <c r="AJ4636" s="352"/>
    </row>
    <row r="4637" spans="2:36" x14ac:dyDescent="0.2">
      <c r="B4637" s="352"/>
      <c r="C4637" s="352"/>
      <c r="D4637" s="352"/>
      <c r="E4637" s="352"/>
      <c r="F4637" s="352"/>
      <c r="H4637" s="352"/>
      <c r="J4637" s="352"/>
      <c r="L4637" s="352"/>
      <c r="M4637" s="352"/>
      <c r="N4637" s="352"/>
      <c r="O4637" s="352"/>
      <c r="P4637" s="352"/>
      <c r="Q4637" s="352"/>
      <c r="R4637" s="352"/>
      <c r="S4637" s="352"/>
      <c r="T4637" s="352"/>
      <c r="U4637" s="352"/>
      <c r="V4637" s="352"/>
      <c r="W4637" s="352"/>
      <c r="X4637" s="352"/>
      <c r="Y4637" s="352"/>
      <c r="Z4637" s="352"/>
      <c r="AA4637" s="352"/>
      <c r="AB4637" s="352"/>
      <c r="AC4637" s="352"/>
      <c r="AD4637" s="352"/>
      <c r="AE4637" s="352"/>
      <c r="AF4637" s="352"/>
      <c r="AG4637" s="352"/>
      <c r="AH4637" s="352"/>
      <c r="AI4637" s="352"/>
      <c r="AJ4637" s="352"/>
    </row>
    <row r="4638" spans="2:36" x14ac:dyDescent="0.2">
      <c r="B4638" s="352"/>
      <c r="C4638" s="352"/>
      <c r="D4638" s="352"/>
      <c r="E4638" s="352"/>
      <c r="F4638" s="352"/>
      <c r="H4638" s="352"/>
      <c r="J4638" s="352"/>
      <c r="L4638" s="352"/>
      <c r="M4638" s="352"/>
      <c r="N4638" s="352"/>
      <c r="O4638" s="352"/>
      <c r="P4638" s="352"/>
      <c r="Q4638" s="352"/>
      <c r="R4638" s="352"/>
      <c r="S4638" s="352"/>
      <c r="T4638" s="352"/>
      <c r="U4638" s="352"/>
      <c r="V4638" s="352"/>
      <c r="W4638" s="352"/>
      <c r="X4638" s="352"/>
      <c r="Y4638" s="352"/>
      <c r="Z4638" s="352"/>
      <c r="AA4638" s="352"/>
      <c r="AB4638" s="352"/>
      <c r="AC4638" s="352"/>
      <c r="AD4638" s="352"/>
      <c r="AE4638" s="352"/>
      <c r="AF4638" s="352"/>
      <c r="AG4638" s="352"/>
      <c r="AH4638" s="352"/>
      <c r="AI4638" s="352"/>
      <c r="AJ4638" s="352"/>
    </row>
    <row r="4639" spans="2:36" x14ac:dyDescent="0.2">
      <c r="B4639" s="352"/>
      <c r="C4639" s="352"/>
      <c r="D4639" s="352"/>
      <c r="E4639" s="352"/>
      <c r="F4639" s="352"/>
      <c r="H4639" s="352"/>
      <c r="J4639" s="352"/>
      <c r="L4639" s="352"/>
      <c r="M4639" s="352"/>
      <c r="N4639" s="352"/>
      <c r="O4639" s="352"/>
      <c r="P4639" s="352"/>
      <c r="Q4639" s="352"/>
      <c r="R4639" s="352"/>
      <c r="S4639" s="352"/>
      <c r="T4639" s="352"/>
      <c r="U4639" s="352"/>
      <c r="V4639" s="352"/>
      <c r="W4639" s="352"/>
      <c r="X4639" s="352"/>
      <c r="Y4639" s="352"/>
      <c r="Z4639" s="352"/>
      <c r="AA4639" s="352"/>
      <c r="AB4639" s="352"/>
      <c r="AC4639" s="352"/>
      <c r="AD4639" s="352"/>
      <c r="AE4639" s="352"/>
      <c r="AF4639" s="352"/>
      <c r="AG4639" s="352"/>
      <c r="AH4639" s="352"/>
      <c r="AI4639" s="352"/>
      <c r="AJ4639" s="352"/>
    </row>
    <row r="4640" spans="2:36" x14ac:dyDescent="0.2">
      <c r="B4640" s="352"/>
      <c r="C4640" s="352"/>
      <c r="D4640" s="352"/>
      <c r="E4640" s="352"/>
      <c r="F4640" s="352"/>
      <c r="H4640" s="352"/>
      <c r="J4640" s="352"/>
      <c r="L4640" s="352"/>
      <c r="M4640" s="352"/>
      <c r="N4640" s="352"/>
      <c r="O4640" s="352"/>
      <c r="P4640" s="352"/>
      <c r="Q4640" s="352"/>
      <c r="R4640" s="352"/>
      <c r="S4640" s="352"/>
      <c r="T4640" s="352"/>
      <c r="U4640" s="352"/>
      <c r="V4640" s="352"/>
      <c r="W4640" s="352"/>
      <c r="X4640" s="352"/>
      <c r="Y4640" s="352"/>
      <c r="Z4640" s="352"/>
      <c r="AA4640" s="352"/>
      <c r="AB4640" s="352"/>
      <c r="AC4640" s="352"/>
      <c r="AD4640" s="352"/>
      <c r="AE4640" s="352"/>
      <c r="AF4640" s="352"/>
      <c r="AG4640" s="352"/>
      <c r="AH4640" s="352"/>
      <c r="AI4640" s="352"/>
      <c r="AJ4640" s="352"/>
    </row>
    <row r="4641" spans="2:36" x14ac:dyDescent="0.2">
      <c r="B4641" s="352"/>
      <c r="C4641" s="352"/>
      <c r="D4641" s="352"/>
      <c r="E4641" s="352"/>
      <c r="F4641" s="352"/>
      <c r="H4641" s="352"/>
      <c r="J4641" s="352"/>
      <c r="L4641" s="352"/>
      <c r="M4641" s="352"/>
      <c r="N4641" s="352"/>
      <c r="O4641" s="352"/>
      <c r="P4641" s="352"/>
      <c r="Q4641" s="352"/>
      <c r="R4641" s="352"/>
      <c r="S4641" s="352"/>
      <c r="T4641" s="352"/>
      <c r="U4641" s="352"/>
      <c r="V4641" s="352"/>
      <c r="W4641" s="352"/>
      <c r="X4641" s="352"/>
      <c r="Y4641" s="352"/>
      <c r="Z4641" s="352"/>
      <c r="AA4641" s="352"/>
      <c r="AB4641" s="352"/>
      <c r="AC4641" s="352"/>
      <c r="AD4641" s="352"/>
      <c r="AE4641" s="352"/>
      <c r="AF4641" s="352"/>
      <c r="AG4641" s="352"/>
      <c r="AH4641" s="352"/>
      <c r="AI4641" s="352"/>
      <c r="AJ4641" s="352"/>
    </row>
    <row r="4642" spans="2:36" x14ac:dyDescent="0.2">
      <c r="B4642" s="352"/>
      <c r="C4642" s="352"/>
      <c r="D4642" s="352"/>
      <c r="E4642" s="352"/>
      <c r="F4642" s="352"/>
      <c r="H4642" s="352"/>
      <c r="J4642" s="352"/>
      <c r="L4642" s="352"/>
      <c r="M4642" s="352"/>
      <c r="N4642" s="352"/>
      <c r="O4642" s="352"/>
      <c r="P4642" s="352"/>
      <c r="Q4642" s="352"/>
      <c r="R4642" s="352"/>
      <c r="S4642" s="352"/>
      <c r="T4642" s="352"/>
      <c r="U4642" s="352"/>
      <c r="V4642" s="352"/>
      <c r="W4642" s="352"/>
      <c r="X4642" s="352"/>
      <c r="Y4642" s="352"/>
      <c r="Z4642" s="352"/>
      <c r="AA4642" s="352"/>
      <c r="AB4642" s="352"/>
      <c r="AC4642" s="352"/>
      <c r="AD4642" s="352"/>
      <c r="AE4642" s="352"/>
      <c r="AF4642" s="352"/>
      <c r="AG4642" s="352"/>
      <c r="AH4642" s="352"/>
      <c r="AI4642" s="352"/>
      <c r="AJ4642" s="352"/>
    </row>
    <row r="4643" spans="2:36" x14ac:dyDescent="0.2">
      <c r="B4643" s="352"/>
      <c r="C4643" s="352"/>
      <c r="D4643" s="352"/>
      <c r="E4643" s="352"/>
      <c r="F4643" s="352"/>
      <c r="H4643" s="352"/>
      <c r="J4643" s="352"/>
      <c r="L4643" s="352"/>
      <c r="M4643" s="352"/>
      <c r="N4643" s="352"/>
      <c r="O4643" s="352"/>
      <c r="P4643" s="352"/>
      <c r="Q4643" s="352"/>
      <c r="R4643" s="352"/>
      <c r="S4643" s="352"/>
      <c r="T4643" s="352"/>
      <c r="U4643" s="352"/>
      <c r="V4643" s="352"/>
      <c r="W4643" s="352"/>
      <c r="X4643" s="352"/>
      <c r="Y4643" s="352"/>
      <c r="Z4643" s="352"/>
      <c r="AA4643" s="352"/>
      <c r="AB4643" s="352"/>
      <c r="AC4643" s="352"/>
      <c r="AD4643" s="352"/>
      <c r="AE4643" s="352"/>
      <c r="AF4643" s="352"/>
      <c r="AG4643" s="352"/>
      <c r="AH4643" s="352"/>
      <c r="AI4643" s="352"/>
      <c r="AJ4643" s="352"/>
    </row>
    <row r="4644" spans="2:36" x14ac:dyDescent="0.2">
      <c r="B4644" s="352"/>
      <c r="C4644" s="352"/>
      <c r="D4644" s="352"/>
      <c r="E4644" s="352"/>
      <c r="F4644" s="352"/>
      <c r="H4644" s="352"/>
      <c r="J4644" s="352"/>
      <c r="L4644" s="352"/>
      <c r="M4644" s="352"/>
      <c r="N4644" s="352"/>
      <c r="O4644" s="352"/>
      <c r="P4644" s="352"/>
      <c r="Q4644" s="352"/>
      <c r="R4644" s="352"/>
      <c r="S4644" s="352"/>
      <c r="T4644" s="352"/>
      <c r="U4644" s="352"/>
      <c r="V4644" s="352"/>
      <c r="W4644" s="352"/>
      <c r="X4644" s="352"/>
      <c r="Y4644" s="352"/>
      <c r="Z4644" s="352"/>
      <c r="AA4644" s="352"/>
      <c r="AB4644" s="352"/>
      <c r="AC4644" s="352"/>
      <c r="AD4644" s="352"/>
      <c r="AE4644" s="352"/>
      <c r="AF4644" s="352"/>
      <c r="AG4644" s="352"/>
      <c r="AH4644" s="352"/>
      <c r="AI4644" s="352"/>
      <c r="AJ4644" s="352"/>
    </row>
    <row r="4645" spans="2:36" x14ac:dyDescent="0.2">
      <c r="B4645" s="352"/>
      <c r="C4645" s="352"/>
      <c r="D4645" s="352"/>
      <c r="E4645" s="352"/>
      <c r="F4645" s="352"/>
      <c r="H4645" s="352"/>
      <c r="J4645" s="352"/>
      <c r="L4645" s="352"/>
      <c r="M4645" s="352"/>
      <c r="N4645" s="352"/>
      <c r="O4645" s="352"/>
      <c r="P4645" s="352"/>
      <c r="Q4645" s="352"/>
      <c r="R4645" s="352"/>
      <c r="S4645" s="352"/>
      <c r="T4645" s="352"/>
      <c r="U4645" s="352"/>
      <c r="V4645" s="352"/>
      <c r="W4645" s="352"/>
      <c r="X4645" s="352"/>
      <c r="Y4645" s="352"/>
      <c r="Z4645" s="352"/>
      <c r="AA4645" s="352"/>
      <c r="AB4645" s="352"/>
      <c r="AC4645" s="352"/>
      <c r="AD4645" s="352"/>
      <c r="AE4645" s="352"/>
      <c r="AF4645" s="352"/>
      <c r="AG4645" s="352"/>
      <c r="AH4645" s="352"/>
      <c r="AI4645" s="352"/>
      <c r="AJ4645" s="352"/>
    </row>
    <row r="4646" spans="2:36" x14ac:dyDescent="0.2">
      <c r="B4646" s="352"/>
      <c r="C4646" s="352"/>
      <c r="D4646" s="352"/>
      <c r="E4646" s="352"/>
      <c r="F4646" s="352"/>
      <c r="H4646" s="352"/>
      <c r="J4646" s="352"/>
      <c r="L4646" s="352"/>
      <c r="M4646" s="352"/>
      <c r="N4646" s="352"/>
      <c r="O4646" s="352"/>
      <c r="P4646" s="352"/>
      <c r="Q4646" s="352"/>
      <c r="R4646" s="352"/>
      <c r="S4646" s="352"/>
      <c r="T4646" s="352"/>
      <c r="U4646" s="352"/>
      <c r="V4646" s="352"/>
      <c r="W4646" s="352"/>
      <c r="X4646" s="352"/>
      <c r="Y4646" s="352"/>
      <c r="Z4646" s="352"/>
      <c r="AA4646" s="352"/>
      <c r="AB4646" s="352"/>
      <c r="AC4646" s="352"/>
      <c r="AD4646" s="352"/>
      <c r="AE4646" s="352"/>
      <c r="AF4646" s="352"/>
      <c r="AG4646" s="352"/>
      <c r="AH4646" s="352"/>
      <c r="AI4646" s="352"/>
      <c r="AJ4646" s="352"/>
    </row>
    <row r="4647" spans="2:36" x14ac:dyDescent="0.2">
      <c r="B4647" s="352"/>
      <c r="C4647" s="352"/>
      <c r="D4647" s="352"/>
      <c r="E4647" s="352"/>
      <c r="F4647" s="352"/>
      <c r="H4647" s="352"/>
      <c r="J4647" s="352"/>
      <c r="L4647" s="352"/>
      <c r="M4647" s="352"/>
      <c r="N4647" s="352"/>
      <c r="O4647" s="352"/>
      <c r="P4647" s="352"/>
      <c r="Q4647" s="352"/>
      <c r="R4647" s="352"/>
      <c r="S4647" s="352"/>
      <c r="T4647" s="352"/>
      <c r="U4647" s="352"/>
      <c r="V4647" s="352"/>
      <c r="W4647" s="352"/>
      <c r="X4647" s="352"/>
      <c r="Y4647" s="352"/>
      <c r="Z4647" s="352"/>
      <c r="AA4647" s="352"/>
      <c r="AB4647" s="352"/>
      <c r="AC4647" s="352"/>
      <c r="AD4647" s="352"/>
      <c r="AE4647" s="352"/>
      <c r="AF4647" s="352"/>
      <c r="AG4647" s="352"/>
      <c r="AH4647" s="352"/>
      <c r="AI4647" s="352"/>
      <c r="AJ4647" s="352"/>
    </row>
    <row r="4648" spans="2:36" x14ac:dyDescent="0.2">
      <c r="B4648" s="352"/>
      <c r="C4648" s="352"/>
      <c r="D4648" s="352"/>
      <c r="E4648" s="352"/>
      <c r="F4648" s="352"/>
      <c r="H4648" s="352"/>
      <c r="J4648" s="352"/>
      <c r="L4648" s="352"/>
      <c r="M4648" s="352"/>
      <c r="N4648" s="352"/>
      <c r="O4648" s="352"/>
      <c r="P4648" s="352"/>
      <c r="Q4648" s="352"/>
      <c r="R4648" s="352"/>
      <c r="S4648" s="352"/>
      <c r="T4648" s="352"/>
      <c r="U4648" s="352"/>
      <c r="V4648" s="352"/>
      <c r="W4648" s="352"/>
      <c r="X4648" s="352"/>
      <c r="Y4648" s="352"/>
      <c r="Z4648" s="352"/>
      <c r="AA4648" s="352"/>
      <c r="AB4648" s="352"/>
      <c r="AC4648" s="352"/>
      <c r="AD4648" s="352"/>
      <c r="AE4648" s="352"/>
      <c r="AF4648" s="352"/>
      <c r="AG4648" s="352"/>
      <c r="AH4648" s="352"/>
      <c r="AI4648" s="352"/>
      <c r="AJ4648" s="352"/>
    </row>
    <row r="4649" spans="2:36" x14ac:dyDescent="0.2">
      <c r="B4649" s="352"/>
      <c r="C4649" s="352"/>
      <c r="D4649" s="352"/>
      <c r="E4649" s="352"/>
      <c r="F4649" s="352"/>
      <c r="H4649" s="352"/>
      <c r="J4649" s="352"/>
      <c r="L4649" s="352"/>
      <c r="M4649" s="352"/>
      <c r="N4649" s="352"/>
      <c r="O4649" s="352"/>
      <c r="P4649" s="352"/>
      <c r="Q4649" s="352"/>
      <c r="R4649" s="352"/>
      <c r="S4649" s="352"/>
      <c r="T4649" s="352"/>
      <c r="U4649" s="352"/>
      <c r="V4649" s="352"/>
      <c r="W4649" s="352"/>
      <c r="X4649" s="352"/>
      <c r="Y4649" s="352"/>
      <c r="Z4649" s="352"/>
      <c r="AA4649" s="352"/>
      <c r="AB4649" s="352"/>
      <c r="AC4649" s="352"/>
      <c r="AD4649" s="352"/>
      <c r="AE4649" s="352"/>
      <c r="AF4649" s="352"/>
      <c r="AG4649" s="352"/>
      <c r="AH4649" s="352"/>
      <c r="AI4649" s="352"/>
      <c r="AJ4649" s="352"/>
    </row>
    <row r="4650" spans="2:36" x14ac:dyDescent="0.2">
      <c r="B4650" s="352"/>
      <c r="C4650" s="352"/>
      <c r="D4650" s="352"/>
      <c r="E4650" s="352"/>
      <c r="F4650" s="352"/>
      <c r="H4650" s="352"/>
      <c r="J4650" s="352"/>
      <c r="L4650" s="352"/>
      <c r="M4650" s="352"/>
      <c r="N4650" s="352"/>
      <c r="O4650" s="352"/>
      <c r="P4650" s="352"/>
      <c r="Q4650" s="352"/>
      <c r="R4650" s="352"/>
      <c r="S4650" s="352"/>
      <c r="T4650" s="352"/>
      <c r="U4650" s="352"/>
      <c r="V4650" s="352"/>
      <c r="W4650" s="352"/>
      <c r="X4650" s="352"/>
      <c r="Y4650" s="352"/>
      <c r="Z4650" s="352"/>
      <c r="AA4650" s="352"/>
      <c r="AB4650" s="352"/>
      <c r="AC4650" s="352"/>
      <c r="AD4650" s="352"/>
      <c r="AE4650" s="352"/>
      <c r="AF4650" s="352"/>
      <c r="AG4650" s="352"/>
      <c r="AH4650" s="352"/>
      <c r="AI4650" s="352"/>
      <c r="AJ4650" s="352"/>
    </row>
    <row r="4651" spans="2:36" x14ac:dyDescent="0.2">
      <c r="B4651" s="352"/>
      <c r="C4651" s="352"/>
      <c r="D4651" s="352"/>
      <c r="E4651" s="352"/>
      <c r="F4651" s="352"/>
      <c r="H4651" s="352"/>
      <c r="J4651" s="352"/>
      <c r="L4651" s="352"/>
      <c r="M4651" s="352"/>
      <c r="N4651" s="352"/>
      <c r="O4651" s="352"/>
      <c r="P4651" s="352"/>
      <c r="Q4651" s="352"/>
      <c r="R4651" s="352"/>
      <c r="S4651" s="352"/>
      <c r="T4651" s="352"/>
      <c r="U4651" s="352"/>
      <c r="V4651" s="352"/>
      <c r="W4651" s="352"/>
      <c r="X4651" s="352"/>
      <c r="Y4651" s="352"/>
      <c r="Z4651" s="352"/>
      <c r="AA4651" s="352"/>
      <c r="AB4651" s="352"/>
      <c r="AC4651" s="352"/>
      <c r="AD4651" s="352"/>
      <c r="AE4651" s="352"/>
      <c r="AF4651" s="352"/>
      <c r="AG4651" s="352"/>
      <c r="AH4651" s="352"/>
      <c r="AI4651" s="352"/>
      <c r="AJ4651" s="352"/>
    </row>
    <row r="4652" spans="2:36" x14ac:dyDescent="0.2">
      <c r="B4652" s="352"/>
      <c r="C4652" s="352"/>
      <c r="D4652" s="352"/>
      <c r="E4652" s="352"/>
      <c r="F4652" s="352"/>
      <c r="H4652" s="352"/>
      <c r="J4652" s="352"/>
      <c r="L4652" s="352"/>
      <c r="M4652" s="352"/>
      <c r="N4652" s="352"/>
      <c r="O4652" s="352"/>
      <c r="P4652" s="352"/>
      <c r="Q4652" s="352"/>
      <c r="R4652" s="352"/>
      <c r="S4652" s="352"/>
      <c r="T4652" s="352"/>
      <c r="U4652" s="352"/>
      <c r="V4652" s="352"/>
      <c r="W4652" s="352"/>
      <c r="X4652" s="352"/>
      <c r="Y4652" s="352"/>
      <c r="Z4652" s="352"/>
      <c r="AA4652" s="352"/>
      <c r="AB4652" s="352"/>
      <c r="AC4652" s="352"/>
      <c r="AD4652" s="352"/>
      <c r="AE4652" s="352"/>
      <c r="AF4652" s="352"/>
      <c r="AG4652" s="352"/>
      <c r="AH4652" s="352"/>
      <c r="AI4652" s="352"/>
      <c r="AJ4652" s="352"/>
    </row>
    <row r="4653" spans="2:36" x14ac:dyDescent="0.2">
      <c r="B4653" s="352"/>
      <c r="C4653" s="352"/>
      <c r="D4653" s="352"/>
      <c r="E4653" s="352"/>
      <c r="F4653" s="352"/>
      <c r="H4653" s="352"/>
      <c r="J4653" s="352"/>
      <c r="L4653" s="352"/>
      <c r="M4653" s="352"/>
      <c r="N4653" s="352"/>
      <c r="O4653" s="352"/>
      <c r="P4653" s="352"/>
      <c r="Q4653" s="352"/>
      <c r="R4653" s="352"/>
      <c r="S4653" s="352"/>
      <c r="T4653" s="352"/>
      <c r="U4653" s="352"/>
      <c r="V4653" s="352"/>
      <c r="W4653" s="352"/>
      <c r="X4653" s="352"/>
      <c r="Y4653" s="352"/>
      <c r="Z4653" s="352"/>
      <c r="AA4653" s="352"/>
      <c r="AB4653" s="352"/>
      <c r="AC4653" s="352"/>
      <c r="AD4653" s="352"/>
      <c r="AE4653" s="352"/>
      <c r="AF4653" s="352"/>
      <c r="AG4653" s="352"/>
      <c r="AH4653" s="352"/>
      <c r="AI4653" s="352"/>
      <c r="AJ4653" s="352"/>
    </row>
    <row r="4654" spans="2:36" x14ac:dyDescent="0.2">
      <c r="B4654" s="352"/>
      <c r="C4654" s="352"/>
      <c r="D4654" s="352"/>
      <c r="E4654" s="352"/>
      <c r="F4654" s="352"/>
      <c r="H4654" s="352"/>
      <c r="J4654" s="352"/>
      <c r="L4654" s="352"/>
      <c r="M4654" s="352"/>
      <c r="N4654" s="352"/>
      <c r="O4654" s="352"/>
      <c r="P4654" s="352"/>
      <c r="Q4654" s="352"/>
      <c r="R4654" s="352"/>
      <c r="S4654" s="352"/>
      <c r="T4654" s="352"/>
      <c r="U4654" s="352"/>
      <c r="V4654" s="352"/>
      <c r="W4654" s="352"/>
      <c r="X4654" s="352"/>
      <c r="Y4654" s="352"/>
      <c r="Z4654" s="352"/>
      <c r="AA4654" s="352"/>
      <c r="AB4654" s="352"/>
      <c r="AC4654" s="352"/>
      <c r="AD4654" s="352"/>
      <c r="AE4654" s="352"/>
      <c r="AF4654" s="352"/>
      <c r="AG4654" s="352"/>
      <c r="AH4654" s="352"/>
      <c r="AI4654" s="352"/>
      <c r="AJ4654" s="352"/>
    </row>
    <row r="4655" spans="2:36" x14ac:dyDescent="0.2">
      <c r="B4655" s="352"/>
      <c r="C4655" s="352"/>
      <c r="D4655" s="352"/>
      <c r="E4655" s="352"/>
      <c r="F4655" s="352"/>
      <c r="H4655" s="352"/>
      <c r="J4655" s="352"/>
      <c r="L4655" s="352"/>
      <c r="M4655" s="352"/>
      <c r="N4655" s="352"/>
      <c r="O4655" s="352"/>
      <c r="P4655" s="352"/>
      <c r="Q4655" s="352"/>
      <c r="R4655" s="352"/>
      <c r="S4655" s="352"/>
      <c r="T4655" s="352"/>
      <c r="U4655" s="352"/>
      <c r="V4655" s="352"/>
      <c r="W4655" s="352"/>
      <c r="X4655" s="352"/>
      <c r="Y4655" s="352"/>
      <c r="Z4655" s="352"/>
      <c r="AA4655" s="352"/>
      <c r="AB4655" s="352"/>
      <c r="AC4655" s="352"/>
      <c r="AD4655" s="352"/>
      <c r="AE4655" s="352"/>
      <c r="AF4655" s="352"/>
      <c r="AG4655" s="352"/>
      <c r="AH4655" s="352"/>
      <c r="AI4655" s="352"/>
      <c r="AJ4655" s="352"/>
    </row>
    <row r="4656" spans="2:36" x14ac:dyDescent="0.2">
      <c r="B4656" s="352"/>
      <c r="C4656" s="352"/>
      <c r="D4656" s="352"/>
      <c r="E4656" s="352"/>
      <c r="F4656" s="352"/>
      <c r="H4656" s="352"/>
      <c r="J4656" s="352"/>
      <c r="L4656" s="352"/>
      <c r="M4656" s="352"/>
      <c r="N4656" s="352"/>
      <c r="O4656" s="352"/>
      <c r="P4656" s="352"/>
      <c r="Q4656" s="352"/>
      <c r="R4656" s="352"/>
      <c r="S4656" s="352"/>
      <c r="T4656" s="352"/>
      <c r="U4656" s="352"/>
      <c r="V4656" s="352"/>
      <c r="W4656" s="352"/>
      <c r="X4656" s="352"/>
      <c r="Y4656" s="352"/>
      <c r="Z4656" s="352"/>
      <c r="AA4656" s="352"/>
      <c r="AB4656" s="352"/>
      <c r="AC4656" s="352"/>
      <c r="AD4656" s="352"/>
      <c r="AE4656" s="352"/>
      <c r="AF4656" s="352"/>
      <c r="AG4656" s="352"/>
      <c r="AH4656" s="352"/>
      <c r="AI4656" s="352"/>
      <c r="AJ4656" s="352"/>
    </row>
    <row r="4657" spans="2:36" x14ac:dyDescent="0.2">
      <c r="B4657" s="352"/>
      <c r="C4657" s="352"/>
      <c r="D4657" s="352"/>
      <c r="E4657" s="352"/>
      <c r="F4657" s="352"/>
      <c r="H4657" s="352"/>
      <c r="J4657" s="352"/>
      <c r="L4657" s="352"/>
      <c r="M4657" s="352"/>
      <c r="N4657" s="352"/>
      <c r="O4657" s="352"/>
      <c r="P4657" s="352"/>
      <c r="Q4657" s="352"/>
      <c r="R4657" s="352"/>
      <c r="S4657" s="352"/>
      <c r="T4657" s="352"/>
      <c r="U4657" s="352"/>
      <c r="V4657" s="352"/>
      <c r="W4657" s="352"/>
      <c r="X4657" s="352"/>
      <c r="Y4657" s="352"/>
      <c r="Z4657" s="352"/>
      <c r="AA4657" s="352"/>
      <c r="AB4657" s="352"/>
      <c r="AC4657" s="352"/>
      <c r="AD4657" s="352"/>
      <c r="AE4657" s="352"/>
      <c r="AF4657" s="352"/>
      <c r="AG4657" s="352"/>
      <c r="AH4657" s="352"/>
      <c r="AI4657" s="352"/>
      <c r="AJ4657" s="352"/>
    </row>
    <row r="4658" spans="2:36" x14ac:dyDescent="0.2">
      <c r="B4658" s="352"/>
      <c r="C4658" s="352"/>
      <c r="D4658" s="352"/>
      <c r="E4658" s="352"/>
      <c r="F4658" s="352"/>
      <c r="H4658" s="352"/>
      <c r="J4658" s="352"/>
      <c r="L4658" s="352"/>
      <c r="M4658" s="352"/>
      <c r="N4658" s="352"/>
      <c r="O4658" s="352"/>
      <c r="P4658" s="352"/>
      <c r="Q4658" s="352"/>
      <c r="R4658" s="352"/>
      <c r="S4658" s="352"/>
      <c r="T4658" s="352"/>
      <c r="U4658" s="352"/>
      <c r="V4658" s="352"/>
      <c r="W4658" s="352"/>
      <c r="X4658" s="352"/>
      <c r="Y4658" s="352"/>
      <c r="Z4658" s="352"/>
      <c r="AA4658" s="352"/>
      <c r="AB4658" s="352"/>
      <c r="AC4658" s="352"/>
      <c r="AD4658" s="352"/>
      <c r="AE4658" s="352"/>
      <c r="AF4658" s="352"/>
      <c r="AG4658" s="352"/>
      <c r="AH4658" s="352"/>
      <c r="AI4658" s="352"/>
      <c r="AJ4658" s="352"/>
    </row>
    <row r="4659" spans="2:36" x14ac:dyDescent="0.2">
      <c r="B4659" s="352"/>
      <c r="C4659" s="352"/>
      <c r="D4659" s="352"/>
      <c r="E4659" s="352"/>
      <c r="F4659" s="352"/>
      <c r="H4659" s="352"/>
      <c r="J4659" s="352"/>
      <c r="L4659" s="352"/>
      <c r="M4659" s="352"/>
      <c r="N4659" s="352"/>
      <c r="O4659" s="352"/>
      <c r="P4659" s="352"/>
      <c r="Q4659" s="352"/>
      <c r="R4659" s="352"/>
      <c r="S4659" s="352"/>
      <c r="T4659" s="352"/>
      <c r="U4659" s="352"/>
      <c r="V4659" s="352"/>
      <c r="W4659" s="352"/>
      <c r="X4659" s="352"/>
      <c r="Y4659" s="352"/>
      <c r="Z4659" s="352"/>
      <c r="AA4659" s="352"/>
      <c r="AB4659" s="352"/>
      <c r="AC4659" s="352"/>
      <c r="AD4659" s="352"/>
      <c r="AE4659" s="352"/>
      <c r="AF4659" s="352"/>
      <c r="AG4659" s="352"/>
      <c r="AH4659" s="352"/>
      <c r="AI4659" s="352"/>
      <c r="AJ4659" s="352"/>
    </row>
    <row r="4660" spans="2:36" x14ac:dyDescent="0.2">
      <c r="B4660" s="352"/>
      <c r="C4660" s="352"/>
      <c r="D4660" s="352"/>
      <c r="E4660" s="352"/>
      <c r="F4660" s="352"/>
      <c r="H4660" s="352"/>
      <c r="J4660" s="352"/>
      <c r="L4660" s="352"/>
      <c r="M4660" s="352"/>
      <c r="N4660" s="352"/>
      <c r="O4660" s="352"/>
      <c r="P4660" s="352"/>
      <c r="Q4660" s="352"/>
      <c r="R4660" s="352"/>
      <c r="S4660" s="352"/>
      <c r="T4660" s="352"/>
      <c r="U4660" s="352"/>
      <c r="V4660" s="352"/>
      <c r="W4660" s="352"/>
      <c r="X4660" s="352"/>
      <c r="Y4660" s="352"/>
      <c r="Z4660" s="352"/>
      <c r="AA4660" s="352"/>
      <c r="AB4660" s="352"/>
      <c r="AC4660" s="352"/>
      <c r="AD4660" s="352"/>
      <c r="AE4660" s="352"/>
      <c r="AF4660" s="352"/>
      <c r="AG4660" s="352"/>
      <c r="AH4660" s="352"/>
      <c r="AI4660" s="352"/>
      <c r="AJ4660" s="352"/>
    </row>
    <row r="4661" spans="2:36" x14ac:dyDescent="0.2">
      <c r="B4661" s="352"/>
      <c r="C4661" s="352"/>
      <c r="D4661" s="352"/>
      <c r="E4661" s="352"/>
      <c r="F4661" s="352"/>
      <c r="H4661" s="352"/>
      <c r="J4661" s="352"/>
      <c r="L4661" s="352"/>
      <c r="M4661" s="352"/>
      <c r="N4661" s="352"/>
      <c r="O4661" s="352"/>
      <c r="P4661" s="352"/>
      <c r="Q4661" s="352"/>
      <c r="R4661" s="352"/>
      <c r="S4661" s="352"/>
      <c r="T4661" s="352"/>
      <c r="U4661" s="352"/>
      <c r="V4661" s="352"/>
      <c r="W4661" s="352"/>
      <c r="X4661" s="352"/>
      <c r="Y4661" s="352"/>
      <c r="Z4661" s="352"/>
      <c r="AA4661" s="352"/>
      <c r="AB4661" s="352"/>
      <c r="AC4661" s="352"/>
      <c r="AD4661" s="352"/>
      <c r="AE4661" s="352"/>
      <c r="AF4661" s="352"/>
      <c r="AG4661" s="352"/>
      <c r="AH4661" s="352"/>
      <c r="AI4661" s="352"/>
      <c r="AJ4661" s="352"/>
    </row>
    <row r="4662" spans="2:36" x14ac:dyDescent="0.2">
      <c r="B4662" s="352"/>
      <c r="C4662" s="352"/>
      <c r="D4662" s="352"/>
      <c r="E4662" s="352"/>
      <c r="F4662" s="352"/>
      <c r="H4662" s="352"/>
      <c r="J4662" s="352"/>
      <c r="L4662" s="352"/>
      <c r="M4662" s="352"/>
      <c r="N4662" s="352"/>
      <c r="O4662" s="352"/>
      <c r="P4662" s="352"/>
      <c r="Q4662" s="352"/>
      <c r="R4662" s="352"/>
      <c r="S4662" s="352"/>
      <c r="T4662" s="352"/>
      <c r="U4662" s="352"/>
      <c r="V4662" s="352"/>
      <c r="W4662" s="352"/>
      <c r="X4662" s="352"/>
      <c r="Y4662" s="352"/>
      <c r="Z4662" s="352"/>
      <c r="AA4662" s="352"/>
      <c r="AB4662" s="352"/>
      <c r="AC4662" s="352"/>
      <c r="AD4662" s="352"/>
      <c r="AE4662" s="352"/>
      <c r="AF4662" s="352"/>
      <c r="AG4662" s="352"/>
      <c r="AH4662" s="352"/>
      <c r="AI4662" s="352"/>
      <c r="AJ4662" s="352"/>
    </row>
    <row r="4663" spans="2:36" x14ac:dyDescent="0.2">
      <c r="B4663" s="352"/>
      <c r="C4663" s="352"/>
      <c r="D4663" s="352"/>
      <c r="E4663" s="352"/>
      <c r="F4663" s="352"/>
      <c r="H4663" s="352"/>
      <c r="J4663" s="352"/>
      <c r="L4663" s="352"/>
      <c r="M4663" s="352"/>
      <c r="N4663" s="352"/>
      <c r="O4663" s="352"/>
      <c r="P4663" s="352"/>
      <c r="Q4663" s="352"/>
      <c r="R4663" s="352"/>
      <c r="S4663" s="352"/>
      <c r="T4663" s="352"/>
      <c r="U4663" s="352"/>
      <c r="V4663" s="352"/>
      <c r="W4663" s="352"/>
      <c r="X4663" s="352"/>
      <c r="Y4663" s="352"/>
      <c r="Z4663" s="352"/>
      <c r="AA4663" s="352"/>
      <c r="AB4663" s="352"/>
      <c r="AC4663" s="352"/>
      <c r="AD4663" s="352"/>
      <c r="AE4663" s="352"/>
      <c r="AF4663" s="352"/>
      <c r="AG4663" s="352"/>
      <c r="AH4663" s="352"/>
      <c r="AI4663" s="352"/>
      <c r="AJ4663" s="352"/>
    </row>
    <row r="4664" spans="2:36" x14ac:dyDescent="0.2">
      <c r="B4664" s="352"/>
      <c r="C4664" s="352"/>
      <c r="D4664" s="352"/>
      <c r="E4664" s="352"/>
      <c r="F4664" s="352"/>
      <c r="H4664" s="352"/>
      <c r="J4664" s="352"/>
      <c r="L4664" s="352"/>
      <c r="M4664" s="352"/>
      <c r="N4664" s="352"/>
      <c r="O4664" s="352"/>
      <c r="P4664" s="352"/>
      <c r="Q4664" s="352"/>
      <c r="R4664" s="352"/>
      <c r="S4664" s="352"/>
      <c r="T4664" s="352"/>
      <c r="U4664" s="352"/>
      <c r="V4664" s="352"/>
      <c r="W4664" s="352"/>
      <c r="X4664" s="352"/>
      <c r="Y4664" s="352"/>
      <c r="Z4664" s="352"/>
      <c r="AA4664" s="352"/>
      <c r="AB4664" s="352"/>
      <c r="AC4664" s="352"/>
      <c r="AD4664" s="352"/>
      <c r="AE4664" s="352"/>
      <c r="AF4664" s="352"/>
      <c r="AG4664" s="352"/>
      <c r="AH4664" s="352"/>
      <c r="AI4664" s="352"/>
      <c r="AJ4664" s="352"/>
    </row>
    <row r="4665" spans="2:36" x14ac:dyDescent="0.2">
      <c r="B4665" s="352"/>
      <c r="C4665" s="352"/>
      <c r="D4665" s="352"/>
      <c r="E4665" s="352"/>
      <c r="F4665" s="352"/>
      <c r="H4665" s="352"/>
      <c r="J4665" s="352"/>
      <c r="L4665" s="352"/>
      <c r="M4665" s="352"/>
      <c r="N4665" s="352"/>
      <c r="O4665" s="352"/>
      <c r="P4665" s="352"/>
      <c r="Q4665" s="352"/>
      <c r="R4665" s="352"/>
      <c r="S4665" s="352"/>
      <c r="T4665" s="352"/>
      <c r="U4665" s="352"/>
      <c r="V4665" s="352"/>
      <c r="W4665" s="352"/>
      <c r="X4665" s="352"/>
      <c r="Y4665" s="352"/>
      <c r="Z4665" s="352"/>
      <c r="AA4665" s="352"/>
      <c r="AB4665" s="352"/>
      <c r="AC4665" s="352"/>
      <c r="AD4665" s="352"/>
      <c r="AE4665" s="352"/>
      <c r="AF4665" s="352"/>
      <c r="AG4665" s="352"/>
      <c r="AH4665" s="352"/>
      <c r="AI4665" s="352"/>
      <c r="AJ4665" s="352"/>
    </row>
    <row r="4666" spans="2:36" x14ac:dyDescent="0.2">
      <c r="B4666" s="352"/>
      <c r="C4666" s="352"/>
      <c r="D4666" s="352"/>
      <c r="E4666" s="352"/>
      <c r="F4666" s="352"/>
      <c r="H4666" s="352"/>
      <c r="J4666" s="352"/>
      <c r="L4666" s="352"/>
      <c r="M4666" s="352"/>
      <c r="N4666" s="352"/>
      <c r="O4666" s="352"/>
      <c r="P4666" s="352"/>
      <c r="Q4666" s="352"/>
      <c r="R4666" s="352"/>
      <c r="S4666" s="352"/>
      <c r="T4666" s="352"/>
      <c r="U4666" s="352"/>
      <c r="V4666" s="352"/>
      <c r="W4666" s="352"/>
      <c r="X4666" s="352"/>
      <c r="Y4666" s="352"/>
      <c r="Z4666" s="352"/>
      <c r="AA4666" s="352"/>
      <c r="AB4666" s="352"/>
      <c r="AC4666" s="352"/>
      <c r="AD4666" s="352"/>
      <c r="AE4666" s="352"/>
      <c r="AF4666" s="352"/>
      <c r="AG4666" s="352"/>
      <c r="AH4666" s="352"/>
      <c r="AI4666" s="352"/>
      <c r="AJ4666" s="352"/>
    </row>
    <row r="4667" spans="2:36" x14ac:dyDescent="0.2">
      <c r="B4667" s="352"/>
      <c r="C4667" s="352"/>
      <c r="D4667" s="352"/>
      <c r="E4667" s="352"/>
      <c r="F4667" s="352"/>
      <c r="H4667" s="352"/>
      <c r="J4667" s="352"/>
      <c r="L4667" s="352"/>
      <c r="M4667" s="352"/>
      <c r="N4667" s="352"/>
      <c r="O4667" s="352"/>
      <c r="P4667" s="352"/>
      <c r="Q4667" s="352"/>
      <c r="R4667" s="352"/>
      <c r="S4667" s="352"/>
      <c r="T4667" s="352"/>
      <c r="U4667" s="352"/>
      <c r="V4667" s="352"/>
      <c r="W4667" s="352"/>
      <c r="X4667" s="352"/>
      <c r="Y4667" s="352"/>
      <c r="Z4667" s="352"/>
      <c r="AA4667" s="352"/>
      <c r="AB4667" s="352"/>
      <c r="AC4667" s="352"/>
      <c r="AD4667" s="352"/>
      <c r="AE4667" s="352"/>
      <c r="AF4667" s="352"/>
      <c r="AG4667" s="352"/>
      <c r="AH4667" s="352"/>
      <c r="AI4667" s="352"/>
      <c r="AJ4667" s="352"/>
    </row>
    <row r="4668" spans="2:36" x14ac:dyDescent="0.2">
      <c r="B4668" s="352"/>
      <c r="C4668" s="352"/>
      <c r="D4668" s="352"/>
      <c r="E4668" s="352"/>
      <c r="F4668" s="352"/>
      <c r="H4668" s="352"/>
      <c r="J4668" s="352"/>
      <c r="L4668" s="352"/>
      <c r="M4668" s="352"/>
      <c r="N4668" s="352"/>
      <c r="O4668" s="352"/>
      <c r="P4668" s="352"/>
      <c r="Q4668" s="352"/>
      <c r="R4668" s="352"/>
      <c r="S4668" s="352"/>
      <c r="T4668" s="352"/>
      <c r="U4668" s="352"/>
      <c r="V4668" s="352"/>
      <c r="W4668" s="352"/>
      <c r="X4668" s="352"/>
      <c r="Y4668" s="352"/>
      <c r="Z4668" s="352"/>
      <c r="AA4668" s="352"/>
      <c r="AB4668" s="352"/>
      <c r="AC4668" s="352"/>
      <c r="AD4668" s="352"/>
      <c r="AE4668" s="352"/>
      <c r="AF4668" s="352"/>
      <c r="AG4668" s="352"/>
      <c r="AH4668" s="352"/>
      <c r="AI4668" s="352"/>
      <c r="AJ4668" s="352"/>
    </row>
    <row r="4669" spans="2:36" x14ac:dyDescent="0.2">
      <c r="B4669" s="352"/>
      <c r="C4669" s="352"/>
      <c r="D4669" s="352"/>
      <c r="E4669" s="352"/>
      <c r="F4669" s="352"/>
      <c r="H4669" s="352"/>
      <c r="J4669" s="352"/>
      <c r="L4669" s="352"/>
      <c r="M4669" s="352"/>
      <c r="N4669" s="352"/>
      <c r="O4669" s="352"/>
      <c r="P4669" s="352"/>
      <c r="Q4669" s="352"/>
      <c r="R4669" s="352"/>
      <c r="S4669" s="352"/>
      <c r="T4669" s="352"/>
      <c r="U4669" s="352"/>
      <c r="V4669" s="352"/>
      <c r="W4669" s="352"/>
      <c r="X4669" s="352"/>
      <c r="Y4669" s="352"/>
      <c r="Z4669" s="352"/>
      <c r="AA4669" s="352"/>
      <c r="AB4669" s="352"/>
      <c r="AC4669" s="352"/>
      <c r="AD4669" s="352"/>
      <c r="AE4669" s="352"/>
      <c r="AF4669" s="352"/>
      <c r="AG4669" s="352"/>
      <c r="AH4669" s="352"/>
      <c r="AI4669" s="352"/>
      <c r="AJ4669" s="352"/>
    </row>
    <row r="4670" spans="2:36" x14ac:dyDescent="0.2">
      <c r="B4670" s="352"/>
      <c r="C4670" s="352"/>
      <c r="D4670" s="352"/>
      <c r="E4670" s="352"/>
      <c r="F4670" s="352"/>
      <c r="H4670" s="352"/>
      <c r="J4670" s="352"/>
      <c r="L4670" s="352"/>
      <c r="M4670" s="352"/>
      <c r="N4670" s="352"/>
      <c r="O4670" s="352"/>
      <c r="P4670" s="352"/>
      <c r="Q4670" s="352"/>
      <c r="R4670" s="352"/>
      <c r="S4670" s="352"/>
      <c r="T4670" s="352"/>
      <c r="U4670" s="352"/>
      <c r="V4670" s="352"/>
      <c r="W4670" s="352"/>
      <c r="X4670" s="352"/>
      <c r="Y4670" s="352"/>
      <c r="Z4670" s="352"/>
      <c r="AA4670" s="352"/>
      <c r="AB4670" s="352"/>
      <c r="AC4670" s="352"/>
      <c r="AD4670" s="352"/>
      <c r="AE4670" s="352"/>
      <c r="AF4670" s="352"/>
      <c r="AG4670" s="352"/>
      <c r="AH4670" s="352"/>
      <c r="AI4670" s="352"/>
      <c r="AJ4670" s="352"/>
    </row>
    <row r="4671" spans="2:36" x14ac:dyDescent="0.2">
      <c r="B4671" s="352"/>
      <c r="C4671" s="352"/>
      <c r="D4671" s="352"/>
      <c r="E4671" s="352"/>
      <c r="F4671" s="352"/>
      <c r="H4671" s="352"/>
      <c r="J4671" s="352"/>
      <c r="L4671" s="352"/>
      <c r="M4671" s="352"/>
      <c r="N4671" s="352"/>
      <c r="O4671" s="352"/>
      <c r="P4671" s="352"/>
      <c r="Q4671" s="352"/>
      <c r="R4671" s="352"/>
      <c r="S4671" s="352"/>
      <c r="T4671" s="352"/>
      <c r="U4671" s="352"/>
      <c r="V4671" s="352"/>
      <c r="W4671" s="352"/>
      <c r="X4671" s="352"/>
      <c r="Y4671" s="352"/>
      <c r="Z4671" s="352"/>
      <c r="AA4671" s="352"/>
      <c r="AB4671" s="352"/>
      <c r="AC4671" s="352"/>
      <c r="AD4671" s="352"/>
      <c r="AE4671" s="352"/>
      <c r="AF4671" s="352"/>
      <c r="AG4671" s="352"/>
      <c r="AH4671" s="352"/>
      <c r="AI4671" s="352"/>
      <c r="AJ4671" s="352"/>
    </row>
    <row r="4672" spans="2:36" x14ac:dyDescent="0.2">
      <c r="B4672" s="352"/>
      <c r="C4672" s="352"/>
      <c r="D4672" s="352"/>
      <c r="E4672" s="352"/>
      <c r="F4672" s="352"/>
      <c r="H4672" s="352"/>
      <c r="J4672" s="352"/>
      <c r="L4672" s="352"/>
      <c r="M4672" s="352"/>
      <c r="N4672" s="352"/>
      <c r="O4672" s="352"/>
      <c r="P4672" s="352"/>
      <c r="Q4672" s="352"/>
      <c r="R4672" s="352"/>
      <c r="S4672" s="352"/>
      <c r="T4672" s="352"/>
      <c r="U4672" s="352"/>
      <c r="V4672" s="352"/>
      <c r="W4672" s="352"/>
      <c r="X4672" s="352"/>
      <c r="Y4672" s="352"/>
      <c r="Z4672" s="352"/>
      <c r="AA4672" s="352"/>
      <c r="AB4672" s="352"/>
      <c r="AC4672" s="352"/>
      <c r="AD4672" s="352"/>
      <c r="AE4672" s="352"/>
      <c r="AF4672" s="352"/>
      <c r="AG4672" s="352"/>
      <c r="AH4672" s="352"/>
      <c r="AI4672" s="352"/>
      <c r="AJ4672" s="352"/>
    </row>
    <row r="4673" spans="2:36" x14ac:dyDescent="0.2">
      <c r="B4673" s="352"/>
      <c r="C4673" s="352"/>
      <c r="D4673" s="352"/>
      <c r="E4673" s="352"/>
      <c r="F4673" s="352"/>
      <c r="H4673" s="352"/>
      <c r="J4673" s="352"/>
      <c r="L4673" s="352"/>
      <c r="M4673" s="352"/>
      <c r="N4673" s="352"/>
      <c r="O4673" s="352"/>
      <c r="P4673" s="352"/>
      <c r="Q4673" s="352"/>
      <c r="R4673" s="352"/>
      <c r="S4673" s="352"/>
      <c r="T4673" s="352"/>
      <c r="U4673" s="352"/>
      <c r="V4673" s="352"/>
      <c r="W4673" s="352"/>
      <c r="X4673" s="352"/>
      <c r="Y4673" s="352"/>
      <c r="Z4673" s="352"/>
      <c r="AA4673" s="352"/>
      <c r="AB4673" s="352"/>
      <c r="AC4673" s="352"/>
      <c r="AD4673" s="352"/>
      <c r="AE4673" s="352"/>
      <c r="AF4673" s="352"/>
      <c r="AG4673" s="352"/>
      <c r="AH4673" s="352"/>
      <c r="AI4673" s="352"/>
      <c r="AJ4673" s="352"/>
    </row>
    <row r="4674" spans="2:36" x14ac:dyDescent="0.2">
      <c r="B4674" s="352"/>
      <c r="C4674" s="352"/>
      <c r="D4674" s="352"/>
      <c r="E4674" s="352"/>
      <c r="F4674" s="352"/>
      <c r="H4674" s="352"/>
      <c r="J4674" s="352"/>
      <c r="L4674" s="352"/>
      <c r="M4674" s="352"/>
      <c r="N4674" s="352"/>
      <c r="O4674" s="352"/>
      <c r="P4674" s="352"/>
      <c r="Q4674" s="352"/>
      <c r="R4674" s="352"/>
      <c r="S4674" s="352"/>
      <c r="T4674" s="352"/>
      <c r="U4674" s="352"/>
      <c r="V4674" s="352"/>
      <c r="W4674" s="352"/>
      <c r="X4674" s="352"/>
      <c r="Y4674" s="352"/>
      <c r="Z4674" s="352"/>
      <c r="AA4674" s="352"/>
      <c r="AB4674" s="352"/>
      <c r="AC4674" s="352"/>
      <c r="AD4674" s="352"/>
      <c r="AE4674" s="352"/>
      <c r="AF4674" s="352"/>
      <c r="AG4674" s="352"/>
      <c r="AH4674" s="352"/>
      <c r="AI4674" s="352"/>
      <c r="AJ4674" s="352"/>
    </row>
    <row r="4675" spans="2:36" x14ac:dyDescent="0.2">
      <c r="B4675" s="352"/>
      <c r="C4675" s="352"/>
      <c r="D4675" s="352"/>
      <c r="E4675" s="352"/>
      <c r="F4675" s="352"/>
      <c r="H4675" s="352"/>
      <c r="J4675" s="352"/>
      <c r="L4675" s="352"/>
      <c r="M4675" s="352"/>
      <c r="N4675" s="352"/>
      <c r="O4675" s="352"/>
      <c r="P4675" s="352"/>
      <c r="Q4675" s="352"/>
      <c r="R4675" s="352"/>
      <c r="S4675" s="352"/>
      <c r="T4675" s="352"/>
      <c r="U4675" s="352"/>
      <c r="V4675" s="352"/>
      <c r="W4675" s="352"/>
      <c r="X4675" s="352"/>
      <c r="Y4675" s="352"/>
      <c r="Z4675" s="352"/>
      <c r="AA4675" s="352"/>
      <c r="AB4675" s="352"/>
      <c r="AC4675" s="352"/>
      <c r="AD4675" s="352"/>
      <c r="AE4675" s="352"/>
      <c r="AF4675" s="352"/>
      <c r="AG4675" s="352"/>
      <c r="AH4675" s="352"/>
      <c r="AI4675" s="352"/>
      <c r="AJ4675" s="352"/>
    </row>
    <row r="4676" spans="2:36" x14ac:dyDescent="0.2">
      <c r="B4676" s="352"/>
      <c r="C4676" s="352"/>
      <c r="D4676" s="352"/>
      <c r="E4676" s="352"/>
      <c r="F4676" s="352"/>
      <c r="H4676" s="352"/>
      <c r="J4676" s="352"/>
      <c r="L4676" s="352"/>
      <c r="M4676" s="352"/>
      <c r="N4676" s="352"/>
      <c r="O4676" s="352"/>
      <c r="P4676" s="352"/>
      <c r="Q4676" s="352"/>
      <c r="R4676" s="352"/>
      <c r="S4676" s="352"/>
      <c r="T4676" s="352"/>
      <c r="U4676" s="352"/>
      <c r="V4676" s="352"/>
      <c r="W4676" s="352"/>
      <c r="X4676" s="352"/>
      <c r="Y4676" s="352"/>
      <c r="Z4676" s="352"/>
      <c r="AA4676" s="352"/>
      <c r="AB4676" s="352"/>
      <c r="AC4676" s="352"/>
      <c r="AD4676" s="352"/>
      <c r="AE4676" s="352"/>
      <c r="AF4676" s="352"/>
      <c r="AG4676" s="352"/>
      <c r="AH4676" s="352"/>
      <c r="AI4676" s="352"/>
      <c r="AJ4676" s="352"/>
    </row>
    <row r="4677" spans="2:36" x14ac:dyDescent="0.2">
      <c r="B4677" s="352"/>
      <c r="C4677" s="352"/>
      <c r="D4677" s="352"/>
      <c r="E4677" s="352"/>
      <c r="F4677" s="352"/>
      <c r="H4677" s="352"/>
      <c r="J4677" s="352"/>
      <c r="L4677" s="352"/>
      <c r="M4677" s="352"/>
      <c r="N4677" s="352"/>
      <c r="O4677" s="352"/>
      <c r="P4677" s="352"/>
      <c r="Q4677" s="352"/>
      <c r="R4677" s="352"/>
      <c r="S4677" s="352"/>
      <c r="T4677" s="352"/>
      <c r="U4677" s="352"/>
      <c r="V4677" s="352"/>
      <c r="W4677" s="352"/>
      <c r="X4677" s="352"/>
      <c r="Y4677" s="352"/>
      <c r="Z4677" s="352"/>
      <c r="AA4677" s="352"/>
      <c r="AB4677" s="352"/>
      <c r="AC4677" s="352"/>
      <c r="AD4677" s="352"/>
      <c r="AE4677" s="352"/>
      <c r="AF4677" s="352"/>
      <c r="AG4677" s="352"/>
      <c r="AH4677" s="352"/>
      <c r="AI4677" s="352"/>
      <c r="AJ4677" s="352"/>
    </row>
    <row r="4678" spans="2:36" x14ac:dyDescent="0.2">
      <c r="B4678" s="352"/>
      <c r="C4678" s="352"/>
      <c r="D4678" s="352"/>
      <c r="E4678" s="352"/>
      <c r="F4678" s="352"/>
      <c r="H4678" s="352"/>
      <c r="J4678" s="352"/>
      <c r="L4678" s="352"/>
      <c r="M4678" s="352"/>
      <c r="N4678" s="352"/>
      <c r="O4678" s="352"/>
      <c r="P4678" s="352"/>
      <c r="Q4678" s="352"/>
      <c r="R4678" s="352"/>
      <c r="S4678" s="352"/>
      <c r="T4678" s="352"/>
      <c r="U4678" s="352"/>
      <c r="V4678" s="352"/>
      <c r="W4678" s="352"/>
      <c r="X4678" s="352"/>
      <c r="Y4678" s="352"/>
      <c r="Z4678" s="352"/>
      <c r="AA4678" s="352"/>
      <c r="AB4678" s="352"/>
      <c r="AC4678" s="352"/>
      <c r="AD4678" s="352"/>
      <c r="AE4678" s="352"/>
      <c r="AF4678" s="352"/>
      <c r="AG4678" s="352"/>
      <c r="AH4678" s="352"/>
      <c r="AI4678" s="352"/>
      <c r="AJ4678" s="352"/>
    </row>
    <row r="4679" spans="2:36" x14ac:dyDescent="0.2">
      <c r="B4679" s="352"/>
      <c r="C4679" s="352"/>
      <c r="D4679" s="352"/>
      <c r="E4679" s="352"/>
      <c r="F4679" s="352"/>
      <c r="H4679" s="352"/>
      <c r="J4679" s="352"/>
      <c r="L4679" s="352"/>
      <c r="M4679" s="352"/>
      <c r="N4679" s="352"/>
      <c r="O4679" s="352"/>
      <c r="P4679" s="352"/>
      <c r="Q4679" s="352"/>
      <c r="R4679" s="352"/>
      <c r="S4679" s="352"/>
      <c r="T4679" s="352"/>
      <c r="U4679" s="352"/>
      <c r="V4679" s="352"/>
      <c r="W4679" s="352"/>
      <c r="X4679" s="352"/>
      <c r="Y4679" s="352"/>
      <c r="Z4679" s="352"/>
      <c r="AA4679" s="352"/>
      <c r="AB4679" s="352"/>
      <c r="AC4679" s="352"/>
      <c r="AD4679" s="352"/>
      <c r="AE4679" s="352"/>
      <c r="AF4679" s="352"/>
      <c r="AG4679" s="352"/>
      <c r="AH4679" s="352"/>
      <c r="AI4679" s="352"/>
      <c r="AJ4679" s="352"/>
    </row>
    <row r="4680" spans="2:36" x14ac:dyDescent="0.2">
      <c r="B4680" s="352"/>
      <c r="C4680" s="352"/>
      <c r="D4680" s="352"/>
      <c r="E4680" s="352"/>
      <c r="F4680" s="352"/>
      <c r="H4680" s="352"/>
      <c r="J4680" s="352"/>
      <c r="L4680" s="352"/>
      <c r="M4680" s="352"/>
      <c r="N4680" s="352"/>
      <c r="O4680" s="352"/>
      <c r="P4680" s="352"/>
      <c r="Q4680" s="352"/>
      <c r="R4680" s="352"/>
      <c r="S4680" s="352"/>
      <c r="T4680" s="352"/>
      <c r="U4680" s="352"/>
      <c r="V4680" s="352"/>
      <c r="W4680" s="352"/>
      <c r="X4680" s="352"/>
      <c r="Y4680" s="352"/>
      <c r="Z4680" s="352"/>
      <c r="AA4680" s="352"/>
      <c r="AB4680" s="352"/>
      <c r="AC4680" s="352"/>
      <c r="AD4680" s="352"/>
      <c r="AE4680" s="352"/>
      <c r="AF4680" s="352"/>
      <c r="AG4680" s="352"/>
      <c r="AH4680" s="352"/>
      <c r="AI4680" s="352"/>
      <c r="AJ4680" s="352"/>
    </row>
    <row r="4681" spans="2:36" x14ac:dyDescent="0.2">
      <c r="B4681" s="352"/>
      <c r="C4681" s="352"/>
      <c r="D4681" s="352"/>
      <c r="E4681" s="352"/>
      <c r="F4681" s="352"/>
      <c r="H4681" s="352"/>
      <c r="J4681" s="352"/>
      <c r="L4681" s="352"/>
      <c r="M4681" s="352"/>
      <c r="N4681" s="352"/>
      <c r="O4681" s="352"/>
      <c r="P4681" s="352"/>
      <c r="Q4681" s="352"/>
      <c r="R4681" s="352"/>
      <c r="S4681" s="352"/>
      <c r="T4681" s="352"/>
      <c r="U4681" s="352"/>
      <c r="V4681" s="352"/>
      <c r="W4681" s="352"/>
      <c r="X4681" s="352"/>
      <c r="Y4681" s="352"/>
      <c r="Z4681" s="352"/>
      <c r="AA4681" s="352"/>
      <c r="AB4681" s="352"/>
      <c r="AC4681" s="352"/>
      <c r="AD4681" s="352"/>
      <c r="AE4681" s="352"/>
      <c r="AF4681" s="352"/>
      <c r="AG4681" s="352"/>
      <c r="AH4681" s="352"/>
      <c r="AI4681" s="352"/>
      <c r="AJ4681" s="352"/>
    </row>
    <row r="4682" spans="2:36" x14ac:dyDescent="0.2">
      <c r="B4682" s="352"/>
      <c r="C4682" s="352"/>
      <c r="D4682" s="352"/>
      <c r="E4682" s="352"/>
      <c r="F4682" s="352"/>
      <c r="H4682" s="352"/>
      <c r="J4682" s="352"/>
      <c r="L4682" s="352"/>
      <c r="M4682" s="352"/>
      <c r="N4682" s="352"/>
      <c r="O4682" s="352"/>
      <c r="P4682" s="352"/>
      <c r="Q4682" s="352"/>
      <c r="R4682" s="352"/>
      <c r="S4682" s="352"/>
      <c r="T4682" s="352"/>
      <c r="U4682" s="352"/>
      <c r="V4682" s="352"/>
      <c r="W4682" s="352"/>
      <c r="X4682" s="352"/>
      <c r="Y4682" s="352"/>
      <c r="Z4682" s="352"/>
      <c r="AA4682" s="352"/>
      <c r="AB4682" s="352"/>
      <c r="AC4682" s="352"/>
      <c r="AD4682" s="352"/>
      <c r="AE4682" s="352"/>
      <c r="AF4682" s="352"/>
      <c r="AG4682" s="352"/>
      <c r="AH4682" s="352"/>
      <c r="AI4682" s="352"/>
      <c r="AJ4682" s="352"/>
    </row>
    <row r="4683" spans="2:36" x14ac:dyDescent="0.2">
      <c r="B4683" s="352"/>
      <c r="C4683" s="352"/>
      <c r="D4683" s="352"/>
      <c r="E4683" s="352"/>
      <c r="F4683" s="352"/>
      <c r="H4683" s="352"/>
      <c r="J4683" s="352"/>
      <c r="L4683" s="352"/>
      <c r="M4683" s="352"/>
      <c r="N4683" s="352"/>
      <c r="O4683" s="352"/>
      <c r="P4683" s="352"/>
      <c r="Q4683" s="352"/>
      <c r="R4683" s="352"/>
      <c r="S4683" s="352"/>
      <c r="T4683" s="352"/>
      <c r="U4683" s="352"/>
      <c r="V4683" s="352"/>
      <c r="W4683" s="352"/>
      <c r="X4683" s="352"/>
      <c r="Y4683" s="352"/>
      <c r="Z4683" s="352"/>
      <c r="AA4683" s="352"/>
      <c r="AB4683" s="352"/>
      <c r="AC4683" s="352"/>
      <c r="AD4683" s="352"/>
      <c r="AE4683" s="352"/>
      <c r="AF4683" s="352"/>
      <c r="AG4683" s="352"/>
      <c r="AH4683" s="352"/>
      <c r="AI4683" s="352"/>
      <c r="AJ4683" s="352"/>
    </row>
    <row r="4684" spans="2:36" x14ac:dyDescent="0.2">
      <c r="B4684" s="352"/>
      <c r="C4684" s="352"/>
      <c r="D4684" s="352"/>
      <c r="E4684" s="352"/>
      <c r="F4684" s="352"/>
      <c r="H4684" s="352"/>
      <c r="J4684" s="352"/>
      <c r="L4684" s="352"/>
      <c r="M4684" s="352"/>
      <c r="N4684" s="352"/>
      <c r="O4684" s="352"/>
      <c r="P4684" s="352"/>
      <c r="Q4684" s="352"/>
      <c r="R4684" s="352"/>
      <c r="S4684" s="352"/>
      <c r="T4684" s="352"/>
      <c r="U4684" s="352"/>
      <c r="V4684" s="352"/>
      <c r="W4684" s="352"/>
      <c r="X4684" s="352"/>
      <c r="Y4684" s="352"/>
      <c r="Z4684" s="352"/>
      <c r="AA4684" s="352"/>
      <c r="AB4684" s="352"/>
      <c r="AC4684" s="352"/>
      <c r="AD4684" s="352"/>
      <c r="AE4684" s="352"/>
      <c r="AF4684" s="352"/>
      <c r="AG4684" s="352"/>
      <c r="AH4684" s="352"/>
      <c r="AI4684" s="352"/>
      <c r="AJ4684" s="352"/>
    </row>
    <row r="4685" spans="2:36" x14ac:dyDescent="0.2">
      <c r="B4685" s="352"/>
      <c r="C4685" s="352"/>
      <c r="D4685" s="352"/>
      <c r="E4685" s="352"/>
      <c r="F4685" s="352"/>
      <c r="H4685" s="352"/>
      <c r="J4685" s="352"/>
      <c r="L4685" s="352"/>
      <c r="M4685" s="352"/>
      <c r="N4685" s="352"/>
      <c r="O4685" s="352"/>
      <c r="P4685" s="352"/>
      <c r="Q4685" s="352"/>
      <c r="R4685" s="352"/>
      <c r="S4685" s="352"/>
      <c r="T4685" s="352"/>
      <c r="U4685" s="352"/>
      <c r="V4685" s="352"/>
      <c r="W4685" s="352"/>
      <c r="X4685" s="352"/>
      <c r="Y4685" s="352"/>
      <c r="Z4685" s="352"/>
      <c r="AA4685" s="352"/>
      <c r="AB4685" s="352"/>
      <c r="AC4685" s="352"/>
      <c r="AD4685" s="352"/>
      <c r="AE4685" s="352"/>
      <c r="AF4685" s="352"/>
      <c r="AG4685" s="352"/>
      <c r="AH4685" s="352"/>
      <c r="AI4685" s="352"/>
      <c r="AJ4685" s="352"/>
    </row>
    <row r="4686" spans="2:36" x14ac:dyDescent="0.2">
      <c r="B4686" s="352"/>
      <c r="C4686" s="352"/>
      <c r="D4686" s="352"/>
      <c r="E4686" s="352"/>
      <c r="F4686" s="352"/>
      <c r="H4686" s="352"/>
      <c r="J4686" s="352"/>
      <c r="L4686" s="352"/>
      <c r="M4686" s="352"/>
      <c r="N4686" s="352"/>
      <c r="O4686" s="352"/>
      <c r="P4686" s="352"/>
      <c r="Q4686" s="352"/>
      <c r="R4686" s="352"/>
      <c r="S4686" s="352"/>
      <c r="T4686" s="352"/>
      <c r="U4686" s="352"/>
      <c r="V4686" s="352"/>
      <c r="W4686" s="352"/>
      <c r="X4686" s="352"/>
      <c r="Y4686" s="352"/>
      <c r="Z4686" s="352"/>
      <c r="AA4686" s="352"/>
      <c r="AB4686" s="352"/>
      <c r="AC4686" s="352"/>
      <c r="AD4686" s="352"/>
      <c r="AE4686" s="352"/>
      <c r="AF4686" s="352"/>
      <c r="AG4686" s="352"/>
      <c r="AH4686" s="352"/>
      <c r="AI4686" s="352"/>
      <c r="AJ4686" s="352"/>
    </row>
    <row r="4687" spans="2:36" x14ac:dyDescent="0.2">
      <c r="B4687" s="352"/>
      <c r="C4687" s="352"/>
      <c r="D4687" s="352"/>
      <c r="E4687" s="352"/>
      <c r="F4687" s="352"/>
      <c r="H4687" s="352"/>
      <c r="J4687" s="352"/>
      <c r="L4687" s="352"/>
      <c r="M4687" s="352"/>
      <c r="N4687" s="352"/>
      <c r="O4687" s="352"/>
      <c r="P4687" s="352"/>
      <c r="Q4687" s="352"/>
      <c r="R4687" s="352"/>
      <c r="S4687" s="352"/>
      <c r="T4687" s="352"/>
      <c r="U4687" s="352"/>
      <c r="V4687" s="352"/>
      <c r="W4687" s="352"/>
      <c r="X4687" s="352"/>
      <c r="Y4687" s="352"/>
      <c r="Z4687" s="352"/>
      <c r="AA4687" s="352"/>
      <c r="AB4687" s="352"/>
      <c r="AC4687" s="352"/>
      <c r="AD4687" s="352"/>
      <c r="AE4687" s="352"/>
      <c r="AF4687" s="352"/>
      <c r="AG4687" s="352"/>
      <c r="AH4687" s="352"/>
      <c r="AI4687" s="352"/>
      <c r="AJ4687" s="352"/>
    </row>
    <row r="4688" spans="2:36" x14ac:dyDescent="0.2">
      <c r="B4688" s="352"/>
      <c r="C4688" s="352"/>
      <c r="D4688" s="352"/>
      <c r="E4688" s="352"/>
      <c r="F4688" s="352"/>
      <c r="H4688" s="352"/>
      <c r="J4688" s="352"/>
      <c r="L4688" s="352"/>
      <c r="M4688" s="352"/>
      <c r="N4688" s="352"/>
      <c r="O4688" s="352"/>
      <c r="P4688" s="352"/>
      <c r="Q4688" s="352"/>
      <c r="R4688" s="352"/>
      <c r="S4688" s="352"/>
      <c r="T4688" s="352"/>
      <c r="U4688" s="352"/>
      <c r="V4688" s="352"/>
      <c r="W4688" s="352"/>
      <c r="X4688" s="352"/>
      <c r="Y4688" s="352"/>
      <c r="Z4688" s="352"/>
      <c r="AA4688" s="352"/>
      <c r="AB4688" s="352"/>
      <c r="AC4688" s="352"/>
      <c r="AD4688" s="352"/>
      <c r="AE4688" s="352"/>
      <c r="AF4688" s="352"/>
      <c r="AG4688" s="352"/>
      <c r="AH4688" s="352"/>
      <c r="AI4688" s="352"/>
      <c r="AJ4688" s="352"/>
    </row>
    <row r="4689" spans="2:36" x14ac:dyDescent="0.2">
      <c r="B4689" s="352"/>
      <c r="C4689" s="352"/>
      <c r="D4689" s="352"/>
      <c r="E4689" s="352"/>
      <c r="F4689" s="352"/>
      <c r="H4689" s="352"/>
      <c r="J4689" s="352"/>
      <c r="L4689" s="352"/>
      <c r="M4689" s="352"/>
      <c r="N4689" s="352"/>
      <c r="O4689" s="352"/>
      <c r="P4689" s="352"/>
      <c r="Q4689" s="352"/>
      <c r="R4689" s="352"/>
      <c r="S4689" s="352"/>
      <c r="T4689" s="352"/>
      <c r="U4689" s="352"/>
      <c r="V4689" s="352"/>
      <c r="W4689" s="352"/>
      <c r="X4689" s="352"/>
      <c r="Y4689" s="352"/>
      <c r="Z4689" s="352"/>
      <c r="AA4689" s="352"/>
      <c r="AB4689" s="352"/>
      <c r="AC4689" s="352"/>
      <c r="AD4689" s="352"/>
      <c r="AE4689" s="352"/>
      <c r="AF4689" s="352"/>
      <c r="AG4689" s="352"/>
      <c r="AH4689" s="352"/>
      <c r="AI4689" s="352"/>
      <c r="AJ4689" s="352"/>
    </row>
    <row r="4690" spans="2:36" x14ac:dyDescent="0.2">
      <c r="B4690" s="352"/>
      <c r="C4690" s="352"/>
      <c r="D4690" s="352"/>
      <c r="E4690" s="352"/>
      <c r="F4690" s="352"/>
      <c r="H4690" s="352"/>
      <c r="J4690" s="352"/>
      <c r="L4690" s="352"/>
      <c r="M4690" s="352"/>
      <c r="N4690" s="352"/>
      <c r="O4690" s="352"/>
      <c r="P4690" s="352"/>
      <c r="Q4690" s="352"/>
      <c r="R4690" s="352"/>
      <c r="S4690" s="352"/>
      <c r="T4690" s="352"/>
      <c r="U4690" s="352"/>
      <c r="V4690" s="352"/>
      <c r="W4690" s="352"/>
      <c r="X4690" s="352"/>
      <c r="Y4690" s="352"/>
      <c r="Z4690" s="352"/>
      <c r="AA4690" s="352"/>
      <c r="AB4690" s="352"/>
      <c r="AC4690" s="352"/>
      <c r="AD4690" s="352"/>
      <c r="AE4690" s="352"/>
      <c r="AF4690" s="352"/>
      <c r="AG4690" s="352"/>
      <c r="AH4690" s="352"/>
      <c r="AI4690" s="352"/>
      <c r="AJ4690" s="352"/>
    </row>
    <row r="4691" spans="2:36" x14ac:dyDescent="0.2">
      <c r="B4691" s="352"/>
      <c r="C4691" s="352"/>
      <c r="D4691" s="352"/>
      <c r="E4691" s="352"/>
      <c r="F4691" s="352"/>
      <c r="H4691" s="352"/>
      <c r="J4691" s="352"/>
      <c r="L4691" s="352"/>
      <c r="M4691" s="352"/>
      <c r="N4691" s="352"/>
      <c r="O4691" s="352"/>
      <c r="P4691" s="352"/>
      <c r="Q4691" s="352"/>
      <c r="R4691" s="352"/>
      <c r="S4691" s="352"/>
      <c r="T4691" s="352"/>
      <c r="U4691" s="352"/>
      <c r="V4691" s="352"/>
      <c r="W4691" s="352"/>
      <c r="X4691" s="352"/>
      <c r="Y4691" s="352"/>
      <c r="Z4691" s="352"/>
      <c r="AA4691" s="352"/>
      <c r="AB4691" s="352"/>
      <c r="AC4691" s="352"/>
      <c r="AD4691" s="352"/>
      <c r="AE4691" s="352"/>
      <c r="AF4691" s="352"/>
      <c r="AG4691" s="352"/>
      <c r="AH4691" s="352"/>
      <c r="AI4691" s="352"/>
      <c r="AJ4691" s="352"/>
    </row>
    <row r="4692" spans="2:36" x14ac:dyDescent="0.2">
      <c r="B4692" s="352"/>
      <c r="C4692" s="352"/>
      <c r="D4692" s="352"/>
      <c r="E4692" s="352"/>
      <c r="F4692" s="352"/>
      <c r="H4692" s="352"/>
      <c r="J4692" s="352"/>
      <c r="L4692" s="352"/>
      <c r="M4692" s="352"/>
      <c r="N4692" s="352"/>
      <c r="O4692" s="352"/>
      <c r="P4692" s="352"/>
      <c r="Q4692" s="352"/>
      <c r="R4692" s="352"/>
      <c r="S4692" s="352"/>
      <c r="T4692" s="352"/>
      <c r="U4692" s="352"/>
      <c r="V4692" s="352"/>
      <c r="W4692" s="352"/>
      <c r="X4692" s="352"/>
      <c r="Y4692" s="352"/>
      <c r="Z4692" s="352"/>
      <c r="AA4692" s="352"/>
      <c r="AB4692" s="352"/>
      <c r="AC4692" s="352"/>
      <c r="AD4692" s="352"/>
      <c r="AE4692" s="352"/>
      <c r="AF4692" s="352"/>
      <c r="AG4692" s="352"/>
      <c r="AH4692" s="352"/>
      <c r="AI4692" s="352"/>
      <c r="AJ4692" s="352"/>
    </row>
    <row r="4693" spans="2:36" x14ac:dyDescent="0.2">
      <c r="B4693" s="352"/>
      <c r="C4693" s="352"/>
      <c r="D4693" s="352"/>
      <c r="E4693" s="352"/>
      <c r="F4693" s="352"/>
      <c r="H4693" s="352"/>
      <c r="J4693" s="352"/>
      <c r="L4693" s="352"/>
      <c r="M4693" s="352"/>
      <c r="N4693" s="352"/>
      <c r="O4693" s="352"/>
      <c r="P4693" s="352"/>
      <c r="Q4693" s="352"/>
      <c r="R4693" s="352"/>
      <c r="S4693" s="352"/>
      <c r="T4693" s="352"/>
      <c r="U4693" s="352"/>
      <c r="V4693" s="352"/>
      <c r="W4693" s="352"/>
      <c r="X4693" s="352"/>
      <c r="Y4693" s="352"/>
      <c r="Z4693" s="352"/>
      <c r="AA4693" s="352"/>
      <c r="AB4693" s="352"/>
      <c r="AC4693" s="352"/>
      <c r="AD4693" s="352"/>
      <c r="AE4693" s="352"/>
      <c r="AF4693" s="352"/>
      <c r="AG4693" s="352"/>
      <c r="AH4693" s="352"/>
      <c r="AI4693" s="352"/>
      <c r="AJ4693" s="352"/>
    </row>
    <row r="4694" spans="2:36" x14ac:dyDescent="0.2">
      <c r="B4694" s="352"/>
      <c r="C4694" s="352"/>
      <c r="D4694" s="352"/>
      <c r="E4694" s="352"/>
      <c r="F4694" s="352"/>
      <c r="H4694" s="352"/>
      <c r="J4694" s="352"/>
      <c r="L4694" s="352"/>
      <c r="M4694" s="352"/>
      <c r="N4694" s="352"/>
      <c r="O4694" s="352"/>
      <c r="P4694" s="352"/>
      <c r="Q4694" s="352"/>
      <c r="R4694" s="352"/>
      <c r="S4694" s="352"/>
      <c r="T4694" s="352"/>
      <c r="U4694" s="352"/>
      <c r="V4694" s="352"/>
      <c r="W4694" s="352"/>
      <c r="X4694" s="352"/>
      <c r="Y4694" s="352"/>
      <c r="Z4694" s="352"/>
      <c r="AA4694" s="352"/>
      <c r="AB4694" s="352"/>
      <c r="AC4694" s="352"/>
      <c r="AD4694" s="352"/>
      <c r="AE4694" s="352"/>
      <c r="AF4694" s="352"/>
      <c r="AG4694" s="352"/>
      <c r="AH4694" s="352"/>
      <c r="AI4694" s="352"/>
      <c r="AJ4694" s="352"/>
    </row>
    <row r="4695" spans="2:36" x14ac:dyDescent="0.2">
      <c r="B4695" s="352"/>
      <c r="C4695" s="352"/>
      <c r="D4695" s="352"/>
      <c r="E4695" s="352"/>
      <c r="F4695" s="352"/>
      <c r="H4695" s="352"/>
      <c r="J4695" s="352"/>
      <c r="L4695" s="352"/>
      <c r="M4695" s="352"/>
      <c r="N4695" s="352"/>
      <c r="O4695" s="352"/>
      <c r="P4695" s="352"/>
      <c r="Q4695" s="352"/>
      <c r="R4695" s="352"/>
      <c r="S4695" s="352"/>
      <c r="T4695" s="352"/>
      <c r="U4695" s="352"/>
      <c r="V4695" s="352"/>
      <c r="W4695" s="352"/>
      <c r="X4695" s="352"/>
      <c r="Y4695" s="352"/>
      <c r="Z4695" s="352"/>
      <c r="AA4695" s="352"/>
      <c r="AB4695" s="352"/>
      <c r="AC4695" s="352"/>
      <c r="AD4695" s="352"/>
      <c r="AE4695" s="352"/>
      <c r="AF4695" s="352"/>
      <c r="AG4695" s="352"/>
      <c r="AH4695" s="352"/>
      <c r="AI4695" s="352"/>
      <c r="AJ4695" s="352"/>
    </row>
    <row r="4696" spans="2:36" x14ac:dyDescent="0.2">
      <c r="B4696" s="352"/>
      <c r="C4696" s="352"/>
      <c r="D4696" s="352"/>
      <c r="E4696" s="352"/>
      <c r="F4696" s="352"/>
      <c r="H4696" s="352"/>
      <c r="J4696" s="352"/>
      <c r="L4696" s="352"/>
      <c r="M4696" s="352"/>
      <c r="N4696" s="352"/>
      <c r="O4696" s="352"/>
      <c r="P4696" s="352"/>
      <c r="Q4696" s="352"/>
      <c r="R4696" s="352"/>
      <c r="S4696" s="352"/>
      <c r="T4696" s="352"/>
      <c r="U4696" s="352"/>
      <c r="V4696" s="352"/>
      <c r="W4696" s="352"/>
      <c r="X4696" s="352"/>
      <c r="Y4696" s="352"/>
      <c r="Z4696" s="352"/>
      <c r="AA4696" s="352"/>
      <c r="AB4696" s="352"/>
      <c r="AC4696" s="352"/>
      <c r="AD4696" s="352"/>
      <c r="AE4696" s="352"/>
      <c r="AF4696" s="352"/>
      <c r="AG4696" s="352"/>
      <c r="AH4696" s="352"/>
      <c r="AI4696" s="352"/>
      <c r="AJ4696" s="352"/>
    </row>
    <row r="4697" spans="2:36" x14ac:dyDescent="0.2">
      <c r="B4697" s="352"/>
      <c r="C4697" s="352"/>
      <c r="D4697" s="352"/>
      <c r="E4697" s="352"/>
      <c r="F4697" s="352"/>
      <c r="H4697" s="352"/>
      <c r="J4697" s="352"/>
      <c r="L4697" s="352"/>
      <c r="M4697" s="352"/>
      <c r="N4697" s="352"/>
      <c r="O4697" s="352"/>
      <c r="P4697" s="352"/>
      <c r="Q4697" s="352"/>
      <c r="R4697" s="352"/>
      <c r="S4697" s="352"/>
      <c r="T4697" s="352"/>
      <c r="U4697" s="352"/>
      <c r="V4697" s="352"/>
      <c r="W4697" s="352"/>
      <c r="X4697" s="352"/>
      <c r="Y4697" s="352"/>
      <c r="Z4697" s="352"/>
      <c r="AA4697" s="352"/>
      <c r="AB4697" s="352"/>
      <c r="AC4697" s="352"/>
      <c r="AD4697" s="352"/>
      <c r="AE4697" s="352"/>
      <c r="AF4697" s="352"/>
      <c r="AG4697" s="352"/>
      <c r="AH4697" s="352"/>
      <c r="AI4697" s="352"/>
      <c r="AJ4697" s="352"/>
    </row>
    <row r="4698" spans="2:36" x14ac:dyDescent="0.2">
      <c r="B4698" s="352"/>
      <c r="C4698" s="352"/>
      <c r="D4698" s="352"/>
      <c r="E4698" s="352"/>
      <c r="F4698" s="352"/>
      <c r="H4698" s="352"/>
      <c r="J4698" s="352"/>
      <c r="L4698" s="352"/>
      <c r="M4698" s="352"/>
      <c r="N4698" s="352"/>
      <c r="O4698" s="352"/>
      <c r="P4698" s="352"/>
      <c r="Q4698" s="352"/>
      <c r="R4698" s="352"/>
      <c r="S4698" s="352"/>
      <c r="T4698" s="352"/>
      <c r="U4698" s="352"/>
      <c r="V4698" s="352"/>
      <c r="W4698" s="352"/>
      <c r="X4698" s="352"/>
      <c r="Y4698" s="352"/>
      <c r="Z4698" s="352"/>
      <c r="AA4698" s="352"/>
      <c r="AB4698" s="352"/>
      <c r="AC4698" s="352"/>
      <c r="AD4698" s="352"/>
      <c r="AE4698" s="352"/>
      <c r="AF4698" s="352"/>
      <c r="AG4698" s="352"/>
      <c r="AH4698" s="352"/>
      <c r="AI4698" s="352"/>
      <c r="AJ4698" s="352"/>
    </row>
    <row r="4699" spans="2:36" x14ac:dyDescent="0.2">
      <c r="B4699" s="352"/>
      <c r="C4699" s="352"/>
      <c r="D4699" s="352"/>
      <c r="E4699" s="352"/>
      <c r="F4699" s="352"/>
      <c r="H4699" s="352"/>
      <c r="J4699" s="352"/>
      <c r="L4699" s="352"/>
      <c r="M4699" s="352"/>
      <c r="N4699" s="352"/>
      <c r="O4699" s="352"/>
      <c r="P4699" s="352"/>
      <c r="Q4699" s="352"/>
      <c r="R4699" s="352"/>
      <c r="S4699" s="352"/>
      <c r="T4699" s="352"/>
      <c r="U4699" s="352"/>
      <c r="V4699" s="352"/>
      <c r="W4699" s="352"/>
      <c r="X4699" s="352"/>
      <c r="Y4699" s="352"/>
      <c r="Z4699" s="352"/>
      <c r="AA4699" s="352"/>
      <c r="AB4699" s="352"/>
      <c r="AC4699" s="352"/>
      <c r="AD4699" s="352"/>
      <c r="AE4699" s="352"/>
      <c r="AF4699" s="352"/>
      <c r="AG4699" s="352"/>
      <c r="AH4699" s="352"/>
      <c r="AI4699" s="352"/>
      <c r="AJ4699" s="352"/>
    </row>
    <row r="4700" spans="2:36" x14ac:dyDescent="0.2">
      <c r="B4700" s="352"/>
      <c r="C4700" s="352"/>
      <c r="D4700" s="352"/>
      <c r="E4700" s="352"/>
      <c r="F4700" s="352"/>
      <c r="H4700" s="352"/>
      <c r="J4700" s="352"/>
      <c r="L4700" s="352"/>
      <c r="M4700" s="352"/>
      <c r="N4700" s="352"/>
      <c r="O4700" s="352"/>
      <c r="P4700" s="352"/>
      <c r="Q4700" s="352"/>
      <c r="R4700" s="352"/>
      <c r="S4700" s="352"/>
      <c r="T4700" s="352"/>
      <c r="U4700" s="352"/>
      <c r="V4700" s="352"/>
      <c r="W4700" s="352"/>
      <c r="X4700" s="352"/>
      <c r="Y4700" s="352"/>
      <c r="Z4700" s="352"/>
      <c r="AA4700" s="352"/>
      <c r="AB4700" s="352"/>
      <c r="AC4700" s="352"/>
      <c r="AD4700" s="352"/>
      <c r="AE4700" s="352"/>
      <c r="AF4700" s="352"/>
      <c r="AG4700" s="352"/>
      <c r="AH4700" s="352"/>
      <c r="AI4700" s="352"/>
      <c r="AJ4700" s="352"/>
    </row>
    <row r="4701" spans="2:36" x14ac:dyDescent="0.2">
      <c r="B4701" s="352"/>
      <c r="C4701" s="352"/>
      <c r="D4701" s="352"/>
      <c r="E4701" s="352"/>
      <c r="F4701" s="352"/>
      <c r="H4701" s="352"/>
      <c r="J4701" s="352"/>
      <c r="L4701" s="352"/>
      <c r="M4701" s="352"/>
      <c r="N4701" s="352"/>
      <c r="O4701" s="352"/>
      <c r="P4701" s="352"/>
      <c r="Q4701" s="352"/>
      <c r="R4701" s="352"/>
      <c r="S4701" s="352"/>
      <c r="T4701" s="352"/>
      <c r="U4701" s="352"/>
      <c r="V4701" s="352"/>
      <c r="W4701" s="352"/>
      <c r="X4701" s="352"/>
      <c r="Y4701" s="352"/>
      <c r="Z4701" s="352"/>
      <c r="AA4701" s="352"/>
      <c r="AB4701" s="352"/>
      <c r="AC4701" s="352"/>
      <c r="AD4701" s="352"/>
      <c r="AE4701" s="352"/>
      <c r="AF4701" s="352"/>
      <c r="AG4701" s="352"/>
      <c r="AH4701" s="352"/>
      <c r="AI4701" s="352"/>
      <c r="AJ4701" s="352"/>
    </row>
    <row r="4702" spans="2:36" x14ac:dyDescent="0.2">
      <c r="B4702" s="352"/>
      <c r="C4702" s="352"/>
      <c r="D4702" s="352"/>
      <c r="E4702" s="352"/>
      <c r="F4702" s="352"/>
      <c r="H4702" s="352"/>
      <c r="J4702" s="352"/>
      <c r="L4702" s="352"/>
      <c r="M4702" s="352"/>
      <c r="N4702" s="352"/>
      <c r="O4702" s="352"/>
      <c r="P4702" s="352"/>
      <c r="Q4702" s="352"/>
      <c r="R4702" s="352"/>
      <c r="S4702" s="352"/>
      <c r="T4702" s="352"/>
      <c r="U4702" s="352"/>
      <c r="V4702" s="352"/>
      <c r="W4702" s="352"/>
      <c r="X4702" s="352"/>
      <c r="Y4702" s="352"/>
      <c r="Z4702" s="352"/>
      <c r="AA4702" s="352"/>
      <c r="AB4702" s="352"/>
      <c r="AC4702" s="352"/>
      <c r="AD4702" s="352"/>
      <c r="AE4702" s="352"/>
      <c r="AF4702" s="352"/>
      <c r="AG4702" s="352"/>
      <c r="AH4702" s="352"/>
      <c r="AI4702" s="352"/>
      <c r="AJ4702" s="352"/>
    </row>
    <row r="4703" spans="2:36" x14ac:dyDescent="0.2">
      <c r="B4703" s="352"/>
      <c r="C4703" s="352"/>
      <c r="D4703" s="352"/>
      <c r="E4703" s="352"/>
      <c r="F4703" s="352"/>
      <c r="H4703" s="352"/>
      <c r="J4703" s="352"/>
      <c r="L4703" s="352"/>
      <c r="M4703" s="352"/>
      <c r="N4703" s="352"/>
      <c r="O4703" s="352"/>
      <c r="P4703" s="352"/>
      <c r="Q4703" s="352"/>
      <c r="R4703" s="352"/>
      <c r="S4703" s="352"/>
      <c r="T4703" s="352"/>
      <c r="U4703" s="352"/>
      <c r="V4703" s="352"/>
      <c r="W4703" s="352"/>
      <c r="X4703" s="352"/>
      <c r="Y4703" s="352"/>
      <c r="Z4703" s="352"/>
      <c r="AA4703" s="352"/>
      <c r="AB4703" s="352"/>
      <c r="AC4703" s="352"/>
      <c r="AD4703" s="352"/>
      <c r="AE4703" s="352"/>
      <c r="AF4703" s="352"/>
      <c r="AG4703" s="352"/>
      <c r="AH4703" s="352"/>
      <c r="AI4703" s="352"/>
      <c r="AJ4703" s="352"/>
    </row>
    <row r="4704" spans="2:36" x14ac:dyDescent="0.2">
      <c r="B4704" s="352"/>
      <c r="C4704" s="352"/>
      <c r="D4704" s="352"/>
      <c r="E4704" s="352"/>
      <c r="F4704" s="352"/>
      <c r="H4704" s="352"/>
      <c r="J4704" s="352"/>
      <c r="L4704" s="352"/>
      <c r="M4704" s="352"/>
      <c r="N4704" s="352"/>
      <c r="O4704" s="352"/>
      <c r="P4704" s="352"/>
      <c r="Q4704" s="352"/>
      <c r="R4704" s="352"/>
      <c r="S4704" s="352"/>
      <c r="T4704" s="352"/>
      <c r="U4704" s="352"/>
      <c r="V4704" s="352"/>
      <c r="W4704" s="352"/>
      <c r="X4704" s="352"/>
      <c r="Y4704" s="352"/>
      <c r="Z4704" s="352"/>
      <c r="AA4704" s="352"/>
      <c r="AB4704" s="352"/>
      <c r="AC4704" s="352"/>
      <c r="AD4704" s="352"/>
      <c r="AE4704" s="352"/>
      <c r="AF4704" s="352"/>
      <c r="AG4704" s="352"/>
      <c r="AH4704" s="352"/>
      <c r="AI4704" s="352"/>
      <c r="AJ4704" s="352"/>
    </row>
    <row r="4705" spans="2:36" x14ac:dyDescent="0.2">
      <c r="B4705" s="352"/>
      <c r="C4705" s="352"/>
      <c r="D4705" s="352"/>
      <c r="E4705" s="352"/>
      <c r="F4705" s="352"/>
      <c r="H4705" s="352"/>
      <c r="J4705" s="352"/>
      <c r="L4705" s="352"/>
      <c r="M4705" s="352"/>
      <c r="N4705" s="352"/>
      <c r="O4705" s="352"/>
      <c r="P4705" s="352"/>
      <c r="Q4705" s="352"/>
      <c r="R4705" s="352"/>
      <c r="S4705" s="352"/>
      <c r="T4705" s="352"/>
      <c r="U4705" s="352"/>
      <c r="V4705" s="352"/>
      <c r="W4705" s="352"/>
      <c r="X4705" s="352"/>
      <c r="Y4705" s="352"/>
      <c r="Z4705" s="352"/>
      <c r="AA4705" s="352"/>
      <c r="AB4705" s="352"/>
      <c r="AC4705" s="352"/>
      <c r="AD4705" s="352"/>
      <c r="AE4705" s="352"/>
      <c r="AF4705" s="352"/>
      <c r="AG4705" s="352"/>
      <c r="AH4705" s="352"/>
      <c r="AI4705" s="352"/>
      <c r="AJ4705" s="352"/>
    </row>
    <row r="4706" spans="2:36" x14ac:dyDescent="0.2">
      <c r="B4706" s="352"/>
      <c r="C4706" s="352"/>
      <c r="D4706" s="352"/>
      <c r="E4706" s="352"/>
      <c r="F4706" s="352"/>
      <c r="H4706" s="352"/>
      <c r="J4706" s="352"/>
      <c r="L4706" s="352"/>
      <c r="M4706" s="352"/>
      <c r="N4706" s="352"/>
      <c r="O4706" s="352"/>
      <c r="P4706" s="352"/>
      <c r="Q4706" s="352"/>
      <c r="R4706" s="352"/>
      <c r="S4706" s="352"/>
      <c r="T4706" s="352"/>
      <c r="U4706" s="352"/>
      <c r="V4706" s="352"/>
      <c r="W4706" s="352"/>
      <c r="X4706" s="352"/>
      <c r="Y4706" s="352"/>
      <c r="Z4706" s="352"/>
      <c r="AA4706" s="352"/>
      <c r="AB4706" s="352"/>
      <c r="AC4706" s="352"/>
      <c r="AD4706" s="352"/>
      <c r="AE4706" s="352"/>
      <c r="AF4706" s="352"/>
      <c r="AG4706" s="352"/>
      <c r="AH4706" s="352"/>
      <c r="AI4706" s="352"/>
      <c r="AJ4706" s="352"/>
    </row>
    <row r="4707" spans="2:36" x14ac:dyDescent="0.2">
      <c r="B4707" s="352"/>
      <c r="C4707" s="352"/>
      <c r="D4707" s="352"/>
      <c r="E4707" s="352"/>
      <c r="F4707" s="352"/>
      <c r="H4707" s="352"/>
      <c r="J4707" s="352"/>
      <c r="L4707" s="352"/>
      <c r="M4707" s="352"/>
      <c r="N4707" s="352"/>
      <c r="O4707" s="352"/>
      <c r="P4707" s="352"/>
      <c r="Q4707" s="352"/>
      <c r="R4707" s="352"/>
      <c r="S4707" s="352"/>
      <c r="T4707" s="352"/>
      <c r="U4707" s="352"/>
      <c r="V4707" s="352"/>
      <c r="W4707" s="352"/>
      <c r="X4707" s="352"/>
      <c r="Y4707" s="352"/>
      <c r="Z4707" s="352"/>
      <c r="AA4707" s="352"/>
      <c r="AB4707" s="352"/>
      <c r="AC4707" s="352"/>
      <c r="AD4707" s="352"/>
      <c r="AE4707" s="352"/>
      <c r="AF4707" s="352"/>
      <c r="AG4707" s="352"/>
      <c r="AH4707" s="352"/>
      <c r="AI4707" s="352"/>
      <c r="AJ4707" s="352"/>
    </row>
    <row r="4708" spans="2:36" x14ac:dyDescent="0.2">
      <c r="B4708" s="352"/>
      <c r="C4708" s="352"/>
      <c r="D4708" s="352"/>
      <c r="E4708" s="352"/>
      <c r="F4708" s="352"/>
      <c r="H4708" s="352"/>
      <c r="J4708" s="352"/>
      <c r="L4708" s="352"/>
      <c r="M4708" s="352"/>
      <c r="N4708" s="352"/>
      <c r="O4708" s="352"/>
      <c r="P4708" s="352"/>
      <c r="Q4708" s="352"/>
      <c r="R4708" s="352"/>
      <c r="S4708" s="352"/>
      <c r="T4708" s="352"/>
      <c r="U4708" s="352"/>
      <c r="V4708" s="352"/>
      <c r="W4708" s="352"/>
      <c r="X4708" s="352"/>
      <c r="Y4708" s="352"/>
      <c r="Z4708" s="352"/>
      <c r="AA4708" s="352"/>
      <c r="AB4708" s="352"/>
      <c r="AC4708" s="352"/>
      <c r="AD4708" s="352"/>
      <c r="AE4708" s="352"/>
      <c r="AF4708" s="352"/>
      <c r="AG4708" s="352"/>
      <c r="AH4708" s="352"/>
      <c r="AI4708" s="352"/>
      <c r="AJ4708" s="352"/>
    </row>
    <row r="4709" spans="2:36" x14ac:dyDescent="0.2">
      <c r="B4709" s="352"/>
      <c r="C4709" s="352"/>
      <c r="D4709" s="352"/>
      <c r="E4709" s="352"/>
      <c r="F4709" s="352"/>
      <c r="H4709" s="352"/>
      <c r="J4709" s="352"/>
      <c r="L4709" s="352"/>
      <c r="M4709" s="352"/>
      <c r="N4709" s="352"/>
      <c r="O4709" s="352"/>
      <c r="P4709" s="352"/>
      <c r="Q4709" s="352"/>
      <c r="R4709" s="352"/>
      <c r="S4709" s="352"/>
      <c r="T4709" s="352"/>
      <c r="U4709" s="352"/>
      <c r="V4709" s="352"/>
      <c r="W4709" s="352"/>
      <c r="X4709" s="352"/>
      <c r="Y4709" s="352"/>
      <c r="Z4709" s="352"/>
      <c r="AA4709" s="352"/>
      <c r="AB4709" s="352"/>
      <c r="AC4709" s="352"/>
      <c r="AD4709" s="352"/>
      <c r="AE4709" s="352"/>
      <c r="AF4709" s="352"/>
      <c r="AG4709" s="352"/>
      <c r="AH4709" s="352"/>
      <c r="AI4709" s="352"/>
      <c r="AJ4709" s="352"/>
    </row>
    <row r="4710" spans="2:36" x14ac:dyDescent="0.2">
      <c r="B4710" s="352"/>
      <c r="C4710" s="352"/>
      <c r="D4710" s="352"/>
      <c r="E4710" s="352"/>
      <c r="F4710" s="352"/>
      <c r="H4710" s="352"/>
      <c r="J4710" s="352"/>
      <c r="L4710" s="352"/>
      <c r="M4710" s="352"/>
      <c r="N4710" s="352"/>
      <c r="O4710" s="352"/>
      <c r="P4710" s="352"/>
      <c r="Q4710" s="352"/>
      <c r="R4710" s="352"/>
      <c r="S4710" s="352"/>
      <c r="T4710" s="352"/>
      <c r="U4710" s="352"/>
      <c r="V4710" s="352"/>
      <c r="W4710" s="352"/>
      <c r="X4710" s="352"/>
      <c r="Y4710" s="352"/>
      <c r="Z4710" s="352"/>
      <c r="AA4710" s="352"/>
      <c r="AB4710" s="352"/>
      <c r="AC4710" s="352"/>
      <c r="AD4710" s="352"/>
      <c r="AE4710" s="352"/>
      <c r="AF4710" s="352"/>
      <c r="AG4710" s="352"/>
      <c r="AH4710" s="352"/>
      <c r="AI4710" s="352"/>
      <c r="AJ4710" s="352"/>
    </row>
    <row r="4711" spans="2:36" x14ac:dyDescent="0.2">
      <c r="B4711" s="352"/>
      <c r="C4711" s="352"/>
      <c r="D4711" s="352"/>
      <c r="E4711" s="352"/>
      <c r="F4711" s="352"/>
      <c r="H4711" s="352"/>
      <c r="J4711" s="352"/>
      <c r="L4711" s="352"/>
      <c r="M4711" s="352"/>
      <c r="N4711" s="352"/>
      <c r="O4711" s="352"/>
      <c r="P4711" s="352"/>
      <c r="Q4711" s="352"/>
      <c r="R4711" s="352"/>
      <c r="S4711" s="352"/>
      <c r="T4711" s="352"/>
      <c r="U4711" s="352"/>
      <c r="V4711" s="352"/>
      <c r="W4711" s="352"/>
      <c r="X4711" s="352"/>
      <c r="Y4711" s="352"/>
      <c r="Z4711" s="352"/>
      <c r="AA4711" s="352"/>
      <c r="AB4711" s="352"/>
      <c r="AC4711" s="352"/>
      <c r="AD4711" s="352"/>
      <c r="AE4711" s="352"/>
      <c r="AF4711" s="352"/>
      <c r="AG4711" s="352"/>
      <c r="AH4711" s="352"/>
      <c r="AI4711" s="352"/>
      <c r="AJ4711" s="352"/>
    </row>
    <row r="4712" spans="2:36" x14ac:dyDescent="0.2">
      <c r="B4712" s="352"/>
      <c r="C4712" s="352"/>
      <c r="D4712" s="352"/>
      <c r="E4712" s="352"/>
      <c r="F4712" s="352"/>
      <c r="H4712" s="352"/>
      <c r="J4712" s="352"/>
      <c r="L4712" s="352"/>
      <c r="M4712" s="352"/>
      <c r="N4712" s="352"/>
      <c r="O4712" s="352"/>
      <c r="P4712" s="352"/>
      <c r="Q4712" s="352"/>
      <c r="R4712" s="352"/>
      <c r="S4712" s="352"/>
      <c r="T4712" s="352"/>
      <c r="U4712" s="352"/>
      <c r="V4712" s="352"/>
      <c r="W4712" s="352"/>
      <c r="X4712" s="352"/>
      <c r="Y4712" s="352"/>
      <c r="Z4712" s="352"/>
      <c r="AA4712" s="352"/>
      <c r="AB4712" s="352"/>
      <c r="AC4712" s="352"/>
      <c r="AD4712" s="352"/>
      <c r="AE4712" s="352"/>
      <c r="AF4712" s="352"/>
      <c r="AG4712" s="352"/>
      <c r="AH4712" s="352"/>
      <c r="AI4712" s="352"/>
      <c r="AJ4712" s="352"/>
    </row>
    <row r="4713" spans="2:36" x14ac:dyDescent="0.2">
      <c r="B4713" s="352"/>
      <c r="C4713" s="352"/>
      <c r="D4713" s="352"/>
      <c r="E4713" s="352"/>
      <c r="F4713" s="352"/>
      <c r="H4713" s="352"/>
      <c r="J4713" s="352"/>
      <c r="L4713" s="352"/>
      <c r="M4713" s="352"/>
      <c r="N4713" s="352"/>
      <c r="O4713" s="352"/>
      <c r="P4713" s="352"/>
      <c r="Q4713" s="352"/>
      <c r="R4713" s="352"/>
      <c r="S4713" s="352"/>
      <c r="T4713" s="352"/>
      <c r="U4713" s="352"/>
      <c r="V4713" s="352"/>
      <c r="W4713" s="352"/>
      <c r="X4713" s="352"/>
      <c r="Y4713" s="352"/>
      <c r="Z4713" s="352"/>
      <c r="AA4713" s="352"/>
      <c r="AB4713" s="352"/>
      <c r="AC4713" s="352"/>
      <c r="AD4713" s="352"/>
      <c r="AE4713" s="352"/>
      <c r="AF4713" s="352"/>
      <c r="AG4713" s="352"/>
      <c r="AH4713" s="352"/>
      <c r="AI4713" s="352"/>
      <c r="AJ4713" s="352"/>
    </row>
    <row r="4714" spans="2:36" x14ac:dyDescent="0.2">
      <c r="B4714" s="352"/>
      <c r="C4714" s="352"/>
      <c r="D4714" s="352"/>
      <c r="E4714" s="352"/>
      <c r="F4714" s="352"/>
      <c r="H4714" s="352"/>
      <c r="J4714" s="352"/>
      <c r="L4714" s="352"/>
      <c r="M4714" s="352"/>
      <c r="N4714" s="352"/>
      <c r="O4714" s="352"/>
      <c r="P4714" s="352"/>
      <c r="Q4714" s="352"/>
      <c r="R4714" s="352"/>
      <c r="S4714" s="352"/>
      <c r="T4714" s="352"/>
      <c r="U4714" s="352"/>
      <c r="V4714" s="352"/>
      <c r="W4714" s="352"/>
      <c r="X4714" s="352"/>
      <c r="Y4714" s="352"/>
      <c r="Z4714" s="352"/>
      <c r="AA4714" s="352"/>
      <c r="AB4714" s="352"/>
      <c r="AC4714" s="352"/>
      <c r="AD4714" s="352"/>
      <c r="AE4714" s="352"/>
      <c r="AF4714" s="352"/>
      <c r="AG4714" s="352"/>
      <c r="AH4714" s="352"/>
      <c r="AI4714" s="352"/>
      <c r="AJ4714" s="352"/>
    </row>
    <row r="4715" spans="2:36" x14ac:dyDescent="0.2">
      <c r="B4715" s="352"/>
      <c r="C4715" s="352"/>
      <c r="D4715" s="352"/>
      <c r="E4715" s="352"/>
      <c r="F4715" s="352"/>
      <c r="H4715" s="352"/>
      <c r="J4715" s="352"/>
      <c r="L4715" s="352"/>
      <c r="M4715" s="352"/>
      <c r="N4715" s="352"/>
      <c r="O4715" s="352"/>
      <c r="P4715" s="352"/>
      <c r="Q4715" s="352"/>
      <c r="R4715" s="352"/>
      <c r="S4715" s="352"/>
      <c r="T4715" s="352"/>
      <c r="U4715" s="352"/>
      <c r="V4715" s="352"/>
      <c r="W4715" s="352"/>
      <c r="X4715" s="352"/>
      <c r="Y4715" s="352"/>
      <c r="Z4715" s="352"/>
      <c r="AA4715" s="352"/>
      <c r="AB4715" s="352"/>
      <c r="AC4715" s="352"/>
      <c r="AD4715" s="352"/>
      <c r="AE4715" s="352"/>
      <c r="AF4715" s="352"/>
      <c r="AG4715" s="352"/>
      <c r="AH4715" s="352"/>
      <c r="AI4715" s="352"/>
      <c r="AJ4715" s="352"/>
    </row>
    <row r="4716" spans="2:36" x14ac:dyDescent="0.2">
      <c r="B4716" s="352"/>
      <c r="C4716" s="352"/>
      <c r="D4716" s="352"/>
      <c r="E4716" s="352"/>
      <c r="F4716" s="352"/>
      <c r="H4716" s="352"/>
      <c r="J4716" s="352"/>
      <c r="L4716" s="352"/>
      <c r="M4716" s="352"/>
      <c r="N4716" s="352"/>
      <c r="O4716" s="352"/>
      <c r="P4716" s="352"/>
      <c r="Q4716" s="352"/>
      <c r="R4716" s="352"/>
      <c r="S4716" s="352"/>
      <c r="T4716" s="352"/>
      <c r="U4716" s="352"/>
      <c r="V4716" s="352"/>
      <c r="W4716" s="352"/>
      <c r="X4716" s="352"/>
      <c r="Y4716" s="352"/>
      <c r="Z4716" s="352"/>
      <c r="AA4716" s="352"/>
      <c r="AB4716" s="352"/>
      <c r="AC4716" s="352"/>
      <c r="AD4716" s="352"/>
      <c r="AE4716" s="352"/>
      <c r="AF4716" s="352"/>
      <c r="AG4716" s="352"/>
      <c r="AH4716" s="352"/>
      <c r="AI4716" s="352"/>
      <c r="AJ4716" s="352"/>
    </row>
    <row r="4717" spans="2:36" x14ac:dyDescent="0.2">
      <c r="B4717" s="352"/>
      <c r="C4717" s="352"/>
      <c r="D4717" s="352"/>
      <c r="E4717" s="352"/>
      <c r="F4717" s="352"/>
      <c r="H4717" s="352"/>
      <c r="J4717" s="352"/>
      <c r="L4717" s="352"/>
      <c r="M4717" s="352"/>
      <c r="N4717" s="352"/>
      <c r="O4717" s="352"/>
      <c r="P4717" s="352"/>
      <c r="Q4717" s="352"/>
      <c r="R4717" s="352"/>
      <c r="S4717" s="352"/>
      <c r="T4717" s="352"/>
      <c r="U4717" s="352"/>
      <c r="V4717" s="352"/>
      <c r="W4717" s="352"/>
      <c r="X4717" s="352"/>
      <c r="Y4717" s="352"/>
      <c r="Z4717" s="352"/>
      <c r="AA4717" s="352"/>
      <c r="AB4717" s="352"/>
      <c r="AC4717" s="352"/>
      <c r="AD4717" s="352"/>
      <c r="AE4717" s="352"/>
      <c r="AF4717" s="352"/>
      <c r="AG4717" s="352"/>
      <c r="AH4717" s="352"/>
      <c r="AI4717" s="352"/>
      <c r="AJ4717" s="352"/>
    </row>
    <row r="4718" spans="2:36" x14ac:dyDescent="0.2">
      <c r="B4718" s="352"/>
      <c r="C4718" s="352"/>
      <c r="D4718" s="352"/>
      <c r="E4718" s="352"/>
      <c r="F4718" s="352"/>
      <c r="H4718" s="352"/>
      <c r="J4718" s="352"/>
      <c r="L4718" s="352"/>
      <c r="M4718" s="352"/>
      <c r="N4718" s="352"/>
      <c r="O4718" s="352"/>
      <c r="P4718" s="352"/>
      <c r="Q4718" s="352"/>
      <c r="R4718" s="352"/>
      <c r="S4718" s="352"/>
      <c r="T4718" s="352"/>
      <c r="U4718" s="352"/>
      <c r="V4718" s="352"/>
      <c r="W4718" s="352"/>
      <c r="X4718" s="352"/>
      <c r="Y4718" s="352"/>
      <c r="Z4718" s="352"/>
      <c r="AA4718" s="352"/>
      <c r="AB4718" s="352"/>
      <c r="AC4718" s="352"/>
      <c r="AD4718" s="352"/>
      <c r="AE4718" s="352"/>
      <c r="AF4718" s="352"/>
      <c r="AG4718" s="352"/>
      <c r="AH4718" s="352"/>
      <c r="AI4718" s="352"/>
      <c r="AJ4718" s="352"/>
    </row>
    <row r="4719" spans="2:36" x14ac:dyDescent="0.2">
      <c r="B4719" s="352"/>
      <c r="C4719" s="352"/>
      <c r="D4719" s="352"/>
      <c r="E4719" s="352"/>
      <c r="F4719" s="352"/>
      <c r="H4719" s="352"/>
      <c r="J4719" s="352"/>
      <c r="L4719" s="352"/>
      <c r="M4719" s="352"/>
      <c r="N4719" s="352"/>
      <c r="O4719" s="352"/>
      <c r="P4719" s="352"/>
      <c r="Q4719" s="352"/>
      <c r="R4719" s="352"/>
      <c r="S4719" s="352"/>
      <c r="T4719" s="352"/>
      <c r="U4719" s="352"/>
      <c r="V4719" s="352"/>
      <c r="W4719" s="352"/>
      <c r="X4719" s="352"/>
      <c r="Y4719" s="352"/>
      <c r="Z4719" s="352"/>
      <c r="AA4719" s="352"/>
      <c r="AB4719" s="352"/>
      <c r="AC4719" s="352"/>
      <c r="AD4719" s="352"/>
      <c r="AE4719" s="352"/>
      <c r="AF4719" s="352"/>
      <c r="AG4719" s="352"/>
      <c r="AH4719" s="352"/>
      <c r="AI4719" s="352"/>
      <c r="AJ4719" s="352"/>
    </row>
    <row r="4720" spans="2:36" x14ac:dyDescent="0.2">
      <c r="B4720" s="352"/>
      <c r="C4720" s="352"/>
      <c r="D4720" s="352"/>
      <c r="E4720" s="352"/>
      <c r="F4720" s="352"/>
      <c r="H4720" s="352"/>
      <c r="J4720" s="352"/>
      <c r="L4720" s="352"/>
      <c r="M4720" s="352"/>
      <c r="N4720" s="352"/>
      <c r="O4720" s="352"/>
      <c r="P4720" s="352"/>
      <c r="Q4720" s="352"/>
      <c r="R4720" s="352"/>
      <c r="S4720" s="352"/>
      <c r="T4720" s="352"/>
      <c r="U4720" s="352"/>
      <c r="V4720" s="352"/>
      <c r="W4720" s="352"/>
      <c r="X4720" s="352"/>
      <c r="Y4720" s="352"/>
      <c r="Z4720" s="352"/>
      <c r="AA4720" s="352"/>
      <c r="AB4720" s="352"/>
      <c r="AC4720" s="352"/>
      <c r="AD4720" s="352"/>
      <c r="AE4720" s="352"/>
      <c r="AF4720" s="352"/>
      <c r="AG4720" s="352"/>
      <c r="AH4720" s="352"/>
      <c r="AI4720" s="352"/>
      <c r="AJ4720" s="352"/>
    </row>
    <row r="4721" spans="2:36" x14ac:dyDescent="0.2">
      <c r="B4721" s="352"/>
      <c r="C4721" s="352"/>
      <c r="D4721" s="352"/>
      <c r="E4721" s="352"/>
      <c r="F4721" s="352"/>
      <c r="H4721" s="352"/>
      <c r="J4721" s="352"/>
      <c r="L4721" s="352"/>
      <c r="M4721" s="352"/>
      <c r="N4721" s="352"/>
      <c r="O4721" s="352"/>
      <c r="P4721" s="352"/>
      <c r="Q4721" s="352"/>
      <c r="R4721" s="352"/>
      <c r="S4721" s="352"/>
      <c r="T4721" s="352"/>
      <c r="U4721" s="352"/>
      <c r="V4721" s="352"/>
      <c r="W4721" s="352"/>
      <c r="X4721" s="352"/>
      <c r="Y4721" s="352"/>
      <c r="Z4721" s="352"/>
      <c r="AA4721" s="352"/>
      <c r="AB4721" s="352"/>
      <c r="AC4721" s="352"/>
      <c r="AD4721" s="352"/>
      <c r="AE4721" s="352"/>
      <c r="AF4721" s="352"/>
      <c r="AG4721" s="352"/>
      <c r="AH4721" s="352"/>
      <c r="AI4721" s="352"/>
      <c r="AJ4721" s="352"/>
    </row>
    <row r="4722" spans="2:36" x14ac:dyDescent="0.2">
      <c r="B4722" s="352"/>
      <c r="C4722" s="352"/>
      <c r="D4722" s="352"/>
      <c r="E4722" s="352"/>
      <c r="F4722" s="352"/>
      <c r="H4722" s="352"/>
      <c r="J4722" s="352"/>
      <c r="L4722" s="352"/>
      <c r="M4722" s="352"/>
      <c r="N4722" s="352"/>
      <c r="O4722" s="352"/>
      <c r="P4722" s="352"/>
      <c r="Q4722" s="352"/>
      <c r="R4722" s="352"/>
      <c r="S4722" s="352"/>
      <c r="T4722" s="352"/>
      <c r="U4722" s="352"/>
      <c r="V4722" s="352"/>
      <c r="W4722" s="352"/>
      <c r="X4722" s="352"/>
      <c r="Y4722" s="352"/>
      <c r="Z4722" s="352"/>
      <c r="AA4722" s="352"/>
      <c r="AB4722" s="352"/>
      <c r="AC4722" s="352"/>
      <c r="AD4722" s="352"/>
      <c r="AE4722" s="352"/>
      <c r="AF4722" s="352"/>
      <c r="AG4722" s="352"/>
      <c r="AH4722" s="352"/>
      <c r="AI4722" s="352"/>
      <c r="AJ4722" s="352"/>
    </row>
    <row r="4723" spans="2:36" x14ac:dyDescent="0.2">
      <c r="B4723" s="352"/>
      <c r="C4723" s="352"/>
      <c r="D4723" s="352"/>
      <c r="E4723" s="352"/>
      <c r="F4723" s="352"/>
      <c r="H4723" s="352"/>
      <c r="J4723" s="352"/>
      <c r="L4723" s="352"/>
      <c r="M4723" s="352"/>
      <c r="N4723" s="352"/>
      <c r="O4723" s="352"/>
      <c r="P4723" s="352"/>
      <c r="Q4723" s="352"/>
      <c r="R4723" s="352"/>
      <c r="S4723" s="352"/>
      <c r="T4723" s="352"/>
      <c r="U4723" s="352"/>
      <c r="V4723" s="352"/>
      <c r="W4723" s="352"/>
      <c r="X4723" s="352"/>
      <c r="Y4723" s="352"/>
      <c r="Z4723" s="352"/>
      <c r="AA4723" s="352"/>
      <c r="AB4723" s="352"/>
      <c r="AC4723" s="352"/>
      <c r="AD4723" s="352"/>
      <c r="AE4723" s="352"/>
      <c r="AF4723" s="352"/>
      <c r="AG4723" s="352"/>
      <c r="AH4723" s="352"/>
      <c r="AI4723" s="352"/>
      <c r="AJ4723" s="352"/>
    </row>
    <row r="4724" spans="2:36" x14ac:dyDescent="0.2">
      <c r="B4724" s="352"/>
      <c r="C4724" s="352"/>
      <c r="D4724" s="352"/>
      <c r="E4724" s="352"/>
      <c r="F4724" s="352"/>
      <c r="H4724" s="352"/>
      <c r="J4724" s="352"/>
      <c r="L4724" s="352"/>
      <c r="M4724" s="352"/>
      <c r="N4724" s="352"/>
      <c r="O4724" s="352"/>
      <c r="P4724" s="352"/>
      <c r="Q4724" s="352"/>
      <c r="R4724" s="352"/>
      <c r="S4724" s="352"/>
      <c r="T4724" s="352"/>
      <c r="U4724" s="352"/>
      <c r="V4724" s="352"/>
      <c r="W4724" s="352"/>
      <c r="X4724" s="352"/>
      <c r="Y4724" s="352"/>
      <c r="Z4724" s="352"/>
      <c r="AA4724" s="352"/>
      <c r="AB4724" s="352"/>
      <c r="AC4724" s="352"/>
      <c r="AD4724" s="352"/>
      <c r="AE4724" s="352"/>
      <c r="AF4724" s="352"/>
      <c r="AG4724" s="352"/>
      <c r="AH4724" s="352"/>
      <c r="AI4724" s="352"/>
      <c r="AJ4724" s="352"/>
    </row>
    <row r="4725" spans="2:36" x14ac:dyDescent="0.2">
      <c r="B4725" s="352"/>
      <c r="C4725" s="352"/>
      <c r="D4725" s="352"/>
      <c r="E4725" s="352"/>
      <c r="F4725" s="352"/>
      <c r="H4725" s="352"/>
      <c r="J4725" s="352"/>
      <c r="L4725" s="352"/>
      <c r="M4725" s="352"/>
      <c r="N4725" s="352"/>
      <c r="O4725" s="352"/>
      <c r="P4725" s="352"/>
      <c r="Q4725" s="352"/>
      <c r="R4725" s="352"/>
      <c r="S4725" s="352"/>
      <c r="T4725" s="352"/>
      <c r="U4725" s="352"/>
      <c r="V4725" s="352"/>
      <c r="W4725" s="352"/>
      <c r="X4725" s="352"/>
      <c r="Y4725" s="352"/>
      <c r="Z4725" s="352"/>
      <c r="AA4725" s="352"/>
      <c r="AB4725" s="352"/>
      <c r="AC4725" s="352"/>
      <c r="AD4725" s="352"/>
      <c r="AE4725" s="352"/>
      <c r="AF4725" s="352"/>
      <c r="AG4725" s="352"/>
      <c r="AH4725" s="352"/>
      <c r="AI4725" s="352"/>
      <c r="AJ4725" s="352"/>
    </row>
    <row r="4726" spans="2:36" x14ac:dyDescent="0.2">
      <c r="B4726" s="352"/>
      <c r="C4726" s="352"/>
      <c r="D4726" s="352"/>
      <c r="E4726" s="352"/>
      <c r="F4726" s="352"/>
      <c r="H4726" s="352"/>
      <c r="J4726" s="352"/>
      <c r="L4726" s="352"/>
      <c r="M4726" s="352"/>
      <c r="N4726" s="352"/>
      <c r="O4726" s="352"/>
      <c r="P4726" s="352"/>
      <c r="Q4726" s="352"/>
      <c r="R4726" s="352"/>
      <c r="S4726" s="352"/>
      <c r="T4726" s="352"/>
      <c r="U4726" s="352"/>
      <c r="V4726" s="352"/>
      <c r="W4726" s="352"/>
      <c r="X4726" s="352"/>
      <c r="Y4726" s="352"/>
      <c r="Z4726" s="352"/>
      <c r="AA4726" s="352"/>
      <c r="AB4726" s="352"/>
      <c r="AC4726" s="352"/>
      <c r="AD4726" s="352"/>
      <c r="AE4726" s="352"/>
      <c r="AF4726" s="352"/>
      <c r="AG4726" s="352"/>
      <c r="AH4726" s="352"/>
      <c r="AI4726" s="352"/>
      <c r="AJ4726" s="352"/>
    </row>
    <row r="4727" spans="2:36" x14ac:dyDescent="0.2">
      <c r="B4727" s="352"/>
      <c r="C4727" s="352"/>
      <c r="D4727" s="352"/>
      <c r="E4727" s="352"/>
      <c r="F4727" s="352"/>
      <c r="H4727" s="352"/>
      <c r="J4727" s="352"/>
      <c r="L4727" s="352"/>
      <c r="M4727" s="352"/>
      <c r="N4727" s="352"/>
      <c r="O4727" s="352"/>
      <c r="P4727" s="352"/>
      <c r="Q4727" s="352"/>
      <c r="R4727" s="352"/>
      <c r="S4727" s="352"/>
      <c r="T4727" s="352"/>
      <c r="U4727" s="352"/>
      <c r="V4727" s="352"/>
      <c r="W4727" s="352"/>
      <c r="X4727" s="352"/>
      <c r="Y4727" s="352"/>
      <c r="Z4727" s="352"/>
      <c r="AA4727" s="352"/>
      <c r="AB4727" s="352"/>
      <c r="AC4727" s="352"/>
      <c r="AD4727" s="352"/>
      <c r="AE4727" s="352"/>
      <c r="AF4727" s="352"/>
      <c r="AG4727" s="352"/>
      <c r="AH4727" s="352"/>
      <c r="AI4727" s="352"/>
      <c r="AJ4727" s="352"/>
    </row>
    <row r="4728" spans="2:36" x14ac:dyDescent="0.2">
      <c r="B4728" s="352"/>
      <c r="C4728" s="352"/>
      <c r="D4728" s="352"/>
      <c r="E4728" s="352"/>
      <c r="F4728" s="352"/>
      <c r="H4728" s="352"/>
      <c r="J4728" s="352"/>
      <c r="L4728" s="352"/>
      <c r="M4728" s="352"/>
      <c r="N4728" s="352"/>
      <c r="O4728" s="352"/>
      <c r="P4728" s="352"/>
      <c r="Q4728" s="352"/>
      <c r="R4728" s="352"/>
      <c r="S4728" s="352"/>
      <c r="T4728" s="352"/>
      <c r="U4728" s="352"/>
      <c r="V4728" s="352"/>
      <c r="W4728" s="352"/>
      <c r="X4728" s="352"/>
      <c r="Y4728" s="352"/>
      <c r="Z4728" s="352"/>
      <c r="AA4728" s="352"/>
      <c r="AB4728" s="352"/>
      <c r="AC4728" s="352"/>
      <c r="AD4728" s="352"/>
      <c r="AE4728" s="352"/>
      <c r="AF4728" s="352"/>
      <c r="AG4728" s="352"/>
      <c r="AH4728" s="352"/>
      <c r="AI4728" s="352"/>
      <c r="AJ4728" s="352"/>
    </row>
    <row r="4729" spans="2:36" x14ac:dyDescent="0.2">
      <c r="B4729" s="352"/>
      <c r="C4729" s="352"/>
      <c r="D4729" s="352"/>
      <c r="E4729" s="352"/>
      <c r="F4729" s="352"/>
      <c r="H4729" s="352"/>
      <c r="J4729" s="352"/>
      <c r="L4729" s="352"/>
      <c r="M4729" s="352"/>
      <c r="N4729" s="352"/>
      <c r="O4729" s="352"/>
      <c r="P4729" s="352"/>
      <c r="Q4729" s="352"/>
      <c r="R4729" s="352"/>
      <c r="S4729" s="352"/>
      <c r="T4729" s="352"/>
      <c r="U4729" s="352"/>
      <c r="V4729" s="352"/>
      <c r="W4729" s="352"/>
      <c r="X4729" s="352"/>
      <c r="Y4729" s="352"/>
      <c r="Z4729" s="352"/>
      <c r="AA4729" s="352"/>
      <c r="AB4729" s="352"/>
      <c r="AC4729" s="352"/>
      <c r="AD4729" s="352"/>
      <c r="AE4729" s="352"/>
      <c r="AF4729" s="352"/>
      <c r="AG4729" s="352"/>
      <c r="AH4729" s="352"/>
      <c r="AI4729" s="352"/>
      <c r="AJ4729" s="352"/>
    </row>
    <row r="4730" spans="2:36" x14ac:dyDescent="0.2">
      <c r="B4730" s="352"/>
      <c r="C4730" s="352"/>
      <c r="D4730" s="352"/>
      <c r="E4730" s="352"/>
      <c r="F4730" s="352"/>
      <c r="H4730" s="352"/>
      <c r="J4730" s="352"/>
      <c r="L4730" s="352"/>
      <c r="M4730" s="352"/>
      <c r="N4730" s="352"/>
      <c r="O4730" s="352"/>
      <c r="P4730" s="352"/>
      <c r="Q4730" s="352"/>
      <c r="R4730" s="352"/>
      <c r="S4730" s="352"/>
      <c r="T4730" s="352"/>
      <c r="U4730" s="352"/>
      <c r="V4730" s="352"/>
      <c r="W4730" s="352"/>
      <c r="X4730" s="352"/>
      <c r="Y4730" s="352"/>
      <c r="Z4730" s="352"/>
      <c r="AA4730" s="352"/>
      <c r="AB4730" s="352"/>
      <c r="AC4730" s="352"/>
      <c r="AD4730" s="352"/>
      <c r="AE4730" s="352"/>
      <c r="AF4730" s="352"/>
      <c r="AG4730" s="352"/>
      <c r="AH4730" s="352"/>
      <c r="AI4730" s="352"/>
      <c r="AJ4730" s="352"/>
    </row>
    <row r="4731" spans="2:36" x14ac:dyDescent="0.2">
      <c r="B4731" s="352"/>
      <c r="C4731" s="352"/>
      <c r="D4731" s="352"/>
      <c r="E4731" s="352"/>
      <c r="F4731" s="352"/>
      <c r="H4731" s="352"/>
      <c r="J4731" s="352"/>
      <c r="L4731" s="352"/>
      <c r="M4731" s="352"/>
      <c r="N4731" s="352"/>
      <c r="O4731" s="352"/>
      <c r="P4731" s="352"/>
      <c r="Q4731" s="352"/>
      <c r="R4731" s="352"/>
      <c r="S4731" s="352"/>
      <c r="T4731" s="352"/>
      <c r="U4731" s="352"/>
      <c r="V4731" s="352"/>
      <c r="W4731" s="352"/>
      <c r="X4731" s="352"/>
      <c r="Y4731" s="352"/>
      <c r="Z4731" s="352"/>
      <c r="AA4731" s="352"/>
      <c r="AB4731" s="352"/>
      <c r="AC4731" s="352"/>
      <c r="AD4731" s="352"/>
      <c r="AE4731" s="352"/>
      <c r="AF4731" s="352"/>
      <c r="AG4731" s="352"/>
      <c r="AH4731" s="352"/>
      <c r="AI4731" s="352"/>
      <c r="AJ4731" s="352"/>
    </row>
    <row r="4732" spans="2:36" x14ac:dyDescent="0.2">
      <c r="B4732" s="352"/>
      <c r="C4732" s="352"/>
      <c r="D4732" s="352"/>
      <c r="E4732" s="352"/>
      <c r="F4732" s="352"/>
      <c r="H4732" s="352"/>
      <c r="J4732" s="352"/>
      <c r="L4732" s="352"/>
      <c r="M4732" s="352"/>
      <c r="N4732" s="352"/>
      <c r="O4732" s="352"/>
      <c r="P4732" s="352"/>
      <c r="Q4732" s="352"/>
      <c r="R4732" s="352"/>
      <c r="S4732" s="352"/>
      <c r="T4732" s="352"/>
      <c r="U4732" s="352"/>
      <c r="V4732" s="352"/>
      <c r="W4732" s="352"/>
      <c r="X4732" s="352"/>
      <c r="Y4732" s="352"/>
      <c r="Z4732" s="352"/>
      <c r="AA4732" s="352"/>
      <c r="AB4732" s="352"/>
      <c r="AC4732" s="352"/>
      <c r="AD4732" s="352"/>
      <c r="AE4732" s="352"/>
      <c r="AF4732" s="352"/>
      <c r="AG4732" s="352"/>
      <c r="AH4732" s="352"/>
      <c r="AI4732" s="352"/>
      <c r="AJ4732" s="352"/>
    </row>
    <row r="4733" spans="2:36" x14ac:dyDescent="0.2">
      <c r="B4733" s="352"/>
      <c r="C4733" s="352"/>
      <c r="D4733" s="352"/>
      <c r="E4733" s="352"/>
      <c r="F4733" s="352"/>
      <c r="H4733" s="352"/>
      <c r="J4733" s="352"/>
      <c r="L4733" s="352"/>
      <c r="M4733" s="352"/>
      <c r="N4733" s="352"/>
      <c r="O4733" s="352"/>
      <c r="P4733" s="352"/>
      <c r="Q4733" s="352"/>
      <c r="R4733" s="352"/>
      <c r="S4733" s="352"/>
      <c r="T4733" s="352"/>
      <c r="U4733" s="352"/>
      <c r="V4733" s="352"/>
      <c r="W4733" s="352"/>
      <c r="X4733" s="352"/>
      <c r="Y4733" s="352"/>
      <c r="Z4733" s="352"/>
      <c r="AA4733" s="352"/>
      <c r="AB4733" s="352"/>
      <c r="AC4733" s="352"/>
      <c r="AD4733" s="352"/>
      <c r="AE4733" s="352"/>
      <c r="AF4733" s="352"/>
      <c r="AG4733" s="352"/>
      <c r="AH4733" s="352"/>
      <c r="AI4733" s="352"/>
      <c r="AJ4733" s="352"/>
    </row>
    <row r="4734" spans="2:36" x14ac:dyDescent="0.2">
      <c r="B4734" s="352"/>
      <c r="C4734" s="352"/>
      <c r="D4734" s="352"/>
      <c r="E4734" s="352"/>
      <c r="F4734" s="352"/>
      <c r="H4734" s="352"/>
      <c r="J4734" s="352"/>
      <c r="L4734" s="352"/>
      <c r="M4734" s="352"/>
      <c r="N4734" s="352"/>
      <c r="O4734" s="352"/>
      <c r="P4734" s="352"/>
      <c r="Q4734" s="352"/>
      <c r="R4734" s="352"/>
      <c r="S4734" s="352"/>
      <c r="T4734" s="352"/>
      <c r="U4734" s="352"/>
      <c r="V4734" s="352"/>
      <c r="W4734" s="352"/>
      <c r="X4734" s="352"/>
      <c r="Y4734" s="352"/>
      <c r="Z4734" s="352"/>
      <c r="AA4734" s="352"/>
      <c r="AB4734" s="352"/>
      <c r="AC4734" s="352"/>
      <c r="AD4734" s="352"/>
      <c r="AE4734" s="352"/>
      <c r="AF4734" s="352"/>
      <c r="AG4734" s="352"/>
      <c r="AH4734" s="352"/>
      <c r="AI4734" s="352"/>
      <c r="AJ4734" s="352"/>
    </row>
    <row r="4735" spans="2:36" x14ac:dyDescent="0.2">
      <c r="B4735" s="352"/>
      <c r="C4735" s="352"/>
      <c r="D4735" s="352"/>
      <c r="E4735" s="352"/>
      <c r="F4735" s="352"/>
      <c r="H4735" s="352"/>
      <c r="J4735" s="352"/>
      <c r="L4735" s="352"/>
      <c r="M4735" s="352"/>
      <c r="N4735" s="352"/>
      <c r="O4735" s="352"/>
      <c r="P4735" s="352"/>
      <c r="Q4735" s="352"/>
      <c r="R4735" s="352"/>
      <c r="S4735" s="352"/>
      <c r="T4735" s="352"/>
      <c r="U4735" s="352"/>
      <c r="V4735" s="352"/>
      <c r="W4735" s="352"/>
      <c r="X4735" s="352"/>
      <c r="Y4735" s="352"/>
      <c r="Z4735" s="352"/>
      <c r="AA4735" s="352"/>
      <c r="AB4735" s="352"/>
      <c r="AC4735" s="352"/>
      <c r="AD4735" s="352"/>
      <c r="AE4735" s="352"/>
      <c r="AF4735" s="352"/>
      <c r="AG4735" s="352"/>
      <c r="AH4735" s="352"/>
      <c r="AI4735" s="352"/>
      <c r="AJ4735" s="352"/>
    </row>
    <row r="4736" spans="2:36" x14ac:dyDescent="0.2">
      <c r="B4736" s="352"/>
      <c r="C4736" s="352"/>
      <c r="D4736" s="352"/>
      <c r="E4736" s="352"/>
      <c r="F4736" s="352"/>
      <c r="H4736" s="352"/>
      <c r="J4736" s="352"/>
      <c r="L4736" s="352"/>
      <c r="M4736" s="352"/>
      <c r="N4736" s="352"/>
      <c r="O4736" s="352"/>
      <c r="P4736" s="352"/>
      <c r="Q4736" s="352"/>
      <c r="R4736" s="352"/>
      <c r="S4736" s="352"/>
      <c r="T4736" s="352"/>
      <c r="U4736" s="352"/>
      <c r="V4736" s="352"/>
      <c r="W4736" s="352"/>
      <c r="X4736" s="352"/>
      <c r="Y4736" s="352"/>
      <c r="Z4736" s="352"/>
      <c r="AA4736" s="352"/>
      <c r="AB4736" s="352"/>
      <c r="AC4736" s="352"/>
      <c r="AD4736" s="352"/>
      <c r="AE4736" s="352"/>
      <c r="AF4736" s="352"/>
      <c r="AG4736" s="352"/>
      <c r="AH4736" s="352"/>
      <c r="AI4736" s="352"/>
      <c r="AJ4736" s="352"/>
    </row>
    <row r="4737" spans="2:36" x14ac:dyDescent="0.2">
      <c r="B4737" s="352"/>
      <c r="C4737" s="352"/>
      <c r="D4737" s="352"/>
      <c r="E4737" s="352"/>
      <c r="F4737" s="352"/>
      <c r="H4737" s="352"/>
      <c r="J4737" s="352"/>
      <c r="L4737" s="352"/>
      <c r="M4737" s="352"/>
      <c r="N4737" s="352"/>
      <c r="O4737" s="352"/>
      <c r="P4737" s="352"/>
      <c r="Q4737" s="352"/>
      <c r="R4737" s="352"/>
      <c r="S4737" s="352"/>
      <c r="T4737" s="352"/>
      <c r="U4737" s="352"/>
      <c r="V4737" s="352"/>
      <c r="W4737" s="352"/>
      <c r="X4737" s="352"/>
      <c r="Y4737" s="352"/>
      <c r="Z4737" s="352"/>
      <c r="AA4737" s="352"/>
      <c r="AB4737" s="352"/>
      <c r="AC4737" s="352"/>
      <c r="AD4737" s="352"/>
      <c r="AE4737" s="352"/>
      <c r="AF4737" s="352"/>
      <c r="AG4737" s="352"/>
      <c r="AH4737" s="352"/>
      <c r="AI4737" s="352"/>
      <c r="AJ4737" s="352"/>
    </row>
    <row r="4738" spans="2:36" x14ac:dyDescent="0.2">
      <c r="B4738" s="352"/>
      <c r="C4738" s="352"/>
      <c r="D4738" s="352"/>
      <c r="E4738" s="352"/>
      <c r="F4738" s="352"/>
      <c r="H4738" s="352"/>
      <c r="J4738" s="352"/>
      <c r="L4738" s="352"/>
      <c r="M4738" s="352"/>
      <c r="N4738" s="352"/>
      <c r="O4738" s="352"/>
      <c r="P4738" s="352"/>
      <c r="Q4738" s="352"/>
      <c r="R4738" s="352"/>
      <c r="S4738" s="352"/>
      <c r="T4738" s="352"/>
      <c r="U4738" s="352"/>
      <c r="V4738" s="352"/>
      <c r="W4738" s="352"/>
      <c r="X4738" s="352"/>
      <c r="Y4738" s="352"/>
      <c r="Z4738" s="352"/>
      <c r="AA4738" s="352"/>
      <c r="AB4738" s="352"/>
      <c r="AC4738" s="352"/>
      <c r="AD4738" s="352"/>
      <c r="AE4738" s="352"/>
      <c r="AF4738" s="352"/>
      <c r="AG4738" s="352"/>
      <c r="AH4738" s="352"/>
      <c r="AI4738" s="352"/>
      <c r="AJ4738" s="352"/>
    </row>
    <row r="4739" spans="2:36" x14ac:dyDescent="0.2">
      <c r="B4739" s="352"/>
      <c r="C4739" s="352"/>
      <c r="D4739" s="352"/>
      <c r="E4739" s="352"/>
      <c r="F4739" s="352"/>
      <c r="H4739" s="352"/>
      <c r="J4739" s="352"/>
      <c r="L4739" s="352"/>
      <c r="M4739" s="352"/>
      <c r="N4739" s="352"/>
      <c r="O4739" s="352"/>
      <c r="P4739" s="352"/>
      <c r="Q4739" s="352"/>
      <c r="R4739" s="352"/>
      <c r="S4739" s="352"/>
      <c r="T4739" s="352"/>
      <c r="U4739" s="352"/>
      <c r="V4739" s="352"/>
      <c r="W4739" s="352"/>
      <c r="X4739" s="352"/>
      <c r="Y4739" s="352"/>
      <c r="Z4739" s="352"/>
      <c r="AA4739" s="352"/>
      <c r="AB4739" s="352"/>
      <c r="AC4739" s="352"/>
      <c r="AD4739" s="352"/>
      <c r="AE4739" s="352"/>
      <c r="AF4739" s="352"/>
      <c r="AG4739" s="352"/>
      <c r="AH4739" s="352"/>
      <c r="AI4739" s="352"/>
      <c r="AJ4739" s="352"/>
    </row>
    <row r="4740" spans="2:36" x14ac:dyDescent="0.2">
      <c r="B4740" s="352"/>
      <c r="C4740" s="352"/>
      <c r="D4740" s="352"/>
      <c r="E4740" s="352"/>
      <c r="F4740" s="352"/>
      <c r="H4740" s="352"/>
      <c r="J4740" s="352"/>
      <c r="L4740" s="352"/>
      <c r="M4740" s="352"/>
      <c r="N4740" s="352"/>
      <c r="O4740" s="352"/>
      <c r="P4740" s="352"/>
      <c r="Q4740" s="352"/>
      <c r="R4740" s="352"/>
      <c r="S4740" s="352"/>
      <c r="T4740" s="352"/>
      <c r="U4740" s="352"/>
      <c r="V4740" s="352"/>
      <c r="W4740" s="352"/>
      <c r="X4740" s="352"/>
      <c r="Y4740" s="352"/>
      <c r="Z4740" s="352"/>
      <c r="AA4740" s="352"/>
      <c r="AB4740" s="352"/>
      <c r="AC4740" s="352"/>
      <c r="AD4740" s="352"/>
      <c r="AE4740" s="352"/>
      <c r="AF4740" s="352"/>
      <c r="AG4740" s="352"/>
      <c r="AH4740" s="352"/>
      <c r="AI4740" s="352"/>
      <c r="AJ4740" s="352"/>
    </row>
    <row r="4741" spans="2:36" x14ac:dyDescent="0.2">
      <c r="B4741" s="352"/>
      <c r="C4741" s="352"/>
      <c r="D4741" s="352"/>
      <c r="E4741" s="352"/>
      <c r="F4741" s="352"/>
      <c r="H4741" s="352"/>
      <c r="J4741" s="352"/>
      <c r="L4741" s="352"/>
      <c r="M4741" s="352"/>
      <c r="N4741" s="352"/>
      <c r="O4741" s="352"/>
      <c r="P4741" s="352"/>
      <c r="Q4741" s="352"/>
      <c r="R4741" s="352"/>
      <c r="S4741" s="352"/>
      <c r="T4741" s="352"/>
      <c r="U4741" s="352"/>
      <c r="V4741" s="352"/>
      <c r="W4741" s="352"/>
      <c r="X4741" s="352"/>
      <c r="Y4741" s="352"/>
      <c r="Z4741" s="352"/>
      <c r="AA4741" s="352"/>
      <c r="AB4741" s="352"/>
      <c r="AC4741" s="352"/>
      <c r="AD4741" s="352"/>
      <c r="AE4741" s="352"/>
      <c r="AF4741" s="352"/>
      <c r="AG4741" s="352"/>
      <c r="AH4741" s="352"/>
      <c r="AI4741" s="352"/>
      <c r="AJ4741" s="352"/>
    </row>
    <row r="4742" spans="2:36" x14ac:dyDescent="0.2">
      <c r="B4742" s="352"/>
      <c r="C4742" s="352"/>
      <c r="D4742" s="352"/>
      <c r="E4742" s="352"/>
      <c r="F4742" s="352"/>
      <c r="H4742" s="352"/>
      <c r="J4742" s="352"/>
      <c r="L4742" s="352"/>
      <c r="M4742" s="352"/>
      <c r="N4742" s="352"/>
      <c r="O4742" s="352"/>
      <c r="P4742" s="352"/>
      <c r="Q4742" s="352"/>
      <c r="R4742" s="352"/>
      <c r="S4742" s="352"/>
      <c r="T4742" s="352"/>
      <c r="U4742" s="352"/>
      <c r="V4742" s="352"/>
      <c r="W4742" s="352"/>
      <c r="X4742" s="352"/>
      <c r="Y4742" s="352"/>
      <c r="Z4742" s="352"/>
      <c r="AA4742" s="352"/>
      <c r="AB4742" s="352"/>
      <c r="AC4742" s="352"/>
      <c r="AD4742" s="352"/>
      <c r="AE4742" s="352"/>
      <c r="AF4742" s="352"/>
      <c r="AG4742" s="352"/>
      <c r="AH4742" s="352"/>
      <c r="AI4742" s="352"/>
      <c r="AJ4742" s="352"/>
    </row>
    <row r="4743" spans="2:36" x14ac:dyDescent="0.2">
      <c r="B4743" s="352"/>
      <c r="C4743" s="352"/>
      <c r="D4743" s="352"/>
      <c r="E4743" s="352"/>
      <c r="F4743" s="352"/>
      <c r="H4743" s="352"/>
      <c r="J4743" s="352"/>
      <c r="L4743" s="352"/>
      <c r="M4743" s="352"/>
      <c r="N4743" s="352"/>
      <c r="O4743" s="352"/>
      <c r="P4743" s="352"/>
      <c r="Q4743" s="352"/>
      <c r="R4743" s="352"/>
      <c r="S4743" s="352"/>
      <c r="T4743" s="352"/>
      <c r="U4743" s="352"/>
      <c r="V4743" s="352"/>
      <c r="W4743" s="352"/>
      <c r="X4743" s="352"/>
      <c r="Y4743" s="352"/>
      <c r="Z4743" s="352"/>
      <c r="AA4743" s="352"/>
      <c r="AB4743" s="352"/>
      <c r="AC4743" s="352"/>
      <c r="AD4743" s="352"/>
      <c r="AE4743" s="352"/>
      <c r="AF4743" s="352"/>
      <c r="AG4743" s="352"/>
      <c r="AH4743" s="352"/>
      <c r="AI4743" s="352"/>
      <c r="AJ4743" s="352"/>
    </row>
    <row r="4744" spans="2:36" x14ac:dyDescent="0.2">
      <c r="B4744" s="352"/>
      <c r="C4744" s="352"/>
      <c r="D4744" s="352"/>
      <c r="E4744" s="352"/>
      <c r="F4744" s="352"/>
      <c r="H4744" s="352"/>
      <c r="J4744" s="352"/>
      <c r="L4744" s="352"/>
      <c r="M4744" s="352"/>
      <c r="N4744" s="352"/>
      <c r="O4744" s="352"/>
      <c r="P4744" s="352"/>
      <c r="Q4744" s="352"/>
      <c r="R4744" s="352"/>
      <c r="S4744" s="352"/>
      <c r="T4744" s="352"/>
      <c r="U4744" s="352"/>
      <c r="V4744" s="352"/>
      <c r="W4744" s="352"/>
      <c r="X4744" s="352"/>
      <c r="Y4744" s="352"/>
      <c r="Z4744" s="352"/>
      <c r="AA4744" s="352"/>
      <c r="AB4744" s="352"/>
      <c r="AC4744" s="352"/>
      <c r="AD4744" s="352"/>
      <c r="AE4744" s="352"/>
      <c r="AF4744" s="352"/>
      <c r="AG4744" s="352"/>
      <c r="AH4744" s="352"/>
      <c r="AI4744" s="352"/>
      <c r="AJ4744" s="352"/>
    </row>
    <row r="4745" spans="2:36" x14ac:dyDescent="0.2">
      <c r="B4745" s="352"/>
      <c r="C4745" s="352"/>
      <c r="D4745" s="352"/>
      <c r="E4745" s="352"/>
      <c r="F4745" s="352"/>
      <c r="H4745" s="352"/>
      <c r="J4745" s="352"/>
      <c r="L4745" s="352"/>
      <c r="M4745" s="352"/>
      <c r="N4745" s="352"/>
      <c r="O4745" s="352"/>
      <c r="P4745" s="352"/>
      <c r="Q4745" s="352"/>
      <c r="R4745" s="352"/>
      <c r="S4745" s="352"/>
      <c r="T4745" s="352"/>
      <c r="U4745" s="352"/>
      <c r="V4745" s="352"/>
      <c r="W4745" s="352"/>
      <c r="X4745" s="352"/>
      <c r="Y4745" s="352"/>
      <c r="Z4745" s="352"/>
      <c r="AA4745" s="352"/>
      <c r="AB4745" s="352"/>
      <c r="AC4745" s="352"/>
      <c r="AD4745" s="352"/>
      <c r="AE4745" s="352"/>
      <c r="AF4745" s="352"/>
      <c r="AG4745" s="352"/>
      <c r="AH4745" s="352"/>
      <c r="AI4745" s="352"/>
      <c r="AJ4745" s="352"/>
    </row>
    <row r="4746" spans="2:36" x14ac:dyDescent="0.2">
      <c r="B4746" s="352"/>
      <c r="C4746" s="352"/>
      <c r="D4746" s="352"/>
      <c r="E4746" s="352"/>
      <c r="F4746" s="352"/>
      <c r="H4746" s="352"/>
      <c r="J4746" s="352"/>
      <c r="L4746" s="352"/>
      <c r="M4746" s="352"/>
      <c r="N4746" s="352"/>
      <c r="O4746" s="352"/>
      <c r="P4746" s="352"/>
      <c r="Q4746" s="352"/>
      <c r="R4746" s="352"/>
      <c r="S4746" s="352"/>
      <c r="T4746" s="352"/>
      <c r="U4746" s="352"/>
      <c r="V4746" s="352"/>
      <c r="W4746" s="352"/>
      <c r="X4746" s="352"/>
      <c r="Y4746" s="352"/>
      <c r="Z4746" s="352"/>
      <c r="AA4746" s="352"/>
      <c r="AB4746" s="352"/>
      <c r="AC4746" s="352"/>
      <c r="AD4746" s="352"/>
      <c r="AE4746" s="352"/>
      <c r="AF4746" s="352"/>
      <c r="AG4746" s="352"/>
      <c r="AH4746" s="352"/>
      <c r="AI4746" s="352"/>
      <c r="AJ4746" s="352"/>
    </row>
    <row r="4747" spans="2:36" x14ac:dyDescent="0.2">
      <c r="B4747" s="352"/>
      <c r="C4747" s="352"/>
      <c r="D4747" s="352"/>
      <c r="E4747" s="352"/>
      <c r="F4747" s="352"/>
      <c r="H4747" s="352"/>
      <c r="J4747" s="352"/>
      <c r="L4747" s="352"/>
      <c r="M4747" s="352"/>
      <c r="N4747" s="352"/>
      <c r="O4747" s="352"/>
      <c r="P4747" s="352"/>
      <c r="Q4747" s="352"/>
      <c r="R4747" s="352"/>
      <c r="S4747" s="352"/>
      <c r="T4747" s="352"/>
      <c r="U4747" s="352"/>
      <c r="V4747" s="352"/>
      <c r="W4747" s="352"/>
      <c r="X4747" s="352"/>
      <c r="Y4747" s="352"/>
      <c r="Z4747" s="352"/>
      <c r="AA4747" s="352"/>
      <c r="AB4747" s="352"/>
      <c r="AC4747" s="352"/>
      <c r="AD4747" s="352"/>
      <c r="AE4747" s="352"/>
      <c r="AF4747" s="352"/>
      <c r="AG4747" s="352"/>
      <c r="AH4747" s="352"/>
      <c r="AI4747" s="352"/>
      <c r="AJ4747" s="352"/>
    </row>
    <row r="4748" spans="2:36" x14ac:dyDescent="0.2">
      <c r="B4748" s="352"/>
      <c r="C4748" s="352"/>
      <c r="D4748" s="352"/>
      <c r="E4748" s="352"/>
      <c r="F4748" s="352"/>
      <c r="H4748" s="352"/>
      <c r="J4748" s="352"/>
      <c r="L4748" s="352"/>
      <c r="M4748" s="352"/>
      <c r="N4748" s="352"/>
      <c r="O4748" s="352"/>
      <c r="P4748" s="352"/>
      <c r="Q4748" s="352"/>
      <c r="R4748" s="352"/>
      <c r="S4748" s="352"/>
      <c r="T4748" s="352"/>
      <c r="U4748" s="352"/>
      <c r="V4748" s="352"/>
      <c r="W4748" s="352"/>
      <c r="X4748" s="352"/>
      <c r="Y4748" s="352"/>
      <c r="Z4748" s="352"/>
      <c r="AA4748" s="352"/>
      <c r="AB4748" s="352"/>
      <c r="AC4748" s="352"/>
      <c r="AD4748" s="352"/>
      <c r="AE4748" s="352"/>
      <c r="AF4748" s="352"/>
      <c r="AG4748" s="352"/>
      <c r="AH4748" s="352"/>
      <c r="AI4748" s="352"/>
      <c r="AJ4748" s="352"/>
    </row>
    <row r="4749" spans="2:36" x14ac:dyDescent="0.2">
      <c r="B4749" s="352"/>
      <c r="C4749" s="352"/>
      <c r="D4749" s="352"/>
      <c r="E4749" s="352"/>
      <c r="F4749" s="352"/>
      <c r="H4749" s="352"/>
      <c r="J4749" s="352"/>
      <c r="L4749" s="352"/>
      <c r="M4749" s="352"/>
      <c r="N4749" s="352"/>
      <c r="O4749" s="352"/>
      <c r="P4749" s="352"/>
      <c r="Q4749" s="352"/>
      <c r="R4749" s="352"/>
      <c r="S4749" s="352"/>
      <c r="T4749" s="352"/>
      <c r="U4749" s="352"/>
      <c r="V4749" s="352"/>
      <c r="W4749" s="352"/>
      <c r="X4749" s="352"/>
      <c r="Y4749" s="352"/>
      <c r="Z4749" s="352"/>
      <c r="AA4749" s="352"/>
      <c r="AB4749" s="352"/>
      <c r="AC4749" s="352"/>
      <c r="AD4749" s="352"/>
      <c r="AE4749" s="352"/>
      <c r="AF4749" s="352"/>
      <c r="AG4749" s="352"/>
      <c r="AH4749" s="352"/>
      <c r="AI4749" s="352"/>
      <c r="AJ4749" s="352"/>
    </row>
    <row r="4750" spans="2:36" x14ac:dyDescent="0.2">
      <c r="B4750" s="352"/>
      <c r="C4750" s="352"/>
      <c r="D4750" s="352"/>
      <c r="E4750" s="352"/>
      <c r="F4750" s="352"/>
      <c r="H4750" s="352"/>
      <c r="J4750" s="352"/>
      <c r="L4750" s="352"/>
      <c r="M4750" s="352"/>
      <c r="N4750" s="352"/>
      <c r="O4750" s="352"/>
      <c r="P4750" s="352"/>
      <c r="Q4750" s="352"/>
      <c r="R4750" s="352"/>
      <c r="S4750" s="352"/>
      <c r="T4750" s="352"/>
      <c r="U4750" s="352"/>
      <c r="V4750" s="352"/>
      <c r="W4750" s="352"/>
      <c r="X4750" s="352"/>
      <c r="Y4750" s="352"/>
      <c r="Z4750" s="352"/>
      <c r="AA4750" s="352"/>
      <c r="AB4750" s="352"/>
      <c r="AC4750" s="352"/>
      <c r="AD4750" s="352"/>
      <c r="AE4750" s="352"/>
      <c r="AF4750" s="352"/>
      <c r="AG4750" s="352"/>
      <c r="AH4750" s="352"/>
      <c r="AI4750" s="352"/>
      <c r="AJ4750" s="352"/>
    </row>
    <row r="4751" spans="2:36" x14ac:dyDescent="0.2">
      <c r="B4751" s="352"/>
      <c r="C4751" s="352"/>
      <c r="D4751" s="352"/>
      <c r="E4751" s="352"/>
      <c r="F4751" s="352"/>
      <c r="H4751" s="352"/>
      <c r="J4751" s="352"/>
      <c r="L4751" s="352"/>
      <c r="M4751" s="352"/>
      <c r="N4751" s="352"/>
      <c r="O4751" s="352"/>
      <c r="P4751" s="352"/>
      <c r="Q4751" s="352"/>
      <c r="R4751" s="352"/>
      <c r="S4751" s="352"/>
      <c r="T4751" s="352"/>
      <c r="U4751" s="352"/>
      <c r="V4751" s="352"/>
      <c r="W4751" s="352"/>
      <c r="X4751" s="352"/>
      <c r="Y4751" s="352"/>
      <c r="Z4751" s="352"/>
      <c r="AA4751" s="352"/>
      <c r="AB4751" s="352"/>
      <c r="AC4751" s="352"/>
      <c r="AD4751" s="352"/>
      <c r="AE4751" s="352"/>
      <c r="AF4751" s="352"/>
      <c r="AG4751" s="352"/>
      <c r="AH4751" s="352"/>
      <c r="AI4751" s="352"/>
      <c r="AJ4751" s="352"/>
    </row>
    <row r="4752" spans="2:36" x14ac:dyDescent="0.2">
      <c r="B4752" s="352"/>
      <c r="C4752" s="352"/>
      <c r="D4752" s="352"/>
      <c r="E4752" s="352"/>
      <c r="F4752" s="352"/>
      <c r="H4752" s="352"/>
      <c r="J4752" s="352"/>
      <c r="L4752" s="352"/>
      <c r="M4752" s="352"/>
      <c r="N4752" s="352"/>
      <c r="O4752" s="352"/>
      <c r="P4752" s="352"/>
      <c r="Q4752" s="352"/>
      <c r="R4752" s="352"/>
      <c r="S4752" s="352"/>
      <c r="T4752" s="352"/>
      <c r="U4752" s="352"/>
      <c r="V4752" s="352"/>
      <c r="W4752" s="352"/>
      <c r="X4752" s="352"/>
      <c r="Y4752" s="352"/>
      <c r="Z4752" s="352"/>
      <c r="AA4752" s="352"/>
      <c r="AB4752" s="352"/>
      <c r="AC4752" s="352"/>
      <c r="AD4752" s="352"/>
      <c r="AE4752" s="352"/>
      <c r="AF4752" s="352"/>
      <c r="AG4752" s="352"/>
      <c r="AH4752" s="352"/>
      <c r="AI4752" s="352"/>
      <c r="AJ4752" s="352"/>
    </row>
    <row r="4753" spans="2:36" x14ac:dyDescent="0.2">
      <c r="B4753" s="352"/>
      <c r="C4753" s="352"/>
      <c r="D4753" s="352"/>
      <c r="E4753" s="352"/>
      <c r="F4753" s="352"/>
      <c r="H4753" s="352"/>
      <c r="J4753" s="352"/>
      <c r="L4753" s="352"/>
      <c r="M4753" s="352"/>
      <c r="N4753" s="352"/>
      <c r="O4753" s="352"/>
      <c r="P4753" s="352"/>
      <c r="Q4753" s="352"/>
      <c r="R4753" s="352"/>
      <c r="S4753" s="352"/>
      <c r="T4753" s="352"/>
      <c r="U4753" s="352"/>
      <c r="V4753" s="352"/>
      <c r="W4753" s="352"/>
      <c r="X4753" s="352"/>
      <c r="Y4753" s="352"/>
      <c r="Z4753" s="352"/>
      <c r="AA4753" s="352"/>
      <c r="AB4753" s="352"/>
      <c r="AC4753" s="352"/>
      <c r="AD4753" s="352"/>
      <c r="AE4753" s="352"/>
      <c r="AF4753" s="352"/>
      <c r="AG4753" s="352"/>
      <c r="AH4753" s="352"/>
      <c r="AI4753" s="352"/>
      <c r="AJ4753" s="352"/>
    </row>
    <row r="4754" spans="2:36" x14ac:dyDescent="0.2">
      <c r="B4754" s="352"/>
      <c r="C4754" s="352"/>
      <c r="D4754" s="352"/>
      <c r="E4754" s="352"/>
      <c r="F4754" s="352"/>
      <c r="H4754" s="352"/>
      <c r="J4754" s="352"/>
      <c r="L4754" s="352"/>
      <c r="M4754" s="352"/>
      <c r="N4754" s="352"/>
      <c r="O4754" s="352"/>
      <c r="P4754" s="352"/>
      <c r="Q4754" s="352"/>
      <c r="R4754" s="352"/>
      <c r="S4754" s="352"/>
      <c r="T4754" s="352"/>
      <c r="U4754" s="352"/>
      <c r="V4754" s="352"/>
      <c r="W4754" s="352"/>
      <c r="X4754" s="352"/>
      <c r="Y4754" s="352"/>
      <c r="Z4754" s="352"/>
      <c r="AA4754" s="352"/>
      <c r="AB4754" s="352"/>
      <c r="AC4754" s="352"/>
      <c r="AD4754" s="352"/>
      <c r="AE4754" s="352"/>
      <c r="AF4754" s="352"/>
      <c r="AG4754" s="352"/>
      <c r="AH4754" s="352"/>
      <c r="AI4754" s="352"/>
      <c r="AJ4754" s="352"/>
    </row>
    <row r="4755" spans="2:36" x14ac:dyDescent="0.2">
      <c r="B4755" s="352"/>
      <c r="C4755" s="352"/>
      <c r="D4755" s="352"/>
      <c r="E4755" s="352"/>
      <c r="F4755" s="352"/>
      <c r="H4755" s="352"/>
      <c r="J4755" s="352"/>
      <c r="L4755" s="352"/>
      <c r="M4755" s="352"/>
      <c r="N4755" s="352"/>
      <c r="O4755" s="352"/>
      <c r="P4755" s="352"/>
      <c r="Q4755" s="352"/>
      <c r="R4755" s="352"/>
      <c r="S4755" s="352"/>
      <c r="T4755" s="352"/>
      <c r="U4755" s="352"/>
      <c r="V4755" s="352"/>
      <c r="W4755" s="352"/>
      <c r="X4755" s="352"/>
      <c r="Y4755" s="352"/>
      <c r="Z4755" s="352"/>
      <c r="AA4755" s="352"/>
      <c r="AB4755" s="352"/>
      <c r="AC4755" s="352"/>
      <c r="AD4755" s="352"/>
      <c r="AE4755" s="352"/>
      <c r="AF4755" s="352"/>
      <c r="AG4755" s="352"/>
      <c r="AH4755" s="352"/>
      <c r="AI4755" s="352"/>
      <c r="AJ4755" s="352"/>
    </row>
    <row r="4756" spans="2:36" x14ac:dyDescent="0.2">
      <c r="B4756" s="352"/>
      <c r="C4756" s="352"/>
      <c r="D4756" s="352"/>
      <c r="E4756" s="352"/>
      <c r="F4756" s="352"/>
      <c r="H4756" s="352"/>
      <c r="J4756" s="352"/>
      <c r="L4756" s="352"/>
      <c r="M4756" s="352"/>
      <c r="N4756" s="352"/>
      <c r="O4756" s="352"/>
      <c r="P4756" s="352"/>
      <c r="Q4756" s="352"/>
      <c r="R4756" s="352"/>
      <c r="S4756" s="352"/>
      <c r="T4756" s="352"/>
      <c r="U4756" s="352"/>
      <c r="V4756" s="352"/>
      <c r="W4756" s="352"/>
      <c r="X4756" s="352"/>
      <c r="Y4756" s="352"/>
      <c r="Z4756" s="352"/>
      <c r="AA4756" s="352"/>
      <c r="AB4756" s="352"/>
      <c r="AC4756" s="352"/>
      <c r="AD4756" s="352"/>
      <c r="AE4756" s="352"/>
      <c r="AF4756" s="352"/>
      <c r="AG4756" s="352"/>
      <c r="AH4756" s="352"/>
      <c r="AI4756" s="352"/>
      <c r="AJ4756" s="352"/>
    </row>
    <row r="4757" spans="2:36" x14ac:dyDescent="0.2">
      <c r="B4757" s="352"/>
      <c r="C4757" s="352"/>
      <c r="D4757" s="352"/>
      <c r="E4757" s="352"/>
      <c r="F4757" s="352"/>
      <c r="H4757" s="352"/>
      <c r="J4757" s="352"/>
      <c r="L4757" s="352"/>
      <c r="M4757" s="352"/>
      <c r="N4757" s="352"/>
      <c r="O4757" s="352"/>
      <c r="P4757" s="352"/>
      <c r="Q4757" s="352"/>
      <c r="R4757" s="352"/>
      <c r="S4757" s="352"/>
      <c r="T4757" s="352"/>
      <c r="U4757" s="352"/>
      <c r="V4757" s="352"/>
      <c r="W4757" s="352"/>
      <c r="X4757" s="352"/>
      <c r="Y4757" s="352"/>
      <c r="Z4757" s="352"/>
      <c r="AA4757" s="352"/>
      <c r="AB4757" s="352"/>
      <c r="AC4757" s="352"/>
      <c r="AD4757" s="352"/>
      <c r="AE4757" s="352"/>
      <c r="AF4757" s="352"/>
      <c r="AG4757" s="352"/>
      <c r="AH4757" s="352"/>
      <c r="AI4757" s="352"/>
      <c r="AJ4757" s="352"/>
    </row>
    <row r="4758" spans="2:36" x14ac:dyDescent="0.2">
      <c r="B4758" s="352"/>
      <c r="C4758" s="352"/>
      <c r="D4758" s="352"/>
      <c r="E4758" s="352"/>
      <c r="F4758" s="352"/>
      <c r="H4758" s="352"/>
      <c r="J4758" s="352"/>
      <c r="L4758" s="352"/>
      <c r="M4758" s="352"/>
      <c r="N4758" s="352"/>
      <c r="O4758" s="352"/>
      <c r="P4758" s="352"/>
      <c r="Q4758" s="352"/>
      <c r="R4758" s="352"/>
      <c r="S4758" s="352"/>
      <c r="T4758" s="352"/>
      <c r="U4758" s="352"/>
      <c r="V4758" s="352"/>
      <c r="W4758" s="352"/>
      <c r="X4758" s="352"/>
      <c r="Y4758" s="352"/>
      <c r="Z4758" s="352"/>
      <c r="AA4758" s="352"/>
      <c r="AB4758" s="352"/>
      <c r="AC4758" s="352"/>
      <c r="AD4758" s="352"/>
      <c r="AE4758" s="352"/>
      <c r="AF4758" s="352"/>
      <c r="AG4758" s="352"/>
      <c r="AH4758" s="352"/>
      <c r="AI4758" s="352"/>
      <c r="AJ4758" s="352"/>
    </row>
    <row r="4759" spans="2:36" x14ac:dyDescent="0.2">
      <c r="B4759" s="352"/>
      <c r="C4759" s="352"/>
      <c r="D4759" s="352"/>
      <c r="E4759" s="352"/>
      <c r="F4759" s="352"/>
      <c r="H4759" s="352"/>
      <c r="J4759" s="352"/>
      <c r="L4759" s="352"/>
      <c r="M4759" s="352"/>
      <c r="N4759" s="352"/>
      <c r="O4759" s="352"/>
      <c r="P4759" s="352"/>
      <c r="Q4759" s="352"/>
      <c r="R4759" s="352"/>
      <c r="S4759" s="352"/>
      <c r="T4759" s="352"/>
      <c r="U4759" s="352"/>
      <c r="V4759" s="352"/>
      <c r="W4759" s="352"/>
      <c r="X4759" s="352"/>
      <c r="Y4759" s="352"/>
      <c r="Z4759" s="352"/>
      <c r="AA4759" s="352"/>
      <c r="AB4759" s="352"/>
      <c r="AC4759" s="352"/>
      <c r="AD4759" s="352"/>
      <c r="AE4759" s="352"/>
      <c r="AF4759" s="352"/>
      <c r="AG4759" s="352"/>
      <c r="AH4759" s="352"/>
      <c r="AI4759" s="352"/>
      <c r="AJ4759" s="352"/>
    </row>
    <row r="4760" spans="2:36" x14ac:dyDescent="0.2">
      <c r="B4760" s="352"/>
      <c r="C4760" s="352"/>
      <c r="D4760" s="352"/>
      <c r="E4760" s="352"/>
      <c r="F4760" s="352"/>
      <c r="H4760" s="352"/>
      <c r="J4760" s="352"/>
      <c r="L4760" s="352"/>
      <c r="M4760" s="352"/>
      <c r="N4760" s="352"/>
      <c r="O4760" s="352"/>
      <c r="P4760" s="352"/>
      <c r="Q4760" s="352"/>
      <c r="R4760" s="352"/>
      <c r="S4760" s="352"/>
      <c r="T4760" s="352"/>
      <c r="U4760" s="352"/>
      <c r="V4760" s="352"/>
      <c r="W4760" s="352"/>
      <c r="X4760" s="352"/>
      <c r="Y4760" s="352"/>
      <c r="Z4760" s="352"/>
      <c r="AA4760" s="352"/>
      <c r="AB4760" s="352"/>
      <c r="AC4760" s="352"/>
      <c r="AD4760" s="352"/>
      <c r="AE4760" s="352"/>
      <c r="AF4760" s="352"/>
      <c r="AG4760" s="352"/>
      <c r="AH4760" s="352"/>
      <c r="AI4760" s="352"/>
      <c r="AJ4760" s="352"/>
    </row>
    <row r="4761" spans="2:36" x14ac:dyDescent="0.2">
      <c r="B4761" s="352"/>
      <c r="C4761" s="352"/>
      <c r="D4761" s="352"/>
      <c r="E4761" s="352"/>
      <c r="F4761" s="352"/>
      <c r="H4761" s="352"/>
      <c r="J4761" s="352"/>
      <c r="L4761" s="352"/>
      <c r="M4761" s="352"/>
      <c r="N4761" s="352"/>
      <c r="O4761" s="352"/>
      <c r="P4761" s="352"/>
      <c r="Q4761" s="352"/>
      <c r="R4761" s="352"/>
      <c r="S4761" s="352"/>
      <c r="T4761" s="352"/>
      <c r="U4761" s="352"/>
      <c r="V4761" s="352"/>
      <c r="W4761" s="352"/>
      <c r="X4761" s="352"/>
      <c r="Y4761" s="352"/>
      <c r="Z4761" s="352"/>
      <c r="AA4761" s="352"/>
      <c r="AB4761" s="352"/>
      <c r="AC4761" s="352"/>
      <c r="AD4761" s="352"/>
      <c r="AE4761" s="352"/>
      <c r="AF4761" s="352"/>
      <c r="AG4761" s="352"/>
      <c r="AH4761" s="352"/>
      <c r="AI4761" s="352"/>
      <c r="AJ4761" s="352"/>
    </row>
    <row r="4762" spans="2:36" x14ac:dyDescent="0.2">
      <c r="B4762" s="352"/>
      <c r="C4762" s="352"/>
      <c r="D4762" s="352"/>
      <c r="E4762" s="352"/>
      <c r="F4762" s="352"/>
      <c r="H4762" s="352"/>
      <c r="J4762" s="352"/>
      <c r="L4762" s="352"/>
      <c r="M4762" s="352"/>
      <c r="N4762" s="352"/>
      <c r="O4762" s="352"/>
      <c r="P4762" s="352"/>
      <c r="Q4762" s="352"/>
      <c r="R4762" s="352"/>
      <c r="S4762" s="352"/>
      <c r="T4762" s="352"/>
      <c r="U4762" s="352"/>
      <c r="V4762" s="352"/>
      <c r="W4762" s="352"/>
      <c r="X4762" s="352"/>
      <c r="Y4762" s="352"/>
      <c r="Z4762" s="352"/>
      <c r="AA4762" s="352"/>
      <c r="AB4762" s="352"/>
      <c r="AC4762" s="352"/>
      <c r="AD4762" s="352"/>
      <c r="AE4762" s="352"/>
      <c r="AF4762" s="352"/>
      <c r="AG4762" s="352"/>
      <c r="AH4762" s="352"/>
      <c r="AI4762" s="352"/>
      <c r="AJ4762" s="352"/>
    </row>
    <row r="4763" spans="2:36" x14ac:dyDescent="0.2">
      <c r="B4763" s="352"/>
      <c r="C4763" s="352"/>
      <c r="D4763" s="352"/>
      <c r="E4763" s="352"/>
      <c r="F4763" s="352"/>
      <c r="H4763" s="352"/>
      <c r="J4763" s="352"/>
      <c r="L4763" s="352"/>
      <c r="M4763" s="352"/>
      <c r="N4763" s="352"/>
      <c r="O4763" s="352"/>
      <c r="P4763" s="352"/>
      <c r="Q4763" s="352"/>
      <c r="R4763" s="352"/>
      <c r="S4763" s="352"/>
      <c r="T4763" s="352"/>
      <c r="U4763" s="352"/>
      <c r="V4763" s="352"/>
      <c r="W4763" s="352"/>
      <c r="X4763" s="352"/>
      <c r="Y4763" s="352"/>
      <c r="Z4763" s="352"/>
      <c r="AA4763" s="352"/>
      <c r="AB4763" s="352"/>
      <c r="AC4763" s="352"/>
      <c r="AD4763" s="352"/>
      <c r="AE4763" s="352"/>
      <c r="AF4763" s="352"/>
      <c r="AG4763" s="352"/>
      <c r="AH4763" s="352"/>
      <c r="AI4763" s="352"/>
      <c r="AJ4763" s="352"/>
    </row>
    <row r="4764" spans="2:36" x14ac:dyDescent="0.2">
      <c r="B4764" s="352"/>
      <c r="C4764" s="352"/>
      <c r="D4764" s="352"/>
      <c r="E4764" s="352"/>
      <c r="F4764" s="352"/>
      <c r="H4764" s="352"/>
      <c r="J4764" s="352"/>
      <c r="L4764" s="352"/>
      <c r="M4764" s="352"/>
      <c r="N4764" s="352"/>
      <c r="O4764" s="352"/>
      <c r="P4764" s="352"/>
      <c r="Q4764" s="352"/>
      <c r="R4764" s="352"/>
      <c r="S4764" s="352"/>
      <c r="T4764" s="352"/>
      <c r="U4764" s="352"/>
      <c r="V4764" s="352"/>
      <c r="W4764" s="352"/>
      <c r="X4764" s="352"/>
      <c r="Y4764" s="352"/>
      <c r="Z4764" s="352"/>
      <c r="AA4764" s="352"/>
      <c r="AB4764" s="352"/>
      <c r="AC4764" s="352"/>
      <c r="AD4764" s="352"/>
      <c r="AE4764" s="352"/>
      <c r="AF4764" s="352"/>
      <c r="AG4764" s="352"/>
      <c r="AH4764" s="352"/>
      <c r="AI4764" s="352"/>
      <c r="AJ4764" s="352"/>
    </row>
    <row r="4765" spans="2:36" x14ac:dyDescent="0.2">
      <c r="B4765" s="352"/>
      <c r="C4765" s="352"/>
      <c r="D4765" s="352"/>
      <c r="E4765" s="352"/>
      <c r="F4765" s="352"/>
      <c r="H4765" s="352"/>
      <c r="J4765" s="352"/>
      <c r="L4765" s="352"/>
      <c r="M4765" s="352"/>
      <c r="N4765" s="352"/>
      <c r="O4765" s="352"/>
      <c r="P4765" s="352"/>
      <c r="Q4765" s="352"/>
      <c r="R4765" s="352"/>
      <c r="S4765" s="352"/>
      <c r="T4765" s="352"/>
      <c r="U4765" s="352"/>
      <c r="V4765" s="352"/>
      <c r="W4765" s="352"/>
      <c r="X4765" s="352"/>
      <c r="Y4765" s="352"/>
      <c r="Z4765" s="352"/>
      <c r="AA4765" s="352"/>
      <c r="AB4765" s="352"/>
      <c r="AC4765" s="352"/>
      <c r="AD4765" s="352"/>
      <c r="AE4765" s="352"/>
      <c r="AF4765" s="352"/>
      <c r="AG4765" s="352"/>
      <c r="AH4765" s="352"/>
      <c r="AI4765" s="352"/>
      <c r="AJ4765" s="352"/>
    </row>
    <row r="4766" spans="2:36" x14ac:dyDescent="0.2">
      <c r="B4766" s="352"/>
      <c r="C4766" s="352"/>
      <c r="D4766" s="352"/>
      <c r="E4766" s="352"/>
      <c r="F4766" s="352"/>
      <c r="H4766" s="352"/>
      <c r="J4766" s="352"/>
      <c r="L4766" s="352"/>
      <c r="M4766" s="352"/>
      <c r="N4766" s="352"/>
      <c r="O4766" s="352"/>
      <c r="P4766" s="352"/>
      <c r="Q4766" s="352"/>
      <c r="R4766" s="352"/>
      <c r="S4766" s="352"/>
      <c r="T4766" s="352"/>
      <c r="U4766" s="352"/>
      <c r="V4766" s="352"/>
      <c r="W4766" s="352"/>
      <c r="X4766" s="352"/>
      <c r="Y4766" s="352"/>
      <c r="Z4766" s="352"/>
      <c r="AA4766" s="352"/>
      <c r="AB4766" s="352"/>
      <c r="AC4766" s="352"/>
      <c r="AD4766" s="352"/>
      <c r="AE4766" s="352"/>
      <c r="AF4766" s="352"/>
      <c r="AG4766" s="352"/>
      <c r="AH4766" s="352"/>
      <c r="AI4766" s="352"/>
      <c r="AJ4766" s="352"/>
    </row>
    <row r="4767" spans="2:36" x14ac:dyDescent="0.2">
      <c r="B4767" s="352"/>
      <c r="C4767" s="352"/>
      <c r="D4767" s="352"/>
      <c r="E4767" s="352"/>
      <c r="F4767" s="352"/>
      <c r="H4767" s="352"/>
      <c r="J4767" s="352"/>
      <c r="L4767" s="352"/>
      <c r="M4767" s="352"/>
      <c r="N4767" s="352"/>
      <c r="O4767" s="352"/>
      <c r="P4767" s="352"/>
      <c r="Q4767" s="352"/>
      <c r="R4767" s="352"/>
      <c r="S4767" s="352"/>
      <c r="T4767" s="352"/>
      <c r="U4767" s="352"/>
      <c r="V4767" s="352"/>
      <c r="W4767" s="352"/>
      <c r="X4767" s="352"/>
      <c r="Y4767" s="352"/>
      <c r="Z4767" s="352"/>
      <c r="AA4767" s="352"/>
      <c r="AB4767" s="352"/>
      <c r="AC4767" s="352"/>
      <c r="AD4767" s="352"/>
      <c r="AE4767" s="352"/>
      <c r="AF4767" s="352"/>
      <c r="AG4767" s="352"/>
      <c r="AH4767" s="352"/>
      <c r="AI4767" s="352"/>
      <c r="AJ4767" s="352"/>
    </row>
    <row r="4768" spans="2:36" x14ac:dyDescent="0.2">
      <c r="B4768" s="352"/>
      <c r="C4768" s="352"/>
      <c r="D4768" s="352"/>
      <c r="E4768" s="352"/>
      <c r="F4768" s="352"/>
      <c r="H4768" s="352"/>
      <c r="J4768" s="352"/>
      <c r="L4768" s="352"/>
      <c r="M4768" s="352"/>
      <c r="N4768" s="352"/>
      <c r="O4768" s="352"/>
      <c r="P4768" s="352"/>
      <c r="Q4768" s="352"/>
      <c r="R4768" s="352"/>
      <c r="S4768" s="352"/>
      <c r="T4768" s="352"/>
      <c r="U4768" s="352"/>
      <c r="V4768" s="352"/>
      <c r="W4768" s="352"/>
      <c r="X4768" s="352"/>
      <c r="Y4768" s="352"/>
      <c r="Z4768" s="352"/>
      <c r="AA4768" s="352"/>
      <c r="AB4768" s="352"/>
      <c r="AC4768" s="352"/>
      <c r="AD4768" s="352"/>
      <c r="AE4768" s="352"/>
      <c r="AF4768" s="352"/>
      <c r="AG4768" s="352"/>
      <c r="AH4768" s="352"/>
      <c r="AI4768" s="352"/>
      <c r="AJ4768" s="352"/>
    </row>
    <row r="4769" spans="2:36" x14ac:dyDescent="0.2">
      <c r="B4769" s="352"/>
      <c r="C4769" s="352"/>
      <c r="D4769" s="352"/>
      <c r="E4769" s="352"/>
      <c r="F4769" s="352"/>
      <c r="H4769" s="352"/>
      <c r="J4769" s="352"/>
      <c r="L4769" s="352"/>
      <c r="M4769" s="352"/>
      <c r="N4769" s="352"/>
      <c r="O4769" s="352"/>
      <c r="P4769" s="352"/>
      <c r="Q4769" s="352"/>
      <c r="R4769" s="352"/>
      <c r="S4769" s="352"/>
      <c r="T4769" s="352"/>
      <c r="U4769" s="352"/>
      <c r="V4769" s="352"/>
      <c r="W4769" s="352"/>
      <c r="X4769" s="352"/>
      <c r="Y4769" s="352"/>
      <c r="Z4769" s="352"/>
      <c r="AA4769" s="352"/>
      <c r="AB4769" s="352"/>
      <c r="AC4769" s="352"/>
      <c r="AD4769" s="352"/>
      <c r="AE4769" s="352"/>
      <c r="AF4769" s="352"/>
      <c r="AG4769" s="352"/>
      <c r="AH4769" s="352"/>
      <c r="AI4769" s="352"/>
      <c r="AJ4769" s="352"/>
    </row>
    <row r="4770" spans="2:36" x14ac:dyDescent="0.2">
      <c r="B4770" s="352"/>
      <c r="C4770" s="352"/>
      <c r="D4770" s="352"/>
      <c r="E4770" s="352"/>
      <c r="F4770" s="352"/>
      <c r="H4770" s="352"/>
      <c r="J4770" s="352"/>
      <c r="L4770" s="352"/>
      <c r="M4770" s="352"/>
      <c r="N4770" s="352"/>
      <c r="O4770" s="352"/>
      <c r="P4770" s="352"/>
      <c r="Q4770" s="352"/>
      <c r="R4770" s="352"/>
      <c r="S4770" s="352"/>
      <c r="T4770" s="352"/>
      <c r="U4770" s="352"/>
      <c r="V4770" s="352"/>
      <c r="W4770" s="352"/>
      <c r="X4770" s="352"/>
      <c r="Y4770" s="352"/>
      <c r="Z4770" s="352"/>
      <c r="AA4770" s="352"/>
      <c r="AB4770" s="352"/>
      <c r="AC4770" s="352"/>
      <c r="AD4770" s="352"/>
      <c r="AE4770" s="352"/>
      <c r="AF4770" s="352"/>
      <c r="AG4770" s="352"/>
      <c r="AH4770" s="352"/>
      <c r="AI4770" s="352"/>
      <c r="AJ4770" s="352"/>
    </row>
    <row r="4771" spans="2:36" x14ac:dyDescent="0.2">
      <c r="B4771" s="352"/>
      <c r="C4771" s="352"/>
      <c r="D4771" s="352"/>
      <c r="E4771" s="352"/>
      <c r="F4771" s="352"/>
      <c r="H4771" s="352"/>
      <c r="J4771" s="352"/>
      <c r="L4771" s="352"/>
      <c r="M4771" s="352"/>
      <c r="N4771" s="352"/>
      <c r="O4771" s="352"/>
      <c r="P4771" s="352"/>
      <c r="Q4771" s="352"/>
      <c r="R4771" s="352"/>
      <c r="S4771" s="352"/>
      <c r="T4771" s="352"/>
      <c r="U4771" s="352"/>
      <c r="V4771" s="352"/>
      <c r="W4771" s="352"/>
      <c r="X4771" s="352"/>
      <c r="Y4771" s="352"/>
      <c r="Z4771" s="352"/>
      <c r="AA4771" s="352"/>
      <c r="AB4771" s="352"/>
      <c r="AC4771" s="352"/>
      <c r="AD4771" s="352"/>
      <c r="AE4771" s="352"/>
      <c r="AF4771" s="352"/>
      <c r="AG4771" s="352"/>
      <c r="AH4771" s="352"/>
      <c r="AI4771" s="352"/>
      <c r="AJ4771" s="352"/>
    </row>
    <row r="4772" spans="2:36" x14ac:dyDescent="0.2">
      <c r="B4772" s="352"/>
      <c r="C4772" s="352"/>
      <c r="D4772" s="352"/>
      <c r="E4772" s="352"/>
      <c r="F4772" s="352"/>
      <c r="H4772" s="352"/>
      <c r="J4772" s="352"/>
      <c r="L4772" s="352"/>
      <c r="M4772" s="352"/>
      <c r="N4772" s="352"/>
      <c r="O4772" s="352"/>
      <c r="P4772" s="352"/>
      <c r="Q4772" s="352"/>
      <c r="R4772" s="352"/>
      <c r="S4772" s="352"/>
      <c r="T4772" s="352"/>
      <c r="U4772" s="352"/>
      <c r="V4772" s="352"/>
      <c r="W4772" s="352"/>
      <c r="X4772" s="352"/>
      <c r="Y4772" s="352"/>
      <c r="Z4772" s="352"/>
      <c r="AA4772" s="352"/>
      <c r="AB4772" s="352"/>
      <c r="AC4772" s="352"/>
      <c r="AD4772" s="352"/>
      <c r="AE4772" s="352"/>
      <c r="AF4772" s="352"/>
      <c r="AG4772" s="352"/>
      <c r="AH4772" s="352"/>
      <c r="AI4772" s="352"/>
      <c r="AJ4772" s="352"/>
    </row>
    <row r="4773" spans="2:36" x14ac:dyDescent="0.2">
      <c r="B4773" s="352"/>
      <c r="C4773" s="352"/>
      <c r="D4773" s="352"/>
      <c r="E4773" s="352"/>
      <c r="F4773" s="352"/>
      <c r="H4773" s="352"/>
      <c r="J4773" s="352"/>
      <c r="L4773" s="352"/>
      <c r="M4773" s="352"/>
      <c r="N4773" s="352"/>
      <c r="O4773" s="352"/>
      <c r="P4773" s="352"/>
      <c r="Q4773" s="352"/>
      <c r="R4773" s="352"/>
      <c r="S4773" s="352"/>
      <c r="T4773" s="352"/>
      <c r="U4773" s="352"/>
      <c r="V4773" s="352"/>
      <c r="W4773" s="352"/>
      <c r="X4773" s="352"/>
      <c r="Y4773" s="352"/>
      <c r="Z4773" s="352"/>
      <c r="AA4773" s="352"/>
      <c r="AB4773" s="352"/>
      <c r="AC4773" s="352"/>
      <c r="AD4773" s="352"/>
      <c r="AE4773" s="352"/>
      <c r="AF4773" s="352"/>
      <c r="AG4773" s="352"/>
      <c r="AH4773" s="352"/>
      <c r="AI4773" s="352"/>
      <c r="AJ4773" s="352"/>
    </row>
    <row r="4774" spans="2:36" x14ac:dyDescent="0.2">
      <c r="B4774" s="352"/>
      <c r="C4774" s="352"/>
      <c r="D4774" s="352"/>
      <c r="E4774" s="352"/>
      <c r="F4774" s="352"/>
      <c r="H4774" s="352"/>
      <c r="J4774" s="352"/>
      <c r="L4774" s="352"/>
      <c r="M4774" s="352"/>
      <c r="N4774" s="352"/>
      <c r="O4774" s="352"/>
      <c r="P4774" s="352"/>
      <c r="Q4774" s="352"/>
      <c r="R4774" s="352"/>
      <c r="S4774" s="352"/>
      <c r="T4774" s="352"/>
      <c r="U4774" s="352"/>
      <c r="V4774" s="352"/>
      <c r="W4774" s="352"/>
      <c r="X4774" s="352"/>
      <c r="Y4774" s="352"/>
      <c r="Z4774" s="352"/>
      <c r="AA4774" s="352"/>
      <c r="AB4774" s="352"/>
      <c r="AC4774" s="352"/>
      <c r="AD4774" s="352"/>
      <c r="AE4774" s="352"/>
      <c r="AF4774" s="352"/>
      <c r="AG4774" s="352"/>
      <c r="AH4774" s="352"/>
      <c r="AI4774" s="352"/>
      <c r="AJ4774" s="352"/>
    </row>
    <row r="4775" spans="2:36" x14ac:dyDescent="0.2">
      <c r="B4775" s="352"/>
      <c r="C4775" s="352"/>
      <c r="D4775" s="352"/>
      <c r="E4775" s="352"/>
      <c r="F4775" s="352"/>
      <c r="H4775" s="352"/>
      <c r="J4775" s="352"/>
      <c r="L4775" s="352"/>
      <c r="M4775" s="352"/>
      <c r="N4775" s="352"/>
      <c r="O4775" s="352"/>
      <c r="P4775" s="352"/>
      <c r="Q4775" s="352"/>
      <c r="R4775" s="352"/>
      <c r="S4775" s="352"/>
      <c r="T4775" s="352"/>
      <c r="U4775" s="352"/>
      <c r="V4775" s="352"/>
      <c r="W4775" s="352"/>
      <c r="X4775" s="352"/>
      <c r="Y4775" s="352"/>
      <c r="Z4775" s="352"/>
      <c r="AA4775" s="352"/>
      <c r="AB4775" s="352"/>
      <c r="AC4775" s="352"/>
      <c r="AD4775" s="352"/>
      <c r="AE4775" s="352"/>
      <c r="AF4775" s="352"/>
      <c r="AG4775" s="352"/>
      <c r="AH4775" s="352"/>
      <c r="AI4775" s="352"/>
      <c r="AJ4775" s="352"/>
    </row>
    <row r="4776" spans="2:36" x14ac:dyDescent="0.2">
      <c r="B4776" s="352"/>
      <c r="C4776" s="352"/>
      <c r="D4776" s="352"/>
      <c r="E4776" s="352"/>
      <c r="F4776" s="352"/>
      <c r="H4776" s="352"/>
      <c r="J4776" s="352"/>
      <c r="L4776" s="352"/>
      <c r="M4776" s="352"/>
      <c r="N4776" s="352"/>
      <c r="O4776" s="352"/>
      <c r="P4776" s="352"/>
      <c r="Q4776" s="352"/>
      <c r="R4776" s="352"/>
      <c r="S4776" s="352"/>
      <c r="T4776" s="352"/>
      <c r="U4776" s="352"/>
      <c r="V4776" s="352"/>
      <c r="W4776" s="352"/>
      <c r="X4776" s="352"/>
      <c r="Y4776" s="352"/>
      <c r="Z4776" s="352"/>
      <c r="AA4776" s="352"/>
      <c r="AB4776" s="352"/>
      <c r="AC4776" s="352"/>
      <c r="AD4776" s="352"/>
      <c r="AE4776" s="352"/>
      <c r="AF4776" s="352"/>
      <c r="AG4776" s="352"/>
      <c r="AH4776" s="352"/>
      <c r="AI4776" s="352"/>
      <c r="AJ4776" s="352"/>
    </row>
    <row r="4777" spans="2:36" x14ac:dyDescent="0.2">
      <c r="B4777" s="352"/>
      <c r="C4777" s="352"/>
      <c r="D4777" s="352"/>
      <c r="E4777" s="352"/>
      <c r="F4777" s="352"/>
      <c r="H4777" s="352"/>
      <c r="J4777" s="352"/>
      <c r="L4777" s="352"/>
      <c r="M4777" s="352"/>
      <c r="N4777" s="352"/>
      <c r="O4777" s="352"/>
      <c r="P4777" s="352"/>
      <c r="Q4777" s="352"/>
      <c r="R4777" s="352"/>
      <c r="S4777" s="352"/>
      <c r="T4777" s="352"/>
      <c r="U4777" s="352"/>
      <c r="V4777" s="352"/>
      <c r="W4777" s="352"/>
      <c r="X4777" s="352"/>
      <c r="Y4777" s="352"/>
      <c r="Z4777" s="352"/>
      <c r="AA4777" s="352"/>
      <c r="AB4777" s="352"/>
      <c r="AC4777" s="352"/>
      <c r="AD4777" s="352"/>
      <c r="AE4777" s="352"/>
      <c r="AF4777" s="352"/>
      <c r="AG4777" s="352"/>
      <c r="AH4777" s="352"/>
      <c r="AI4777" s="352"/>
      <c r="AJ4777" s="352"/>
    </row>
    <row r="4778" spans="2:36" x14ac:dyDescent="0.2">
      <c r="B4778" s="352"/>
      <c r="C4778" s="352"/>
      <c r="D4778" s="352"/>
      <c r="E4778" s="352"/>
      <c r="F4778" s="352"/>
      <c r="H4778" s="352"/>
      <c r="J4778" s="352"/>
      <c r="L4778" s="352"/>
      <c r="M4778" s="352"/>
      <c r="N4778" s="352"/>
      <c r="O4778" s="352"/>
      <c r="P4778" s="352"/>
      <c r="Q4778" s="352"/>
      <c r="R4778" s="352"/>
      <c r="S4778" s="352"/>
      <c r="T4778" s="352"/>
      <c r="U4778" s="352"/>
      <c r="V4778" s="352"/>
      <c r="W4778" s="352"/>
      <c r="X4778" s="352"/>
      <c r="Y4778" s="352"/>
      <c r="Z4778" s="352"/>
      <c r="AA4778" s="352"/>
      <c r="AB4778" s="352"/>
      <c r="AC4778" s="352"/>
      <c r="AD4778" s="352"/>
      <c r="AE4778" s="352"/>
      <c r="AF4778" s="352"/>
      <c r="AG4778" s="352"/>
      <c r="AH4778" s="352"/>
      <c r="AI4778" s="352"/>
      <c r="AJ4778" s="352"/>
    </row>
    <row r="4779" spans="2:36" x14ac:dyDescent="0.2">
      <c r="B4779" s="352"/>
      <c r="C4779" s="352"/>
      <c r="D4779" s="352"/>
      <c r="E4779" s="352"/>
      <c r="F4779" s="352"/>
      <c r="H4779" s="352"/>
      <c r="J4779" s="352"/>
      <c r="L4779" s="352"/>
      <c r="M4779" s="352"/>
      <c r="N4779" s="352"/>
      <c r="O4779" s="352"/>
      <c r="P4779" s="352"/>
      <c r="Q4779" s="352"/>
      <c r="R4779" s="352"/>
      <c r="S4779" s="352"/>
      <c r="T4779" s="352"/>
      <c r="U4779" s="352"/>
      <c r="V4779" s="352"/>
      <c r="W4779" s="352"/>
      <c r="X4779" s="352"/>
      <c r="Y4779" s="352"/>
      <c r="Z4779" s="352"/>
      <c r="AA4779" s="352"/>
      <c r="AB4779" s="352"/>
      <c r="AC4779" s="352"/>
      <c r="AD4779" s="352"/>
      <c r="AE4779" s="352"/>
      <c r="AF4779" s="352"/>
      <c r="AG4779" s="352"/>
      <c r="AH4779" s="352"/>
      <c r="AI4779" s="352"/>
      <c r="AJ4779" s="352"/>
    </row>
    <row r="4780" spans="2:36" x14ac:dyDescent="0.2">
      <c r="B4780" s="352"/>
      <c r="C4780" s="352"/>
      <c r="D4780" s="352"/>
      <c r="E4780" s="352"/>
      <c r="F4780" s="352"/>
      <c r="H4780" s="352"/>
      <c r="J4780" s="352"/>
      <c r="L4780" s="352"/>
      <c r="M4780" s="352"/>
      <c r="N4780" s="352"/>
      <c r="O4780" s="352"/>
      <c r="P4780" s="352"/>
      <c r="Q4780" s="352"/>
      <c r="R4780" s="352"/>
      <c r="S4780" s="352"/>
      <c r="T4780" s="352"/>
      <c r="U4780" s="352"/>
      <c r="V4780" s="352"/>
      <c r="W4780" s="352"/>
      <c r="X4780" s="352"/>
      <c r="Y4780" s="352"/>
      <c r="Z4780" s="352"/>
      <c r="AA4780" s="352"/>
      <c r="AB4780" s="352"/>
      <c r="AC4780" s="352"/>
      <c r="AD4780" s="352"/>
      <c r="AE4780" s="352"/>
      <c r="AF4780" s="352"/>
      <c r="AG4780" s="352"/>
      <c r="AH4780" s="352"/>
      <c r="AI4780" s="352"/>
      <c r="AJ4780" s="352"/>
    </row>
    <row r="4781" spans="2:36" x14ac:dyDescent="0.2">
      <c r="B4781" s="352"/>
      <c r="C4781" s="352"/>
      <c r="D4781" s="352"/>
      <c r="E4781" s="352"/>
      <c r="F4781" s="352"/>
      <c r="H4781" s="352"/>
      <c r="J4781" s="352"/>
      <c r="L4781" s="352"/>
      <c r="M4781" s="352"/>
      <c r="N4781" s="352"/>
      <c r="O4781" s="352"/>
      <c r="P4781" s="352"/>
      <c r="Q4781" s="352"/>
      <c r="R4781" s="352"/>
      <c r="S4781" s="352"/>
      <c r="T4781" s="352"/>
      <c r="U4781" s="352"/>
      <c r="V4781" s="352"/>
      <c r="W4781" s="352"/>
      <c r="X4781" s="352"/>
      <c r="Y4781" s="352"/>
      <c r="Z4781" s="352"/>
      <c r="AA4781" s="352"/>
      <c r="AB4781" s="352"/>
      <c r="AC4781" s="352"/>
      <c r="AD4781" s="352"/>
      <c r="AE4781" s="352"/>
      <c r="AF4781" s="352"/>
      <c r="AG4781" s="352"/>
      <c r="AH4781" s="352"/>
      <c r="AI4781" s="352"/>
      <c r="AJ4781" s="352"/>
    </row>
    <row r="4782" spans="2:36" x14ac:dyDescent="0.2">
      <c r="B4782" s="352"/>
      <c r="C4782" s="352"/>
      <c r="D4782" s="352"/>
      <c r="E4782" s="352"/>
      <c r="F4782" s="352"/>
      <c r="H4782" s="352"/>
      <c r="J4782" s="352"/>
      <c r="L4782" s="352"/>
      <c r="M4782" s="352"/>
      <c r="N4782" s="352"/>
      <c r="O4782" s="352"/>
      <c r="P4782" s="352"/>
      <c r="Q4782" s="352"/>
      <c r="R4782" s="352"/>
      <c r="S4782" s="352"/>
      <c r="T4782" s="352"/>
      <c r="U4782" s="352"/>
      <c r="V4782" s="352"/>
      <c r="W4782" s="352"/>
      <c r="X4782" s="352"/>
      <c r="Y4782" s="352"/>
      <c r="Z4782" s="352"/>
      <c r="AA4782" s="352"/>
      <c r="AB4782" s="352"/>
      <c r="AC4782" s="352"/>
      <c r="AD4782" s="352"/>
      <c r="AE4782" s="352"/>
      <c r="AF4782" s="352"/>
      <c r="AG4782" s="352"/>
      <c r="AH4782" s="352"/>
      <c r="AI4782" s="352"/>
      <c r="AJ4782" s="352"/>
    </row>
    <row r="4783" spans="2:36" x14ac:dyDescent="0.2">
      <c r="B4783" s="352"/>
      <c r="C4783" s="352"/>
      <c r="D4783" s="352"/>
      <c r="E4783" s="352"/>
      <c r="F4783" s="352"/>
      <c r="H4783" s="352"/>
      <c r="J4783" s="352"/>
      <c r="L4783" s="352"/>
      <c r="M4783" s="352"/>
      <c r="N4783" s="352"/>
      <c r="O4783" s="352"/>
      <c r="P4783" s="352"/>
      <c r="Q4783" s="352"/>
      <c r="R4783" s="352"/>
      <c r="S4783" s="352"/>
      <c r="T4783" s="352"/>
      <c r="U4783" s="352"/>
      <c r="V4783" s="352"/>
      <c r="W4783" s="352"/>
      <c r="X4783" s="352"/>
      <c r="Y4783" s="352"/>
      <c r="Z4783" s="352"/>
      <c r="AA4783" s="352"/>
      <c r="AB4783" s="352"/>
      <c r="AC4783" s="352"/>
      <c r="AD4783" s="352"/>
      <c r="AE4783" s="352"/>
      <c r="AF4783" s="352"/>
      <c r="AG4783" s="352"/>
      <c r="AH4783" s="352"/>
      <c r="AI4783" s="352"/>
      <c r="AJ4783" s="352"/>
    </row>
    <row r="4784" spans="2:36" x14ac:dyDescent="0.2">
      <c r="B4784" s="352"/>
      <c r="C4784" s="352"/>
      <c r="D4784" s="352"/>
      <c r="E4784" s="352"/>
      <c r="F4784" s="352"/>
      <c r="H4784" s="352"/>
      <c r="J4784" s="352"/>
      <c r="L4784" s="352"/>
      <c r="M4784" s="352"/>
      <c r="N4784" s="352"/>
      <c r="O4784" s="352"/>
      <c r="P4784" s="352"/>
      <c r="Q4784" s="352"/>
      <c r="R4784" s="352"/>
      <c r="S4784" s="352"/>
      <c r="T4784" s="352"/>
      <c r="U4784" s="352"/>
      <c r="V4784" s="352"/>
      <c r="W4784" s="352"/>
      <c r="X4784" s="352"/>
      <c r="Y4784" s="352"/>
      <c r="Z4784" s="352"/>
      <c r="AA4784" s="352"/>
      <c r="AB4784" s="352"/>
      <c r="AC4784" s="352"/>
      <c r="AD4784" s="352"/>
      <c r="AE4784" s="352"/>
      <c r="AF4784" s="352"/>
      <c r="AG4784" s="352"/>
      <c r="AH4784" s="352"/>
      <c r="AI4784" s="352"/>
      <c r="AJ4784" s="352"/>
    </row>
    <row r="4785" spans="2:36" x14ac:dyDescent="0.2">
      <c r="B4785" s="352"/>
      <c r="C4785" s="352"/>
      <c r="D4785" s="352"/>
      <c r="E4785" s="352"/>
      <c r="F4785" s="352"/>
      <c r="H4785" s="352"/>
      <c r="J4785" s="352"/>
      <c r="L4785" s="352"/>
      <c r="M4785" s="352"/>
      <c r="N4785" s="352"/>
      <c r="O4785" s="352"/>
      <c r="P4785" s="352"/>
      <c r="Q4785" s="352"/>
      <c r="R4785" s="352"/>
      <c r="S4785" s="352"/>
      <c r="T4785" s="352"/>
      <c r="U4785" s="352"/>
      <c r="V4785" s="352"/>
      <c r="W4785" s="352"/>
      <c r="X4785" s="352"/>
      <c r="Y4785" s="352"/>
      <c r="Z4785" s="352"/>
      <c r="AA4785" s="352"/>
      <c r="AB4785" s="352"/>
      <c r="AC4785" s="352"/>
      <c r="AD4785" s="352"/>
      <c r="AE4785" s="352"/>
      <c r="AF4785" s="352"/>
      <c r="AG4785" s="352"/>
      <c r="AH4785" s="352"/>
      <c r="AI4785" s="352"/>
      <c r="AJ4785" s="352"/>
    </row>
    <row r="4786" spans="2:36" x14ac:dyDescent="0.2">
      <c r="B4786" s="352"/>
      <c r="C4786" s="352"/>
      <c r="D4786" s="352"/>
      <c r="E4786" s="352"/>
      <c r="F4786" s="352"/>
      <c r="H4786" s="352"/>
      <c r="J4786" s="352"/>
      <c r="L4786" s="352"/>
      <c r="M4786" s="352"/>
      <c r="N4786" s="352"/>
      <c r="O4786" s="352"/>
      <c r="P4786" s="352"/>
      <c r="Q4786" s="352"/>
      <c r="R4786" s="352"/>
      <c r="S4786" s="352"/>
      <c r="T4786" s="352"/>
      <c r="U4786" s="352"/>
      <c r="V4786" s="352"/>
      <c r="W4786" s="352"/>
      <c r="X4786" s="352"/>
      <c r="Y4786" s="352"/>
      <c r="Z4786" s="352"/>
      <c r="AA4786" s="352"/>
      <c r="AB4786" s="352"/>
      <c r="AC4786" s="352"/>
      <c r="AD4786" s="352"/>
      <c r="AE4786" s="352"/>
      <c r="AF4786" s="352"/>
      <c r="AG4786" s="352"/>
      <c r="AH4786" s="352"/>
      <c r="AI4786" s="352"/>
      <c r="AJ4786" s="352"/>
    </row>
    <row r="4787" spans="2:36" x14ac:dyDescent="0.2">
      <c r="B4787" s="352"/>
      <c r="C4787" s="352"/>
      <c r="D4787" s="352"/>
      <c r="E4787" s="352"/>
      <c r="F4787" s="352"/>
      <c r="H4787" s="352"/>
      <c r="J4787" s="352"/>
      <c r="L4787" s="352"/>
      <c r="M4787" s="352"/>
      <c r="N4787" s="352"/>
      <c r="O4787" s="352"/>
      <c r="P4787" s="352"/>
      <c r="Q4787" s="352"/>
      <c r="R4787" s="352"/>
      <c r="S4787" s="352"/>
      <c r="T4787" s="352"/>
      <c r="U4787" s="352"/>
      <c r="V4787" s="352"/>
      <c r="W4787" s="352"/>
      <c r="X4787" s="352"/>
      <c r="Y4787" s="352"/>
      <c r="Z4787" s="352"/>
      <c r="AA4787" s="352"/>
      <c r="AB4787" s="352"/>
      <c r="AC4787" s="352"/>
      <c r="AD4787" s="352"/>
      <c r="AE4787" s="352"/>
      <c r="AF4787" s="352"/>
      <c r="AG4787" s="352"/>
      <c r="AH4787" s="352"/>
      <c r="AI4787" s="352"/>
      <c r="AJ4787" s="352"/>
    </row>
    <row r="4788" spans="2:36" x14ac:dyDescent="0.2">
      <c r="B4788" s="352"/>
      <c r="C4788" s="352"/>
      <c r="D4788" s="352"/>
      <c r="E4788" s="352"/>
      <c r="F4788" s="352"/>
      <c r="H4788" s="352"/>
      <c r="J4788" s="352"/>
      <c r="L4788" s="352"/>
      <c r="M4788" s="352"/>
      <c r="N4788" s="352"/>
      <c r="O4788" s="352"/>
      <c r="P4788" s="352"/>
      <c r="Q4788" s="352"/>
      <c r="R4788" s="352"/>
      <c r="S4788" s="352"/>
      <c r="T4788" s="352"/>
      <c r="U4788" s="352"/>
      <c r="V4788" s="352"/>
      <c r="W4788" s="352"/>
      <c r="X4788" s="352"/>
      <c r="Y4788" s="352"/>
      <c r="Z4788" s="352"/>
      <c r="AA4788" s="352"/>
      <c r="AB4788" s="352"/>
      <c r="AC4788" s="352"/>
      <c r="AD4788" s="352"/>
      <c r="AE4788" s="352"/>
      <c r="AF4788" s="352"/>
      <c r="AG4788" s="352"/>
      <c r="AH4788" s="352"/>
      <c r="AI4788" s="352"/>
      <c r="AJ4788" s="352"/>
    </row>
    <row r="4789" spans="2:36" x14ac:dyDescent="0.2">
      <c r="B4789" s="352"/>
      <c r="C4789" s="352"/>
      <c r="D4789" s="352"/>
      <c r="E4789" s="352"/>
      <c r="F4789" s="352"/>
      <c r="H4789" s="352"/>
      <c r="J4789" s="352"/>
      <c r="L4789" s="352"/>
      <c r="M4789" s="352"/>
      <c r="N4789" s="352"/>
      <c r="O4789" s="352"/>
      <c r="P4789" s="352"/>
      <c r="Q4789" s="352"/>
      <c r="R4789" s="352"/>
      <c r="S4789" s="352"/>
      <c r="T4789" s="352"/>
      <c r="U4789" s="352"/>
      <c r="V4789" s="352"/>
      <c r="W4789" s="352"/>
      <c r="X4789" s="352"/>
      <c r="Y4789" s="352"/>
      <c r="Z4789" s="352"/>
      <c r="AA4789" s="352"/>
      <c r="AB4789" s="352"/>
      <c r="AC4789" s="352"/>
      <c r="AD4789" s="352"/>
      <c r="AE4789" s="352"/>
      <c r="AF4789" s="352"/>
      <c r="AG4789" s="352"/>
      <c r="AH4789" s="352"/>
      <c r="AI4789" s="352"/>
      <c r="AJ4789" s="352"/>
    </row>
    <row r="4790" spans="2:36" x14ac:dyDescent="0.2">
      <c r="B4790" s="352"/>
      <c r="C4790" s="352"/>
      <c r="D4790" s="352"/>
      <c r="E4790" s="352"/>
      <c r="F4790" s="352"/>
      <c r="H4790" s="352"/>
      <c r="J4790" s="352"/>
      <c r="L4790" s="352"/>
      <c r="M4790" s="352"/>
      <c r="N4790" s="352"/>
      <c r="O4790" s="352"/>
      <c r="P4790" s="352"/>
      <c r="Q4790" s="352"/>
      <c r="R4790" s="352"/>
      <c r="S4790" s="352"/>
      <c r="T4790" s="352"/>
      <c r="U4790" s="352"/>
      <c r="V4790" s="352"/>
      <c r="W4790" s="352"/>
      <c r="X4790" s="352"/>
      <c r="Y4790" s="352"/>
      <c r="Z4790" s="352"/>
      <c r="AA4790" s="352"/>
      <c r="AB4790" s="352"/>
      <c r="AC4790" s="352"/>
      <c r="AD4790" s="352"/>
      <c r="AE4790" s="352"/>
      <c r="AF4790" s="352"/>
      <c r="AG4790" s="352"/>
      <c r="AH4790" s="352"/>
      <c r="AI4790" s="352"/>
      <c r="AJ4790" s="352"/>
    </row>
    <row r="4791" spans="2:36" x14ac:dyDescent="0.2">
      <c r="B4791" s="352"/>
      <c r="C4791" s="352"/>
      <c r="D4791" s="352"/>
      <c r="E4791" s="352"/>
      <c r="F4791" s="352"/>
      <c r="H4791" s="352"/>
      <c r="J4791" s="352"/>
      <c r="L4791" s="352"/>
      <c r="M4791" s="352"/>
      <c r="N4791" s="352"/>
      <c r="O4791" s="352"/>
      <c r="P4791" s="352"/>
      <c r="Q4791" s="352"/>
      <c r="R4791" s="352"/>
      <c r="S4791" s="352"/>
      <c r="T4791" s="352"/>
      <c r="U4791" s="352"/>
      <c r="V4791" s="352"/>
      <c r="W4791" s="352"/>
      <c r="X4791" s="352"/>
      <c r="Y4791" s="352"/>
      <c r="Z4791" s="352"/>
      <c r="AA4791" s="352"/>
      <c r="AB4791" s="352"/>
      <c r="AC4791" s="352"/>
      <c r="AD4791" s="352"/>
      <c r="AE4791" s="352"/>
      <c r="AF4791" s="352"/>
      <c r="AG4791" s="352"/>
      <c r="AH4791" s="352"/>
      <c r="AI4791" s="352"/>
      <c r="AJ4791" s="352"/>
    </row>
    <row r="4792" spans="2:36" x14ac:dyDescent="0.2">
      <c r="B4792" s="352"/>
      <c r="C4792" s="352"/>
      <c r="D4792" s="352"/>
      <c r="E4792" s="352"/>
      <c r="F4792" s="352"/>
      <c r="H4792" s="352"/>
      <c r="J4792" s="352"/>
      <c r="L4792" s="352"/>
      <c r="M4792" s="352"/>
      <c r="N4792" s="352"/>
      <c r="O4792" s="352"/>
      <c r="P4792" s="352"/>
      <c r="Q4792" s="352"/>
      <c r="R4792" s="352"/>
      <c r="S4792" s="352"/>
      <c r="T4792" s="352"/>
      <c r="U4792" s="352"/>
      <c r="V4792" s="352"/>
      <c r="W4792" s="352"/>
      <c r="X4792" s="352"/>
      <c r="Y4792" s="352"/>
      <c r="Z4792" s="352"/>
      <c r="AA4792" s="352"/>
      <c r="AB4792" s="352"/>
      <c r="AC4792" s="352"/>
      <c r="AD4792" s="352"/>
      <c r="AE4792" s="352"/>
      <c r="AF4792" s="352"/>
      <c r="AG4792" s="352"/>
      <c r="AH4792" s="352"/>
      <c r="AI4792" s="352"/>
      <c r="AJ4792" s="352"/>
    </row>
    <row r="4793" spans="2:36" x14ac:dyDescent="0.2">
      <c r="B4793" s="352"/>
      <c r="C4793" s="352"/>
      <c r="D4793" s="352"/>
      <c r="E4793" s="352"/>
      <c r="F4793" s="352"/>
      <c r="H4793" s="352"/>
      <c r="J4793" s="352"/>
      <c r="L4793" s="352"/>
      <c r="M4793" s="352"/>
      <c r="N4793" s="352"/>
      <c r="O4793" s="352"/>
      <c r="P4793" s="352"/>
      <c r="Q4793" s="352"/>
      <c r="R4793" s="352"/>
      <c r="S4793" s="352"/>
      <c r="T4793" s="352"/>
      <c r="U4793" s="352"/>
      <c r="V4793" s="352"/>
      <c r="W4793" s="352"/>
      <c r="X4793" s="352"/>
      <c r="Y4793" s="352"/>
      <c r="Z4793" s="352"/>
      <c r="AA4793" s="352"/>
      <c r="AB4793" s="352"/>
      <c r="AC4793" s="352"/>
      <c r="AD4793" s="352"/>
      <c r="AE4793" s="352"/>
      <c r="AF4793" s="352"/>
      <c r="AG4793" s="352"/>
      <c r="AH4793" s="352"/>
      <c r="AI4793" s="352"/>
      <c r="AJ4793" s="352"/>
    </row>
    <row r="4794" spans="2:36" x14ac:dyDescent="0.2">
      <c r="B4794" s="352"/>
      <c r="C4794" s="352"/>
      <c r="D4794" s="352"/>
      <c r="E4794" s="352"/>
      <c r="F4794" s="352"/>
      <c r="H4794" s="352"/>
      <c r="J4794" s="352"/>
      <c r="L4794" s="352"/>
      <c r="M4794" s="352"/>
      <c r="N4794" s="352"/>
      <c r="O4794" s="352"/>
      <c r="P4794" s="352"/>
      <c r="Q4794" s="352"/>
      <c r="R4794" s="352"/>
      <c r="S4794" s="352"/>
      <c r="T4794" s="352"/>
      <c r="U4794" s="352"/>
      <c r="V4794" s="352"/>
      <c r="W4794" s="352"/>
      <c r="X4794" s="352"/>
      <c r="Y4794" s="352"/>
      <c r="Z4794" s="352"/>
      <c r="AA4794" s="352"/>
      <c r="AB4794" s="352"/>
      <c r="AC4794" s="352"/>
      <c r="AD4794" s="352"/>
      <c r="AE4794" s="352"/>
      <c r="AF4794" s="352"/>
      <c r="AG4794" s="352"/>
      <c r="AH4794" s="352"/>
      <c r="AI4794" s="352"/>
      <c r="AJ4794" s="352"/>
    </row>
    <row r="4795" spans="2:36" x14ac:dyDescent="0.2">
      <c r="B4795" s="352"/>
      <c r="C4795" s="352"/>
      <c r="D4795" s="352"/>
      <c r="E4795" s="352"/>
      <c r="F4795" s="352"/>
      <c r="H4795" s="352"/>
      <c r="J4795" s="352"/>
      <c r="L4795" s="352"/>
      <c r="M4795" s="352"/>
      <c r="N4795" s="352"/>
      <c r="O4795" s="352"/>
      <c r="P4795" s="352"/>
      <c r="Q4795" s="352"/>
      <c r="R4795" s="352"/>
      <c r="S4795" s="352"/>
      <c r="T4795" s="352"/>
      <c r="U4795" s="352"/>
      <c r="V4795" s="352"/>
      <c r="W4795" s="352"/>
      <c r="X4795" s="352"/>
      <c r="Y4795" s="352"/>
      <c r="Z4795" s="352"/>
      <c r="AA4795" s="352"/>
      <c r="AB4795" s="352"/>
      <c r="AC4795" s="352"/>
      <c r="AD4795" s="352"/>
      <c r="AE4795" s="352"/>
      <c r="AF4795" s="352"/>
      <c r="AG4795" s="352"/>
      <c r="AH4795" s="352"/>
      <c r="AI4795" s="352"/>
      <c r="AJ4795" s="352"/>
    </row>
    <row r="4796" spans="2:36" x14ac:dyDescent="0.2">
      <c r="B4796" s="352"/>
      <c r="C4796" s="352"/>
      <c r="D4796" s="352"/>
      <c r="E4796" s="352"/>
      <c r="F4796" s="352"/>
      <c r="H4796" s="352"/>
      <c r="J4796" s="352"/>
      <c r="L4796" s="352"/>
      <c r="M4796" s="352"/>
      <c r="N4796" s="352"/>
      <c r="O4796" s="352"/>
      <c r="P4796" s="352"/>
      <c r="Q4796" s="352"/>
      <c r="R4796" s="352"/>
      <c r="S4796" s="352"/>
      <c r="T4796" s="352"/>
      <c r="U4796" s="352"/>
      <c r="V4796" s="352"/>
      <c r="W4796" s="352"/>
      <c r="X4796" s="352"/>
      <c r="Y4796" s="352"/>
      <c r="Z4796" s="352"/>
      <c r="AA4796" s="352"/>
      <c r="AB4796" s="352"/>
      <c r="AC4796" s="352"/>
      <c r="AD4796" s="352"/>
      <c r="AE4796" s="352"/>
      <c r="AF4796" s="352"/>
      <c r="AG4796" s="352"/>
      <c r="AH4796" s="352"/>
      <c r="AI4796" s="352"/>
      <c r="AJ4796" s="352"/>
    </row>
    <row r="4797" spans="2:36" x14ac:dyDescent="0.2">
      <c r="B4797" s="352"/>
      <c r="C4797" s="352"/>
      <c r="D4797" s="352"/>
      <c r="E4797" s="352"/>
      <c r="F4797" s="352"/>
      <c r="H4797" s="352"/>
      <c r="J4797" s="352"/>
      <c r="L4797" s="352"/>
      <c r="M4797" s="352"/>
      <c r="N4797" s="352"/>
      <c r="O4797" s="352"/>
      <c r="P4797" s="352"/>
      <c r="Q4797" s="352"/>
      <c r="R4797" s="352"/>
      <c r="S4797" s="352"/>
      <c r="T4797" s="352"/>
      <c r="U4797" s="352"/>
      <c r="V4797" s="352"/>
      <c r="W4797" s="352"/>
      <c r="X4797" s="352"/>
      <c r="Y4797" s="352"/>
      <c r="Z4797" s="352"/>
      <c r="AA4797" s="352"/>
      <c r="AB4797" s="352"/>
      <c r="AC4797" s="352"/>
      <c r="AD4797" s="352"/>
      <c r="AE4797" s="352"/>
      <c r="AF4797" s="352"/>
      <c r="AG4797" s="352"/>
      <c r="AH4797" s="352"/>
      <c r="AI4797" s="352"/>
      <c r="AJ4797" s="352"/>
    </row>
    <row r="4798" spans="2:36" x14ac:dyDescent="0.2">
      <c r="B4798" s="352"/>
      <c r="C4798" s="352"/>
      <c r="D4798" s="352"/>
      <c r="E4798" s="352"/>
      <c r="F4798" s="352"/>
      <c r="H4798" s="352"/>
      <c r="J4798" s="352"/>
      <c r="L4798" s="352"/>
      <c r="M4798" s="352"/>
      <c r="N4798" s="352"/>
      <c r="O4798" s="352"/>
      <c r="P4798" s="352"/>
      <c r="Q4798" s="352"/>
      <c r="R4798" s="352"/>
      <c r="S4798" s="352"/>
      <c r="T4798" s="352"/>
      <c r="U4798" s="352"/>
      <c r="V4798" s="352"/>
      <c r="W4798" s="352"/>
      <c r="X4798" s="352"/>
      <c r="Y4798" s="352"/>
      <c r="Z4798" s="352"/>
      <c r="AA4798" s="352"/>
      <c r="AB4798" s="352"/>
      <c r="AC4798" s="352"/>
      <c r="AD4798" s="352"/>
      <c r="AE4798" s="352"/>
      <c r="AF4798" s="352"/>
      <c r="AG4798" s="352"/>
      <c r="AH4798" s="352"/>
      <c r="AI4798" s="352"/>
      <c r="AJ4798" s="352"/>
    </row>
    <row r="4799" spans="2:36" x14ac:dyDescent="0.2">
      <c r="B4799" s="352"/>
      <c r="C4799" s="352"/>
      <c r="D4799" s="352"/>
      <c r="E4799" s="352"/>
      <c r="F4799" s="352"/>
      <c r="H4799" s="352"/>
      <c r="J4799" s="352"/>
      <c r="L4799" s="352"/>
      <c r="M4799" s="352"/>
      <c r="N4799" s="352"/>
      <c r="O4799" s="352"/>
      <c r="P4799" s="352"/>
      <c r="Q4799" s="352"/>
      <c r="R4799" s="352"/>
      <c r="S4799" s="352"/>
      <c r="T4799" s="352"/>
      <c r="U4799" s="352"/>
      <c r="V4799" s="352"/>
      <c r="W4799" s="352"/>
      <c r="X4799" s="352"/>
      <c r="Y4799" s="352"/>
      <c r="Z4799" s="352"/>
      <c r="AA4799" s="352"/>
      <c r="AB4799" s="352"/>
      <c r="AC4799" s="352"/>
      <c r="AD4799" s="352"/>
      <c r="AE4799" s="352"/>
      <c r="AF4799" s="352"/>
      <c r="AG4799" s="352"/>
      <c r="AH4799" s="352"/>
      <c r="AI4799" s="352"/>
      <c r="AJ4799" s="352"/>
    </row>
    <row r="4800" spans="2:36" x14ac:dyDescent="0.2">
      <c r="B4800" s="352"/>
      <c r="C4800" s="352"/>
      <c r="D4800" s="352"/>
      <c r="E4800" s="352"/>
      <c r="F4800" s="352"/>
      <c r="H4800" s="352"/>
      <c r="J4800" s="352"/>
      <c r="L4800" s="352"/>
      <c r="M4800" s="352"/>
      <c r="N4800" s="352"/>
      <c r="O4800" s="352"/>
      <c r="P4800" s="352"/>
      <c r="Q4800" s="352"/>
      <c r="R4800" s="352"/>
      <c r="S4800" s="352"/>
      <c r="T4800" s="352"/>
      <c r="U4800" s="352"/>
      <c r="V4800" s="352"/>
      <c r="W4800" s="352"/>
      <c r="X4800" s="352"/>
      <c r="Y4800" s="352"/>
      <c r="Z4800" s="352"/>
      <c r="AA4800" s="352"/>
      <c r="AB4800" s="352"/>
      <c r="AC4800" s="352"/>
      <c r="AD4800" s="352"/>
      <c r="AE4800" s="352"/>
      <c r="AF4800" s="352"/>
      <c r="AG4800" s="352"/>
      <c r="AH4800" s="352"/>
      <c r="AI4800" s="352"/>
      <c r="AJ4800" s="352"/>
    </row>
    <row r="4801" spans="2:36" x14ac:dyDescent="0.2">
      <c r="B4801" s="352"/>
      <c r="C4801" s="352"/>
      <c r="D4801" s="352"/>
      <c r="E4801" s="352"/>
      <c r="F4801" s="352"/>
      <c r="H4801" s="352"/>
      <c r="J4801" s="352"/>
      <c r="L4801" s="352"/>
      <c r="M4801" s="352"/>
      <c r="N4801" s="352"/>
      <c r="O4801" s="352"/>
      <c r="P4801" s="352"/>
      <c r="Q4801" s="352"/>
      <c r="R4801" s="352"/>
      <c r="S4801" s="352"/>
      <c r="T4801" s="352"/>
      <c r="U4801" s="352"/>
      <c r="V4801" s="352"/>
      <c r="W4801" s="352"/>
      <c r="X4801" s="352"/>
      <c r="Y4801" s="352"/>
      <c r="Z4801" s="352"/>
      <c r="AA4801" s="352"/>
      <c r="AB4801" s="352"/>
      <c r="AC4801" s="352"/>
      <c r="AD4801" s="352"/>
      <c r="AE4801" s="352"/>
      <c r="AF4801" s="352"/>
      <c r="AG4801" s="352"/>
      <c r="AH4801" s="352"/>
      <c r="AI4801" s="352"/>
      <c r="AJ4801" s="352"/>
    </row>
    <row r="4802" spans="2:36" x14ac:dyDescent="0.2">
      <c r="B4802" s="352"/>
      <c r="C4802" s="352"/>
      <c r="D4802" s="352"/>
      <c r="E4802" s="352"/>
      <c r="F4802" s="352"/>
      <c r="H4802" s="352"/>
      <c r="J4802" s="352"/>
      <c r="L4802" s="352"/>
      <c r="M4802" s="352"/>
      <c r="N4802" s="352"/>
      <c r="O4802" s="352"/>
      <c r="P4802" s="352"/>
      <c r="Q4802" s="352"/>
      <c r="R4802" s="352"/>
      <c r="S4802" s="352"/>
      <c r="T4802" s="352"/>
      <c r="U4802" s="352"/>
      <c r="V4802" s="352"/>
      <c r="W4802" s="352"/>
      <c r="X4802" s="352"/>
      <c r="Y4802" s="352"/>
      <c r="Z4802" s="352"/>
      <c r="AA4802" s="352"/>
      <c r="AB4802" s="352"/>
      <c r="AC4802" s="352"/>
      <c r="AD4802" s="352"/>
      <c r="AE4802" s="352"/>
      <c r="AF4802" s="352"/>
      <c r="AG4802" s="352"/>
      <c r="AH4802" s="352"/>
      <c r="AI4802" s="352"/>
      <c r="AJ4802" s="352"/>
    </row>
    <row r="4803" spans="2:36" x14ac:dyDescent="0.2">
      <c r="B4803" s="352"/>
      <c r="C4803" s="352"/>
      <c r="D4803" s="352"/>
      <c r="E4803" s="352"/>
      <c r="F4803" s="352"/>
      <c r="H4803" s="352"/>
      <c r="J4803" s="352"/>
      <c r="L4803" s="352"/>
      <c r="M4803" s="352"/>
      <c r="N4803" s="352"/>
      <c r="O4803" s="352"/>
      <c r="P4803" s="352"/>
      <c r="Q4803" s="352"/>
      <c r="R4803" s="352"/>
      <c r="S4803" s="352"/>
      <c r="T4803" s="352"/>
      <c r="U4803" s="352"/>
      <c r="V4803" s="352"/>
      <c r="W4803" s="352"/>
      <c r="X4803" s="352"/>
      <c r="Y4803" s="352"/>
      <c r="Z4803" s="352"/>
      <c r="AA4803" s="352"/>
      <c r="AB4803" s="352"/>
      <c r="AC4803" s="352"/>
      <c r="AD4803" s="352"/>
      <c r="AE4803" s="352"/>
      <c r="AF4803" s="352"/>
      <c r="AG4803" s="352"/>
      <c r="AH4803" s="352"/>
      <c r="AI4803" s="352"/>
      <c r="AJ4803" s="352"/>
    </row>
    <row r="4804" spans="2:36" x14ac:dyDescent="0.2">
      <c r="B4804" s="352"/>
      <c r="C4804" s="352"/>
      <c r="D4804" s="352"/>
      <c r="E4804" s="352"/>
      <c r="F4804" s="352"/>
      <c r="H4804" s="352"/>
      <c r="J4804" s="352"/>
      <c r="L4804" s="352"/>
      <c r="M4804" s="352"/>
      <c r="N4804" s="352"/>
      <c r="O4804" s="352"/>
      <c r="P4804" s="352"/>
      <c r="Q4804" s="352"/>
      <c r="R4804" s="352"/>
      <c r="S4804" s="352"/>
      <c r="T4804" s="352"/>
      <c r="U4804" s="352"/>
      <c r="V4804" s="352"/>
      <c r="W4804" s="352"/>
      <c r="X4804" s="352"/>
      <c r="Y4804" s="352"/>
      <c r="Z4804" s="352"/>
      <c r="AA4804" s="352"/>
      <c r="AB4804" s="352"/>
      <c r="AC4804" s="352"/>
      <c r="AD4804" s="352"/>
      <c r="AE4804" s="352"/>
      <c r="AF4804" s="352"/>
      <c r="AG4804" s="352"/>
      <c r="AH4804" s="352"/>
      <c r="AI4804" s="352"/>
      <c r="AJ4804" s="352"/>
    </row>
    <row r="4805" spans="2:36" x14ac:dyDescent="0.2">
      <c r="B4805" s="352"/>
      <c r="C4805" s="352"/>
      <c r="D4805" s="352"/>
      <c r="E4805" s="352"/>
      <c r="F4805" s="352"/>
      <c r="H4805" s="352"/>
      <c r="J4805" s="352"/>
      <c r="L4805" s="352"/>
      <c r="M4805" s="352"/>
      <c r="N4805" s="352"/>
      <c r="O4805" s="352"/>
      <c r="P4805" s="352"/>
      <c r="Q4805" s="352"/>
      <c r="R4805" s="352"/>
      <c r="S4805" s="352"/>
      <c r="T4805" s="352"/>
      <c r="U4805" s="352"/>
      <c r="V4805" s="352"/>
      <c r="W4805" s="352"/>
      <c r="X4805" s="352"/>
      <c r="Y4805" s="352"/>
      <c r="Z4805" s="352"/>
      <c r="AA4805" s="352"/>
      <c r="AB4805" s="352"/>
      <c r="AC4805" s="352"/>
      <c r="AD4805" s="352"/>
      <c r="AE4805" s="352"/>
      <c r="AF4805" s="352"/>
      <c r="AG4805" s="352"/>
      <c r="AH4805" s="352"/>
      <c r="AI4805" s="352"/>
      <c r="AJ4805" s="352"/>
    </row>
    <row r="4806" spans="2:36" x14ac:dyDescent="0.2">
      <c r="B4806" s="352"/>
      <c r="C4806" s="352"/>
      <c r="D4806" s="352"/>
      <c r="E4806" s="352"/>
      <c r="F4806" s="352"/>
      <c r="H4806" s="352"/>
      <c r="J4806" s="352"/>
      <c r="L4806" s="352"/>
      <c r="M4806" s="352"/>
      <c r="N4806" s="352"/>
      <c r="O4806" s="352"/>
      <c r="P4806" s="352"/>
      <c r="Q4806" s="352"/>
      <c r="R4806" s="352"/>
      <c r="S4806" s="352"/>
      <c r="T4806" s="352"/>
      <c r="U4806" s="352"/>
      <c r="V4806" s="352"/>
      <c r="W4806" s="352"/>
      <c r="X4806" s="352"/>
      <c r="Y4806" s="352"/>
      <c r="Z4806" s="352"/>
      <c r="AA4806" s="352"/>
      <c r="AB4806" s="352"/>
      <c r="AC4806" s="352"/>
      <c r="AD4806" s="352"/>
      <c r="AE4806" s="352"/>
      <c r="AF4806" s="352"/>
      <c r="AG4806" s="352"/>
      <c r="AH4806" s="352"/>
      <c r="AI4806" s="352"/>
      <c r="AJ4806" s="352"/>
    </row>
    <row r="4807" spans="2:36" x14ac:dyDescent="0.2">
      <c r="B4807" s="352"/>
      <c r="C4807" s="352"/>
      <c r="D4807" s="352"/>
      <c r="E4807" s="352"/>
      <c r="F4807" s="352"/>
      <c r="H4807" s="352"/>
      <c r="J4807" s="352"/>
      <c r="L4807" s="352"/>
      <c r="M4807" s="352"/>
      <c r="N4807" s="352"/>
      <c r="O4807" s="352"/>
      <c r="P4807" s="352"/>
      <c r="Q4807" s="352"/>
      <c r="R4807" s="352"/>
      <c r="S4807" s="352"/>
      <c r="T4807" s="352"/>
      <c r="U4807" s="352"/>
      <c r="V4807" s="352"/>
      <c r="W4807" s="352"/>
      <c r="X4807" s="352"/>
      <c r="Y4807" s="352"/>
      <c r="Z4807" s="352"/>
      <c r="AA4807" s="352"/>
      <c r="AB4807" s="352"/>
      <c r="AC4807" s="352"/>
      <c r="AD4807" s="352"/>
      <c r="AE4807" s="352"/>
      <c r="AF4807" s="352"/>
      <c r="AG4807" s="352"/>
      <c r="AH4807" s="352"/>
      <c r="AI4807" s="352"/>
      <c r="AJ4807" s="352"/>
    </row>
    <row r="4808" spans="2:36" x14ac:dyDescent="0.2">
      <c r="B4808" s="352"/>
      <c r="C4808" s="352"/>
      <c r="D4808" s="352"/>
      <c r="E4808" s="352"/>
      <c r="F4808" s="352"/>
      <c r="H4808" s="352"/>
      <c r="J4808" s="352"/>
      <c r="L4808" s="352"/>
      <c r="M4808" s="352"/>
      <c r="N4808" s="352"/>
      <c r="O4808" s="352"/>
      <c r="P4808" s="352"/>
      <c r="Q4808" s="352"/>
      <c r="R4808" s="352"/>
      <c r="S4808" s="352"/>
      <c r="T4808" s="352"/>
      <c r="U4808" s="352"/>
      <c r="V4808" s="352"/>
      <c r="W4808" s="352"/>
      <c r="X4808" s="352"/>
      <c r="Y4808" s="352"/>
      <c r="Z4808" s="352"/>
      <c r="AA4808" s="352"/>
      <c r="AB4808" s="352"/>
      <c r="AC4808" s="352"/>
      <c r="AD4808" s="352"/>
      <c r="AE4808" s="352"/>
      <c r="AF4808" s="352"/>
      <c r="AG4808" s="352"/>
      <c r="AH4808" s="352"/>
      <c r="AI4808" s="352"/>
      <c r="AJ4808" s="352"/>
    </row>
    <row r="4809" spans="2:36" x14ac:dyDescent="0.2">
      <c r="B4809" s="352"/>
      <c r="C4809" s="352"/>
      <c r="D4809" s="352"/>
      <c r="E4809" s="352"/>
      <c r="F4809" s="352"/>
      <c r="H4809" s="352"/>
      <c r="J4809" s="352"/>
      <c r="L4809" s="352"/>
      <c r="M4809" s="352"/>
      <c r="N4809" s="352"/>
      <c r="O4809" s="352"/>
      <c r="P4809" s="352"/>
      <c r="Q4809" s="352"/>
      <c r="R4809" s="352"/>
      <c r="S4809" s="352"/>
      <c r="T4809" s="352"/>
      <c r="U4809" s="352"/>
      <c r="V4809" s="352"/>
      <c r="W4809" s="352"/>
      <c r="X4809" s="352"/>
      <c r="Y4809" s="352"/>
      <c r="Z4809" s="352"/>
      <c r="AA4809" s="352"/>
      <c r="AB4809" s="352"/>
      <c r="AC4809" s="352"/>
      <c r="AD4809" s="352"/>
      <c r="AE4809" s="352"/>
      <c r="AF4809" s="352"/>
      <c r="AG4809" s="352"/>
      <c r="AH4809" s="352"/>
      <c r="AI4809" s="352"/>
      <c r="AJ4809" s="352"/>
    </row>
    <row r="4810" spans="2:36" x14ac:dyDescent="0.2">
      <c r="B4810" s="352"/>
      <c r="C4810" s="352"/>
      <c r="D4810" s="352"/>
      <c r="E4810" s="352"/>
      <c r="F4810" s="352"/>
      <c r="H4810" s="352"/>
      <c r="J4810" s="352"/>
      <c r="L4810" s="352"/>
      <c r="M4810" s="352"/>
      <c r="N4810" s="352"/>
      <c r="O4810" s="352"/>
      <c r="P4810" s="352"/>
      <c r="Q4810" s="352"/>
      <c r="R4810" s="352"/>
      <c r="S4810" s="352"/>
      <c r="T4810" s="352"/>
      <c r="U4810" s="352"/>
      <c r="V4810" s="352"/>
      <c r="W4810" s="352"/>
      <c r="X4810" s="352"/>
      <c r="Y4810" s="352"/>
      <c r="Z4810" s="352"/>
      <c r="AA4810" s="352"/>
      <c r="AB4810" s="352"/>
      <c r="AC4810" s="352"/>
      <c r="AD4810" s="352"/>
      <c r="AE4810" s="352"/>
      <c r="AF4810" s="352"/>
      <c r="AG4810" s="352"/>
      <c r="AH4810" s="352"/>
      <c r="AI4810" s="352"/>
      <c r="AJ4810" s="352"/>
    </row>
  </sheetData>
  <mergeCells count="13">
    <mergeCell ref="A5:E5"/>
    <mergeCell ref="G5:H7"/>
    <mergeCell ref="I5:J7"/>
    <mergeCell ref="K5:L7"/>
    <mergeCell ref="M6:M7"/>
    <mergeCell ref="N6:N7"/>
    <mergeCell ref="U5:AB5"/>
    <mergeCell ref="AE6:AH6"/>
    <mergeCell ref="O6:O7"/>
    <mergeCell ref="P6:P7"/>
    <mergeCell ref="Q6:Q7"/>
    <mergeCell ref="R6:R7"/>
    <mergeCell ref="S5:T7"/>
  </mergeCells>
  <phoneticPr fontId="17" type="noConversion"/>
  <conditionalFormatting sqref="AG2343:AH2345 AG2420:AH2426 AG2348:AH2351 AG2379:AH2380 AG2429:AH2434 AG2385:AH2386 AG1243:AH1265 AG963:AH1010 AG1070:AH1100">
    <cfRule type="expression" dxfId="655" priority="901">
      <formula>AND(AE963=0,(AG963&gt;0))</formula>
    </cfRule>
    <cfRule type="expression" dxfId="654" priority="902">
      <formula>((AG963-AE963)/AE963)&gt;0.05</formula>
    </cfRule>
  </conditionalFormatting>
  <conditionalFormatting sqref="H2343:H2345 L2343:L2345 V2343:V2345 AD2343:AD2345 J2343:J2345 AD2420:AD2426 AD2348:AD2351 V2420:V2426 V2348:V2351 L2420:L2426 L2348:L2351 H2420:H2426 H2348:H2351 J2420:J2426 J2348:J2351 H2379:H2380 L2379:L2380 V2379:V2380 AD2379:AD2380 J2379:J2380 H2429:H2434 H2385:H2386 L2429:L2434 L2385:L2386 V2429:V2434 V2385:V2386 AD2429:AD2434 AD2385:AD2386 J2429:J2434 J2385:J2386 AD1243:AD1307 V1243:V1307 J1243:J1307 H1243:H1307 L1243:L1307 H963:H988 AD963:AD988 J963:J994 AD991:AD994 AD1007:AD1010 AD998:AD1005 J1007:J1010 J998:J1005 V963:V1010 L963:L1010 H991:H1010 AD1070:AD1100 J1070:J1100 H1070:H1100 L1070:L1100 V1070:V1100">
    <cfRule type="expression" dxfId="653" priority="917">
      <formula>AND(G963=0,(H963&gt;0))</formula>
    </cfRule>
    <cfRule type="expression" dxfId="652" priority="918">
      <formula>((H963-G963)/G963)&gt;0.05</formula>
    </cfRule>
  </conditionalFormatting>
  <conditionalFormatting sqref="P2343:Q2345 Z2343:AA2345 Z2420:AA2426 Z2348:AA2351 P2420:Q2426 P2348:Q2351 P2379:Q2380 Z2379:AA2380 P2429:Q2434 P2385:Q2386 Z2429:AA2434 Z2385:AA2386 Z1243:AA1307 P1243:Q1307 Q990 P963:Q988 Z963:AA1010 P991:Q1010 Z1070:AA1100 P1070:Q1100">
    <cfRule type="expression" dxfId="651" priority="915">
      <formula>AND(M963=0,(P963&gt;0))</formula>
    </cfRule>
    <cfRule type="expression" dxfId="650" priority="916">
      <formula>((P963-M963)/M963)&gt;0.05</formula>
    </cfRule>
  </conditionalFormatting>
  <conditionalFormatting sqref="AD1641:AD1770 V1641:V1675 H1641:H1770 L1641:L1770">
    <cfRule type="expression" dxfId="649" priority="737">
      <formula>AND(G1641=0,(H1641&gt;0))</formula>
    </cfRule>
    <cfRule type="expression" dxfId="648" priority="738">
      <formula>((H1641-G1641)/G1641)&gt;0.05</formula>
    </cfRule>
  </conditionalFormatting>
  <conditionalFormatting sqref="AH1632:AH1640 AG1633:AG1639">
    <cfRule type="expression" dxfId="647" priority="727">
      <formula>AND(AE1632=0,(AG1632&gt;0))</formula>
    </cfRule>
    <cfRule type="expression" dxfId="646" priority="728">
      <formula>((AG1632-AE1632)/AE1632)&gt;0.05</formula>
    </cfRule>
  </conditionalFormatting>
  <conditionalFormatting sqref="J1645:J1647 L1632:L1640 J1632:J1638 AD1632:AD1635 J1641 J1649:J1664 AD1637:AD1639 J1667:J1770 J1643 H1632:H1640 V1632:V1640 V1677 V1680:V1682 V1684 V1690:V1694 V1699:V1710 V1715:V1736 V1741:V1770">
    <cfRule type="expression" dxfId="645" priority="731">
      <formula>AND(G1632=0,(H1632&gt;0))</formula>
    </cfRule>
    <cfRule type="expression" dxfId="644" priority="732">
      <formula>((H1632-G1632)/G1632)&gt;0.05</formula>
    </cfRule>
  </conditionalFormatting>
  <conditionalFormatting sqref="Z1632:AA1640 P1632:P1636 P1638:P1640 P1647:P1650 P1652:P1653 P1655:P1656 P1658:Q1659 Q1661:Q1770 P1661:P1662 P1664:P1770">
    <cfRule type="expression" dxfId="643" priority="729">
      <formula>AND(M1632=0,(P1632&gt;0))</formula>
    </cfRule>
    <cfRule type="expression" dxfId="642" priority="730">
      <formula>((P1632-M1632)/M1632)&gt;0.05</formula>
    </cfRule>
  </conditionalFormatting>
  <conditionalFormatting sqref="H1771:H1799 J1771:J1799 L1771:L1799 V1771:V1799 AD1771:AD1799">
    <cfRule type="expression" dxfId="641" priority="725">
      <formula>AND(G1771=0,(H1771&gt;0))</formula>
    </cfRule>
    <cfRule type="expression" dxfId="640" priority="726">
      <formula>((H1771-G1771)/G1771)&gt;0.05</formula>
    </cfRule>
  </conditionalFormatting>
  <conditionalFormatting sqref="H1483:H1578 J1483:J1578 L1483:L1578 AD1483:AD1578 V1530:V1578 V1483:V1527">
    <cfRule type="expression" dxfId="639" priority="749">
      <formula>AND(G1483=0,(H1483&gt;0))</formula>
    </cfRule>
    <cfRule type="expression" dxfId="638" priority="750">
      <formula>((H1483-G1483)/G1483)&gt;0.05</formula>
    </cfRule>
  </conditionalFormatting>
  <conditionalFormatting sqref="AG914:AH932">
    <cfRule type="expression" dxfId="637" priority="769">
      <formula>AND(AE914=0,(AG914&gt;0))</formula>
    </cfRule>
    <cfRule type="expression" dxfId="636" priority="770">
      <formula>((AG914-AE914)/AE914)&gt;0.05</formula>
    </cfRule>
  </conditionalFormatting>
  <conditionalFormatting sqref="AD914:AD932 J914:J932 V914:V932 L914:L932 H914:H932">
    <cfRule type="expression" dxfId="635" priority="773">
      <formula>AND(G914=0,(H914&gt;0))</formula>
    </cfRule>
    <cfRule type="expression" dxfId="634" priority="774">
      <formula>((H914-G914)/G914)&gt;0.05</formula>
    </cfRule>
  </conditionalFormatting>
  <conditionalFormatting sqref="P914:Q932 Z914:AA932">
    <cfRule type="expression" dxfId="633" priority="771">
      <formula>AND(M914=0,(P914&gt;0))</formula>
    </cfRule>
    <cfRule type="expression" dxfId="632" priority="772">
      <formula>((P914-M914)/M914)&gt;0.05</formula>
    </cfRule>
  </conditionalFormatting>
  <conditionalFormatting sqref="H760:H817 J760:J817 L760:L817 V760:V817 AD760:AD817">
    <cfRule type="expression" dxfId="631" priority="767">
      <formula>AND(G760=0,(H760&gt;0))</formula>
    </cfRule>
    <cfRule type="expression" dxfId="630" priority="768">
      <formula>((H760-G760)/G760)&gt;0.05</formula>
    </cfRule>
  </conditionalFormatting>
  <conditionalFormatting sqref="P760:Q817 Z760:AA817">
    <cfRule type="expression" dxfId="629" priority="765">
      <formula>AND(M760=0,(P760&gt;0))</formula>
    </cfRule>
    <cfRule type="expression" dxfId="628" priority="766">
      <formula>((P760-M760)/M760)&gt;0.05</formula>
    </cfRule>
  </conditionalFormatting>
  <conditionalFormatting sqref="AG760:AH817">
    <cfRule type="expression" dxfId="627" priority="763">
      <formula>AND(AE760=0,(AG760&gt;0))</formula>
    </cfRule>
    <cfRule type="expression" dxfId="626" priority="764">
      <formula>((AG760-AE760)/AE760)&gt;0.05</formula>
    </cfRule>
  </conditionalFormatting>
  <conditionalFormatting sqref="AG818:AH913">
    <cfRule type="expression" dxfId="625" priority="757">
      <formula>AND(AE818=0,(AG818&gt;0))</formula>
    </cfRule>
    <cfRule type="expression" dxfId="624" priority="758">
      <formula>((AG818-AE818)/AE818)&gt;0.05</formula>
    </cfRule>
  </conditionalFormatting>
  <conditionalFormatting sqref="H818:H913 J818:J913 L818:L913 V818:V913 AD818:AD913">
    <cfRule type="expression" dxfId="623" priority="761">
      <formula>AND(G818=0,(H818&gt;0))</formula>
    </cfRule>
    <cfRule type="expression" dxfId="622" priority="762">
      <formula>((H818-G818)/G818)&gt;0.05</formula>
    </cfRule>
  </conditionalFormatting>
  <conditionalFormatting sqref="P818:Q913 Z818:AA913">
    <cfRule type="expression" dxfId="621" priority="759">
      <formula>AND(M818=0,(P818&gt;0))</formula>
    </cfRule>
    <cfRule type="expression" dxfId="620" priority="760">
      <formula>((P818-M818)/M818)&gt;0.05</formula>
    </cfRule>
  </conditionalFormatting>
  <conditionalFormatting sqref="AG1483:AH1513 AG1515:AH1578 AH1514">
    <cfRule type="expression" dxfId="619" priority="745">
      <formula>AND(AE1483=0,(AG1483&gt;0))</formula>
    </cfRule>
    <cfRule type="expression" dxfId="618" priority="746">
      <formula>((AG1483-AE1483)/AE1483)&gt;0.05</formula>
    </cfRule>
  </conditionalFormatting>
  <conditionalFormatting sqref="Z1483:AA1578">
    <cfRule type="expression" dxfId="617" priority="747">
      <formula>AND(W1483=0,(Z1483&gt;0))</formula>
    </cfRule>
    <cfRule type="expression" dxfId="616" priority="748">
      <formula>((Z1483-W1483)/W1483)&gt;0.05</formula>
    </cfRule>
  </conditionalFormatting>
  <conditionalFormatting sqref="AG1102:AG1117">
    <cfRule type="expression" dxfId="615" priority="635">
      <formula>AND(AD1102=0,(AG1102&gt;0))</formula>
    </cfRule>
    <cfRule type="expression" dxfId="614" priority="636">
      <formula>((AG1102-AD1102)/AD1102)&gt;0.05</formula>
    </cfRule>
  </conditionalFormatting>
  <conditionalFormatting sqref="H1173 L1173 AD1173 V1173 J1173">
    <cfRule type="expression" dxfId="613" priority="631">
      <formula>AND(G1173=0,(H1173&gt;0))</formula>
    </cfRule>
    <cfRule type="expression" dxfId="612" priority="632">
      <formula>((H1173-G1173)/G1173)&gt;0.05</formula>
    </cfRule>
  </conditionalFormatting>
  <conditionalFormatting sqref="Z1173:AA1173 P1173:Q1173">
    <cfRule type="expression" dxfId="611" priority="629">
      <formula>AND(M1173=0,(P1173&gt;0))</formula>
    </cfRule>
    <cfRule type="expression" dxfId="610" priority="630">
      <formula>((P1173-M1173)/M1173)&gt;0.05</formula>
    </cfRule>
  </conditionalFormatting>
  <conditionalFormatting sqref="AG1173:AH1173">
    <cfRule type="expression" dxfId="609" priority="627">
      <formula>AND(AE1173=0,(AG1173&gt;0))</formula>
    </cfRule>
    <cfRule type="expression" dxfId="608" priority="628">
      <formula>((AG1173-AE1173)/AE1173)&gt;0.05</formula>
    </cfRule>
  </conditionalFormatting>
  <conditionalFormatting sqref="V1178">
    <cfRule type="expression" dxfId="607" priority="625">
      <formula>AND(U1178=0,(V1178&gt;0))</formula>
    </cfRule>
    <cfRule type="expression" dxfId="606" priority="626">
      <formula>((V1178-U1178)/U1178)&gt;0.05</formula>
    </cfRule>
  </conditionalFormatting>
  <conditionalFormatting sqref="AG1514">
    <cfRule type="expression" dxfId="605" priority="739">
      <formula>AND(AE1514=0,(AG1514&gt;0))</formula>
    </cfRule>
    <cfRule type="expression" dxfId="604" priority="740">
      <formula>((AG1514-AE1514)/AE1514)&gt;0.05</formula>
    </cfRule>
  </conditionalFormatting>
  <conditionalFormatting sqref="P1483:Q1578">
    <cfRule type="expression" dxfId="603" priority="743">
      <formula>AND(M1483=0,(P1483&gt;0))</formula>
    </cfRule>
    <cfRule type="expression" dxfId="602" priority="744">
      <formula>((P1483-M1483)/M1483)&gt;0.05</formula>
    </cfRule>
  </conditionalFormatting>
  <conditionalFormatting sqref="V1528">
    <cfRule type="expression" dxfId="601" priority="741">
      <formula>AND(U1529=0,(V1528&gt;0))</formula>
    </cfRule>
    <cfRule type="expression" dxfId="600" priority="742">
      <formula>((V1528-U1529)/U1529)&gt;0.05</formula>
    </cfRule>
  </conditionalFormatting>
  <conditionalFormatting sqref="AG1641:AH1770">
    <cfRule type="expression" dxfId="599" priority="733">
      <formula>AND(AE1641=0,(AG1641&gt;0))</formula>
    </cfRule>
    <cfRule type="expression" dxfId="598" priority="734">
      <formula>((AG1641-AE1641)/AE1641)&gt;0.05</formula>
    </cfRule>
  </conditionalFormatting>
  <conditionalFormatting sqref="P1641:P1645 Z1641:AA1770">
    <cfRule type="expression" dxfId="597" priority="735">
      <formula>AND(M1641=0,(P1641&gt;0))</formula>
    </cfRule>
    <cfRule type="expression" dxfId="596" priority="736">
      <formula>((P1641-M1641)/M1641)&gt;0.05</formula>
    </cfRule>
  </conditionalFormatting>
  <conditionalFormatting sqref="P1771:Q1799 Z1771:AA1799">
    <cfRule type="expression" dxfId="595" priority="723">
      <formula>AND(M1771=0,(P1771&gt;0))</formula>
    </cfRule>
    <cfRule type="expression" dxfId="594" priority="724">
      <formula>((P1771-M1771)/M1771)&gt;0.05</formula>
    </cfRule>
  </conditionalFormatting>
  <conditionalFormatting sqref="AG1771:AH1799">
    <cfRule type="expression" dxfId="593" priority="721">
      <formula>AND(AE1771=0,(AG1771&gt;0))</formula>
    </cfRule>
    <cfRule type="expression" dxfId="592" priority="722">
      <formula>((AG1771-AE1771)/AE1771)&gt;0.05</formula>
    </cfRule>
  </conditionalFormatting>
  <conditionalFormatting sqref="AG2877:AH2944">
    <cfRule type="expression" dxfId="591" priority="699">
      <formula>AND(AE2877=0,(AG2877&gt;0))</formula>
    </cfRule>
    <cfRule type="expression" dxfId="590" priority="700">
      <formula>((AG2877-AE2877)/AE2877)&gt;0.05</formula>
    </cfRule>
  </conditionalFormatting>
  <conditionalFormatting sqref="H2877:H2944 J2877:J2944 L2877:L2944 V2877:V2944 AD2877:AD2944">
    <cfRule type="expression" dxfId="589" priority="703">
      <formula>AND(G2877=0,(H2877&gt;0))</formula>
    </cfRule>
    <cfRule type="expression" dxfId="588" priority="704">
      <formula>((H2877-G2877)/G2877)&gt;0.05</formula>
    </cfRule>
  </conditionalFormatting>
  <conditionalFormatting sqref="Z2877:AA2944 P2877:Q2944">
    <cfRule type="expression" dxfId="587" priority="701">
      <formula>AND(M2877=0,(P2877&gt;0))</formula>
    </cfRule>
    <cfRule type="expression" dxfId="586" priority="702">
      <formula>((P2877-M2877)/M2877)&gt;0.05</formula>
    </cfRule>
  </conditionalFormatting>
  <conditionalFormatting sqref="AD2954:AD2959 V2954:V2959 L2954:L2959 J2954:J2959 H2954:H2959">
    <cfRule type="expression" dxfId="585" priority="697">
      <formula>AND(G2954=0,(H2954&gt;0))</formula>
    </cfRule>
    <cfRule type="expression" dxfId="584" priority="698">
      <formula>((H2954-G2954)/G2954)&gt;0.05</formula>
    </cfRule>
  </conditionalFormatting>
  <conditionalFormatting sqref="Z2954:AA2959 P2954:Q2959">
    <cfRule type="expression" dxfId="583" priority="695">
      <formula>AND(M2954=0,(P2954&gt;0))</formula>
    </cfRule>
    <cfRule type="expression" dxfId="582" priority="696">
      <formula>((P2954-M2954)/M2954)&gt;0.05</formula>
    </cfRule>
  </conditionalFormatting>
  <conditionalFormatting sqref="AG2954:AH2959">
    <cfRule type="expression" dxfId="581" priority="693">
      <formula>AND(AE2954=0,(AG2954&gt;0))</formula>
    </cfRule>
    <cfRule type="expression" dxfId="580" priority="694">
      <formula>((AG2954-AE2954)/AE2954)&gt;0.05</formula>
    </cfRule>
  </conditionalFormatting>
  <conditionalFormatting sqref="H2945:H2953 J2945:J2953 L2945:L2953 V2945:V2953 AD2945:AD2953">
    <cfRule type="expression" dxfId="579" priority="691">
      <formula>AND(G2945=0,(H2945&gt;0))</formula>
    </cfRule>
    <cfRule type="expression" dxfId="578" priority="692">
      <formula>((H2945-G2945)/G2945)&gt;0.05</formula>
    </cfRule>
  </conditionalFormatting>
  <conditionalFormatting sqref="P2945:Q2953 Z2945:AA2953">
    <cfRule type="expression" dxfId="577" priority="689">
      <formula>AND(M2945=0,(P2945&gt;0))</formula>
    </cfRule>
    <cfRule type="expression" dxfId="576" priority="690">
      <formula>((P2945-M2945)/M2945)&gt;0.05</formula>
    </cfRule>
  </conditionalFormatting>
  <conditionalFormatting sqref="AG2945:AH2953">
    <cfRule type="expression" dxfId="575" priority="687">
      <formula>AND(AE2945=0,(AG2945&gt;0))</formula>
    </cfRule>
    <cfRule type="expression" dxfId="574" priority="688">
      <formula>((AG2945-AE2945)/AE2945)&gt;0.05</formula>
    </cfRule>
  </conditionalFormatting>
  <conditionalFormatting sqref="H2960:H2982 J2960:J2982 L2960:L2982 V2960:V2982 AD2960:AD2982">
    <cfRule type="expression" dxfId="573" priority="685">
      <formula>AND(G2960=0,(H2960&gt;0))</formula>
    </cfRule>
    <cfRule type="expression" dxfId="572" priority="686">
      <formula>((H2960-G2960)/G2960)&gt;0.05</formula>
    </cfRule>
  </conditionalFormatting>
  <conditionalFormatting sqref="P2960:Q2982 Z2960:AA2982">
    <cfRule type="expression" dxfId="571" priority="683">
      <formula>AND(M2960=0,(P2960&gt;0))</formula>
    </cfRule>
    <cfRule type="expression" dxfId="570" priority="684">
      <formula>((P2960-M2960)/M2960)&gt;0.05</formula>
    </cfRule>
  </conditionalFormatting>
  <conditionalFormatting sqref="AG2960:AH2982">
    <cfRule type="expression" dxfId="569" priority="681">
      <formula>AND(AE2960=0,(AG2960&gt;0))</formula>
    </cfRule>
    <cfRule type="expression" dxfId="568" priority="682">
      <formula>((AG2960-AE2960)/AE2960)&gt;0.05</formula>
    </cfRule>
  </conditionalFormatting>
  <conditionalFormatting sqref="J1101:J1134 V1179:V1197 H1101:H1172 L1101:L1172 AD1101:AD1172 V1101:V1172 J1137:J1172 J1174:J1216 V1174:V1177 AD1174:AD1216 L1174:L1216 H1174:H1216">
    <cfRule type="expression" dxfId="567" priority="641">
      <formula>AND(G1101=0,(H1101&gt;0))</formula>
    </cfRule>
    <cfRule type="expression" dxfId="566" priority="642">
      <formula>((H1101-G1101)/G1101)&gt;0.05</formula>
    </cfRule>
  </conditionalFormatting>
  <conditionalFormatting sqref="Z1101:AA1172 P1174:Q1216 Z1174:AA1216 P1101:Q1172">
    <cfRule type="expression" dxfId="565" priority="639">
      <formula>AND(M1101=0,(P1101&gt;0))</formula>
    </cfRule>
    <cfRule type="expression" dxfId="564" priority="640">
      <formula>((P1101-M1101)/M1101)&gt;0.05</formula>
    </cfRule>
  </conditionalFormatting>
  <conditionalFormatting sqref="AG1101:AH1101 AH1102:AH1117 AG1118:AH1172 AG1174:AH1216">
    <cfRule type="expression" dxfId="563" priority="637">
      <formula>AND(AE1101=0,(AG1101&gt;0))</formula>
    </cfRule>
    <cfRule type="expression" dxfId="562" priority="638">
      <formula>((AG1101-AE1101)/AE1101)&gt;0.05</formula>
    </cfRule>
  </conditionalFormatting>
  <conditionalFormatting sqref="J1135:J1136">
    <cfRule type="expression" dxfId="561" priority="633">
      <formula>AND(I1135=0,(J1135&gt;0))</formula>
    </cfRule>
    <cfRule type="expression" dxfId="560" priority="634">
      <formula>((J1135-I1135)/I1135)&gt;0.05</formula>
    </cfRule>
  </conditionalFormatting>
  <conditionalFormatting sqref="AG561:AH759">
    <cfRule type="expression" dxfId="559" priority="619">
      <formula>AND(AE561=0,(AG561&gt;0))</formula>
    </cfRule>
    <cfRule type="expression" dxfId="558" priority="620">
      <formula>((AG561-AE561)/AE561)&gt;0.05</formula>
    </cfRule>
  </conditionalFormatting>
  <conditionalFormatting sqref="H561:H759 J561:J759 L561:L759 V561:V759 AD561:AD759">
    <cfRule type="expression" dxfId="557" priority="623">
      <formula>AND(G561=0,(H561&gt;0))</formula>
    </cfRule>
    <cfRule type="expression" dxfId="556" priority="624">
      <formula>((H561-G561)/G561)&gt;0.05</formula>
    </cfRule>
  </conditionalFormatting>
  <conditionalFormatting sqref="P561:Q759 Z561:AA759">
    <cfRule type="expression" dxfId="555" priority="621">
      <formula>AND(M561=0,(P561&gt;0))</formula>
    </cfRule>
    <cfRule type="expression" dxfId="554" priority="622">
      <formula>((P561-M561)/M561)&gt;0.05</formula>
    </cfRule>
  </conditionalFormatting>
  <conditionalFormatting sqref="AG1267:AH1307">
    <cfRule type="expression" dxfId="553" priority="601">
      <formula>AND(AE1267=0,(AG1267&gt;0))</formula>
    </cfRule>
    <cfRule type="expression" dxfId="552" priority="602">
      <formula>((AG1267-AE1267)/AE1267)&gt;0.05</formula>
    </cfRule>
  </conditionalFormatting>
  <conditionalFormatting sqref="H1217:H1242 J1217:J1242 L1217:L1242 V1217:V1242 AD1217:AD1242">
    <cfRule type="expression" dxfId="551" priority="599">
      <formula>AND(G1217=0,(H1217&gt;0))</formula>
    </cfRule>
    <cfRule type="expression" dxfId="550" priority="600">
      <formula>((H1217-G1217)/G1217)&gt;0.05</formula>
    </cfRule>
  </conditionalFormatting>
  <conditionalFormatting sqref="P1217:Q1242 Z1217:AA1242">
    <cfRule type="expression" dxfId="549" priority="597">
      <formula>AND(M1217=0,(P1217&gt;0))</formula>
    </cfRule>
    <cfRule type="expression" dxfId="548" priority="598">
      <formula>((P1217-M1217)/M1217)&gt;0.05</formula>
    </cfRule>
  </conditionalFormatting>
  <conditionalFormatting sqref="AG1217:AH1242">
    <cfRule type="expression" dxfId="547" priority="595">
      <formula>AND(AE1217=0,(AG1217&gt;0))</formula>
    </cfRule>
    <cfRule type="expression" dxfId="546" priority="596">
      <formula>((AG1217-AE1217)/AE1217)&gt;0.05</formula>
    </cfRule>
  </conditionalFormatting>
  <conditionalFormatting sqref="AH1266">
    <cfRule type="expression" dxfId="545" priority="593">
      <formula>AND(AF1266=0,(AH1266&gt;0))</formula>
    </cfRule>
    <cfRule type="expression" dxfId="544" priority="594">
      <formula>((AH1266-AF1266)/AF1266)&gt;0.05</formula>
    </cfRule>
  </conditionalFormatting>
  <conditionalFormatting sqref="AG1266">
    <cfRule type="expression" dxfId="543" priority="591">
      <formula>AND(AE1266=0,(AG1266&gt;0))</formula>
    </cfRule>
    <cfRule type="expression" dxfId="542" priority="592">
      <formula>((AG1266-AE1266)/AE1266)&gt;0.05</formula>
    </cfRule>
  </conditionalFormatting>
  <conditionalFormatting sqref="H1800:H1884 J1800:J1884 L1800:L1884 V1800:V1884 AD1800:AD1884">
    <cfRule type="expression" dxfId="541" priority="589">
      <formula>AND(G1800=0,(H1800&gt;0))</formula>
    </cfRule>
    <cfRule type="expression" dxfId="540" priority="590">
      <formula>((H1800-G1800)/G1800)&gt;0.05</formula>
    </cfRule>
  </conditionalFormatting>
  <conditionalFormatting sqref="P1800:Q1884 Z1800:AA1884">
    <cfRule type="expression" dxfId="539" priority="587">
      <formula>AND(M1800=0,(P1800&gt;0))</formula>
    </cfRule>
    <cfRule type="expression" dxfId="538" priority="588">
      <formula>((P1800-M1800)/M1800)&gt;0.05</formula>
    </cfRule>
  </conditionalFormatting>
  <conditionalFormatting sqref="AG1800:AH1884">
    <cfRule type="expression" dxfId="537" priority="585">
      <formula>AND(AE1800=0,(AG1800&gt;0))</formula>
    </cfRule>
    <cfRule type="expression" dxfId="536" priority="586">
      <formula>((AG1800-AE1800)/AE1800)&gt;0.05</formula>
    </cfRule>
  </conditionalFormatting>
  <conditionalFormatting sqref="H1885:H1993 J1885:J1993 L1885:L1993 V1885:V1993 AD1885:AD1993">
    <cfRule type="expression" dxfId="535" priority="583">
      <formula>AND(G1885=0,(H1885&gt;0))</formula>
    </cfRule>
    <cfRule type="expression" dxfId="534" priority="584">
      <formula>((H1885-G1885)/G1885)&gt;0.05</formula>
    </cfRule>
  </conditionalFormatting>
  <conditionalFormatting sqref="P1885:Q1993 Z1885:AA1993">
    <cfRule type="expression" dxfId="533" priority="581">
      <formula>AND(M1885=0,(P1885&gt;0))</formula>
    </cfRule>
    <cfRule type="expression" dxfId="532" priority="582">
      <formula>((P1885-M1885)/M1885)&gt;0.05</formula>
    </cfRule>
  </conditionalFormatting>
  <conditionalFormatting sqref="AG1885:AH1993">
    <cfRule type="expression" dxfId="531" priority="579">
      <formula>AND(AE1885=0,(AG1885&gt;0))</formula>
    </cfRule>
    <cfRule type="expression" dxfId="530" priority="580">
      <formula>((AG1885-AE1885)/AE1885)&gt;0.05</formula>
    </cfRule>
  </conditionalFormatting>
  <conditionalFormatting sqref="H1994:H2037 J1994:J2037 L1994:L2037 AD1994:AD2037 V1994:V2037">
    <cfRule type="expression" dxfId="529" priority="577">
      <formula>AND(G1994=0,(H1994&gt;0))</formula>
    </cfRule>
    <cfRule type="expression" dxfId="528" priority="578">
      <formula>((H1994-G1994)/G1994)&gt;0.05</formula>
    </cfRule>
  </conditionalFormatting>
  <conditionalFormatting sqref="Z1994:AA2037 P1994:Q2037">
    <cfRule type="expression" dxfId="527" priority="575">
      <formula>AND(M1994=0,(P1994&gt;0))</formula>
    </cfRule>
    <cfRule type="expression" dxfId="526" priority="576">
      <formula>((P1994-M1994)/M1994)&gt;0.05</formula>
    </cfRule>
  </conditionalFormatting>
  <conditionalFormatting sqref="AG1994:AH2037">
    <cfRule type="expression" dxfId="525" priority="573">
      <formula>AND(AE1994=0,(AG1994&gt;0))</formula>
    </cfRule>
    <cfRule type="expression" dxfId="524" priority="574">
      <formula>((AG1994-AE1994)/AE1994)&gt;0.05</formula>
    </cfRule>
  </conditionalFormatting>
  <conditionalFormatting sqref="AG2049:AH2108">
    <cfRule type="expression" dxfId="523" priority="567">
      <formula>AND(AE2049=0,(AG2049&gt;0))</formula>
    </cfRule>
    <cfRule type="expression" dxfId="522" priority="568">
      <formula>((AG2049-AE2049)/AE2049)&gt;0.05</formula>
    </cfRule>
  </conditionalFormatting>
  <conditionalFormatting sqref="H2049:H2108 J2049:J2108 L2049:L2108 AD2049:AD2108 V2049:V2069">
    <cfRule type="expression" dxfId="521" priority="571">
      <formula>AND(G2049=0,(H2049&gt;0))</formula>
    </cfRule>
    <cfRule type="expression" dxfId="520" priority="572">
      <formula>((H2049-G2049)/G2049)&gt;0.05</formula>
    </cfRule>
  </conditionalFormatting>
  <conditionalFormatting sqref="Z2049:AA2108 P2049:Q2108">
    <cfRule type="expression" dxfId="519" priority="569">
      <formula>AND(M2049=0,(P2049&gt;0))</formula>
    </cfRule>
    <cfRule type="expression" dxfId="518" priority="570">
      <formula>((P2049-M2049)/M2049)&gt;0.05</formula>
    </cfRule>
  </conditionalFormatting>
  <conditionalFormatting sqref="H2038:H2048 J2038:J2048 L2038:L2048 AD2038:AD2048 V2038:V2048 V2071:V2108">
    <cfRule type="expression" dxfId="517" priority="565">
      <formula>AND(G2038=0,(H2038&gt;0))</formula>
    </cfRule>
    <cfRule type="expression" dxfId="516" priority="566">
      <formula>((H2038-G2038)/G2038)&gt;0.05</formula>
    </cfRule>
  </conditionalFormatting>
  <conditionalFormatting sqref="Z2038:AA2048 P2038:Q2048">
    <cfRule type="expression" dxfId="515" priority="563">
      <formula>AND(M2038=0,(P2038&gt;0))</formula>
    </cfRule>
    <cfRule type="expression" dxfId="514" priority="564">
      <formula>((P2038-M2038)/M2038)&gt;0.05</formula>
    </cfRule>
  </conditionalFormatting>
  <conditionalFormatting sqref="AG2038:AH2048">
    <cfRule type="expression" dxfId="513" priority="561">
      <formula>AND(AE2038=0,(AG2038&gt;0))</formula>
    </cfRule>
    <cfRule type="expression" dxfId="512" priority="562">
      <formula>((AG2038-AE2038)/AE2038)&gt;0.05</formula>
    </cfRule>
  </conditionalFormatting>
  <conditionalFormatting sqref="V2070">
    <cfRule type="expression" dxfId="511" priority="559">
      <formula>AND(U2070=0,(V2070&gt;0))</formula>
    </cfRule>
    <cfRule type="expression" dxfId="510" priority="560">
      <formula>((V2070-U2070)/U2070)&gt;0.05</formula>
    </cfRule>
  </conditionalFormatting>
  <conditionalFormatting sqref="H2109:H2151 J2109:J2151 L2109:L2151 V2109:V2151 AD2109:AD2151">
    <cfRule type="expression" dxfId="509" priority="557">
      <formula>AND(G2109=0,(H2109&gt;0))</formula>
    </cfRule>
    <cfRule type="expression" dxfId="508" priority="558">
      <formula>((H2109-G2109)/G2109)&gt;0.05</formula>
    </cfRule>
  </conditionalFormatting>
  <conditionalFormatting sqref="P2109:Q2151 Z2109:AA2151">
    <cfRule type="expression" dxfId="507" priority="555">
      <formula>AND(M2109=0,(P2109&gt;0))</formula>
    </cfRule>
    <cfRule type="expression" dxfId="506" priority="556">
      <formula>((P2109-M2109)/M2109)&gt;0.05</formula>
    </cfRule>
  </conditionalFormatting>
  <conditionalFormatting sqref="AG2109:AH2151">
    <cfRule type="expression" dxfId="505" priority="553">
      <formula>AND(AE2109=0,(AG2109&gt;0))</formula>
    </cfRule>
    <cfRule type="expression" dxfId="504" priority="554">
      <formula>((AG2109-AE2109)/AE2109)&gt;0.05</formula>
    </cfRule>
  </conditionalFormatting>
  <conditionalFormatting sqref="AG1308:AH1322">
    <cfRule type="expression" dxfId="503" priority="547">
      <formula>AND(AE1308=0,(AG1308&gt;0))</formula>
    </cfRule>
    <cfRule type="expression" dxfId="502" priority="548">
      <formula>((AG1308-AE1308)/AE1308)&gt;0.05</formula>
    </cfRule>
  </conditionalFormatting>
  <conditionalFormatting sqref="AD1308:AD1322 V1308:V1322 J1308:J1322 H1308:H1322 L1308:L1322">
    <cfRule type="expression" dxfId="501" priority="551">
      <formula>AND(G1308=0,(H1308&gt;0))</formula>
    </cfRule>
    <cfRule type="expression" dxfId="500" priority="552">
      <formula>((H1308-G1308)/G1308)&gt;0.05</formula>
    </cfRule>
  </conditionalFormatting>
  <conditionalFormatting sqref="Z1308:AA1322 P1308:Q1322">
    <cfRule type="expression" dxfId="499" priority="549">
      <formula>AND(M1308=0,(P1308&gt;0))</formula>
    </cfRule>
    <cfRule type="expression" dxfId="498" priority="550">
      <formula>((P1308-M1308)/M1308)&gt;0.05</formula>
    </cfRule>
  </conditionalFormatting>
  <conditionalFormatting sqref="L1323:L1416 H1323:H1334 J1323:J1416 AD1323:AD1416 V1323:V1416 H1336:H1416">
    <cfRule type="expression" dxfId="497" priority="545">
      <formula>AND(G1323=0,(H1323&gt;0))</formula>
    </cfRule>
    <cfRule type="expression" dxfId="496" priority="546">
      <formula>((H1323-G1323)/G1323)&gt;0.05</formula>
    </cfRule>
  </conditionalFormatting>
  <conditionalFormatting sqref="P1323:Q1416 Z1323:AA1416">
    <cfRule type="expression" dxfId="495" priority="543">
      <formula>AND(M1323=0,(P1323&gt;0))</formula>
    </cfRule>
    <cfRule type="expression" dxfId="494" priority="544">
      <formula>((P1323-M1323)/M1323)&gt;0.05</formula>
    </cfRule>
  </conditionalFormatting>
  <conditionalFormatting sqref="AG1323:AH1416">
    <cfRule type="expression" dxfId="493" priority="541">
      <formula>AND(AE1323=0,(AG1323&gt;0))</formula>
    </cfRule>
    <cfRule type="expression" dxfId="492" priority="542">
      <formula>((AG1323-AE1323)/AE1323)&gt;0.05</formula>
    </cfRule>
  </conditionalFormatting>
  <conditionalFormatting sqref="H1417:H1482 J1417:J1482 L1417:L1482 V1417 AD1417:AD1482 V1419:V1422 V1424:V1429 V1431:V1436 V1438:V1439 V1441:V1444 V1446:V1447 V1449:V1451 V1453:V1454 V1456:V1458 V1460:V1461 V1463:V1465 V1467:V1468 V1470:V1471 V1473 V1475:V1482">
    <cfRule type="expression" dxfId="491" priority="539">
      <formula>AND(G1417=0,(H1417&gt;0))</formula>
    </cfRule>
    <cfRule type="expression" dxfId="490" priority="540">
      <formula>((H1417-G1417)/G1417)&gt;0.05</formula>
    </cfRule>
  </conditionalFormatting>
  <conditionalFormatting sqref="Z1417:AA1482">
    <cfRule type="expression" dxfId="489" priority="537">
      <formula>AND(W1417=0,(Z1417&gt;0))</formula>
    </cfRule>
    <cfRule type="expression" dxfId="488" priority="538">
      <formula>((Z1417-W1417)/W1417)&gt;0.05</formula>
    </cfRule>
  </conditionalFormatting>
  <conditionalFormatting sqref="AG1417:AH1482">
    <cfRule type="expression" dxfId="487" priority="535">
      <formula>AND(AE1417=0,(AG1417&gt;0))</formula>
    </cfRule>
    <cfRule type="expression" dxfId="486" priority="536">
      <formula>((AG1417-AE1417)/AE1417)&gt;0.05</formula>
    </cfRule>
  </conditionalFormatting>
  <conditionalFormatting sqref="P1417:Q1482">
    <cfRule type="expression" dxfId="485" priority="533">
      <formula>AND(M1417=0,(P1417&gt;0))</formula>
    </cfRule>
    <cfRule type="expression" dxfId="484" priority="534">
      <formula>((P1417-M1417)/M1417)&gt;0.05</formula>
    </cfRule>
  </conditionalFormatting>
  <conditionalFormatting sqref="V1418">
    <cfRule type="expression" dxfId="483" priority="531">
      <formula>AND(U1418=0,(V1418&gt;0))</formula>
    </cfRule>
    <cfRule type="expression" dxfId="482" priority="532">
      <formula>((V1418-U1418)/U1418)&gt;0.05</formula>
    </cfRule>
  </conditionalFormatting>
  <conditionalFormatting sqref="V1423">
    <cfRule type="expression" dxfId="481" priority="529">
      <formula>AND(U1423=0,(V1423&gt;0))</formula>
    </cfRule>
    <cfRule type="expression" dxfId="480" priority="530">
      <formula>((V1423-U1423)/U1423)&gt;0.05</formula>
    </cfRule>
  </conditionalFormatting>
  <conditionalFormatting sqref="V1430">
    <cfRule type="expression" dxfId="479" priority="527">
      <formula>AND(U1430=0,(V1430&gt;0))</formula>
    </cfRule>
    <cfRule type="expression" dxfId="478" priority="528">
      <formula>((V1430-U1430)/U1430)&gt;0.05</formula>
    </cfRule>
  </conditionalFormatting>
  <conditionalFormatting sqref="V1437">
    <cfRule type="expression" dxfId="477" priority="525">
      <formula>AND(U1437=0,(V1437&gt;0))</formula>
    </cfRule>
    <cfRule type="expression" dxfId="476" priority="526">
      <formula>((V1437-U1437)/U1437)&gt;0.05</formula>
    </cfRule>
  </conditionalFormatting>
  <conditionalFormatting sqref="V1440">
    <cfRule type="expression" dxfId="475" priority="523">
      <formula>AND(U1440=0,(V1440&gt;0))</formula>
    </cfRule>
    <cfRule type="expression" dxfId="474" priority="524">
      <formula>((V1440-U1440)/U1440)&gt;0.05</formula>
    </cfRule>
  </conditionalFormatting>
  <conditionalFormatting sqref="V1445">
    <cfRule type="expression" dxfId="473" priority="521">
      <formula>AND(U1445=0,(V1445&gt;0))</formula>
    </cfRule>
    <cfRule type="expression" dxfId="472" priority="522">
      <formula>((V1445-U1445)/U1445)&gt;0.05</formula>
    </cfRule>
  </conditionalFormatting>
  <conditionalFormatting sqref="V1448">
    <cfRule type="expression" dxfId="471" priority="519">
      <formula>AND(U1448=0,(V1448&gt;0))</formula>
    </cfRule>
    <cfRule type="expression" dxfId="470" priority="520">
      <formula>((V1448-U1448)/U1448)&gt;0.05</formula>
    </cfRule>
  </conditionalFormatting>
  <conditionalFormatting sqref="V1452">
    <cfRule type="expression" dxfId="469" priority="517">
      <formula>AND(U1452=0,(V1452&gt;0))</formula>
    </cfRule>
    <cfRule type="expression" dxfId="468" priority="518">
      <formula>((V1452-U1452)/U1452)&gt;0.05</formula>
    </cfRule>
  </conditionalFormatting>
  <conditionalFormatting sqref="V1455">
    <cfRule type="expression" dxfId="467" priority="515">
      <formula>AND(U1455=0,(V1455&gt;0))</formula>
    </cfRule>
    <cfRule type="expression" dxfId="466" priority="516">
      <formula>((V1455-U1455)/U1455)&gt;0.05</formula>
    </cfRule>
  </conditionalFormatting>
  <conditionalFormatting sqref="V1459">
    <cfRule type="expression" dxfId="465" priority="513">
      <formula>AND(U1459=0,(V1459&gt;0))</formula>
    </cfRule>
    <cfRule type="expression" dxfId="464" priority="514">
      <formula>((V1459-U1459)/U1459)&gt;0.05</formula>
    </cfRule>
  </conditionalFormatting>
  <conditionalFormatting sqref="V1462">
    <cfRule type="expression" dxfId="463" priority="511">
      <formula>AND(U1462=0,(V1462&gt;0))</formula>
    </cfRule>
    <cfRule type="expression" dxfId="462" priority="512">
      <formula>((V1462-U1462)/U1462)&gt;0.05</formula>
    </cfRule>
  </conditionalFormatting>
  <conditionalFormatting sqref="V1466">
    <cfRule type="expression" dxfId="461" priority="509">
      <formula>AND(U1466=0,(V1466&gt;0))</formula>
    </cfRule>
    <cfRule type="expression" dxfId="460" priority="510">
      <formula>((V1466-U1466)/U1466)&gt;0.05</formula>
    </cfRule>
  </conditionalFormatting>
  <conditionalFormatting sqref="V1469">
    <cfRule type="expression" dxfId="459" priority="507">
      <formula>AND(U1469=0,(V1469&gt;0))</formula>
    </cfRule>
    <cfRule type="expression" dxfId="458" priority="508">
      <formula>((V1469-U1469)/U1469)&gt;0.05</formula>
    </cfRule>
  </conditionalFormatting>
  <conditionalFormatting sqref="V1472">
    <cfRule type="expression" dxfId="457" priority="505">
      <formula>AND(U1472=0,(V1472&gt;0))</formula>
    </cfRule>
    <cfRule type="expression" dxfId="456" priority="506">
      <formula>((V1472-U1472)/U1472)&gt;0.05</formula>
    </cfRule>
  </conditionalFormatting>
  <conditionalFormatting sqref="V1474">
    <cfRule type="expression" dxfId="455" priority="503">
      <formula>AND(U1474=0,(V1474&gt;0))</formula>
    </cfRule>
    <cfRule type="expression" dxfId="454" priority="504">
      <formula>((V1474-U1474)/U1474)&gt;0.05</formula>
    </cfRule>
  </conditionalFormatting>
  <conditionalFormatting sqref="H1335">
    <cfRule type="expression" dxfId="453" priority="501">
      <formula>AND(G1335=0,(H1335&gt;0))</formula>
    </cfRule>
    <cfRule type="expression" dxfId="452" priority="502">
      <formula>((H1335-G1335)/G1335)&gt;0.05</formula>
    </cfRule>
  </conditionalFormatting>
  <conditionalFormatting sqref="AG934:AH940 AG942:AH944 AG946:AH953 AG955:AH957 AG961:AH962">
    <cfRule type="expression" dxfId="451" priority="495">
      <formula>AND(AE934=0,(AG934&gt;0))</formula>
    </cfRule>
    <cfRule type="expression" dxfId="450" priority="496">
      <formula>((AG934-AE934)/AE934)&gt;0.05</formula>
    </cfRule>
  </conditionalFormatting>
  <conditionalFormatting sqref="AD934:AD940 J934:J940 V934:V940 L934:L940 H934:H940 H942:H944 L942:L944 V942:V944 J942:J944 AD942:AD944 AD946:AD953 J946:J953 V946:V953 L946:L953 H946:H953 H955:H957 L955:L957 V955:V957 J955:J957 AD955:AD957 H961:H962 L961:L962 V961:V962 J961:J962 AD961:AD962">
    <cfRule type="expression" dxfId="449" priority="499">
      <formula>AND(G934=0,(H934&gt;0))</formula>
    </cfRule>
    <cfRule type="expression" dxfId="448" priority="500">
      <formula>((H934-G934)/G934)&gt;0.05</formula>
    </cfRule>
  </conditionalFormatting>
  <conditionalFormatting sqref="P934:Q940 Z934:AA940 Z942:AA944 P942:Q944 P946:Q953 Z946:AA953 Z955:AA957 P955:Q957 Z961:AA962 P961:Q962">
    <cfRule type="expression" dxfId="447" priority="497">
      <formula>AND(M934=0,(P934&gt;0))</formula>
    </cfRule>
    <cfRule type="expression" dxfId="446" priority="498">
      <formula>((P934-M934)/M934)&gt;0.05</formula>
    </cfRule>
  </conditionalFormatting>
  <conditionalFormatting sqref="AG933:AH933">
    <cfRule type="expression" dxfId="445" priority="489">
      <formula>AND(AE933=0,(AG933&gt;0))</formula>
    </cfRule>
    <cfRule type="expression" dxfId="444" priority="490">
      <formula>((AG933-AE933)/AE933)&gt;0.05</formula>
    </cfRule>
  </conditionalFormatting>
  <conditionalFormatting sqref="AD933 J933 V933 L933 H933">
    <cfRule type="expression" dxfId="443" priority="493">
      <formula>AND(G933=0,(H933&gt;0))</formula>
    </cfRule>
    <cfRule type="expression" dxfId="442" priority="494">
      <formula>((H933-G933)/G933)&gt;0.05</formula>
    </cfRule>
  </conditionalFormatting>
  <conditionalFormatting sqref="P933:Q933 Z933:AA933">
    <cfRule type="expression" dxfId="441" priority="491">
      <formula>AND(M933=0,(P933&gt;0))</formula>
    </cfRule>
    <cfRule type="expression" dxfId="440" priority="492">
      <formula>((P933-M933)/M933)&gt;0.05</formula>
    </cfRule>
  </conditionalFormatting>
  <conditionalFormatting sqref="AG941:AH941">
    <cfRule type="expression" dxfId="439" priority="483">
      <formula>AND(AE941=0,(AG941&gt;0))</formula>
    </cfRule>
    <cfRule type="expression" dxfId="438" priority="484">
      <formula>((AG941-AE941)/AE941)&gt;0.05</formula>
    </cfRule>
  </conditionalFormatting>
  <conditionalFormatting sqref="AD941 J941 V941 L941 H941">
    <cfRule type="expression" dxfId="437" priority="487">
      <formula>AND(G941=0,(H941&gt;0))</formula>
    </cfRule>
    <cfRule type="expression" dxfId="436" priority="488">
      <formula>((H941-G941)/G941)&gt;0.05</formula>
    </cfRule>
  </conditionalFormatting>
  <conditionalFormatting sqref="P941:Q941 Z941:AA941">
    <cfRule type="expression" dxfId="435" priority="485">
      <formula>AND(M941=0,(P941&gt;0))</formula>
    </cfRule>
    <cfRule type="expression" dxfId="434" priority="486">
      <formula>((P941-M941)/M941)&gt;0.05</formula>
    </cfRule>
  </conditionalFormatting>
  <conditionalFormatting sqref="AG945:AH945">
    <cfRule type="expression" dxfId="433" priority="477">
      <formula>AND(AE945=0,(AG945&gt;0))</formula>
    </cfRule>
    <cfRule type="expression" dxfId="432" priority="478">
      <formula>((AG945-AE945)/AE945)&gt;0.05</formula>
    </cfRule>
  </conditionalFormatting>
  <conditionalFormatting sqref="AD945 J945 V945 L945 H945">
    <cfRule type="expression" dxfId="431" priority="481">
      <formula>AND(G945=0,(H945&gt;0))</formula>
    </cfRule>
    <cfRule type="expression" dxfId="430" priority="482">
      <formula>((H945-G945)/G945)&gt;0.05</formula>
    </cfRule>
  </conditionalFormatting>
  <conditionalFormatting sqref="P945:Q945 Z945:AA945">
    <cfRule type="expression" dxfId="429" priority="479">
      <formula>AND(M945=0,(P945&gt;0))</formula>
    </cfRule>
    <cfRule type="expression" dxfId="428" priority="480">
      <formula>((P945-M945)/M945)&gt;0.05</formula>
    </cfRule>
  </conditionalFormatting>
  <conditionalFormatting sqref="AG954:AH954">
    <cfRule type="expression" dxfId="427" priority="471">
      <formula>AND(AE954=0,(AG954&gt;0))</formula>
    </cfRule>
    <cfRule type="expression" dxfId="426" priority="472">
      <formula>((AG954-AE954)/AE954)&gt;0.05</formula>
    </cfRule>
  </conditionalFormatting>
  <conditionalFormatting sqref="AD954 J954 V954 L954 H954">
    <cfRule type="expression" dxfId="425" priority="475">
      <formula>AND(G954=0,(H954&gt;0))</formula>
    </cfRule>
    <cfRule type="expression" dxfId="424" priority="476">
      <formula>((H954-G954)/G954)&gt;0.05</formula>
    </cfRule>
  </conditionalFormatting>
  <conditionalFormatting sqref="P954:Q954 Z954:AA954">
    <cfRule type="expression" dxfId="423" priority="473">
      <formula>AND(M954=0,(P954&gt;0))</formula>
    </cfRule>
    <cfRule type="expression" dxfId="422" priority="474">
      <formula>((P954-M954)/M954)&gt;0.05</formula>
    </cfRule>
  </conditionalFormatting>
  <conditionalFormatting sqref="AG958:AH958">
    <cfRule type="expression" dxfId="421" priority="465">
      <formula>AND(AE958=0,(AG958&gt;0))</formula>
    </cfRule>
    <cfRule type="expression" dxfId="420" priority="466">
      <formula>((AG958-AE958)/AE958)&gt;0.05</formula>
    </cfRule>
  </conditionalFormatting>
  <conditionalFormatting sqref="AD958 J958 V958 L958 H958">
    <cfRule type="expression" dxfId="419" priority="469">
      <formula>AND(G958=0,(H958&gt;0))</formula>
    </cfRule>
    <cfRule type="expression" dxfId="418" priority="470">
      <formula>((H958-G958)/G958)&gt;0.05</formula>
    </cfRule>
  </conditionalFormatting>
  <conditionalFormatting sqref="P958:Q958 Z958:AA958">
    <cfRule type="expression" dxfId="417" priority="467">
      <formula>AND(M958=0,(P958&gt;0))</formula>
    </cfRule>
    <cfRule type="expression" dxfId="416" priority="468">
      <formula>((P958-M958)/M958)&gt;0.05</formula>
    </cfRule>
  </conditionalFormatting>
  <conditionalFormatting sqref="AG960:AH960">
    <cfRule type="expression" dxfId="415" priority="459">
      <formula>AND(AE960=0,(AG960&gt;0))</formula>
    </cfRule>
    <cfRule type="expression" dxfId="414" priority="460">
      <formula>((AG960-AE960)/AE960)&gt;0.05</formula>
    </cfRule>
  </conditionalFormatting>
  <conditionalFormatting sqref="AD960 J960 V960 L960 H960">
    <cfRule type="expression" dxfId="413" priority="463">
      <formula>AND(G960=0,(H960&gt;0))</formula>
    </cfRule>
    <cfRule type="expression" dxfId="412" priority="464">
      <formula>((H960-G960)/G960)&gt;0.05</formula>
    </cfRule>
  </conditionalFormatting>
  <conditionalFormatting sqref="P960:Q960 Z960:AA960">
    <cfRule type="expression" dxfId="411" priority="461">
      <formula>AND(M960=0,(P960&gt;0))</formula>
    </cfRule>
    <cfRule type="expression" dxfId="410" priority="462">
      <formula>((P960-M960)/M960)&gt;0.05</formula>
    </cfRule>
  </conditionalFormatting>
  <conditionalFormatting sqref="AG959:AH959">
    <cfRule type="expression" dxfId="409" priority="453">
      <formula>AND(AE959=0,(AG959&gt;0))</formula>
    </cfRule>
    <cfRule type="expression" dxfId="408" priority="454">
      <formula>((AG959-AE959)/AE959)&gt;0.05</formula>
    </cfRule>
  </conditionalFormatting>
  <conditionalFormatting sqref="AD959 J959 V959 L959 H959">
    <cfRule type="expression" dxfId="407" priority="457">
      <formula>AND(G959=0,(H959&gt;0))</formula>
    </cfRule>
    <cfRule type="expression" dxfId="406" priority="458">
      <formula>((H959-G959)/G959)&gt;0.05</formula>
    </cfRule>
  </conditionalFormatting>
  <conditionalFormatting sqref="P959:Q959 Z959:AA959">
    <cfRule type="expression" dxfId="405" priority="455">
      <formula>AND(M959=0,(P959&gt;0))</formula>
    </cfRule>
    <cfRule type="expression" dxfId="404" priority="456">
      <formula>((P959-M959)/M959)&gt;0.05</formula>
    </cfRule>
  </conditionalFormatting>
  <conditionalFormatting sqref="H1579:H1597 J1579:J1597 L1579:L1597 AD1579:AD1597 V1579:V1597">
    <cfRule type="expression" dxfId="403" priority="437">
      <formula>AND(G1579=0,(H1579&gt;0))</formula>
    </cfRule>
    <cfRule type="expression" dxfId="402" priority="438">
      <formula>((H1579-G1579)/G1579)&gt;0.05</formula>
    </cfRule>
  </conditionalFormatting>
  <conditionalFormatting sqref="Z1579:AA1597">
    <cfRule type="expression" dxfId="401" priority="435">
      <formula>AND(W1579=0,(Z1579&gt;0))</formula>
    </cfRule>
    <cfRule type="expression" dxfId="400" priority="436">
      <formula>((Z1579-W1579)/W1579)&gt;0.05</formula>
    </cfRule>
  </conditionalFormatting>
  <conditionalFormatting sqref="AG1579:AH1597">
    <cfRule type="expression" dxfId="399" priority="433">
      <formula>AND(AE1579=0,(AG1579&gt;0))</formula>
    </cfRule>
    <cfRule type="expression" dxfId="398" priority="434">
      <formula>((AG1579-AE1579)/AE1579)&gt;0.05</formula>
    </cfRule>
  </conditionalFormatting>
  <conditionalFormatting sqref="P1579:Q1597">
    <cfRule type="expression" dxfId="397" priority="431">
      <formula>AND(M1579=0,(P1579&gt;0))</formula>
    </cfRule>
    <cfRule type="expression" dxfId="396" priority="432">
      <formula>((P1579-M1579)/M1579)&gt;0.05</formula>
    </cfRule>
  </conditionalFormatting>
  <conditionalFormatting sqref="J1598:J1599 J1606:J1613 J1601:J1604 J1622:J1629 AD1598:AD1599 AD1608:AD1620 L1598:L1631 J1618:J1620 AD1625:AD1630 AD1602:AD1604 J1615:J1616 H1598:H1631 V1598:V1631">
    <cfRule type="expression" dxfId="395" priority="429">
      <formula>AND(G1598=0,(H1598&gt;0))</formula>
    </cfRule>
    <cfRule type="expression" dxfId="394" priority="430">
      <formula>((H1598-G1598)/G1598)&gt;0.05</formula>
    </cfRule>
  </conditionalFormatting>
  <conditionalFormatting sqref="Z1598:AA1631 P1599:P1602 P1604:P1611 P1614:P1618 P1620:P1628 P1630:P1631">
    <cfRule type="expression" dxfId="393" priority="427">
      <formula>AND(M1598=0,(P1598&gt;0))</formula>
    </cfRule>
    <cfRule type="expression" dxfId="392" priority="428">
      <formula>((P1598-M1598)/M1598)&gt;0.05</formula>
    </cfRule>
  </conditionalFormatting>
  <conditionalFormatting sqref="AH1598:AH1631 AG1598:AG1600 AG1602:AG1605 AG1607:AG1614 AG1616:AG1621 AG1623:AG1631">
    <cfRule type="expression" dxfId="391" priority="425">
      <formula>AND(AE1598=0,(AG1598&gt;0))</formula>
    </cfRule>
    <cfRule type="expression" dxfId="390" priority="426">
      <formula>((AG1598-AE1598)/AE1598)&gt;0.05</formula>
    </cfRule>
  </conditionalFormatting>
  <conditionalFormatting sqref="AG2725:AH2759 AG2765:AH2765 AG2769:AH2769 AG2815:AH2876">
    <cfRule type="expression" dxfId="389" priority="415">
      <formula>AND(AE2725=0,(AG2725&gt;0))</formula>
    </cfRule>
    <cfRule type="expression" dxfId="388" priority="416">
      <formula>((AG2725-AE2725)/AE2725)&gt;0.05</formula>
    </cfRule>
  </conditionalFormatting>
  <conditionalFormatting sqref="AD2725:AD2759 V2725:V2759 L2725:L2759 J2725:J2759 AD2765 V2765 L2765 J2765 H2765 AD2769 V2769 L2769 J2769 H2769 H2855:H2876 J2815:J2876 V2815:V2876 H2815:H2852 H2725:H2759 AD2815:AD2876 L2832:L2876">
    <cfRule type="expression" dxfId="387" priority="419">
      <formula>AND(G2725=0,(H2725&gt;0))</formula>
    </cfRule>
    <cfRule type="expression" dxfId="386" priority="420">
      <formula>((H2725-G2725)/G2725)&gt;0.05</formula>
    </cfRule>
  </conditionalFormatting>
  <conditionalFormatting sqref="Z2725:AA2759 P2725:Q2759 P2765:Q2765 Z2765:AA2765 P2769:Q2769 Z2769:AA2769 Z2815:AA2844 P2815:Q2876 Z2846:AA2876">
    <cfRule type="expression" dxfId="385" priority="417">
      <formula>AND(M2725=0,(P2725&gt;0))</formula>
    </cfRule>
    <cfRule type="expression" dxfId="384" priority="418">
      <formula>((P2725-M2725)/M2725)&gt;0.05</formula>
    </cfRule>
  </conditionalFormatting>
  <conditionalFormatting sqref="H2760:H2764 J2760:J2764 L2760:L2764 V2760:V2764 AD2760:AD2764 H2770:H2814 J2770:J2814 V2770:V2814 AD2770:AD2814 L2770:L2814 AD2766:AD2768 V2766:V2768 L2766:L2768 J2766:J2768 H2766:H2768">
    <cfRule type="expression" dxfId="383" priority="411">
      <formula>AND(G2760=0,(H2760&gt;0))</formula>
    </cfRule>
    <cfRule type="expression" dxfId="382" priority="412">
      <formula>((H2760-G2760)/G2760)&gt;0.05</formula>
    </cfRule>
  </conditionalFormatting>
  <conditionalFormatting sqref="Z2760:AA2764 P2777:Q2814 P2760:Q2760 P2762:Q2764 Z2770:AA2814 P2770:Q2775 P2766:Q2768 Z2766:AA2768">
    <cfRule type="expression" dxfId="381" priority="409">
      <formula>AND(M2760=0,(P2760&gt;0))</formula>
    </cfRule>
    <cfRule type="expression" dxfId="380" priority="410">
      <formula>((P2760-M2760)/M2760)&gt;0.05</formula>
    </cfRule>
  </conditionalFormatting>
  <conditionalFormatting sqref="AG2760:AH2764 AG2770:AH2814 AG2766:AH2768">
    <cfRule type="expression" dxfId="379" priority="407">
      <formula>AND(AE2760=0,(AG2760&gt;0))</formula>
    </cfRule>
    <cfRule type="expression" dxfId="378" priority="408">
      <formula>((AG2760-AE2760)/AE2760)&gt;0.05</formula>
    </cfRule>
  </conditionalFormatting>
  <conditionalFormatting sqref="P2776:Q2776">
    <cfRule type="expression" dxfId="377" priority="413">
      <formula>AND(M2761=0,(P2776&gt;0))</formula>
    </cfRule>
    <cfRule type="expression" dxfId="376" priority="414">
      <formula>((P2776-M2761)/M2761)&gt;0.05</formula>
    </cfRule>
  </conditionalFormatting>
  <conditionalFormatting sqref="H2853">
    <cfRule type="expression" dxfId="375" priority="421">
      <formula>AND(G2854=0,(H2853&gt;0))</formula>
    </cfRule>
    <cfRule type="expression" dxfId="374" priority="422">
      <formula>((H2853-G2854)/G2854)&gt;0.05</formula>
    </cfRule>
  </conditionalFormatting>
  <conditionalFormatting sqref="Z2845:AA2845">
    <cfRule type="expression" dxfId="373" priority="405">
      <formula>AND(W2845=0,(Z2845&gt;0))</formula>
    </cfRule>
    <cfRule type="expression" dxfId="372" priority="406">
      <formula>((Z2845-W2845)/W2845)&gt;0.05</formula>
    </cfRule>
  </conditionalFormatting>
  <conditionalFormatting sqref="L2816:L2831">
    <cfRule type="expression" dxfId="371" priority="423">
      <formula>AND(K2815=0,(L2816&gt;0))</formula>
    </cfRule>
    <cfRule type="expression" dxfId="370" priority="424">
      <formula>((L2816-K2815)/K2815)&gt;0.05</formula>
    </cfRule>
  </conditionalFormatting>
  <conditionalFormatting sqref="AG2503:AH2507 AG2219:AH2234 AG2236:AH2327 AG2413:AH2417 AG2357:AH2362 AG2365:AH2371 AG2374:AH2378 AG2463:AH2468 AG2436:AH2436 AG2440:AH2445 AG2472:AH2498 AG2392:AH2407 AG2448:AH2461 AG2512:AH2627 AG2387:AH2389">
    <cfRule type="expression" dxfId="369" priority="399">
      <formula>AND(AE2219=0,(AG2219&gt;0))</formula>
    </cfRule>
    <cfRule type="expression" dxfId="368" priority="400">
      <formula>((AG2219-AE2219)/AE2219)&gt;0.05</formula>
    </cfRule>
  </conditionalFormatting>
  <conditionalFormatting sqref="AD2503:AD2507 V2503:V2507 L2503:L2507 H2503:H2507 J2503:J2507 AD2219:AD2327 V2219:V2327 L2219:L2327 H2219:H2327 J2219:J2327 AD2413:AD2417 V2413:V2417 L2413:L2417 H2413:H2417 J2413:J2417 AD2357:AD2362 V2357:V2362 L2357:L2362 H2357:H2362 J2357:J2362 H2365:H2371 L2365:L2371 V2365:V2371 AD2365:AD2371 J2365:J2371 AD2374:AD2378 V2374:V2378 L2374:L2378 H2374:H2378 J2374:J2378 AD2463:AD2468 V2463:V2468 L2463:L2468 H2463:H2468 J2463:J2468 H2436 J2436 L2436 V2436 AD2436 H2440:H2445 L2440:L2445 V2440:V2445 AD2440:AD2445 J2440:J2445 H2472:H2498 L2472:L2498 V2472:V2498 AD2472:AD2498 J2472:J2498 H2392:H2407 L2392:L2407 V2392:V2407 AD2392:AD2407 J2392:J2407 AD2448:AD2461 V2448:V2461 L2448:L2461 H2448:H2461 J2448:J2461 J2512:J2627 V2512:V2627 H2512:H2627 L2512:L2627 AD2512:AD2627 J2387:J2389 H2387:H2389 L2387:L2389 V2387:V2389 AD2387:AD2389">
    <cfRule type="expression" dxfId="367" priority="403">
      <formula>AND(G2219=0,(H2219&gt;0))</formula>
    </cfRule>
    <cfRule type="expression" dxfId="366" priority="404">
      <formula>((H2219-G2219)/G2219)&gt;0.05</formula>
    </cfRule>
  </conditionalFormatting>
  <conditionalFormatting sqref="Z2503:AA2507 P2503:Q2507 Z2219:AA2327 P2219:Q2327 Z2413:AA2417 P2413:Q2417 Z2357:AA2362 P2357:Q2362 P2365:Q2371 Z2365:AA2371 Z2374:AA2378 P2374:Q2378 Z2463:AA2468 P2463:Q2468 P2436:Q2436 Z2436:AA2436 P2440:Q2445 Z2440:AA2445 P2472:Q2498 Z2472:AA2498 P2392:Q2407 Z2392:AA2407 Z2448:AA2461 P2448:Q2461 P2512:Q2627 Z2512:AA2627 P2387:Q2389 Z2387:AA2389">
    <cfRule type="expression" dxfId="365" priority="401">
      <formula>AND(M2219=0,(P2219&gt;0))</formula>
    </cfRule>
    <cfRule type="expression" dxfId="364" priority="402">
      <formula>((P2219-M2219)/M2219)&gt;0.05</formula>
    </cfRule>
  </conditionalFormatting>
  <conditionalFormatting sqref="H2207:H2216 L2207:L2216 V2207:V2216 AD2207:AD2216 AD2332:AD2336 V2332:V2336 L2332:L2336 J2332:J2336 H2332:H2336 H2341:H2342 J2341:J2342 L2341:L2342 V2341:V2342 AD2341:AD2342 J2207:J2216 AD2352:AD2354 V2352:V2354 L2352:L2354 J2352:J2354 H2352:H2354">
    <cfRule type="expression" dxfId="363" priority="397">
      <formula>AND(G2207=0,(H2207&gt;0))</formula>
    </cfRule>
    <cfRule type="expression" dxfId="362" priority="398">
      <formula>((H2207-G2207)/G2207)&gt;0.05</formula>
    </cfRule>
  </conditionalFormatting>
  <conditionalFormatting sqref="P2207:Q2216 Z2207:AA2216 Z2332:AA2336 P2332:Q2336 P2341:Q2342 Z2341:AA2342 Z2352:AA2354 P2352:Q2354">
    <cfRule type="expression" dxfId="361" priority="395">
      <formula>AND(M2207=0,(P2207&gt;0))</formula>
    </cfRule>
    <cfRule type="expression" dxfId="360" priority="396">
      <formula>((P2207-M2207)/M2207)&gt;0.05</formula>
    </cfRule>
  </conditionalFormatting>
  <conditionalFormatting sqref="AG2207:AH2216 AG2332:AH2336 AG2341:AH2342 AG2352:AH2354">
    <cfRule type="expression" dxfId="359" priority="393">
      <formula>AND(AE2207=0,(AG2207&gt;0))</formula>
    </cfRule>
    <cfRule type="expression" dxfId="358" priority="394">
      <formula>((AG2207-AE2207)/AE2207)&gt;0.05</formula>
    </cfRule>
  </conditionalFormatting>
  <conditionalFormatting sqref="AG2328:AH2331">
    <cfRule type="expression" dxfId="357" priority="387">
      <formula>AND(AE2328=0,(AG2328&gt;0))</formula>
    </cfRule>
    <cfRule type="expression" dxfId="356" priority="388">
      <formula>((AG2328-AE2328)/AE2328)&gt;0.05</formula>
    </cfRule>
  </conditionalFormatting>
  <conditionalFormatting sqref="AG2337:AH2340">
    <cfRule type="expression" dxfId="355" priority="381">
      <formula>AND(AE2337=0,(AG2337&gt;0))</formula>
    </cfRule>
    <cfRule type="expression" dxfId="354" priority="382">
      <formula>((AG2337-AE2337)/AE2337)&gt;0.05</formula>
    </cfRule>
  </conditionalFormatting>
  <conditionalFormatting sqref="H2328:H2331 J2328:J2331 L2328:L2331 V2328:V2331 AD2328:AD2331">
    <cfRule type="expression" dxfId="353" priority="391">
      <formula>AND(G2328=0,(H2328&gt;0))</formula>
    </cfRule>
    <cfRule type="expression" dxfId="352" priority="392">
      <formula>((H2328-G2328)/G2328)&gt;0.05</formula>
    </cfRule>
  </conditionalFormatting>
  <conditionalFormatting sqref="P2328:Q2331 Z2328:AA2331">
    <cfRule type="expression" dxfId="351" priority="389">
      <formula>AND(M2328=0,(P2328&gt;0))</formula>
    </cfRule>
    <cfRule type="expression" dxfId="350" priority="390">
      <formula>((P2328-M2328)/M2328)&gt;0.05</formula>
    </cfRule>
  </conditionalFormatting>
  <conditionalFormatting sqref="H2337:H2340 J2337:J2340 L2337:L2340 V2337:V2340 AD2337:AD2340">
    <cfRule type="expression" dxfId="349" priority="385">
      <formula>AND(G2337=0,(H2337&gt;0))</formula>
    </cfRule>
    <cfRule type="expression" dxfId="348" priority="386">
      <formula>((H2337-G2337)/G2337)&gt;0.05</formula>
    </cfRule>
  </conditionalFormatting>
  <conditionalFormatting sqref="P2337:Q2340 Z2337:AA2340">
    <cfRule type="expression" dxfId="347" priority="383">
      <formula>AND(M2337=0,(P2337&gt;0))</formula>
    </cfRule>
    <cfRule type="expression" dxfId="346" priority="384">
      <formula>((P2337-M2337)/M2337)&gt;0.05</formula>
    </cfRule>
  </conditionalFormatting>
  <conditionalFormatting sqref="AG2408:AH2412">
    <cfRule type="expression" dxfId="345" priority="375">
      <formula>AND(AE2408=0,(AG2408&gt;0))</formula>
    </cfRule>
    <cfRule type="expression" dxfId="344" priority="376">
      <formula>((AG2408-AE2408)/AE2408)&gt;0.05</formula>
    </cfRule>
  </conditionalFormatting>
  <conditionalFormatting sqref="H2408:H2412 J2408:J2412 L2408:L2412 V2408:V2412 AD2408:AD2412">
    <cfRule type="expression" dxfId="343" priority="379">
      <formula>AND(G2408=0,(H2408&gt;0))</formula>
    </cfRule>
    <cfRule type="expression" dxfId="342" priority="380">
      <formula>((H2408-G2408)/G2408)&gt;0.05</formula>
    </cfRule>
  </conditionalFormatting>
  <conditionalFormatting sqref="P2408:Q2412 Z2408:AA2412">
    <cfRule type="expression" dxfId="341" priority="377">
      <formula>AND(M2408=0,(P2408&gt;0))</formula>
    </cfRule>
    <cfRule type="expression" dxfId="340" priority="378">
      <formula>((P2408-M2408)/M2408)&gt;0.05</formula>
    </cfRule>
  </conditionalFormatting>
  <conditionalFormatting sqref="AG2381:AH2381 AG2384:AH2384">
    <cfRule type="expression" dxfId="339" priority="369">
      <formula>AND(AE2381=0,(AG2381&gt;0))</formula>
    </cfRule>
    <cfRule type="expression" dxfId="338" priority="370">
      <formula>((AG2381-AE2381)/AE2381)&gt;0.05</formula>
    </cfRule>
  </conditionalFormatting>
  <conditionalFormatting sqref="AD2381 V2381 L2381 J2381 H2381 H2384 J2384 L2384 V2384 AD2384">
    <cfRule type="expression" dxfId="337" priority="373">
      <formula>AND(G2381=0,(H2381&gt;0))</formula>
    </cfRule>
    <cfRule type="expression" dxfId="336" priority="374">
      <formula>((H2381-G2381)/G2381)&gt;0.05</formula>
    </cfRule>
  </conditionalFormatting>
  <conditionalFormatting sqref="Z2381:AA2381 P2381:Q2381 P2384:Q2384 Z2384:AA2384">
    <cfRule type="expression" dxfId="335" priority="371">
      <formula>AND(M2381=0,(P2381&gt;0))</formula>
    </cfRule>
    <cfRule type="expression" dxfId="334" priority="372">
      <formula>((P2381-M2381)/M2381)&gt;0.05</formula>
    </cfRule>
  </conditionalFormatting>
  <conditionalFormatting sqref="AG2435:AH2435 AG2437:AH2439">
    <cfRule type="expression" dxfId="333" priority="363">
      <formula>AND(AE2435=0,(AG2435&gt;0))</formula>
    </cfRule>
    <cfRule type="expression" dxfId="332" priority="364">
      <formula>((AG2435-AE2435)/AE2435)&gt;0.05</formula>
    </cfRule>
  </conditionalFormatting>
  <conditionalFormatting sqref="AD2435 V2435 L2435 J2435 H2435 H2437:H2439 J2437:J2439 L2437:L2439 V2437:V2439 AD2437:AD2439">
    <cfRule type="expression" dxfId="331" priority="367">
      <formula>AND(G2435=0,(H2435&gt;0))</formula>
    </cfRule>
    <cfRule type="expression" dxfId="330" priority="368">
      <formula>((H2435-G2435)/G2435)&gt;0.05</formula>
    </cfRule>
  </conditionalFormatting>
  <conditionalFormatting sqref="Z2435:AA2435 P2435:Q2435 P2437:Q2439 Z2437:AA2439">
    <cfRule type="expression" dxfId="329" priority="365">
      <formula>AND(M2435=0,(P2435&gt;0))</formula>
    </cfRule>
    <cfRule type="expression" dxfId="328" priority="366">
      <formula>((P2435-M2435)/M2435)&gt;0.05</formula>
    </cfRule>
  </conditionalFormatting>
  <conditionalFormatting sqref="AG2499:AH2502">
    <cfRule type="expression" dxfId="327" priority="357">
      <formula>AND(AE2499=0,(AG2499&gt;0))</formula>
    </cfRule>
    <cfRule type="expression" dxfId="326" priority="358">
      <formula>((AG2499-AE2499)/AE2499)&gt;0.05</formula>
    </cfRule>
  </conditionalFormatting>
  <conditionalFormatting sqref="AG2508:AH2511">
    <cfRule type="expression" dxfId="325" priority="351">
      <formula>AND(AE2508=0,(AG2508&gt;0))</formula>
    </cfRule>
    <cfRule type="expression" dxfId="324" priority="352">
      <formula>((AG2508-AE2508)/AE2508)&gt;0.05</formula>
    </cfRule>
  </conditionalFormatting>
  <conditionalFormatting sqref="AD2499:AD2502 V2499:V2502 L2499:L2502 J2499:J2502 H2499:H2502">
    <cfRule type="expression" dxfId="323" priority="361">
      <formula>AND(G2499=0,(H2499&gt;0))</formula>
    </cfRule>
    <cfRule type="expression" dxfId="322" priority="362">
      <formula>((H2499-G2499)/G2499)&gt;0.05</formula>
    </cfRule>
  </conditionalFormatting>
  <conditionalFormatting sqref="Z2499:AA2502 P2499:Q2502">
    <cfRule type="expression" dxfId="321" priority="359">
      <formula>AND(M2499=0,(P2499&gt;0))</formula>
    </cfRule>
    <cfRule type="expression" dxfId="320" priority="360">
      <formula>((P2499-M2499)/M2499)&gt;0.05</formula>
    </cfRule>
  </conditionalFormatting>
  <conditionalFormatting sqref="AD2508:AD2511 V2508:V2511 L2508:L2511 J2508:J2511 H2508:H2511">
    <cfRule type="expression" dxfId="319" priority="355">
      <formula>AND(G2508=0,(H2508&gt;0))</formula>
    </cfRule>
    <cfRule type="expression" dxfId="318" priority="356">
      <formula>((H2508-G2508)/G2508)&gt;0.05</formula>
    </cfRule>
  </conditionalFormatting>
  <conditionalFormatting sqref="Z2508:AA2511 P2508:Q2511">
    <cfRule type="expression" dxfId="317" priority="353">
      <formula>AND(M2508=0,(P2508&gt;0))</formula>
    </cfRule>
    <cfRule type="expression" dxfId="316" priority="354">
      <formula>((P2508-M2508)/M2508)&gt;0.05</formula>
    </cfRule>
  </conditionalFormatting>
  <conditionalFormatting sqref="AG2235:AH2235">
    <cfRule type="expression" dxfId="315" priority="349">
      <formula>AND(AE2235=0,(AG2235&gt;0))</formula>
    </cfRule>
    <cfRule type="expression" dxfId="314" priority="350">
      <formula>((AG2235-AE2235)/AE2235)&gt;0.05</formula>
    </cfRule>
  </conditionalFormatting>
  <conditionalFormatting sqref="H2217:H2218 J2217:J2218 L2217:L2218 V2217:V2218 AD2217:AD2218">
    <cfRule type="expression" dxfId="313" priority="347">
      <formula>AND(G2217=0,(H2217&gt;0))</formula>
    </cfRule>
    <cfRule type="expression" dxfId="312" priority="348">
      <formula>((H2217-G2217)/G2217)&gt;0.05</formula>
    </cfRule>
  </conditionalFormatting>
  <conditionalFormatting sqref="P2217:Q2218 Z2217:AA2218">
    <cfRule type="expression" dxfId="311" priority="345">
      <formula>AND(M2217=0,(P2217&gt;0))</formula>
    </cfRule>
    <cfRule type="expression" dxfId="310" priority="346">
      <formula>((P2217-M2217)/M2217)&gt;0.05</formula>
    </cfRule>
  </conditionalFormatting>
  <conditionalFormatting sqref="AG2217:AH2218">
    <cfRule type="expression" dxfId="309" priority="343">
      <formula>AND(AE2217=0,(AG2217&gt;0))</formula>
    </cfRule>
    <cfRule type="expression" dxfId="308" priority="344">
      <formula>((AG2217-AE2217)/AE2217)&gt;0.05</formula>
    </cfRule>
  </conditionalFormatting>
  <conditionalFormatting sqref="AG2418:AH2419">
    <cfRule type="expression" dxfId="307" priority="337">
      <formula>AND(AE2418=0,(AG2418&gt;0))</formula>
    </cfRule>
    <cfRule type="expression" dxfId="306" priority="338">
      <formula>((AG2418-AE2418)/AE2418)&gt;0.05</formula>
    </cfRule>
  </conditionalFormatting>
  <conditionalFormatting sqref="H2418:H2419 J2418:J2419 L2418:L2419 V2418:V2419 AD2418:AD2419">
    <cfRule type="expression" dxfId="305" priority="341">
      <formula>AND(G2418=0,(H2418&gt;0))</formula>
    </cfRule>
    <cfRule type="expression" dxfId="304" priority="342">
      <formula>((H2418-G2418)/G2418)&gt;0.05</formula>
    </cfRule>
  </conditionalFormatting>
  <conditionalFormatting sqref="P2418:Q2419 Z2418:AA2419">
    <cfRule type="expression" dxfId="303" priority="339">
      <formula>AND(M2418=0,(P2418&gt;0))</formula>
    </cfRule>
    <cfRule type="expression" dxfId="302" priority="340">
      <formula>((P2418-M2418)/M2418)&gt;0.05</formula>
    </cfRule>
  </conditionalFormatting>
  <conditionalFormatting sqref="AG2346:AH2347">
    <cfRule type="expression" dxfId="301" priority="331">
      <formula>AND(AE2346=0,(AG2346&gt;0))</formula>
    </cfRule>
    <cfRule type="expression" dxfId="300" priority="332">
      <formula>((AG2346-AE2346)/AE2346)&gt;0.05</formula>
    </cfRule>
  </conditionalFormatting>
  <conditionalFormatting sqref="H2346:H2347 J2346:J2347 L2346:L2347 V2346:V2347 AD2346:AD2347">
    <cfRule type="expression" dxfId="299" priority="335">
      <formula>AND(G2346=0,(H2346&gt;0))</formula>
    </cfRule>
    <cfRule type="expression" dxfId="298" priority="336">
      <formula>((H2346-G2346)/G2346)&gt;0.05</formula>
    </cfRule>
  </conditionalFormatting>
  <conditionalFormatting sqref="P2346:Q2347 Z2346:AA2347">
    <cfRule type="expression" dxfId="297" priority="333">
      <formula>AND(M2346=0,(P2346&gt;0))</formula>
    </cfRule>
    <cfRule type="expression" dxfId="296" priority="334">
      <formula>((P2346-M2346)/M2346)&gt;0.05</formula>
    </cfRule>
  </conditionalFormatting>
  <conditionalFormatting sqref="AG2355:AH2356">
    <cfRule type="expression" dxfId="295" priority="325">
      <formula>AND(AE2355=0,(AG2355&gt;0))</formula>
    </cfRule>
    <cfRule type="expression" dxfId="294" priority="326">
      <formula>((AG2355-AE2355)/AE2355)&gt;0.05</formula>
    </cfRule>
  </conditionalFormatting>
  <conditionalFormatting sqref="H2355:H2356 J2355:J2356 L2355:L2356 V2355:V2356 AD2355:AD2356">
    <cfRule type="expression" dxfId="293" priority="329">
      <formula>AND(G2355=0,(H2355&gt;0))</formula>
    </cfRule>
    <cfRule type="expression" dxfId="292" priority="330">
      <formula>((H2355-G2355)/G2355)&gt;0.05</formula>
    </cfRule>
  </conditionalFormatting>
  <conditionalFormatting sqref="P2355:Q2356 Z2355:AA2356">
    <cfRule type="expression" dxfId="291" priority="327">
      <formula>AND(M2355=0,(P2355&gt;0))</formula>
    </cfRule>
    <cfRule type="expression" dxfId="290" priority="328">
      <formula>((P2355-M2355)/M2355)&gt;0.05</formula>
    </cfRule>
  </conditionalFormatting>
  <conditionalFormatting sqref="AG2363:AH2364">
    <cfRule type="expression" dxfId="289" priority="319">
      <formula>AND(AE2363=0,(AG2363&gt;0))</formula>
    </cfRule>
    <cfRule type="expression" dxfId="288" priority="320">
      <formula>((AG2363-AE2363)/AE2363)&gt;0.05</formula>
    </cfRule>
  </conditionalFormatting>
  <conditionalFormatting sqref="H2363:H2364 J2363:J2364 L2363:L2364 V2363:V2364 AD2363:AD2364">
    <cfRule type="expression" dxfId="287" priority="323">
      <formula>AND(G2363=0,(H2363&gt;0))</formula>
    </cfRule>
    <cfRule type="expression" dxfId="286" priority="324">
      <formula>((H2363-G2363)/G2363)&gt;0.05</formula>
    </cfRule>
  </conditionalFormatting>
  <conditionalFormatting sqref="P2363:Q2364 Z2363:AA2364">
    <cfRule type="expression" dxfId="285" priority="321">
      <formula>AND(M2363=0,(P2363&gt;0))</formula>
    </cfRule>
    <cfRule type="expression" dxfId="284" priority="322">
      <formula>((P2363-M2363)/M2363)&gt;0.05</formula>
    </cfRule>
  </conditionalFormatting>
  <conditionalFormatting sqref="AG2372:AH2373">
    <cfRule type="expression" dxfId="283" priority="313">
      <formula>AND(AE2372=0,(AG2372&gt;0))</formula>
    </cfRule>
    <cfRule type="expression" dxfId="282" priority="314">
      <formula>((AG2372-AE2372)/AE2372)&gt;0.05</formula>
    </cfRule>
  </conditionalFormatting>
  <conditionalFormatting sqref="H2372:H2373 J2372:J2373 L2372:L2373 V2372:V2373 AD2372:AD2373">
    <cfRule type="expression" dxfId="281" priority="317">
      <formula>AND(G2372=0,(H2372&gt;0))</formula>
    </cfRule>
    <cfRule type="expression" dxfId="280" priority="318">
      <formula>((H2372-G2372)/G2372)&gt;0.05</formula>
    </cfRule>
  </conditionalFormatting>
  <conditionalFormatting sqref="P2372:Q2373 Z2372:AA2373">
    <cfRule type="expression" dxfId="279" priority="315">
      <formula>AND(M2372=0,(P2372&gt;0))</formula>
    </cfRule>
    <cfRule type="expression" dxfId="278" priority="316">
      <formula>((P2372-M2372)/M2372)&gt;0.05</formula>
    </cfRule>
  </conditionalFormatting>
  <conditionalFormatting sqref="AG2462:AH2462">
    <cfRule type="expression" dxfId="277" priority="307">
      <formula>AND(AE2462=0,(AG2462&gt;0))</formula>
    </cfRule>
    <cfRule type="expression" dxfId="276" priority="308">
      <formula>((AG2462-AE2462)/AE2462)&gt;0.05</formula>
    </cfRule>
  </conditionalFormatting>
  <conditionalFormatting sqref="H2462 L2462 V2462 AD2462 J2462">
    <cfRule type="expression" dxfId="275" priority="311">
      <formula>AND(G2462=0,(H2462&gt;0))</formula>
    </cfRule>
    <cfRule type="expression" dxfId="274" priority="312">
      <formula>((H2462-G2462)/G2462)&gt;0.05</formula>
    </cfRule>
  </conditionalFormatting>
  <conditionalFormatting sqref="P2462:Q2462 Z2462:AA2462">
    <cfRule type="expression" dxfId="273" priority="309">
      <formula>AND(M2462=0,(P2462&gt;0))</formula>
    </cfRule>
    <cfRule type="expression" dxfId="272" priority="310">
      <formula>((P2462-M2462)/M2462)&gt;0.05</formula>
    </cfRule>
  </conditionalFormatting>
  <conditionalFormatting sqref="AG2427:AH2428">
    <cfRule type="expression" dxfId="271" priority="301">
      <formula>AND(AE2427=0,(AG2427&gt;0))</formula>
    </cfRule>
    <cfRule type="expression" dxfId="270" priority="302">
      <formula>((AG2427-AE2427)/AE2427)&gt;0.05</formula>
    </cfRule>
  </conditionalFormatting>
  <conditionalFormatting sqref="H2427:H2428 J2427:J2428 L2427:L2428 V2427:V2428 AD2427:AD2428">
    <cfRule type="expression" dxfId="269" priority="305">
      <formula>AND(G2427=0,(H2427&gt;0))</formula>
    </cfRule>
    <cfRule type="expression" dxfId="268" priority="306">
      <formula>((H2427-G2427)/G2427)&gt;0.05</formula>
    </cfRule>
  </conditionalFormatting>
  <conditionalFormatting sqref="P2427:Q2428 Z2427:AA2428">
    <cfRule type="expression" dxfId="267" priority="303">
      <formula>AND(M2427=0,(P2427&gt;0))</formula>
    </cfRule>
    <cfRule type="expression" dxfId="266" priority="304">
      <formula>((P2427-M2427)/M2427)&gt;0.05</formula>
    </cfRule>
  </conditionalFormatting>
  <conditionalFormatting sqref="AG2382:AH2383">
    <cfRule type="expression" dxfId="265" priority="295">
      <formula>AND(AE2382=0,(AG2382&gt;0))</formula>
    </cfRule>
    <cfRule type="expression" dxfId="264" priority="296">
      <formula>((AG2382-AE2382)/AE2382)&gt;0.05</formula>
    </cfRule>
  </conditionalFormatting>
  <conditionalFormatting sqref="H2382:H2383 J2382:J2383 L2382:L2383 V2382:V2383 AD2382:AD2383">
    <cfRule type="expression" dxfId="263" priority="299">
      <formula>AND(G2382=0,(H2382&gt;0))</formula>
    </cfRule>
    <cfRule type="expression" dxfId="262" priority="300">
      <formula>((H2382-G2382)/G2382)&gt;0.05</formula>
    </cfRule>
  </conditionalFormatting>
  <conditionalFormatting sqref="P2382:Q2383 Z2382:AA2383">
    <cfRule type="expression" dxfId="261" priority="297">
      <formula>AND(M2382=0,(P2382&gt;0))</formula>
    </cfRule>
    <cfRule type="expression" dxfId="260" priority="298">
      <formula>((P2382-M2382)/M2382)&gt;0.05</formula>
    </cfRule>
  </conditionalFormatting>
  <conditionalFormatting sqref="AG2469:AH2471">
    <cfRule type="expression" dxfId="259" priority="289">
      <formula>AND(AE2469=0,(AG2469&gt;0))</formula>
    </cfRule>
    <cfRule type="expression" dxfId="258" priority="290">
      <formula>((AG2469-AE2469)/AE2469)&gt;0.05</formula>
    </cfRule>
  </conditionalFormatting>
  <conditionalFormatting sqref="H2469:H2471 L2469:L2471 V2469:V2471 AD2469:AD2471 J2469:J2471">
    <cfRule type="expression" dxfId="257" priority="293">
      <formula>AND(G2469=0,(H2469&gt;0))</formula>
    </cfRule>
    <cfRule type="expression" dxfId="256" priority="294">
      <formula>((H2469-G2469)/G2469)&gt;0.05</formula>
    </cfRule>
  </conditionalFormatting>
  <conditionalFormatting sqref="P2469:Q2471 Z2469:AA2471">
    <cfRule type="expression" dxfId="255" priority="291">
      <formula>AND(M2469=0,(P2469&gt;0))</formula>
    </cfRule>
    <cfRule type="expression" dxfId="254" priority="292">
      <formula>((P2469-M2469)/M2469)&gt;0.05</formula>
    </cfRule>
  </conditionalFormatting>
  <conditionalFormatting sqref="AG2390:AH2391">
    <cfRule type="expression" dxfId="253" priority="283">
      <formula>AND(AE2390=0,(AG2390&gt;0))</formula>
    </cfRule>
    <cfRule type="expression" dxfId="252" priority="284">
      <formula>((AG2390-AE2390)/AE2390)&gt;0.05</formula>
    </cfRule>
  </conditionalFormatting>
  <conditionalFormatting sqref="H2390:H2391 J2390:J2391 L2390:L2391 V2390:V2391 AD2390:AD2391">
    <cfRule type="expression" dxfId="251" priority="287">
      <formula>AND(G2390=0,(H2390&gt;0))</formula>
    </cfRule>
    <cfRule type="expression" dxfId="250" priority="288">
      <formula>((H2390-G2390)/G2390)&gt;0.05</formula>
    </cfRule>
  </conditionalFormatting>
  <conditionalFormatting sqref="P2390:Q2391 Z2390:AA2391">
    <cfRule type="expression" dxfId="249" priority="285">
      <formula>AND(M2390=0,(P2390&gt;0))</formula>
    </cfRule>
    <cfRule type="expression" dxfId="248" priority="286">
      <formula>((P2390-M2390)/M2390)&gt;0.05</formula>
    </cfRule>
  </conditionalFormatting>
  <conditionalFormatting sqref="AG2446:AH2447">
    <cfRule type="expression" dxfId="247" priority="277">
      <formula>AND(AE2446=0,(AG2446&gt;0))</formula>
    </cfRule>
    <cfRule type="expression" dxfId="246" priority="278">
      <formula>((AG2446-AE2446)/AE2446)&gt;0.05</formula>
    </cfRule>
  </conditionalFormatting>
  <conditionalFormatting sqref="H2446:H2447 J2446:J2447 L2446:L2447 V2446:V2447 AD2446:AD2447">
    <cfRule type="expression" dxfId="245" priority="281">
      <formula>AND(G2446=0,(H2446&gt;0))</formula>
    </cfRule>
    <cfRule type="expression" dxfId="244" priority="282">
      <formula>((H2446-G2446)/G2446)&gt;0.05</formula>
    </cfRule>
  </conditionalFormatting>
  <conditionalFormatting sqref="P2446:Q2447 Z2446:AA2447">
    <cfRule type="expression" dxfId="243" priority="279">
      <formula>AND(M2446=0,(P2446&gt;0))</formula>
    </cfRule>
    <cfRule type="expression" dxfId="242" priority="280">
      <formula>((P2446-M2446)/M2446)&gt;0.05</formula>
    </cfRule>
  </conditionalFormatting>
  <conditionalFormatting sqref="AG3136:AH3161">
    <cfRule type="expression" dxfId="241" priority="269">
      <formula>AND(AE3136=0,(AG3136&gt;0))</formula>
    </cfRule>
    <cfRule type="expression" dxfId="240" priority="270">
      <formula>((AG3136-AE3136)/AE3136)&gt;0.05</formula>
    </cfRule>
  </conditionalFormatting>
  <conditionalFormatting sqref="J3136:J3161 L3136:L3161 V3136:V3161 AD3136:AD3161 H3141:H3161 H3136:H3139">
    <cfRule type="expression" dxfId="239" priority="273">
      <formula>AND(G3136=0,(H3136&gt;0))</formula>
    </cfRule>
    <cfRule type="expression" dxfId="238" priority="274">
      <formula>((H3136-G3136)/G3136)&gt;0.05</formula>
    </cfRule>
  </conditionalFormatting>
  <conditionalFormatting sqref="P3136:Q3161 Z3136:AA3161">
    <cfRule type="expression" dxfId="237" priority="271">
      <formula>AND(M3136=0,(P3136&gt;0))</formula>
    </cfRule>
    <cfRule type="expression" dxfId="236" priority="272">
      <formula>((P3136-M3136)/M3136)&gt;0.05</formula>
    </cfRule>
  </conditionalFormatting>
  <conditionalFormatting sqref="H3140">
    <cfRule type="expression" dxfId="235" priority="275">
      <formula>AND(G3139=0,(H3140&gt;0))</formula>
    </cfRule>
    <cfRule type="expression" dxfId="234" priority="276">
      <formula>((H3140-G3139)/G3139)&gt;0.05</formula>
    </cfRule>
  </conditionalFormatting>
  <conditionalFormatting sqref="H2152:H2206 J2152:J2206 L2152:L2206 V2152:V2206 AD2152:AD2206">
    <cfRule type="expression" dxfId="233" priority="251">
      <formula>AND(G2152=0,(H2152&gt;0))</formula>
    </cfRule>
    <cfRule type="expression" dxfId="232" priority="252">
      <formula>((H2152-G2152)/G2152)&gt;0.05</formula>
    </cfRule>
  </conditionalFormatting>
  <conditionalFormatting sqref="P2152:Q2206 Z2152:AA2206">
    <cfRule type="expression" dxfId="231" priority="249">
      <formula>AND(M2152=0,(P2152&gt;0))</formula>
    </cfRule>
    <cfRule type="expression" dxfId="230" priority="250">
      <formula>((P2152-M2152)/M2152)&gt;0.05</formula>
    </cfRule>
  </conditionalFormatting>
  <conditionalFormatting sqref="AG2152:AH2206">
    <cfRule type="expression" dxfId="229" priority="247">
      <formula>AND(AE2152=0,(AG2152&gt;0))</formula>
    </cfRule>
    <cfRule type="expression" dxfId="228" priority="248">
      <formula>((AG2152-AE2152)/AE2152)&gt;0.05</formula>
    </cfRule>
  </conditionalFormatting>
  <conditionalFormatting sqref="AG1011:AH1069">
    <cfRule type="expression" dxfId="227" priority="241">
      <formula>AND(AE1011=0,(AG1011&gt;0))</formula>
    </cfRule>
    <cfRule type="expression" dxfId="226" priority="242">
      <formula>((AG1011-AE1011)/AE1011)&gt;0.05</formula>
    </cfRule>
  </conditionalFormatting>
  <conditionalFormatting sqref="V1011:V1069 L1011:L1069 H1011:H1069 AD1011:AD1069 J1011:J1069">
    <cfRule type="expression" dxfId="225" priority="245">
      <formula>AND(G1011=0,(H1011&gt;0))</formula>
    </cfRule>
    <cfRule type="expression" dxfId="224" priority="246">
      <formula>((H1011-G1011)/G1011)&gt;0.05</formula>
    </cfRule>
  </conditionalFormatting>
  <conditionalFormatting sqref="P1011:Q1069 Z1011:AA1069">
    <cfRule type="expression" dxfId="223" priority="243">
      <formula>AND(M1011=0,(P1011&gt;0))</formula>
    </cfRule>
    <cfRule type="expression" dxfId="222" priority="244">
      <formula>((P1011-M1011)/M1011)&gt;0.05</formula>
    </cfRule>
  </conditionalFormatting>
  <conditionalFormatting sqref="J996:J997 AD997">
    <cfRule type="expression" dxfId="221" priority="235">
      <formula>AND(I996=0,(J996&gt;0))</formula>
    </cfRule>
    <cfRule type="expression" dxfId="220" priority="236">
      <formula>((J996-I996)/I996)&gt;0.05</formula>
    </cfRule>
  </conditionalFormatting>
  <conditionalFormatting sqref="AD1006 AD995">
    <cfRule type="expression" dxfId="219" priority="237">
      <formula>AND(I995=0,(AD995&gt;0))</formula>
    </cfRule>
    <cfRule type="expression" dxfId="218" priority="238">
      <formula>((AD995-I995)/I995)&gt;0.05</formula>
    </cfRule>
  </conditionalFormatting>
  <conditionalFormatting sqref="AD989">
    <cfRule type="expression" dxfId="217" priority="233">
      <formula>AND(AC989=0,(AD989&gt;0))</formula>
    </cfRule>
    <cfRule type="expression" dxfId="216" priority="234">
      <formula>((AD989-AC989)/AC989)&gt;0.05</formula>
    </cfRule>
  </conditionalFormatting>
  <conditionalFormatting sqref="Q989">
    <cfRule type="expression" dxfId="215" priority="231">
      <formula>AND(N989=0,(Q989&gt;0))</formula>
    </cfRule>
    <cfRule type="expression" dxfId="214" priority="232">
      <formula>((Q989-N989)/N989)&gt;0.05</formula>
    </cfRule>
  </conditionalFormatting>
  <conditionalFormatting sqref="AD990">
    <cfRule type="expression" dxfId="213" priority="225">
      <formula>AND(AC990=0,(AD990&gt;0))</formula>
    </cfRule>
    <cfRule type="expression" dxfId="212" priority="226">
      <formula>((AD990-AC990)/AC990)&gt;0.05</formula>
    </cfRule>
  </conditionalFormatting>
  <conditionalFormatting sqref="P989">
    <cfRule type="expression" dxfId="211" priority="921">
      <formula>AND(M990=0,(P989&gt;0))</formula>
    </cfRule>
    <cfRule type="expression" dxfId="210" priority="922">
      <formula>((P989-M990)/M990)&gt;0.05</formula>
    </cfRule>
  </conditionalFormatting>
  <conditionalFormatting sqref="H989">
    <cfRule type="expression" dxfId="209" priority="223">
      <formula>AND(G989=0,(H989&gt;0))</formula>
    </cfRule>
    <cfRule type="expression" dxfId="208" priority="224">
      <formula>((H989-G989)/G989)&gt;0.05</formula>
    </cfRule>
  </conditionalFormatting>
  <conditionalFormatting sqref="V1198:V1216">
    <cfRule type="expression" dxfId="207" priority="221">
      <formula>AND(U1198=0,(V1198&gt;0))</formula>
    </cfRule>
    <cfRule type="expression" dxfId="206" priority="222">
      <formula>((V1198-U1198)/U1198)&gt;0.05</formula>
    </cfRule>
  </conditionalFormatting>
  <conditionalFormatting sqref="AG3028:AH3052">
    <cfRule type="expression" dxfId="205" priority="213">
      <formula>AND(AE3028=0,(AG3028&gt;0))</formula>
    </cfRule>
    <cfRule type="expression" dxfId="204" priority="214">
      <formula>((AG3028-AE3028)/AE3028)&gt;0.05</formula>
    </cfRule>
  </conditionalFormatting>
  <conditionalFormatting sqref="V3036:V3043 V3028 AD3028:AD3052 L3028:L3052 J3028:J3052 H3028:H3052 V3053:V3080">
    <cfRule type="expression" dxfId="203" priority="217">
      <formula>AND(G3028=0,(H3028&gt;0))</formula>
    </cfRule>
    <cfRule type="expression" dxfId="202" priority="218">
      <formula>((H3028-G3028)/G3028)&gt;0.05</formula>
    </cfRule>
  </conditionalFormatting>
  <conditionalFormatting sqref="Z3028:AA3052 P3028:Q3052">
    <cfRule type="expression" dxfId="201" priority="215">
      <formula>AND(M3028=0,(P3028&gt;0))</formula>
    </cfRule>
    <cfRule type="expression" dxfId="200" priority="216">
      <formula>((P3028-M3028)/M3028)&gt;0.05</formula>
    </cfRule>
  </conditionalFormatting>
  <conditionalFormatting sqref="H2983:H3027 L2983:L3027 V2983:V3027 AD2983:AD3027 V3046:V3052 V3031:V3034 J2983:J3027">
    <cfRule type="expression" dxfId="199" priority="211">
      <formula>AND(G2983=0,(H2983&gt;0))</formula>
    </cfRule>
    <cfRule type="expression" dxfId="198" priority="212">
      <formula>((H2983-G2983)/G2983)&gt;0.05</formula>
    </cfRule>
  </conditionalFormatting>
  <conditionalFormatting sqref="P2983:Q3027 Z2983:AA3027">
    <cfRule type="expression" dxfId="197" priority="209">
      <formula>AND(M2983=0,(P2983&gt;0))</formula>
    </cfRule>
    <cfRule type="expression" dxfId="196" priority="210">
      <formula>((P2983-M2983)/M2983)&gt;0.05</formula>
    </cfRule>
  </conditionalFormatting>
  <conditionalFormatting sqref="AG2983:AH2984 AG2986:AH3000 AH2985 AH3006 AG3002:AH3005 AH3001 AG3007:AH3027">
    <cfRule type="expression" dxfId="195" priority="207">
      <formula>AND(AE2983=0,(AG2983&gt;0))</formula>
    </cfRule>
    <cfRule type="expression" dxfId="194" priority="208">
      <formula>((AG2983-AE2983)/AE2983)&gt;0.05</formula>
    </cfRule>
  </conditionalFormatting>
  <conditionalFormatting sqref="H3053:H3082 J3053:J3082 L3053:L3082 AD3053:AD3082">
    <cfRule type="expression" dxfId="193" priority="205">
      <formula>AND(G3053=0,(H3053&gt;0))</formula>
    </cfRule>
    <cfRule type="expression" dxfId="192" priority="206">
      <formula>((H3053-G3053)/G3053)&gt;0.05</formula>
    </cfRule>
  </conditionalFormatting>
  <conditionalFormatting sqref="P3053:Q3082 Z3053:AA3082">
    <cfRule type="expression" dxfId="191" priority="203">
      <formula>AND(M3053=0,(P3053&gt;0))</formula>
    </cfRule>
    <cfRule type="expression" dxfId="190" priority="204">
      <formula>((P3053-M3053)/M3053)&gt;0.05</formula>
    </cfRule>
  </conditionalFormatting>
  <conditionalFormatting sqref="AG3053:AH3082">
    <cfRule type="expression" dxfId="189" priority="201">
      <formula>AND(AE3053=0,(AG3053&gt;0))</formula>
    </cfRule>
    <cfRule type="expression" dxfId="188" priority="202">
      <formula>((AG3053-AE3053)/AE3053)&gt;0.05</formula>
    </cfRule>
  </conditionalFormatting>
  <conditionalFormatting sqref="V3035">
    <cfRule type="expression" dxfId="187" priority="199">
      <formula>AND(U3035=0,(V3035&gt;0))</formula>
    </cfRule>
    <cfRule type="expression" dxfId="186" priority="200">
      <formula>((V3035-U3035)/U3035)&gt;0.05</formula>
    </cfRule>
  </conditionalFormatting>
  <conditionalFormatting sqref="V3029:V3030">
    <cfRule type="expression" dxfId="185" priority="197">
      <formula>AND(U3029=0,(V3029&gt;0))</formula>
    </cfRule>
    <cfRule type="expression" dxfId="184" priority="198">
      <formula>((V3029-U3029)/U3029)&gt;0.05</formula>
    </cfRule>
  </conditionalFormatting>
  <conditionalFormatting sqref="V3044:V3045">
    <cfRule type="expression" dxfId="183" priority="195">
      <formula>AND(U3044=0,(V3044&gt;0))</formula>
    </cfRule>
    <cfRule type="expression" dxfId="182" priority="196">
      <formula>((V3044-U3044)/U3044)&gt;0.05</formula>
    </cfRule>
  </conditionalFormatting>
  <conditionalFormatting sqref="H3083:H3135 J3083:J3135 L3083:L3135 AD3083:AD3135 V3084:V3135">
    <cfRule type="expression" dxfId="181" priority="193">
      <formula>AND(G3083=0,(H3083&gt;0))</formula>
    </cfRule>
    <cfRule type="expression" dxfId="180" priority="194">
      <formula>((H3083-G3083)/G3083)&gt;0.05</formula>
    </cfRule>
  </conditionalFormatting>
  <conditionalFormatting sqref="P3083:Q3135 Z3083:AA3135">
    <cfRule type="expression" dxfId="179" priority="191">
      <formula>AND(M3083=0,(P3083&gt;0))</formula>
    </cfRule>
    <cfRule type="expression" dxfId="178" priority="192">
      <formula>((P3083-M3083)/M3083)&gt;0.05</formula>
    </cfRule>
  </conditionalFormatting>
  <conditionalFormatting sqref="AG3083:AH3135">
    <cfRule type="expression" dxfId="177" priority="189">
      <formula>AND(AE3083=0,(AG3083&gt;0))</formula>
    </cfRule>
    <cfRule type="expression" dxfId="176" priority="190">
      <formula>((AG3083-AE3083)/AE3083)&gt;0.05</formula>
    </cfRule>
  </conditionalFormatting>
  <conditionalFormatting sqref="AG2985">
    <cfRule type="expression" dxfId="175" priority="187">
      <formula>AND(AE2985=0,(AG2985&gt;0))</formula>
    </cfRule>
    <cfRule type="expression" dxfId="174" priority="188">
      <formula>((AG2985-AE2985)/AE2985)&gt;0.05</formula>
    </cfRule>
  </conditionalFormatting>
  <conditionalFormatting sqref="AG3006">
    <cfRule type="expression" dxfId="173" priority="185">
      <formula>AND(AE3006=0,(AG3006&gt;0))</formula>
    </cfRule>
    <cfRule type="expression" dxfId="172" priority="186">
      <formula>((AG3006-AE3006)/AE3006)&gt;0.05</formula>
    </cfRule>
  </conditionalFormatting>
  <conditionalFormatting sqref="AG3001">
    <cfRule type="expression" dxfId="171" priority="183">
      <formula>AND(AE3001=0,(AG3001&gt;0))</formula>
    </cfRule>
    <cfRule type="expression" dxfId="170" priority="184">
      <formula>((AG3001-AE3001)/AE3001)&gt;0.05</formula>
    </cfRule>
  </conditionalFormatting>
  <conditionalFormatting sqref="V3083">
    <cfRule type="expression" dxfId="169" priority="219">
      <formula>AND(U3081=0,(V3083&gt;0))</formula>
    </cfRule>
    <cfRule type="expression" dxfId="168" priority="220">
      <formula>((V3083-U3081)/U3081)&gt;0.05</formula>
    </cfRule>
  </conditionalFormatting>
  <conditionalFormatting sqref="AG2662:AH2724">
    <cfRule type="expression" dxfId="167" priority="177">
      <formula>AND(AE2662=0,(AG2662&gt;0))</formula>
    </cfRule>
    <cfRule type="expression" dxfId="166" priority="178">
      <formula>((AG2662-AE2662)/AE2662)&gt;0.05</formula>
    </cfRule>
  </conditionalFormatting>
  <conditionalFormatting sqref="AD2662:AD2724 V2662:V2724 L2662:L2724 J2662:J2724 H2662:H2724">
    <cfRule type="expression" dxfId="165" priority="181">
      <formula>AND(G2662=0,(H2662&gt;0))</formula>
    </cfRule>
    <cfRule type="expression" dxfId="164" priority="182">
      <formula>((H2662-G2662)/G2662)&gt;0.05</formula>
    </cfRule>
  </conditionalFormatting>
  <conditionalFormatting sqref="Z2662:AA2724 P2689:Q2724 P2662:P2688">
    <cfRule type="expression" dxfId="163" priority="179">
      <formula>AND(M2662=0,(P2662&gt;0))</formula>
    </cfRule>
    <cfRule type="expression" dxfId="162" priority="180">
      <formula>((P2662-M2662)/M2662)&gt;0.05</formula>
    </cfRule>
  </conditionalFormatting>
  <conditionalFormatting sqref="AD2628:AD2661 V2628:V2661 L2628:L2661 J2628:J2661 H2628:H2661">
    <cfRule type="expression" dxfId="161" priority="175">
      <formula>AND(G2628=0,(H2628&gt;0))</formula>
    </cfRule>
    <cfRule type="expression" dxfId="160" priority="176">
      <formula>((H2628-G2628)/G2628)&gt;0.05</formula>
    </cfRule>
  </conditionalFormatting>
  <conditionalFormatting sqref="Z2628:AA2661 P2628:P2661">
    <cfRule type="expression" dxfId="159" priority="173">
      <formula>AND(M2628=0,(P2628&gt;0))</formula>
    </cfRule>
    <cfRule type="expression" dxfId="158" priority="174">
      <formula>((P2628-M2628)/M2628)&gt;0.05</formula>
    </cfRule>
  </conditionalFormatting>
  <conditionalFormatting sqref="AG2628:AH2661">
    <cfRule type="expression" dxfId="157" priority="171">
      <formula>AND(AE2628=0,(AG2628&gt;0))</formula>
    </cfRule>
    <cfRule type="expression" dxfId="156" priority="172">
      <formula>((AG2628-AE2628)/AE2628)&gt;0.05</formula>
    </cfRule>
  </conditionalFormatting>
  <conditionalFormatting sqref="Q2662:Q2688">
    <cfRule type="expression" dxfId="155" priority="169">
      <formula>AND(N2662=0,(Q2662&gt;0))</formula>
    </cfRule>
    <cfRule type="expression" dxfId="154" priority="170">
      <formula>((Q2662-N2662)/N2662)&gt;0.05</formula>
    </cfRule>
  </conditionalFormatting>
  <conditionalFormatting sqref="Q2628:Q2661">
    <cfRule type="expression" dxfId="153" priority="167">
      <formula>AND(N2628=0,(Q2628&gt;0))</formula>
    </cfRule>
    <cfRule type="expression" dxfId="152" priority="168">
      <formula>((Q2628-N2628)/N2628)&gt;0.05</formula>
    </cfRule>
  </conditionalFormatting>
  <conditionalFormatting sqref="H445 J445 L445 V445 AD445">
    <cfRule type="expression" dxfId="151" priority="147">
      <formula>AND(G445=0,(H445&gt;0))</formula>
    </cfRule>
    <cfRule type="expression" dxfId="150" priority="148">
      <formula>((H445-G445)/G445)&gt;0.05</formula>
    </cfRule>
  </conditionalFormatting>
  <conditionalFormatting sqref="AD440 V440 L440 J440 H440">
    <cfRule type="expression" dxfId="149" priority="141">
      <formula>AND(G440=0,(H440&gt;0))</formula>
    </cfRule>
    <cfRule type="expression" dxfId="148" priority="142">
      <formula>((H440-G440)/G440)&gt;0.05</formula>
    </cfRule>
  </conditionalFormatting>
  <conditionalFormatting sqref="AG390:AH425">
    <cfRule type="expression" dxfId="147" priority="161">
      <formula>AND(AE390=0,(AG390&gt;0))</formula>
    </cfRule>
    <cfRule type="expression" dxfId="146" priority="162">
      <formula>((AG390-AE390)/AE390)&gt;0.05</formula>
    </cfRule>
  </conditionalFormatting>
  <conditionalFormatting sqref="H390:H425 J390:J425 L390:L425 V390:V425 AD390:AD425">
    <cfRule type="expression" dxfId="145" priority="165">
      <formula>AND(G390=0,(H390&gt;0))</formula>
    </cfRule>
    <cfRule type="expression" dxfId="144" priority="166">
      <formula>((H390-G390)/G390)&gt;0.05</formula>
    </cfRule>
  </conditionalFormatting>
  <conditionalFormatting sqref="P390:Q425 Z390:AA425">
    <cfRule type="expression" dxfId="143" priority="163">
      <formula>AND(M390=0,(P390&gt;0))</formula>
    </cfRule>
    <cfRule type="expression" dxfId="142" priority="164">
      <formula>((P390-M390)/M390)&gt;0.05</formula>
    </cfRule>
  </conditionalFormatting>
  <conditionalFormatting sqref="H427:H439 J427:J439 L427:L439 V427:V439 AD427:AD439 AD446:AD560 V446:V560 L446:L560 J446:J560 H446:H560 AD441:AD444 V441:V444 L441:L444 J441:J444 H441:H444 AD380:AD389 L380:L389 J380:J389 H380:H389 V380:V389">
    <cfRule type="expression" dxfId="141" priority="159">
      <formula>AND(G380=0,(H380&gt;0))</formula>
    </cfRule>
    <cfRule type="expression" dxfId="140" priority="160">
      <formula>((H380-G380)/G380)&gt;0.05</formula>
    </cfRule>
  </conditionalFormatting>
  <conditionalFormatting sqref="P427:Q439 Z427:AA439 Z446:AA560 P446:Q560 Z441:AA444 P441:Q444 Z380:AA389 P380:Q389">
    <cfRule type="expression" dxfId="139" priority="157">
      <formula>AND(M380=0,(P380&gt;0))</formula>
    </cfRule>
    <cfRule type="expression" dxfId="138" priority="158">
      <formula>((P380-M380)/M380)&gt;0.05</formula>
    </cfRule>
  </conditionalFormatting>
  <conditionalFormatting sqref="AG427:AH439 AG446:AH560 AG441:AH444 AG380:AH389">
    <cfRule type="expression" dxfId="137" priority="155">
      <formula>AND(AE380=0,(AG380&gt;0))</formula>
    </cfRule>
    <cfRule type="expression" dxfId="136" priority="156">
      <formula>((AG380-AE380)/AE380)&gt;0.05</formula>
    </cfRule>
  </conditionalFormatting>
  <conditionalFormatting sqref="AG426:AH426">
    <cfRule type="expression" dxfId="135" priority="149">
      <formula>AND(AE426=0,(AG426&gt;0))</formula>
    </cfRule>
    <cfRule type="expression" dxfId="134" priority="150">
      <formula>((AG426-AE426)/AE426)&gt;0.05</formula>
    </cfRule>
  </conditionalFormatting>
  <conditionalFormatting sqref="AD426 V426 L426 J426 H426">
    <cfRule type="expression" dxfId="133" priority="153">
      <formula>AND(G426=0,(H426&gt;0))</formula>
    </cfRule>
    <cfRule type="expression" dxfId="132" priority="154">
      <formula>((H426-G426)/G426)&gt;0.05</formula>
    </cfRule>
  </conditionalFormatting>
  <conditionalFormatting sqref="Z426:AA426 P426:Q426">
    <cfRule type="expression" dxfId="131" priority="151">
      <formula>AND(M426=0,(P426&gt;0))</formula>
    </cfRule>
    <cfRule type="expression" dxfId="130" priority="152">
      <formula>((P426-M426)/M426)&gt;0.05</formula>
    </cfRule>
  </conditionalFormatting>
  <conditionalFormatting sqref="AG445:AH445">
    <cfRule type="expression" dxfId="129" priority="143">
      <formula>AND(AE445=0,(AG445&gt;0))</formula>
    </cfRule>
    <cfRule type="expression" dxfId="128" priority="144">
      <formula>((AG445-AE445)/AE445)&gt;0.05</formula>
    </cfRule>
  </conditionalFormatting>
  <conditionalFormatting sqref="P445:Q445 Z445:AA445">
    <cfRule type="expression" dxfId="127" priority="145">
      <formula>AND(M445=0,(P445&gt;0))</formula>
    </cfRule>
    <cfRule type="expression" dxfId="126" priority="146">
      <formula>((P445-M445)/M445)&gt;0.05</formula>
    </cfRule>
  </conditionalFormatting>
  <conditionalFormatting sqref="Z440:AA440 P440:Q440">
    <cfRule type="expression" dxfId="125" priority="139">
      <formula>AND(M440=0,(P440&gt;0))</formula>
    </cfRule>
    <cfRule type="expression" dxfId="124" priority="140">
      <formula>((P440-M440)/M440)&gt;0.05</formula>
    </cfRule>
  </conditionalFormatting>
  <conditionalFormatting sqref="AG440:AH440">
    <cfRule type="expression" dxfId="123" priority="137">
      <formula>AND(AE440=0,(AG440&gt;0))</formula>
    </cfRule>
    <cfRule type="expression" dxfId="122" priority="138">
      <formula>((AG440-AE440)/AE440)&gt;0.05</formula>
    </cfRule>
  </conditionalFormatting>
  <conditionalFormatting sqref="AG250:AH250">
    <cfRule type="expression" dxfId="121" priority="9">
      <formula>AND(AE250=0,(AG250&gt;0))</formula>
    </cfRule>
    <cfRule type="expression" dxfId="120" priority="10">
      <formula>((AG250-AE250)/AE250)&gt;0.05</formula>
    </cfRule>
  </conditionalFormatting>
  <conditionalFormatting sqref="J250 AD250 V250 L250 H250">
    <cfRule type="expression" dxfId="119" priority="13">
      <formula>AND(G250=0,(H250&gt;0))</formula>
    </cfRule>
    <cfRule type="expression" dxfId="118" priority="14">
      <formula>((H250-G250)/G250)&gt;0.05</formula>
    </cfRule>
  </conditionalFormatting>
  <conditionalFormatting sqref="Z250:AA250 P250:Q250">
    <cfRule type="expression" dxfId="117" priority="11">
      <formula>AND(M250=0,(P250&gt;0))</formula>
    </cfRule>
    <cfRule type="expression" dxfId="116" priority="12">
      <formula>((P250-M250)/M250)&gt;0.05</formula>
    </cfRule>
  </conditionalFormatting>
  <conditionalFormatting sqref="J212">
    <cfRule type="expression" dxfId="115" priority="7">
      <formula>AND(I212=0,(J212&gt;0))</formula>
    </cfRule>
    <cfRule type="expression" dxfId="114" priority="8">
      <formula>((J212-I212)/I212)&gt;0.05</formula>
    </cfRule>
  </conditionalFormatting>
  <conditionalFormatting sqref="H212 L212 V212 AD212">
    <cfRule type="expression" dxfId="113" priority="5">
      <formula>AND(G212=0,(H212&gt;0))</formula>
    </cfRule>
    <cfRule type="expression" dxfId="112" priority="6">
      <formula>((H212-G212)/G212)&gt;0.05</formula>
    </cfRule>
  </conditionalFormatting>
  <conditionalFormatting sqref="P212:Q212 Z212:AA212">
    <cfRule type="expression" dxfId="111" priority="3">
      <formula>AND(M212=0,(P212&gt;0))</formula>
    </cfRule>
    <cfRule type="expression" dxfId="110" priority="4">
      <formula>((P212-M212)/M212)&gt;0.05</formula>
    </cfRule>
  </conditionalFormatting>
  <conditionalFormatting sqref="AG212:AH212">
    <cfRule type="expression" dxfId="109" priority="1">
      <formula>AND(AE212=0,(AG212&gt;0))</formula>
    </cfRule>
    <cfRule type="expression" dxfId="108" priority="2">
      <formula>((AG212-AE212)/AE212)&gt;0.05</formula>
    </cfRule>
  </conditionalFormatting>
  <conditionalFormatting sqref="AG172:AH174 AG10:AH29 AG33:AH40 AG42:AH142 AG256:AH257 AG232:AH249 AG251:AH253">
    <cfRule type="expression" dxfId="107" priority="105">
      <formula>AND(AE10=0,(AG10&gt;0))</formula>
    </cfRule>
    <cfRule type="expression" dxfId="106" priority="106">
      <formula>((AG10-AE10)/AE10)&gt;0.05</formula>
    </cfRule>
  </conditionalFormatting>
  <conditionalFormatting sqref="AD152:AD171 L152:L171 H152:H171 V152:V171 H175:H177 L175:L177 AD175:AD177 V175:V177 J10:J28 L10:L29 AD10:AD29 V10:V29 H10:H29 J70:J211 H33:H40 V33:V40 AD33:AD40 L33:L40 J248:J249 L42:L142 AD42:AD142 V42:V142 H42:H142 J256:J257 H256:H257 L256:L257 V256:V257 AD256:AD257 AD232:AD249 V232:V249 L232:L249 H232:H249 J229:J241 H251:H253 L251:L253 V251:V253 AD251:AD253 J251:J253 J213:J227">
    <cfRule type="expression" dxfId="105" priority="121">
      <formula>AND(G10=0,(H10&gt;0))</formula>
    </cfRule>
    <cfRule type="expression" dxfId="104" priority="122">
      <formula>((H10-G10)/G10)&gt;0.05</formula>
    </cfRule>
  </conditionalFormatting>
  <conditionalFormatting sqref="P152:Q171 Z152:AA171 Z175:AA177 P175:Q177 Z10:AA29 P10:Q29 P33:Q40 Z33:AA40 Z42:AA142 P42:Q142 P256:Q257 Z256:AA257 Z232:AA249 P232:Q249 P251:Q253 Z251:AA253">
    <cfRule type="expression" dxfId="103" priority="119">
      <formula>AND(M10=0,(P10&gt;0))</formula>
    </cfRule>
    <cfRule type="expression" dxfId="102" priority="120">
      <formula>((P10-M10)/M10)&gt;0.05</formula>
    </cfRule>
  </conditionalFormatting>
  <conditionalFormatting sqref="AG152:AH171 AG175:AH177">
    <cfRule type="expression" dxfId="101" priority="117">
      <formula>AND(AE152=0,(AG152&gt;0))</formula>
    </cfRule>
    <cfRule type="expression" dxfId="100" priority="118">
      <formula>((AG152-AE152)/AE152)&gt;0.05</formula>
    </cfRule>
  </conditionalFormatting>
  <conditionalFormatting sqref="H143:H151 L143:L151 AD143:AD151 V143:V151">
    <cfRule type="expression" dxfId="99" priority="115">
      <formula>AND(G143=0,(H143&gt;0))</formula>
    </cfRule>
    <cfRule type="expression" dxfId="98" priority="116">
      <formula>((H143-G143)/G143)&gt;0.05</formula>
    </cfRule>
  </conditionalFormatting>
  <conditionalFormatting sqref="Z143:AA151 P143:Q151">
    <cfRule type="expression" dxfId="97" priority="113">
      <formula>AND(M143=0,(P143&gt;0))</formula>
    </cfRule>
    <cfRule type="expression" dxfId="96" priority="114">
      <formula>((P143-M143)/M143)&gt;0.05</formula>
    </cfRule>
  </conditionalFormatting>
  <conditionalFormatting sqref="AG143:AH151">
    <cfRule type="expression" dxfId="95" priority="111">
      <formula>AND(AE143=0,(AG143&gt;0))</formula>
    </cfRule>
    <cfRule type="expression" dxfId="94" priority="112">
      <formula>((AG143-AE143)/AE143)&gt;0.05</formula>
    </cfRule>
  </conditionalFormatting>
  <conditionalFormatting sqref="AD172:AD174 L172:L174 H172:H174 V172:V174">
    <cfRule type="expression" dxfId="93" priority="109">
      <formula>AND(G172=0,(H172&gt;0))</formula>
    </cfRule>
    <cfRule type="expression" dxfId="92" priority="110">
      <formula>((H172-G172)/G172)&gt;0.05</formula>
    </cfRule>
  </conditionalFormatting>
  <conditionalFormatting sqref="P172:Q174 Z172:AA174">
    <cfRule type="expression" dxfId="91" priority="107">
      <formula>AND(M172=0,(P172&gt;0))</formula>
    </cfRule>
    <cfRule type="expression" dxfId="90" priority="108">
      <formula>((P172-M172)/M172)&gt;0.05</formula>
    </cfRule>
  </conditionalFormatting>
  <conditionalFormatting sqref="H178:H209 L178:L209 V178:V209 AD178:AD209">
    <cfRule type="expression" dxfId="89" priority="103">
      <formula>AND(G178=0,(H178&gt;0))</formula>
    </cfRule>
    <cfRule type="expression" dxfId="88" priority="104">
      <formula>((H178-G178)/G178)&gt;0.05</formula>
    </cfRule>
  </conditionalFormatting>
  <conditionalFormatting sqref="P178:Q209 Z178:AA209">
    <cfRule type="expression" dxfId="87" priority="101">
      <formula>AND(M178=0,(P178&gt;0))</formula>
    </cfRule>
    <cfRule type="expression" dxfId="86" priority="102">
      <formula>((P178-M178)/M178)&gt;0.05</formula>
    </cfRule>
  </conditionalFormatting>
  <conditionalFormatting sqref="AG178:AH209">
    <cfRule type="expression" dxfId="85" priority="99">
      <formula>AND(AE178=0,(AG178&gt;0))</formula>
    </cfRule>
    <cfRule type="expression" dxfId="84" priority="100">
      <formula>((AG178-AE178)/AE178)&gt;0.05</formula>
    </cfRule>
  </conditionalFormatting>
  <conditionalFormatting sqref="H210:H211 L210:L211 V210:V211 AD210:AD211 H259:H263 J259:J263 L259:L263 V259:V263 AD259:AD263 AD266:AD379 V266:V351 L266:L379 J266:J379 H266:H379 V353:V379 AD213:AD230 V213:V230 L213:L230 H213:H230">
    <cfRule type="expression" dxfId="83" priority="97">
      <formula>AND(G210=0,(H210&gt;0))</formula>
    </cfRule>
    <cfRule type="expression" dxfId="82" priority="98">
      <formula>((H210-G210)/G210)&gt;0.05</formula>
    </cfRule>
  </conditionalFormatting>
  <conditionalFormatting sqref="P210:Q211 Z210:AA211 P259:Q263 Z259:AA263 Z266:AA379 P266:Q379 Z213:AA230 P213:Q230">
    <cfRule type="expression" dxfId="81" priority="95">
      <formula>AND(M210=0,(P210&gt;0))</formula>
    </cfRule>
    <cfRule type="expression" dxfId="80" priority="96">
      <formula>((P210-M210)/M210)&gt;0.05</formula>
    </cfRule>
  </conditionalFormatting>
  <conditionalFormatting sqref="AG210:AH211 AG259:AH263 AG266:AH379 AG213:AH230">
    <cfRule type="expression" dxfId="79" priority="93">
      <formula>AND(AE210=0,(AG210&gt;0))</formula>
    </cfRule>
    <cfRule type="expression" dxfId="78" priority="94">
      <formula>((AG210-AE210)/AE210)&gt;0.05</formula>
    </cfRule>
  </conditionalFormatting>
  <conditionalFormatting sqref="H231 L231 V231 AD231">
    <cfRule type="expression" dxfId="77" priority="91">
      <formula>AND(G231=0,(H231&gt;0))</formula>
    </cfRule>
    <cfRule type="expression" dxfId="76" priority="92">
      <formula>((H231-G231)/G231)&gt;0.05</formula>
    </cfRule>
  </conditionalFormatting>
  <conditionalFormatting sqref="P231:Q231 Z231:AA231">
    <cfRule type="expression" dxfId="75" priority="89">
      <formula>AND(M231=0,(P231&gt;0))</formula>
    </cfRule>
    <cfRule type="expression" dxfId="74" priority="90">
      <formula>((P231-M231)/M231)&gt;0.05</formula>
    </cfRule>
  </conditionalFormatting>
  <conditionalFormatting sqref="AG231:AH231">
    <cfRule type="expression" dxfId="73" priority="87">
      <formula>AND(AE231=0,(AG231&gt;0))</formula>
    </cfRule>
    <cfRule type="expression" dxfId="72" priority="88">
      <formula>((AG231-AE231)/AE231)&gt;0.05</formula>
    </cfRule>
  </conditionalFormatting>
  <conditionalFormatting sqref="AD258 V258 L258 J258 H258">
    <cfRule type="expression" dxfId="71" priority="85">
      <formula>AND(G258=0,(H258&gt;0))</formula>
    </cfRule>
    <cfRule type="expression" dxfId="70" priority="86">
      <formula>((H258-G258)/G258)&gt;0.05</formula>
    </cfRule>
  </conditionalFormatting>
  <conditionalFormatting sqref="Z258:AA258 P258:Q258">
    <cfRule type="expression" dxfId="69" priority="83">
      <formula>AND(M258=0,(P258&gt;0))</formula>
    </cfRule>
    <cfRule type="expression" dxfId="68" priority="84">
      <formula>((P258-M258)/M258)&gt;0.05</formula>
    </cfRule>
  </conditionalFormatting>
  <conditionalFormatting sqref="AG258:AH258">
    <cfRule type="expression" dxfId="67" priority="81">
      <formula>AND(AE258=0,(AG258&gt;0))</formula>
    </cfRule>
    <cfRule type="expression" dxfId="66" priority="82">
      <formula>((AG258-AE258)/AE258)&gt;0.05</formula>
    </cfRule>
  </conditionalFormatting>
  <conditionalFormatting sqref="H265 J265 L265 V265 AD265">
    <cfRule type="expression" dxfId="65" priority="79">
      <formula>AND(G265=0,(H265&gt;0))</formula>
    </cfRule>
    <cfRule type="expression" dxfId="64" priority="80">
      <formula>((H265-G265)/G265)&gt;0.05</formula>
    </cfRule>
  </conditionalFormatting>
  <conditionalFormatting sqref="P265:Q265 Z265:AA265">
    <cfRule type="expression" dxfId="63" priority="77">
      <formula>AND(M265=0,(P265&gt;0))</formula>
    </cfRule>
    <cfRule type="expression" dxfId="62" priority="78">
      <formula>((P265-M265)/M265)&gt;0.05</formula>
    </cfRule>
  </conditionalFormatting>
  <conditionalFormatting sqref="AG265:AH265">
    <cfRule type="expression" dxfId="61" priority="75">
      <formula>AND(AE265=0,(AG265&gt;0))</formula>
    </cfRule>
    <cfRule type="expression" dxfId="60" priority="76">
      <formula>((AG265-AE265)/AE265)&gt;0.05</formula>
    </cfRule>
  </conditionalFormatting>
  <conditionalFormatting sqref="J33:J40 J64:J68 J243:J246 J42:J62">
    <cfRule type="expression" dxfId="59" priority="73">
      <formula>AND(I33=0,(J33&gt;0))</formula>
    </cfRule>
    <cfRule type="expression" dxfId="58" priority="74">
      <formula>((J33-I33)/I33)&gt;0.05</formula>
    </cfRule>
  </conditionalFormatting>
  <conditionalFormatting sqref="J29">
    <cfRule type="expression" dxfId="57" priority="71">
      <formula>AND(I29=0,(J29&gt;0))</formula>
    </cfRule>
    <cfRule type="expression" dxfId="56" priority="72">
      <formula>((J29-I29)/I29)&gt;0.05</formula>
    </cfRule>
  </conditionalFormatting>
  <conditionalFormatting sqref="J63">
    <cfRule type="expression" dxfId="55" priority="69">
      <formula>AND(I63=0,(J63&gt;0))</formula>
    </cfRule>
    <cfRule type="expression" dxfId="54" priority="70">
      <formula>((J63-I63)/I63)&gt;0.05</formula>
    </cfRule>
  </conditionalFormatting>
  <conditionalFormatting sqref="J69">
    <cfRule type="expression" dxfId="53" priority="67">
      <formula>AND(I69=0,(J69&gt;0))</formula>
    </cfRule>
    <cfRule type="expression" dxfId="52" priority="68">
      <formula>((J69-I69)/I69)&gt;0.05</formula>
    </cfRule>
  </conditionalFormatting>
  <conditionalFormatting sqref="J228">
    <cfRule type="expression" dxfId="51" priority="65">
      <formula>AND(I228=0,(J228&gt;0))</formula>
    </cfRule>
    <cfRule type="expression" dxfId="50" priority="66">
      <formula>((J228-I228)/I228)&gt;0.05</formula>
    </cfRule>
  </conditionalFormatting>
  <conditionalFormatting sqref="J247">
    <cfRule type="expression" dxfId="49" priority="63">
      <formula>AND(I247=0,(J247&gt;0))</formula>
    </cfRule>
    <cfRule type="expression" dxfId="48" priority="64">
      <formula>((J247-I247)/I247)&gt;0.05</formula>
    </cfRule>
  </conditionalFormatting>
  <conditionalFormatting sqref="J242">
    <cfRule type="expression" dxfId="47" priority="61">
      <formula>AND(I242=0,(J242&gt;0))</formula>
    </cfRule>
    <cfRule type="expression" dxfId="46" priority="62">
      <formula>((J242-I242)/I242)&gt;0.05</formula>
    </cfRule>
  </conditionalFormatting>
  <conditionalFormatting sqref="V352">
    <cfRule type="expression" dxfId="45" priority="59">
      <formula>AND(U352=0,(V352&gt;0))</formula>
    </cfRule>
    <cfRule type="expression" dxfId="44" priority="60">
      <formula>((V352-U352)/U352)&gt;0.05</formula>
    </cfRule>
  </conditionalFormatting>
  <conditionalFormatting sqref="AG30:AH30">
    <cfRule type="expression" dxfId="43" priority="53">
      <formula>AND(AE30=0,(AG30&gt;0))</formula>
    </cfRule>
    <cfRule type="expression" dxfId="42" priority="54">
      <formula>((AG30-AE30)/AE30)&gt;0.05</formula>
    </cfRule>
  </conditionalFormatting>
  <conditionalFormatting sqref="L30 AD30 V30 H30">
    <cfRule type="expression" dxfId="41" priority="57">
      <formula>AND(G30=0,(H30&gt;0))</formula>
    </cfRule>
    <cfRule type="expression" dxfId="40" priority="58">
      <formula>((H30-G30)/G30)&gt;0.05</formula>
    </cfRule>
  </conditionalFormatting>
  <conditionalFormatting sqref="Z30:AA30 P30:Q30">
    <cfRule type="expression" dxfId="39" priority="55">
      <formula>AND(M30=0,(P30&gt;0))</formula>
    </cfRule>
    <cfRule type="expression" dxfId="38" priority="56">
      <formula>((P30-M30)/M30)&gt;0.05</formula>
    </cfRule>
  </conditionalFormatting>
  <conditionalFormatting sqref="J30">
    <cfRule type="expression" dxfId="37" priority="51">
      <formula>AND(I30=0,(J30&gt;0))</formula>
    </cfRule>
    <cfRule type="expression" dxfId="36" priority="52">
      <formula>((J30-I30)/I30)&gt;0.05</formula>
    </cfRule>
  </conditionalFormatting>
  <conditionalFormatting sqref="AG31:AH32">
    <cfRule type="expression" dxfId="35" priority="45">
      <formula>AND(AE31=0,(AG31&gt;0))</formula>
    </cfRule>
    <cfRule type="expression" dxfId="34" priority="46">
      <formula>((AG31-AE31)/AE31)&gt;0.05</formula>
    </cfRule>
  </conditionalFormatting>
  <conditionalFormatting sqref="L31:L32 AD31:AD32 V31:V32 H31:H32">
    <cfRule type="expression" dxfId="33" priority="49">
      <formula>AND(G31=0,(H31&gt;0))</formula>
    </cfRule>
    <cfRule type="expression" dxfId="32" priority="50">
      <formula>((H31-G31)/G31)&gt;0.05</formula>
    </cfRule>
  </conditionalFormatting>
  <conditionalFormatting sqref="Z31:AA32 P31:Q32">
    <cfRule type="expression" dxfId="31" priority="47">
      <formula>AND(M31=0,(P31&gt;0))</formula>
    </cfRule>
    <cfRule type="expression" dxfId="30" priority="48">
      <formula>((P31-M31)/M31)&gt;0.05</formula>
    </cfRule>
  </conditionalFormatting>
  <conditionalFormatting sqref="J31:J32">
    <cfRule type="expression" dxfId="29" priority="43">
      <formula>AND(I31=0,(J31&gt;0))</formula>
    </cfRule>
    <cfRule type="expression" dxfId="28" priority="44">
      <formula>((J31-I31)/I31)&gt;0.05</formula>
    </cfRule>
  </conditionalFormatting>
  <conditionalFormatting sqref="AG41:AH41">
    <cfRule type="expression" dxfId="27" priority="37">
      <formula>AND(AE41=0,(AG41&gt;0))</formula>
    </cfRule>
    <cfRule type="expression" dxfId="26" priority="38">
      <formula>((AG41-AE41)/AE41)&gt;0.05</formula>
    </cfRule>
  </conditionalFormatting>
  <conditionalFormatting sqref="H41 V41 AD41 L41">
    <cfRule type="expression" dxfId="25" priority="41">
      <formula>AND(G41=0,(H41&gt;0))</formula>
    </cfRule>
    <cfRule type="expression" dxfId="24" priority="42">
      <formula>((H41-G41)/G41)&gt;0.05</formula>
    </cfRule>
  </conditionalFormatting>
  <conditionalFormatting sqref="P41:Q41 Z41:AA41">
    <cfRule type="expression" dxfId="23" priority="39">
      <formula>AND(M41=0,(P41&gt;0))</formula>
    </cfRule>
    <cfRule type="expression" dxfId="22" priority="40">
      <formula>((P41-M41)/M41)&gt;0.05</formula>
    </cfRule>
  </conditionalFormatting>
  <conditionalFormatting sqref="J41">
    <cfRule type="expression" dxfId="21" priority="35">
      <formula>AND(I41=0,(J41&gt;0))</formula>
    </cfRule>
    <cfRule type="expression" dxfId="20" priority="36">
      <formula>((J41-I41)/I41)&gt;0.05</formula>
    </cfRule>
  </conditionalFormatting>
  <conditionalFormatting sqref="AG254:AH254">
    <cfRule type="expression" dxfId="19" priority="29">
      <formula>AND(AE254=0,(AG254&gt;0))</formula>
    </cfRule>
    <cfRule type="expression" dxfId="18" priority="30">
      <formula>((AG254-AE254)/AE254)&gt;0.05</formula>
    </cfRule>
  </conditionalFormatting>
  <conditionalFormatting sqref="AD254 V254 L254 H254 J254">
    <cfRule type="expression" dxfId="17" priority="33">
      <formula>AND(G254=0,(H254&gt;0))</formula>
    </cfRule>
    <cfRule type="expression" dxfId="16" priority="34">
      <formula>((H254-G254)/G254)&gt;0.05</formula>
    </cfRule>
  </conditionalFormatting>
  <conditionalFormatting sqref="Z254:AA254 P254:Q254">
    <cfRule type="expression" dxfId="15" priority="31">
      <formula>AND(M254=0,(P254&gt;0))</formula>
    </cfRule>
    <cfRule type="expression" dxfId="14" priority="32">
      <formula>((P254-M254)/M254)&gt;0.05</formula>
    </cfRule>
  </conditionalFormatting>
  <conditionalFormatting sqref="AG255:AH255">
    <cfRule type="expression" dxfId="13" priority="23">
      <formula>AND(AE255=0,(AG255&gt;0))</formula>
    </cfRule>
    <cfRule type="expression" dxfId="12" priority="24">
      <formula>((AG255-AE255)/AE255)&gt;0.05</formula>
    </cfRule>
  </conditionalFormatting>
  <conditionalFormatting sqref="AD255 V255 L255 H255 J255">
    <cfRule type="expression" dxfId="11" priority="27">
      <formula>AND(G255=0,(H255&gt;0))</formula>
    </cfRule>
    <cfRule type="expression" dxfId="10" priority="28">
      <formula>((H255-G255)/G255)&gt;0.05</formula>
    </cfRule>
  </conditionalFormatting>
  <conditionalFormatting sqref="Z255:AA255 P255:Q255">
    <cfRule type="expression" dxfId="9" priority="25">
      <formula>AND(M255=0,(P255&gt;0))</formula>
    </cfRule>
    <cfRule type="expression" dxfId="8" priority="26">
      <formula>((P255-M255)/M255)&gt;0.05</formula>
    </cfRule>
  </conditionalFormatting>
  <conditionalFormatting sqref="AG264:AH264">
    <cfRule type="expression" dxfId="7" priority="17">
      <formula>AND(AE264=0,(AG264&gt;0))</formula>
    </cfRule>
    <cfRule type="expression" dxfId="6" priority="18">
      <formula>((AG264-AE264)/AE264)&gt;0.05</formula>
    </cfRule>
  </conditionalFormatting>
  <conditionalFormatting sqref="AD264 V264 L264 H264">
    <cfRule type="expression" dxfId="5" priority="21">
      <formula>AND(G264=0,(H264&gt;0))</formula>
    </cfRule>
    <cfRule type="expression" dxfId="4" priority="22">
      <formula>((H264-G264)/G264)&gt;0.05</formula>
    </cfRule>
  </conditionalFormatting>
  <conditionalFormatting sqref="Z264:AA264 P264:Q264">
    <cfRule type="expression" dxfId="3" priority="19">
      <formula>AND(M264=0,(P264&gt;0))</formula>
    </cfRule>
    <cfRule type="expression" dxfId="2" priority="20">
      <formula>((P264-M264)/M264)&gt;0.05</formula>
    </cfRule>
  </conditionalFormatting>
  <conditionalFormatting sqref="J264">
    <cfRule type="expression" dxfId="1" priority="15">
      <formula>AND(I264=0,(J264&gt;0))</formula>
    </cfRule>
    <cfRule type="expression" dxfId="0" priority="16">
      <formula>((J264-I264)/I264)&gt;0.05</formula>
    </cfRule>
  </conditionalFormatting>
  <pageMargins left="0.5" right="0.5" top="0.4" bottom="0.4" header="0.35" footer="0.17"/>
  <pageSetup paperSize="5" scale="89" orientation="landscape" r:id="rId1"/>
  <headerFooter alignWithMargins="0">
    <oddFooter>&amp;L&amp;"Arial,Regular"SREB-State Data Exchange&amp;C&amp;"Arial,Regular"&amp;D&amp;R&amp;"Arial,Regular"&amp;P</oddFooter>
  </headerFooter>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99"/>
  </sheetPr>
  <dimension ref="A1:AB707"/>
  <sheetViews>
    <sheetView workbookViewId="0">
      <selection sqref="A1:XFD1048576"/>
    </sheetView>
  </sheetViews>
  <sheetFormatPr defaultColWidth="12.75" defaultRowHeight="12.75" x14ac:dyDescent="0.2"/>
  <cols>
    <col min="1" max="1" width="5.375" style="588" customWidth="1"/>
    <col min="2" max="2" width="27.625" style="588" customWidth="1"/>
    <col min="3" max="3" width="12.75" style="589"/>
    <col min="4" max="9" width="12.75" style="588"/>
    <col min="10" max="14" width="12.25" style="588" customWidth="1"/>
    <col min="15" max="15" width="12.75" style="588" customWidth="1"/>
    <col min="16" max="18" width="11" style="588" customWidth="1"/>
    <col min="19" max="19" width="11.75" style="588" customWidth="1"/>
    <col min="20" max="20" width="12.125" style="588" customWidth="1"/>
    <col min="21" max="21" width="11.625" style="588" customWidth="1"/>
    <col min="22" max="22" width="13.125" style="590" customWidth="1"/>
    <col min="23" max="23" width="12.75" style="588"/>
    <col min="24" max="24" width="12.75" style="590"/>
    <col min="25" max="25" width="12.75" style="588"/>
    <col min="26" max="28" width="12.75" style="590"/>
    <col min="29" max="16384" width="12.75" style="588"/>
  </cols>
  <sheetData>
    <row r="1" spans="1:28" x14ac:dyDescent="0.2">
      <c r="A1" s="434"/>
      <c r="B1" s="379"/>
      <c r="C1" s="588"/>
      <c r="D1" s="641"/>
      <c r="V1" s="588"/>
      <c r="X1" s="588"/>
      <c r="Z1" s="588"/>
      <c r="AA1" s="588"/>
      <c r="AB1" s="588"/>
    </row>
    <row r="2" spans="1:28" x14ac:dyDescent="0.2">
      <c r="C2" s="588"/>
      <c r="V2" s="588"/>
      <c r="X2" s="588"/>
      <c r="Z2" s="588"/>
      <c r="AA2" s="588"/>
      <c r="AB2" s="588"/>
    </row>
    <row r="3" spans="1:28" s="214" customFormat="1" x14ac:dyDescent="0.2">
      <c r="A3" s="382"/>
      <c r="B3" s="383"/>
      <c r="C3" s="230"/>
      <c r="D3" s="213"/>
      <c r="E3" s="213"/>
      <c r="F3" s="213"/>
      <c r="G3" s="213"/>
      <c r="H3" s="213"/>
      <c r="I3" s="213"/>
      <c r="J3" s="213"/>
      <c r="K3" s="213"/>
      <c r="L3" s="213"/>
      <c r="M3" s="213"/>
      <c r="N3" s="213"/>
      <c r="O3" s="213"/>
      <c r="P3" s="213"/>
      <c r="Q3" s="213"/>
      <c r="R3" s="213"/>
      <c r="S3" s="213"/>
      <c r="T3" s="213"/>
      <c r="U3" s="213"/>
      <c r="V3" s="231"/>
      <c r="W3" s="638"/>
      <c r="X3" s="378"/>
      <c r="Y3" s="180"/>
      <c r="Z3" s="180"/>
      <c r="AA3" s="180"/>
      <c r="AB3" s="180"/>
    </row>
    <row r="4" spans="1:28" s="214" customFormat="1" x14ac:dyDescent="0.2">
      <c r="A4" s="381"/>
      <c r="B4" s="384"/>
      <c r="C4" s="230"/>
      <c r="D4" s="213"/>
      <c r="E4" s="213"/>
      <c r="F4" s="213"/>
      <c r="G4" s="213"/>
      <c r="H4" s="213"/>
      <c r="I4" s="764"/>
      <c r="J4" s="232"/>
      <c r="K4" s="213"/>
      <c r="L4" s="213"/>
      <c r="M4" s="213"/>
      <c r="N4" s="213"/>
      <c r="O4" s="764"/>
      <c r="P4" s="388"/>
      <c r="Q4" s="390"/>
      <c r="R4" s="390"/>
      <c r="S4" s="1514"/>
      <c r="T4" s="232"/>
      <c r="U4" s="1514"/>
      <c r="V4" s="230"/>
      <c r="W4" s="764"/>
      <c r="X4" s="378"/>
      <c r="Y4" s="180"/>
      <c r="Z4" s="180"/>
      <c r="AA4" s="180"/>
      <c r="AB4" s="180"/>
    </row>
    <row r="5" spans="1:28" s="214" customFormat="1" ht="13.5" thickBot="1" x14ac:dyDescent="0.25">
      <c r="A5" s="380"/>
      <c r="B5" s="232"/>
      <c r="C5" s="230"/>
      <c r="D5" s="771"/>
      <c r="E5" s="771"/>
      <c r="F5" s="771"/>
      <c r="G5" s="771"/>
      <c r="H5" s="772"/>
      <c r="I5" s="773"/>
      <c r="J5" s="230"/>
      <c r="K5" s="771"/>
      <c r="L5" s="771"/>
      <c r="M5" s="774"/>
      <c r="N5" s="775"/>
      <c r="O5" s="773"/>
      <c r="P5" s="388"/>
      <c r="Q5" s="642"/>
      <c r="R5" s="642"/>
      <c r="S5" s="1515"/>
      <c r="T5" s="776"/>
      <c r="U5" s="1516"/>
      <c r="V5" s="776"/>
      <c r="W5" s="764"/>
      <c r="X5" s="378"/>
      <c r="Y5" s="180"/>
      <c r="Z5" s="180"/>
      <c r="AA5" s="180"/>
      <c r="AB5" s="180"/>
    </row>
    <row r="6" spans="1:28" ht="13.5" thickTop="1" x14ac:dyDescent="0.2">
      <c r="A6" s="230"/>
      <c r="B6" s="780"/>
      <c r="C6" s="781"/>
      <c r="D6" s="781"/>
      <c r="E6" s="781"/>
      <c r="F6" s="781"/>
      <c r="G6" s="781"/>
      <c r="H6" s="781"/>
      <c r="I6" s="782"/>
      <c r="J6" s="781"/>
      <c r="K6" s="781"/>
      <c r="L6" s="781"/>
      <c r="M6" s="781"/>
      <c r="N6" s="781"/>
      <c r="O6" s="782"/>
      <c r="P6" s="781"/>
      <c r="Q6" s="781"/>
      <c r="R6" s="781"/>
      <c r="S6" s="782"/>
      <c r="T6" s="781"/>
      <c r="U6" s="782"/>
      <c r="V6" s="781"/>
      <c r="W6" s="782"/>
      <c r="X6" s="378"/>
      <c r="Y6" s="180"/>
      <c r="Z6" s="180"/>
      <c r="AA6" s="180"/>
      <c r="AB6" s="180"/>
    </row>
    <row r="7" spans="1:28" s="203" customFormat="1" x14ac:dyDescent="0.2">
      <c r="A7" s="636"/>
      <c r="B7" s="389"/>
      <c r="C7" s="392"/>
      <c r="D7" s="392"/>
      <c r="E7" s="392"/>
      <c r="F7" s="392"/>
      <c r="G7" s="392"/>
      <c r="H7" s="392"/>
      <c r="I7" s="766"/>
      <c r="J7" s="392"/>
      <c r="K7" s="392"/>
      <c r="L7" s="392"/>
      <c r="M7" s="392"/>
      <c r="N7" s="392"/>
      <c r="O7" s="766"/>
      <c r="P7" s="392"/>
      <c r="Q7" s="392"/>
      <c r="R7" s="392"/>
      <c r="S7" s="766"/>
      <c r="T7" s="392"/>
      <c r="U7" s="766"/>
      <c r="V7" s="392"/>
      <c r="W7" s="766"/>
      <c r="X7" s="378"/>
      <c r="Y7" s="180"/>
      <c r="Z7" s="180"/>
      <c r="AA7" s="180"/>
      <c r="AB7" s="180"/>
    </row>
    <row r="8" spans="1:28" s="202" customFormat="1" x14ac:dyDescent="0.2">
      <c r="A8" s="637"/>
      <c r="B8" s="639"/>
      <c r="C8" s="466"/>
      <c r="D8" s="763"/>
      <c r="E8" s="466"/>
      <c r="F8" s="466"/>
      <c r="G8" s="466"/>
      <c r="H8" s="466"/>
      <c r="I8" s="767"/>
      <c r="J8" s="466"/>
      <c r="K8" s="466"/>
      <c r="L8" s="466"/>
      <c r="M8" s="466"/>
      <c r="N8" s="466"/>
      <c r="O8" s="767"/>
      <c r="P8" s="466"/>
      <c r="Q8" s="466"/>
      <c r="R8" s="466"/>
      <c r="S8" s="767"/>
      <c r="T8" s="466"/>
      <c r="U8" s="767"/>
      <c r="V8" s="466"/>
      <c r="W8" s="767"/>
      <c r="X8" s="378"/>
      <c r="Y8" s="180"/>
      <c r="Z8" s="180"/>
      <c r="AA8" s="180"/>
      <c r="AB8" s="180"/>
    </row>
    <row r="9" spans="1:28" x14ac:dyDescent="0.2">
      <c r="A9" s="636"/>
      <c r="B9" s="388"/>
      <c r="C9" s="391"/>
      <c r="D9" s="391"/>
      <c r="E9" s="391"/>
      <c r="F9" s="391"/>
      <c r="G9" s="391"/>
      <c r="H9" s="391"/>
      <c r="I9" s="765"/>
      <c r="J9" s="391"/>
      <c r="K9" s="391"/>
      <c r="L9" s="391"/>
      <c r="M9" s="391"/>
      <c r="N9" s="391"/>
      <c r="O9" s="765"/>
      <c r="P9" s="391"/>
      <c r="Q9" s="391"/>
      <c r="R9" s="391"/>
      <c r="S9" s="765"/>
      <c r="T9" s="391"/>
      <c r="U9" s="765"/>
      <c r="V9" s="391"/>
      <c r="W9" s="765"/>
      <c r="X9" s="378"/>
      <c r="Y9" s="180"/>
      <c r="Z9" s="180"/>
      <c r="AA9" s="180"/>
      <c r="AB9" s="180"/>
    </row>
    <row r="10" spans="1:28" s="203" customFormat="1" x14ac:dyDescent="0.2">
      <c r="A10" s="636"/>
      <c r="B10" s="389"/>
      <c r="C10" s="392"/>
      <c r="D10" s="392"/>
      <c r="E10" s="392"/>
      <c r="F10" s="392"/>
      <c r="G10" s="392"/>
      <c r="H10" s="392"/>
      <c r="I10" s="766"/>
      <c r="J10" s="392"/>
      <c r="K10" s="392"/>
      <c r="L10" s="392"/>
      <c r="M10" s="392"/>
      <c r="N10" s="392"/>
      <c r="O10" s="766"/>
      <c r="P10" s="392"/>
      <c r="Q10" s="392"/>
      <c r="R10" s="392"/>
      <c r="S10" s="766"/>
      <c r="T10" s="392"/>
      <c r="U10" s="766"/>
      <c r="V10" s="392"/>
      <c r="W10" s="766"/>
      <c r="X10" s="378"/>
      <c r="Y10" s="180"/>
      <c r="Z10" s="180"/>
      <c r="AA10" s="180"/>
      <c r="AB10" s="180"/>
    </row>
    <row r="11" spans="1:28" s="202" customFormat="1" x14ac:dyDescent="0.2">
      <c r="A11" s="636"/>
      <c r="B11" s="639"/>
      <c r="C11" s="466"/>
      <c r="D11" s="763"/>
      <c r="E11" s="466"/>
      <c r="F11" s="763"/>
      <c r="G11" s="466"/>
      <c r="H11" s="466"/>
      <c r="I11" s="767"/>
      <c r="J11" s="466"/>
      <c r="K11" s="466"/>
      <c r="L11" s="466"/>
      <c r="M11" s="763"/>
      <c r="N11" s="466"/>
      <c r="O11" s="767"/>
      <c r="P11" s="466"/>
      <c r="Q11" s="466"/>
      <c r="R11" s="466"/>
      <c r="S11" s="767"/>
      <c r="T11" s="466"/>
      <c r="U11" s="767"/>
      <c r="V11" s="466"/>
      <c r="W11" s="767"/>
      <c r="X11" s="378"/>
      <c r="Y11" s="180"/>
      <c r="Z11" s="180"/>
      <c r="AA11" s="180"/>
      <c r="AB11" s="180"/>
    </row>
    <row r="12" spans="1:28" x14ac:dyDescent="0.2">
      <c r="A12" s="636"/>
      <c r="B12" s="388"/>
      <c r="C12" s="391"/>
      <c r="D12" s="391"/>
      <c r="E12" s="391"/>
      <c r="F12" s="391"/>
      <c r="G12" s="391"/>
      <c r="H12" s="391"/>
      <c r="I12" s="765"/>
      <c r="J12" s="391"/>
      <c r="K12" s="391"/>
      <c r="L12" s="391"/>
      <c r="M12" s="391"/>
      <c r="N12" s="391"/>
      <c r="O12" s="765"/>
      <c r="P12" s="391"/>
      <c r="Q12" s="391"/>
      <c r="R12" s="391"/>
      <c r="S12" s="765"/>
      <c r="T12" s="391"/>
      <c r="U12" s="765"/>
      <c r="V12" s="391"/>
      <c r="W12" s="765"/>
      <c r="X12" s="378"/>
      <c r="Y12" s="180"/>
      <c r="Z12" s="180"/>
      <c r="AA12" s="180"/>
      <c r="AB12" s="180"/>
    </row>
    <row r="13" spans="1:28" s="203" customFormat="1" x14ac:dyDescent="0.2">
      <c r="A13" s="636"/>
      <c r="B13" s="389"/>
      <c r="C13" s="392"/>
      <c r="D13" s="392"/>
      <c r="E13" s="392"/>
      <c r="F13" s="392"/>
      <c r="G13" s="392"/>
      <c r="H13" s="392"/>
      <c r="I13" s="766"/>
      <c r="J13" s="392"/>
      <c r="K13" s="392"/>
      <c r="L13" s="392"/>
      <c r="M13" s="1513"/>
      <c r="N13" s="392"/>
      <c r="O13" s="766"/>
      <c r="P13" s="392"/>
      <c r="Q13" s="392"/>
      <c r="R13" s="392"/>
      <c r="S13" s="766"/>
      <c r="T13" s="392"/>
      <c r="U13" s="766"/>
      <c r="V13" s="392"/>
      <c r="W13" s="766"/>
      <c r="X13" s="378"/>
      <c r="Y13" s="180"/>
      <c r="Z13" s="180"/>
      <c r="AA13" s="180"/>
      <c r="AB13" s="180"/>
    </row>
    <row r="14" spans="1:28" s="202" customFormat="1" x14ac:dyDescent="0.2">
      <c r="A14" s="636"/>
      <c r="B14" s="639"/>
      <c r="C14" s="466"/>
      <c r="D14" s="466"/>
      <c r="E14" s="466"/>
      <c r="F14" s="466"/>
      <c r="G14" s="466"/>
      <c r="H14" s="466"/>
      <c r="I14" s="767"/>
      <c r="J14" s="466"/>
      <c r="K14" s="763"/>
      <c r="L14" s="763"/>
      <c r="M14" s="466"/>
      <c r="N14" s="466"/>
      <c r="O14" s="767"/>
      <c r="P14" s="466"/>
      <c r="Q14" s="466"/>
      <c r="R14" s="466"/>
      <c r="S14" s="767"/>
      <c r="T14" s="466"/>
      <c r="U14" s="767"/>
      <c r="V14" s="466"/>
      <c r="W14" s="767"/>
      <c r="X14" s="378"/>
      <c r="Y14" s="180"/>
      <c r="Z14" s="180"/>
      <c r="AA14" s="180"/>
      <c r="AB14" s="180"/>
    </row>
    <row r="15" spans="1:28" x14ac:dyDescent="0.2">
      <c r="A15" s="636"/>
      <c r="B15" s="388"/>
      <c r="C15" s="391"/>
      <c r="D15" s="391"/>
      <c r="E15" s="391"/>
      <c r="F15" s="391"/>
      <c r="G15" s="391"/>
      <c r="H15" s="391"/>
      <c r="I15" s="765"/>
      <c r="J15" s="391"/>
      <c r="K15" s="391"/>
      <c r="L15" s="391"/>
      <c r="M15" s="391"/>
      <c r="N15" s="391"/>
      <c r="O15" s="765"/>
      <c r="P15" s="391"/>
      <c r="Q15" s="391"/>
      <c r="R15" s="391"/>
      <c r="S15" s="765"/>
      <c r="T15" s="391"/>
      <c r="U15" s="765"/>
      <c r="V15" s="391"/>
      <c r="W15" s="765"/>
      <c r="X15" s="378"/>
      <c r="Y15" s="180"/>
      <c r="Z15" s="180"/>
      <c r="AA15" s="180"/>
      <c r="AB15" s="180"/>
    </row>
    <row r="16" spans="1:28" s="591" customFormat="1" x14ac:dyDescent="0.2">
      <c r="A16" s="636"/>
      <c r="B16" s="389"/>
      <c r="C16" s="392"/>
      <c r="D16" s="392"/>
      <c r="E16" s="392"/>
      <c r="F16" s="392"/>
      <c r="G16" s="392"/>
      <c r="H16" s="392"/>
      <c r="I16" s="766"/>
      <c r="J16" s="392"/>
      <c r="K16" s="392"/>
      <c r="L16" s="392"/>
      <c r="M16" s="392"/>
      <c r="N16" s="392"/>
      <c r="O16" s="766"/>
      <c r="P16" s="392"/>
      <c r="Q16" s="392"/>
      <c r="R16" s="392"/>
      <c r="S16" s="766"/>
      <c r="T16" s="392"/>
      <c r="U16" s="766"/>
      <c r="V16" s="392"/>
      <c r="W16" s="766"/>
      <c r="X16" s="378"/>
      <c r="Y16" s="180"/>
      <c r="Z16" s="180"/>
      <c r="AA16" s="180"/>
      <c r="AB16" s="180"/>
    </row>
    <row r="17" spans="1:28" s="202" customFormat="1" x14ac:dyDescent="0.2">
      <c r="A17" s="636"/>
      <c r="B17" s="639"/>
      <c r="C17" s="466"/>
      <c r="D17" s="466"/>
      <c r="E17" s="466"/>
      <c r="F17" s="466"/>
      <c r="G17" s="466"/>
      <c r="H17" s="763"/>
      <c r="I17" s="767"/>
      <c r="J17" s="466"/>
      <c r="K17" s="466"/>
      <c r="L17" s="466"/>
      <c r="M17" s="466"/>
      <c r="N17" s="466"/>
      <c r="O17" s="767"/>
      <c r="P17" s="466"/>
      <c r="Q17" s="466"/>
      <c r="R17" s="466"/>
      <c r="S17" s="767"/>
      <c r="T17" s="466"/>
      <c r="U17" s="767"/>
      <c r="V17" s="466"/>
      <c r="W17" s="767"/>
      <c r="X17" s="378"/>
      <c r="Y17" s="180"/>
      <c r="Z17" s="180"/>
      <c r="AA17" s="180"/>
      <c r="AB17" s="180"/>
    </row>
    <row r="18" spans="1:28" x14ac:dyDescent="0.2">
      <c r="A18" s="636"/>
      <c r="B18" s="388"/>
      <c r="C18" s="391"/>
      <c r="D18" s="391"/>
      <c r="E18" s="391"/>
      <c r="F18" s="391"/>
      <c r="G18" s="391"/>
      <c r="H18" s="391"/>
      <c r="I18" s="765"/>
      <c r="J18" s="391"/>
      <c r="K18" s="391"/>
      <c r="L18" s="391"/>
      <c r="M18" s="391"/>
      <c r="N18" s="391"/>
      <c r="O18" s="765"/>
      <c r="P18" s="391"/>
      <c r="Q18" s="391"/>
      <c r="R18" s="391"/>
      <c r="S18" s="765"/>
      <c r="T18" s="391"/>
      <c r="U18" s="765"/>
      <c r="V18" s="391"/>
      <c r="W18" s="765"/>
      <c r="X18" s="378"/>
      <c r="Y18" s="180"/>
      <c r="Z18" s="180"/>
      <c r="AA18" s="180"/>
      <c r="AB18" s="180"/>
    </row>
    <row r="19" spans="1:28" s="591" customFormat="1" x14ac:dyDescent="0.2">
      <c r="A19" s="636"/>
      <c r="B19" s="389"/>
      <c r="C19" s="392"/>
      <c r="D19" s="392"/>
      <c r="E19" s="392"/>
      <c r="F19" s="392"/>
      <c r="G19" s="392"/>
      <c r="H19" s="392"/>
      <c r="I19" s="766"/>
      <c r="J19" s="392"/>
      <c r="K19" s="392"/>
      <c r="L19" s="392"/>
      <c r="M19" s="392"/>
      <c r="N19" s="392"/>
      <c r="O19" s="766"/>
      <c r="P19" s="392"/>
      <c r="Q19" s="392"/>
      <c r="R19" s="392"/>
      <c r="S19" s="766"/>
      <c r="T19" s="392"/>
      <c r="U19" s="766"/>
      <c r="V19" s="392"/>
      <c r="W19" s="766"/>
      <c r="X19" s="378"/>
      <c r="Y19" s="180"/>
      <c r="Z19" s="180"/>
      <c r="AA19" s="180"/>
      <c r="AB19" s="180"/>
    </row>
    <row r="20" spans="1:28" s="202" customFormat="1" x14ac:dyDescent="0.2">
      <c r="A20" s="636"/>
      <c r="B20" s="639"/>
      <c r="C20" s="466"/>
      <c r="D20" s="763"/>
      <c r="E20" s="466"/>
      <c r="F20" s="466"/>
      <c r="G20" s="466"/>
      <c r="H20" s="763"/>
      <c r="I20" s="767"/>
      <c r="J20" s="466"/>
      <c r="K20" s="466"/>
      <c r="L20" s="763"/>
      <c r="M20" s="763"/>
      <c r="N20" s="466"/>
      <c r="O20" s="767"/>
      <c r="P20" s="466"/>
      <c r="Q20" s="466"/>
      <c r="R20" s="466"/>
      <c r="S20" s="767"/>
      <c r="T20" s="466"/>
      <c r="U20" s="767"/>
      <c r="V20" s="466"/>
      <c r="W20" s="767"/>
      <c r="X20" s="378"/>
      <c r="Y20" s="180"/>
      <c r="Z20" s="180"/>
      <c r="AA20" s="180"/>
      <c r="AB20" s="180"/>
    </row>
    <row r="21" spans="1:28" x14ac:dyDescent="0.2">
      <c r="A21" s="636"/>
      <c r="B21" s="768"/>
      <c r="C21" s="765"/>
      <c r="D21" s="765"/>
      <c r="E21" s="765"/>
      <c r="F21" s="765"/>
      <c r="G21" s="765"/>
      <c r="H21" s="765"/>
      <c r="I21" s="765"/>
      <c r="J21" s="765"/>
      <c r="K21" s="765"/>
      <c r="L21" s="765"/>
      <c r="M21" s="765"/>
      <c r="N21" s="765"/>
      <c r="O21" s="765"/>
      <c r="P21" s="765"/>
      <c r="Q21" s="765"/>
      <c r="R21" s="765"/>
      <c r="S21" s="765"/>
      <c r="T21" s="765"/>
      <c r="U21" s="765"/>
      <c r="V21" s="765"/>
      <c r="W21" s="765"/>
      <c r="X21" s="378"/>
      <c r="Y21" s="180"/>
      <c r="Z21" s="180"/>
      <c r="AA21" s="180"/>
      <c r="AB21" s="180"/>
    </row>
    <row r="22" spans="1:28" s="203" customFormat="1" x14ac:dyDescent="0.2">
      <c r="A22" s="636"/>
      <c r="B22" s="769"/>
      <c r="C22" s="766"/>
      <c r="D22" s="766"/>
      <c r="E22" s="766"/>
      <c r="F22" s="766"/>
      <c r="G22" s="766"/>
      <c r="H22" s="766"/>
      <c r="I22" s="766"/>
      <c r="J22" s="766"/>
      <c r="K22" s="766"/>
      <c r="L22" s="766"/>
      <c r="M22" s="766"/>
      <c r="N22" s="766"/>
      <c r="O22" s="766"/>
      <c r="P22" s="766"/>
      <c r="Q22" s="766"/>
      <c r="R22" s="766"/>
      <c r="S22" s="766"/>
      <c r="T22" s="766"/>
      <c r="U22" s="766"/>
      <c r="V22" s="766"/>
      <c r="W22" s="766"/>
      <c r="X22" s="378"/>
      <c r="Y22" s="180"/>
      <c r="Z22" s="180"/>
      <c r="AA22" s="180"/>
      <c r="AB22" s="180"/>
    </row>
    <row r="23" spans="1:28" s="202" customFormat="1" x14ac:dyDescent="0.2">
      <c r="A23" s="636"/>
      <c r="B23" s="770"/>
      <c r="C23" s="767"/>
      <c r="D23" s="767"/>
      <c r="E23" s="767"/>
      <c r="F23" s="767"/>
      <c r="G23" s="767"/>
      <c r="H23" s="767"/>
      <c r="I23" s="767"/>
      <c r="J23" s="767"/>
      <c r="K23" s="767"/>
      <c r="L23" s="767"/>
      <c r="M23" s="767"/>
      <c r="N23" s="767"/>
      <c r="O23" s="767"/>
      <c r="P23" s="767"/>
      <c r="Q23" s="767"/>
      <c r="R23" s="767"/>
      <c r="S23" s="767"/>
      <c r="T23" s="767"/>
      <c r="U23" s="767"/>
      <c r="V23" s="767"/>
      <c r="W23" s="767"/>
      <c r="X23" s="378"/>
      <c r="Y23" s="180"/>
      <c r="Z23" s="180"/>
      <c r="AA23" s="180"/>
      <c r="AB23" s="180"/>
    </row>
    <row r="24" spans="1:28" x14ac:dyDescent="0.2">
      <c r="A24" s="636"/>
      <c r="B24" s="388"/>
      <c r="C24" s="391"/>
      <c r="D24" s="391"/>
      <c r="E24" s="391"/>
      <c r="F24" s="391"/>
      <c r="G24" s="391"/>
      <c r="H24" s="391"/>
      <c r="I24" s="765"/>
      <c r="J24" s="391"/>
      <c r="K24" s="391"/>
      <c r="L24" s="391"/>
      <c r="M24" s="391"/>
      <c r="N24" s="391"/>
      <c r="O24" s="765"/>
      <c r="P24" s="391"/>
      <c r="Q24" s="391"/>
      <c r="R24" s="391"/>
      <c r="S24" s="765"/>
      <c r="T24" s="391"/>
      <c r="U24" s="765"/>
      <c r="V24" s="391"/>
      <c r="W24" s="765"/>
      <c r="X24" s="378"/>
      <c r="Y24" s="180"/>
      <c r="Z24" s="180"/>
      <c r="AA24" s="180"/>
      <c r="AB24" s="180"/>
    </row>
    <row r="25" spans="1:28" s="203" customFormat="1" x14ac:dyDescent="0.2">
      <c r="A25" s="636"/>
      <c r="B25" s="389"/>
      <c r="C25" s="392"/>
      <c r="D25" s="392"/>
      <c r="E25" s="392"/>
      <c r="F25" s="392"/>
      <c r="G25" s="392"/>
      <c r="H25" s="392"/>
      <c r="I25" s="766"/>
      <c r="J25" s="392"/>
      <c r="K25" s="392"/>
      <c r="L25" s="392"/>
      <c r="M25" s="392"/>
      <c r="N25" s="392"/>
      <c r="O25" s="766"/>
      <c r="P25" s="392"/>
      <c r="Q25" s="392"/>
      <c r="R25" s="392"/>
      <c r="S25" s="766"/>
      <c r="T25" s="392"/>
      <c r="U25" s="766"/>
      <c r="V25" s="392"/>
      <c r="W25" s="766"/>
      <c r="X25" s="378"/>
      <c r="Y25" s="180"/>
      <c r="Z25" s="180"/>
      <c r="AA25" s="180"/>
      <c r="AB25" s="180"/>
    </row>
    <row r="26" spans="1:28" s="202" customFormat="1" x14ac:dyDescent="0.2">
      <c r="A26" s="636"/>
      <c r="B26" s="639"/>
      <c r="C26" s="466"/>
      <c r="D26" s="466"/>
      <c r="E26" s="466"/>
      <c r="F26" s="466"/>
      <c r="G26" s="466"/>
      <c r="H26" s="466"/>
      <c r="I26" s="767"/>
      <c r="J26" s="466"/>
      <c r="K26" s="466"/>
      <c r="L26" s="466"/>
      <c r="M26" s="466"/>
      <c r="N26" s="466"/>
      <c r="O26" s="767"/>
      <c r="P26" s="466"/>
      <c r="Q26" s="466"/>
      <c r="R26" s="466"/>
      <c r="S26" s="767"/>
      <c r="T26" s="466"/>
      <c r="U26" s="767"/>
      <c r="V26" s="466"/>
      <c r="W26" s="767"/>
      <c r="X26" s="378"/>
      <c r="Y26" s="180"/>
      <c r="Z26" s="180"/>
      <c r="AA26" s="180"/>
      <c r="AB26" s="180"/>
    </row>
    <row r="27" spans="1:28" x14ac:dyDescent="0.2">
      <c r="A27" s="636"/>
      <c r="B27" s="388"/>
      <c r="C27" s="391"/>
      <c r="D27" s="391"/>
      <c r="E27" s="391"/>
      <c r="F27" s="391"/>
      <c r="G27" s="391"/>
      <c r="H27" s="391"/>
      <c r="I27" s="765"/>
      <c r="J27" s="391"/>
      <c r="K27" s="391"/>
      <c r="L27" s="391"/>
      <c r="M27" s="391"/>
      <c r="N27" s="391"/>
      <c r="O27" s="765"/>
      <c r="P27" s="391"/>
      <c r="Q27" s="391"/>
      <c r="R27" s="391"/>
      <c r="S27" s="765"/>
      <c r="T27" s="391"/>
      <c r="U27" s="765"/>
      <c r="V27" s="391"/>
      <c r="W27" s="765"/>
      <c r="X27" s="378"/>
      <c r="Y27" s="180"/>
      <c r="Z27" s="180"/>
      <c r="AA27" s="180"/>
      <c r="AB27" s="180"/>
    </row>
    <row r="28" spans="1:28" s="203" customFormat="1" x14ac:dyDescent="0.2">
      <c r="A28" s="636"/>
      <c r="B28" s="389"/>
      <c r="C28" s="392"/>
      <c r="D28" s="392"/>
      <c r="E28" s="392"/>
      <c r="F28" s="392"/>
      <c r="G28" s="392"/>
      <c r="H28" s="392"/>
      <c r="I28" s="766"/>
      <c r="J28" s="392"/>
      <c r="K28" s="392"/>
      <c r="L28" s="392"/>
      <c r="M28" s="392"/>
      <c r="N28" s="392"/>
      <c r="O28" s="766"/>
      <c r="P28" s="392"/>
      <c r="Q28" s="392"/>
      <c r="R28" s="392"/>
      <c r="S28" s="766"/>
      <c r="T28" s="392"/>
      <c r="U28" s="766"/>
      <c r="V28" s="392"/>
      <c r="W28" s="766"/>
      <c r="X28" s="378"/>
      <c r="Y28" s="180"/>
      <c r="Z28" s="180"/>
      <c r="AA28" s="180"/>
      <c r="AB28" s="180"/>
    </row>
    <row r="29" spans="1:28" s="202" customFormat="1" x14ac:dyDescent="0.2">
      <c r="A29" s="636"/>
      <c r="B29" s="639"/>
      <c r="C29" s="466"/>
      <c r="D29" s="466"/>
      <c r="E29" s="466"/>
      <c r="F29" s="466"/>
      <c r="G29" s="466"/>
      <c r="H29" s="466"/>
      <c r="I29" s="767"/>
      <c r="J29" s="466"/>
      <c r="K29" s="466"/>
      <c r="L29" s="466"/>
      <c r="M29" s="466"/>
      <c r="N29" s="466"/>
      <c r="O29" s="767"/>
      <c r="P29" s="466"/>
      <c r="Q29" s="466"/>
      <c r="R29" s="466"/>
      <c r="S29" s="767"/>
      <c r="T29" s="466"/>
      <c r="U29" s="767"/>
      <c r="V29" s="466"/>
      <c r="W29" s="767"/>
      <c r="X29" s="378"/>
      <c r="Y29" s="180"/>
      <c r="Z29" s="180"/>
      <c r="AA29" s="180"/>
      <c r="AB29" s="180"/>
    </row>
    <row r="30" spans="1:28" x14ac:dyDescent="0.2">
      <c r="A30" s="636"/>
      <c r="B30" s="388"/>
      <c r="C30" s="391"/>
      <c r="D30" s="391"/>
      <c r="E30" s="391"/>
      <c r="F30" s="391"/>
      <c r="G30" s="391"/>
      <c r="H30" s="391"/>
      <c r="I30" s="765"/>
      <c r="J30" s="391"/>
      <c r="K30" s="391"/>
      <c r="L30" s="391"/>
      <c r="M30" s="391"/>
      <c r="N30" s="391"/>
      <c r="O30" s="765"/>
      <c r="P30" s="391"/>
      <c r="Q30" s="391"/>
      <c r="R30" s="391"/>
      <c r="S30" s="765"/>
      <c r="T30" s="391"/>
      <c r="U30" s="765"/>
      <c r="V30" s="391"/>
      <c r="W30" s="765"/>
      <c r="X30" s="378"/>
      <c r="Y30" s="180"/>
      <c r="Z30" s="180"/>
      <c r="AA30" s="180"/>
      <c r="AB30" s="180"/>
    </row>
    <row r="31" spans="1:28" s="203" customFormat="1" x14ac:dyDescent="0.2">
      <c r="A31" s="636"/>
      <c r="B31" s="389"/>
      <c r="C31" s="392"/>
      <c r="D31" s="392"/>
      <c r="E31" s="392"/>
      <c r="F31" s="392"/>
      <c r="G31" s="392"/>
      <c r="H31" s="392"/>
      <c r="I31" s="766"/>
      <c r="J31" s="392"/>
      <c r="K31" s="392"/>
      <c r="L31" s="392"/>
      <c r="M31" s="392"/>
      <c r="N31" s="392"/>
      <c r="O31" s="766"/>
      <c r="P31" s="392"/>
      <c r="Q31" s="392"/>
      <c r="R31" s="392"/>
      <c r="S31" s="766"/>
      <c r="T31" s="392"/>
      <c r="U31" s="766"/>
      <c r="V31" s="392"/>
      <c r="W31" s="766"/>
      <c r="X31" s="378"/>
      <c r="Y31" s="180"/>
      <c r="Z31" s="180"/>
      <c r="AA31" s="180"/>
      <c r="AB31" s="180"/>
    </row>
    <row r="32" spans="1:28" s="202" customFormat="1" x14ac:dyDescent="0.2">
      <c r="A32" s="636"/>
      <c r="B32" s="639"/>
      <c r="C32" s="466"/>
      <c r="D32" s="466"/>
      <c r="E32" s="466"/>
      <c r="F32" s="466"/>
      <c r="G32" s="466"/>
      <c r="H32" s="466"/>
      <c r="I32" s="767"/>
      <c r="J32" s="466"/>
      <c r="K32" s="466"/>
      <c r="L32" s="466"/>
      <c r="M32" s="466"/>
      <c r="N32" s="466"/>
      <c r="O32" s="767"/>
      <c r="P32" s="466"/>
      <c r="Q32" s="466"/>
      <c r="R32" s="466"/>
      <c r="S32" s="767"/>
      <c r="T32" s="466"/>
      <c r="U32" s="767"/>
      <c r="V32" s="466"/>
      <c r="W32" s="767"/>
      <c r="X32" s="378"/>
      <c r="Y32" s="180"/>
      <c r="Z32" s="180"/>
      <c r="AA32" s="180"/>
      <c r="AB32" s="180"/>
    </row>
    <row r="33" spans="1:28" x14ac:dyDescent="0.2">
      <c r="A33" s="636"/>
      <c r="B33" s="388"/>
      <c r="C33" s="391"/>
      <c r="D33" s="391"/>
      <c r="E33" s="391"/>
      <c r="F33" s="391"/>
      <c r="G33" s="391"/>
      <c r="H33" s="391"/>
      <c r="I33" s="765"/>
      <c r="J33" s="391"/>
      <c r="K33" s="391"/>
      <c r="L33" s="391"/>
      <c r="M33" s="391"/>
      <c r="N33" s="391"/>
      <c r="O33" s="765"/>
      <c r="P33" s="391"/>
      <c r="Q33" s="391"/>
      <c r="R33" s="391"/>
      <c r="S33" s="765"/>
      <c r="T33" s="391"/>
      <c r="U33" s="765"/>
      <c r="V33" s="391"/>
      <c r="W33" s="765"/>
      <c r="X33" s="378"/>
      <c r="Y33" s="180"/>
      <c r="Z33" s="180"/>
      <c r="AA33" s="180"/>
      <c r="AB33" s="180"/>
    </row>
    <row r="34" spans="1:28" s="203" customFormat="1" x14ac:dyDescent="0.2">
      <c r="A34" s="636"/>
      <c r="B34" s="389"/>
      <c r="C34" s="392"/>
      <c r="D34" s="392"/>
      <c r="E34" s="392"/>
      <c r="F34" s="392"/>
      <c r="G34" s="392"/>
      <c r="H34" s="392"/>
      <c r="I34" s="766"/>
      <c r="J34" s="392"/>
      <c r="K34" s="392"/>
      <c r="L34" s="392"/>
      <c r="M34" s="392"/>
      <c r="N34" s="392"/>
      <c r="O34" s="766"/>
      <c r="P34" s="392"/>
      <c r="Q34" s="392"/>
      <c r="R34" s="392"/>
      <c r="S34" s="766"/>
      <c r="T34" s="392"/>
      <c r="U34" s="766"/>
      <c r="V34" s="392"/>
      <c r="W34" s="766"/>
      <c r="X34" s="378"/>
      <c r="Y34" s="180"/>
      <c r="Z34" s="180"/>
      <c r="AA34" s="180"/>
      <c r="AB34" s="180"/>
    </row>
    <row r="35" spans="1:28" s="202" customFormat="1" x14ac:dyDescent="0.2">
      <c r="A35" s="636"/>
      <c r="B35" s="639"/>
      <c r="C35" s="466"/>
      <c r="D35" s="466"/>
      <c r="E35" s="466"/>
      <c r="F35" s="466"/>
      <c r="G35" s="466"/>
      <c r="H35" s="466"/>
      <c r="I35" s="767"/>
      <c r="J35" s="466"/>
      <c r="K35" s="466"/>
      <c r="L35" s="466"/>
      <c r="M35" s="466"/>
      <c r="N35" s="466"/>
      <c r="O35" s="767"/>
      <c r="P35" s="466"/>
      <c r="Q35" s="466"/>
      <c r="R35" s="466"/>
      <c r="S35" s="767"/>
      <c r="T35" s="466"/>
      <c r="U35" s="767"/>
      <c r="V35" s="466"/>
      <c r="W35" s="767"/>
      <c r="X35" s="378"/>
      <c r="Y35" s="180"/>
      <c r="Z35" s="180"/>
      <c r="AA35" s="180"/>
      <c r="AB35" s="180"/>
    </row>
    <row r="36" spans="1:28" x14ac:dyDescent="0.2">
      <c r="A36" s="636"/>
      <c r="B36" s="388"/>
      <c r="C36" s="391"/>
      <c r="D36" s="391"/>
      <c r="E36" s="391"/>
      <c r="F36" s="391"/>
      <c r="G36" s="391"/>
      <c r="H36" s="391"/>
      <c r="I36" s="765"/>
      <c r="J36" s="391"/>
      <c r="K36" s="391"/>
      <c r="L36" s="391"/>
      <c r="M36" s="391"/>
      <c r="N36" s="391"/>
      <c r="O36" s="765"/>
      <c r="P36" s="391"/>
      <c r="Q36" s="391"/>
      <c r="R36" s="391"/>
      <c r="S36" s="765"/>
      <c r="T36" s="391"/>
      <c r="U36" s="765"/>
      <c r="V36" s="391"/>
      <c r="W36" s="765"/>
      <c r="X36" s="378"/>
      <c r="Y36" s="180"/>
      <c r="Z36" s="180"/>
      <c r="AA36" s="180"/>
      <c r="AB36" s="180"/>
    </row>
    <row r="37" spans="1:28" s="203" customFormat="1" x14ac:dyDescent="0.2">
      <c r="A37" s="636"/>
      <c r="B37" s="389"/>
      <c r="C37" s="392"/>
      <c r="D37" s="392"/>
      <c r="E37" s="392"/>
      <c r="F37" s="392"/>
      <c r="G37" s="392"/>
      <c r="H37" s="392"/>
      <c r="I37" s="766"/>
      <c r="J37" s="392"/>
      <c r="K37" s="392"/>
      <c r="L37" s="392"/>
      <c r="M37" s="392"/>
      <c r="N37" s="392"/>
      <c r="O37" s="766"/>
      <c r="P37" s="392"/>
      <c r="Q37" s="392"/>
      <c r="R37" s="392"/>
      <c r="S37" s="766"/>
      <c r="T37" s="392"/>
      <c r="U37" s="766"/>
      <c r="V37" s="392"/>
      <c r="W37" s="766"/>
      <c r="X37" s="378"/>
      <c r="Y37" s="180"/>
      <c r="Z37" s="180"/>
      <c r="AA37" s="180"/>
      <c r="AB37" s="180"/>
    </row>
    <row r="38" spans="1:28" s="202" customFormat="1" x14ac:dyDescent="0.2">
      <c r="A38" s="636"/>
      <c r="B38" s="639"/>
      <c r="C38" s="466"/>
      <c r="D38" s="466"/>
      <c r="E38" s="763"/>
      <c r="F38" s="466"/>
      <c r="G38" s="466"/>
      <c r="H38" s="466"/>
      <c r="I38" s="767"/>
      <c r="J38" s="466"/>
      <c r="K38" s="466"/>
      <c r="L38" s="466"/>
      <c r="M38" s="466"/>
      <c r="N38" s="466"/>
      <c r="O38" s="767"/>
      <c r="P38" s="466"/>
      <c r="Q38" s="466"/>
      <c r="R38" s="466"/>
      <c r="S38" s="767"/>
      <c r="T38" s="466"/>
      <c r="U38" s="767"/>
      <c r="V38" s="466"/>
      <c r="W38" s="767"/>
      <c r="X38" s="378"/>
      <c r="Y38" s="180"/>
      <c r="Z38" s="180"/>
      <c r="AA38" s="180"/>
      <c r="AB38" s="180"/>
    </row>
    <row r="39" spans="1:28" x14ac:dyDescent="0.2">
      <c r="A39" s="636"/>
      <c r="B39" s="388"/>
      <c r="C39" s="391"/>
      <c r="D39" s="391"/>
      <c r="E39" s="391"/>
      <c r="F39" s="391"/>
      <c r="G39" s="391"/>
      <c r="H39" s="391"/>
      <c r="I39" s="765"/>
      <c r="J39" s="391"/>
      <c r="K39" s="391"/>
      <c r="L39" s="391"/>
      <c r="M39" s="391"/>
      <c r="N39" s="391"/>
      <c r="O39" s="765"/>
      <c r="P39" s="391"/>
      <c r="Q39" s="391"/>
      <c r="R39" s="391"/>
      <c r="S39" s="765"/>
      <c r="T39" s="391"/>
      <c r="U39" s="765"/>
      <c r="V39" s="391"/>
      <c r="W39" s="765"/>
      <c r="X39" s="378"/>
      <c r="Y39" s="180"/>
      <c r="Z39" s="180"/>
      <c r="AA39" s="180"/>
      <c r="AB39" s="180"/>
    </row>
    <row r="40" spans="1:28" s="203" customFormat="1" x14ac:dyDescent="0.2">
      <c r="A40" s="636"/>
      <c r="B40" s="389"/>
      <c r="C40" s="392"/>
      <c r="D40" s="392"/>
      <c r="E40" s="392"/>
      <c r="F40" s="392"/>
      <c r="G40" s="392"/>
      <c r="H40" s="392"/>
      <c r="I40" s="766"/>
      <c r="J40" s="392"/>
      <c r="K40" s="392"/>
      <c r="L40" s="392"/>
      <c r="M40" s="392"/>
      <c r="N40" s="392"/>
      <c r="O40" s="766"/>
      <c r="P40" s="392"/>
      <c r="Q40" s="392"/>
      <c r="R40" s="392"/>
      <c r="S40" s="766"/>
      <c r="T40" s="392"/>
      <c r="U40" s="766"/>
      <c r="V40" s="392"/>
      <c r="W40" s="766"/>
      <c r="X40" s="378"/>
      <c r="Y40" s="180"/>
      <c r="Z40" s="180"/>
      <c r="AA40" s="180"/>
      <c r="AB40" s="180"/>
    </row>
    <row r="41" spans="1:28" s="202" customFormat="1" x14ac:dyDescent="0.2">
      <c r="A41" s="636"/>
      <c r="B41" s="639"/>
      <c r="C41" s="466"/>
      <c r="D41" s="466"/>
      <c r="E41" s="466"/>
      <c r="F41" s="466"/>
      <c r="G41" s="466"/>
      <c r="H41" s="466"/>
      <c r="I41" s="767"/>
      <c r="J41" s="466"/>
      <c r="K41" s="466"/>
      <c r="L41" s="466"/>
      <c r="M41" s="466"/>
      <c r="N41" s="466"/>
      <c r="O41" s="767"/>
      <c r="P41" s="466"/>
      <c r="Q41" s="466"/>
      <c r="R41" s="466"/>
      <c r="S41" s="767"/>
      <c r="T41" s="466"/>
      <c r="U41" s="767"/>
      <c r="V41" s="466"/>
      <c r="W41" s="767"/>
      <c r="X41" s="378"/>
      <c r="Y41" s="180"/>
      <c r="Z41" s="180"/>
      <c r="AA41" s="180"/>
      <c r="AB41" s="180"/>
    </row>
    <row r="42" spans="1:28" x14ac:dyDescent="0.2">
      <c r="A42" s="636"/>
      <c r="B42" s="388"/>
      <c r="C42" s="391"/>
      <c r="D42" s="391"/>
      <c r="E42" s="391"/>
      <c r="F42" s="391"/>
      <c r="G42" s="391"/>
      <c r="H42" s="391"/>
      <c r="I42" s="765"/>
      <c r="J42" s="391"/>
      <c r="K42" s="391"/>
      <c r="L42" s="391"/>
      <c r="M42" s="391"/>
      <c r="N42" s="391"/>
      <c r="O42" s="765"/>
      <c r="P42" s="391"/>
      <c r="Q42" s="391"/>
      <c r="R42" s="391"/>
      <c r="S42" s="765"/>
      <c r="T42" s="391"/>
      <c r="U42" s="765"/>
      <c r="V42" s="391"/>
      <c r="W42" s="765"/>
      <c r="X42" s="378"/>
      <c r="Y42" s="180"/>
      <c r="Z42" s="180"/>
      <c r="AA42" s="180"/>
      <c r="AB42" s="180"/>
    </row>
    <row r="43" spans="1:28" s="203" customFormat="1" x14ac:dyDescent="0.2">
      <c r="A43" s="636"/>
      <c r="B43" s="389"/>
      <c r="C43" s="392"/>
      <c r="D43" s="392"/>
      <c r="E43" s="392"/>
      <c r="F43" s="392"/>
      <c r="G43" s="392"/>
      <c r="H43" s="392"/>
      <c r="I43" s="766"/>
      <c r="J43" s="392"/>
      <c r="K43" s="392"/>
      <c r="L43" s="392"/>
      <c r="M43" s="392"/>
      <c r="N43" s="392"/>
      <c r="O43" s="766"/>
      <c r="P43" s="392"/>
      <c r="Q43" s="392"/>
      <c r="R43" s="392"/>
      <c r="S43" s="766"/>
      <c r="T43" s="392"/>
      <c r="U43" s="766"/>
      <c r="V43" s="392"/>
      <c r="W43" s="766"/>
      <c r="X43" s="378"/>
      <c r="Y43" s="180"/>
      <c r="Z43" s="180"/>
      <c r="AA43" s="180"/>
      <c r="AB43" s="180"/>
    </row>
    <row r="44" spans="1:28" s="215" customFormat="1" ht="13.5" thickBot="1" x14ac:dyDescent="0.25">
      <c r="A44" s="640"/>
      <c r="B44" s="777"/>
      <c r="C44" s="778"/>
      <c r="D44" s="778"/>
      <c r="E44" s="778"/>
      <c r="F44" s="778"/>
      <c r="G44" s="778"/>
      <c r="H44" s="778"/>
      <c r="I44" s="779"/>
      <c r="J44" s="778"/>
      <c r="K44" s="778"/>
      <c r="L44" s="778"/>
      <c r="M44" s="778"/>
      <c r="N44" s="778"/>
      <c r="O44" s="779"/>
      <c r="P44" s="778"/>
      <c r="Q44" s="778"/>
      <c r="R44" s="778"/>
      <c r="S44" s="779"/>
      <c r="T44" s="778"/>
      <c r="U44" s="779"/>
      <c r="V44" s="778"/>
      <c r="W44" s="779"/>
      <c r="X44" s="378"/>
      <c r="Y44" s="180"/>
      <c r="Z44" s="180"/>
      <c r="AA44" s="180"/>
      <c r="AB44" s="180"/>
    </row>
    <row r="45" spans="1:28" ht="13.5" thickTop="1" x14ac:dyDescent="0.2">
      <c r="A45" s="230"/>
      <c r="B45" s="780"/>
      <c r="C45" s="781"/>
      <c r="D45" s="781"/>
      <c r="E45" s="781"/>
      <c r="F45" s="781"/>
      <c r="G45" s="781"/>
      <c r="H45" s="781"/>
      <c r="I45" s="782"/>
      <c r="J45" s="781"/>
      <c r="K45" s="781"/>
      <c r="L45" s="781"/>
      <c r="M45" s="781"/>
      <c r="N45" s="781"/>
      <c r="O45" s="782"/>
      <c r="P45" s="781"/>
      <c r="Q45" s="781"/>
      <c r="R45" s="781"/>
      <c r="S45" s="782"/>
      <c r="T45" s="781"/>
      <c r="U45" s="782"/>
      <c r="V45" s="781"/>
      <c r="W45" s="782"/>
      <c r="X45" s="378"/>
      <c r="Y45" s="180"/>
      <c r="Z45" s="180"/>
      <c r="AA45" s="180"/>
      <c r="AB45" s="180"/>
    </row>
    <row r="46" spans="1:28" s="203" customFormat="1" x14ac:dyDescent="0.2">
      <c r="A46" s="636"/>
      <c r="B46" s="389"/>
      <c r="C46" s="392"/>
      <c r="D46" s="392"/>
      <c r="E46" s="392"/>
      <c r="F46" s="392"/>
      <c r="G46" s="392"/>
      <c r="H46" s="392"/>
      <c r="I46" s="766"/>
      <c r="J46" s="392"/>
      <c r="K46" s="392"/>
      <c r="L46" s="392"/>
      <c r="M46" s="392"/>
      <c r="N46" s="392"/>
      <c r="O46" s="766"/>
      <c r="P46" s="392"/>
      <c r="Q46" s="392"/>
      <c r="R46" s="392"/>
      <c r="S46" s="766"/>
      <c r="T46" s="392"/>
      <c r="U46" s="766"/>
      <c r="V46" s="392"/>
      <c r="W46" s="766"/>
      <c r="X46" s="378"/>
      <c r="Y46" s="180"/>
      <c r="Z46" s="180"/>
      <c r="AA46" s="180"/>
      <c r="AB46" s="180"/>
    </row>
    <row r="47" spans="1:28" s="202" customFormat="1" x14ac:dyDescent="0.2">
      <c r="A47" s="637"/>
      <c r="B47" s="639"/>
      <c r="C47" s="466"/>
      <c r="D47" s="466"/>
      <c r="E47" s="466"/>
      <c r="F47" s="466"/>
      <c r="G47" s="466"/>
      <c r="H47" s="466"/>
      <c r="I47" s="767"/>
      <c r="J47" s="466"/>
      <c r="K47" s="466"/>
      <c r="L47" s="466"/>
      <c r="M47" s="466"/>
      <c r="N47" s="466"/>
      <c r="O47" s="767"/>
      <c r="P47" s="466"/>
      <c r="Q47" s="466"/>
      <c r="R47" s="466"/>
      <c r="S47" s="767"/>
      <c r="T47" s="466"/>
      <c r="U47" s="767"/>
      <c r="V47" s="466"/>
      <c r="W47" s="767"/>
      <c r="X47" s="378"/>
      <c r="Y47" s="180"/>
      <c r="Z47" s="180"/>
      <c r="AA47" s="180"/>
      <c r="AB47" s="180"/>
    </row>
    <row r="48" spans="1:28" x14ac:dyDescent="0.2">
      <c r="A48" s="636"/>
      <c r="B48" s="388"/>
      <c r="C48" s="391"/>
      <c r="D48" s="391"/>
      <c r="E48" s="391"/>
      <c r="F48" s="391"/>
      <c r="G48" s="391"/>
      <c r="H48" s="391"/>
      <c r="I48" s="765"/>
      <c r="J48" s="391"/>
      <c r="K48" s="391"/>
      <c r="L48" s="391"/>
      <c r="M48" s="391"/>
      <c r="N48" s="391"/>
      <c r="O48" s="765"/>
      <c r="P48" s="391"/>
      <c r="Q48" s="391"/>
      <c r="R48" s="391"/>
      <c r="S48" s="765"/>
      <c r="T48" s="391"/>
      <c r="U48" s="765"/>
      <c r="V48" s="391"/>
      <c r="W48" s="765"/>
      <c r="X48" s="378"/>
      <c r="Y48" s="180"/>
      <c r="Z48" s="180"/>
      <c r="AA48" s="180"/>
      <c r="AB48" s="180"/>
    </row>
    <row r="49" spans="1:28" s="203" customFormat="1" x14ac:dyDescent="0.2">
      <c r="A49" s="636"/>
      <c r="B49" s="389"/>
      <c r="C49" s="392"/>
      <c r="D49" s="392"/>
      <c r="E49" s="392"/>
      <c r="F49" s="392"/>
      <c r="G49" s="392"/>
      <c r="H49" s="392"/>
      <c r="I49" s="766"/>
      <c r="J49" s="392"/>
      <c r="K49" s="392"/>
      <c r="L49" s="392"/>
      <c r="M49" s="392"/>
      <c r="N49" s="392"/>
      <c r="O49" s="766"/>
      <c r="P49" s="392"/>
      <c r="Q49" s="392"/>
      <c r="R49" s="392"/>
      <c r="S49" s="766"/>
      <c r="T49" s="392"/>
      <c r="U49" s="766"/>
      <c r="V49" s="392"/>
      <c r="W49" s="766"/>
      <c r="X49" s="378"/>
      <c r="Y49" s="180"/>
      <c r="Z49" s="180"/>
      <c r="AA49" s="180"/>
      <c r="AB49" s="180"/>
    </row>
    <row r="50" spans="1:28" s="202" customFormat="1" x14ac:dyDescent="0.2">
      <c r="A50" s="636"/>
      <c r="B50" s="639"/>
      <c r="C50" s="466"/>
      <c r="D50" s="466"/>
      <c r="E50" s="466"/>
      <c r="F50" s="466"/>
      <c r="G50" s="466"/>
      <c r="H50" s="466"/>
      <c r="I50" s="767"/>
      <c r="J50" s="466"/>
      <c r="K50" s="466"/>
      <c r="L50" s="466"/>
      <c r="M50" s="466"/>
      <c r="N50" s="466"/>
      <c r="O50" s="767"/>
      <c r="P50" s="466"/>
      <c r="Q50" s="466"/>
      <c r="R50" s="466"/>
      <c r="S50" s="767"/>
      <c r="T50" s="466"/>
      <c r="U50" s="767"/>
      <c r="V50" s="466"/>
      <c r="W50" s="767"/>
      <c r="X50" s="378"/>
      <c r="Y50" s="180"/>
      <c r="Z50" s="180"/>
      <c r="AA50" s="180"/>
      <c r="AB50" s="180"/>
    </row>
    <row r="51" spans="1:28" x14ac:dyDescent="0.2">
      <c r="A51" s="636"/>
      <c r="B51" s="388"/>
      <c r="C51" s="391"/>
      <c r="D51" s="391"/>
      <c r="E51" s="391"/>
      <c r="F51" s="391"/>
      <c r="G51" s="391"/>
      <c r="H51" s="391"/>
      <c r="I51" s="765"/>
      <c r="J51" s="391"/>
      <c r="K51" s="391"/>
      <c r="L51" s="391"/>
      <c r="M51" s="391"/>
      <c r="N51" s="391"/>
      <c r="O51" s="765"/>
      <c r="P51" s="391"/>
      <c r="Q51" s="391"/>
      <c r="R51" s="391"/>
      <c r="S51" s="765"/>
      <c r="T51" s="391"/>
      <c r="U51" s="765"/>
      <c r="V51" s="391"/>
      <c r="W51" s="765"/>
      <c r="X51" s="378"/>
      <c r="Y51" s="180"/>
      <c r="Z51" s="180"/>
      <c r="AA51" s="180"/>
      <c r="AB51" s="180"/>
    </row>
    <row r="52" spans="1:28" s="203" customFormat="1" x14ac:dyDescent="0.2">
      <c r="A52" s="636"/>
      <c r="B52" s="389"/>
      <c r="C52" s="392"/>
      <c r="D52" s="392"/>
      <c r="E52" s="392"/>
      <c r="F52" s="392"/>
      <c r="G52" s="392"/>
      <c r="H52" s="392"/>
      <c r="I52" s="766"/>
      <c r="J52" s="392"/>
      <c r="K52" s="392"/>
      <c r="L52" s="392"/>
      <c r="M52" s="392"/>
      <c r="N52" s="392"/>
      <c r="O52" s="766"/>
      <c r="P52" s="392"/>
      <c r="Q52" s="392"/>
      <c r="R52" s="392"/>
      <c r="S52" s="766"/>
      <c r="T52" s="392"/>
      <c r="U52" s="766"/>
      <c r="V52" s="392"/>
      <c r="W52" s="766"/>
      <c r="X52" s="378"/>
      <c r="Y52" s="180"/>
      <c r="Z52" s="180"/>
      <c r="AA52" s="180"/>
      <c r="AB52" s="180"/>
    </row>
    <row r="53" spans="1:28" s="202" customFormat="1" x14ac:dyDescent="0.2">
      <c r="A53" s="636"/>
      <c r="B53" s="639"/>
      <c r="C53" s="466"/>
      <c r="D53" s="466"/>
      <c r="E53" s="466"/>
      <c r="F53" s="466"/>
      <c r="G53" s="466"/>
      <c r="H53" s="466"/>
      <c r="I53" s="767"/>
      <c r="J53" s="466"/>
      <c r="K53" s="466"/>
      <c r="L53" s="466"/>
      <c r="M53" s="763"/>
      <c r="N53" s="466"/>
      <c r="O53" s="767"/>
      <c r="P53" s="466"/>
      <c r="Q53" s="466"/>
      <c r="R53" s="466"/>
      <c r="S53" s="767"/>
      <c r="T53" s="466"/>
      <c r="U53" s="767"/>
      <c r="V53" s="466"/>
      <c r="W53" s="767"/>
      <c r="X53" s="378"/>
      <c r="Y53" s="180"/>
      <c r="Z53" s="180"/>
      <c r="AA53" s="180"/>
      <c r="AB53" s="180"/>
    </row>
    <row r="54" spans="1:28" x14ac:dyDescent="0.2">
      <c r="A54" s="636"/>
      <c r="B54" s="388"/>
      <c r="C54" s="391"/>
      <c r="D54" s="391"/>
      <c r="E54" s="391"/>
      <c r="F54" s="391"/>
      <c r="G54" s="391"/>
      <c r="H54" s="391"/>
      <c r="I54" s="765"/>
      <c r="J54" s="391"/>
      <c r="K54" s="391"/>
      <c r="L54" s="391"/>
      <c r="M54" s="391"/>
      <c r="N54" s="391"/>
      <c r="O54" s="765"/>
      <c r="P54" s="391"/>
      <c r="Q54" s="391"/>
      <c r="R54" s="391"/>
      <c r="S54" s="765"/>
      <c r="T54" s="391"/>
      <c r="U54" s="765"/>
      <c r="V54" s="391"/>
      <c r="W54" s="765"/>
      <c r="X54" s="378"/>
      <c r="Y54" s="180"/>
      <c r="Z54" s="180"/>
      <c r="AA54" s="180"/>
      <c r="AB54" s="180"/>
    </row>
    <row r="55" spans="1:28" s="203" customFormat="1" x14ac:dyDescent="0.2">
      <c r="A55" s="636"/>
      <c r="B55" s="389"/>
      <c r="C55" s="392"/>
      <c r="D55" s="392"/>
      <c r="E55" s="392"/>
      <c r="F55" s="392"/>
      <c r="G55" s="392"/>
      <c r="H55" s="392"/>
      <c r="I55" s="766"/>
      <c r="J55" s="392"/>
      <c r="K55" s="392"/>
      <c r="L55" s="392"/>
      <c r="M55" s="392"/>
      <c r="N55" s="392"/>
      <c r="O55" s="766"/>
      <c r="P55" s="392"/>
      <c r="Q55" s="392"/>
      <c r="R55" s="392"/>
      <c r="S55" s="766"/>
      <c r="T55" s="392"/>
      <c r="U55" s="766"/>
      <c r="V55" s="392"/>
      <c r="W55" s="766"/>
      <c r="X55" s="378"/>
      <c r="Y55" s="180"/>
      <c r="Z55" s="180"/>
      <c r="AA55" s="180"/>
      <c r="AB55" s="180"/>
    </row>
    <row r="56" spans="1:28" s="202" customFormat="1" x14ac:dyDescent="0.2">
      <c r="A56" s="636"/>
      <c r="B56" s="639"/>
      <c r="C56" s="763"/>
      <c r="D56" s="466"/>
      <c r="E56" s="466"/>
      <c r="F56" s="466"/>
      <c r="G56" s="466"/>
      <c r="H56" s="466"/>
      <c r="I56" s="767"/>
      <c r="J56" s="466"/>
      <c r="K56" s="466"/>
      <c r="L56" s="466"/>
      <c r="M56" s="763"/>
      <c r="N56" s="466"/>
      <c r="O56" s="767"/>
      <c r="P56" s="466"/>
      <c r="Q56" s="466"/>
      <c r="R56" s="466"/>
      <c r="S56" s="767"/>
      <c r="T56" s="466"/>
      <c r="U56" s="767"/>
      <c r="V56" s="466"/>
      <c r="W56" s="767"/>
      <c r="X56" s="378"/>
      <c r="Y56" s="180"/>
      <c r="Z56" s="180"/>
      <c r="AA56" s="180"/>
      <c r="AB56" s="180"/>
    </row>
    <row r="57" spans="1:28" x14ac:dyDescent="0.2">
      <c r="A57" s="636"/>
      <c r="B57" s="388"/>
      <c r="C57" s="391"/>
      <c r="D57" s="391"/>
      <c r="E57" s="391"/>
      <c r="F57" s="391"/>
      <c r="G57" s="391"/>
      <c r="H57" s="391"/>
      <c r="I57" s="765"/>
      <c r="J57" s="391"/>
      <c r="K57" s="391"/>
      <c r="L57" s="391"/>
      <c r="M57" s="391"/>
      <c r="N57" s="391"/>
      <c r="O57" s="765"/>
      <c r="P57" s="391"/>
      <c r="Q57" s="391"/>
      <c r="R57" s="391"/>
      <c r="S57" s="765"/>
      <c r="T57" s="391"/>
      <c r="U57" s="765"/>
      <c r="V57" s="391"/>
      <c r="W57" s="765"/>
      <c r="X57" s="378"/>
      <c r="Y57" s="180"/>
      <c r="Z57" s="180"/>
      <c r="AA57" s="180"/>
      <c r="AB57" s="180"/>
    </row>
    <row r="58" spans="1:28" s="203" customFormat="1" x14ac:dyDescent="0.2">
      <c r="A58" s="636"/>
      <c r="B58" s="389"/>
      <c r="C58" s="392"/>
      <c r="D58" s="392"/>
      <c r="E58" s="392"/>
      <c r="F58" s="392"/>
      <c r="G58" s="392"/>
      <c r="H58" s="392"/>
      <c r="I58" s="766"/>
      <c r="J58" s="392"/>
      <c r="K58" s="392"/>
      <c r="L58" s="392"/>
      <c r="M58" s="392"/>
      <c r="N58" s="392"/>
      <c r="O58" s="766"/>
      <c r="P58" s="392"/>
      <c r="Q58" s="392"/>
      <c r="R58" s="392"/>
      <c r="S58" s="766"/>
      <c r="T58" s="392"/>
      <c r="U58" s="766"/>
      <c r="V58" s="392"/>
      <c r="W58" s="766"/>
      <c r="X58" s="378"/>
      <c r="Y58" s="180"/>
      <c r="Z58" s="180"/>
      <c r="AA58" s="180"/>
      <c r="AB58" s="180"/>
    </row>
    <row r="59" spans="1:28" s="202" customFormat="1" x14ac:dyDescent="0.2">
      <c r="A59" s="636"/>
      <c r="B59" s="639"/>
      <c r="C59" s="466"/>
      <c r="D59" s="466"/>
      <c r="E59" s="466"/>
      <c r="F59" s="466"/>
      <c r="G59" s="466"/>
      <c r="H59" s="466"/>
      <c r="I59" s="767"/>
      <c r="J59" s="466"/>
      <c r="K59" s="466"/>
      <c r="L59" s="466"/>
      <c r="M59" s="466"/>
      <c r="N59" s="466"/>
      <c r="O59" s="767"/>
      <c r="P59" s="466"/>
      <c r="Q59" s="466"/>
      <c r="R59" s="466"/>
      <c r="S59" s="767"/>
      <c r="T59" s="466"/>
      <c r="U59" s="767"/>
      <c r="V59" s="466"/>
      <c r="W59" s="767"/>
      <c r="X59" s="378"/>
      <c r="Y59" s="180"/>
      <c r="Z59" s="180"/>
      <c r="AA59" s="180"/>
      <c r="AB59" s="180"/>
    </row>
    <row r="60" spans="1:28" x14ac:dyDescent="0.2">
      <c r="A60" s="636"/>
      <c r="B60" s="768"/>
      <c r="C60" s="765"/>
      <c r="D60" s="765"/>
      <c r="E60" s="765"/>
      <c r="F60" s="765"/>
      <c r="G60" s="765"/>
      <c r="H60" s="765"/>
      <c r="I60" s="765"/>
      <c r="J60" s="765"/>
      <c r="K60" s="765"/>
      <c r="L60" s="765"/>
      <c r="M60" s="765"/>
      <c r="N60" s="765"/>
      <c r="O60" s="765"/>
      <c r="P60" s="765"/>
      <c r="Q60" s="765"/>
      <c r="R60" s="765"/>
      <c r="S60" s="765"/>
      <c r="T60" s="765"/>
      <c r="U60" s="765"/>
      <c r="V60" s="765"/>
      <c r="W60" s="765"/>
      <c r="X60" s="378"/>
      <c r="Y60" s="180"/>
      <c r="Z60" s="180"/>
      <c r="AA60" s="180"/>
      <c r="AB60" s="180"/>
    </row>
    <row r="61" spans="1:28" s="203" customFormat="1" x14ac:dyDescent="0.2">
      <c r="A61" s="636"/>
      <c r="B61" s="769"/>
      <c r="C61" s="766"/>
      <c r="D61" s="766"/>
      <c r="E61" s="766"/>
      <c r="F61" s="766"/>
      <c r="G61" s="766"/>
      <c r="H61" s="766"/>
      <c r="I61" s="766"/>
      <c r="J61" s="766"/>
      <c r="K61" s="766"/>
      <c r="L61" s="766"/>
      <c r="M61" s="766"/>
      <c r="N61" s="766"/>
      <c r="O61" s="766"/>
      <c r="P61" s="766"/>
      <c r="Q61" s="766"/>
      <c r="R61" s="766"/>
      <c r="S61" s="766"/>
      <c r="T61" s="766"/>
      <c r="U61" s="766"/>
      <c r="V61" s="766"/>
      <c r="W61" s="766"/>
      <c r="X61" s="378"/>
      <c r="Y61" s="180"/>
      <c r="Z61" s="180"/>
      <c r="AA61" s="180"/>
      <c r="AB61" s="180"/>
    </row>
    <row r="62" spans="1:28" s="202" customFormat="1" x14ac:dyDescent="0.2">
      <c r="A62" s="636"/>
      <c r="B62" s="770"/>
      <c r="C62" s="767"/>
      <c r="D62" s="767"/>
      <c r="E62" s="767"/>
      <c r="F62" s="767"/>
      <c r="G62" s="767"/>
      <c r="H62" s="767"/>
      <c r="I62" s="767"/>
      <c r="J62" s="767"/>
      <c r="K62" s="767"/>
      <c r="L62" s="767"/>
      <c r="M62" s="767"/>
      <c r="N62" s="767"/>
      <c r="O62" s="767"/>
      <c r="P62" s="767"/>
      <c r="Q62" s="767"/>
      <c r="R62" s="767"/>
      <c r="S62" s="767"/>
      <c r="T62" s="767"/>
      <c r="U62" s="767"/>
      <c r="V62" s="767"/>
      <c r="W62" s="767"/>
      <c r="X62" s="378"/>
      <c r="Y62" s="180"/>
      <c r="Z62" s="180"/>
      <c r="AA62" s="180"/>
      <c r="AB62" s="180"/>
    </row>
    <row r="63" spans="1:28" x14ac:dyDescent="0.2">
      <c r="A63" s="636"/>
      <c r="B63" s="388"/>
      <c r="C63" s="391"/>
      <c r="D63" s="391"/>
      <c r="E63" s="391"/>
      <c r="F63" s="391"/>
      <c r="G63" s="391"/>
      <c r="H63" s="391"/>
      <c r="I63" s="765"/>
      <c r="J63" s="391"/>
      <c r="K63" s="391"/>
      <c r="L63" s="391"/>
      <c r="M63" s="391"/>
      <c r="N63" s="391"/>
      <c r="O63" s="765"/>
      <c r="P63" s="391"/>
      <c r="Q63" s="391"/>
      <c r="R63" s="391"/>
      <c r="S63" s="765"/>
      <c r="T63" s="391"/>
      <c r="U63" s="765"/>
      <c r="V63" s="391"/>
      <c r="W63" s="765"/>
      <c r="X63" s="378"/>
      <c r="Y63" s="180"/>
      <c r="Z63" s="180"/>
      <c r="AA63" s="180"/>
      <c r="AB63" s="180"/>
    </row>
    <row r="64" spans="1:28" s="203" customFormat="1" x14ac:dyDescent="0.2">
      <c r="A64" s="636"/>
      <c r="B64" s="389"/>
      <c r="C64" s="392"/>
      <c r="D64" s="392"/>
      <c r="E64" s="392"/>
      <c r="F64" s="392"/>
      <c r="G64" s="392"/>
      <c r="H64" s="392"/>
      <c r="I64" s="766"/>
      <c r="J64" s="392"/>
      <c r="K64" s="392"/>
      <c r="L64" s="392"/>
      <c r="M64" s="392"/>
      <c r="N64" s="392"/>
      <c r="O64" s="766"/>
      <c r="P64" s="392"/>
      <c r="Q64" s="392"/>
      <c r="R64" s="392"/>
      <c r="S64" s="766"/>
      <c r="T64" s="392"/>
      <c r="U64" s="766"/>
      <c r="V64" s="392"/>
      <c r="W64" s="766"/>
      <c r="X64" s="378"/>
      <c r="Y64" s="180"/>
      <c r="Z64" s="180"/>
      <c r="AA64" s="180"/>
      <c r="AB64" s="180"/>
    </row>
    <row r="65" spans="1:28" s="202" customFormat="1" x14ac:dyDescent="0.2">
      <c r="A65" s="636"/>
      <c r="B65" s="639"/>
      <c r="C65" s="466"/>
      <c r="D65" s="466"/>
      <c r="E65" s="466"/>
      <c r="F65" s="466"/>
      <c r="G65" s="466"/>
      <c r="H65" s="466"/>
      <c r="I65" s="767"/>
      <c r="J65" s="466"/>
      <c r="K65" s="466"/>
      <c r="L65" s="466"/>
      <c r="M65" s="466"/>
      <c r="N65" s="466"/>
      <c r="O65" s="767"/>
      <c r="P65" s="466"/>
      <c r="Q65" s="466"/>
      <c r="R65" s="466"/>
      <c r="S65" s="767"/>
      <c r="T65" s="466"/>
      <c r="U65" s="767"/>
      <c r="V65" s="763"/>
      <c r="W65" s="767"/>
      <c r="X65" s="378"/>
      <c r="Y65" s="180"/>
      <c r="Z65" s="180"/>
      <c r="AA65" s="180"/>
      <c r="AB65" s="180"/>
    </row>
    <row r="66" spans="1:28" x14ac:dyDescent="0.2">
      <c r="A66" s="636"/>
      <c r="B66" s="388"/>
      <c r="C66" s="391"/>
      <c r="D66" s="391"/>
      <c r="E66" s="391"/>
      <c r="F66" s="391"/>
      <c r="G66" s="391"/>
      <c r="H66" s="391"/>
      <c r="I66" s="765"/>
      <c r="J66" s="391"/>
      <c r="K66" s="391"/>
      <c r="L66" s="391"/>
      <c r="M66" s="391"/>
      <c r="N66" s="391"/>
      <c r="O66" s="765"/>
      <c r="P66" s="391"/>
      <c r="Q66" s="391"/>
      <c r="R66" s="391"/>
      <c r="S66" s="765"/>
      <c r="T66" s="391"/>
      <c r="U66" s="765"/>
      <c r="V66" s="391"/>
      <c r="W66" s="765"/>
      <c r="X66" s="378"/>
      <c r="Y66" s="180"/>
      <c r="Z66" s="180"/>
      <c r="AA66" s="180"/>
      <c r="AB66" s="180"/>
    </row>
    <row r="67" spans="1:28" s="203" customFormat="1" x14ac:dyDescent="0.2">
      <c r="A67" s="636"/>
      <c r="B67" s="389"/>
      <c r="C67" s="392"/>
      <c r="D67" s="392"/>
      <c r="E67" s="392"/>
      <c r="F67" s="392"/>
      <c r="G67" s="392"/>
      <c r="H67" s="392"/>
      <c r="I67" s="766"/>
      <c r="J67" s="392"/>
      <c r="K67" s="392"/>
      <c r="L67" s="392"/>
      <c r="M67" s="392"/>
      <c r="N67" s="392"/>
      <c r="O67" s="766"/>
      <c r="P67" s="392"/>
      <c r="Q67" s="392"/>
      <c r="R67" s="392"/>
      <c r="S67" s="766"/>
      <c r="T67" s="392"/>
      <c r="U67" s="766"/>
      <c r="V67" s="392"/>
      <c r="W67" s="766"/>
      <c r="X67" s="378"/>
      <c r="Y67" s="180"/>
      <c r="Z67" s="180"/>
      <c r="AA67" s="180"/>
      <c r="AB67" s="180"/>
    </row>
    <row r="68" spans="1:28" s="202" customFormat="1" x14ac:dyDescent="0.2">
      <c r="A68" s="636"/>
      <c r="B68" s="639"/>
      <c r="C68" s="466"/>
      <c r="D68" s="466"/>
      <c r="E68" s="466"/>
      <c r="F68" s="466"/>
      <c r="G68" s="466"/>
      <c r="H68" s="466"/>
      <c r="I68" s="767"/>
      <c r="J68" s="466"/>
      <c r="K68" s="466"/>
      <c r="L68" s="466"/>
      <c r="M68" s="466"/>
      <c r="N68" s="466"/>
      <c r="O68" s="767"/>
      <c r="P68" s="466"/>
      <c r="Q68" s="466"/>
      <c r="R68" s="466"/>
      <c r="S68" s="767"/>
      <c r="T68" s="466"/>
      <c r="U68" s="767"/>
      <c r="V68" s="466"/>
      <c r="W68" s="767"/>
      <c r="X68" s="378"/>
      <c r="Y68" s="180"/>
      <c r="Z68" s="180"/>
      <c r="AA68" s="180"/>
      <c r="AB68" s="180"/>
    </row>
    <row r="69" spans="1:28" x14ac:dyDescent="0.2">
      <c r="A69" s="636"/>
      <c r="B69" s="388"/>
      <c r="C69" s="391"/>
      <c r="D69" s="391"/>
      <c r="E69" s="391"/>
      <c r="F69" s="391"/>
      <c r="G69" s="391"/>
      <c r="H69" s="391"/>
      <c r="I69" s="765"/>
      <c r="J69" s="391"/>
      <c r="K69" s="391"/>
      <c r="L69" s="391"/>
      <c r="M69" s="391"/>
      <c r="N69" s="391"/>
      <c r="O69" s="765"/>
      <c r="P69" s="391"/>
      <c r="Q69" s="391"/>
      <c r="R69" s="391"/>
      <c r="S69" s="765"/>
      <c r="T69" s="391"/>
      <c r="U69" s="765"/>
      <c r="V69" s="391"/>
      <c r="W69" s="765"/>
      <c r="X69" s="378"/>
      <c r="Y69" s="180"/>
      <c r="Z69" s="180"/>
      <c r="AA69" s="180"/>
      <c r="AB69" s="180"/>
    </row>
    <row r="70" spans="1:28" s="203" customFormat="1" x14ac:dyDescent="0.2">
      <c r="A70" s="636"/>
      <c r="B70" s="389"/>
      <c r="C70" s="392"/>
      <c r="D70" s="392"/>
      <c r="E70" s="392"/>
      <c r="F70" s="392"/>
      <c r="G70" s="392"/>
      <c r="H70" s="392"/>
      <c r="I70" s="766"/>
      <c r="J70" s="392"/>
      <c r="K70" s="392"/>
      <c r="L70" s="392"/>
      <c r="M70" s="392"/>
      <c r="N70" s="392"/>
      <c r="O70" s="766"/>
      <c r="P70" s="392"/>
      <c r="Q70" s="392"/>
      <c r="R70" s="392"/>
      <c r="S70" s="766"/>
      <c r="T70" s="392"/>
      <c r="U70" s="766"/>
      <c r="V70" s="392"/>
      <c r="W70" s="766"/>
      <c r="X70" s="378"/>
      <c r="Y70" s="180"/>
      <c r="Z70" s="180"/>
      <c r="AA70" s="180"/>
      <c r="AB70" s="180"/>
    </row>
    <row r="71" spans="1:28" s="202" customFormat="1" x14ac:dyDescent="0.2">
      <c r="A71" s="636"/>
      <c r="B71" s="639"/>
      <c r="C71" s="466"/>
      <c r="D71" s="466"/>
      <c r="E71" s="466"/>
      <c r="F71" s="466"/>
      <c r="G71" s="466"/>
      <c r="H71" s="466"/>
      <c r="I71" s="767"/>
      <c r="J71" s="466"/>
      <c r="K71" s="466"/>
      <c r="L71" s="466"/>
      <c r="M71" s="466"/>
      <c r="N71" s="466"/>
      <c r="O71" s="767"/>
      <c r="P71" s="466"/>
      <c r="Q71" s="466"/>
      <c r="R71" s="466"/>
      <c r="S71" s="767"/>
      <c r="T71" s="466"/>
      <c r="U71" s="767"/>
      <c r="V71" s="466"/>
      <c r="W71" s="767"/>
      <c r="X71" s="378"/>
      <c r="Y71" s="180"/>
      <c r="Z71" s="180"/>
      <c r="AA71" s="180"/>
      <c r="AB71" s="180"/>
    </row>
    <row r="72" spans="1:28" x14ac:dyDescent="0.2">
      <c r="A72" s="636"/>
      <c r="B72" s="388"/>
      <c r="C72" s="391"/>
      <c r="D72" s="391"/>
      <c r="E72" s="391"/>
      <c r="F72" s="391"/>
      <c r="G72" s="391"/>
      <c r="H72" s="391"/>
      <c r="I72" s="765"/>
      <c r="J72" s="391"/>
      <c r="K72" s="391"/>
      <c r="L72" s="391"/>
      <c r="M72" s="391"/>
      <c r="N72" s="391"/>
      <c r="O72" s="765"/>
      <c r="P72" s="391"/>
      <c r="Q72" s="391"/>
      <c r="R72" s="391"/>
      <c r="S72" s="765"/>
      <c r="T72" s="391"/>
      <c r="U72" s="765"/>
      <c r="V72" s="391"/>
      <c r="W72" s="765"/>
      <c r="X72" s="378"/>
      <c r="Y72" s="180"/>
      <c r="Z72" s="180"/>
      <c r="AA72" s="180"/>
      <c r="AB72" s="180"/>
    </row>
    <row r="73" spans="1:28" s="203" customFormat="1" x14ac:dyDescent="0.2">
      <c r="A73" s="636"/>
      <c r="B73" s="389"/>
      <c r="C73" s="392"/>
      <c r="D73" s="392"/>
      <c r="E73" s="392"/>
      <c r="F73" s="392"/>
      <c r="G73" s="392"/>
      <c r="H73" s="392"/>
      <c r="I73" s="766"/>
      <c r="J73" s="392"/>
      <c r="K73" s="392"/>
      <c r="L73" s="392"/>
      <c r="M73" s="392"/>
      <c r="N73" s="392"/>
      <c r="O73" s="766"/>
      <c r="P73" s="392"/>
      <c r="Q73" s="392"/>
      <c r="R73" s="392"/>
      <c r="S73" s="766"/>
      <c r="T73" s="392"/>
      <c r="U73" s="766"/>
      <c r="V73" s="392"/>
      <c r="W73" s="766"/>
      <c r="X73" s="378"/>
      <c r="Y73" s="180"/>
      <c r="Z73" s="180"/>
      <c r="AA73" s="180"/>
      <c r="AB73" s="180"/>
    </row>
    <row r="74" spans="1:28" s="202" customFormat="1" x14ac:dyDescent="0.2">
      <c r="A74" s="636"/>
      <c r="B74" s="639"/>
      <c r="C74" s="466"/>
      <c r="D74" s="466"/>
      <c r="E74" s="466"/>
      <c r="F74" s="466"/>
      <c r="G74" s="466"/>
      <c r="H74" s="466"/>
      <c r="I74" s="767"/>
      <c r="J74" s="466"/>
      <c r="K74" s="466"/>
      <c r="L74" s="466"/>
      <c r="M74" s="466"/>
      <c r="N74" s="466"/>
      <c r="O74" s="767"/>
      <c r="P74" s="466"/>
      <c r="Q74" s="466"/>
      <c r="R74" s="466"/>
      <c r="S74" s="767"/>
      <c r="T74" s="466"/>
      <c r="U74" s="767"/>
      <c r="V74" s="466"/>
      <c r="W74" s="767"/>
      <c r="X74" s="378"/>
      <c r="Y74" s="180"/>
      <c r="Z74" s="180"/>
      <c r="AA74" s="180"/>
      <c r="AB74" s="180"/>
    </row>
    <row r="75" spans="1:28" x14ac:dyDescent="0.2">
      <c r="A75" s="636"/>
      <c r="B75" s="388"/>
      <c r="C75" s="391"/>
      <c r="D75" s="391"/>
      <c r="E75" s="391"/>
      <c r="F75" s="391"/>
      <c r="G75" s="391"/>
      <c r="H75" s="391"/>
      <c r="I75" s="765"/>
      <c r="J75" s="391"/>
      <c r="K75" s="391"/>
      <c r="L75" s="391"/>
      <c r="M75" s="391"/>
      <c r="N75" s="391"/>
      <c r="O75" s="765"/>
      <c r="P75" s="391"/>
      <c r="Q75" s="391"/>
      <c r="R75" s="391"/>
      <c r="S75" s="765"/>
      <c r="T75" s="391"/>
      <c r="U75" s="765"/>
      <c r="V75" s="391"/>
      <c r="W75" s="765"/>
      <c r="X75" s="378"/>
      <c r="Y75" s="180"/>
      <c r="Z75" s="180"/>
      <c r="AA75" s="180"/>
      <c r="AB75" s="180"/>
    </row>
    <row r="76" spans="1:28" s="203" customFormat="1" x14ac:dyDescent="0.2">
      <c r="A76" s="636"/>
      <c r="B76" s="389"/>
      <c r="C76" s="392"/>
      <c r="D76" s="392"/>
      <c r="E76" s="392"/>
      <c r="F76" s="392"/>
      <c r="G76" s="392"/>
      <c r="H76" s="392"/>
      <c r="I76" s="766"/>
      <c r="J76" s="392"/>
      <c r="K76" s="392"/>
      <c r="L76" s="392"/>
      <c r="M76" s="392"/>
      <c r="N76" s="392"/>
      <c r="O76" s="766"/>
      <c r="P76" s="392"/>
      <c r="Q76" s="392"/>
      <c r="R76" s="392"/>
      <c r="S76" s="766"/>
      <c r="T76" s="392"/>
      <c r="U76" s="766"/>
      <c r="V76" s="392"/>
      <c r="W76" s="766"/>
      <c r="X76" s="378"/>
      <c r="Y76" s="180"/>
      <c r="Z76" s="180"/>
      <c r="AA76" s="180"/>
      <c r="AB76" s="180"/>
    </row>
    <row r="77" spans="1:28" s="202" customFormat="1" x14ac:dyDescent="0.2">
      <c r="A77" s="636"/>
      <c r="B77" s="639"/>
      <c r="C77" s="466"/>
      <c r="D77" s="466"/>
      <c r="E77" s="466"/>
      <c r="F77" s="466"/>
      <c r="G77" s="466"/>
      <c r="H77" s="466"/>
      <c r="I77" s="767"/>
      <c r="J77" s="466"/>
      <c r="K77" s="466"/>
      <c r="L77" s="466"/>
      <c r="M77" s="466"/>
      <c r="N77" s="466"/>
      <c r="O77" s="767"/>
      <c r="P77" s="466"/>
      <c r="Q77" s="466"/>
      <c r="R77" s="466"/>
      <c r="S77" s="767"/>
      <c r="T77" s="466"/>
      <c r="U77" s="767"/>
      <c r="V77" s="466"/>
      <c r="W77" s="767"/>
      <c r="X77" s="378"/>
      <c r="Y77" s="180"/>
      <c r="Z77" s="180"/>
      <c r="AA77" s="180"/>
      <c r="AB77" s="180"/>
    </row>
    <row r="78" spans="1:28" x14ac:dyDescent="0.2">
      <c r="A78" s="636"/>
      <c r="B78" s="388"/>
      <c r="C78" s="391"/>
      <c r="D78" s="391"/>
      <c r="E78" s="391"/>
      <c r="F78" s="391"/>
      <c r="G78" s="391"/>
      <c r="H78" s="391"/>
      <c r="I78" s="765"/>
      <c r="J78" s="391"/>
      <c r="K78" s="391"/>
      <c r="L78" s="391"/>
      <c r="M78" s="391"/>
      <c r="N78" s="391"/>
      <c r="O78" s="765"/>
      <c r="P78" s="391"/>
      <c r="Q78" s="391"/>
      <c r="R78" s="391"/>
      <c r="S78" s="765"/>
      <c r="T78" s="391"/>
      <c r="U78" s="765"/>
      <c r="V78" s="391"/>
      <c r="W78" s="765"/>
      <c r="X78" s="378"/>
      <c r="Y78" s="180"/>
      <c r="Z78" s="180"/>
      <c r="AA78" s="180"/>
      <c r="AB78" s="180"/>
    </row>
    <row r="79" spans="1:28" s="203" customFormat="1" x14ac:dyDescent="0.2">
      <c r="A79" s="636"/>
      <c r="B79" s="389"/>
      <c r="C79" s="392"/>
      <c r="D79" s="392"/>
      <c r="E79" s="392"/>
      <c r="F79" s="392"/>
      <c r="G79" s="392"/>
      <c r="H79" s="392"/>
      <c r="I79" s="766"/>
      <c r="J79" s="392"/>
      <c r="K79" s="392"/>
      <c r="L79" s="392"/>
      <c r="M79" s="392"/>
      <c r="N79" s="392"/>
      <c r="O79" s="766"/>
      <c r="P79" s="392"/>
      <c r="Q79" s="392"/>
      <c r="R79" s="392"/>
      <c r="S79" s="766"/>
      <c r="T79" s="392"/>
      <c r="U79" s="766"/>
      <c r="V79" s="392"/>
      <c r="W79" s="766"/>
      <c r="X79" s="378"/>
      <c r="Y79" s="180"/>
      <c r="Z79" s="180"/>
      <c r="AA79" s="180"/>
      <c r="AB79" s="180"/>
    </row>
    <row r="80" spans="1:28" s="202" customFormat="1" x14ac:dyDescent="0.2">
      <c r="A80" s="636"/>
      <c r="B80" s="639"/>
      <c r="C80" s="466"/>
      <c r="D80" s="466"/>
      <c r="E80" s="466"/>
      <c r="F80" s="466"/>
      <c r="G80" s="466"/>
      <c r="H80" s="466"/>
      <c r="I80" s="767"/>
      <c r="J80" s="466"/>
      <c r="K80" s="466"/>
      <c r="L80" s="466"/>
      <c r="M80" s="466"/>
      <c r="N80" s="466"/>
      <c r="O80" s="767"/>
      <c r="P80" s="466"/>
      <c r="Q80" s="466"/>
      <c r="R80" s="466"/>
      <c r="S80" s="767"/>
      <c r="T80" s="466"/>
      <c r="U80" s="767"/>
      <c r="V80" s="466"/>
      <c r="W80" s="767"/>
      <c r="X80" s="378"/>
      <c r="Y80" s="180"/>
      <c r="Z80" s="180"/>
      <c r="AA80" s="180"/>
      <c r="AB80" s="180"/>
    </row>
    <row r="81" spans="1:28" x14ac:dyDescent="0.2">
      <c r="A81" s="636"/>
      <c r="B81" s="388"/>
      <c r="C81" s="391"/>
      <c r="D81" s="391"/>
      <c r="E81" s="391"/>
      <c r="F81" s="391"/>
      <c r="G81" s="391"/>
      <c r="H81" s="391"/>
      <c r="I81" s="765"/>
      <c r="J81" s="391"/>
      <c r="K81" s="391"/>
      <c r="L81" s="391"/>
      <c r="M81" s="391"/>
      <c r="N81" s="391"/>
      <c r="O81" s="765"/>
      <c r="P81" s="391"/>
      <c r="Q81" s="391"/>
      <c r="R81" s="391"/>
      <c r="S81" s="765"/>
      <c r="T81" s="391"/>
      <c r="U81" s="765"/>
      <c r="V81" s="391"/>
      <c r="W81" s="765"/>
      <c r="X81" s="378"/>
      <c r="Y81" s="180"/>
      <c r="Z81" s="180"/>
      <c r="AA81" s="180"/>
      <c r="AB81" s="180"/>
    </row>
    <row r="82" spans="1:28" s="203" customFormat="1" x14ac:dyDescent="0.2">
      <c r="A82" s="636"/>
      <c r="B82" s="389"/>
      <c r="C82" s="392"/>
      <c r="D82" s="392"/>
      <c r="E82" s="392"/>
      <c r="F82" s="392"/>
      <c r="G82" s="392"/>
      <c r="H82" s="392"/>
      <c r="I82" s="766"/>
      <c r="J82" s="392"/>
      <c r="K82" s="392"/>
      <c r="L82" s="392"/>
      <c r="M82" s="392"/>
      <c r="N82" s="392"/>
      <c r="O82" s="766"/>
      <c r="P82" s="392"/>
      <c r="Q82" s="392"/>
      <c r="R82" s="392"/>
      <c r="S82" s="766"/>
      <c r="T82" s="392"/>
      <c r="U82" s="766"/>
      <c r="V82" s="392"/>
      <c r="W82" s="766"/>
      <c r="X82" s="378"/>
      <c r="Y82" s="180"/>
      <c r="Z82" s="180"/>
      <c r="AA82" s="180"/>
      <c r="AB82" s="180"/>
    </row>
    <row r="83" spans="1:28" s="212" customFormat="1" ht="13.5" thickBot="1" x14ac:dyDescent="0.25">
      <c r="A83" s="640"/>
      <c r="B83" s="777"/>
      <c r="C83" s="778"/>
      <c r="D83" s="778"/>
      <c r="E83" s="778"/>
      <c r="F83" s="778"/>
      <c r="G83" s="778"/>
      <c r="H83" s="778"/>
      <c r="I83" s="779"/>
      <c r="J83" s="778"/>
      <c r="K83" s="778"/>
      <c r="L83" s="778"/>
      <c r="M83" s="778"/>
      <c r="N83" s="778"/>
      <c r="O83" s="779"/>
      <c r="P83" s="778"/>
      <c r="Q83" s="778"/>
      <c r="R83" s="778"/>
      <c r="S83" s="779"/>
      <c r="T83" s="778"/>
      <c r="U83" s="779"/>
      <c r="V83" s="778"/>
      <c r="W83" s="779"/>
      <c r="X83" s="378"/>
      <c r="Y83" s="180"/>
      <c r="Z83" s="180"/>
      <c r="AA83" s="180"/>
      <c r="AB83" s="180"/>
    </row>
    <row r="84" spans="1:28" ht="13.5" thickTop="1" x14ac:dyDescent="0.2">
      <c r="A84" s="230"/>
      <c r="B84" s="780"/>
      <c r="C84" s="781"/>
      <c r="D84" s="781"/>
      <c r="E84" s="781"/>
      <c r="F84" s="781"/>
      <c r="G84" s="781"/>
      <c r="H84" s="781"/>
      <c r="I84" s="782"/>
      <c r="J84" s="781"/>
      <c r="K84" s="781"/>
      <c r="L84" s="781"/>
      <c r="M84" s="781"/>
      <c r="N84" s="781"/>
      <c r="O84" s="782"/>
      <c r="P84" s="781"/>
      <c r="Q84" s="781"/>
      <c r="R84" s="781"/>
      <c r="S84" s="782"/>
      <c r="T84" s="781"/>
      <c r="U84" s="782"/>
      <c r="V84" s="781"/>
      <c r="W84" s="782"/>
      <c r="X84" s="378"/>
      <c r="Y84" s="180"/>
      <c r="Z84" s="180"/>
      <c r="AA84" s="180"/>
      <c r="AB84" s="180"/>
    </row>
    <row r="85" spans="1:28" s="203" customFormat="1" x14ac:dyDescent="0.2">
      <c r="A85" s="636"/>
      <c r="B85" s="389"/>
      <c r="C85" s="392"/>
      <c r="D85" s="392"/>
      <c r="E85" s="392"/>
      <c r="F85" s="392"/>
      <c r="G85" s="392"/>
      <c r="H85" s="392"/>
      <c r="I85" s="766"/>
      <c r="J85" s="392"/>
      <c r="K85" s="392"/>
      <c r="L85" s="392"/>
      <c r="M85" s="392"/>
      <c r="N85" s="392"/>
      <c r="O85" s="766"/>
      <c r="P85" s="392"/>
      <c r="Q85" s="392"/>
      <c r="R85" s="392"/>
      <c r="S85" s="766"/>
      <c r="T85" s="392"/>
      <c r="U85" s="766"/>
      <c r="V85" s="392"/>
      <c r="W85" s="766"/>
      <c r="X85" s="378"/>
      <c r="Y85" s="180"/>
      <c r="Z85" s="180"/>
      <c r="AA85" s="180"/>
      <c r="AB85" s="180"/>
    </row>
    <row r="86" spans="1:28" s="202" customFormat="1" x14ac:dyDescent="0.2">
      <c r="A86" s="637"/>
      <c r="B86" s="639"/>
      <c r="C86" s="466"/>
      <c r="D86" s="466"/>
      <c r="E86" s="466"/>
      <c r="F86" s="466"/>
      <c r="G86" s="466"/>
      <c r="H86" s="466"/>
      <c r="I86" s="767"/>
      <c r="J86" s="466"/>
      <c r="K86" s="466"/>
      <c r="L86" s="466"/>
      <c r="M86" s="466"/>
      <c r="N86" s="466"/>
      <c r="O86" s="767"/>
      <c r="P86" s="466"/>
      <c r="Q86" s="466"/>
      <c r="R86" s="466"/>
      <c r="S86" s="767"/>
      <c r="T86" s="466"/>
      <c r="U86" s="767"/>
      <c r="V86" s="466"/>
      <c r="W86" s="767"/>
      <c r="X86" s="378"/>
      <c r="Y86" s="180"/>
      <c r="Z86" s="180"/>
      <c r="AA86" s="180"/>
      <c r="AB86" s="180"/>
    </row>
    <row r="87" spans="1:28" x14ac:dyDescent="0.2">
      <c r="A87" s="636"/>
      <c r="B87" s="388"/>
      <c r="C87" s="391"/>
      <c r="D87" s="391"/>
      <c r="E87" s="391"/>
      <c r="F87" s="391"/>
      <c r="G87" s="391"/>
      <c r="H87" s="391"/>
      <c r="I87" s="765"/>
      <c r="J87" s="391"/>
      <c r="K87" s="391"/>
      <c r="L87" s="391"/>
      <c r="M87" s="391"/>
      <c r="N87" s="391"/>
      <c r="O87" s="765"/>
      <c r="P87" s="391"/>
      <c r="Q87" s="391"/>
      <c r="R87" s="391"/>
      <c r="S87" s="765"/>
      <c r="T87" s="391"/>
      <c r="U87" s="765"/>
      <c r="V87" s="391"/>
      <c r="W87" s="765"/>
      <c r="X87" s="378"/>
      <c r="Y87" s="180"/>
      <c r="Z87" s="180"/>
      <c r="AA87" s="180"/>
      <c r="AB87" s="180"/>
    </row>
    <row r="88" spans="1:28" s="203" customFormat="1" x14ac:dyDescent="0.2">
      <c r="A88" s="636"/>
      <c r="B88" s="389"/>
      <c r="C88" s="392"/>
      <c r="D88" s="392"/>
      <c r="E88" s="392"/>
      <c r="F88" s="392"/>
      <c r="G88" s="392"/>
      <c r="H88" s="392"/>
      <c r="I88" s="766"/>
      <c r="J88" s="392"/>
      <c r="K88" s="392"/>
      <c r="L88" s="392"/>
      <c r="M88" s="392"/>
      <c r="N88" s="392"/>
      <c r="O88" s="766"/>
      <c r="P88" s="392"/>
      <c r="Q88" s="392"/>
      <c r="R88" s="392"/>
      <c r="S88" s="766"/>
      <c r="T88" s="392"/>
      <c r="U88" s="766"/>
      <c r="V88" s="392"/>
      <c r="W88" s="766"/>
      <c r="X88" s="378"/>
      <c r="Y88" s="180"/>
      <c r="Z88" s="180"/>
      <c r="AA88" s="180"/>
      <c r="AB88" s="180"/>
    </row>
    <row r="89" spans="1:28" s="202" customFormat="1" x14ac:dyDescent="0.2">
      <c r="A89" s="636"/>
      <c r="B89" s="639"/>
      <c r="C89" s="763"/>
      <c r="D89" s="466"/>
      <c r="E89" s="466"/>
      <c r="F89" s="466"/>
      <c r="G89" s="466"/>
      <c r="H89" s="466"/>
      <c r="I89" s="767"/>
      <c r="J89" s="466"/>
      <c r="K89" s="466"/>
      <c r="L89" s="466"/>
      <c r="M89" s="466"/>
      <c r="N89" s="466"/>
      <c r="O89" s="767"/>
      <c r="P89" s="466"/>
      <c r="Q89" s="466"/>
      <c r="R89" s="466"/>
      <c r="S89" s="767"/>
      <c r="T89" s="466"/>
      <c r="U89" s="767"/>
      <c r="V89" s="466"/>
      <c r="W89" s="767"/>
      <c r="X89" s="378"/>
      <c r="Y89" s="180"/>
      <c r="Z89" s="180"/>
      <c r="AA89" s="180"/>
      <c r="AB89" s="180"/>
    </row>
    <row r="90" spans="1:28" x14ac:dyDescent="0.2">
      <c r="A90" s="636"/>
      <c r="B90" s="388"/>
      <c r="C90" s="391"/>
      <c r="D90" s="391"/>
      <c r="E90" s="391"/>
      <c r="F90" s="391"/>
      <c r="G90" s="391"/>
      <c r="H90" s="391"/>
      <c r="I90" s="765"/>
      <c r="J90" s="391"/>
      <c r="K90" s="391"/>
      <c r="L90" s="391"/>
      <c r="M90" s="391"/>
      <c r="N90" s="391"/>
      <c r="O90" s="765"/>
      <c r="P90" s="391"/>
      <c r="Q90" s="391"/>
      <c r="R90" s="391"/>
      <c r="S90" s="765"/>
      <c r="T90" s="391"/>
      <c r="U90" s="765"/>
      <c r="V90" s="391"/>
      <c r="W90" s="765"/>
      <c r="X90" s="378"/>
      <c r="Y90" s="180"/>
      <c r="Z90" s="180"/>
      <c r="AA90" s="180"/>
      <c r="AB90" s="180"/>
    </row>
    <row r="91" spans="1:28" s="203" customFormat="1" x14ac:dyDescent="0.2">
      <c r="A91" s="636"/>
      <c r="B91" s="389"/>
      <c r="C91" s="392"/>
      <c r="D91" s="392"/>
      <c r="E91" s="392"/>
      <c r="F91" s="392"/>
      <c r="G91" s="392"/>
      <c r="H91" s="392"/>
      <c r="I91" s="766"/>
      <c r="J91" s="392"/>
      <c r="K91" s="392"/>
      <c r="L91" s="392"/>
      <c r="M91" s="392"/>
      <c r="N91" s="392"/>
      <c r="O91" s="766"/>
      <c r="P91" s="392"/>
      <c r="Q91" s="392"/>
      <c r="R91" s="392"/>
      <c r="S91" s="766"/>
      <c r="T91" s="392"/>
      <c r="U91" s="766"/>
      <c r="V91" s="392"/>
      <c r="W91" s="766"/>
      <c r="X91" s="378"/>
      <c r="Y91" s="180"/>
      <c r="Z91" s="180"/>
      <c r="AA91" s="180"/>
      <c r="AB91" s="180"/>
    </row>
    <row r="92" spans="1:28" s="202" customFormat="1" x14ac:dyDescent="0.2">
      <c r="A92" s="636"/>
      <c r="B92" s="639"/>
      <c r="C92" s="466"/>
      <c r="D92" s="466"/>
      <c r="E92" s="466"/>
      <c r="F92" s="466"/>
      <c r="G92" s="466"/>
      <c r="H92" s="466"/>
      <c r="I92" s="767"/>
      <c r="J92" s="466"/>
      <c r="K92" s="466"/>
      <c r="L92" s="466"/>
      <c r="M92" s="466"/>
      <c r="N92" s="466"/>
      <c r="O92" s="767"/>
      <c r="P92" s="466"/>
      <c r="Q92" s="466"/>
      <c r="R92" s="466"/>
      <c r="S92" s="767"/>
      <c r="T92" s="466"/>
      <c r="U92" s="767"/>
      <c r="V92" s="466"/>
      <c r="W92" s="767"/>
      <c r="X92" s="378"/>
      <c r="Y92" s="180"/>
      <c r="Z92" s="180"/>
      <c r="AA92" s="180"/>
      <c r="AB92" s="180"/>
    </row>
    <row r="93" spans="1:28" x14ac:dyDescent="0.2">
      <c r="A93" s="636"/>
      <c r="B93" s="388"/>
      <c r="C93" s="391"/>
      <c r="D93" s="391"/>
      <c r="E93" s="391"/>
      <c r="F93" s="391"/>
      <c r="G93" s="391"/>
      <c r="H93" s="391"/>
      <c r="I93" s="765"/>
      <c r="J93" s="391"/>
      <c r="K93" s="391"/>
      <c r="L93" s="391"/>
      <c r="M93" s="391"/>
      <c r="N93" s="391"/>
      <c r="O93" s="765"/>
      <c r="P93" s="391"/>
      <c r="Q93" s="391"/>
      <c r="R93" s="391"/>
      <c r="S93" s="765"/>
      <c r="T93" s="391"/>
      <c r="U93" s="765"/>
      <c r="V93" s="391"/>
      <c r="W93" s="765"/>
      <c r="X93" s="378"/>
      <c r="Y93" s="180"/>
      <c r="Z93" s="180"/>
      <c r="AA93" s="180"/>
      <c r="AB93" s="180"/>
    </row>
    <row r="94" spans="1:28" s="203" customFormat="1" x14ac:dyDescent="0.2">
      <c r="A94" s="636"/>
      <c r="B94" s="389"/>
      <c r="C94" s="392"/>
      <c r="D94" s="392"/>
      <c r="E94" s="392"/>
      <c r="F94" s="392"/>
      <c r="G94" s="392"/>
      <c r="H94" s="392"/>
      <c r="I94" s="766"/>
      <c r="J94" s="392"/>
      <c r="K94" s="392"/>
      <c r="L94" s="392"/>
      <c r="M94" s="392"/>
      <c r="N94" s="392"/>
      <c r="O94" s="766"/>
      <c r="P94" s="392"/>
      <c r="Q94" s="392"/>
      <c r="R94" s="392"/>
      <c r="S94" s="766"/>
      <c r="T94" s="392"/>
      <c r="U94" s="766"/>
      <c r="V94" s="392"/>
      <c r="W94" s="766"/>
      <c r="X94" s="378"/>
      <c r="Y94" s="180"/>
      <c r="Z94" s="180"/>
      <c r="AA94" s="180"/>
      <c r="AB94" s="180"/>
    </row>
    <row r="95" spans="1:28" s="202" customFormat="1" x14ac:dyDescent="0.2">
      <c r="A95" s="636"/>
      <c r="B95" s="639"/>
      <c r="C95" s="466"/>
      <c r="D95" s="466"/>
      <c r="E95" s="763"/>
      <c r="F95" s="466"/>
      <c r="G95" s="466"/>
      <c r="H95" s="466"/>
      <c r="I95" s="767"/>
      <c r="J95" s="466"/>
      <c r="K95" s="466"/>
      <c r="L95" s="466"/>
      <c r="M95" s="466"/>
      <c r="N95" s="466"/>
      <c r="O95" s="767"/>
      <c r="P95" s="466"/>
      <c r="Q95" s="466"/>
      <c r="R95" s="466"/>
      <c r="S95" s="767"/>
      <c r="T95" s="466"/>
      <c r="U95" s="767"/>
      <c r="V95" s="466"/>
      <c r="W95" s="767"/>
      <c r="X95" s="378"/>
      <c r="Y95" s="180"/>
      <c r="Z95" s="180"/>
      <c r="AA95" s="180"/>
      <c r="AB95" s="180"/>
    </row>
    <row r="96" spans="1:28" x14ac:dyDescent="0.2">
      <c r="A96" s="636"/>
      <c r="B96" s="388"/>
      <c r="C96" s="391"/>
      <c r="D96" s="391"/>
      <c r="E96" s="391"/>
      <c r="F96" s="391"/>
      <c r="G96" s="391"/>
      <c r="H96" s="391"/>
      <c r="I96" s="765"/>
      <c r="J96" s="391"/>
      <c r="K96" s="391"/>
      <c r="L96" s="391"/>
      <c r="M96" s="391"/>
      <c r="N96" s="391"/>
      <c r="O96" s="765"/>
      <c r="P96" s="391"/>
      <c r="Q96" s="391"/>
      <c r="R96" s="391"/>
      <c r="S96" s="765"/>
      <c r="T96" s="391"/>
      <c r="U96" s="765"/>
      <c r="V96" s="391"/>
      <c r="W96" s="765"/>
      <c r="X96" s="378"/>
      <c r="Y96" s="180"/>
      <c r="Z96" s="180"/>
      <c r="AA96" s="180"/>
      <c r="AB96" s="180"/>
    </row>
    <row r="97" spans="1:28" s="203" customFormat="1" x14ac:dyDescent="0.2">
      <c r="A97" s="636"/>
      <c r="B97" s="389"/>
      <c r="C97" s="392"/>
      <c r="D97" s="392"/>
      <c r="E97" s="392"/>
      <c r="F97" s="392"/>
      <c r="G97" s="392"/>
      <c r="H97" s="392"/>
      <c r="I97" s="766"/>
      <c r="J97" s="392"/>
      <c r="K97" s="392"/>
      <c r="L97" s="392"/>
      <c r="M97" s="392"/>
      <c r="N97" s="392"/>
      <c r="O97" s="766"/>
      <c r="P97" s="392"/>
      <c r="Q97" s="392"/>
      <c r="R97" s="392"/>
      <c r="S97" s="766"/>
      <c r="T97" s="392"/>
      <c r="U97" s="766"/>
      <c r="V97" s="392"/>
      <c r="W97" s="766"/>
      <c r="X97" s="378"/>
      <c r="Y97" s="180"/>
      <c r="Z97" s="180"/>
      <c r="AA97" s="180"/>
      <c r="AB97" s="180"/>
    </row>
    <row r="98" spans="1:28" s="202" customFormat="1" x14ac:dyDescent="0.2">
      <c r="A98" s="636"/>
      <c r="B98" s="639"/>
      <c r="C98" s="466"/>
      <c r="D98" s="466"/>
      <c r="E98" s="466"/>
      <c r="F98" s="466"/>
      <c r="G98" s="466"/>
      <c r="H98" s="466"/>
      <c r="I98" s="767"/>
      <c r="J98" s="466"/>
      <c r="K98" s="466"/>
      <c r="L98" s="466"/>
      <c r="M98" s="466"/>
      <c r="N98" s="466"/>
      <c r="O98" s="767"/>
      <c r="P98" s="466"/>
      <c r="Q98" s="466"/>
      <c r="R98" s="466"/>
      <c r="S98" s="767"/>
      <c r="T98" s="466"/>
      <c r="U98" s="767"/>
      <c r="V98" s="466"/>
      <c r="W98" s="767"/>
      <c r="X98" s="378"/>
      <c r="Y98" s="180"/>
      <c r="Z98" s="180"/>
      <c r="AA98" s="180"/>
      <c r="AB98" s="180"/>
    </row>
    <row r="99" spans="1:28" x14ac:dyDescent="0.2">
      <c r="A99" s="636"/>
      <c r="B99" s="768"/>
      <c r="C99" s="765"/>
      <c r="D99" s="765"/>
      <c r="E99" s="765"/>
      <c r="F99" s="765"/>
      <c r="G99" s="765"/>
      <c r="H99" s="765"/>
      <c r="I99" s="765"/>
      <c r="J99" s="765"/>
      <c r="K99" s="765"/>
      <c r="L99" s="765"/>
      <c r="M99" s="765"/>
      <c r="N99" s="765"/>
      <c r="O99" s="765"/>
      <c r="P99" s="765"/>
      <c r="Q99" s="765"/>
      <c r="R99" s="765"/>
      <c r="S99" s="765"/>
      <c r="T99" s="765"/>
      <c r="U99" s="765"/>
      <c r="V99" s="765"/>
      <c r="W99" s="765"/>
      <c r="X99" s="378"/>
      <c r="Y99" s="180"/>
      <c r="Z99" s="180"/>
      <c r="AA99" s="180"/>
      <c r="AB99" s="180"/>
    </row>
    <row r="100" spans="1:28" s="203" customFormat="1" x14ac:dyDescent="0.2">
      <c r="A100" s="636"/>
      <c r="B100" s="769"/>
      <c r="C100" s="766"/>
      <c r="D100" s="766"/>
      <c r="E100" s="766"/>
      <c r="F100" s="766"/>
      <c r="G100" s="766"/>
      <c r="H100" s="766"/>
      <c r="I100" s="766"/>
      <c r="J100" s="766"/>
      <c r="K100" s="766"/>
      <c r="L100" s="766"/>
      <c r="M100" s="766"/>
      <c r="N100" s="766"/>
      <c r="O100" s="766"/>
      <c r="P100" s="766"/>
      <c r="Q100" s="766"/>
      <c r="R100" s="766"/>
      <c r="S100" s="766"/>
      <c r="T100" s="766"/>
      <c r="U100" s="766"/>
      <c r="V100" s="766"/>
      <c r="W100" s="766"/>
      <c r="X100" s="378"/>
      <c r="Y100" s="180"/>
      <c r="Z100" s="180"/>
      <c r="AA100" s="180"/>
      <c r="AB100" s="180"/>
    </row>
    <row r="101" spans="1:28" s="202" customFormat="1" x14ac:dyDescent="0.2">
      <c r="A101" s="636"/>
      <c r="B101" s="770"/>
      <c r="C101" s="767"/>
      <c r="D101" s="767"/>
      <c r="E101" s="767"/>
      <c r="F101" s="767"/>
      <c r="G101" s="767"/>
      <c r="H101" s="767"/>
      <c r="I101" s="767"/>
      <c r="J101" s="767"/>
      <c r="K101" s="767"/>
      <c r="L101" s="767"/>
      <c r="M101" s="767"/>
      <c r="N101" s="767"/>
      <c r="O101" s="767"/>
      <c r="P101" s="767"/>
      <c r="Q101" s="767"/>
      <c r="R101" s="767"/>
      <c r="S101" s="767"/>
      <c r="T101" s="767"/>
      <c r="U101" s="767"/>
      <c r="V101" s="767"/>
      <c r="W101" s="767"/>
      <c r="X101" s="378"/>
      <c r="Y101" s="180"/>
      <c r="Z101" s="180"/>
      <c r="AA101" s="180"/>
      <c r="AB101" s="180"/>
    </row>
    <row r="102" spans="1:28" x14ac:dyDescent="0.2">
      <c r="A102" s="636"/>
      <c r="B102" s="388"/>
      <c r="C102" s="391"/>
      <c r="D102" s="391"/>
      <c r="E102" s="391"/>
      <c r="F102" s="391"/>
      <c r="G102" s="391"/>
      <c r="H102" s="391"/>
      <c r="I102" s="765"/>
      <c r="J102" s="391"/>
      <c r="K102" s="391"/>
      <c r="L102" s="391"/>
      <c r="M102" s="391"/>
      <c r="N102" s="391"/>
      <c r="O102" s="765"/>
      <c r="P102" s="391"/>
      <c r="Q102" s="391"/>
      <c r="R102" s="391"/>
      <c r="S102" s="765"/>
      <c r="T102" s="391"/>
      <c r="U102" s="765"/>
      <c r="V102" s="391"/>
      <c r="W102" s="765"/>
      <c r="X102" s="378"/>
      <c r="Y102" s="180"/>
      <c r="Z102" s="180"/>
      <c r="AA102" s="180"/>
      <c r="AB102" s="180"/>
    </row>
    <row r="103" spans="1:28" s="203" customFormat="1" x14ac:dyDescent="0.2">
      <c r="A103" s="636"/>
      <c r="B103" s="389"/>
      <c r="C103" s="392"/>
      <c r="D103" s="392"/>
      <c r="E103" s="392"/>
      <c r="F103" s="392"/>
      <c r="G103" s="392"/>
      <c r="H103" s="392"/>
      <c r="I103" s="766"/>
      <c r="J103" s="392"/>
      <c r="K103" s="392"/>
      <c r="L103" s="392"/>
      <c r="M103" s="392"/>
      <c r="N103" s="392"/>
      <c r="O103" s="766"/>
      <c r="P103" s="392"/>
      <c r="Q103" s="392"/>
      <c r="R103" s="392"/>
      <c r="S103" s="766"/>
      <c r="T103" s="392"/>
      <c r="U103" s="766"/>
      <c r="V103" s="392"/>
      <c r="W103" s="766"/>
      <c r="X103" s="378"/>
      <c r="Y103" s="180"/>
      <c r="Z103" s="180"/>
      <c r="AA103" s="180"/>
      <c r="AB103" s="180"/>
    </row>
    <row r="104" spans="1:28" s="202" customFormat="1" x14ac:dyDescent="0.2">
      <c r="A104" s="636"/>
      <c r="B104" s="639"/>
      <c r="C104" s="466"/>
      <c r="D104" s="466"/>
      <c r="E104" s="466"/>
      <c r="F104" s="466"/>
      <c r="G104" s="466"/>
      <c r="H104" s="466"/>
      <c r="I104" s="767"/>
      <c r="J104" s="466"/>
      <c r="K104" s="466"/>
      <c r="L104" s="466"/>
      <c r="M104" s="466"/>
      <c r="N104" s="466"/>
      <c r="O104" s="767"/>
      <c r="P104" s="466"/>
      <c r="Q104" s="466"/>
      <c r="R104" s="466"/>
      <c r="S104" s="767"/>
      <c r="T104" s="466"/>
      <c r="U104" s="767"/>
      <c r="V104" s="466"/>
      <c r="W104" s="767"/>
      <c r="X104" s="378"/>
      <c r="Y104" s="180"/>
      <c r="Z104" s="180"/>
      <c r="AA104" s="180"/>
      <c r="AB104" s="180"/>
    </row>
    <row r="105" spans="1:28" x14ac:dyDescent="0.2">
      <c r="A105" s="636"/>
      <c r="B105" s="388"/>
      <c r="C105" s="391"/>
      <c r="D105" s="391"/>
      <c r="E105" s="391"/>
      <c r="F105" s="391"/>
      <c r="G105" s="391"/>
      <c r="H105" s="391"/>
      <c r="I105" s="765"/>
      <c r="J105" s="391"/>
      <c r="K105" s="391"/>
      <c r="L105" s="391"/>
      <c r="M105" s="391"/>
      <c r="N105" s="391"/>
      <c r="O105" s="765"/>
      <c r="P105" s="391"/>
      <c r="Q105" s="391"/>
      <c r="R105" s="391"/>
      <c r="S105" s="765"/>
      <c r="T105" s="391"/>
      <c r="U105" s="765"/>
      <c r="V105" s="391"/>
      <c r="W105" s="765"/>
      <c r="X105" s="378"/>
      <c r="Y105" s="180"/>
      <c r="Z105" s="180"/>
      <c r="AA105" s="180"/>
      <c r="AB105" s="180"/>
    </row>
    <row r="106" spans="1:28" s="203" customFormat="1" x14ac:dyDescent="0.2">
      <c r="A106" s="636"/>
      <c r="B106" s="389"/>
      <c r="C106" s="392"/>
      <c r="D106" s="392"/>
      <c r="E106" s="392"/>
      <c r="F106" s="392"/>
      <c r="G106" s="392"/>
      <c r="H106" s="392"/>
      <c r="I106" s="766"/>
      <c r="J106" s="392"/>
      <c r="K106" s="392"/>
      <c r="L106" s="392"/>
      <c r="M106" s="392"/>
      <c r="N106" s="392"/>
      <c r="O106" s="766"/>
      <c r="P106" s="392"/>
      <c r="Q106" s="392"/>
      <c r="R106" s="392"/>
      <c r="S106" s="766"/>
      <c r="T106" s="392"/>
      <c r="U106" s="766"/>
      <c r="V106" s="392"/>
      <c r="W106" s="766"/>
      <c r="X106" s="378"/>
      <c r="Y106" s="180"/>
      <c r="Z106" s="180"/>
      <c r="AA106" s="180"/>
      <c r="AB106" s="180"/>
    </row>
    <row r="107" spans="1:28" s="202" customFormat="1" x14ac:dyDescent="0.2">
      <c r="A107" s="636"/>
      <c r="B107" s="639"/>
      <c r="C107" s="466"/>
      <c r="D107" s="466"/>
      <c r="E107" s="466"/>
      <c r="F107" s="466"/>
      <c r="G107" s="466"/>
      <c r="H107" s="466"/>
      <c r="I107" s="767"/>
      <c r="J107" s="466"/>
      <c r="K107" s="466"/>
      <c r="L107" s="466"/>
      <c r="M107" s="466"/>
      <c r="N107" s="466"/>
      <c r="O107" s="767"/>
      <c r="P107" s="466"/>
      <c r="Q107" s="466"/>
      <c r="R107" s="466"/>
      <c r="S107" s="767"/>
      <c r="T107" s="466"/>
      <c r="U107" s="767"/>
      <c r="V107" s="466"/>
      <c r="W107" s="767"/>
      <c r="X107" s="378"/>
      <c r="Y107" s="180"/>
      <c r="Z107" s="180"/>
      <c r="AA107" s="180"/>
      <c r="AB107" s="180"/>
    </row>
    <row r="108" spans="1:28" x14ac:dyDescent="0.2">
      <c r="A108" s="636"/>
      <c r="B108" s="388"/>
      <c r="C108" s="391"/>
      <c r="D108" s="391"/>
      <c r="E108" s="391"/>
      <c r="F108" s="391"/>
      <c r="G108" s="391"/>
      <c r="H108" s="391"/>
      <c r="I108" s="765"/>
      <c r="J108" s="391"/>
      <c r="K108" s="391"/>
      <c r="L108" s="391"/>
      <c r="M108" s="391"/>
      <c r="N108" s="391"/>
      <c r="O108" s="765"/>
      <c r="P108" s="391"/>
      <c r="Q108" s="391"/>
      <c r="R108" s="391"/>
      <c r="S108" s="765"/>
      <c r="T108" s="391"/>
      <c r="U108" s="765"/>
      <c r="V108" s="391"/>
      <c r="W108" s="765"/>
      <c r="X108" s="378"/>
      <c r="Y108" s="180"/>
      <c r="Z108" s="180"/>
      <c r="AA108" s="180"/>
      <c r="AB108" s="180"/>
    </row>
    <row r="109" spans="1:28" s="203" customFormat="1" x14ac:dyDescent="0.2">
      <c r="A109" s="636"/>
      <c r="B109" s="389"/>
      <c r="C109" s="392"/>
      <c r="D109" s="392"/>
      <c r="E109" s="392"/>
      <c r="F109" s="392"/>
      <c r="G109" s="392"/>
      <c r="H109" s="392"/>
      <c r="I109" s="766"/>
      <c r="J109" s="392"/>
      <c r="K109" s="392"/>
      <c r="L109" s="392"/>
      <c r="M109" s="392"/>
      <c r="N109" s="392"/>
      <c r="O109" s="766"/>
      <c r="P109" s="392"/>
      <c r="Q109" s="392"/>
      <c r="R109" s="392"/>
      <c r="S109" s="766"/>
      <c r="T109" s="392"/>
      <c r="U109" s="766"/>
      <c r="V109" s="392"/>
      <c r="W109" s="766"/>
      <c r="X109" s="378"/>
      <c r="Y109" s="180"/>
      <c r="Z109" s="180"/>
      <c r="AA109" s="180"/>
      <c r="AB109" s="180"/>
    </row>
    <row r="110" spans="1:28" s="202" customFormat="1" x14ac:dyDescent="0.2">
      <c r="A110" s="636"/>
      <c r="B110" s="639"/>
      <c r="C110" s="466"/>
      <c r="D110" s="466"/>
      <c r="E110" s="466"/>
      <c r="F110" s="466"/>
      <c r="G110" s="466"/>
      <c r="H110" s="466"/>
      <c r="I110" s="767"/>
      <c r="J110" s="466"/>
      <c r="K110" s="466"/>
      <c r="L110" s="466"/>
      <c r="M110" s="466"/>
      <c r="N110" s="466"/>
      <c r="O110" s="767"/>
      <c r="P110" s="466"/>
      <c r="Q110" s="466"/>
      <c r="R110" s="466"/>
      <c r="S110" s="767"/>
      <c r="T110" s="466"/>
      <c r="U110" s="767"/>
      <c r="V110" s="466"/>
      <c r="W110" s="767"/>
      <c r="X110" s="378"/>
      <c r="Y110" s="180"/>
      <c r="Z110" s="180"/>
      <c r="AA110" s="180"/>
      <c r="AB110" s="180"/>
    </row>
    <row r="111" spans="1:28" x14ac:dyDescent="0.2">
      <c r="A111" s="636"/>
      <c r="B111" s="388"/>
      <c r="C111" s="391"/>
      <c r="D111" s="391"/>
      <c r="E111" s="391"/>
      <c r="F111" s="391"/>
      <c r="G111" s="391"/>
      <c r="H111" s="391"/>
      <c r="I111" s="765"/>
      <c r="J111" s="391"/>
      <c r="K111" s="391"/>
      <c r="L111" s="391"/>
      <c r="M111" s="391"/>
      <c r="N111" s="391"/>
      <c r="O111" s="765"/>
      <c r="P111" s="391"/>
      <c r="Q111" s="391"/>
      <c r="R111" s="391"/>
      <c r="S111" s="765"/>
      <c r="T111" s="391"/>
      <c r="U111" s="765"/>
      <c r="V111" s="391"/>
      <c r="W111" s="765"/>
      <c r="X111" s="378"/>
      <c r="Y111" s="180"/>
      <c r="Z111" s="180"/>
      <c r="AA111" s="180"/>
      <c r="AB111" s="180"/>
    </row>
    <row r="112" spans="1:28" s="203" customFormat="1" x14ac:dyDescent="0.2">
      <c r="A112" s="636"/>
      <c r="B112" s="389"/>
      <c r="C112" s="392"/>
      <c r="D112" s="392"/>
      <c r="E112" s="392"/>
      <c r="F112" s="392"/>
      <c r="G112" s="392"/>
      <c r="H112" s="392"/>
      <c r="I112" s="766"/>
      <c r="J112" s="392"/>
      <c r="K112" s="392"/>
      <c r="L112" s="392"/>
      <c r="M112" s="392"/>
      <c r="N112" s="392"/>
      <c r="O112" s="766"/>
      <c r="P112" s="392"/>
      <c r="Q112" s="392"/>
      <c r="R112" s="392"/>
      <c r="S112" s="766"/>
      <c r="T112" s="392"/>
      <c r="U112" s="766"/>
      <c r="V112" s="392"/>
      <c r="W112" s="766"/>
      <c r="X112" s="378"/>
      <c r="Y112" s="180"/>
      <c r="Z112" s="180"/>
      <c r="AA112" s="180"/>
      <c r="AB112" s="180"/>
    </row>
    <row r="113" spans="1:28" s="202" customFormat="1" x14ac:dyDescent="0.2">
      <c r="A113" s="636"/>
      <c r="B113" s="639"/>
      <c r="C113" s="466"/>
      <c r="D113" s="466"/>
      <c r="E113" s="466"/>
      <c r="F113" s="466"/>
      <c r="G113" s="466"/>
      <c r="H113" s="466"/>
      <c r="I113" s="767"/>
      <c r="J113" s="466"/>
      <c r="K113" s="466"/>
      <c r="L113" s="466"/>
      <c r="M113" s="466"/>
      <c r="N113" s="466"/>
      <c r="O113" s="767"/>
      <c r="P113" s="466"/>
      <c r="Q113" s="466"/>
      <c r="R113" s="466"/>
      <c r="S113" s="767"/>
      <c r="T113" s="466"/>
      <c r="U113" s="767"/>
      <c r="V113" s="466"/>
      <c r="W113" s="767"/>
      <c r="X113" s="378"/>
      <c r="Y113" s="180"/>
      <c r="Z113" s="180"/>
      <c r="AA113" s="180"/>
      <c r="AB113" s="180"/>
    </row>
    <row r="114" spans="1:28" x14ac:dyDescent="0.2">
      <c r="A114" s="636"/>
      <c r="B114" s="388"/>
      <c r="C114" s="391"/>
      <c r="D114" s="391"/>
      <c r="E114" s="391"/>
      <c r="F114" s="391"/>
      <c r="G114" s="391"/>
      <c r="H114" s="391"/>
      <c r="I114" s="765"/>
      <c r="J114" s="391"/>
      <c r="K114" s="391"/>
      <c r="L114" s="391"/>
      <c r="M114" s="391"/>
      <c r="N114" s="391"/>
      <c r="O114" s="765"/>
      <c r="P114" s="391"/>
      <c r="Q114" s="391"/>
      <c r="R114" s="391"/>
      <c r="S114" s="765"/>
      <c r="T114" s="391"/>
      <c r="U114" s="765"/>
      <c r="V114" s="391"/>
      <c r="W114" s="765"/>
      <c r="X114" s="378"/>
      <c r="Y114" s="180"/>
      <c r="Z114" s="180"/>
      <c r="AA114" s="180"/>
      <c r="AB114" s="180"/>
    </row>
    <row r="115" spans="1:28" s="203" customFormat="1" x14ac:dyDescent="0.2">
      <c r="A115" s="636"/>
      <c r="B115" s="389"/>
      <c r="C115" s="392"/>
      <c r="D115" s="392"/>
      <c r="E115" s="392"/>
      <c r="F115" s="392"/>
      <c r="G115" s="392"/>
      <c r="H115" s="392"/>
      <c r="I115" s="766"/>
      <c r="J115" s="392"/>
      <c r="K115" s="392"/>
      <c r="L115" s="392"/>
      <c r="M115" s="392"/>
      <c r="N115" s="392"/>
      <c r="O115" s="766"/>
      <c r="P115" s="392"/>
      <c r="Q115" s="392"/>
      <c r="R115" s="392"/>
      <c r="S115" s="766"/>
      <c r="T115" s="392"/>
      <c r="U115" s="766"/>
      <c r="V115" s="392"/>
      <c r="W115" s="766"/>
      <c r="X115" s="378"/>
      <c r="Y115" s="180"/>
      <c r="Z115" s="180"/>
      <c r="AA115" s="180"/>
      <c r="AB115" s="180"/>
    </row>
    <row r="116" spans="1:28" s="202" customFormat="1" x14ac:dyDescent="0.2">
      <c r="A116" s="636"/>
      <c r="B116" s="639"/>
      <c r="C116" s="466"/>
      <c r="D116" s="466"/>
      <c r="E116" s="466"/>
      <c r="F116" s="466"/>
      <c r="G116" s="466"/>
      <c r="H116" s="466"/>
      <c r="I116" s="767"/>
      <c r="J116" s="466"/>
      <c r="K116" s="466"/>
      <c r="L116" s="466"/>
      <c r="M116" s="466"/>
      <c r="N116" s="466"/>
      <c r="O116" s="767"/>
      <c r="P116" s="466"/>
      <c r="Q116" s="466"/>
      <c r="R116" s="466"/>
      <c r="S116" s="767"/>
      <c r="T116" s="466"/>
      <c r="U116" s="767"/>
      <c r="V116" s="466"/>
      <c r="W116" s="767"/>
      <c r="X116" s="378"/>
      <c r="Y116" s="180"/>
      <c r="Z116" s="180"/>
      <c r="AA116" s="180"/>
      <c r="AB116" s="180"/>
    </row>
    <row r="117" spans="1:28" x14ac:dyDescent="0.2">
      <c r="A117" s="636"/>
      <c r="B117" s="388"/>
      <c r="C117" s="391"/>
      <c r="D117" s="391"/>
      <c r="E117" s="391"/>
      <c r="F117" s="391"/>
      <c r="G117" s="391"/>
      <c r="H117" s="391"/>
      <c r="I117" s="765"/>
      <c r="J117" s="391"/>
      <c r="K117" s="391"/>
      <c r="L117" s="391"/>
      <c r="M117" s="391"/>
      <c r="N117" s="391"/>
      <c r="O117" s="765"/>
      <c r="P117" s="391"/>
      <c r="Q117" s="391"/>
      <c r="R117" s="391"/>
      <c r="S117" s="765"/>
      <c r="T117" s="391"/>
      <c r="U117" s="765"/>
      <c r="V117" s="391"/>
      <c r="W117" s="765"/>
      <c r="X117" s="378"/>
      <c r="Y117" s="180"/>
      <c r="Z117" s="180"/>
      <c r="AA117" s="180"/>
      <c r="AB117" s="180"/>
    </row>
    <row r="118" spans="1:28" s="203" customFormat="1" x14ac:dyDescent="0.2">
      <c r="A118" s="636"/>
      <c r="B118" s="389"/>
      <c r="C118" s="392"/>
      <c r="D118" s="392"/>
      <c r="E118" s="392"/>
      <c r="F118" s="392"/>
      <c r="G118" s="392"/>
      <c r="H118" s="392"/>
      <c r="I118" s="766"/>
      <c r="J118" s="392"/>
      <c r="K118" s="392"/>
      <c r="L118" s="392"/>
      <c r="M118" s="392"/>
      <c r="N118" s="392"/>
      <c r="O118" s="766"/>
      <c r="P118" s="392"/>
      <c r="Q118" s="392"/>
      <c r="R118" s="392"/>
      <c r="S118" s="766"/>
      <c r="T118" s="392"/>
      <c r="U118" s="766"/>
      <c r="V118" s="392"/>
      <c r="W118" s="766"/>
      <c r="X118" s="378"/>
      <c r="Y118" s="180"/>
      <c r="Z118" s="180"/>
      <c r="AA118" s="180"/>
      <c r="AB118" s="180"/>
    </row>
    <row r="119" spans="1:28" s="202" customFormat="1" x14ac:dyDescent="0.2">
      <c r="A119" s="636"/>
      <c r="B119" s="639"/>
      <c r="C119" s="466"/>
      <c r="D119" s="466"/>
      <c r="E119" s="466"/>
      <c r="F119" s="466"/>
      <c r="G119" s="466"/>
      <c r="H119" s="466"/>
      <c r="I119" s="767"/>
      <c r="J119" s="466"/>
      <c r="K119" s="466"/>
      <c r="L119" s="466"/>
      <c r="M119" s="466"/>
      <c r="N119" s="466"/>
      <c r="O119" s="767"/>
      <c r="P119" s="466"/>
      <c r="Q119" s="466"/>
      <c r="R119" s="466"/>
      <c r="S119" s="767"/>
      <c r="T119" s="466"/>
      <c r="U119" s="767"/>
      <c r="V119" s="466"/>
      <c r="W119" s="767"/>
      <c r="X119" s="378"/>
      <c r="Y119" s="180"/>
      <c r="Z119" s="180"/>
      <c r="AA119" s="180"/>
      <c r="AB119" s="180"/>
    </row>
    <row r="120" spans="1:28" x14ac:dyDescent="0.2">
      <c r="A120" s="636"/>
      <c r="B120" s="388"/>
      <c r="C120" s="391"/>
      <c r="D120" s="391"/>
      <c r="E120" s="391"/>
      <c r="F120" s="391"/>
      <c r="G120" s="391"/>
      <c r="H120" s="391"/>
      <c r="I120" s="765"/>
      <c r="J120" s="391"/>
      <c r="K120" s="391"/>
      <c r="L120" s="391"/>
      <c r="M120" s="391"/>
      <c r="N120" s="391"/>
      <c r="O120" s="765"/>
      <c r="P120" s="391"/>
      <c r="Q120" s="391"/>
      <c r="R120" s="391"/>
      <c r="S120" s="765"/>
      <c r="T120" s="391"/>
      <c r="U120" s="765"/>
      <c r="V120" s="391"/>
      <c r="W120" s="765"/>
      <c r="X120" s="378"/>
      <c r="Y120" s="180"/>
      <c r="Z120" s="180"/>
      <c r="AA120" s="180"/>
      <c r="AB120" s="180"/>
    </row>
    <row r="121" spans="1:28" s="203" customFormat="1" x14ac:dyDescent="0.2">
      <c r="A121" s="636"/>
      <c r="B121" s="389"/>
      <c r="C121" s="392"/>
      <c r="D121" s="392"/>
      <c r="E121" s="392"/>
      <c r="F121" s="392"/>
      <c r="G121" s="392"/>
      <c r="H121" s="392"/>
      <c r="I121" s="766"/>
      <c r="J121" s="392"/>
      <c r="K121" s="392"/>
      <c r="L121" s="392"/>
      <c r="M121" s="392"/>
      <c r="N121" s="392"/>
      <c r="O121" s="766"/>
      <c r="P121" s="392"/>
      <c r="Q121" s="392"/>
      <c r="R121" s="392"/>
      <c r="S121" s="766"/>
      <c r="T121" s="392"/>
      <c r="U121" s="766"/>
      <c r="V121" s="392"/>
      <c r="W121" s="766"/>
      <c r="X121" s="378"/>
      <c r="Y121" s="180"/>
      <c r="Z121" s="180"/>
      <c r="AA121" s="180"/>
      <c r="AB121" s="180"/>
    </row>
    <row r="122" spans="1:28" s="212" customFormat="1" ht="13.5" thickBot="1" x14ac:dyDescent="0.25">
      <c r="A122" s="640"/>
      <c r="B122" s="777"/>
      <c r="C122" s="778"/>
      <c r="D122" s="778"/>
      <c r="E122" s="778"/>
      <c r="F122" s="778"/>
      <c r="G122" s="778"/>
      <c r="H122" s="778"/>
      <c r="I122" s="779"/>
      <c r="J122" s="778"/>
      <c r="K122" s="778"/>
      <c r="L122" s="778"/>
      <c r="M122" s="778"/>
      <c r="N122" s="778"/>
      <c r="O122" s="779"/>
      <c r="P122" s="778"/>
      <c r="Q122" s="778"/>
      <c r="R122" s="778"/>
      <c r="S122" s="779"/>
      <c r="T122" s="778"/>
      <c r="U122" s="779"/>
      <c r="V122" s="778"/>
      <c r="W122" s="779"/>
      <c r="X122" s="378"/>
      <c r="Y122" s="180"/>
      <c r="Z122" s="180"/>
      <c r="AA122" s="180"/>
      <c r="AB122" s="180"/>
    </row>
    <row r="123" spans="1:28" ht="13.5" thickTop="1" x14ac:dyDescent="0.2">
      <c r="A123" s="230"/>
      <c r="B123" s="780"/>
      <c r="C123" s="781"/>
      <c r="D123" s="781"/>
      <c r="E123" s="781"/>
      <c r="F123" s="781"/>
      <c r="G123" s="781"/>
      <c r="H123" s="781"/>
      <c r="I123" s="782"/>
      <c r="J123" s="781"/>
      <c r="K123" s="781"/>
      <c r="L123" s="781"/>
      <c r="M123" s="781"/>
      <c r="N123" s="781"/>
      <c r="O123" s="782"/>
      <c r="P123" s="781"/>
      <c r="Q123" s="781"/>
      <c r="R123" s="781"/>
      <c r="S123" s="782"/>
      <c r="T123" s="781"/>
      <c r="U123" s="782"/>
      <c r="V123" s="781"/>
      <c r="W123" s="782"/>
      <c r="X123" s="378"/>
      <c r="Y123" s="180"/>
      <c r="Z123" s="180"/>
      <c r="AA123" s="180"/>
      <c r="AB123" s="180"/>
    </row>
    <row r="124" spans="1:28" s="203" customFormat="1" x14ac:dyDescent="0.2">
      <c r="A124" s="636"/>
      <c r="B124" s="389"/>
      <c r="C124" s="392"/>
      <c r="D124" s="392"/>
      <c r="E124" s="392"/>
      <c r="F124" s="392"/>
      <c r="G124" s="392"/>
      <c r="H124" s="392"/>
      <c r="I124" s="766"/>
      <c r="J124" s="392"/>
      <c r="K124" s="392"/>
      <c r="L124" s="392"/>
      <c r="M124" s="392"/>
      <c r="N124" s="392"/>
      <c r="O124" s="766"/>
      <c r="P124" s="392"/>
      <c r="Q124" s="392"/>
      <c r="R124" s="392"/>
      <c r="S124" s="766"/>
      <c r="T124" s="392"/>
      <c r="U124" s="766"/>
      <c r="V124" s="392"/>
      <c r="W124" s="766"/>
      <c r="X124" s="378"/>
      <c r="Y124" s="180"/>
      <c r="Z124" s="180"/>
      <c r="AA124" s="180"/>
      <c r="AB124" s="180"/>
    </row>
    <row r="125" spans="1:28" s="202" customFormat="1" x14ac:dyDescent="0.2">
      <c r="A125" s="637"/>
      <c r="B125" s="639"/>
      <c r="C125" s="763"/>
      <c r="D125" s="763"/>
      <c r="E125" s="763"/>
      <c r="F125" s="763"/>
      <c r="G125" s="466"/>
      <c r="H125" s="763"/>
      <c r="I125" s="767"/>
      <c r="J125" s="466"/>
      <c r="K125" s="466"/>
      <c r="L125" s="466"/>
      <c r="M125" s="763"/>
      <c r="N125" s="466"/>
      <c r="O125" s="767"/>
      <c r="P125" s="466"/>
      <c r="Q125" s="466"/>
      <c r="R125" s="466"/>
      <c r="S125" s="767"/>
      <c r="T125" s="466"/>
      <c r="U125" s="767"/>
      <c r="V125" s="466"/>
      <c r="W125" s="767"/>
      <c r="X125" s="378"/>
      <c r="Y125" s="180"/>
      <c r="Z125" s="180"/>
      <c r="AA125" s="180"/>
      <c r="AB125" s="180"/>
    </row>
    <row r="126" spans="1:28" x14ac:dyDescent="0.2">
      <c r="A126" s="636"/>
      <c r="B126" s="388"/>
      <c r="C126" s="391"/>
      <c r="D126" s="391"/>
      <c r="E126" s="391"/>
      <c r="F126" s="391"/>
      <c r="G126" s="391"/>
      <c r="H126" s="391"/>
      <c r="I126" s="765"/>
      <c r="J126" s="391"/>
      <c r="K126" s="391"/>
      <c r="L126" s="391"/>
      <c r="M126" s="391"/>
      <c r="N126" s="391"/>
      <c r="O126" s="765"/>
      <c r="P126" s="391"/>
      <c r="Q126" s="391"/>
      <c r="R126" s="391"/>
      <c r="S126" s="765"/>
      <c r="T126" s="391"/>
      <c r="U126" s="765"/>
      <c r="V126" s="391"/>
      <c r="W126" s="765"/>
      <c r="X126" s="378"/>
      <c r="Y126" s="180"/>
      <c r="Z126" s="180"/>
      <c r="AA126" s="180"/>
      <c r="AB126" s="180"/>
    </row>
    <row r="127" spans="1:28" s="203" customFormat="1" x14ac:dyDescent="0.2">
      <c r="A127" s="636"/>
      <c r="B127" s="389"/>
      <c r="C127" s="392"/>
      <c r="D127" s="392"/>
      <c r="E127" s="392"/>
      <c r="F127" s="392"/>
      <c r="G127" s="392"/>
      <c r="H127" s="392"/>
      <c r="I127" s="766"/>
      <c r="J127" s="392"/>
      <c r="K127" s="392"/>
      <c r="L127" s="392"/>
      <c r="M127" s="392"/>
      <c r="N127" s="392"/>
      <c r="O127" s="766"/>
      <c r="P127" s="392"/>
      <c r="Q127" s="392"/>
      <c r="R127" s="392"/>
      <c r="S127" s="766"/>
      <c r="T127" s="392"/>
      <c r="U127" s="766"/>
      <c r="V127" s="392"/>
      <c r="W127" s="766"/>
      <c r="X127" s="378"/>
      <c r="Y127" s="180"/>
      <c r="Z127" s="180"/>
      <c r="AA127" s="180"/>
      <c r="AB127" s="180"/>
    </row>
    <row r="128" spans="1:28" s="202" customFormat="1" x14ac:dyDescent="0.2">
      <c r="A128" s="636"/>
      <c r="B128" s="639"/>
      <c r="C128" s="466"/>
      <c r="D128" s="466"/>
      <c r="E128" s="466"/>
      <c r="F128" s="466"/>
      <c r="G128" s="466"/>
      <c r="H128" s="466"/>
      <c r="I128" s="767"/>
      <c r="J128" s="466"/>
      <c r="K128" s="466"/>
      <c r="L128" s="466"/>
      <c r="M128" s="466"/>
      <c r="N128" s="466"/>
      <c r="O128" s="767"/>
      <c r="P128" s="466"/>
      <c r="Q128" s="466"/>
      <c r="R128" s="466"/>
      <c r="S128" s="767"/>
      <c r="T128" s="466"/>
      <c r="U128" s="767"/>
      <c r="V128" s="466"/>
      <c r="W128" s="767"/>
      <c r="X128" s="378"/>
      <c r="Y128" s="180"/>
      <c r="Z128" s="180"/>
      <c r="AA128" s="180"/>
      <c r="AB128" s="180"/>
    </row>
    <row r="129" spans="1:28" x14ac:dyDescent="0.2">
      <c r="A129" s="636"/>
      <c r="B129" s="388"/>
      <c r="C129" s="391"/>
      <c r="D129" s="391"/>
      <c r="E129" s="391"/>
      <c r="F129" s="391"/>
      <c r="G129" s="391"/>
      <c r="H129" s="391"/>
      <c r="I129" s="765"/>
      <c r="J129" s="391"/>
      <c r="K129" s="391"/>
      <c r="L129" s="391"/>
      <c r="M129" s="391"/>
      <c r="N129" s="391"/>
      <c r="O129" s="765"/>
      <c r="P129" s="391"/>
      <c r="Q129" s="391"/>
      <c r="R129" s="391"/>
      <c r="S129" s="765"/>
      <c r="T129" s="391"/>
      <c r="U129" s="765"/>
      <c r="V129" s="391"/>
      <c r="W129" s="765"/>
      <c r="X129" s="378"/>
      <c r="Y129" s="180"/>
      <c r="Z129" s="180"/>
      <c r="AA129" s="180"/>
      <c r="AB129" s="180"/>
    </row>
    <row r="130" spans="1:28" s="203" customFormat="1" x14ac:dyDescent="0.2">
      <c r="A130" s="636"/>
      <c r="B130" s="389"/>
      <c r="C130" s="392"/>
      <c r="D130" s="392"/>
      <c r="E130" s="392"/>
      <c r="F130" s="392"/>
      <c r="G130" s="392"/>
      <c r="H130" s="392"/>
      <c r="I130" s="766"/>
      <c r="J130" s="392"/>
      <c r="K130" s="392"/>
      <c r="L130" s="392"/>
      <c r="M130" s="392"/>
      <c r="N130" s="392"/>
      <c r="O130" s="766"/>
      <c r="P130" s="392"/>
      <c r="Q130" s="392"/>
      <c r="R130" s="392"/>
      <c r="S130" s="766"/>
      <c r="T130" s="392"/>
      <c r="U130" s="766"/>
      <c r="V130" s="392"/>
      <c r="W130" s="766"/>
      <c r="X130" s="378"/>
      <c r="Y130" s="180"/>
      <c r="Z130" s="180"/>
      <c r="AA130" s="180"/>
      <c r="AB130" s="180"/>
    </row>
    <row r="131" spans="1:28" s="202" customFormat="1" x14ac:dyDescent="0.2">
      <c r="A131" s="636"/>
      <c r="B131" s="639"/>
      <c r="C131" s="466"/>
      <c r="D131" s="466"/>
      <c r="E131" s="466"/>
      <c r="F131" s="466"/>
      <c r="G131" s="466"/>
      <c r="H131" s="466"/>
      <c r="I131" s="767"/>
      <c r="J131" s="466"/>
      <c r="K131" s="466"/>
      <c r="L131" s="466"/>
      <c r="M131" s="466"/>
      <c r="N131" s="466"/>
      <c r="O131" s="767"/>
      <c r="P131" s="466"/>
      <c r="Q131" s="466"/>
      <c r="R131" s="466"/>
      <c r="S131" s="767"/>
      <c r="T131" s="466"/>
      <c r="U131" s="767"/>
      <c r="V131" s="466"/>
      <c r="W131" s="767"/>
      <c r="X131" s="378"/>
      <c r="Y131" s="180"/>
      <c r="Z131" s="180"/>
      <c r="AA131" s="180"/>
      <c r="AB131" s="180"/>
    </row>
    <row r="132" spans="1:28" x14ac:dyDescent="0.2">
      <c r="A132" s="636"/>
      <c r="B132" s="388"/>
      <c r="C132" s="391"/>
      <c r="D132" s="391"/>
      <c r="E132" s="391"/>
      <c r="F132" s="391"/>
      <c r="G132" s="391"/>
      <c r="H132" s="391"/>
      <c r="I132" s="765"/>
      <c r="J132" s="391"/>
      <c r="K132" s="391"/>
      <c r="L132" s="391"/>
      <c r="M132" s="391"/>
      <c r="N132" s="391"/>
      <c r="O132" s="765"/>
      <c r="P132" s="391"/>
      <c r="Q132" s="391"/>
      <c r="R132" s="391"/>
      <c r="S132" s="765"/>
      <c r="T132" s="391"/>
      <c r="U132" s="765"/>
      <c r="V132" s="391"/>
      <c r="W132" s="765"/>
      <c r="X132" s="378"/>
      <c r="Y132" s="180"/>
      <c r="Z132" s="180"/>
      <c r="AA132" s="180"/>
      <c r="AB132" s="180"/>
    </row>
    <row r="133" spans="1:28" s="203" customFormat="1" x14ac:dyDescent="0.2">
      <c r="A133" s="636"/>
      <c r="B133" s="389"/>
      <c r="C133" s="392"/>
      <c r="D133" s="392"/>
      <c r="E133" s="392"/>
      <c r="F133" s="392"/>
      <c r="G133" s="392"/>
      <c r="H133" s="392"/>
      <c r="I133" s="766"/>
      <c r="J133" s="392"/>
      <c r="K133" s="392"/>
      <c r="L133" s="392"/>
      <c r="M133" s="392"/>
      <c r="N133" s="392"/>
      <c r="O133" s="766"/>
      <c r="P133" s="392"/>
      <c r="Q133" s="392"/>
      <c r="R133" s="392"/>
      <c r="S133" s="766"/>
      <c r="T133" s="392"/>
      <c r="U133" s="766"/>
      <c r="V133" s="392"/>
      <c r="W133" s="766"/>
      <c r="X133" s="378"/>
      <c r="Y133" s="180"/>
      <c r="Z133" s="180"/>
      <c r="AA133" s="180"/>
      <c r="AB133" s="180"/>
    </row>
    <row r="134" spans="1:28" s="202" customFormat="1" x14ac:dyDescent="0.2">
      <c r="A134" s="636"/>
      <c r="B134" s="639"/>
      <c r="C134" s="466"/>
      <c r="D134" s="466"/>
      <c r="E134" s="466"/>
      <c r="F134" s="466"/>
      <c r="G134" s="466"/>
      <c r="H134" s="466"/>
      <c r="I134" s="767"/>
      <c r="J134" s="466"/>
      <c r="K134" s="466"/>
      <c r="L134" s="466"/>
      <c r="M134" s="466"/>
      <c r="N134" s="466"/>
      <c r="O134" s="767"/>
      <c r="P134" s="466"/>
      <c r="Q134" s="466"/>
      <c r="R134" s="466"/>
      <c r="S134" s="767"/>
      <c r="T134" s="466"/>
      <c r="U134" s="767"/>
      <c r="V134" s="466"/>
      <c r="W134" s="767"/>
      <c r="X134" s="378"/>
      <c r="Y134" s="180"/>
      <c r="Z134" s="180"/>
      <c r="AA134" s="180"/>
      <c r="AB134" s="180"/>
    </row>
    <row r="135" spans="1:28" x14ac:dyDescent="0.2">
      <c r="A135" s="636"/>
      <c r="B135" s="388"/>
      <c r="C135" s="391"/>
      <c r="D135" s="391"/>
      <c r="E135" s="391"/>
      <c r="F135" s="391"/>
      <c r="G135" s="391"/>
      <c r="H135" s="391"/>
      <c r="I135" s="765"/>
      <c r="J135" s="391"/>
      <c r="K135" s="391"/>
      <c r="L135" s="391"/>
      <c r="M135" s="391"/>
      <c r="N135" s="391"/>
      <c r="O135" s="765"/>
      <c r="P135" s="391"/>
      <c r="Q135" s="391"/>
      <c r="R135" s="391"/>
      <c r="S135" s="765"/>
      <c r="T135" s="391"/>
      <c r="U135" s="765"/>
      <c r="V135" s="391"/>
      <c r="W135" s="765"/>
      <c r="X135" s="378"/>
      <c r="Y135" s="180"/>
      <c r="Z135" s="180"/>
      <c r="AA135" s="180"/>
      <c r="AB135" s="180"/>
    </row>
    <row r="136" spans="1:28" s="203" customFormat="1" x14ac:dyDescent="0.2">
      <c r="A136" s="636"/>
      <c r="B136" s="389"/>
      <c r="C136" s="392"/>
      <c r="D136" s="392"/>
      <c r="E136" s="392"/>
      <c r="F136" s="392"/>
      <c r="G136" s="392"/>
      <c r="H136" s="392"/>
      <c r="I136" s="766"/>
      <c r="J136" s="392"/>
      <c r="K136" s="392"/>
      <c r="L136" s="392"/>
      <c r="M136" s="392"/>
      <c r="N136" s="392"/>
      <c r="O136" s="766"/>
      <c r="P136" s="392"/>
      <c r="Q136" s="392"/>
      <c r="R136" s="392"/>
      <c r="S136" s="766"/>
      <c r="T136" s="392"/>
      <c r="U136" s="766"/>
      <c r="V136" s="392"/>
      <c r="W136" s="766"/>
      <c r="X136" s="378"/>
      <c r="Y136" s="180"/>
      <c r="Z136" s="180"/>
      <c r="AA136" s="180"/>
      <c r="AB136" s="180"/>
    </row>
    <row r="137" spans="1:28" s="202" customFormat="1" x14ac:dyDescent="0.2">
      <c r="A137" s="636"/>
      <c r="B137" s="639"/>
      <c r="C137" s="763"/>
      <c r="D137" s="763"/>
      <c r="E137" s="763"/>
      <c r="F137" s="763"/>
      <c r="G137" s="466"/>
      <c r="H137" s="763"/>
      <c r="I137" s="767"/>
      <c r="J137" s="466"/>
      <c r="K137" s="466"/>
      <c r="L137" s="466"/>
      <c r="M137" s="466"/>
      <c r="N137" s="466"/>
      <c r="O137" s="767"/>
      <c r="P137" s="466"/>
      <c r="Q137" s="466"/>
      <c r="R137" s="466"/>
      <c r="S137" s="767"/>
      <c r="T137" s="466"/>
      <c r="U137" s="767"/>
      <c r="V137" s="466"/>
      <c r="W137" s="767"/>
      <c r="X137" s="378"/>
      <c r="Y137" s="180"/>
      <c r="Z137" s="180"/>
      <c r="AA137" s="180"/>
      <c r="AB137" s="180"/>
    </row>
    <row r="138" spans="1:28" x14ac:dyDescent="0.2">
      <c r="A138" s="636"/>
      <c r="B138" s="768"/>
      <c r="C138" s="765"/>
      <c r="D138" s="765"/>
      <c r="E138" s="765"/>
      <c r="F138" s="765"/>
      <c r="G138" s="765"/>
      <c r="H138" s="765"/>
      <c r="I138" s="765"/>
      <c r="J138" s="765"/>
      <c r="K138" s="765"/>
      <c r="L138" s="765"/>
      <c r="M138" s="765"/>
      <c r="N138" s="765"/>
      <c r="O138" s="765"/>
      <c r="P138" s="765"/>
      <c r="Q138" s="765"/>
      <c r="R138" s="765"/>
      <c r="S138" s="765"/>
      <c r="T138" s="765"/>
      <c r="U138" s="765"/>
      <c r="V138" s="765"/>
      <c r="W138" s="765"/>
      <c r="X138" s="378"/>
      <c r="Y138" s="180"/>
      <c r="Z138" s="180"/>
      <c r="AA138" s="180"/>
      <c r="AB138" s="180"/>
    </row>
    <row r="139" spans="1:28" s="203" customFormat="1" x14ac:dyDescent="0.2">
      <c r="A139" s="636"/>
      <c r="B139" s="769"/>
      <c r="C139" s="766"/>
      <c r="D139" s="766"/>
      <c r="E139" s="766"/>
      <c r="F139" s="766"/>
      <c r="G139" s="766"/>
      <c r="H139" s="766"/>
      <c r="I139" s="766"/>
      <c r="J139" s="766"/>
      <c r="K139" s="766"/>
      <c r="L139" s="766"/>
      <c r="M139" s="766"/>
      <c r="N139" s="766"/>
      <c r="O139" s="766"/>
      <c r="P139" s="766"/>
      <c r="Q139" s="766"/>
      <c r="R139" s="766"/>
      <c r="S139" s="766"/>
      <c r="T139" s="766"/>
      <c r="U139" s="766"/>
      <c r="V139" s="766"/>
      <c r="W139" s="766"/>
      <c r="X139" s="378"/>
      <c r="Y139" s="180"/>
      <c r="Z139" s="180"/>
      <c r="AA139" s="180"/>
      <c r="AB139" s="180"/>
    </row>
    <row r="140" spans="1:28" s="202" customFormat="1" x14ac:dyDescent="0.2">
      <c r="A140" s="636"/>
      <c r="B140" s="770"/>
      <c r="C140" s="767"/>
      <c r="D140" s="767"/>
      <c r="E140" s="767"/>
      <c r="F140" s="767"/>
      <c r="G140" s="767"/>
      <c r="H140" s="767"/>
      <c r="I140" s="767"/>
      <c r="J140" s="767"/>
      <c r="K140" s="767"/>
      <c r="L140" s="767"/>
      <c r="M140" s="767"/>
      <c r="N140" s="767"/>
      <c r="O140" s="767"/>
      <c r="P140" s="767"/>
      <c r="Q140" s="767"/>
      <c r="R140" s="767"/>
      <c r="S140" s="767"/>
      <c r="T140" s="767"/>
      <c r="U140" s="767"/>
      <c r="V140" s="767"/>
      <c r="W140" s="767"/>
      <c r="X140" s="378"/>
      <c r="Y140" s="180"/>
      <c r="Z140" s="180"/>
      <c r="AA140" s="180"/>
      <c r="AB140" s="180"/>
    </row>
    <row r="141" spans="1:28" x14ac:dyDescent="0.2">
      <c r="A141" s="636"/>
      <c r="B141" s="388"/>
      <c r="C141" s="391"/>
      <c r="D141" s="391"/>
      <c r="E141" s="391"/>
      <c r="F141" s="391"/>
      <c r="G141" s="391"/>
      <c r="H141" s="391"/>
      <c r="I141" s="765"/>
      <c r="J141" s="391"/>
      <c r="K141" s="391"/>
      <c r="L141" s="391"/>
      <c r="M141" s="391"/>
      <c r="N141" s="391"/>
      <c r="O141" s="765"/>
      <c r="P141" s="391"/>
      <c r="Q141" s="391"/>
      <c r="R141" s="391"/>
      <c r="S141" s="765"/>
      <c r="T141" s="391"/>
      <c r="U141" s="765"/>
      <c r="V141" s="391"/>
      <c r="W141" s="765"/>
      <c r="X141" s="378"/>
      <c r="Y141" s="180"/>
      <c r="Z141" s="180"/>
      <c r="AA141" s="180"/>
      <c r="AB141" s="180"/>
    </row>
    <row r="142" spans="1:28" s="203" customFormat="1" x14ac:dyDescent="0.2">
      <c r="A142" s="636"/>
      <c r="B142" s="389"/>
      <c r="C142" s="392"/>
      <c r="D142" s="392"/>
      <c r="E142" s="392"/>
      <c r="F142" s="392"/>
      <c r="G142" s="392"/>
      <c r="H142" s="392"/>
      <c r="I142" s="766"/>
      <c r="J142" s="392"/>
      <c r="K142" s="392"/>
      <c r="L142" s="392"/>
      <c r="M142" s="392"/>
      <c r="N142" s="392"/>
      <c r="O142" s="766"/>
      <c r="P142" s="392"/>
      <c r="Q142" s="392"/>
      <c r="R142" s="392"/>
      <c r="S142" s="766"/>
      <c r="T142" s="392"/>
      <c r="U142" s="766"/>
      <c r="V142" s="392"/>
      <c r="W142" s="766"/>
      <c r="X142" s="378"/>
      <c r="Y142" s="180"/>
      <c r="Z142" s="180"/>
      <c r="AA142" s="180"/>
      <c r="AB142" s="180"/>
    </row>
    <row r="143" spans="1:28" s="202" customFormat="1" x14ac:dyDescent="0.2">
      <c r="A143" s="636"/>
      <c r="B143" s="639"/>
      <c r="C143" s="466"/>
      <c r="D143" s="466"/>
      <c r="E143" s="466"/>
      <c r="F143" s="466"/>
      <c r="G143" s="466"/>
      <c r="H143" s="466"/>
      <c r="I143" s="767"/>
      <c r="J143" s="466"/>
      <c r="K143" s="466"/>
      <c r="L143" s="466"/>
      <c r="M143" s="466"/>
      <c r="N143" s="466"/>
      <c r="O143" s="767"/>
      <c r="P143" s="466"/>
      <c r="Q143" s="466"/>
      <c r="R143" s="466"/>
      <c r="S143" s="767"/>
      <c r="T143" s="466"/>
      <c r="U143" s="767"/>
      <c r="V143" s="466"/>
      <c r="W143" s="767"/>
      <c r="X143" s="378"/>
      <c r="Y143" s="180"/>
      <c r="Z143" s="180"/>
      <c r="AA143" s="180"/>
      <c r="AB143" s="180"/>
    </row>
    <row r="144" spans="1:28" x14ac:dyDescent="0.2">
      <c r="A144" s="636"/>
      <c r="B144" s="388"/>
      <c r="C144" s="391"/>
      <c r="D144" s="391"/>
      <c r="E144" s="391"/>
      <c r="F144" s="391"/>
      <c r="G144" s="391"/>
      <c r="H144" s="391"/>
      <c r="I144" s="765"/>
      <c r="J144" s="391"/>
      <c r="K144" s="391"/>
      <c r="L144" s="391"/>
      <c r="M144" s="391"/>
      <c r="N144" s="391"/>
      <c r="O144" s="765"/>
      <c r="P144" s="391"/>
      <c r="Q144" s="391"/>
      <c r="R144" s="391"/>
      <c r="S144" s="765"/>
      <c r="T144" s="391"/>
      <c r="U144" s="765"/>
      <c r="V144" s="391"/>
      <c r="W144" s="765"/>
      <c r="X144" s="378"/>
      <c r="Y144" s="180"/>
      <c r="Z144" s="180"/>
      <c r="AA144" s="180"/>
      <c r="AB144" s="180"/>
    </row>
    <row r="145" spans="1:28" s="203" customFormat="1" x14ac:dyDescent="0.2">
      <c r="A145" s="636"/>
      <c r="B145" s="389"/>
      <c r="C145" s="392"/>
      <c r="D145" s="392"/>
      <c r="E145" s="392"/>
      <c r="F145" s="392"/>
      <c r="G145" s="392"/>
      <c r="H145" s="392"/>
      <c r="I145" s="766"/>
      <c r="J145" s="392"/>
      <c r="K145" s="392"/>
      <c r="L145" s="392"/>
      <c r="M145" s="392"/>
      <c r="N145" s="392"/>
      <c r="O145" s="766"/>
      <c r="P145" s="392"/>
      <c r="Q145" s="392"/>
      <c r="R145" s="392"/>
      <c r="S145" s="766"/>
      <c r="T145" s="392"/>
      <c r="U145" s="766"/>
      <c r="V145" s="392"/>
      <c r="W145" s="766"/>
      <c r="X145" s="378"/>
      <c r="Y145" s="180"/>
      <c r="Z145" s="180"/>
      <c r="AA145" s="180"/>
      <c r="AB145" s="180"/>
    </row>
    <row r="146" spans="1:28" s="202" customFormat="1" x14ac:dyDescent="0.2">
      <c r="A146" s="636"/>
      <c r="B146" s="639"/>
      <c r="C146" s="466"/>
      <c r="D146" s="466"/>
      <c r="E146" s="466"/>
      <c r="F146" s="466"/>
      <c r="G146" s="466"/>
      <c r="H146" s="466"/>
      <c r="I146" s="767"/>
      <c r="J146" s="466"/>
      <c r="K146" s="466"/>
      <c r="L146" s="466"/>
      <c r="M146" s="466"/>
      <c r="N146" s="466"/>
      <c r="O146" s="767"/>
      <c r="P146" s="466"/>
      <c r="Q146" s="466"/>
      <c r="R146" s="466"/>
      <c r="S146" s="767"/>
      <c r="T146" s="466"/>
      <c r="U146" s="767"/>
      <c r="V146" s="466"/>
      <c r="W146" s="767"/>
      <c r="X146" s="378"/>
      <c r="Y146" s="180"/>
      <c r="Z146" s="180"/>
      <c r="AA146" s="180"/>
      <c r="AB146" s="180"/>
    </row>
    <row r="147" spans="1:28" x14ac:dyDescent="0.2">
      <c r="A147" s="636"/>
      <c r="B147" s="388"/>
      <c r="C147" s="391"/>
      <c r="D147" s="391"/>
      <c r="E147" s="391"/>
      <c r="F147" s="391"/>
      <c r="G147" s="391"/>
      <c r="H147" s="391"/>
      <c r="I147" s="765"/>
      <c r="J147" s="391"/>
      <c r="K147" s="391"/>
      <c r="L147" s="391"/>
      <c r="M147" s="391"/>
      <c r="N147" s="391"/>
      <c r="O147" s="765"/>
      <c r="P147" s="391"/>
      <c r="Q147" s="391"/>
      <c r="R147" s="391"/>
      <c r="S147" s="765"/>
      <c r="T147" s="391"/>
      <c r="U147" s="765"/>
      <c r="V147" s="391"/>
      <c r="W147" s="765"/>
      <c r="X147" s="378"/>
      <c r="Y147" s="180"/>
      <c r="Z147" s="180"/>
      <c r="AA147" s="180"/>
      <c r="AB147" s="180"/>
    </row>
    <row r="148" spans="1:28" s="203" customFormat="1" x14ac:dyDescent="0.2">
      <c r="A148" s="636"/>
      <c r="B148" s="389"/>
      <c r="C148" s="392"/>
      <c r="D148" s="392"/>
      <c r="E148" s="392"/>
      <c r="F148" s="392"/>
      <c r="G148" s="392"/>
      <c r="H148" s="392"/>
      <c r="I148" s="766"/>
      <c r="J148" s="392"/>
      <c r="K148" s="392"/>
      <c r="L148" s="392"/>
      <c r="M148" s="392"/>
      <c r="N148" s="392"/>
      <c r="O148" s="766"/>
      <c r="P148" s="392"/>
      <c r="Q148" s="392"/>
      <c r="R148" s="392"/>
      <c r="S148" s="766"/>
      <c r="T148" s="392"/>
      <c r="U148" s="766"/>
      <c r="V148" s="392"/>
      <c r="W148" s="766"/>
      <c r="X148" s="378"/>
      <c r="Y148" s="180"/>
      <c r="Z148" s="180"/>
      <c r="AA148" s="180"/>
      <c r="AB148" s="180"/>
    </row>
    <row r="149" spans="1:28" s="202" customFormat="1" x14ac:dyDescent="0.2">
      <c r="A149" s="636"/>
      <c r="B149" s="639"/>
      <c r="C149" s="466"/>
      <c r="D149" s="466"/>
      <c r="E149" s="466"/>
      <c r="F149" s="466"/>
      <c r="G149" s="466"/>
      <c r="H149" s="466"/>
      <c r="I149" s="767"/>
      <c r="J149" s="466"/>
      <c r="K149" s="466"/>
      <c r="L149" s="466"/>
      <c r="M149" s="466"/>
      <c r="N149" s="466"/>
      <c r="O149" s="767"/>
      <c r="P149" s="466"/>
      <c r="Q149" s="466"/>
      <c r="R149" s="466"/>
      <c r="S149" s="767"/>
      <c r="T149" s="466"/>
      <c r="U149" s="767"/>
      <c r="V149" s="466"/>
      <c r="W149" s="767"/>
      <c r="X149" s="378"/>
      <c r="Y149" s="180"/>
      <c r="Z149" s="180"/>
      <c r="AA149" s="180"/>
      <c r="AB149" s="180"/>
    </row>
    <row r="150" spans="1:28" x14ac:dyDescent="0.2">
      <c r="A150" s="636"/>
      <c r="B150" s="388"/>
      <c r="C150" s="391"/>
      <c r="D150" s="391"/>
      <c r="E150" s="391"/>
      <c r="F150" s="391"/>
      <c r="G150" s="391"/>
      <c r="H150" s="391"/>
      <c r="I150" s="765"/>
      <c r="J150" s="391"/>
      <c r="K150" s="391"/>
      <c r="L150" s="391"/>
      <c r="M150" s="391"/>
      <c r="N150" s="391"/>
      <c r="O150" s="765"/>
      <c r="P150" s="391"/>
      <c r="Q150" s="391"/>
      <c r="R150" s="391"/>
      <c r="S150" s="765"/>
      <c r="T150" s="391"/>
      <c r="U150" s="765"/>
      <c r="V150" s="391"/>
      <c r="W150" s="765"/>
      <c r="X150" s="378"/>
      <c r="Y150" s="180"/>
      <c r="Z150" s="180"/>
      <c r="AA150" s="180"/>
      <c r="AB150" s="180"/>
    </row>
    <row r="151" spans="1:28" s="203" customFormat="1" x14ac:dyDescent="0.2">
      <c r="A151" s="636"/>
      <c r="B151" s="389"/>
      <c r="C151" s="392"/>
      <c r="D151" s="392"/>
      <c r="E151" s="392"/>
      <c r="F151" s="392"/>
      <c r="G151" s="392"/>
      <c r="H151" s="392"/>
      <c r="I151" s="766"/>
      <c r="J151" s="392"/>
      <c r="K151" s="392"/>
      <c r="L151" s="392"/>
      <c r="M151" s="392"/>
      <c r="N151" s="392"/>
      <c r="O151" s="766"/>
      <c r="P151" s="392"/>
      <c r="Q151" s="392"/>
      <c r="R151" s="392"/>
      <c r="S151" s="766"/>
      <c r="T151" s="392"/>
      <c r="U151" s="766"/>
      <c r="V151" s="392"/>
      <c r="W151" s="766"/>
      <c r="X151" s="378"/>
      <c r="Y151" s="180"/>
      <c r="Z151" s="180"/>
      <c r="AA151" s="180"/>
      <c r="AB151" s="180"/>
    </row>
    <row r="152" spans="1:28" s="202" customFormat="1" x14ac:dyDescent="0.2">
      <c r="A152" s="636"/>
      <c r="B152" s="639"/>
      <c r="C152" s="466"/>
      <c r="D152" s="466"/>
      <c r="E152" s="466"/>
      <c r="F152" s="466"/>
      <c r="G152" s="466"/>
      <c r="H152" s="466"/>
      <c r="I152" s="767"/>
      <c r="J152" s="466"/>
      <c r="K152" s="466"/>
      <c r="L152" s="466"/>
      <c r="M152" s="466"/>
      <c r="N152" s="466"/>
      <c r="O152" s="767"/>
      <c r="P152" s="466"/>
      <c r="Q152" s="466"/>
      <c r="R152" s="466"/>
      <c r="S152" s="767"/>
      <c r="T152" s="466"/>
      <c r="U152" s="767"/>
      <c r="V152" s="466"/>
      <c r="W152" s="767"/>
      <c r="X152" s="378"/>
      <c r="Y152" s="180"/>
      <c r="Z152" s="180"/>
      <c r="AA152" s="180"/>
      <c r="AB152" s="180"/>
    </row>
    <row r="153" spans="1:28" x14ac:dyDescent="0.2">
      <c r="A153" s="636"/>
      <c r="B153" s="388"/>
      <c r="C153" s="391"/>
      <c r="D153" s="391"/>
      <c r="E153" s="391"/>
      <c r="F153" s="391"/>
      <c r="G153" s="391"/>
      <c r="H153" s="391"/>
      <c r="I153" s="765"/>
      <c r="J153" s="391"/>
      <c r="K153" s="391"/>
      <c r="L153" s="391"/>
      <c r="M153" s="391"/>
      <c r="N153" s="391"/>
      <c r="O153" s="765"/>
      <c r="P153" s="391"/>
      <c r="Q153" s="391"/>
      <c r="R153" s="391"/>
      <c r="S153" s="765"/>
      <c r="T153" s="391"/>
      <c r="U153" s="765"/>
      <c r="V153" s="391"/>
      <c r="W153" s="765"/>
      <c r="X153" s="378"/>
      <c r="Y153" s="180"/>
      <c r="Z153" s="180"/>
      <c r="AA153" s="180"/>
      <c r="AB153" s="180"/>
    </row>
    <row r="154" spans="1:28" s="203" customFormat="1" x14ac:dyDescent="0.2">
      <c r="A154" s="636"/>
      <c r="B154" s="389"/>
      <c r="C154" s="392"/>
      <c r="D154" s="392"/>
      <c r="E154" s="392"/>
      <c r="F154" s="392"/>
      <c r="G154" s="392"/>
      <c r="H154" s="392"/>
      <c r="I154" s="766"/>
      <c r="J154" s="392"/>
      <c r="K154" s="392"/>
      <c r="L154" s="392"/>
      <c r="M154" s="392"/>
      <c r="N154" s="392"/>
      <c r="O154" s="766"/>
      <c r="P154" s="392"/>
      <c r="Q154" s="392"/>
      <c r="R154" s="392"/>
      <c r="S154" s="766"/>
      <c r="T154" s="392"/>
      <c r="U154" s="766"/>
      <c r="V154" s="392"/>
      <c r="W154" s="766"/>
      <c r="X154" s="378"/>
      <c r="Y154" s="180"/>
      <c r="Z154" s="180"/>
      <c r="AA154" s="180"/>
      <c r="AB154" s="180"/>
    </row>
    <row r="155" spans="1:28" s="202" customFormat="1" x14ac:dyDescent="0.2">
      <c r="A155" s="636"/>
      <c r="B155" s="639"/>
      <c r="C155" s="763"/>
      <c r="D155" s="763"/>
      <c r="E155" s="466"/>
      <c r="F155" s="466"/>
      <c r="G155" s="466"/>
      <c r="H155" s="466"/>
      <c r="I155" s="767"/>
      <c r="J155" s="466"/>
      <c r="K155" s="466"/>
      <c r="L155" s="466"/>
      <c r="M155" s="466"/>
      <c r="N155" s="466"/>
      <c r="O155" s="767"/>
      <c r="P155" s="466"/>
      <c r="Q155" s="466"/>
      <c r="R155" s="466"/>
      <c r="S155" s="767"/>
      <c r="T155" s="466"/>
      <c r="U155" s="767"/>
      <c r="V155" s="466"/>
      <c r="W155" s="767"/>
      <c r="X155" s="378"/>
      <c r="Y155" s="180"/>
      <c r="Z155" s="180"/>
      <c r="AA155" s="180"/>
      <c r="AB155" s="180"/>
    </row>
    <row r="156" spans="1:28" x14ac:dyDescent="0.2">
      <c r="A156" s="636"/>
      <c r="B156" s="388"/>
      <c r="C156" s="391"/>
      <c r="D156" s="391"/>
      <c r="E156" s="391"/>
      <c r="F156" s="391"/>
      <c r="G156" s="391"/>
      <c r="H156" s="391"/>
      <c r="I156" s="765"/>
      <c r="J156" s="391"/>
      <c r="K156" s="391"/>
      <c r="L156" s="391"/>
      <c r="M156" s="391"/>
      <c r="N156" s="391"/>
      <c r="O156" s="765"/>
      <c r="P156" s="391"/>
      <c r="Q156" s="391"/>
      <c r="R156" s="391"/>
      <c r="S156" s="765"/>
      <c r="T156" s="391"/>
      <c r="U156" s="765"/>
      <c r="V156" s="391"/>
      <c r="W156" s="765"/>
      <c r="X156" s="378"/>
      <c r="Y156" s="180"/>
      <c r="Z156" s="180"/>
      <c r="AA156" s="180"/>
      <c r="AB156" s="180"/>
    </row>
    <row r="157" spans="1:28" s="203" customFormat="1" x14ac:dyDescent="0.2">
      <c r="A157" s="636"/>
      <c r="B157" s="389"/>
      <c r="C157" s="392"/>
      <c r="D157" s="392"/>
      <c r="E157" s="392"/>
      <c r="F157" s="392"/>
      <c r="G157" s="392"/>
      <c r="H157" s="392"/>
      <c r="I157" s="766"/>
      <c r="J157" s="392"/>
      <c r="K157" s="392"/>
      <c r="L157" s="392"/>
      <c r="M157" s="392"/>
      <c r="N157" s="392"/>
      <c r="O157" s="766"/>
      <c r="P157" s="392"/>
      <c r="Q157" s="392"/>
      <c r="R157" s="392"/>
      <c r="S157" s="766"/>
      <c r="T157" s="392"/>
      <c r="U157" s="766"/>
      <c r="V157" s="392"/>
      <c r="W157" s="766"/>
      <c r="X157" s="378"/>
      <c r="Y157" s="180"/>
      <c r="Z157" s="180"/>
      <c r="AA157" s="180"/>
      <c r="AB157" s="180"/>
    </row>
    <row r="158" spans="1:28" s="202" customFormat="1" x14ac:dyDescent="0.2">
      <c r="A158" s="636"/>
      <c r="B158" s="639"/>
      <c r="C158" s="466"/>
      <c r="D158" s="763"/>
      <c r="E158" s="466"/>
      <c r="F158" s="466"/>
      <c r="G158" s="466"/>
      <c r="H158" s="466"/>
      <c r="I158" s="767"/>
      <c r="J158" s="466"/>
      <c r="K158" s="466"/>
      <c r="L158" s="466"/>
      <c r="M158" s="466"/>
      <c r="N158" s="466"/>
      <c r="O158" s="767"/>
      <c r="P158" s="466"/>
      <c r="Q158" s="466"/>
      <c r="R158" s="466"/>
      <c r="S158" s="767"/>
      <c r="T158" s="466"/>
      <c r="U158" s="767"/>
      <c r="V158" s="466"/>
      <c r="W158" s="767"/>
      <c r="X158" s="378"/>
      <c r="Y158" s="180"/>
      <c r="Z158" s="180"/>
      <c r="AA158" s="180"/>
      <c r="AB158" s="180"/>
    </row>
    <row r="159" spans="1:28" x14ac:dyDescent="0.2">
      <c r="A159" s="636"/>
      <c r="B159" s="388"/>
      <c r="C159" s="391"/>
      <c r="D159" s="391"/>
      <c r="E159" s="391"/>
      <c r="F159" s="391"/>
      <c r="G159" s="391"/>
      <c r="H159" s="391"/>
      <c r="I159" s="765"/>
      <c r="J159" s="391"/>
      <c r="K159" s="391"/>
      <c r="L159" s="391"/>
      <c r="M159" s="391"/>
      <c r="N159" s="391"/>
      <c r="O159" s="765"/>
      <c r="P159" s="391"/>
      <c r="Q159" s="391"/>
      <c r="R159" s="391"/>
      <c r="S159" s="765"/>
      <c r="T159" s="391"/>
      <c r="U159" s="765"/>
      <c r="V159" s="391"/>
      <c r="W159" s="765"/>
      <c r="X159" s="378"/>
      <c r="Y159" s="180"/>
      <c r="Z159" s="180"/>
      <c r="AA159" s="180"/>
      <c r="AB159" s="180"/>
    </row>
    <row r="160" spans="1:28" s="203" customFormat="1" x14ac:dyDescent="0.2">
      <c r="A160" s="636"/>
      <c r="B160" s="389"/>
      <c r="C160" s="392"/>
      <c r="D160" s="392"/>
      <c r="E160" s="392"/>
      <c r="F160" s="392"/>
      <c r="G160" s="392"/>
      <c r="H160" s="392"/>
      <c r="I160" s="766"/>
      <c r="J160" s="392"/>
      <c r="K160" s="392"/>
      <c r="L160" s="392"/>
      <c r="M160" s="392"/>
      <c r="N160" s="392"/>
      <c r="O160" s="766"/>
      <c r="P160" s="392"/>
      <c r="Q160" s="392"/>
      <c r="R160" s="392"/>
      <c r="S160" s="766"/>
      <c r="T160" s="392"/>
      <c r="U160" s="766"/>
      <c r="V160" s="392"/>
      <c r="W160" s="766"/>
      <c r="X160" s="378"/>
      <c r="Y160" s="180"/>
      <c r="Z160" s="180"/>
      <c r="AA160" s="180"/>
      <c r="AB160" s="180"/>
    </row>
    <row r="161" spans="1:28" s="212" customFormat="1" ht="13.5" thickBot="1" x14ac:dyDescent="0.25">
      <c r="A161" s="640"/>
      <c r="B161" s="777"/>
      <c r="C161" s="1512"/>
      <c r="D161" s="1512"/>
      <c r="E161" s="1512"/>
      <c r="F161" s="1512"/>
      <c r="G161" s="778"/>
      <c r="H161" s="1512"/>
      <c r="I161" s="779"/>
      <c r="J161" s="778"/>
      <c r="K161" s="778"/>
      <c r="L161" s="778"/>
      <c r="M161" s="778"/>
      <c r="N161" s="778"/>
      <c r="O161" s="779"/>
      <c r="P161" s="778"/>
      <c r="Q161" s="778"/>
      <c r="R161" s="778"/>
      <c r="S161" s="779"/>
      <c r="T161" s="778"/>
      <c r="U161" s="779"/>
      <c r="V161" s="778"/>
      <c r="W161" s="779"/>
      <c r="X161" s="378"/>
      <c r="Y161" s="180"/>
      <c r="Z161" s="180"/>
      <c r="AA161" s="180"/>
      <c r="AB161" s="180"/>
    </row>
    <row r="162" spans="1:28" ht="13.5" thickTop="1" x14ac:dyDescent="0.2">
      <c r="A162" s="230"/>
      <c r="B162" s="780"/>
      <c r="C162" s="781"/>
      <c r="D162" s="781"/>
      <c r="E162" s="781"/>
      <c r="F162" s="781"/>
      <c r="G162" s="781"/>
      <c r="H162" s="781"/>
      <c r="I162" s="782"/>
      <c r="J162" s="781"/>
      <c r="K162" s="781"/>
      <c r="L162" s="781"/>
      <c r="M162" s="781"/>
      <c r="N162" s="781"/>
      <c r="O162" s="782"/>
      <c r="P162" s="781"/>
      <c r="Q162" s="781"/>
      <c r="R162" s="781"/>
      <c r="S162" s="782"/>
      <c r="T162" s="781"/>
      <c r="U162" s="782"/>
      <c r="V162" s="781"/>
      <c r="W162" s="782"/>
      <c r="X162" s="378"/>
      <c r="Y162" s="180"/>
      <c r="Z162" s="180"/>
      <c r="AA162" s="180"/>
      <c r="AB162" s="180"/>
    </row>
    <row r="163" spans="1:28" s="203" customFormat="1" x14ac:dyDescent="0.2">
      <c r="A163" s="636"/>
      <c r="B163" s="389"/>
      <c r="C163" s="392"/>
      <c r="D163" s="392"/>
      <c r="E163" s="392"/>
      <c r="F163" s="392"/>
      <c r="G163" s="392"/>
      <c r="H163" s="392"/>
      <c r="I163" s="766"/>
      <c r="J163" s="392"/>
      <c r="K163" s="392"/>
      <c r="L163" s="392"/>
      <c r="M163" s="392"/>
      <c r="N163" s="392"/>
      <c r="O163" s="766"/>
      <c r="P163" s="392"/>
      <c r="Q163" s="392"/>
      <c r="R163" s="392"/>
      <c r="S163" s="766"/>
      <c r="T163" s="392"/>
      <c r="U163" s="766"/>
      <c r="V163" s="392"/>
      <c r="W163" s="766"/>
      <c r="X163" s="378"/>
      <c r="Y163" s="180"/>
      <c r="Z163" s="180"/>
      <c r="AA163" s="180"/>
      <c r="AB163" s="180"/>
    </row>
    <row r="164" spans="1:28" s="202" customFormat="1" x14ac:dyDescent="0.2">
      <c r="A164" s="637"/>
      <c r="B164" s="639"/>
      <c r="C164" s="466"/>
      <c r="D164" s="466"/>
      <c r="E164" s="466"/>
      <c r="F164" s="466"/>
      <c r="G164" s="466"/>
      <c r="H164" s="466"/>
      <c r="I164" s="767"/>
      <c r="J164" s="466"/>
      <c r="K164" s="763"/>
      <c r="L164" s="466"/>
      <c r="M164" s="466"/>
      <c r="N164" s="466"/>
      <c r="O164" s="767"/>
      <c r="P164" s="466"/>
      <c r="Q164" s="466"/>
      <c r="R164" s="466"/>
      <c r="S164" s="767"/>
      <c r="T164" s="466"/>
      <c r="U164" s="767"/>
      <c r="V164" s="466"/>
      <c r="W164" s="767"/>
      <c r="X164" s="378"/>
      <c r="Y164" s="180"/>
      <c r="Z164" s="180"/>
      <c r="AA164" s="180"/>
      <c r="AB164" s="180"/>
    </row>
    <row r="165" spans="1:28" x14ac:dyDescent="0.2">
      <c r="A165" s="636"/>
      <c r="B165" s="388"/>
      <c r="C165" s="391"/>
      <c r="D165" s="391"/>
      <c r="E165" s="391"/>
      <c r="F165" s="391"/>
      <c r="G165" s="391"/>
      <c r="H165" s="391"/>
      <c r="I165" s="765"/>
      <c r="J165" s="391"/>
      <c r="K165" s="391"/>
      <c r="L165" s="391"/>
      <c r="M165" s="391"/>
      <c r="N165" s="391"/>
      <c r="O165" s="765"/>
      <c r="P165" s="391"/>
      <c r="Q165" s="391"/>
      <c r="R165" s="391"/>
      <c r="S165" s="765"/>
      <c r="T165" s="391"/>
      <c r="U165" s="765"/>
      <c r="V165" s="391"/>
      <c r="W165" s="765"/>
      <c r="X165" s="378"/>
      <c r="Y165" s="180"/>
      <c r="Z165" s="180"/>
      <c r="AA165" s="180"/>
      <c r="AB165" s="180"/>
    </row>
    <row r="166" spans="1:28" s="203" customFormat="1" x14ac:dyDescent="0.2">
      <c r="A166" s="636"/>
      <c r="B166" s="389"/>
      <c r="C166" s="392"/>
      <c r="D166" s="392"/>
      <c r="E166" s="392"/>
      <c r="F166" s="392"/>
      <c r="G166" s="392"/>
      <c r="H166" s="392"/>
      <c r="I166" s="766"/>
      <c r="J166" s="392"/>
      <c r="K166" s="392"/>
      <c r="L166" s="392"/>
      <c r="M166" s="392"/>
      <c r="N166" s="392"/>
      <c r="O166" s="766"/>
      <c r="P166" s="392"/>
      <c r="Q166" s="392"/>
      <c r="R166" s="392"/>
      <c r="S166" s="766"/>
      <c r="T166" s="392"/>
      <c r="U166" s="766"/>
      <c r="V166" s="392"/>
      <c r="W166" s="766"/>
      <c r="X166" s="378"/>
      <c r="Y166" s="180"/>
      <c r="Z166" s="180"/>
      <c r="AA166" s="180"/>
      <c r="AB166" s="180"/>
    </row>
    <row r="167" spans="1:28" s="202" customFormat="1" x14ac:dyDescent="0.2">
      <c r="A167" s="636"/>
      <c r="B167" s="639"/>
      <c r="C167" s="466"/>
      <c r="D167" s="466"/>
      <c r="E167" s="466"/>
      <c r="F167" s="466"/>
      <c r="G167" s="466"/>
      <c r="H167" s="466"/>
      <c r="I167" s="767"/>
      <c r="J167" s="466"/>
      <c r="K167" s="466"/>
      <c r="L167" s="466"/>
      <c r="M167" s="466"/>
      <c r="N167" s="466"/>
      <c r="O167" s="767"/>
      <c r="P167" s="466"/>
      <c r="Q167" s="466"/>
      <c r="R167" s="466"/>
      <c r="S167" s="767"/>
      <c r="T167" s="466"/>
      <c r="U167" s="767"/>
      <c r="V167" s="763"/>
      <c r="W167" s="767"/>
      <c r="X167" s="378"/>
      <c r="Y167" s="180"/>
      <c r="Z167" s="180"/>
      <c r="AA167" s="180"/>
      <c r="AB167" s="180"/>
    </row>
    <row r="168" spans="1:28" x14ac:dyDescent="0.2">
      <c r="A168" s="636"/>
      <c r="B168" s="388"/>
      <c r="C168" s="391"/>
      <c r="D168" s="391"/>
      <c r="E168" s="391"/>
      <c r="F168" s="391"/>
      <c r="G168" s="391"/>
      <c r="H168" s="391"/>
      <c r="I168" s="765"/>
      <c r="J168" s="391"/>
      <c r="K168" s="391"/>
      <c r="L168" s="391"/>
      <c r="M168" s="391"/>
      <c r="N168" s="391"/>
      <c r="O168" s="765"/>
      <c r="P168" s="391"/>
      <c r="Q168" s="391"/>
      <c r="R168" s="391"/>
      <c r="S168" s="765"/>
      <c r="T168" s="391"/>
      <c r="U168" s="765"/>
      <c r="V168" s="391"/>
      <c r="W168" s="765"/>
      <c r="X168" s="378"/>
      <c r="Y168" s="180"/>
      <c r="Z168" s="180"/>
      <c r="AA168" s="180"/>
      <c r="AB168" s="180"/>
    </row>
    <row r="169" spans="1:28" s="203" customFormat="1" x14ac:dyDescent="0.2">
      <c r="A169" s="636"/>
      <c r="B169" s="389"/>
      <c r="C169" s="392"/>
      <c r="D169" s="392"/>
      <c r="E169" s="392"/>
      <c r="F169" s="392"/>
      <c r="G169" s="392"/>
      <c r="H169" s="392"/>
      <c r="I169" s="766"/>
      <c r="J169" s="392"/>
      <c r="K169" s="392"/>
      <c r="L169" s="392"/>
      <c r="M169" s="392"/>
      <c r="N169" s="392"/>
      <c r="O169" s="766"/>
      <c r="P169" s="392"/>
      <c r="Q169" s="392"/>
      <c r="R169" s="392"/>
      <c r="S169" s="766"/>
      <c r="T169" s="392"/>
      <c r="U169" s="766"/>
      <c r="V169" s="392"/>
      <c r="W169" s="766"/>
      <c r="X169" s="378"/>
      <c r="Y169" s="180"/>
      <c r="Z169" s="180"/>
      <c r="AA169" s="180"/>
      <c r="AB169" s="180"/>
    </row>
    <row r="170" spans="1:28" s="202" customFormat="1" x14ac:dyDescent="0.2">
      <c r="A170" s="636"/>
      <c r="B170" s="639"/>
      <c r="C170" s="466"/>
      <c r="D170" s="466"/>
      <c r="E170" s="466"/>
      <c r="F170" s="466"/>
      <c r="G170" s="466"/>
      <c r="H170" s="466"/>
      <c r="I170" s="767"/>
      <c r="J170" s="466"/>
      <c r="K170" s="466"/>
      <c r="L170" s="466"/>
      <c r="M170" s="466"/>
      <c r="N170" s="466"/>
      <c r="O170" s="767"/>
      <c r="P170" s="466"/>
      <c r="Q170" s="466"/>
      <c r="R170" s="466"/>
      <c r="S170" s="767"/>
      <c r="T170" s="466"/>
      <c r="U170" s="767"/>
      <c r="V170" s="466"/>
      <c r="W170" s="767"/>
      <c r="X170" s="378"/>
      <c r="Y170" s="180"/>
      <c r="Z170" s="180"/>
      <c r="AA170" s="180"/>
      <c r="AB170" s="180"/>
    </row>
    <row r="171" spans="1:28" x14ac:dyDescent="0.2">
      <c r="A171" s="636"/>
      <c r="B171" s="388"/>
      <c r="C171" s="391"/>
      <c r="D171" s="391"/>
      <c r="E171" s="391"/>
      <c r="F171" s="391"/>
      <c r="G171" s="391"/>
      <c r="H171" s="391"/>
      <c r="I171" s="765"/>
      <c r="J171" s="391"/>
      <c r="K171" s="391"/>
      <c r="L171" s="391"/>
      <c r="M171" s="391"/>
      <c r="N171" s="391"/>
      <c r="O171" s="765"/>
      <c r="P171" s="391"/>
      <c r="Q171" s="391"/>
      <c r="R171" s="391"/>
      <c r="S171" s="765"/>
      <c r="T171" s="391"/>
      <c r="U171" s="765"/>
      <c r="V171" s="391"/>
      <c r="W171" s="765"/>
      <c r="X171" s="378"/>
      <c r="Y171" s="180"/>
      <c r="Z171" s="180"/>
      <c r="AA171" s="180"/>
      <c r="AB171" s="180"/>
    </row>
    <row r="172" spans="1:28" s="203" customFormat="1" x14ac:dyDescent="0.2">
      <c r="A172" s="636"/>
      <c r="B172" s="389"/>
      <c r="C172" s="392"/>
      <c r="D172" s="392"/>
      <c r="E172" s="392"/>
      <c r="F172" s="392"/>
      <c r="G172" s="392"/>
      <c r="H172" s="392"/>
      <c r="I172" s="766"/>
      <c r="J172" s="392"/>
      <c r="K172" s="392"/>
      <c r="L172" s="392"/>
      <c r="M172" s="392"/>
      <c r="N172" s="392"/>
      <c r="O172" s="766"/>
      <c r="P172" s="392"/>
      <c r="Q172" s="392"/>
      <c r="R172" s="392"/>
      <c r="S172" s="766"/>
      <c r="T172" s="392"/>
      <c r="U172" s="766"/>
      <c r="V172" s="392"/>
      <c r="W172" s="766"/>
      <c r="X172" s="378"/>
      <c r="Y172" s="180"/>
      <c r="Z172" s="180"/>
      <c r="AA172" s="180"/>
      <c r="AB172" s="180"/>
    </row>
    <row r="173" spans="1:28" s="202" customFormat="1" x14ac:dyDescent="0.2">
      <c r="A173" s="636"/>
      <c r="B173" s="639"/>
      <c r="C173" s="466"/>
      <c r="D173" s="466"/>
      <c r="E173" s="466"/>
      <c r="F173" s="466"/>
      <c r="G173" s="466"/>
      <c r="H173" s="466"/>
      <c r="I173" s="767"/>
      <c r="J173" s="466"/>
      <c r="K173" s="466"/>
      <c r="L173" s="466"/>
      <c r="M173" s="466"/>
      <c r="N173" s="466"/>
      <c r="O173" s="767"/>
      <c r="P173" s="466"/>
      <c r="Q173" s="466"/>
      <c r="R173" s="466"/>
      <c r="S173" s="767"/>
      <c r="T173" s="466"/>
      <c r="U173" s="767"/>
      <c r="V173" s="466"/>
      <c r="W173" s="767"/>
      <c r="X173" s="378"/>
      <c r="Y173" s="180"/>
      <c r="Z173" s="180"/>
      <c r="AA173" s="180"/>
      <c r="AB173" s="180"/>
    </row>
    <row r="174" spans="1:28" x14ac:dyDescent="0.2">
      <c r="A174" s="636"/>
      <c r="B174" s="388"/>
      <c r="C174" s="391"/>
      <c r="D174" s="391"/>
      <c r="E174" s="391"/>
      <c r="F174" s="391"/>
      <c r="G174" s="391"/>
      <c r="H174" s="391"/>
      <c r="I174" s="765"/>
      <c r="J174" s="391"/>
      <c r="K174" s="391"/>
      <c r="L174" s="391"/>
      <c r="M174" s="391"/>
      <c r="N174" s="391"/>
      <c r="O174" s="765"/>
      <c r="P174" s="391"/>
      <c r="Q174" s="391"/>
      <c r="R174" s="391"/>
      <c r="S174" s="765"/>
      <c r="T174" s="391"/>
      <c r="U174" s="765"/>
      <c r="V174" s="391"/>
      <c r="W174" s="765"/>
      <c r="X174" s="378"/>
      <c r="Y174" s="180"/>
      <c r="Z174" s="180"/>
      <c r="AA174" s="180"/>
      <c r="AB174" s="180"/>
    </row>
    <row r="175" spans="1:28" s="203" customFormat="1" x14ac:dyDescent="0.2">
      <c r="A175" s="636"/>
      <c r="B175" s="389"/>
      <c r="C175" s="392"/>
      <c r="D175" s="392"/>
      <c r="E175" s="392"/>
      <c r="F175" s="392"/>
      <c r="G175" s="392"/>
      <c r="H175" s="392"/>
      <c r="I175" s="766"/>
      <c r="J175" s="392"/>
      <c r="K175" s="392"/>
      <c r="L175" s="392"/>
      <c r="M175" s="392"/>
      <c r="N175" s="392"/>
      <c r="O175" s="766"/>
      <c r="P175" s="392"/>
      <c r="Q175" s="392"/>
      <c r="R175" s="392"/>
      <c r="S175" s="766"/>
      <c r="T175" s="392"/>
      <c r="U175" s="766"/>
      <c r="V175" s="392"/>
      <c r="W175" s="766"/>
      <c r="X175" s="378"/>
      <c r="Y175" s="180"/>
      <c r="Z175" s="180"/>
      <c r="AA175" s="180"/>
      <c r="AB175" s="180"/>
    </row>
    <row r="176" spans="1:28" s="202" customFormat="1" x14ac:dyDescent="0.2">
      <c r="A176" s="636"/>
      <c r="B176" s="639"/>
      <c r="C176" s="466"/>
      <c r="D176" s="466"/>
      <c r="E176" s="466"/>
      <c r="F176" s="466"/>
      <c r="G176" s="466"/>
      <c r="H176" s="466"/>
      <c r="I176" s="767"/>
      <c r="J176" s="466"/>
      <c r="K176" s="466"/>
      <c r="L176" s="466"/>
      <c r="M176" s="466"/>
      <c r="N176" s="466"/>
      <c r="O176" s="767"/>
      <c r="P176" s="466"/>
      <c r="Q176" s="466"/>
      <c r="R176" s="466"/>
      <c r="S176" s="767"/>
      <c r="T176" s="466"/>
      <c r="U176" s="767"/>
      <c r="V176" s="466"/>
      <c r="W176" s="767"/>
      <c r="X176" s="378"/>
      <c r="Y176" s="180"/>
      <c r="Z176" s="180"/>
      <c r="AA176" s="180"/>
      <c r="AB176" s="180"/>
    </row>
    <row r="177" spans="1:28" x14ac:dyDescent="0.2">
      <c r="A177" s="636"/>
      <c r="B177" s="768"/>
      <c r="C177" s="765"/>
      <c r="D177" s="765"/>
      <c r="E177" s="765"/>
      <c r="F177" s="765"/>
      <c r="G177" s="765"/>
      <c r="H177" s="765"/>
      <c r="I177" s="765"/>
      <c r="J177" s="765"/>
      <c r="K177" s="765"/>
      <c r="L177" s="765"/>
      <c r="M177" s="765"/>
      <c r="N177" s="765"/>
      <c r="O177" s="765"/>
      <c r="P177" s="765"/>
      <c r="Q177" s="765"/>
      <c r="R177" s="765"/>
      <c r="S177" s="765"/>
      <c r="T177" s="765"/>
      <c r="U177" s="765"/>
      <c r="V177" s="765"/>
      <c r="W177" s="765"/>
      <c r="X177" s="378"/>
      <c r="Y177" s="180"/>
      <c r="Z177" s="180"/>
      <c r="AA177" s="180"/>
      <c r="AB177" s="180"/>
    </row>
    <row r="178" spans="1:28" s="203" customFormat="1" x14ac:dyDescent="0.2">
      <c r="A178" s="636"/>
      <c r="B178" s="769"/>
      <c r="C178" s="766"/>
      <c r="D178" s="766"/>
      <c r="E178" s="766"/>
      <c r="F178" s="766"/>
      <c r="G178" s="766"/>
      <c r="H178" s="766"/>
      <c r="I178" s="766"/>
      <c r="J178" s="766"/>
      <c r="K178" s="766"/>
      <c r="L178" s="766"/>
      <c r="M178" s="766"/>
      <c r="N178" s="766"/>
      <c r="O178" s="766"/>
      <c r="P178" s="766"/>
      <c r="Q178" s="766"/>
      <c r="R178" s="766"/>
      <c r="S178" s="766"/>
      <c r="T178" s="766"/>
      <c r="U178" s="766"/>
      <c r="V178" s="766"/>
      <c r="W178" s="766"/>
      <c r="X178" s="378"/>
      <c r="Y178" s="180"/>
      <c r="Z178" s="180"/>
      <c r="AA178" s="180"/>
      <c r="AB178" s="180"/>
    </row>
    <row r="179" spans="1:28" s="202" customFormat="1" x14ac:dyDescent="0.2">
      <c r="A179" s="636"/>
      <c r="B179" s="770"/>
      <c r="C179" s="767"/>
      <c r="D179" s="767"/>
      <c r="E179" s="767"/>
      <c r="F179" s="767"/>
      <c r="G179" s="767"/>
      <c r="H179" s="767"/>
      <c r="I179" s="767"/>
      <c r="J179" s="767"/>
      <c r="K179" s="767"/>
      <c r="L179" s="767"/>
      <c r="M179" s="767"/>
      <c r="N179" s="767"/>
      <c r="O179" s="767"/>
      <c r="P179" s="767"/>
      <c r="Q179" s="767"/>
      <c r="R179" s="767"/>
      <c r="S179" s="767"/>
      <c r="T179" s="767"/>
      <c r="U179" s="767"/>
      <c r="V179" s="767"/>
      <c r="W179" s="767"/>
      <c r="X179" s="378"/>
      <c r="Y179" s="180"/>
      <c r="Z179" s="180"/>
      <c r="AA179" s="180"/>
      <c r="AB179" s="180"/>
    </row>
    <row r="180" spans="1:28" x14ac:dyDescent="0.2">
      <c r="A180" s="636"/>
      <c r="B180" s="388"/>
      <c r="C180" s="391"/>
      <c r="D180" s="391"/>
      <c r="E180" s="391"/>
      <c r="F180" s="391"/>
      <c r="G180" s="391"/>
      <c r="H180" s="391"/>
      <c r="I180" s="765"/>
      <c r="J180" s="391"/>
      <c r="K180" s="391"/>
      <c r="L180" s="391"/>
      <c r="M180" s="391"/>
      <c r="N180" s="391"/>
      <c r="O180" s="765"/>
      <c r="P180" s="391"/>
      <c r="Q180" s="391"/>
      <c r="R180" s="391"/>
      <c r="S180" s="765"/>
      <c r="T180" s="391"/>
      <c r="U180" s="765"/>
      <c r="V180" s="391"/>
      <c r="W180" s="765"/>
      <c r="X180" s="378"/>
      <c r="Y180" s="180"/>
      <c r="Z180" s="180"/>
      <c r="AA180" s="180"/>
      <c r="AB180" s="180"/>
    </row>
    <row r="181" spans="1:28" s="203" customFormat="1" x14ac:dyDescent="0.2">
      <c r="A181" s="636"/>
      <c r="B181" s="389"/>
      <c r="C181" s="392"/>
      <c r="D181" s="392"/>
      <c r="E181" s="392"/>
      <c r="F181" s="392"/>
      <c r="G181" s="392"/>
      <c r="H181" s="392"/>
      <c r="I181" s="766"/>
      <c r="J181" s="392"/>
      <c r="K181" s="392"/>
      <c r="L181" s="392"/>
      <c r="M181" s="392"/>
      <c r="N181" s="392"/>
      <c r="O181" s="766"/>
      <c r="P181" s="392"/>
      <c r="Q181" s="392"/>
      <c r="R181" s="392"/>
      <c r="S181" s="766"/>
      <c r="T181" s="392"/>
      <c r="U181" s="766"/>
      <c r="V181" s="392"/>
      <c r="W181" s="766"/>
      <c r="X181" s="378"/>
      <c r="Y181" s="180"/>
      <c r="Z181" s="180"/>
      <c r="AA181" s="180"/>
      <c r="AB181" s="180"/>
    </row>
    <row r="182" spans="1:28" s="202" customFormat="1" x14ac:dyDescent="0.2">
      <c r="A182" s="636"/>
      <c r="B182" s="639"/>
      <c r="C182" s="466"/>
      <c r="D182" s="466"/>
      <c r="E182" s="466"/>
      <c r="F182" s="466"/>
      <c r="G182" s="466"/>
      <c r="H182" s="466"/>
      <c r="I182" s="767"/>
      <c r="J182" s="466"/>
      <c r="K182" s="466"/>
      <c r="L182" s="466"/>
      <c r="M182" s="466"/>
      <c r="N182" s="466"/>
      <c r="O182" s="767"/>
      <c r="P182" s="466"/>
      <c r="Q182" s="466"/>
      <c r="R182" s="466"/>
      <c r="S182" s="767"/>
      <c r="T182" s="466"/>
      <c r="U182" s="767"/>
      <c r="V182" s="466"/>
      <c r="W182" s="767"/>
      <c r="X182" s="378"/>
      <c r="Y182" s="180"/>
      <c r="Z182" s="180"/>
      <c r="AA182" s="180"/>
      <c r="AB182" s="180"/>
    </row>
    <row r="183" spans="1:28" x14ac:dyDescent="0.2">
      <c r="A183" s="636"/>
      <c r="B183" s="388"/>
      <c r="C183" s="391"/>
      <c r="D183" s="391"/>
      <c r="E183" s="391"/>
      <c r="F183" s="391"/>
      <c r="G183" s="391"/>
      <c r="H183" s="391"/>
      <c r="I183" s="765"/>
      <c r="J183" s="391"/>
      <c r="K183" s="391"/>
      <c r="L183" s="391"/>
      <c r="M183" s="391"/>
      <c r="N183" s="391"/>
      <c r="O183" s="765"/>
      <c r="P183" s="391"/>
      <c r="Q183" s="391"/>
      <c r="R183" s="391"/>
      <c r="S183" s="765"/>
      <c r="T183" s="391"/>
      <c r="U183" s="765"/>
      <c r="V183" s="391"/>
      <c r="W183" s="765"/>
      <c r="X183" s="378"/>
      <c r="Y183" s="180"/>
      <c r="Z183" s="180"/>
      <c r="AA183" s="180"/>
      <c r="AB183" s="180"/>
    </row>
    <row r="184" spans="1:28" s="203" customFormat="1" x14ac:dyDescent="0.2">
      <c r="A184" s="636"/>
      <c r="B184" s="389"/>
      <c r="C184" s="392"/>
      <c r="D184" s="392"/>
      <c r="E184" s="392"/>
      <c r="F184" s="392"/>
      <c r="G184" s="392"/>
      <c r="H184" s="392"/>
      <c r="I184" s="766"/>
      <c r="J184" s="392"/>
      <c r="K184" s="392"/>
      <c r="L184" s="392"/>
      <c r="M184" s="392"/>
      <c r="N184" s="392"/>
      <c r="O184" s="766"/>
      <c r="P184" s="392"/>
      <c r="Q184" s="392"/>
      <c r="R184" s="392"/>
      <c r="S184" s="766"/>
      <c r="T184" s="392"/>
      <c r="U184" s="766"/>
      <c r="V184" s="392"/>
      <c r="W184" s="766"/>
      <c r="X184" s="378"/>
      <c r="Y184" s="180"/>
      <c r="Z184" s="180"/>
      <c r="AA184" s="180"/>
      <c r="AB184" s="180"/>
    </row>
    <row r="185" spans="1:28" s="202" customFormat="1" x14ac:dyDescent="0.2">
      <c r="A185" s="636"/>
      <c r="B185" s="639"/>
      <c r="C185" s="466"/>
      <c r="D185" s="466"/>
      <c r="E185" s="466"/>
      <c r="F185" s="466"/>
      <c r="G185" s="466"/>
      <c r="H185" s="466"/>
      <c r="I185" s="767"/>
      <c r="J185" s="466"/>
      <c r="K185" s="466"/>
      <c r="L185" s="466"/>
      <c r="M185" s="466"/>
      <c r="N185" s="466"/>
      <c r="O185" s="767"/>
      <c r="P185" s="466"/>
      <c r="Q185" s="466"/>
      <c r="R185" s="466"/>
      <c r="S185" s="767"/>
      <c r="T185" s="466"/>
      <c r="U185" s="767"/>
      <c r="V185" s="466"/>
      <c r="W185" s="767"/>
      <c r="X185" s="378"/>
      <c r="Y185" s="180"/>
      <c r="Z185" s="180"/>
      <c r="AA185" s="180"/>
      <c r="AB185" s="180"/>
    </row>
    <row r="186" spans="1:28" x14ac:dyDescent="0.2">
      <c r="A186" s="636"/>
      <c r="B186" s="388"/>
      <c r="C186" s="391"/>
      <c r="D186" s="391"/>
      <c r="E186" s="391"/>
      <c r="F186" s="391"/>
      <c r="G186" s="391"/>
      <c r="H186" s="391"/>
      <c r="I186" s="765"/>
      <c r="J186" s="391"/>
      <c r="K186" s="391"/>
      <c r="L186" s="391"/>
      <c r="M186" s="391"/>
      <c r="N186" s="391"/>
      <c r="O186" s="765"/>
      <c r="P186" s="391"/>
      <c r="Q186" s="391"/>
      <c r="R186" s="391"/>
      <c r="S186" s="765"/>
      <c r="T186" s="391"/>
      <c r="U186" s="765"/>
      <c r="V186" s="391"/>
      <c r="W186" s="765"/>
      <c r="X186" s="378"/>
      <c r="Y186" s="180"/>
      <c r="Z186" s="180"/>
      <c r="AA186" s="180"/>
      <c r="AB186" s="180"/>
    </row>
    <row r="187" spans="1:28" s="203" customFormat="1" x14ac:dyDescent="0.2">
      <c r="A187" s="636"/>
      <c r="B187" s="389"/>
      <c r="C187" s="392"/>
      <c r="D187" s="392"/>
      <c r="E187" s="392"/>
      <c r="F187" s="392"/>
      <c r="G187" s="392"/>
      <c r="H187" s="392"/>
      <c r="I187" s="766"/>
      <c r="J187" s="392"/>
      <c r="K187" s="392"/>
      <c r="L187" s="392"/>
      <c r="M187" s="392"/>
      <c r="N187" s="392"/>
      <c r="O187" s="766"/>
      <c r="P187" s="392"/>
      <c r="Q187" s="392"/>
      <c r="R187" s="392"/>
      <c r="S187" s="766"/>
      <c r="T187" s="392"/>
      <c r="U187" s="766"/>
      <c r="V187" s="392"/>
      <c r="W187" s="766"/>
      <c r="X187" s="378"/>
      <c r="Y187" s="180"/>
      <c r="Z187" s="180"/>
      <c r="AA187" s="180"/>
      <c r="AB187" s="180"/>
    </row>
    <row r="188" spans="1:28" s="202" customFormat="1" x14ac:dyDescent="0.2">
      <c r="A188" s="636"/>
      <c r="B188" s="639"/>
      <c r="C188" s="466"/>
      <c r="D188" s="466"/>
      <c r="E188" s="466"/>
      <c r="F188" s="466"/>
      <c r="G188" s="466"/>
      <c r="H188" s="466"/>
      <c r="I188" s="767"/>
      <c r="J188" s="466"/>
      <c r="K188" s="466"/>
      <c r="L188" s="466"/>
      <c r="M188" s="466"/>
      <c r="N188" s="466"/>
      <c r="O188" s="767"/>
      <c r="P188" s="466"/>
      <c r="Q188" s="466"/>
      <c r="R188" s="466"/>
      <c r="S188" s="767"/>
      <c r="T188" s="466"/>
      <c r="U188" s="767"/>
      <c r="V188" s="466"/>
      <c r="W188" s="767"/>
      <c r="X188" s="378"/>
      <c r="Y188" s="180"/>
      <c r="Z188" s="180"/>
      <c r="AA188" s="180"/>
      <c r="AB188" s="180"/>
    </row>
    <row r="189" spans="1:28" x14ac:dyDescent="0.2">
      <c r="A189" s="636"/>
      <c r="B189" s="388"/>
      <c r="C189" s="391"/>
      <c r="D189" s="391"/>
      <c r="E189" s="391"/>
      <c r="F189" s="391"/>
      <c r="G189" s="391"/>
      <c r="H189" s="391"/>
      <c r="I189" s="765"/>
      <c r="J189" s="391"/>
      <c r="K189" s="391"/>
      <c r="L189" s="391"/>
      <c r="M189" s="391"/>
      <c r="N189" s="391"/>
      <c r="O189" s="765"/>
      <c r="P189" s="391"/>
      <c r="Q189" s="391"/>
      <c r="R189" s="391"/>
      <c r="S189" s="765"/>
      <c r="T189" s="391"/>
      <c r="U189" s="765"/>
      <c r="V189" s="391"/>
      <c r="W189" s="765"/>
      <c r="X189" s="378"/>
      <c r="Y189" s="180"/>
      <c r="Z189" s="180"/>
      <c r="AA189" s="180"/>
      <c r="AB189" s="180"/>
    </row>
    <row r="190" spans="1:28" s="203" customFormat="1" x14ac:dyDescent="0.2">
      <c r="A190" s="636"/>
      <c r="B190" s="389"/>
      <c r="C190" s="392"/>
      <c r="D190" s="392"/>
      <c r="E190" s="392"/>
      <c r="F190" s="392"/>
      <c r="G190" s="392"/>
      <c r="H190" s="392"/>
      <c r="I190" s="766"/>
      <c r="J190" s="392"/>
      <c r="K190" s="392"/>
      <c r="L190" s="392"/>
      <c r="M190" s="392"/>
      <c r="N190" s="392"/>
      <c r="O190" s="766"/>
      <c r="P190" s="392"/>
      <c r="Q190" s="392"/>
      <c r="R190" s="392"/>
      <c r="S190" s="766"/>
      <c r="T190" s="392"/>
      <c r="U190" s="766"/>
      <c r="V190" s="392"/>
      <c r="W190" s="766"/>
      <c r="X190" s="378"/>
      <c r="Y190" s="180"/>
      <c r="Z190" s="180"/>
      <c r="AA190" s="180"/>
      <c r="AB190" s="180"/>
    </row>
    <row r="191" spans="1:28" s="202" customFormat="1" x14ac:dyDescent="0.2">
      <c r="A191" s="636"/>
      <c r="B191" s="639"/>
      <c r="C191" s="466"/>
      <c r="D191" s="466"/>
      <c r="E191" s="466"/>
      <c r="F191" s="466"/>
      <c r="G191" s="466"/>
      <c r="H191" s="466"/>
      <c r="I191" s="767"/>
      <c r="J191" s="466"/>
      <c r="K191" s="466"/>
      <c r="L191" s="466"/>
      <c r="M191" s="466"/>
      <c r="N191" s="466"/>
      <c r="O191" s="767"/>
      <c r="P191" s="466"/>
      <c r="Q191" s="466"/>
      <c r="R191" s="466"/>
      <c r="S191" s="767"/>
      <c r="T191" s="466"/>
      <c r="U191" s="767"/>
      <c r="V191" s="466"/>
      <c r="W191" s="767"/>
      <c r="X191" s="378"/>
      <c r="Y191" s="180"/>
      <c r="Z191" s="180"/>
      <c r="AA191" s="180"/>
      <c r="AB191" s="180"/>
    </row>
    <row r="192" spans="1:28" x14ac:dyDescent="0.2">
      <c r="A192" s="636"/>
      <c r="B192" s="388"/>
      <c r="C192" s="391"/>
      <c r="D192" s="391"/>
      <c r="E192" s="391"/>
      <c r="F192" s="391"/>
      <c r="G192" s="391"/>
      <c r="H192" s="391"/>
      <c r="I192" s="765"/>
      <c r="J192" s="391"/>
      <c r="K192" s="391"/>
      <c r="L192" s="391"/>
      <c r="M192" s="391"/>
      <c r="N192" s="391"/>
      <c r="O192" s="765"/>
      <c r="P192" s="391"/>
      <c r="Q192" s="391"/>
      <c r="R192" s="391"/>
      <c r="S192" s="765"/>
      <c r="T192" s="391"/>
      <c r="U192" s="765"/>
      <c r="V192" s="391"/>
      <c r="W192" s="765"/>
      <c r="X192" s="378"/>
      <c r="Y192" s="180"/>
      <c r="Z192" s="180"/>
      <c r="AA192" s="180"/>
      <c r="AB192" s="180"/>
    </row>
    <row r="193" spans="1:28" s="203" customFormat="1" x14ac:dyDescent="0.2">
      <c r="A193" s="636"/>
      <c r="B193" s="389"/>
      <c r="C193" s="392"/>
      <c r="D193" s="392"/>
      <c r="E193" s="392"/>
      <c r="F193" s="392"/>
      <c r="G193" s="392"/>
      <c r="H193" s="392"/>
      <c r="I193" s="766"/>
      <c r="J193" s="392"/>
      <c r="K193" s="392"/>
      <c r="L193" s="392"/>
      <c r="M193" s="392"/>
      <c r="N193" s="392"/>
      <c r="O193" s="766"/>
      <c r="P193" s="392"/>
      <c r="Q193" s="392"/>
      <c r="R193" s="392"/>
      <c r="S193" s="766"/>
      <c r="T193" s="392"/>
      <c r="U193" s="766"/>
      <c r="V193" s="392"/>
      <c r="W193" s="766"/>
      <c r="X193" s="378"/>
      <c r="Y193" s="180"/>
      <c r="Z193" s="180"/>
      <c r="AA193" s="180"/>
      <c r="AB193" s="180"/>
    </row>
    <row r="194" spans="1:28" s="202" customFormat="1" x14ac:dyDescent="0.2">
      <c r="A194" s="636"/>
      <c r="B194" s="639"/>
      <c r="C194" s="466"/>
      <c r="D194" s="466"/>
      <c r="E194" s="466"/>
      <c r="F194" s="466"/>
      <c r="G194" s="466"/>
      <c r="H194" s="466"/>
      <c r="I194" s="767"/>
      <c r="J194" s="466"/>
      <c r="K194" s="466"/>
      <c r="L194" s="466"/>
      <c r="M194" s="466"/>
      <c r="N194" s="466"/>
      <c r="O194" s="767"/>
      <c r="P194" s="466"/>
      <c r="Q194" s="466"/>
      <c r="R194" s="466"/>
      <c r="S194" s="767"/>
      <c r="T194" s="466"/>
      <c r="U194" s="767"/>
      <c r="V194" s="466"/>
      <c r="W194" s="767"/>
      <c r="X194" s="378"/>
      <c r="Y194" s="180"/>
      <c r="Z194" s="180"/>
      <c r="AA194" s="180"/>
      <c r="AB194" s="180"/>
    </row>
    <row r="195" spans="1:28" x14ac:dyDescent="0.2">
      <c r="A195" s="636"/>
      <c r="B195" s="388"/>
      <c r="C195" s="391"/>
      <c r="D195" s="391"/>
      <c r="E195" s="391"/>
      <c r="F195" s="391"/>
      <c r="G195" s="391"/>
      <c r="H195" s="391"/>
      <c r="I195" s="765"/>
      <c r="J195" s="391"/>
      <c r="K195" s="391"/>
      <c r="L195" s="391"/>
      <c r="M195" s="391"/>
      <c r="N195" s="391"/>
      <c r="O195" s="765"/>
      <c r="P195" s="391"/>
      <c r="Q195" s="391"/>
      <c r="R195" s="391"/>
      <c r="S195" s="765"/>
      <c r="T195" s="391"/>
      <c r="U195" s="765"/>
      <c r="V195" s="391"/>
      <c r="W195" s="765"/>
      <c r="X195" s="378"/>
      <c r="Y195" s="180"/>
      <c r="Z195" s="180"/>
      <c r="AA195" s="180"/>
      <c r="AB195" s="180"/>
    </row>
    <row r="196" spans="1:28" s="203" customFormat="1" x14ac:dyDescent="0.2">
      <c r="A196" s="636"/>
      <c r="B196" s="389"/>
      <c r="C196" s="392"/>
      <c r="D196" s="392"/>
      <c r="E196" s="392"/>
      <c r="F196" s="392"/>
      <c r="G196" s="392"/>
      <c r="H196" s="392"/>
      <c r="I196" s="766"/>
      <c r="J196" s="392"/>
      <c r="K196" s="392"/>
      <c r="L196" s="392"/>
      <c r="M196" s="392"/>
      <c r="N196" s="392"/>
      <c r="O196" s="766"/>
      <c r="P196" s="392"/>
      <c r="Q196" s="392"/>
      <c r="R196" s="392"/>
      <c r="S196" s="766"/>
      <c r="T196" s="392"/>
      <c r="U196" s="766"/>
      <c r="V196" s="392"/>
      <c r="W196" s="766"/>
      <c r="X196" s="378"/>
      <c r="Y196" s="180"/>
      <c r="Z196" s="180"/>
      <c r="AA196" s="180"/>
      <c r="AB196" s="180"/>
    </row>
    <row r="197" spans="1:28" s="202" customFormat="1" x14ac:dyDescent="0.2">
      <c r="A197" s="636"/>
      <c r="B197" s="639"/>
      <c r="C197" s="466"/>
      <c r="D197" s="466"/>
      <c r="E197" s="466"/>
      <c r="F197" s="466"/>
      <c r="G197" s="466"/>
      <c r="H197" s="466"/>
      <c r="I197" s="767"/>
      <c r="J197" s="466"/>
      <c r="K197" s="466"/>
      <c r="L197" s="466"/>
      <c r="M197" s="466"/>
      <c r="N197" s="466"/>
      <c r="O197" s="767"/>
      <c r="P197" s="466"/>
      <c r="Q197" s="466"/>
      <c r="R197" s="466"/>
      <c r="S197" s="767"/>
      <c r="T197" s="466"/>
      <c r="U197" s="767"/>
      <c r="V197" s="466"/>
      <c r="W197" s="767"/>
      <c r="X197" s="378"/>
      <c r="Y197" s="180"/>
      <c r="Z197" s="180"/>
      <c r="AA197" s="180"/>
      <c r="AB197" s="180"/>
    </row>
    <row r="198" spans="1:28" x14ac:dyDescent="0.2">
      <c r="A198" s="636"/>
      <c r="B198" s="388"/>
      <c r="C198" s="391"/>
      <c r="D198" s="391"/>
      <c r="E198" s="391"/>
      <c r="F198" s="391"/>
      <c r="G198" s="391"/>
      <c r="H198" s="391"/>
      <c r="I198" s="765"/>
      <c r="J198" s="391"/>
      <c r="K198" s="391"/>
      <c r="L198" s="391"/>
      <c r="M198" s="391"/>
      <c r="N198" s="391"/>
      <c r="O198" s="765"/>
      <c r="P198" s="391"/>
      <c r="Q198" s="391"/>
      <c r="R198" s="391"/>
      <c r="S198" s="765"/>
      <c r="T198" s="391"/>
      <c r="U198" s="765"/>
      <c r="V198" s="391"/>
      <c r="W198" s="765"/>
      <c r="X198" s="378"/>
      <c r="Y198" s="180"/>
      <c r="Z198" s="180"/>
      <c r="AA198" s="180"/>
      <c r="AB198" s="180"/>
    </row>
    <row r="199" spans="1:28" s="203" customFormat="1" x14ac:dyDescent="0.2">
      <c r="A199" s="636"/>
      <c r="B199" s="389"/>
      <c r="C199" s="392"/>
      <c r="D199" s="392"/>
      <c r="E199" s="392"/>
      <c r="F199" s="392"/>
      <c r="G199" s="392"/>
      <c r="H199" s="392"/>
      <c r="I199" s="766"/>
      <c r="J199" s="392"/>
      <c r="K199" s="392"/>
      <c r="L199" s="392"/>
      <c r="M199" s="392"/>
      <c r="N199" s="392"/>
      <c r="O199" s="766"/>
      <c r="P199" s="392"/>
      <c r="Q199" s="392"/>
      <c r="R199" s="392"/>
      <c r="S199" s="766"/>
      <c r="T199" s="392"/>
      <c r="U199" s="766"/>
      <c r="V199" s="392"/>
      <c r="W199" s="766"/>
      <c r="X199" s="378"/>
      <c r="Y199" s="180"/>
      <c r="Z199" s="180"/>
      <c r="AA199" s="180"/>
      <c r="AB199" s="180"/>
    </row>
    <row r="200" spans="1:28" s="212" customFormat="1" ht="13.5" thickBot="1" x14ac:dyDescent="0.25">
      <c r="A200" s="640"/>
      <c r="B200" s="777"/>
      <c r="C200" s="778"/>
      <c r="D200" s="778"/>
      <c r="E200" s="778"/>
      <c r="F200" s="778"/>
      <c r="G200" s="778"/>
      <c r="H200" s="778"/>
      <c r="I200" s="779"/>
      <c r="J200" s="778"/>
      <c r="K200" s="778"/>
      <c r="L200" s="778"/>
      <c r="M200" s="778"/>
      <c r="N200" s="778"/>
      <c r="O200" s="779"/>
      <c r="P200" s="778"/>
      <c r="Q200" s="778"/>
      <c r="R200" s="778"/>
      <c r="S200" s="779"/>
      <c r="T200" s="778"/>
      <c r="U200" s="779"/>
      <c r="V200" s="1512"/>
      <c r="W200" s="779"/>
      <c r="X200" s="378"/>
      <c r="Y200" s="180"/>
      <c r="Z200" s="180"/>
      <c r="AA200" s="180"/>
      <c r="AB200" s="180"/>
    </row>
    <row r="201" spans="1:28" ht="13.5" thickTop="1" x14ac:dyDescent="0.2">
      <c r="A201" s="230"/>
      <c r="B201" s="780"/>
      <c r="C201" s="781"/>
      <c r="D201" s="781"/>
      <c r="E201" s="781"/>
      <c r="F201" s="781"/>
      <c r="G201" s="781"/>
      <c r="H201" s="781"/>
      <c r="I201" s="782"/>
      <c r="J201" s="781"/>
      <c r="K201" s="781"/>
      <c r="L201" s="781"/>
      <c r="M201" s="781"/>
      <c r="N201" s="781"/>
      <c r="O201" s="782"/>
      <c r="P201" s="781"/>
      <c r="Q201" s="781"/>
      <c r="R201" s="781"/>
      <c r="S201" s="782"/>
      <c r="T201" s="781"/>
      <c r="U201" s="782"/>
      <c r="V201" s="781"/>
      <c r="W201" s="782"/>
      <c r="X201" s="378"/>
      <c r="Y201" s="180"/>
      <c r="Z201" s="180"/>
      <c r="AA201" s="180"/>
      <c r="AB201" s="180"/>
    </row>
    <row r="202" spans="1:28" s="203" customFormat="1" x14ac:dyDescent="0.2">
      <c r="A202" s="636"/>
      <c r="B202" s="389"/>
      <c r="C202" s="392"/>
      <c r="D202" s="392"/>
      <c r="E202" s="392"/>
      <c r="F202" s="392"/>
      <c r="G202" s="392"/>
      <c r="H202" s="392"/>
      <c r="I202" s="766"/>
      <c r="J202" s="392"/>
      <c r="K202" s="392"/>
      <c r="L202" s="392"/>
      <c r="M202" s="392"/>
      <c r="N202" s="392"/>
      <c r="O202" s="766"/>
      <c r="P202" s="392"/>
      <c r="Q202" s="392"/>
      <c r="R202" s="392"/>
      <c r="S202" s="766"/>
      <c r="T202" s="392"/>
      <c r="U202" s="766"/>
      <c r="V202" s="392"/>
      <c r="W202" s="766"/>
      <c r="X202" s="378"/>
      <c r="Y202" s="180"/>
      <c r="Z202" s="180"/>
      <c r="AA202" s="180"/>
      <c r="AB202" s="180"/>
    </row>
    <row r="203" spans="1:28" s="202" customFormat="1" x14ac:dyDescent="0.2">
      <c r="A203" s="637"/>
      <c r="B203" s="639"/>
      <c r="C203" s="466"/>
      <c r="D203" s="466"/>
      <c r="E203" s="466"/>
      <c r="F203" s="466"/>
      <c r="G203" s="466"/>
      <c r="H203" s="466"/>
      <c r="I203" s="767"/>
      <c r="J203" s="466"/>
      <c r="K203" s="466"/>
      <c r="L203" s="466"/>
      <c r="M203" s="466"/>
      <c r="N203" s="466"/>
      <c r="O203" s="767"/>
      <c r="P203" s="466"/>
      <c r="Q203" s="466"/>
      <c r="R203" s="466"/>
      <c r="S203" s="767"/>
      <c r="T203" s="466"/>
      <c r="U203" s="767"/>
      <c r="V203" s="466"/>
      <c r="W203" s="767"/>
      <c r="X203" s="378"/>
      <c r="Y203" s="180"/>
      <c r="Z203" s="180"/>
      <c r="AA203" s="180"/>
      <c r="AB203" s="180"/>
    </row>
    <row r="204" spans="1:28" x14ac:dyDescent="0.2">
      <c r="A204" s="636"/>
      <c r="B204" s="388"/>
      <c r="C204" s="391"/>
      <c r="D204" s="391"/>
      <c r="E204" s="391"/>
      <c r="F204" s="391"/>
      <c r="G204" s="391"/>
      <c r="H204" s="391"/>
      <c r="I204" s="765"/>
      <c r="J204" s="391"/>
      <c r="K204" s="391"/>
      <c r="L204" s="391"/>
      <c r="M204" s="391"/>
      <c r="N204" s="391"/>
      <c r="O204" s="765"/>
      <c r="P204" s="391"/>
      <c r="Q204" s="391"/>
      <c r="R204" s="391"/>
      <c r="S204" s="765"/>
      <c r="T204" s="391"/>
      <c r="U204" s="765"/>
      <c r="V204" s="391"/>
      <c r="W204" s="765"/>
      <c r="X204" s="378"/>
      <c r="Y204" s="180"/>
      <c r="Z204" s="180"/>
      <c r="AA204" s="180"/>
      <c r="AB204" s="180"/>
    </row>
    <row r="205" spans="1:28" s="203" customFormat="1" x14ac:dyDescent="0.2">
      <c r="A205" s="636"/>
      <c r="B205" s="389"/>
      <c r="C205" s="392"/>
      <c r="D205" s="392"/>
      <c r="E205" s="392"/>
      <c r="F205" s="392"/>
      <c r="G205" s="392"/>
      <c r="H205" s="392"/>
      <c r="I205" s="766"/>
      <c r="J205" s="392"/>
      <c r="K205" s="392"/>
      <c r="L205" s="392"/>
      <c r="M205" s="392"/>
      <c r="N205" s="392"/>
      <c r="O205" s="766"/>
      <c r="P205" s="392"/>
      <c r="Q205" s="392"/>
      <c r="R205" s="392"/>
      <c r="S205" s="766"/>
      <c r="T205" s="392"/>
      <c r="U205" s="766"/>
      <c r="V205" s="392"/>
      <c r="W205" s="766"/>
      <c r="X205" s="378"/>
      <c r="Y205" s="180"/>
      <c r="Z205" s="180"/>
      <c r="AA205" s="180"/>
      <c r="AB205" s="180"/>
    </row>
    <row r="206" spans="1:28" s="202" customFormat="1" x14ac:dyDescent="0.2">
      <c r="A206" s="636"/>
      <c r="B206" s="639"/>
      <c r="C206" s="466"/>
      <c r="D206" s="466"/>
      <c r="E206" s="466"/>
      <c r="F206" s="763"/>
      <c r="G206" s="466"/>
      <c r="H206" s="466"/>
      <c r="I206" s="767"/>
      <c r="J206" s="466"/>
      <c r="K206" s="466"/>
      <c r="L206" s="466"/>
      <c r="M206" s="466"/>
      <c r="N206" s="466"/>
      <c r="O206" s="767"/>
      <c r="P206" s="466"/>
      <c r="Q206" s="466"/>
      <c r="R206" s="466"/>
      <c r="S206" s="767"/>
      <c r="T206" s="466"/>
      <c r="U206" s="767"/>
      <c r="V206" s="466"/>
      <c r="W206" s="767"/>
      <c r="X206" s="378"/>
      <c r="Y206" s="180"/>
      <c r="Z206" s="180"/>
      <c r="AA206" s="180"/>
      <c r="AB206" s="180"/>
    </row>
    <row r="207" spans="1:28" x14ac:dyDescent="0.2">
      <c r="A207" s="636"/>
      <c r="B207" s="388"/>
      <c r="C207" s="391"/>
      <c r="D207" s="391"/>
      <c r="E207" s="391"/>
      <c r="F207" s="391"/>
      <c r="G207" s="391"/>
      <c r="H207" s="391"/>
      <c r="I207" s="765"/>
      <c r="J207" s="391"/>
      <c r="K207" s="391"/>
      <c r="L207" s="391"/>
      <c r="M207" s="391"/>
      <c r="N207" s="391"/>
      <c r="O207" s="765"/>
      <c r="P207" s="391"/>
      <c r="Q207" s="391"/>
      <c r="R207" s="391"/>
      <c r="S207" s="765"/>
      <c r="T207" s="391"/>
      <c r="U207" s="765"/>
      <c r="V207" s="391"/>
      <c r="W207" s="765"/>
      <c r="X207" s="378"/>
      <c r="Y207" s="180"/>
      <c r="Z207" s="180"/>
      <c r="AA207" s="180"/>
      <c r="AB207" s="180"/>
    </row>
    <row r="208" spans="1:28" s="203" customFormat="1" x14ac:dyDescent="0.2">
      <c r="A208" s="636"/>
      <c r="B208" s="389"/>
      <c r="C208" s="392"/>
      <c r="D208" s="392"/>
      <c r="E208" s="392"/>
      <c r="F208" s="392"/>
      <c r="G208" s="392"/>
      <c r="H208" s="392"/>
      <c r="I208" s="766"/>
      <c r="J208" s="392"/>
      <c r="K208" s="392"/>
      <c r="L208" s="392"/>
      <c r="M208" s="392"/>
      <c r="N208" s="392"/>
      <c r="O208" s="766"/>
      <c r="P208" s="392"/>
      <c r="Q208" s="392"/>
      <c r="R208" s="392"/>
      <c r="S208" s="766"/>
      <c r="T208" s="392"/>
      <c r="U208" s="766"/>
      <c r="V208" s="392"/>
      <c r="W208" s="766"/>
      <c r="X208" s="378"/>
      <c r="Y208" s="180"/>
      <c r="Z208" s="180"/>
      <c r="AA208" s="180"/>
      <c r="AB208" s="180"/>
    </row>
    <row r="209" spans="1:28" s="202" customFormat="1" x14ac:dyDescent="0.2">
      <c r="A209" s="636"/>
      <c r="B209" s="639"/>
      <c r="C209" s="466"/>
      <c r="D209" s="466"/>
      <c r="E209" s="466"/>
      <c r="F209" s="466"/>
      <c r="G209" s="466"/>
      <c r="H209" s="466"/>
      <c r="I209" s="767"/>
      <c r="J209" s="466"/>
      <c r="K209" s="466"/>
      <c r="L209" s="466"/>
      <c r="M209" s="466"/>
      <c r="N209" s="466"/>
      <c r="O209" s="767"/>
      <c r="P209" s="466"/>
      <c r="Q209" s="466"/>
      <c r="R209" s="466"/>
      <c r="S209" s="767"/>
      <c r="T209" s="466"/>
      <c r="U209" s="767"/>
      <c r="V209" s="466"/>
      <c r="W209" s="767"/>
      <c r="X209" s="378"/>
      <c r="Y209" s="180"/>
      <c r="Z209" s="180"/>
      <c r="AA209" s="180"/>
      <c r="AB209" s="180"/>
    </row>
    <row r="210" spans="1:28" x14ac:dyDescent="0.2">
      <c r="A210" s="636"/>
      <c r="B210" s="388"/>
      <c r="C210" s="391"/>
      <c r="D210" s="391"/>
      <c r="E210" s="391"/>
      <c r="F210" s="391"/>
      <c r="G210" s="391"/>
      <c r="H210" s="391"/>
      <c r="I210" s="765"/>
      <c r="J210" s="391"/>
      <c r="K210" s="391"/>
      <c r="L210" s="391"/>
      <c r="M210" s="391"/>
      <c r="N210" s="391"/>
      <c r="O210" s="765"/>
      <c r="P210" s="391"/>
      <c r="Q210" s="391"/>
      <c r="R210" s="391"/>
      <c r="S210" s="765"/>
      <c r="T210" s="391"/>
      <c r="U210" s="765"/>
      <c r="V210" s="391"/>
      <c r="W210" s="765"/>
      <c r="X210" s="378"/>
      <c r="Y210" s="180"/>
      <c r="Z210" s="180"/>
      <c r="AA210" s="180"/>
      <c r="AB210" s="180"/>
    </row>
    <row r="211" spans="1:28" s="203" customFormat="1" x14ac:dyDescent="0.2">
      <c r="A211" s="636"/>
      <c r="B211" s="389"/>
      <c r="C211" s="392"/>
      <c r="D211" s="392"/>
      <c r="E211" s="392"/>
      <c r="F211" s="392"/>
      <c r="G211" s="392"/>
      <c r="H211" s="392"/>
      <c r="I211" s="766"/>
      <c r="J211" s="392"/>
      <c r="K211" s="392"/>
      <c r="L211" s="392"/>
      <c r="M211" s="392"/>
      <c r="N211" s="392"/>
      <c r="O211" s="766"/>
      <c r="P211" s="392"/>
      <c r="Q211" s="392"/>
      <c r="R211" s="392"/>
      <c r="S211" s="766"/>
      <c r="T211" s="392"/>
      <c r="U211" s="766"/>
      <c r="V211" s="392"/>
      <c r="W211" s="766"/>
      <c r="X211" s="378"/>
      <c r="Y211" s="180"/>
      <c r="Z211" s="180"/>
      <c r="AA211" s="180"/>
      <c r="AB211" s="180"/>
    </row>
    <row r="212" spans="1:28" s="202" customFormat="1" x14ac:dyDescent="0.2">
      <c r="A212" s="636"/>
      <c r="B212" s="639"/>
      <c r="C212" s="466"/>
      <c r="D212" s="466"/>
      <c r="E212" s="466"/>
      <c r="F212" s="466"/>
      <c r="G212" s="466"/>
      <c r="H212" s="466"/>
      <c r="I212" s="767"/>
      <c r="J212" s="466"/>
      <c r="K212" s="466"/>
      <c r="L212" s="466"/>
      <c r="M212" s="466"/>
      <c r="N212" s="466"/>
      <c r="O212" s="767"/>
      <c r="P212" s="763"/>
      <c r="Q212" s="466"/>
      <c r="R212" s="466"/>
      <c r="S212" s="767"/>
      <c r="T212" s="466"/>
      <c r="U212" s="767"/>
      <c r="V212" s="466"/>
      <c r="W212" s="767"/>
      <c r="X212" s="378"/>
      <c r="Y212" s="180"/>
      <c r="Z212" s="180"/>
      <c r="AA212" s="180"/>
      <c r="AB212" s="180"/>
    </row>
    <row r="213" spans="1:28" x14ac:dyDescent="0.2">
      <c r="A213" s="636"/>
      <c r="B213" s="388"/>
      <c r="C213" s="391"/>
      <c r="D213" s="391"/>
      <c r="E213" s="391"/>
      <c r="F213" s="391"/>
      <c r="G213" s="391"/>
      <c r="H213" s="391"/>
      <c r="I213" s="765"/>
      <c r="J213" s="391"/>
      <c r="K213" s="391"/>
      <c r="L213" s="391"/>
      <c r="M213" s="391"/>
      <c r="N213" s="391"/>
      <c r="O213" s="765"/>
      <c r="P213" s="391"/>
      <c r="Q213" s="391"/>
      <c r="R213" s="391"/>
      <c r="S213" s="765"/>
      <c r="T213" s="391"/>
      <c r="U213" s="765"/>
      <c r="V213" s="391"/>
      <c r="W213" s="765"/>
      <c r="X213" s="378"/>
      <c r="Y213" s="180"/>
      <c r="Z213" s="180"/>
      <c r="AA213" s="180"/>
      <c r="AB213" s="180"/>
    </row>
    <row r="214" spans="1:28" s="203" customFormat="1" x14ac:dyDescent="0.2">
      <c r="A214" s="636"/>
      <c r="B214" s="389"/>
      <c r="C214" s="392"/>
      <c r="D214" s="392"/>
      <c r="E214" s="392"/>
      <c r="F214" s="392"/>
      <c r="G214" s="392"/>
      <c r="H214" s="392"/>
      <c r="I214" s="766"/>
      <c r="J214" s="392"/>
      <c r="K214" s="392"/>
      <c r="L214" s="392"/>
      <c r="M214" s="392"/>
      <c r="N214" s="392"/>
      <c r="O214" s="766"/>
      <c r="P214" s="392"/>
      <c r="Q214" s="392"/>
      <c r="R214" s="392"/>
      <c r="S214" s="766"/>
      <c r="T214" s="392"/>
      <c r="U214" s="766"/>
      <c r="V214" s="392"/>
      <c r="W214" s="766"/>
      <c r="X214" s="378"/>
      <c r="Y214" s="180"/>
      <c r="Z214" s="180"/>
      <c r="AA214" s="180"/>
      <c r="AB214" s="180"/>
    </row>
    <row r="215" spans="1:28" s="202" customFormat="1" x14ac:dyDescent="0.2">
      <c r="A215" s="636"/>
      <c r="B215" s="639"/>
      <c r="C215" s="763"/>
      <c r="D215" s="466"/>
      <c r="E215" s="466"/>
      <c r="F215" s="763"/>
      <c r="G215" s="466"/>
      <c r="H215" s="466"/>
      <c r="I215" s="767"/>
      <c r="J215" s="466"/>
      <c r="K215" s="466"/>
      <c r="L215" s="466"/>
      <c r="M215" s="466"/>
      <c r="N215" s="466"/>
      <c r="O215" s="767"/>
      <c r="P215" s="466"/>
      <c r="Q215" s="466"/>
      <c r="R215" s="466"/>
      <c r="S215" s="767"/>
      <c r="T215" s="466"/>
      <c r="U215" s="767"/>
      <c r="V215" s="466"/>
      <c r="W215" s="767"/>
      <c r="X215" s="378"/>
      <c r="Y215" s="180"/>
      <c r="Z215" s="180"/>
      <c r="AA215" s="180"/>
      <c r="AB215" s="180"/>
    </row>
    <row r="216" spans="1:28" x14ac:dyDescent="0.2">
      <c r="A216" s="636"/>
      <c r="B216" s="768"/>
      <c r="C216" s="765"/>
      <c r="D216" s="765"/>
      <c r="E216" s="765"/>
      <c r="F216" s="765"/>
      <c r="G216" s="765"/>
      <c r="H216" s="765"/>
      <c r="I216" s="765"/>
      <c r="J216" s="765"/>
      <c r="K216" s="765"/>
      <c r="L216" s="765"/>
      <c r="M216" s="765"/>
      <c r="N216" s="765"/>
      <c r="O216" s="765"/>
      <c r="P216" s="765"/>
      <c r="Q216" s="765"/>
      <c r="R216" s="765"/>
      <c r="S216" s="765"/>
      <c r="T216" s="765"/>
      <c r="U216" s="765"/>
      <c r="V216" s="765"/>
      <c r="W216" s="765"/>
      <c r="X216" s="378"/>
      <c r="Y216" s="180"/>
      <c r="Z216" s="180"/>
      <c r="AA216" s="180"/>
      <c r="AB216" s="180"/>
    </row>
    <row r="217" spans="1:28" s="203" customFormat="1" x14ac:dyDescent="0.2">
      <c r="A217" s="636"/>
      <c r="B217" s="769"/>
      <c r="C217" s="766"/>
      <c r="D217" s="766"/>
      <c r="E217" s="766"/>
      <c r="F217" s="766"/>
      <c r="G217" s="766"/>
      <c r="H217" s="766"/>
      <c r="I217" s="766"/>
      <c r="J217" s="766"/>
      <c r="K217" s="766"/>
      <c r="L217" s="766"/>
      <c r="M217" s="766"/>
      <c r="N217" s="766"/>
      <c r="O217" s="766"/>
      <c r="P217" s="766"/>
      <c r="Q217" s="766"/>
      <c r="R217" s="766"/>
      <c r="S217" s="766"/>
      <c r="T217" s="766"/>
      <c r="U217" s="766"/>
      <c r="V217" s="766"/>
      <c r="W217" s="766"/>
      <c r="X217" s="378"/>
      <c r="Y217" s="180"/>
      <c r="Z217" s="180"/>
      <c r="AA217" s="180"/>
      <c r="AB217" s="180"/>
    </row>
    <row r="218" spans="1:28" s="202" customFormat="1" x14ac:dyDescent="0.2">
      <c r="A218" s="636"/>
      <c r="B218" s="770"/>
      <c r="C218" s="767"/>
      <c r="D218" s="767"/>
      <c r="E218" s="767"/>
      <c r="F218" s="767"/>
      <c r="G218" s="767"/>
      <c r="H218" s="767"/>
      <c r="I218" s="767"/>
      <c r="J218" s="767"/>
      <c r="K218" s="767"/>
      <c r="L218" s="767"/>
      <c r="M218" s="767"/>
      <c r="N218" s="767"/>
      <c r="O218" s="767"/>
      <c r="P218" s="767"/>
      <c r="Q218" s="767"/>
      <c r="R218" s="767"/>
      <c r="S218" s="767"/>
      <c r="T218" s="767"/>
      <c r="U218" s="767"/>
      <c r="V218" s="767"/>
      <c r="W218" s="767"/>
      <c r="X218" s="378"/>
      <c r="Y218" s="180"/>
      <c r="Z218" s="180"/>
      <c r="AA218" s="180"/>
      <c r="AB218" s="180"/>
    </row>
    <row r="219" spans="1:28" x14ac:dyDescent="0.2">
      <c r="A219" s="636"/>
      <c r="B219" s="388"/>
      <c r="C219" s="391"/>
      <c r="D219" s="391"/>
      <c r="E219" s="391"/>
      <c r="F219" s="391"/>
      <c r="G219" s="391"/>
      <c r="H219" s="391"/>
      <c r="I219" s="765"/>
      <c r="J219" s="391"/>
      <c r="K219" s="391"/>
      <c r="L219" s="391"/>
      <c r="M219" s="391"/>
      <c r="N219" s="391"/>
      <c r="O219" s="765"/>
      <c r="P219" s="391"/>
      <c r="Q219" s="391"/>
      <c r="R219" s="391"/>
      <c r="S219" s="765"/>
      <c r="T219" s="391"/>
      <c r="U219" s="765"/>
      <c r="V219" s="391"/>
      <c r="W219" s="765"/>
      <c r="X219" s="378"/>
      <c r="Y219" s="180"/>
      <c r="Z219" s="180"/>
      <c r="AA219" s="180"/>
      <c r="AB219" s="180"/>
    </row>
    <row r="220" spans="1:28" s="203" customFormat="1" x14ac:dyDescent="0.2">
      <c r="A220" s="636"/>
      <c r="B220" s="389"/>
      <c r="C220" s="392"/>
      <c r="D220" s="392"/>
      <c r="E220" s="392"/>
      <c r="F220" s="392"/>
      <c r="G220" s="392"/>
      <c r="H220" s="392"/>
      <c r="I220" s="766"/>
      <c r="J220" s="392"/>
      <c r="K220" s="392"/>
      <c r="L220" s="392"/>
      <c r="M220" s="392"/>
      <c r="N220" s="392"/>
      <c r="O220" s="766"/>
      <c r="P220" s="392"/>
      <c r="Q220" s="392"/>
      <c r="R220" s="392"/>
      <c r="S220" s="766"/>
      <c r="T220" s="392"/>
      <c r="U220" s="766"/>
      <c r="V220" s="392"/>
      <c r="W220" s="766"/>
      <c r="X220" s="378"/>
      <c r="Y220" s="180"/>
      <c r="Z220" s="180"/>
      <c r="AA220" s="180"/>
      <c r="AB220" s="180"/>
    </row>
    <row r="221" spans="1:28" s="202" customFormat="1" x14ac:dyDescent="0.2">
      <c r="A221" s="636"/>
      <c r="B221" s="639"/>
      <c r="C221" s="466"/>
      <c r="D221" s="466"/>
      <c r="E221" s="466"/>
      <c r="F221" s="466"/>
      <c r="G221" s="466"/>
      <c r="H221" s="466"/>
      <c r="I221" s="767"/>
      <c r="J221" s="466"/>
      <c r="K221" s="466"/>
      <c r="L221" s="466"/>
      <c r="M221" s="466"/>
      <c r="N221" s="466"/>
      <c r="O221" s="767"/>
      <c r="P221" s="466"/>
      <c r="Q221" s="466"/>
      <c r="R221" s="466"/>
      <c r="S221" s="767"/>
      <c r="T221" s="466"/>
      <c r="U221" s="767"/>
      <c r="V221" s="466"/>
      <c r="W221" s="767"/>
      <c r="X221" s="378"/>
      <c r="Y221" s="180"/>
      <c r="Z221" s="180"/>
      <c r="AA221" s="180"/>
      <c r="AB221" s="180"/>
    </row>
    <row r="222" spans="1:28" x14ac:dyDescent="0.2">
      <c r="A222" s="636"/>
      <c r="B222" s="388"/>
      <c r="C222" s="391"/>
      <c r="D222" s="391"/>
      <c r="E222" s="391"/>
      <c r="F222" s="391"/>
      <c r="G222" s="391"/>
      <c r="H222" s="391"/>
      <c r="I222" s="765"/>
      <c r="J222" s="391"/>
      <c r="K222" s="391"/>
      <c r="L222" s="391"/>
      <c r="M222" s="391"/>
      <c r="N222" s="391"/>
      <c r="O222" s="765"/>
      <c r="P222" s="391"/>
      <c r="Q222" s="391"/>
      <c r="R222" s="391"/>
      <c r="S222" s="765"/>
      <c r="T222" s="391"/>
      <c r="U222" s="765"/>
      <c r="V222" s="391"/>
      <c r="W222" s="765"/>
      <c r="X222" s="378"/>
      <c r="Y222" s="180"/>
      <c r="Z222" s="180"/>
      <c r="AA222" s="180"/>
      <c r="AB222" s="180"/>
    </row>
    <row r="223" spans="1:28" s="203" customFormat="1" x14ac:dyDescent="0.2">
      <c r="A223" s="636"/>
      <c r="B223" s="389"/>
      <c r="C223" s="392"/>
      <c r="D223" s="392"/>
      <c r="E223" s="392"/>
      <c r="F223" s="392"/>
      <c r="G223" s="392"/>
      <c r="H223" s="392"/>
      <c r="I223" s="766"/>
      <c r="J223" s="392"/>
      <c r="K223" s="392"/>
      <c r="L223" s="392"/>
      <c r="M223" s="392"/>
      <c r="N223" s="392"/>
      <c r="O223" s="766"/>
      <c r="P223" s="392"/>
      <c r="Q223" s="392"/>
      <c r="R223" s="392"/>
      <c r="S223" s="766"/>
      <c r="T223" s="392"/>
      <c r="U223" s="766"/>
      <c r="V223" s="392"/>
      <c r="W223" s="766"/>
      <c r="X223" s="378"/>
      <c r="Y223" s="180"/>
      <c r="Z223" s="180"/>
      <c r="AA223" s="180"/>
      <c r="AB223" s="180"/>
    </row>
    <row r="224" spans="1:28" s="202" customFormat="1" x14ac:dyDescent="0.2">
      <c r="A224" s="636"/>
      <c r="B224" s="639"/>
      <c r="C224" s="466"/>
      <c r="D224" s="466"/>
      <c r="E224" s="466"/>
      <c r="F224" s="466"/>
      <c r="G224" s="466"/>
      <c r="H224" s="466"/>
      <c r="I224" s="767"/>
      <c r="J224" s="466"/>
      <c r="K224" s="466"/>
      <c r="L224" s="466"/>
      <c r="M224" s="466"/>
      <c r="N224" s="466"/>
      <c r="O224" s="767"/>
      <c r="P224" s="466"/>
      <c r="Q224" s="466"/>
      <c r="R224" s="466"/>
      <c r="S224" s="767"/>
      <c r="T224" s="466"/>
      <c r="U224" s="767"/>
      <c r="V224" s="466"/>
      <c r="W224" s="767"/>
      <c r="X224" s="378"/>
      <c r="Y224" s="180"/>
      <c r="Z224" s="180"/>
      <c r="AA224" s="180"/>
      <c r="AB224" s="180"/>
    </row>
    <row r="225" spans="1:28" x14ac:dyDescent="0.2">
      <c r="A225" s="636"/>
      <c r="B225" s="388"/>
      <c r="C225" s="391"/>
      <c r="D225" s="391"/>
      <c r="E225" s="391"/>
      <c r="F225" s="391"/>
      <c r="G225" s="391"/>
      <c r="H225" s="391"/>
      <c r="I225" s="765"/>
      <c r="J225" s="391"/>
      <c r="K225" s="391"/>
      <c r="L225" s="391"/>
      <c r="M225" s="391"/>
      <c r="N225" s="391"/>
      <c r="O225" s="765"/>
      <c r="P225" s="391"/>
      <c r="Q225" s="391"/>
      <c r="R225" s="391"/>
      <c r="S225" s="765"/>
      <c r="T225" s="391"/>
      <c r="U225" s="765"/>
      <c r="V225" s="391"/>
      <c r="W225" s="765"/>
      <c r="X225" s="378"/>
      <c r="Y225" s="180"/>
      <c r="Z225" s="180"/>
      <c r="AA225" s="180"/>
      <c r="AB225" s="180"/>
    </row>
    <row r="226" spans="1:28" s="203" customFormat="1" x14ac:dyDescent="0.2">
      <c r="A226" s="636"/>
      <c r="B226" s="389"/>
      <c r="C226" s="392"/>
      <c r="D226" s="392"/>
      <c r="E226" s="392"/>
      <c r="F226" s="392"/>
      <c r="G226" s="392"/>
      <c r="H226" s="392"/>
      <c r="I226" s="766"/>
      <c r="J226" s="392"/>
      <c r="K226" s="392"/>
      <c r="L226" s="392"/>
      <c r="M226" s="392"/>
      <c r="N226" s="392"/>
      <c r="O226" s="766"/>
      <c r="P226" s="392"/>
      <c r="Q226" s="392"/>
      <c r="R226" s="392"/>
      <c r="S226" s="766"/>
      <c r="T226" s="392"/>
      <c r="U226" s="766"/>
      <c r="V226" s="392"/>
      <c r="W226" s="766"/>
      <c r="X226" s="378"/>
      <c r="Y226" s="180"/>
      <c r="Z226" s="180"/>
      <c r="AA226" s="180"/>
      <c r="AB226" s="180"/>
    </row>
    <row r="227" spans="1:28" s="202" customFormat="1" x14ac:dyDescent="0.2">
      <c r="A227" s="636"/>
      <c r="B227" s="639"/>
      <c r="C227" s="466"/>
      <c r="D227" s="466"/>
      <c r="E227" s="466"/>
      <c r="F227" s="466"/>
      <c r="G227" s="466"/>
      <c r="H227" s="466"/>
      <c r="I227" s="767"/>
      <c r="J227" s="466"/>
      <c r="K227" s="466"/>
      <c r="L227" s="466"/>
      <c r="M227" s="466"/>
      <c r="N227" s="466"/>
      <c r="O227" s="767"/>
      <c r="P227" s="466"/>
      <c r="Q227" s="466"/>
      <c r="R227" s="466"/>
      <c r="S227" s="767"/>
      <c r="T227" s="466"/>
      <c r="U227" s="767"/>
      <c r="V227" s="466"/>
      <c r="W227" s="767"/>
      <c r="X227" s="378"/>
      <c r="Y227" s="180"/>
      <c r="Z227" s="180"/>
      <c r="AA227" s="180"/>
      <c r="AB227" s="180"/>
    </row>
    <row r="228" spans="1:28" x14ac:dyDescent="0.2">
      <c r="A228" s="636"/>
      <c r="B228" s="388"/>
      <c r="C228" s="391"/>
      <c r="D228" s="391"/>
      <c r="E228" s="391"/>
      <c r="F228" s="391"/>
      <c r="G228" s="391"/>
      <c r="H228" s="391"/>
      <c r="I228" s="765"/>
      <c r="J228" s="391"/>
      <c r="K228" s="391"/>
      <c r="L228" s="391"/>
      <c r="M228" s="391"/>
      <c r="N228" s="391"/>
      <c r="O228" s="765"/>
      <c r="P228" s="391"/>
      <c r="Q228" s="391"/>
      <c r="R228" s="391"/>
      <c r="S228" s="765"/>
      <c r="T228" s="391"/>
      <c r="U228" s="765"/>
      <c r="V228" s="391"/>
      <c r="W228" s="765"/>
      <c r="X228" s="378"/>
      <c r="Y228" s="180"/>
      <c r="Z228" s="180"/>
      <c r="AA228" s="180"/>
      <c r="AB228" s="180"/>
    </row>
    <row r="229" spans="1:28" s="203" customFormat="1" x14ac:dyDescent="0.2">
      <c r="A229" s="636"/>
      <c r="B229" s="389"/>
      <c r="C229" s="392"/>
      <c r="D229" s="392"/>
      <c r="E229" s="392"/>
      <c r="F229" s="392"/>
      <c r="G229" s="392"/>
      <c r="H229" s="392"/>
      <c r="I229" s="766"/>
      <c r="J229" s="392"/>
      <c r="K229" s="392"/>
      <c r="L229" s="392"/>
      <c r="M229" s="392"/>
      <c r="N229" s="392"/>
      <c r="O229" s="766"/>
      <c r="P229" s="392"/>
      <c r="Q229" s="392"/>
      <c r="R229" s="392"/>
      <c r="S229" s="766"/>
      <c r="T229" s="392"/>
      <c r="U229" s="766"/>
      <c r="V229" s="392"/>
      <c r="W229" s="766"/>
      <c r="X229" s="378"/>
      <c r="Y229" s="180"/>
      <c r="Z229" s="180"/>
      <c r="AA229" s="180"/>
      <c r="AB229" s="180"/>
    </row>
    <row r="230" spans="1:28" s="202" customFormat="1" x14ac:dyDescent="0.2">
      <c r="A230" s="636"/>
      <c r="B230" s="639"/>
      <c r="C230" s="466"/>
      <c r="D230" s="466"/>
      <c r="E230" s="466"/>
      <c r="F230" s="466"/>
      <c r="G230" s="466"/>
      <c r="H230" s="466"/>
      <c r="I230" s="767"/>
      <c r="J230" s="466"/>
      <c r="K230" s="466"/>
      <c r="L230" s="466"/>
      <c r="M230" s="466"/>
      <c r="N230" s="466"/>
      <c r="O230" s="767"/>
      <c r="P230" s="466"/>
      <c r="Q230" s="466"/>
      <c r="R230" s="466"/>
      <c r="S230" s="767"/>
      <c r="T230" s="466"/>
      <c r="U230" s="767"/>
      <c r="V230" s="466"/>
      <c r="W230" s="767"/>
      <c r="X230" s="378"/>
      <c r="Y230" s="180"/>
      <c r="Z230" s="180"/>
      <c r="AA230" s="180"/>
      <c r="AB230" s="180"/>
    </row>
    <row r="231" spans="1:28" x14ac:dyDescent="0.2">
      <c r="A231" s="636"/>
      <c r="B231" s="388"/>
      <c r="C231" s="391"/>
      <c r="D231" s="391"/>
      <c r="E231" s="391"/>
      <c r="F231" s="391"/>
      <c r="G231" s="391"/>
      <c r="H231" s="391"/>
      <c r="I231" s="765"/>
      <c r="J231" s="391"/>
      <c r="K231" s="391"/>
      <c r="L231" s="391"/>
      <c r="M231" s="391"/>
      <c r="N231" s="391"/>
      <c r="O231" s="765"/>
      <c r="P231" s="391"/>
      <c r="Q231" s="391"/>
      <c r="R231" s="391"/>
      <c r="S231" s="765"/>
      <c r="T231" s="391"/>
      <c r="U231" s="765"/>
      <c r="V231" s="391"/>
      <c r="W231" s="765"/>
      <c r="X231" s="378"/>
      <c r="Y231" s="180"/>
      <c r="Z231" s="180"/>
      <c r="AA231" s="180"/>
      <c r="AB231" s="180"/>
    </row>
    <row r="232" spans="1:28" s="203" customFormat="1" x14ac:dyDescent="0.2">
      <c r="A232" s="636"/>
      <c r="B232" s="389"/>
      <c r="C232" s="392"/>
      <c r="D232" s="392"/>
      <c r="E232" s="392"/>
      <c r="F232" s="392"/>
      <c r="G232" s="392"/>
      <c r="H232" s="392"/>
      <c r="I232" s="766"/>
      <c r="J232" s="392"/>
      <c r="K232" s="392"/>
      <c r="L232" s="392"/>
      <c r="M232" s="392"/>
      <c r="N232" s="392"/>
      <c r="O232" s="766"/>
      <c r="P232" s="392"/>
      <c r="Q232" s="392"/>
      <c r="R232" s="392"/>
      <c r="S232" s="766"/>
      <c r="T232" s="392"/>
      <c r="U232" s="766"/>
      <c r="V232" s="392"/>
      <c r="W232" s="766"/>
      <c r="X232" s="378"/>
      <c r="Y232" s="180"/>
      <c r="Z232" s="180"/>
      <c r="AA232" s="180"/>
      <c r="AB232" s="180"/>
    </row>
    <row r="233" spans="1:28" s="202" customFormat="1" x14ac:dyDescent="0.2">
      <c r="A233" s="636"/>
      <c r="B233" s="639"/>
      <c r="C233" s="466"/>
      <c r="D233" s="466"/>
      <c r="E233" s="466"/>
      <c r="F233" s="466"/>
      <c r="G233" s="466"/>
      <c r="H233" s="466"/>
      <c r="I233" s="767"/>
      <c r="J233" s="466"/>
      <c r="K233" s="466"/>
      <c r="L233" s="466"/>
      <c r="M233" s="466"/>
      <c r="N233" s="466"/>
      <c r="O233" s="767"/>
      <c r="P233" s="466"/>
      <c r="Q233" s="466"/>
      <c r="R233" s="466"/>
      <c r="S233" s="767"/>
      <c r="T233" s="466"/>
      <c r="U233" s="767"/>
      <c r="V233" s="466"/>
      <c r="W233" s="767"/>
      <c r="X233" s="378"/>
      <c r="Y233" s="180"/>
      <c r="Z233" s="180"/>
      <c r="AA233" s="180"/>
      <c r="AB233" s="180"/>
    </row>
    <row r="234" spans="1:28" x14ac:dyDescent="0.2">
      <c r="A234" s="636"/>
      <c r="B234" s="388"/>
      <c r="C234" s="391"/>
      <c r="D234" s="391"/>
      <c r="E234" s="391"/>
      <c r="F234" s="391"/>
      <c r="G234" s="391"/>
      <c r="H234" s="391"/>
      <c r="I234" s="765"/>
      <c r="J234" s="391"/>
      <c r="K234" s="391"/>
      <c r="L234" s="391"/>
      <c r="M234" s="391"/>
      <c r="N234" s="391"/>
      <c r="O234" s="765"/>
      <c r="P234" s="391"/>
      <c r="Q234" s="391"/>
      <c r="R234" s="391"/>
      <c r="S234" s="765"/>
      <c r="T234" s="391"/>
      <c r="U234" s="765"/>
      <c r="V234" s="391"/>
      <c r="W234" s="765"/>
      <c r="X234" s="378"/>
      <c r="Y234" s="180"/>
      <c r="Z234" s="180"/>
      <c r="AA234" s="180"/>
      <c r="AB234" s="180"/>
    </row>
    <row r="235" spans="1:28" s="203" customFormat="1" x14ac:dyDescent="0.2">
      <c r="A235" s="636"/>
      <c r="B235" s="389"/>
      <c r="C235" s="392"/>
      <c r="D235" s="392"/>
      <c r="E235" s="392"/>
      <c r="F235" s="392"/>
      <c r="G235" s="392"/>
      <c r="H235" s="392"/>
      <c r="I235" s="766"/>
      <c r="J235" s="392"/>
      <c r="K235" s="392"/>
      <c r="L235" s="392"/>
      <c r="M235" s="392"/>
      <c r="N235" s="392"/>
      <c r="O235" s="766"/>
      <c r="P235" s="392"/>
      <c r="Q235" s="392"/>
      <c r="R235" s="392"/>
      <c r="S235" s="766"/>
      <c r="T235" s="392"/>
      <c r="U235" s="766"/>
      <c r="V235" s="392"/>
      <c r="W235" s="766"/>
      <c r="X235" s="378"/>
      <c r="Y235" s="180"/>
      <c r="Z235" s="180"/>
      <c r="AA235" s="180"/>
      <c r="AB235" s="180"/>
    </row>
    <row r="236" spans="1:28" s="202" customFormat="1" x14ac:dyDescent="0.2">
      <c r="A236" s="636"/>
      <c r="B236" s="639"/>
      <c r="C236" s="763"/>
      <c r="D236" s="466"/>
      <c r="E236" s="466"/>
      <c r="F236" s="466"/>
      <c r="G236" s="466"/>
      <c r="H236" s="466"/>
      <c r="I236" s="767"/>
      <c r="J236" s="466"/>
      <c r="K236" s="466"/>
      <c r="L236" s="466"/>
      <c r="M236" s="466"/>
      <c r="N236" s="466"/>
      <c r="O236" s="767"/>
      <c r="P236" s="466"/>
      <c r="Q236" s="466"/>
      <c r="R236" s="466"/>
      <c r="S236" s="767"/>
      <c r="T236" s="466"/>
      <c r="U236" s="767"/>
      <c r="V236" s="466"/>
      <c r="W236" s="767"/>
      <c r="X236" s="378"/>
      <c r="Y236" s="180"/>
      <c r="Z236" s="180"/>
      <c r="AA236" s="180"/>
      <c r="AB236" s="180"/>
    </row>
    <row r="237" spans="1:28" x14ac:dyDescent="0.2">
      <c r="A237" s="636"/>
      <c r="B237" s="388"/>
      <c r="C237" s="391"/>
      <c r="D237" s="391"/>
      <c r="E237" s="391"/>
      <c r="F237" s="391"/>
      <c r="G237" s="391"/>
      <c r="H237" s="391"/>
      <c r="I237" s="765"/>
      <c r="J237" s="391"/>
      <c r="K237" s="391"/>
      <c r="L237" s="391"/>
      <c r="M237" s="391"/>
      <c r="N237" s="391"/>
      <c r="O237" s="765"/>
      <c r="P237" s="391"/>
      <c r="Q237" s="391"/>
      <c r="R237" s="391"/>
      <c r="S237" s="765"/>
      <c r="T237" s="391"/>
      <c r="U237" s="765"/>
      <c r="V237" s="391"/>
      <c r="W237" s="765"/>
      <c r="X237" s="378"/>
      <c r="Y237" s="180"/>
      <c r="Z237" s="180"/>
      <c r="AA237" s="180"/>
      <c r="AB237" s="180"/>
    </row>
    <row r="238" spans="1:28" s="203" customFormat="1" x14ac:dyDescent="0.2">
      <c r="A238" s="636"/>
      <c r="B238" s="389"/>
      <c r="C238" s="392"/>
      <c r="D238" s="392"/>
      <c r="E238" s="392"/>
      <c r="F238" s="392"/>
      <c r="G238" s="392"/>
      <c r="H238" s="392"/>
      <c r="I238" s="766"/>
      <c r="J238" s="392"/>
      <c r="K238" s="392"/>
      <c r="L238" s="392"/>
      <c r="M238" s="392"/>
      <c r="N238" s="392"/>
      <c r="O238" s="766"/>
      <c r="P238" s="392"/>
      <c r="Q238" s="392"/>
      <c r="R238" s="392"/>
      <c r="S238" s="766"/>
      <c r="T238" s="392"/>
      <c r="U238" s="766"/>
      <c r="V238" s="392"/>
      <c r="W238" s="766"/>
      <c r="X238" s="378"/>
      <c r="Y238" s="180"/>
      <c r="Z238" s="180"/>
      <c r="AA238" s="180"/>
      <c r="AB238" s="180"/>
    </row>
    <row r="239" spans="1:28" s="212" customFormat="1" ht="13.5" thickBot="1" x14ac:dyDescent="0.25">
      <c r="A239" s="640"/>
      <c r="B239" s="777"/>
      <c r="C239" s="778"/>
      <c r="D239" s="778"/>
      <c r="E239" s="778"/>
      <c r="F239" s="778"/>
      <c r="G239" s="778"/>
      <c r="H239" s="778"/>
      <c r="I239" s="779"/>
      <c r="J239" s="778"/>
      <c r="K239" s="778"/>
      <c r="L239" s="778"/>
      <c r="M239" s="778"/>
      <c r="N239" s="778"/>
      <c r="O239" s="779"/>
      <c r="P239" s="778"/>
      <c r="Q239" s="778"/>
      <c r="R239" s="778"/>
      <c r="S239" s="779"/>
      <c r="T239" s="778"/>
      <c r="U239" s="779"/>
      <c r="V239" s="778"/>
      <c r="W239" s="779"/>
      <c r="X239" s="378"/>
      <c r="Y239" s="180"/>
      <c r="Z239" s="180"/>
      <c r="AA239" s="180"/>
      <c r="AB239" s="180"/>
    </row>
    <row r="240" spans="1:28" ht="13.5" thickTop="1" x14ac:dyDescent="0.2">
      <c r="A240" s="230"/>
      <c r="B240" s="780"/>
      <c r="C240" s="781"/>
      <c r="D240" s="781"/>
      <c r="E240" s="781"/>
      <c r="F240" s="781"/>
      <c r="G240" s="781"/>
      <c r="H240" s="781"/>
      <c r="I240" s="782"/>
      <c r="J240" s="781"/>
      <c r="K240" s="781"/>
      <c r="L240" s="781"/>
      <c r="M240" s="781"/>
      <c r="N240" s="781"/>
      <c r="O240" s="782"/>
      <c r="P240" s="781"/>
      <c r="Q240" s="781"/>
      <c r="R240" s="781"/>
      <c r="S240" s="782"/>
      <c r="T240" s="781"/>
      <c r="U240" s="782"/>
      <c r="V240" s="781"/>
      <c r="W240" s="782"/>
      <c r="X240" s="378"/>
      <c r="Y240" s="180"/>
      <c r="Z240" s="180"/>
      <c r="AA240" s="180"/>
      <c r="AB240" s="180"/>
    </row>
    <row r="241" spans="1:28" s="203" customFormat="1" x14ac:dyDescent="0.2">
      <c r="A241" s="636"/>
      <c r="B241" s="389"/>
      <c r="C241" s="392"/>
      <c r="D241" s="392"/>
      <c r="E241" s="392"/>
      <c r="F241" s="392"/>
      <c r="G241" s="392"/>
      <c r="H241" s="392"/>
      <c r="I241" s="766"/>
      <c r="J241" s="392"/>
      <c r="K241" s="392"/>
      <c r="L241" s="392"/>
      <c r="M241" s="392"/>
      <c r="N241" s="392"/>
      <c r="O241" s="766"/>
      <c r="P241" s="392"/>
      <c r="Q241" s="392"/>
      <c r="R241" s="392"/>
      <c r="S241" s="766"/>
      <c r="T241" s="392"/>
      <c r="U241" s="766"/>
      <c r="V241" s="392"/>
      <c r="W241" s="766"/>
      <c r="X241" s="378"/>
      <c r="Y241" s="180"/>
      <c r="Z241" s="180"/>
      <c r="AA241" s="180"/>
      <c r="AB241" s="180"/>
    </row>
    <row r="242" spans="1:28" s="202" customFormat="1" x14ac:dyDescent="0.2">
      <c r="A242" s="637"/>
      <c r="B242" s="639"/>
      <c r="C242" s="763"/>
      <c r="D242" s="763"/>
      <c r="E242" s="763"/>
      <c r="F242" s="763"/>
      <c r="G242" s="466"/>
      <c r="H242" s="763"/>
      <c r="I242" s="767"/>
      <c r="J242" s="466"/>
      <c r="K242" s="466"/>
      <c r="L242" s="466"/>
      <c r="M242" s="466"/>
      <c r="N242" s="466"/>
      <c r="O242" s="767"/>
      <c r="P242" s="763"/>
      <c r="Q242" s="466"/>
      <c r="R242" s="466"/>
      <c r="S242" s="767"/>
      <c r="T242" s="466"/>
      <c r="U242" s="767"/>
      <c r="V242" s="466"/>
      <c r="W242" s="767"/>
      <c r="X242" s="378"/>
      <c r="Y242" s="180"/>
      <c r="Z242" s="180"/>
      <c r="AA242" s="180"/>
      <c r="AB242" s="180"/>
    </row>
    <row r="243" spans="1:28" x14ac:dyDescent="0.2">
      <c r="A243" s="636"/>
      <c r="B243" s="388"/>
      <c r="C243" s="391"/>
      <c r="D243" s="391"/>
      <c r="E243" s="391"/>
      <c r="F243" s="391"/>
      <c r="G243" s="391"/>
      <c r="H243" s="391"/>
      <c r="I243" s="765"/>
      <c r="J243" s="391"/>
      <c r="K243" s="391"/>
      <c r="L243" s="391"/>
      <c r="M243" s="391"/>
      <c r="N243" s="391"/>
      <c r="O243" s="765"/>
      <c r="P243" s="391"/>
      <c r="Q243" s="391"/>
      <c r="R243" s="391"/>
      <c r="S243" s="765"/>
      <c r="T243" s="391"/>
      <c r="U243" s="765"/>
      <c r="V243" s="391"/>
      <c r="W243" s="765"/>
      <c r="X243" s="378"/>
      <c r="Y243" s="180"/>
      <c r="Z243" s="180"/>
      <c r="AA243" s="180"/>
      <c r="AB243" s="180"/>
    </row>
    <row r="244" spans="1:28" s="203" customFormat="1" x14ac:dyDescent="0.2">
      <c r="A244" s="636"/>
      <c r="B244" s="389"/>
      <c r="C244" s="392"/>
      <c r="D244" s="392"/>
      <c r="E244" s="392"/>
      <c r="F244" s="392"/>
      <c r="G244" s="392"/>
      <c r="H244" s="392"/>
      <c r="I244" s="766"/>
      <c r="J244" s="392"/>
      <c r="K244" s="392"/>
      <c r="L244" s="392"/>
      <c r="M244" s="392"/>
      <c r="N244" s="392"/>
      <c r="O244" s="766"/>
      <c r="P244" s="392"/>
      <c r="Q244" s="392"/>
      <c r="R244" s="392"/>
      <c r="S244" s="766"/>
      <c r="T244" s="392"/>
      <c r="U244" s="766"/>
      <c r="V244" s="392"/>
      <c r="W244" s="766"/>
      <c r="X244" s="378"/>
      <c r="Y244" s="180"/>
      <c r="Z244" s="180"/>
      <c r="AA244" s="180"/>
      <c r="AB244" s="180"/>
    </row>
    <row r="245" spans="1:28" s="202" customFormat="1" x14ac:dyDescent="0.2">
      <c r="A245" s="636"/>
      <c r="B245" s="639"/>
      <c r="C245" s="466"/>
      <c r="D245" s="466"/>
      <c r="E245" s="763"/>
      <c r="F245" s="466"/>
      <c r="G245" s="466"/>
      <c r="H245" s="466"/>
      <c r="I245" s="767"/>
      <c r="J245" s="466"/>
      <c r="K245" s="466"/>
      <c r="L245" s="466"/>
      <c r="M245" s="466"/>
      <c r="N245" s="466"/>
      <c r="O245" s="767"/>
      <c r="P245" s="466"/>
      <c r="Q245" s="466"/>
      <c r="R245" s="466"/>
      <c r="S245" s="767"/>
      <c r="T245" s="466"/>
      <c r="U245" s="767"/>
      <c r="V245" s="466"/>
      <c r="W245" s="767"/>
      <c r="X245" s="378"/>
      <c r="Y245" s="180"/>
      <c r="Z245" s="180"/>
      <c r="AA245" s="180"/>
      <c r="AB245" s="180"/>
    </row>
    <row r="246" spans="1:28" x14ac:dyDescent="0.2">
      <c r="A246" s="636"/>
      <c r="B246" s="388"/>
      <c r="C246" s="391"/>
      <c r="D246" s="391"/>
      <c r="E246" s="391"/>
      <c r="F246" s="391"/>
      <c r="G246" s="391"/>
      <c r="H246" s="391"/>
      <c r="I246" s="765"/>
      <c r="J246" s="391"/>
      <c r="K246" s="391"/>
      <c r="L246" s="391"/>
      <c r="M246" s="391"/>
      <c r="N246" s="391"/>
      <c r="O246" s="765"/>
      <c r="P246" s="391"/>
      <c r="Q246" s="391"/>
      <c r="R246" s="391"/>
      <c r="S246" s="765"/>
      <c r="T246" s="391"/>
      <c r="U246" s="765"/>
      <c r="V246" s="391"/>
      <c r="W246" s="765"/>
      <c r="X246" s="378"/>
      <c r="Y246" s="180"/>
      <c r="Z246" s="180"/>
      <c r="AA246" s="180"/>
      <c r="AB246" s="180"/>
    </row>
    <row r="247" spans="1:28" s="203" customFormat="1" x14ac:dyDescent="0.2">
      <c r="A247" s="636"/>
      <c r="B247" s="389"/>
      <c r="C247" s="392"/>
      <c r="D247" s="392"/>
      <c r="E247" s="392"/>
      <c r="F247" s="392"/>
      <c r="G247" s="392"/>
      <c r="H247" s="392"/>
      <c r="I247" s="766"/>
      <c r="J247" s="392"/>
      <c r="K247" s="392"/>
      <c r="L247" s="392"/>
      <c r="M247" s="392"/>
      <c r="N247" s="392"/>
      <c r="O247" s="766"/>
      <c r="P247" s="392"/>
      <c r="Q247" s="392"/>
      <c r="R247" s="392"/>
      <c r="S247" s="766"/>
      <c r="T247" s="392"/>
      <c r="U247" s="766"/>
      <c r="V247" s="392"/>
      <c r="W247" s="766"/>
      <c r="X247" s="378"/>
      <c r="Y247" s="180"/>
      <c r="Z247" s="180"/>
      <c r="AA247" s="180"/>
      <c r="AB247" s="180"/>
    </row>
    <row r="248" spans="1:28" s="202" customFormat="1" x14ac:dyDescent="0.2">
      <c r="A248" s="636"/>
      <c r="B248" s="639"/>
      <c r="C248" s="466"/>
      <c r="D248" s="466"/>
      <c r="E248" s="466"/>
      <c r="F248" s="466"/>
      <c r="G248" s="466"/>
      <c r="H248" s="466"/>
      <c r="I248" s="767"/>
      <c r="J248" s="466"/>
      <c r="K248" s="466"/>
      <c r="L248" s="466"/>
      <c r="M248" s="466"/>
      <c r="N248" s="466"/>
      <c r="O248" s="767"/>
      <c r="P248" s="466"/>
      <c r="Q248" s="466"/>
      <c r="R248" s="466"/>
      <c r="S248" s="767"/>
      <c r="T248" s="466"/>
      <c r="U248" s="767"/>
      <c r="V248" s="466"/>
      <c r="W248" s="767"/>
      <c r="X248" s="378"/>
      <c r="Y248" s="180"/>
      <c r="Z248" s="180"/>
      <c r="AA248" s="180"/>
      <c r="AB248" s="180"/>
    </row>
    <row r="249" spans="1:28" x14ac:dyDescent="0.2">
      <c r="A249" s="636"/>
      <c r="B249" s="388"/>
      <c r="C249" s="391"/>
      <c r="D249" s="391"/>
      <c r="E249" s="391"/>
      <c r="F249" s="391"/>
      <c r="G249" s="391"/>
      <c r="H249" s="391"/>
      <c r="I249" s="765"/>
      <c r="J249" s="391"/>
      <c r="K249" s="391"/>
      <c r="L249" s="391"/>
      <c r="M249" s="391"/>
      <c r="N249" s="391"/>
      <c r="O249" s="765"/>
      <c r="P249" s="391"/>
      <c r="Q249" s="391"/>
      <c r="R249" s="391"/>
      <c r="S249" s="765"/>
      <c r="T249" s="391"/>
      <c r="U249" s="765"/>
      <c r="V249" s="391"/>
      <c r="W249" s="765"/>
      <c r="X249" s="378"/>
      <c r="Y249" s="180"/>
      <c r="Z249" s="180"/>
      <c r="AA249" s="180"/>
      <c r="AB249" s="180"/>
    </row>
    <row r="250" spans="1:28" s="203" customFormat="1" x14ac:dyDescent="0.2">
      <c r="A250" s="636"/>
      <c r="B250" s="389"/>
      <c r="C250" s="392"/>
      <c r="D250" s="392"/>
      <c r="E250" s="392"/>
      <c r="F250" s="392"/>
      <c r="G250" s="392"/>
      <c r="H250" s="392"/>
      <c r="I250" s="766"/>
      <c r="J250" s="392"/>
      <c r="K250" s="392"/>
      <c r="L250" s="392"/>
      <c r="M250" s="392"/>
      <c r="N250" s="392"/>
      <c r="O250" s="766"/>
      <c r="P250" s="392"/>
      <c r="Q250" s="392"/>
      <c r="R250" s="392"/>
      <c r="S250" s="766"/>
      <c r="T250" s="392"/>
      <c r="U250" s="766"/>
      <c r="V250" s="392"/>
      <c r="W250" s="766"/>
      <c r="X250" s="378"/>
      <c r="Y250" s="180"/>
      <c r="Z250" s="180"/>
      <c r="AA250" s="180"/>
      <c r="AB250" s="180"/>
    </row>
    <row r="251" spans="1:28" s="202" customFormat="1" x14ac:dyDescent="0.2">
      <c r="A251" s="636"/>
      <c r="B251" s="639"/>
      <c r="C251" s="763"/>
      <c r="D251" s="466"/>
      <c r="E251" s="466"/>
      <c r="F251" s="466"/>
      <c r="G251" s="466"/>
      <c r="H251" s="466"/>
      <c r="I251" s="767"/>
      <c r="J251" s="466"/>
      <c r="K251" s="466"/>
      <c r="L251" s="466"/>
      <c r="M251" s="466"/>
      <c r="N251" s="466"/>
      <c r="O251" s="767"/>
      <c r="P251" s="466"/>
      <c r="Q251" s="466"/>
      <c r="R251" s="466"/>
      <c r="S251" s="767"/>
      <c r="T251" s="466"/>
      <c r="U251" s="767"/>
      <c r="V251" s="466"/>
      <c r="W251" s="767"/>
      <c r="X251" s="378"/>
      <c r="Y251" s="180"/>
      <c r="Z251" s="180"/>
      <c r="AA251" s="180"/>
      <c r="AB251" s="180"/>
    </row>
    <row r="252" spans="1:28" x14ac:dyDescent="0.2">
      <c r="A252" s="636"/>
      <c r="B252" s="388"/>
      <c r="C252" s="391"/>
      <c r="D252" s="391"/>
      <c r="E252" s="391"/>
      <c r="F252" s="391"/>
      <c r="G252" s="391"/>
      <c r="H252" s="391"/>
      <c r="I252" s="765"/>
      <c r="J252" s="391"/>
      <c r="K252" s="391"/>
      <c r="L252" s="391"/>
      <c r="M252" s="391"/>
      <c r="N252" s="391"/>
      <c r="O252" s="765"/>
      <c r="P252" s="391"/>
      <c r="Q252" s="391"/>
      <c r="R252" s="391"/>
      <c r="S252" s="765"/>
      <c r="T252" s="391"/>
      <c r="U252" s="765"/>
      <c r="V252" s="391"/>
      <c r="W252" s="765"/>
      <c r="X252" s="378"/>
      <c r="Y252" s="180"/>
      <c r="Z252" s="180"/>
      <c r="AA252" s="180"/>
      <c r="AB252" s="180"/>
    </row>
    <row r="253" spans="1:28" s="203" customFormat="1" x14ac:dyDescent="0.2">
      <c r="A253" s="636"/>
      <c r="B253" s="389"/>
      <c r="C253" s="392"/>
      <c r="D253" s="392"/>
      <c r="E253" s="392"/>
      <c r="F253" s="392"/>
      <c r="G253" s="392"/>
      <c r="H253" s="392"/>
      <c r="I253" s="766"/>
      <c r="J253" s="392"/>
      <c r="K253" s="392"/>
      <c r="L253" s="392"/>
      <c r="M253" s="392"/>
      <c r="N253" s="392"/>
      <c r="O253" s="766"/>
      <c r="P253" s="392"/>
      <c r="Q253" s="392"/>
      <c r="R253" s="392"/>
      <c r="S253" s="766"/>
      <c r="T253" s="392"/>
      <c r="U253" s="766"/>
      <c r="V253" s="392"/>
      <c r="W253" s="766"/>
      <c r="X253" s="378"/>
      <c r="Y253" s="180"/>
      <c r="Z253" s="180"/>
      <c r="AA253" s="180"/>
      <c r="AB253" s="180"/>
    </row>
    <row r="254" spans="1:28" s="202" customFormat="1" x14ac:dyDescent="0.2">
      <c r="A254" s="636"/>
      <c r="B254" s="639"/>
      <c r="C254" s="466"/>
      <c r="D254" s="466"/>
      <c r="E254" s="466"/>
      <c r="F254" s="466"/>
      <c r="G254" s="466"/>
      <c r="H254" s="466"/>
      <c r="I254" s="767"/>
      <c r="J254" s="466"/>
      <c r="K254" s="466"/>
      <c r="L254" s="466"/>
      <c r="M254" s="466"/>
      <c r="N254" s="466"/>
      <c r="O254" s="767"/>
      <c r="P254" s="466"/>
      <c r="Q254" s="466"/>
      <c r="R254" s="466"/>
      <c r="S254" s="767"/>
      <c r="T254" s="466"/>
      <c r="U254" s="767"/>
      <c r="V254" s="466"/>
      <c r="W254" s="767"/>
      <c r="X254" s="378"/>
      <c r="Y254" s="180"/>
      <c r="Z254" s="180"/>
      <c r="AA254" s="180"/>
      <c r="AB254" s="180"/>
    </row>
    <row r="255" spans="1:28" x14ac:dyDescent="0.2">
      <c r="A255" s="636"/>
      <c r="B255" s="768"/>
      <c r="C255" s="765"/>
      <c r="D255" s="765"/>
      <c r="E255" s="765"/>
      <c r="F255" s="765"/>
      <c r="G255" s="765"/>
      <c r="H255" s="765"/>
      <c r="I255" s="765"/>
      <c r="J255" s="765"/>
      <c r="K255" s="765"/>
      <c r="L255" s="765"/>
      <c r="M255" s="765"/>
      <c r="N255" s="765"/>
      <c r="O255" s="765"/>
      <c r="P255" s="765"/>
      <c r="Q255" s="765"/>
      <c r="R255" s="765"/>
      <c r="S255" s="765"/>
      <c r="T255" s="765"/>
      <c r="U255" s="765"/>
      <c r="V255" s="765"/>
      <c r="W255" s="765"/>
      <c r="X255" s="378"/>
      <c r="Y255" s="180"/>
      <c r="Z255" s="180"/>
      <c r="AA255" s="180"/>
      <c r="AB255" s="180"/>
    </row>
    <row r="256" spans="1:28" s="203" customFormat="1" x14ac:dyDescent="0.2">
      <c r="A256" s="636"/>
      <c r="B256" s="769"/>
      <c r="C256" s="766"/>
      <c r="D256" s="766"/>
      <c r="E256" s="766"/>
      <c r="F256" s="766"/>
      <c r="G256" s="766"/>
      <c r="H256" s="766"/>
      <c r="I256" s="766"/>
      <c r="J256" s="766"/>
      <c r="K256" s="766"/>
      <c r="L256" s="766"/>
      <c r="M256" s="766"/>
      <c r="N256" s="766"/>
      <c r="O256" s="766"/>
      <c r="P256" s="766"/>
      <c r="Q256" s="766"/>
      <c r="R256" s="766"/>
      <c r="S256" s="766"/>
      <c r="T256" s="766"/>
      <c r="U256" s="766"/>
      <c r="V256" s="766"/>
      <c r="W256" s="766"/>
      <c r="X256" s="378"/>
      <c r="Y256" s="180"/>
      <c r="Z256" s="180"/>
      <c r="AA256" s="180"/>
      <c r="AB256" s="180"/>
    </row>
    <row r="257" spans="1:28" s="202" customFormat="1" x14ac:dyDescent="0.2">
      <c r="A257" s="636"/>
      <c r="B257" s="770"/>
      <c r="C257" s="767"/>
      <c r="D257" s="767"/>
      <c r="E257" s="767"/>
      <c r="F257" s="767"/>
      <c r="G257" s="767"/>
      <c r="H257" s="767"/>
      <c r="I257" s="767"/>
      <c r="J257" s="767"/>
      <c r="K257" s="767"/>
      <c r="L257" s="767"/>
      <c r="M257" s="767"/>
      <c r="N257" s="767"/>
      <c r="O257" s="767"/>
      <c r="P257" s="767"/>
      <c r="Q257" s="767"/>
      <c r="R257" s="767"/>
      <c r="S257" s="767"/>
      <c r="T257" s="767"/>
      <c r="U257" s="767"/>
      <c r="V257" s="767"/>
      <c r="W257" s="767"/>
      <c r="X257" s="378"/>
      <c r="Y257" s="180"/>
      <c r="Z257" s="180"/>
      <c r="AA257" s="180"/>
      <c r="AB257" s="180"/>
    </row>
    <row r="258" spans="1:28" x14ac:dyDescent="0.2">
      <c r="A258" s="636"/>
      <c r="B258" s="388"/>
      <c r="C258" s="391"/>
      <c r="D258" s="391"/>
      <c r="E258" s="391"/>
      <c r="F258" s="391"/>
      <c r="G258" s="391"/>
      <c r="H258" s="391"/>
      <c r="I258" s="765"/>
      <c r="J258" s="391"/>
      <c r="K258" s="391"/>
      <c r="L258" s="391"/>
      <c r="M258" s="391"/>
      <c r="N258" s="391"/>
      <c r="O258" s="765"/>
      <c r="P258" s="391"/>
      <c r="Q258" s="391"/>
      <c r="R258" s="391"/>
      <c r="S258" s="765"/>
      <c r="T258" s="391"/>
      <c r="U258" s="765"/>
      <c r="V258" s="391"/>
      <c r="W258" s="765"/>
      <c r="X258" s="378"/>
      <c r="Y258" s="180"/>
      <c r="Z258" s="180"/>
      <c r="AA258" s="180"/>
      <c r="AB258" s="180"/>
    </row>
    <row r="259" spans="1:28" s="203" customFormat="1" x14ac:dyDescent="0.2">
      <c r="A259" s="636"/>
      <c r="B259" s="389"/>
      <c r="C259" s="392"/>
      <c r="D259" s="392"/>
      <c r="E259" s="392"/>
      <c r="F259" s="392"/>
      <c r="G259" s="392"/>
      <c r="H259" s="392"/>
      <c r="I259" s="766"/>
      <c r="J259" s="392"/>
      <c r="K259" s="392"/>
      <c r="L259" s="392"/>
      <c r="M259" s="392"/>
      <c r="N259" s="392"/>
      <c r="O259" s="766"/>
      <c r="P259" s="392"/>
      <c r="Q259" s="392"/>
      <c r="R259" s="392"/>
      <c r="S259" s="766"/>
      <c r="T259" s="392"/>
      <c r="U259" s="766"/>
      <c r="V259" s="392"/>
      <c r="W259" s="766"/>
      <c r="X259" s="378"/>
      <c r="Y259" s="180"/>
      <c r="Z259" s="180"/>
      <c r="AA259" s="180"/>
      <c r="AB259" s="180"/>
    </row>
    <row r="260" spans="1:28" s="202" customFormat="1" x14ac:dyDescent="0.2">
      <c r="A260" s="636"/>
      <c r="B260" s="639"/>
      <c r="C260" s="466"/>
      <c r="D260" s="466"/>
      <c r="E260" s="466"/>
      <c r="F260" s="466"/>
      <c r="G260" s="466"/>
      <c r="H260" s="466"/>
      <c r="I260" s="767"/>
      <c r="J260" s="466"/>
      <c r="K260" s="466"/>
      <c r="L260" s="466"/>
      <c r="M260" s="466"/>
      <c r="N260" s="466"/>
      <c r="O260" s="767"/>
      <c r="P260" s="466"/>
      <c r="Q260" s="466"/>
      <c r="R260" s="466"/>
      <c r="S260" s="767"/>
      <c r="T260" s="466"/>
      <c r="U260" s="767"/>
      <c r="V260" s="763"/>
      <c r="W260" s="767"/>
      <c r="X260" s="378"/>
      <c r="Y260" s="180"/>
      <c r="Z260" s="180"/>
      <c r="AA260" s="180"/>
      <c r="AB260" s="180"/>
    </row>
    <row r="261" spans="1:28" x14ac:dyDescent="0.2">
      <c r="A261" s="636"/>
      <c r="B261" s="388"/>
      <c r="C261" s="391"/>
      <c r="D261" s="391"/>
      <c r="E261" s="391"/>
      <c r="F261" s="391"/>
      <c r="G261" s="391"/>
      <c r="H261" s="391"/>
      <c r="I261" s="765"/>
      <c r="J261" s="391"/>
      <c r="K261" s="391"/>
      <c r="L261" s="391"/>
      <c r="M261" s="391"/>
      <c r="N261" s="391"/>
      <c r="O261" s="765"/>
      <c r="P261" s="391"/>
      <c r="Q261" s="391"/>
      <c r="R261" s="391"/>
      <c r="S261" s="765"/>
      <c r="T261" s="391"/>
      <c r="U261" s="765"/>
      <c r="V261" s="391"/>
      <c r="W261" s="765"/>
      <c r="X261" s="378"/>
      <c r="Y261" s="180"/>
      <c r="Z261" s="180"/>
      <c r="AA261" s="180"/>
      <c r="AB261" s="180"/>
    </row>
    <row r="262" spans="1:28" s="203" customFormat="1" x14ac:dyDescent="0.2">
      <c r="A262" s="636"/>
      <c r="B262" s="389"/>
      <c r="C262" s="392"/>
      <c r="D262" s="392"/>
      <c r="E262" s="392"/>
      <c r="F262" s="392"/>
      <c r="G262" s="392"/>
      <c r="H262" s="392"/>
      <c r="I262" s="766"/>
      <c r="J262" s="392"/>
      <c r="K262" s="392"/>
      <c r="L262" s="392"/>
      <c r="M262" s="392"/>
      <c r="N262" s="392"/>
      <c r="O262" s="766"/>
      <c r="P262" s="392"/>
      <c r="Q262" s="392"/>
      <c r="R262" s="392"/>
      <c r="S262" s="766"/>
      <c r="T262" s="392"/>
      <c r="U262" s="766"/>
      <c r="V262" s="392"/>
      <c r="W262" s="766"/>
      <c r="X262" s="378"/>
      <c r="Y262" s="180"/>
      <c r="Z262" s="180"/>
      <c r="AA262" s="180"/>
      <c r="AB262" s="180"/>
    </row>
    <row r="263" spans="1:28" s="202" customFormat="1" x14ac:dyDescent="0.2">
      <c r="A263" s="636"/>
      <c r="B263" s="639"/>
      <c r="C263" s="466"/>
      <c r="D263" s="466"/>
      <c r="E263" s="466"/>
      <c r="F263" s="466"/>
      <c r="G263" s="466"/>
      <c r="H263" s="466"/>
      <c r="I263" s="767"/>
      <c r="J263" s="466"/>
      <c r="K263" s="466"/>
      <c r="L263" s="466"/>
      <c r="M263" s="466"/>
      <c r="N263" s="466"/>
      <c r="O263" s="767"/>
      <c r="P263" s="466"/>
      <c r="Q263" s="466"/>
      <c r="R263" s="466"/>
      <c r="S263" s="767"/>
      <c r="T263" s="466"/>
      <c r="U263" s="767"/>
      <c r="V263" s="466"/>
      <c r="W263" s="767"/>
      <c r="X263" s="378"/>
      <c r="Y263" s="180"/>
      <c r="Z263" s="180"/>
      <c r="AA263" s="180"/>
      <c r="AB263" s="180"/>
    </row>
    <row r="264" spans="1:28" x14ac:dyDescent="0.2">
      <c r="A264" s="636"/>
      <c r="B264" s="388"/>
      <c r="C264" s="391"/>
      <c r="D264" s="391"/>
      <c r="E264" s="391"/>
      <c r="F264" s="391"/>
      <c r="G264" s="391"/>
      <c r="H264" s="391"/>
      <c r="I264" s="765"/>
      <c r="J264" s="391"/>
      <c r="K264" s="391"/>
      <c r="L264" s="391"/>
      <c r="M264" s="391"/>
      <c r="N264" s="391"/>
      <c r="O264" s="765"/>
      <c r="P264" s="391"/>
      <c r="Q264" s="391"/>
      <c r="R264" s="391"/>
      <c r="S264" s="765"/>
      <c r="T264" s="391"/>
      <c r="U264" s="765"/>
      <c r="V264" s="391"/>
      <c r="W264" s="765"/>
      <c r="X264" s="378"/>
      <c r="Y264" s="180"/>
      <c r="Z264" s="180"/>
      <c r="AA264" s="180"/>
      <c r="AB264" s="180"/>
    </row>
    <row r="265" spans="1:28" s="203" customFormat="1" x14ac:dyDescent="0.2">
      <c r="A265" s="636"/>
      <c r="B265" s="389"/>
      <c r="C265" s="392"/>
      <c r="D265" s="392"/>
      <c r="E265" s="392"/>
      <c r="F265" s="392"/>
      <c r="G265" s="392"/>
      <c r="H265" s="392"/>
      <c r="I265" s="766"/>
      <c r="J265" s="392"/>
      <c r="K265" s="392"/>
      <c r="L265" s="392"/>
      <c r="M265" s="392"/>
      <c r="N265" s="392"/>
      <c r="O265" s="766"/>
      <c r="P265" s="392"/>
      <c r="Q265" s="392"/>
      <c r="R265" s="392"/>
      <c r="S265" s="766"/>
      <c r="T265" s="392"/>
      <c r="U265" s="766"/>
      <c r="V265" s="392"/>
      <c r="W265" s="766"/>
      <c r="X265" s="378"/>
      <c r="Y265" s="180"/>
      <c r="Z265" s="180"/>
      <c r="AA265" s="180"/>
      <c r="AB265" s="180"/>
    </row>
    <row r="266" spans="1:28" s="202" customFormat="1" x14ac:dyDescent="0.2">
      <c r="A266" s="636"/>
      <c r="B266" s="639"/>
      <c r="C266" s="466"/>
      <c r="D266" s="466"/>
      <c r="E266" s="466"/>
      <c r="F266" s="466"/>
      <c r="G266" s="466"/>
      <c r="H266" s="466"/>
      <c r="I266" s="767"/>
      <c r="J266" s="466"/>
      <c r="K266" s="466"/>
      <c r="L266" s="466"/>
      <c r="M266" s="466"/>
      <c r="N266" s="466"/>
      <c r="O266" s="767"/>
      <c r="P266" s="466"/>
      <c r="Q266" s="466"/>
      <c r="R266" s="466"/>
      <c r="S266" s="767"/>
      <c r="T266" s="466"/>
      <c r="U266" s="767"/>
      <c r="V266" s="466"/>
      <c r="W266" s="767"/>
      <c r="X266" s="378"/>
      <c r="Y266" s="180"/>
      <c r="Z266" s="180"/>
      <c r="AA266" s="180"/>
      <c r="AB266" s="180"/>
    </row>
    <row r="267" spans="1:28" x14ac:dyDescent="0.2">
      <c r="A267" s="636"/>
      <c r="B267" s="388"/>
      <c r="C267" s="391"/>
      <c r="D267" s="391"/>
      <c r="E267" s="391"/>
      <c r="F267" s="391"/>
      <c r="G267" s="391"/>
      <c r="H267" s="391"/>
      <c r="I267" s="765"/>
      <c r="J267" s="391"/>
      <c r="K267" s="391"/>
      <c r="L267" s="391"/>
      <c r="M267" s="391"/>
      <c r="N267" s="391"/>
      <c r="O267" s="765"/>
      <c r="P267" s="391"/>
      <c r="Q267" s="391"/>
      <c r="R267" s="391"/>
      <c r="S267" s="765"/>
      <c r="T267" s="391"/>
      <c r="U267" s="765"/>
      <c r="V267" s="391"/>
      <c r="W267" s="765"/>
      <c r="X267" s="378"/>
      <c r="Y267" s="180"/>
      <c r="Z267" s="180"/>
      <c r="AA267" s="180"/>
      <c r="AB267" s="180"/>
    </row>
    <row r="268" spans="1:28" s="203" customFormat="1" x14ac:dyDescent="0.2">
      <c r="A268" s="636"/>
      <c r="B268" s="389"/>
      <c r="C268" s="392"/>
      <c r="D268" s="392"/>
      <c r="E268" s="392"/>
      <c r="F268" s="392"/>
      <c r="G268" s="392"/>
      <c r="H268" s="392"/>
      <c r="I268" s="766"/>
      <c r="J268" s="392"/>
      <c r="K268" s="392"/>
      <c r="L268" s="392"/>
      <c r="M268" s="392"/>
      <c r="N268" s="392"/>
      <c r="O268" s="766"/>
      <c r="P268" s="392"/>
      <c r="Q268" s="392"/>
      <c r="R268" s="392"/>
      <c r="S268" s="766"/>
      <c r="T268" s="392"/>
      <c r="U268" s="766"/>
      <c r="V268" s="392"/>
      <c r="W268" s="766"/>
      <c r="X268" s="378"/>
      <c r="Y268" s="180"/>
      <c r="Z268" s="180"/>
      <c r="AA268" s="180"/>
      <c r="AB268" s="180"/>
    </row>
    <row r="269" spans="1:28" s="202" customFormat="1" x14ac:dyDescent="0.2">
      <c r="A269" s="636"/>
      <c r="B269" s="639"/>
      <c r="C269" s="466"/>
      <c r="D269" s="466"/>
      <c r="E269" s="466"/>
      <c r="F269" s="466"/>
      <c r="G269" s="466"/>
      <c r="H269" s="466"/>
      <c r="I269" s="767"/>
      <c r="J269" s="466"/>
      <c r="K269" s="466"/>
      <c r="L269" s="466"/>
      <c r="M269" s="466"/>
      <c r="N269" s="466"/>
      <c r="O269" s="767"/>
      <c r="P269" s="466"/>
      <c r="Q269" s="466"/>
      <c r="R269" s="466"/>
      <c r="S269" s="767"/>
      <c r="T269" s="466"/>
      <c r="U269" s="767"/>
      <c r="V269" s="466"/>
      <c r="W269" s="767"/>
      <c r="X269" s="378"/>
      <c r="Y269" s="180"/>
      <c r="Z269" s="180"/>
      <c r="AA269" s="180"/>
      <c r="AB269" s="180"/>
    </row>
    <row r="270" spans="1:28" x14ac:dyDescent="0.2">
      <c r="A270" s="636"/>
      <c r="B270" s="388"/>
      <c r="C270" s="391"/>
      <c r="D270" s="391"/>
      <c r="E270" s="391"/>
      <c r="F270" s="391"/>
      <c r="G270" s="391"/>
      <c r="H270" s="391"/>
      <c r="I270" s="765"/>
      <c r="J270" s="391"/>
      <c r="K270" s="391"/>
      <c r="L270" s="391"/>
      <c r="M270" s="391"/>
      <c r="N270" s="391"/>
      <c r="O270" s="765"/>
      <c r="P270" s="391"/>
      <c r="Q270" s="391"/>
      <c r="R270" s="391"/>
      <c r="S270" s="765"/>
      <c r="T270" s="391"/>
      <c r="U270" s="765"/>
      <c r="V270" s="391"/>
      <c r="W270" s="765"/>
      <c r="X270" s="378"/>
      <c r="Y270" s="180"/>
      <c r="Z270" s="180"/>
      <c r="AA270" s="180"/>
      <c r="AB270" s="180"/>
    </row>
    <row r="271" spans="1:28" s="203" customFormat="1" x14ac:dyDescent="0.2">
      <c r="A271" s="636"/>
      <c r="B271" s="389"/>
      <c r="C271" s="392"/>
      <c r="D271" s="392"/>
      <c r="E271" s="392"/>
      <c r="F271" s="392"/>
      <c r="G271" s="392"/>
      <c r="H271" s="392"/>
      <c r="I271" s="766"/>
      <c r="J271" s="392"/>
      <c r="K271" s="392"/>
      <c r="L271" s="392"/>
      <c r="M271" s="392"/>
      <c r="N271" s="392"/>
      <c r="O271" s="766"/>
      <c r="P271" s="392"/>
      <c r="Q271" s="392"/>
      <c r="R271" s="392"/>
      <c r="S271" s="766"/>
      <c r="T271" s="392"/>
      <c r="U271" s="766"/>
      <c r="V271" s="392"/>
      <c r="W271" s="766"/>
      <c r="X271" s="378"/>
      <c r="Y271" s="180"/>
      <c r="Z271" s="180"/>
      <c r="AA271" s="180"/>
      <c r="AB271" s="180"/>
    </row>
    <row r="272" spans="1:28" s="202" customFormat="1" x14ac:dyDescent="0.2">
      <c r="A272" s="636"/>
      <c r="B272" s="639"/>
      <c r="C272" s="466"/>
      <c r="D272" s="466"/>
      <c r="E272" s="466"/>
      <c r="F272" s="466"/>
      <c r="G272" s="466"/>
      <c r="H272" s="466"/>
      <c r="I272" s="767"/>
      <c r="J272" s="466"/>
      <c r="K272" s="466"/>
      <c r="L272" s="466"/>
      <c r="M272" s="466"/>
      <c r="N272" s="466"/>
      <c r="O272" s="767"/>
      <c r="P272" s="466"/>
      <c r="Q272" s="466"/>
      <c r="R272" s="466"/>
      <c r="S272" s="767"/>
      <c r="T272" s="466"/>
      <c r="U272" s="767"/>
      <c r="V272" s="466"/>
      <c r="W272" s="767"/>
      <c r="X272" s="378"/>
      <c r="Y272" s="180"/>
      <c r="Z272" s="180"/>
      <c r="AA272" s="180"/>
      <c r="AB272" s="180"/>
    </row>
    <row r="273" spans="1:28" x14ac:dyDescent="0.2">
      <c r="A273" s="636"/>
      <c r="B273" s="388"/>
      <c r="C273" s="391"/>
      <c r="D273" s="391"/>
      <c r="E273" s="391"/>
      <c r="F273" s="391"/>
      <c r="G273" s="391"/>
      <c r="H273" s="391"/>
      <c r="I273" s="765"/>
      <c r="J273" s="391"/>
      <c r="K273" s="391"/>
      <c r="L273" s="391"/>
      <c r="M273" s="391"/>
      <c r="N273" s="391"/>
      <c r="O273" s="765"/>
      <c r="P273" s="391"/>
      <c r="Q273" s="391"/>
      <c r="R273" s="391"/>
      <c r="S273" s="765"/>
      <c r="T273" s="391"/>
      <c r="U273" s="765"/>
      <c r="V273" s="391"/>
      <c r="W273" s="765"/>
      <c r="X273" s="378"/>
      <c r="Y273" s="180"/>
      <c r="Z273" s="180"/>
      <c r="AA273" s="180"/>
      <c r="AB273" s="180"/>
    </row>
    <row r="274" spans="1:28" s="203" customFormat="1" x14ac:dyDescent="0.2">
      <c r="A274" s="636"/>
      <c r="B274" s="389"/>
      <c r="C274" s="392"/>
      <c r="D274" s="392"/>
      <c r="E274" s="392"/>
      <c r="F274" s="392"/>
      <c r="G274" s="392"/>
      <c r="H274" s="392"/>
      <c r="I274" s="766"/>
      <c r="J274" s="392"/>
      <c r="K274" s="392"/>
      <c r="L274" s="392"/>
      <c r="M274" s="392"/>
      <c r="N274" s="392"/>
      <c r="O274" s="766"/>
      <c r="P274" s="392"/>
      <c r="Q274" s="392"/>
      <c r="R274" s="392"/>
      <c r="S274" s="766"/>
      <c r="T274" s="392"/>
      <c r="U274" s="766"/>
      <c r="V274" s="392"/>
      <c r="W274" s="766"/>
      <c r="X274" s="378"/>
      <c r="Y274" s="180"/>
      <c r="Z274" s="180"/>
      <c r="AA274" s="180"/>
      <c r="AB274" s="180"/>
    </row>
    <row r="275" spans="1:28" s="202" customFormat="1" x14ac:dyDescent="0.2">
      <c r="A275" s="636"/>
      <c r="B275" s="639"/>
      <c r="C275" s="763"/>
      <c r="D275" s="466"/>
      <c r="E275" s="466"/>
      <c r="F275" s="466"/>
      <c r="G275" s="466"/>
      <c r="H275" s="466"/>
      <c r="I275" s="767"/>
      <c r="J275" s="466"/>
      <c r="K275" s="466"/>
      <c r="L275" s="466"/>
      <c r="M275" s="466"/>
      <c r="N275" s="466"/>
      <c r="O275" s="767"/>
      <c r="P275" s="466"/>
      <c r="Q275" s="466"/>
      <c r="R275" s="466"/>
      <c r="S275" s="767"/>
      <c r="T275" s="466"/>
      <c r="U275" s="767"/>
      <c r="V275" s="466"/>
      <c r="W275" s="767"/>
      <c r="X275" s="378"/>
      <c r="Y275" s="180"/>
      <c r="Z275" s="180"/>
      <c r="AA275" s="180"/>
      <c r="AB275" s="180"/>
    </row>
    <row r="276" spans="1:28" x14ac:dyDescent="0.2">
      <c r="A276" s="636"/>
      <c r="B276" s="388"/>
      <c r="C276" s="391"/>
      <c r="D276" s="391"/>
      <c r="E276" s="391"/>
      <c r="F276" s="391"/>
      <c r="G276" s="391"/>
      <c r="H276" s="391"/>
      <c r="I276" s="765"/>
      <c r="J276" s="391"/>
      <c r="K276" s="391"/>
      <c r="L276" s="391"/>
      <c r="M276" s="391"/>
      <c r="N276" s="391"/>
      <c r="O276" s="765"/>
      <c r="P276" s="391"/>
      <c r="Q276" s="391"/>
      <c r="R276" s="391"/>
      <c r="S276" s="765"/>
      <c r="T276" s="391"/>
      <c r="U276" s="765"/>
      <c r="V276" s="391"/>
      <c r="W276" s="765"/>
      <c r="X276" s="378"/>
      <c r="Y276" s="180"/>
      <c r="Z276" s="180"/>
      <c r="AA276" s="180"/>
      <c r="AB276" s="180"/>
    </row>
    <row r="277" spans="1:28" s="203" customFormat="1" x14ac:dyDescent="0.2">
      <c r="A277" s="636"/>
      <c r="B277" s="389"/>
      <c r="C277" s="392"/>
      <c r="D277" s="392"/>
      <c r="E277" s="392"/>
      <c r="F277" s="392"/>
      <c r="G277" s="392"/>
      <c r="H277" s="392"/>
      <c r="I277" s="766"/>
      <c r="J277" s="392"/>
      <c r="K277" s="392"/>
      <c r="L277" s="392"/>
      <c r="M277" s="392"/>
      <c r="N277" s="392"/>
      <c r="O277" s="766"/>
      <c r="P277" s="392"/>
      <c r="Q277" s="392"/>
      <c r="R277" s="392"/>
      <c r="S277" s="766"/>
      <c r="T277" s="392"/>
      <c r="U277" s="766"/>
      <c r="V277" s="392"/>
      <c r="W277" s="766"/>
      <c r="X277" s="378"/>
      <c r="Y277" s="180"/>
      <c r="Z277" s="180"/>
      <c r="AA277" s="180"/>
      <c r="AB277" s="180"/>
    </row>
    <row r="278" spans="1:28" s="212" customFormat="1" ht="13.5" thickBot="1" x14ac:dyDescent="0.25">
      <c r="A278" s="640"/>
      <c r="B278" s="777"/>
      <c r="C278" s="778"/>
      <c r="D278" s="778"/>
      <c r="E278" s="778"/>
      <c r="F278" s="778"/>
      <c r="G278" s="778"/>
      <c r="H278" s="778"/>
      <c r="I278" s="779"/>
      <c r="J278" s="778"/>
      <c r="K278" s="778"/>
      <c r="L278" s="778"/>
      <c r="M278" s="778"/>
      <c r="N278" s="778"/>
      <c r="O278" s="779"/>
      <c r="P278" s="778"/>
      <c r="Q278" s="778"/>
      <c r="R278" s="778"/>
      <c r="S278" s="779"/>
      <c r="T278" s="778"/>
      <c r="U278" s="779"/>
      <c r="V278" s="778"/>
      <c r="W278" s="779"/>
      <c r="X278" s="378"/>
      <c r="Y278" s="180"/>
      <c r="Z278" s="180"/>
      <c r="AA278" s="180"/>
      <c r="AB278" s="180"/>
    </row>
    <row r="279" spans="1:28" ht="13.5" thickTop="1" x14ac:dyDescent="0.2">
      <c r="A279" s="230"/>
      <c r="B279" s="780"/>
      <c r="C279" s="781"/>
      <c r="D279" s="781"/>
      <c r="E279" s="781"/>
      <c r="F279" s="781"/>
      <c r="G279" s="781"/>
      <c r="H279" s="781"/>
      <c r="I279" s="782"/>
      <c r="J279" s="781"/>
      <c r="K279" s="781"/>
      <c r="L279" s="781"/>
      <c r="M279" s="781"/>
      <c r="N279" s="781"/>
      <c r="O279" s="782"/>
      <c r="P279" s="781"/>
      <c r="Q279" s="781"/>
      <c r="R279" s="781"/>
      <c r="S279" s="782"/>
      <c r="T279" s="781"/>
      <c r="U279" s="782"/>
      <c r="V279" s="781"/>
      <c r="W279" s="782"/>
      <c r="X279" s="378"/>
      <c r="Y279" s="180"/>
      <c r="Z279" s="180"/>
      <c r="AA279" s="180"/>
      <c r="AB279" s="180"/>
    </row>
    <row r="280" spans="1:28" s="203" customFormat="1" x14ac:dyDescent="0.2">
      <c r="A280" s="636"/>
      <c r="B280" s="389"/>
      <c r="C280" s="392"/>
      <c r="D280" s="392"/>
      <c r="E280" s="392"/>
      <c r="F280" s="392"/>
      <c r="G280" s="392"/>
      <c r="H280" s="392"/>
      <c r="I280" s="766"/>
      <c r="J280" s="392"/>
      <c r="K280" s="392"/>
      <c r="L280" s="392"/>
      <c r="M280" s="392"/>
      <c r="N280" s="392"/>
      <c r="O280" s="766"/>
      <c r="P280" s="392"/>
      <c r="Q280" s="392"/>
      <c r="R280" s="392"/>
      <c r="S280" s="766"/>
      <c r="T280" s="392"/>
      <c r="U280" s="766"/>
      <c r="V280" s="392"/>
      <c r="W280" s="766"/>
      <c r="X280" s="378"/>
      <c r="Y280" s="180"/>
      <c r="Z280" s="180"/>
      <c r="AA280" s="180"/>
      <c r="AB280" s="180"/>
    </row>
    <row r="281" spans="1:28" s="202" customFormat="1" x14ac:dyDescent="0.2">
      <c r="A281" s="637"/>
      <c r="B281" s="639"/>
      <c r="C281" s="763"/>
      <c r="D281" s="763"/>
      <c r="E281" s="763"/>
      <c r="F281" s="763"/>
      <c r="G281" s="763"/>
      <c r="H281" s="763"/>
      <c r="I281" s="767"/>
      <c r="J281" s="466"/>
      <c r="K281" s="466"/>
      <c r="L281" s="466"/>
      <c r="M281" s="466"/>
      <c r="N281" s="466"/>
      <c r="O281" s="767"/>
      <c r="P281" s="466"/>
      <c r="Q281" s="466"/>
      <c r="R281" s="466"/>
      <c r="S281" s="767"/>
      <c r="T281" s="466"/>
      <c r="U281" s="767"/>
      <c r="V281" s="466"/>
      <c r="W281" s="767"/>
      <c r="X281" s="378"/>
      <c r="Y281" s="180"/>
      <c r="Z281" s="180"/>
      <c r="AA281" s="180"/>
      <c r="AB281" s="180"/>
    </row>
    <row r="282" spans="1:28" x14ac:dyDescent="0.2">
      <c r="A282" s="636"/>
      <c r="B282" s="388"/>
      <c r="C282" s="391"/>
      <c r="D282" s="391"/>
      <c r="E282" s="391"/>
      <c r="F282" s="391"/>
      <c r="G282" s="391"/>
      <c r="H282" s="391"/>
      <c r="I282" s="765"/>
      <c r="J282" s="391"/>
      <c r="K282" s="391"/>
      <c r="L282" s="391"/>
      <c r="M282" s="391"/>
      <c r="N282" s="391"/>
      <c r="O282" s="765"/>
      <c r="P282" s="391"/>
      <c r="Q282" s="391"/>
      <c r="R282" s="391"/>
      <c r="S282" s="765"/>
      <c r="T282" s="391"/>
      <c r="U282" s="765"/>
      <c r="V282" s="391"/>
      <c r="W282" s="765"/>
      <c r="X282" s="378"/>
      <c r="Y282" s="180"/>
      <c r="Z282" s="180"/>
      <c r="AA282" s="180"/>
      <c r="AB282" s="180"/>
    </row>
    <row r="283" spans="1:28" s="203" customFormat="1" x14ac:dyDescent="0.2">
      <c r="A283" s="636"/>
      <c r="B283" s="389"/>
      <c r="C283" s="392"/>
      <c r="D283" s="392"/>
      <c r="E283" s="392"/>
      <c r="F283" s="392"/>
      <c r="G283" s="392"/>
      <c r="H283" s="392"/>
      <c r="I283" s="766"/>
      <c r="J283" s="392"/>
      <c r="K283" s="392"/>
      <c r="L283" s="392"/>
      <c r="M283" s="392"/>
      <c r="N283" s="392"/>
      <c r="O283" s="766"/>
      <c r="P283" s="392"/>
      <c r="Q283" s="392"/>
      <c r="R283" s="392"/>
      <c r="S283" s="766"/>
      <c r="T283" s="392"/>
      <c r="U283" s="766"/>
      <c r="V283" s="392"/>
      <c r="W283" s="766"/>
      <c r="X283" s="378"/>
      <c r="Y283" s="180"/>
      <c r="Z283" s="180"/>
      <c r="AA283" s="180"/>
      <c r="AB283" s="180"/>
    </row>
    <row r="284" spans="1:28" s="202" customFormat="1" x14ac:dyDescent="0.2">
      <c r="A284" s="636"/>
      <c r="B284" s="639"/>
      <c r="C284" s="466"/>
      <c r="D284" s="466"/>
      <c r="E284" s="466"/>
      <c r="F284" s="466"/>
      <c r="G284" s="466"/>
      <c r="H284" s="466"/>
      <c r="I284" s="767"/>
      <c r="J284" s="466"/>
      <c r="K284" s="466"/>
      <c r="L284" s="763"/>
      <c r="M284" s="763"/>
      <c r="N284" s="466"/>
      <c r="O284" s="767"/>
      <c r="P284" s="466"/>
      <c r="Q284" s="466"/>
      <c r="R284" s="466"/>
      <c r="S284" s="767"/>
      <c r="T284" s="466"/>
      <c r="U284" s="767"/>
      <c r="V284" s="466"/>
      <c r="W284" s="767"/>
      <c r="X284" s="378"/>
      <c r="Y284" s="180"/>
      <c r="Z284" s="180"/>
      <c r="AA284" s="180"/>
      <c r="AB284" s="180"/>
    </row>
    <row r="285" spans="1:28" x14ac:dyDescent="0.2">
      <c r="A285" s="636"/>
      <c r="B285" s="388"/>
      <c r="C285" s="391"/>
      <c r="D285" s="391"/>
      <c r="E285" s="391"/>
      <c r="F285" s="391"/>
      <c r="G285" s="391"/>
      <c r="H285" s="391"/>
      <c r="I285" s="765"/>
      <c r="J285" s="391"/>
      <c r="K285" s="391"/>
      <c r="L285" s="391"/>
      <c r="M285" s="391"/>
      <c r="N285" s="391"/>
      <c r="O285" s="765"/>
      <c r="P285" s="391"/>
      <c r="Q285" s="391"/>
      <c r="R285" s="391"/>
      <c r="S285" s="765"/>
      <c r="T285" s="391"/>
      <c r="U285" s="765"/>
      <c r="V285" s="391"/>
      <c r="W285" s="765"/>
      <c r="X285" s="378"/>
      <c r="Y285" s="180"/>
      <c r="Z285" s="180"/>
      <c r="AA285" s="180"/>
      <c r="AB285" s="180"/>
    </row>
    <row r="286" spans="1:28" s="203" customFormat="1" x14ac:dyDescent="0.2">
      <c r="A286" s="636"/>
      <c r="B286" s="389"/>
      <c r="C286" s="392"/>
      <c r="D286" s="392"/>
      <c r="E286" s="392"/>
      <c r="F286" s="392"/>
      <c r="G286" s="392"/>
      <c r="H286" s="392"/>
      <c r="I286" s="766"/>
      <c r="J286" s="392"/>
      <c r="K286" s="392"/>
      <c r="L286" s="392"/>
      <c r="M286" s="392"/>
      <c r="N286" s="392"/>
      <c r="O286" s="766"/>
      <c r="P286" s="392"/>
      <c r="Q286" s="392"/>
      <c r="R286" s="392"/>
      <c r="S286" s="766"/>
      <c r="T286" s="392"/>
      <c r="U286" s="766"/>
      <c r="V286" s="392"/>
      <c r="W286" s="766"/>
      <c r="X286" s="378"/>
      <c r="Y286" s="180"/>
      <c r="Z286" s="180"/>
      <c r="AA286" s="180"/>
      <c r="AB286" s="180"/>
    </row>
    <row r="287" spans="1:28" s="202" customFormat="1" x14ac:dyDescent="0.2">
      <c r="A287" s="636"/>
      <c r="B287" s="639"/>
      <c r="C287" s="466"/>
      <c r="D287" s="466"/>
      <c r="E287" s="466"/>
      <c r="F287" s="466"/>
      <c r="G287" s="466"/>
      <c r="H287" s="466"/>
      <c r="I287" s="767"/>
      <c r="J287" s="466"/>
      <c r="K287" s="466"/>
      <c r="L287" s="466"/>
      <c r="M287" s="466"/>
      <c r="N287" s="466"/>
      <c r="O287" s="767"/>
      <c r="P287" s="466"/>
      <c r="Q287" s="466"/>
      <c r="R287" s="466"/>
      <c r="S287" s="767"/>
      <c r="T287" s="466"/>
      <c r="U287" s="767"/>
      <c r="V287" s="466"/>
      <c r="W287" s="767"/>
      <c r="X287" s="378"/>
      <c r="Y287" s="180"/>
      <c r="Z287" s="180"/>
      <c r="AA287" s="180"/>
      <c r="AB287" s="180"/>
    </row>
    <row r="288" spans="1:28" x14ac:dyDescent="0.2">
      <c r="A288" s="636"/>
      <c r="B288" s="388"/>
      <c r="C288" s="391"/>
      <c r="D288" s="391"/>
      <c r="E288" s="391"/>
      <c r="F288" s="391"/>
      <c r="G288" s="391"/>
      <c r="H288" s="391"/>
      <c r="I288" s="765"/>
      <c r="J288" s="391"/>
      <c r="K288" s="391"/>
      <c r="L288" s="391"/>
      <c r="M288" s="391"/>
      <c r="N288" s="391"/>
      <c r="O288" s="765"/>
      <c r="P288" s="391"/>
      <c r="Q288" s="391"/>
      <c r="R288" s="391"/>
      <c r="S288" s="765"/>
      <c r="T288" s="391"/>
      <c r="U288" s="765"/>
      <c r="V288" s="391"/>
      <c r="W288" s="765"/>
      <c r="X288" s="378"/>
      <c r="Y288" s="180"/>
      <c r="Z288" s="180"/>
      <c r="AA288" s="180"/>
      <c r="AB288" s="180"/>
    </row>
    <row r="289" spans="1:28" s="203" customFormat="1" x14ac:dyDescent="0.2">
      <c r="A289" s="636"/>
      <c r="B289" s="389"/>
      <c r="C289" s="392"/>
      <c r="D289" s="392"/>
      <c r="E289" s="392"/>
      <c r="F289" s="392"/>
      <c r="G289" s="392"/>
      <c r="H289" s="392"/>
      <c r="I289" s="766"/>
      <c r="J289" s="392"/>
      <c r="K289" s="392"/>
      <c r="L289" s="392"/>
      <c r="M289" s="392"/>
      <c r="N289" s="392"/>
      <c r="O289" s="766"/>
      <c r="P289" s="392"/>
      <c r="Q289" s="392"/>
      <c r="R289" s="392"/>
      <c r="S289" s="766"/>
      <c r="T289" s="392"/>
      <c r="U289" s="766"/>
      <c r="V289" s="392"/>
      <c r="W289" s="766"/>
      <c r="X289" s="378"/>
      <c r="Y289" s="180"/>
      <c r="Z289" s="180"/>
      <c r="AA289" s="180"/>
      <c r="AB289" s="180"/>
    </row>
    <row r="290" spans="1:28" s="202" customFormat="1" x14ac:dyDescent="0.2">
      <c r="A290" s="636"/>
      <c r="B290" s="639"/>
      <c r="C290" s="466"/>
      <c r="D290" s="466"/>
      <c r="E290" s="466"/>
      <c r="F290" s="466"/>
      <c r="G290" s="466"/>
      <c r="H290" s="763"/>
      <c r="I290" s="767"/>
      <c r="J290" s="466"/>
      <c r="K290" s="466"/>
      <c r="L290" s="466"/>
      <c r="M290" s="466"/>
      <c r="N290" s="466"/>
      <c r="O290" s="767"/>
      <c r="P290" s="466"/>
      <c r="Q290" s="466"/>
      <c r="R290" s="466"/>
      <c r="S290" s="767"/>
      <c r="T290" s="466"/>
      <c r="U290" s="767"/>
      <c r="V290" s="466"/>
      <c r="W290" s="767"/>
      <c r="X290" s="378"/>
      <c r="Y290" s="180"/>
      <c r="Z290" s="180"/>
      <c r="AA290" s="180"/>
      <c r="AB290" s="180"/>
    </row>
    <row r="291" spans="1:28" x14ac:dyDescent="0.2">
      <c r="A291" s="636"/>
      <c r="B291" s="388"/>
      <c r="C291" s="391"/>
      <c r="D291" s="391"/>
      <c r="E291" s="391"/>
      <c r="F291" s="391"/>
      <c r="G291" s="391"/>
      <c r="H291" s="391"/>
      <c r="I291" s="765"/>
      <c r="J291" s="391"/>
      <c r="K291" s="391"/>
      <c r="L291" s="391"/>
      <c r="M291" s="391"/>
      <c r="N291" s="391"/>
      <c r="O291" s="765"/>
      <c r="P291" s="391"/>
      <c r="Q291" s="391"/>
      <c r="R291" s="391"/>
      <c r="S291" s="765"/>
      <c r="T291" s="391"/>
      <c r="U291" s="765"/>
      <c r="V291" s="391"/>
      <c r="W291" s="765"/>
      <c r="X291" s="378"/>
      <c r="Y291" s="180"/>
      <c r="Z291" s="180"/>
      <c r="AA291" s="180"/>
      <c r="AB291" s="180"/>
    </row>
    <row r="292" spans="1:28" s="203" customFormat="1" x14ac:dyDescent="0.2">
      <c r="A292" s="636"/>
      <c r="B292" s="389"/>
      <c r="C292" s="392"/>
      <c r="D292" s="392"/>
      <c r="E292" s="392"/>
      <c r="F292" s="392"/>
      <c r="G292" s="392"/>
      <c r="H292" s="392"/>
      <c r="I292" s="766"/>
      <c r="J292" s="392"/>
      <c r="K292" s="392"/>
      <c r="L292" s="392"/>
      <c r="M292" s="392"/>
      <c r="N292" s="392"/>
      <c r="O292" s="766"/>
      <c r="P292" s="392"/>
      <c r="Q292" s="392"/>
      <c r="R292" s="392"/>
      <c r="S292" s="766"/>
      <c r="T292" s="392"/>
      <c r="U292" s="766"/>
      <c r="V292" s="392"/>
      <c r="W292" s="766"/>
      <c r="X292" s="378"/>
      <c r="Y292" s="180"/>
      <c r="Z292" s="180"/>
      <c r="AA292" s="180"/>
      <c r="AB292" s="180"/>
    </row>
    <row r="293" spans="1:28" s="202" customFormat="1" x14ac:dyDescent="0.2">
      <c r="A293" s="636"/>
      <c r="B293" s="639"/>
      <c r="C293" s="466"/>
      <c r="D293" s="466"/>
      <c r="E293" s="466"/>
      <c r="F293" s="466"/>
      <c r="G293" s="466"/>
      <c r="H293" s="466"/>
      <c r="I293" s="767"/>
      <c r="J293" s="466"/>
      <c r="K293" s="466"/>
      <c r="L293" s="466"/>
      <c r="M293" s="466"/>
      <c r="N293" s="466"/>
      <c r="O293" s="767"/>
      <c r="P293" s="466"/>
      <c r="Q293" s="466"/>
      <c r="R293" s="466"/>
      <c r="S293" s="767"/>
      <c r="T293" s="466"/>
      <c r="U293" s="767"/>
      <c r="V293" s="466"/>
      <c r="W293" s="767"/>
      <c r="X293" s="378"/>
      <c r="Y293" s="180"/>
      <c r="Z293" s="180"/>
      <c r="AA293" s="180"/>
      <c r="AB293" s="180"/>
    </row>
    <row r="294" spans="1:28" x14ac:dyDescent="0.2">
      <c r="A294" s="636"/>
      <c r="B294" s="768"/>
      <c r="C294" s="765"/>
      <c r="D294" s="765"/>
      <c r="E294" s="765"/>
      <c r="F294" s="765"/>
      <c r="G294" s="765"/>
      <c r="H294" s="765"/>
      <c r="I294" s="765"/>
      <c r="J294" s="765"/>
      <c r="K294" s="765"/>
      <c r="L294" s="765"/>
      <c r="M294" s="765"/>
      <c r="N294" s="765"/>
      <c r="O294" s="765"/>
      <c r="P294" s="765"/>
      <c r="Q294" s="765"/>
      <c r="R294" s="765"/>
      <c r="S294" s="765"/>
      <c r="T294" s="765"/>
      <c r="U294" s="765"/>
      <c r="V294" s="765"/>
      <c r="W294" s="765"/>
      <c r="X294" s="378"/>
      <c r="Y294" s="180"/>
      <c r="Z294" s="180"/>
      <c r="AA294" s="180"/>
      <c r="AB294" s="180"/>
    </row>
    <row r="295" spans="1:28" s="203" customFormat="1" x14ac:dyDescent="0.2">
      <c r="A295" s="636"/>
      <c r="B295" s="769"/>
      <c r="C295" s="766"/>
      <c r="D295" s="766"/>
      <c r="E295" s="766"/>
      <c r="F295" s="766"/>
      <c r="G295" s="766"/>
      <c r="H295" s="766"/>
      <c r="I295" s="766"/>
      <c r="J295" s="766"/>
      <c r="K295" s="766"/>
      <c r="L295" s="766"/>
      <c r="M295" s="766"/>
      <c r="N295" s="766"/>
      <c r="O295" s="766"/>
      <c r="P295" s="766"/>
      <c r="Q295" s="766"/>
      <c r="R295" s="766"/>
      <c r="S295" s="766"/>
      <c r="T295" s="766"/>
      <c r="U295" s="766"/>
      <c r="V295" s="766"/>
      <c r="W295" s="766"/>
      <c r="X295" s="378"/>
      <c r="Y295" s="180"/>
      <c r="Z295" s="180"/>
      <c r="AA295" s="180"/>
      <c r="AB295" s="180"/>
    </row>
    <row r="296" spans="1:28" s="202" customFormat="1" x14ac:dyDescent="0.2">
      <c r="A296" s="636"/>
      <c r="B296" s="770"/>
      <c r="C296" s="767"/>
      <c r="D296" s="767"/>
      <c r="E296" s="767"/>
      <c r="F296" s="767"/>
      <c r="G296" s="767"/>
      <c r="H296" s="767"/>
      <c r="I296" s="767"/>
      <c r="J296" s="767"/>
      <c r="K296" s="767"/>
      <c r="L296" s="767"/>
      <c r="M296" s="767"/>
      <c r="N296" s="767"/>
      <c r="O296" s="767"/>
      <c r="P296" s="767"/>
      <c r="Q296" s="767"/>
      <c r="R296" s="767"/>
      <c r="S296" s="767"/>
      <c r="T296" s="767"/>
      <c r="U296" s="767"/>
      <c r="V296" s="767"/>
      <c r="W296" s="767"/>
      <c r="X296" s="378"/>
      <c r="Y296" s="180"/>
      <c r="Z296" s="180"/>
      <c r="AA296" s="180"/>
      <c r="AB296" s="180"/>
    </row>
    <row r="297" spans="1:28" x14ac:dyDescent="0.2">
      <c r="A297" s="636"/>
      <c r="B297" s="388"/>
      <c r="C297" s="391"/>
      <c r="D297" s="391"/>
      <c r="E297" s="391"/>
      <c r="F297" s="391"/>
      <c r="G297" s="391"/>
      <c r="H297" s="391"/>
      <c r="I297" s="765"/>
      <c r="J297" s="391"/>
      <c r="K297" s="391"/>
      <c r="L297" s="391"/>
      <c r="M297" s="391"/>
      <c r="N297" s="391"/>
      <c r="O297" s="765"/>
      <c r="P297" s="391"/>
      <c r="Q297" s="391"/>
      <c r="R297" s="391"/>
      <c r="S297" s="765"/>
      <c r="T297" s="391"/>
      <c r="U297" s="765"/>
      <c r="V297" s="391"/>
      <c r="W297" s="765"/>
      <c r="X297" s="378"/>
      <c r="Y297" s="180"/>
      <c r="Z297" s="180"/>
      <c r="AA297" s="180"/>
      <c r="AB297" s="180"/>
    </row>
    <row r="298" spans="1:28" s="203" customFormat="1" x14ac:dyDescent="0.2">
      <c r="A298" s="636"/>
      <c r="B298" s="389"/>
      <c r="C298" s="392"/>
      <c r="D298" s="392"/>
      <c r="E298" s="392"/>
      <c r="F298" s="392"/>
      <c r="G298" s="392"/>
      <c r="H298" s="392"/>
      <c r="I298" s="766"/>
      <c r="J298" s="392"/>
      <c r="K298" s="392"/>
      <c r="L298" s="392"/>
      <c r="M298" s="392"/>
      <c r="N298" s="392"/>
      <c r="O298" s="766"/>
      <c r="P298" s="392"/>
      <c r="Q298" s="392"/>
      <c r="R298" s="392"/>
      <c r="S298" s="766"/>
      <c r="T298" s="392"/>
      <c r="U298" s="766"/>
      <c r="V298" s="392"/>
      <c r="W298" s="766"/>
      <c r="X298" s="378"/>
      <c r="Y298" s="180"/>
      <c r="Z298" s="180"/>
      <c r="AA298" s="180"/>
      <c r="AB298" s="180"/>
    </row>
    <row r="299" spans="1:28" s="202" customFormat="1" x14ac:dyDescent="0.2">
      <c r="A299" s="636"/>
      <c r="B299" s="639"/>
      <c r="C299" s="466"/>
      <c r="D299" s="466"/>
      <c r="E299" s="466"/>
      <c r="F299" s="466"/>
      <c r="G299" s="466"/>
      <c r="H299" s="466"/>
      <c r="I299" s="767"/>
      <c r="J299" s="466"/>
      <c r="K299" s="466"/>
      <c r="L299" s="466"/>
      <c r="M299" s="466"/>
      <c r="N299" s="466"/>
      <c r="O299" s="767"/>
      <c r="P299" s="466"/>
      <c r="Q299" s="466"/>
      <c r="R299" s="466"/>
      <c r="S299" s="767"/>
      <c r="T299" s="466"/>
      <c r="U299" s="767"/>
      <c r="V299" s="466"/>
      <c r="W299" s="767"/>
      <c r="X299" s="378"/>
      <c r="Y299" s="180"/>
      <c r="Z299" s="180"/>
      <c r="AA299" s="180"/>
      <c r="AB299" s="180"/>
    </row>
    <row r="300" spans="1:28" x14ac:dyDescent="0.2">
      <c r="A300" s="636"/>
      <c r="B300" s="388"/>
      <c r="C300" s="391"/>
      <c r="D300" s="391"/>
      <c r="E300" s="391"/>
      <c r="F300" s="391"/>
      <c r="G300" s="391"/>
      <c r="H300" s="391"/>
      <c r="I300" s="765"/>
      <c r="J300" s="391"/>
      <c r="K300" s="391"/>
      <c r="L300" s="391"/>
      <c r="M300" s="391"/>
      <c r="N300" s="391"/>
      <c r="O300" s="765"/>
      <c r="P300" s="391"/>
      <c r="Q300" s="391"/>
      <c r="R300" s="391"/>
      <c r="S300" s="765"/>
      <c r="T300" s="391"/>
      <c r="U300" s="765"/>
      <c r="V300" s="391"/>
      <c r="W300" s="765"/>
      <c r="X300" s="378"/>
      <c r="Y300" s="180"/>
      <c r="Z300" s="180"/>
      <c r="AA300" s="180"/>
      <c r="AB300" s="180"/>
    </row>
    <row r="301" spans="1:28" s="203" customFormat="1" x14ac:dyDescent="0.2">
      <c r="A301" s="636"/>
      <c r="B301" s="389"/>
      <c r="C301" s="392"/>
      <c r="D301" s="392"/>
      <c r="E301" s="392"/>
      <c r="F301" s="392"/>
      <c r="G301" s="392"/>
      <c r="H301" s="392"/>
      <c r="I301" s="766"/>
      <c r="J301" s="392"/>
      <c r="K301" s="392"/>
      <c r="L301" s="392"/>
      <c r="M301" s="392"/>
      <c r="N301" s="392"/>
      <c r="O301" s="766"/>
      <c r="P301" s="392"/>
      <c r="Q301" s="392"/>
      <c r="R301" s="392"/>
      <c r="S301" s="766"/>
      <c r="T301" s="392"/>
      <c r="U301" s="766"/>
      <c r="V301" s="392"/>
      <c r="W301" s="766"/>
      <c r="X301" s="378"/>
      <c r="Y301" s="180"/>
      <c r="Z301" s="180"/>
      <c r="AA301" s="180"/>
      <c r="AB301" s="180"/>
    </row>
    <row r="302" spans="1:28" s="202" customFormat="1" x14ac:dyDescent="0.2">
      <c r="A302" s="636"/>
      <c r="B302" s="639"/>
      <c r="C302" s="466"/>
      <c r="D302" s="466"/>
      <c r="E302" s="466"/>
      <c r="F302" s="466"/>
      <c r="G302" s="466"/>
      <c r="H302" s="466"/>
      <c r="I302" s="767"/>
      <c r="J302" s="466"/>
      <c r="K302" s="466"/>
      <c r="L302" s="466"/>
      <c r="M302" s="466"/>
      <c r="N302" s="466"/>
      <c r="O302" s="767"/>
      <c r="P302" s="466"/>
      <c r="Q302" s="466"/>
      <c r="R302" s="466"/>
      <c r="S302" s="767"/>
      <c r="T302" s="466"/>
      <c r="U302" s="767"/>
      <c r="V302" s="466"/>
      <c r="W302" s="767"/>
      <c r="X302" s="378"/>
      <c r="Y302" s="180"/>
      <c r="Z302" s="180"/>
      <c r="AA302" s="180"/>
      <c r="AB302" s="180"/>
    </row>
    <row r="303" spans="1:28" x14ac:dyDescent="0.2">
      <c r="A303" s="636"/>
      <c r="B303" s="388"/>
      <c r="C303" s="391"/>
      <c r="D303" s="391"/>
      <c r="E303" s="391"/>
      <c r="F303" s="391"/>
      <c r="G303" s="391"/>
      <c r="H303" s="391"/>
      <c r="I303" s="765"/>
      <c r="J303" s="391"/>
      <c r="K303" s="391"/>
      <c r="L303" s="391"/>
      <c r="M303" s="391"/>
      <c r="N303" s="391"/>
      <c r="O303" s="765"/>
      <c r="P303" s="391"/>
      <c r="Q303" s="391"/>
      <c r="R303" s="391"/>
      <c r="S303" s="765"/>
      <c r="T303" s="391"/>
      <c r="U303" s="765"/>
      <c r="V303" s="391"/>
      <c r="W303" s="765"/>
      <c r="X303" s="378"/>
      <c r="Y303" s="180"/>
      <c r="Z303" s="180"/>
      <c r="AA303" s="180"/>
      <c r="AB303" s="180"/>
    </row>
    <row r="304" spans="1:28" s="203" customFormat="1" x14ac:dyDescent="0.2">
      <c r="A304" s="636"/>
      <c r="B304" s="389"/>
      <c r="C304" s="392"/>
      <c r="D304" s="392"/>
      <c r="E304" s="392"/>
      <c r="F304" s="392"/>
      <c r="G304" s="392"/>
      <c r="H304" s="392"/>
      <c r="I304" s="766"/>
      <c r="J304" s="392"/>
      <c r="K304" s="392"/>
      <c r="L304" s="392"/>
      <c r="M304" s="392"/>
      <c r="N304" s="392"/>
      <c r="O304" s="766"/>
      <c r="P304" s="392"/>
      <c r="Q304" s="392"/>
      <c r="R304" s="392"/>
      <c r="S304" s="766"/>
      <c r="T304" s="392"/>
      <c r="U304" s="766"/>
      <c r="V304" s="392"/>
      <c r="W304" s="766"/>
      <c r="X304" s="378"/>
      <c r="Y304" s="180"/>
      <c r="Z304" s="180"/>
      <c r="AA304" s="180"/>
      <c r="AB304" s="180"/>
    </row>
    <row r="305" spans="1:28" s="202" customFormat="1" x14ac:dyDescent="0.2">
      <c r="A305" s="636"/>
      <c r="B305" s="639"/>
      <c r="C305" s="466"/>
      <c r="D305" s="466"/>
      <c r="E305" s="466"/>
      <c r="F305" s="466"/>
      <c r="G305" s="466"/>
      <c r="H305" s="466"/>
      <c r="I305" s="767"/>
      <c r="J305" s="466"/>
      <c r="K305" s="466"/>
      <c r="L305" s="466"/>
      <c r="M305" s="466"/>
      <c r="N305" s="466"/>
      <c r="O305" s="767"/>
      <c r="P305" s="466"/>
      <c r="Q305" s="466"/>
      <c r="R305" s="466"/>
      <c r="S305" s="767"/>
      <c r="T305" s="466"/>
      <c r="U305" s="767"/>
      <c r="V305" s="466"/>
      <c r="W305" s="767"/>
      <c r="X305" s="378"/>
      <c r="Y305" s="180"/>
      <c r="Z305" s="180"/>
      <c r="AA305" s="180"/>
      <c r="AB305" s="180"/>
    </row>
    <row r="306" spans="1:28" x14ac:dyDescent="0.2">
      <c r="A306" s="636"/>
      <c r="B306" s="388"/>
      <c r="C306" s="391"/>
      <c r="D306" s="391"/>
      <c r="E306" s="391"/>
      <c r="F306" s="391"/>
      <c r="G306" s="391"/>
      <c r="H306" s="391"/>
      <c r="I306" s="765"/>
      <c r="J306" s="391"/>
      <c r="K306" s="391"/>
      <c r="L306" s="391"/>
      <c r="M306" s="391"/>
      <c r="N306" s="391"/>
      <c r="O306" s="765"/>
      <c r="P306" s="391"/>
      <c r="Q306" s="391"/>
      <c r="R306" s="391"/>
      <c r="S306" s="765"/>
      <c r="T306" s="391"/>
      <c r="U306" s="765"/>
      <c r="V306" s="391"/>
      <c r="W306" s="765"/>
      <c r="X306" s="378"/>
      <c r="Y306" s="180"/>
      <c r="Z306" s="180"/>
      <c r="AA306" s="180"/>
      <c r="AB306" s="180"/>
    </row>
    <row r="307" spans="1:28" s="203" customFormat="1" x14ac:dyDescent="0.2">
      <c r="A307" s="636"/>
      <c r="B307" s="389"/>
      <c r="C307" s="392"/>
      <c r="D307" s="392"/>
      <c r="E307" s="392"/>
      <c r="F307" s="392"/>
      <c r="G307" s="392"/>
      <c r="H307" s="392"/>
      <c r="I307" s="766"/>
      <c r="J307" s="392"/>
      <c r="K307" s="392"/>
      <c r="L307" s="392"/>
      <c r="M307" s="392"/>
      <c r="N307" s="392"/>
      <c r="O307" s="766"/>
      <c r="P307" s="392"/>
      <c r="Q307" s="392"/>
      <c r="R307" s="392"/>
      <c r="S307" s="766"/>
      <c r="T307" s="392"/>
      <c r="U307" s="766"/>
      <c r="V307" s="392"/>
      <c r="W307" s="766"/>
      <c r="X307" s="378"/>
      <c r="Y307" s="180"/>
      <c r="Z307" s="180"/>
      <c r="AA307" s="180"/>
      <c r="AB307" s="180"/>
    </row>
    <row r="308" spans="1:28" s="202" customFormat="1" x14ac:dyDescent="0.2">
      <c r="A308" s="636"/>
      <c r="B308" s="639"/>
      <c r="C308" s="466"/>
      <c r="D308" s="466"/>
      <c r="E308" s="466"/>
      <c r="F308" s="466"/>
      <c r="G308" s="466"/>
      <c r="H308" s="466"/>
      <c r="I308" s="767"/>
      <c r="J308" s="466"/>
      <c r="K308" s="466"/>
      <c r="L308" s="466"/>
      <c r="M308" s="466"/>
      <c r="N308" s="466"/>
      <c r="O308" s="767"/>
      <c r="P308" s="466"/>
      <c r="Q308" s="466"/>
      <c r="R308" s="466"/>
      <c r="S308" s="767"/>
      <c r="T308" s="466"/>
      <c r="U308" s="767"/>
      <c r="V308" s="466"/>
      <c r="W308" s="767"/>
      <c r="X308" s="378"/>
      <c r="Y308" s="180"/>
      <c r="Z308" s="180"/>
      <c r="AA308" s="180"/>
      <c r="AB308" s="180"/>
    </row>
    <row r="309" spans="1:28" x14ac:dyDescent="0.2">
      <c r="A309" s="636"/>
      <c r="B309" s="388"/>
      <c r="C309" s="391"/>
      <c r="D309" s="391"/>
      <c r="E309" s="391"/>
      <c r="F309" s="391"/>
      <c r="G309" s="391"/>
      <c r="H309" s="391"/>
      <c r="I309" s="765"/>
      <c r="J309" s="391"/>
      <c r="K309" s="391"/>
      <c r="L309" s="391"/>
      <c r="M309" s="391"/>
      <c r="N309" s="391"/>
      <c r="O309" s="765"/>
      <c r="P309" s="391"/>
      <c r="Q309" s="391"/>
      <c r="R309" s="391"/>
      <c r="S309" s="765"/>
      <c r="T309" s="391"/>
      <c r="U309" s="765"/>
      <c r="V309" s="391"/>
      <c r="W309" s="765"/>
      <c r="X309" s="378"/>
      <c r="Y309" s="180"/>
      <c r="Z309" s="180"/>
      <c r="AA309" s="180"/>
      <c r="AB309" s="180"/>
    </row>
    <row r="310" spans="1:28" s="203" customFormat="1" x14ac:dyDescent="0.2">
      <c r="A310" s="636"/>
      <c r="B310" s="389"/>
      <c r="C310" s="392"/>
      <c r="D310" s="392"/>
      <c r="E310" s="392"/>
      <c r="F310" s="392"/>
      <c r="G310" s="392"/>
      <c r="H310" s="392"/>
      <c r="I310" s="766"/>
      <c r="J310" s="392"/>
      <c r="K310" s="392"/>
      <c r="L310" s="392"/>
      <c r="M310" s="392"/>
      <c r="N310" s="392"/>
      <c r="O310" s="766"/>
      <c r="P310" s="392"/>
      <c r="Q310" s="392"/>
      <c r="R310" s="392"/>
      <c r="S310" s="766"/>
      <c r="T310" s="392"/>
      <c r="U310" s="766"/>
      <c r="V310" s="392"/>
      <c r="W310" s="766"/>
      <c r="X310" s="378"/>
      <c r="Y310" s="180"/>
      <c r="Z310" s="180"/>
      <c r="AA310" s="180"/>
      <c r="AB310" s="180"/>
    </row>
    <row r="311" spans="1:28" s="202" customFormat="1" x14ac:dyDescent="0.2">
      <c r="A311" s="636"/>
      <c r="B311" s="639"/>
      <c r="C311" s="466"/>
      <c r="D311" s="466"/>
      <c r="E311" s="466"/>
      <c r="F311" s="466"/>
      <c r="G311" s="466"/>
      <c r="H311" s="466"/>
      <c r="I311" s="767"/>
      <c r="J311" s="466"/>
      <c r="K311" s="466"/>
      <c r="L311" s="466"/>
      <c r="M311" s="466"/>
      <c r="N311" s="466"/>
      <c r="O311" s="767"/>
      <c r="P311" s="466"/>
      <c r="Q311" s="466"/>
      <c r="R311" s="466"/>
      <c r="S311" s="767"/>
      <c r="T311" s="763"/>
      <c r="U311" s="767"/>
      <c r="V311" s="466"/>
      <c r="W311" s="767"/>
      <c r="X311" s="378"/>
      <c r="Y311" s="180"/>
      <c r="Z311" s="180"/>
      <c r="AA311" s="180"/>
      <c r="AB311" s="180"/>
    </row>
    <row r="312" spans="1:28" x14ac:dyDescent="0.2">
      <c r="A312" s="636"/>
      <c r="B312" s="388"/>
      <c r="C312" s="391"/>
      <c r="D312" s="391"/>
      <c r="E312" s="391"/>
      <c r="F312" s="391"/>
      <c r="G312" s="391"/>
      <c r="H312" s="391"/>
      <c r="I312" s="765"/>
      <c r="J312" s="391"/>
      <c r="K312" s="391"/>
      <c r="L312" s="391"/>
      <c r="M312" s="391"/>
      <c r="N312" s="391"/>
      <c r="O312" s="765"/>
      <c r="P312" s="391"/>
      <c r="Q312" s="391"/>
      <c r="R312" s="391"/>
      <c r="S312" s="765"/>
      <c r="T312" s="391"/>
      <c r="U312" s="765"/>
      <c r="V312" s="391"/>
      <c r="W312" s="765"/>
      <c r="X312" s="378"/>
      <c r="Y312" s="180"/>
      <c r="Z312" s="180"/>
      <c r="AA312" s="180"/>
      <c r="AB312" s="180"/>
    </row>
    <row r="313" spans="1:28" s="203" customFormat="1" x14ac:dyDescent="0.2">
      <c r="A313" s="636"/>
      <c r="B313" s="389"/>
      <c r="C313" s="392"/>
      <c r="D313" s="392"/>
      <c r="E313" s="392"/>
      <c r="F313" s="392"/>
      <c r="G313" s="392"/>
      <c r="H313" s="392"/>
      <c r="I313" s="766"/>
      <c r="J313" s="392"/>
      <c r="K313" s="392"/>
      <c r="L313" s="392"/>
      <c r="M313" s="392"/>
      <c r="N313" s="392"/>
      <c r="O313" s="766"/>
      <c r="P313" s="392"/>
      <c r="Q313" s="392"/>
      <c r="R313" s="392"/>
      <c r="S313" s="766"/>
      <c r="T313" s="392"/>
      <c r="U313" s="766"/>
      <c r="V313" s="392"/>
      <c r="W313" s="766"/>
      <c r="X313" s="378"/>
      <c r="Y313" s="180"/>
      <c r="Z313" s="180"/>
      <c r="AA313" s="180"/>
      <c r="AB313" s="180"/>
    </row>
    <row r="314" spans="1:28" s="202" customFormat="1" x14ac:dyDescent="0.2">
      <c r="A314" s="636"/>
      <c r="B314" s="639"/>
      <c r="C314" s="466"/>
      <c r="D314" s="466"/>
      <c r="E314" s="466"/>
      <c r="F314" s="466"/>
      <c r="G314" s="466"/>
      <c r="H314" s="466"/>
      <c r="I314" s="767"/>
      <c r="J314" s="466"/>
      <c r="K314" s="466"/>
      <c r="L314" s="466"/>
      <c r="M314" s="466"/>
      <c r="N314" s="466"/>
      <c r="O314" s="767"/>
      <c r="P314" s="466"/>
      <c r="Q314" s="466"/>
      <c r="R314" s="466"/>
      <c r="S314" s="767"/>
      <c r="T314" s="466"/>
      <c r="U314" s="767"/>
      <c r="V314" s="466"/>
      <c r="W314" s="767"/>
      <c r="X314" s="378"/>
      <c r="Y314" s="180"/>
      <c r="Z314" s="180"/>
      <c r="AA314" s="180"/>
      <c r="AB314" s="180"/>
    </row>
    <row r="315" spans="1:28" x14ac:dyDescent="0.2">
      <c r="A315" s="636"/>
      <c r="B315" s="388"/>
      <c r="C315" s="391"/>
      <c r="D315" s="391"/>
      <c r="E315" s="391"/>
      <c r="F315" s="391"/>
      <c r="G315" s="391"/>
      <c r="H315" s="391"/>
      <c r="I315" s="765"/>
      <c r="J315" s="391"/>
      <c r="K315" s="391"/>
      <c r="L315" s="391"/>
      <c r="M315" s="391"/>
      <c r="N315" s="391"/>
      <c r="O315" s="765"/>
      <c r="P315" s="391"/>
      <c r="Q315" s="391"/>
      <c r="R315" s="391"/>
      <c r="S315" s="765"/>
      <c r="T315" s="391"/>
      <c r="U315" s="765"/>
      <c r="V315" s="391"/>
      <c r="W315" s="765"/>
      <c r="X315" s="378"/>
      <c r="Y315" s="180"/>
      <c r="Z315" s="180"/>
      <c r="AA315" s="180"/>
      <c r="AB315" s="180"/>
    </row>
    <row r="316" spans="1:28" s="203" customFormat="1" x14ac:dyDescent="0.2">
      <c r="A316" s="636"/>
      <c r="B316" s="389"/>
      <c r="C316" s="392"/>
      <c r="D316" s="392"/>
      <c r="E316" s="392"/>
      <c r="F316" s="392"/>
      <c r="G316" s="392"/>
      <c r="H316" s="392"/>
      <c r="I316" s="766"/>
      <c r="J316" s="392"/>
      <c r="K316" s="392"/>
      <c r="L316" s="392"/>
      <c r="M316" s="392"/>
      <c r="N316" s="392"/>
      <c r="O316" s="766"/>
      <c r="P316" s="392"/>
      <c r="Q316" s="392"/>
      <c r="R316" s="392"/>
      <c r="S316" s="766"/>
      <c r="T316" s="392"/>
      <c r="U316" s="766"/>
      <c r="V316" s="392"/>
      <c r="W316" s="766"/>
      <c r="X316" s="378"/>
      <c r="Y316" s="180"/>
      <c r="Z316" s="180"/>
      <c r="AA316" s="180"/>
      <c r="AB316" s="180"/>
    </row>
    <row r="317" spans="1:28" s="212" customFormat="1" ht="13.5" thickBot="1" x14ac:dyDescent="0.25">
      <c r="A317" s="640"/>
      <c r="B317" s="777"/>
      <c r="C317" s="778"/>
      <c r="D317" s="778"/>
      <c r="E317" s="778"/>
      <c r="F317" s="778"/>
      <c r="G317" s="778"/>
      <c r="H317" s="1512"/>
      <c r="I317" s="779"/>
      <c r="J317" s="778"/>
      <c r="K317" s="778"/>
      <c r="L317" s="778"/>
      <c r="M317" s="778"/>
      <c r="N317" s="778"/>
      <c r="O317" s="779"/>
      <c r="P317" s="778"/>
      <c r="Q317" s="778"/>
      <c r="R317" s="778"/>
      <c r="S317" s="779"/>
      <c r="T317" s="778"/>
      <c r="U317" s="779"/>
      <c r="V317" s="778"/>
      <c r="W317" s="779"/>
      <c r="X317" s="378"/>
      <c r="Y317" s="180"/>
      <c r="Z317" s="180"/>
      <c r="AA317" s="180"/>
      <c r="AB317" s="180"/>
    </row>
    <row r="318" spans="1:28" ht="13.5" thickTop="1" x14ac:dyDescent="0.2">
      <c r="A318" s="230"/>
      <c r="B318" s="780"/>
      <c r="C318" s="781"/>
      <c r="D318" s="781"/>
      <c r="E318" s="781"/>
      <c r="F318" s="781"/>
      <c r="G318" s="781"/>
      <c r="H318" s="781"/>
      <c r="I318" s="782"/>
      <c r="J318" s="781"/>
      <c r="K318" s="781"/>
      <c r="L318" s="781"/>
      <c r="M318" s="781"/>
      <c r="N318" s="781"/>
      <c r="O318" s="782"/>
      <c r="P318" s="781"/>
      <c r="Q318" s="781"/>
      <c r="R318" s="781"/>
      <c r="S318" s="782"/>
      <c r="T318" s="781"/>
      <c r="U318" s="782"/>
      <c r="V318" s="781"/>
      <c r="W318" s="782"/>
      <c r="X318" s="378"/>
      <c r="Y318" s="180"/>
      <c r="Z318" s="180"/>
      <c r="AA318" s="180"/>
      <c r="AB318" s="180"/>
    </row>
    <row r="319" spans="1:28" s="203" customFormat="1" x14ac:dyDescent="0.2">
      <c r="A319" s="636"/>
      <c r="B319" s="389"/>
      <c r="C319" s="392"/>
      <c r="D319" s="392"/>
      <c r="E319" s="392"/>
      <c r="F319" s="392"/>
      <c r="G319" s="392"/>
      <c r="H319" s="392"/>
      <c r="I319" s="766"/>
      <c r="J319" s="392"/>
      <c r="K319" s="392"/>
      <c r="L319" s="392"/>
      <c r="M319" s="392"/>
      <c r="N319" s="392"/>
      <c r="O319" s="766"/>
      <c r="P319" s="392"/>
      <c r="Q319" s="392"/>
      <c r="R319" s="392"/>
      <c r="S319" s="766"/>
      <c r="T319" s="392"/>
      <c r="U319" s="766"/>
      <c r="V319" s="392"/>
      <c r="W319" s="766"/>
      <c r="X319" s="378"/>
      <c r="Y319" s="180"/>
      <c r="Z319" s="180"/>
      <c r="AA319" s="180"/>
      <c r="AB319" s="180"/>
    </row>
    <row r="320" spans="1:28" s="202" customFormat="1" x14ac:dyDescent="0.2">
      <c r="A320" s="637"/>
      <c r="B320" s="639"/>
      <c r="C320" s="466"/>
      <c r="D320" s="466"/>
      <c r="E320" s="466"/>
      <c r="F320" s="466"/>
      <c r="G320" s="763"/>
      <c r="H320" s="466"/>
      <c r="I320" s="767"/>
      <c r="J320" s="466"/>
      <c r="K320" s="466"/>
      <c r="L320" s="466"/>
      <c r="M320" s="466"/>
      <c r="N320" s="466"/>
      <c r="O320" s="767"/>
      <c r="P320" s="466"/>
      <c r="Q320" s="466"/>
      <c r="R320" s="466"/>
      <c r="S320" s="767"/>
      <c r="T320" s="466"/>
      <c r="U320" s="767"/>
      <c r="V320" s="466"/>
      <c r="W320" s="767"/>
      <c r="X320" s="378"/>
      <c r="Y320" s="180"/>
      <c r="Z320" s="180"/>
      <c r="AA320" s="180"/>
      <c r="AB320" s="180"/>
    </row>
    <row r="321" spans="1:28" x14ac:dyDescent="0.2">
      <c r="A321" s="636"/>
      <c r="B321" s="388"/>
      <c r="C321" s="391"/>
      <c r="D321" s="391"/>
      <c r="E321" s="391"/>
      <c r="F321" s="391"/>
      <c r="G321" s="391"/>
      <c r="H321" s="391"/>
      <c r="I321" s="765"/>
      <c r="J321" s="391"/>
      <c r="K321" s="391"/>
      <c r="L321" s="391"/>
      <c r="M321" s="391"/>
      <c r="N321" s="391"/>
      <c r="O321" s="765"/>
      <c r="P321" s="391"/>
      <c r="Q321" s="391"/>
      <c r="R321" s="391"/>
      <c r="S321" s="765"/>
      <c r="T321" s="391"/>
      <c r="U321" s="765"/>
      <c r="V321" s="391"/>
      <c r="W321" s="765"/>
      <c r="X321" s="378"/>
      <c r="Y321" s="180"/>
      <c r="Z321" s="180"/>
      <c r="AA321" s="180"/>
      <c r="AB321" s="180"/>
    </row>
    <row r="322" spans="1:28" s="203" customFormat="1" x14ac:dyDescent="0.2">
      <c r="A322" s="636"/>
      <c r="B322" s="389"/>
      <c r="C322" s="392"/>
      <c r="D322" s="392"/>
      <c r="E322" s="392"/>
      <c r="F322" s="392"/>
      <c r="G322" s="392"/>
      <c r="H322" s="392"/>
      <c r="I322" s="766"/>
      <c r="J322" s="392"/>
      <c r="K322" s="392"/>
      <c r="L322" s="392"/>
      <c r="M322" s="392"/>
      <c r="N322" s="392"/>
      <c r="O322" s="766"/>
      <c r="P322" s="392"/>
      <c r="Q322" s="392"/>
      <c r="R322" s="392"/>
      <c r="S322" s="766"/>
      <c r="T322" s="392"/>
      <c r="U322" s="766"/>
      <c r="V322" s="392"/>
      <c r="W322" s="766"/>
      <c r="X322" s="378"/>
      <c r="Y322" s="180"/>
      <c r="Z322" s="180"/>
      <c r="AA322" s="180"/>
      <c r="AB322" s="180"/>
    </row>
    <row r="323" spans="1:28" s="202" customFormat="1" x14ac:dyDescent="0.2">
      <c r="A323" s="636"/>
      <c r="B323" s="639"/>
      <c r="C323" s="466"/>
      <c r="D323" s="466"/>
      <c r="E323" s="466"/>
      <c r="F323" s="466"/>
      <c r="G323" s="466"/>
      <c r="H323" s="466"/>
      <c r="I323" s="767"/>
      <c r="J323" s="466"/>
      <c r="K323" s="466"/>
      <c r="L323" s="466"/>
      <c r="M323" s="466"/>
      <c r="N323" s="466"/>
      <c r="O323" s="767"/>
      <c r="P323" s="466"/>
      <c r="Q323" s="466"/>
      <c r="R323" s="466"/>
      <c r="S323" s="767"/>
      <c r="T323" s="466"/>
      <c r="U323" s="767"/>
      <c r="V323" s="466"/>
      <c r="W323" s="767"/>
      <c r="X323" s="378"/>
      <c r="Y323" s="180"/>
      <c r="Z323" s="180"/>
      <c r="AA323" s="180"/>
      <c r="AB323" s="180"/>
    </row>
    <row r="324" spans="1:28" x14ac:dyDescent="0.2">
      <c r="A324" s="636"/>
      <c r="B324" s="388"/>
      <c r="C324" s="391"/>
      <c r="D324" s="391"/>
      <c r="E324" s="391"/>
      <c r="F324" s="391"/>
      <c r="G324" s="391"/>
      <c r="H324" s="391"/>
      <c r="I324" s="765"/>
      <c r="J324" s="391"/>
      <c r="K324" s="391"/>
      <c r="L324" s="391"/>
      <c r="M324" s="391"/>
      <c r="N324" s="391"/>
      <c r="O324" s="765"/>
      <c r="P324" s="391"/>
      <c r="Q324" s="391"/>
      <c r="R324" s="391"/>
      <c r="S324" s="765"/>
      <c r="T324" s="391"/>
      <c r="U324" s="765"/>
      <c r="V324" s="391"/>
      <c r="W324" s="765"/>
      <c r="X324" s="378"/>
      <c r="Y324" s="180"/>
      <c r="Z324" s="180"/>
      <c r="AA324" s="180"/>
      <c r="AB324" s="180"/>
    </row>
    <row r="325" spans="1:28" s="203" customFormat="1" x14ac:dyDescent="0.2">
      <c r="A325" s="636"/>
      <c r="B325" s="389"/>
      <c r="C325" s="392"/>
      <c r="D325" s="392"/>
      <c r="E325" s="392"/>
      <c r="F325" s="392"/>
      <c r="G325" s="392"/>
      <c r="H325" s="392"/>
      <c r="I325" s="766"/>
      <c r="J325" s="392"/>
      <c r="K325" s="392"/>
      <c r="L325" s="392"/>
      <c r="M325" s="392"/>
      <c r="N325" s="392"/>
      <c r="O325" s="766"/>
      <c r="P325" s="392"/>
      <c r="Q325" s="392"/>
      <c r="R325" s="392"/>
      <c r="S325" s="766"/>
      <c r="T325" s="392"/>
      <c r="U325" s="766"/>
      <c r="V325" s="392"/>
      <c r="W325" s="766"/>
      <c r="X325" s="378"/>
      <c r="Y325" s="180"/>
      <c r="Z325" s="180"/>
      <c r="AA325" s="180"/>
      <c r="AB325" s="180"/>
    </row>
    <row r="326" spans="1:28" s="202" customFormat="1" x14ac:dyDescent="0.2">
      <c r="A326" s="636"/>
      <c r="B326" s="639"/>
      <c r="C326" s="466"/>
      <c r="D326" s="466"/>
      <c r="E326" s="466"/>
      <c r="F326" s="466"/>
      <c r="G326" s="466"/>
      <c r="H326" s="466"/>
      <c r="I326" s="767"/>
      <c r="J326" s="466"/>
      <c r="K326" s="466"/>
      <c r="L326" s="466"/>
      <c r="M326" s="466"/>
      <c r="N326" s="466"/>
      <c r="O326" s="767"/>
      <c r="P326" s="466"/>
      <c r="Q326" s="466"/>
      <c r="R326" s="466"/>
      <c r="S326" s="767"/>
      <c r="T326" s="466"/>
      <c r="U326" s="767"/>
      <c r="V326" s="466"/>
      <c r="W326" s="767"/>
      <c r="X326" s="378"/>
      <c r="Y326" s="180"/>
      <c r="Z326" s="180"/>
      <c r="AA326" s="180"/>
      <c r="AB326" s="180"/>
    </row>
    <row r="327" spans="1:28" x14ac:dyDescent="0.2">
      <c r="A327" s="636"/>
      <c r="B327" s="388"/>
      <c r="C327" s="391"/>
      <c r="D327" s="391"/>
      <c r="E327" s="391"/>
      <c r="F327" s="391"/>
      <c r="G327" s="391"/>
      <c r="H327" s="391"/>
      <c r="I327" s="765"/>
      <c r="J327" s="391"/>
      <c r="K327" s="391"/>
      <c r="L327" s="391"/>
      <c r="M327" s="391"/>
      <c r="N327" s="391"/>
      <c r="O327" s="765"/>
      <c r="P327" s="391"/>
      <c r="Q327" s="391"/>
      <c r="R327" s="391"/>
      <c r="S327" s="765"/>
      <c r="T327" s="391"/>
      <c r="U327" s="765"/>
      <c r="V327" s="391"/>
      <c r="W327" s="765"/>
      <c r="X327" s="378"/>
      <c r="Y327" s="180"/>
      <c r="Z327" s="180"/>
      <c r="AA327" s="180"/>
      <c r="AB327" s="180"/>
    </row>
    <row r="328" spans="1:28" s="203" customFormat="1" x14ac:dyDescent="0.2">
      <c r="A328" s="636"/>
      <c r="B328" s="389"/>
      <c r="C328" s="392"/>
      <c r="D328" s="392"/>
      <c r="E328" s="392"/>
      <c r="F328" s="392"/>
      <c r="G328" s="392"/>
      <c r="H328" s="392"/>
      <c r="I328" s="766"/>
      <c r="J328" s="392"/>
      <c r="K328" s="392"/>
      <c r="L328" s="392"/>
      <c r="M328" s="392"/>
      <c r="N328" s="392"/>
      <c r="O328" s="766"/>
      <c r="P328" s="392"/>
      <c r="Q328" s="392"/>
      <c r="R328" s="392"/>
      <c r="S328" s="766"/>
      <c r="T328" s="392"/>
      <c r="U328" s="766"/>
      <c r="V328" s="392"/>
      <c r="W328" s="766"/>
      <c r="X328" s="378"/>
      <c r="Y328" s="180"/>
      <c r="Z328" s="180"/>
      <c r="AA328" s="180"/>
      <c r="AB328" s="180"/>
    </row>
    <row r="329" spans="1:28" s="202" customFormat="1" x14ac:dyDescent="0.2">
      <c r="A329" s="636"/>
      <c r="B329" s="639"/>
      <c r="C329" s="466"/>
      <c r="D329" s="466"/>
      <c r="E329" s="466"/>
      <c r="F329" s="763"/>
      <c r="G329" s="466"/>
      <c r="H329" s="466"/>
      <c r="I329" s="767"/>
      <c r="J329" s="466"/>
      <c r="K329" s="466"/>
      <c r="L329" s="763"/>
      <c r="M329" s="466"/>
      <c r="N329" s="466"/>
      <c r="O329" s="767"/>
      <c r="P329" s="466"/>
      <c r="Q329" s="466"/>
      <c r="R329" s="466"/>
      <c r="S329" s="767"/>
      <c r="T329" s="466"/>
      <c r="U329" s="767"/>
      <c r="V329" s="466"/>
      <c r="W329" s="767"/>
      <c r="X329" s="378"/>
      <c r="Y329" s="180"/>
      <c r="Z329" s="180"/>
      <c r="AA329" s="180"/>
      <c r="AB329" s="180"/>
    </row>
    <row r="330" spans="1:28" x14ac:dyDescent="0.2">
      <c r="A330" s="636"/>
      <c r="B330" s="388"/>
      <c r="C330" s="391"/>
      <c r="D330" s="391"/>
      <c r="E330" s="391"/>
      <c r="F330" s="391"/>
      <c r="G330" s="391"/>
      <c r="H330" s="391"/>
      <c r="I330" s="765"/>
      <c r="J330" s="391"/>
      <c r="K330" s="391"/>
      <c r="L330" s="391"/>
      <c r="M330" s="391"/>
      <c r="N330" s="391"/>
      <c r="O330" s="765"/>
      <c r="P330" s="391"/>
      <c r="Q330" s="391"/>
      <c r="R330" s="391"/>
      <c r="S330" s="765"/>
      <c r="T330" s="391"/>
      <c r="U330" s="765"/>
      <c r="V330" s="391"/>
      <c r="W330" s="765"/>
      <c r="X330" s="378"/>
      <c r="Y330" s="180"/>
      <c r="Z330" s="180"/>
      <c r="AA330" s="180"/>
      <c r="AB330" s="180"/>
    </row>
    <row r="331" spans="1:28" s="203" customFormat="1" x14ac:dyDescent="0.2">
      <c r="A331" s="636"/>
      <c r="B331" s="389"/>
      <c r="C331" s="392"/>
      <c r="D331" s="392"/>
      <c r="E331" s="392"/>
      <c r="F331" s="392"/>
      <c r="G331" s="392"/>
      <c r="H331" s="392"/>
      <c r="I331" s="766"/>
      <c r="J331" s="392"/>
      <c r="K331" s="392"/>
      <c r="L331" s="392"/>
      <c r="M331" s="392"/>
      <c r="N331" s="392"/>
      <c r="O331" s="766"/>
      <c r="P331" s="392"/>
      <c r="Q331" s="392"/>
      <c r="R331" s="392"/>
      <c r="S331" s="766"/>
      <c r="T331" s="392"/>
      <c r="U331" s="766"/>
      <c r="V331" s="392"/>
      <c r="W331" s="766"/>
      <c r="X331" s="378"/>
      <c r="Y331" s="180"/>
      <c r="Z331" s="180"/>
      <c r="AA331" s="180"/>
      <c r="AB331" s="180"/>
    </row>
    <row r="332" spans="1:28" s="202" customFormat="1" x14ac:dyDescent="0.2">
      <c r="A332" s="636"/>
      <c r="B332" s="639"/>
      <c r="C332" s="466"/>
      <c r="D332" s="466"/>
      <c r="E332" s="466"/>
      <c r="F332" s="466"/>
      <c r="G332" s="466"/>
      <c r="H332" s="466"/>
      <c r="I332" s="767"/>
      <c r="J332" s="466"/>
      <c r="K332" s="466"/>
      <c r="L332" s="466"/>
      <c r="M332" s="466"/>
      <c r="N332" s="466"/>
      <c r="O332" s="767"/>
      <c r="P332" s="466"/>
      <c r="Q332" s="466"/>
      <c r="R332" s="466"/>
      <c r="S332" s="767"/>
      <c r="T332" s="466"/>
      <c r="U332" s="767"/>
      <c r="V332" s="466"/>
      <c r="W332" s="767"/>
      <c r="X332" s="378"/>
      <c r="Y332" s="180"/>
      <c r="Z332" s="180"/>
      <c r="AA332" s="180"/>
      <c r="AB332" s="180"/>
    </row>
    <row r="333" spans="1:28" x14ac:dyDescent="0.2">
      <c r="A333" s="636"/>
      <c r="B333" s="768"/>
      <c r="C333" s="765"/>
      <c r="D333" s="765"/>
      <c r="E333" s="765"/>
      <c r="F333" s="765"/>
      <c r="G333" s="765"/>
      <c r="H333" s="765"/>
      <c r="I333" s="765"/>
      <c r="J333" s="765"/>
      <c r="K333" s="765"/>
      <c r="L333" s="765"/>
      <c r="M333" s="765"/>
      <c r="N333" s="765"/>
      <c r="O333" s="765"/>
      <c r="P333" s="765"/>
      <c r="Q333" s="765"/>
      <c r="R333" s="765"/>
      <c r="S333" s="765"/>
      <c r="T333" s="765"/>
      <c r="U333" s="765"/>
      <c r="V333" s="765"/>
      <c r="W333" s="765"/>
      <c r="X333" s="378"/>
      <c r="Y333" s="180"/>
      <c r="Z333" s="180"/>
      <c r="AA333" s="180"/>
      <c r="AB333" s="180"/>
    </row>
    <row r="334" spans="1:28" s="203" customFormat="1" x14ac:dyDescent="0.2">
      <c r="A334" s="636"/>
      <c r="B334" s="769"/>
      <c r="C334" s="766"/>
      <c r="D334" s="766"/>
      <c r="E334" s="766"/>
      <c r="F334" s="766"/>
      <c r="G334" s="766"/>
      <c r="H334" s="766"/>
      <c r="I334" s="766"/>
      <c r="J334" s="766"/>
      <c r="K334" s="766"/>
      <c r="L334" s="766"/>
      <c r="M334" s="766"/>
      <c r="N334" s="766"/>
      <c r="O334" s="766"/>
      <c r="P334" s="766"/>
      <c r="Q334" s="766"/>
      <c r="R334" s="766"/>
      <c r="S334" s="766"/>
      <c r="T334" s="766"/>
      <c r="U334" s="766"/>
      <c r="V334" s="766"/>
      <c r="W334" s="766"/>
      <c r="X334" s="378"/>
      <c r="Y334" s="180"/>
      <c r="Z334" s="180"/>
      <c r="AA334" s="180"/>
      <c r="AB334" s="180"/>
    </row>
    <row r="335" spans="1:28" s="202" customFormat="1" x14ac:dyDescent="0.2">
      <c r="A335" s="636"/>
      <c r="B335" s="770"/>
      <c r="C335" s="767"/>
      <c r="D335" s="767"/>
      <c r="E335" s="767"/>
      <c r="F335" s="767"/>
      <c r="G335" s="767"/>
      <c r="H335" s="767"/>
      <c r="I335" s="767"/>
      <c r="J335" s="767"/>
      <c r="K335" s="767"/>
      <c r="L335" s="767"/>
      <c r="M335" s="767"/>
      <c r="N335" s="767"/>
      <c r="O335" s="767"/>
      <c r="P335" s="767"/>
      <c r="Q335" s="767"/>
      <c r="R335" s="767"/>
      <c r="S335" s="767"/>
      <c r="T335" s="767"/>
      <c r="U335" s="767"/>
      <c r="V335" s="767"/>
      <c r="W335" s="767"/>
      <c r="X335" s="378"/>
      <c r="Y335" s="180"/>
      <c r="Z335" s="180"/>
      <c r="AA335" s="180"/>
      <c r="AB335" s="180"/>
    </row>
    <row r="336" spans="1:28" x14ac:dyDescent="0.2">
      <c r="A336" s="636"/>
      <c r="B336" s="388"/>
      <c r="C336" s="391"/>
      <c r="D336" s="391"/>
      <c r="E336" s="391"/>
      <c r="F336" s="391"/>
      <c r="G336" s="391"/>
      <c r="H336" s="391"/>
      <c r="I336" s="765"/>
      <c r="J336" s="391"/>
      <c r="K336" s="391"/>
      <c r="L336" s="391"/>
      <c r="M336" s="391"/>
      <c r="N336" s="391"/>
      <c r="O336" s="765"/>
      <c r="P336" s="391"/>
      <c r="Q336" s="391"/>
      <c r="R336" s="391"/>
      <c r="S336" s="765"/>
      <c r="T336" s="391"/>
      <c r="U336" s="765"/>
      <c r="V336" s="391"/>
      <c r="W336" s="765"/>
      <c r="X336" s="378"/>
      <c r="Y336" s="180"/>
      <c r="Z336" s="180"/>
      <c r="AA336" s="180"/>
      <c r="AB336" s="180"/>
    </row>
    <row r="337" spans="1:28" s="203" customFormat="1" x14ac:dyDescent="0.2">
      <c r="A337" s="636"/>
      <c r="B337" s="389"/>
      <c r="C337" s="392"/>
      <c r="D337" s="392"/>
      <c r="E337" s="392"/>
      <c r="F337" s="392"/>
      <c r="G337" s="392"/>
      <c r="H337" s="392"/>
      <c r="I337" s="766"/>
      <c r="J337" s="392"/>
      <c r="K337" s="392"/>
      <c r="L337" s="392"/>
      <c r="M337" s="392"/>
      <c r="N337" s="392"/>
      <c r="O337" s="766"/>
      <c r="P337" s="392"/>
      <c r="Q337" s="392"/>
      <c r="R337" s="392"/>
      <c r="S337" s="766"/>
      <c r="T337" s="392"/>
      <c r="U337" s="766"/>
      <c r="V337" s="392"/>
      <c r="W337" s="766"/>
      <c r="X337" s="378"/>
      <c r="Y337" s="180"/>
      <c r="Z337" s="180"/>
      <c r="AA337" s="180"/>
      <c r="AB337" s="180"/>
    </row>
    <row r="338" spans="1:28" s="202" customFormat="1" x14ac:dyDescent="0.2">
      <c r="A338" s="636"/>
      <c r="B338" s="639"/>
      <c r="C338" s="466"/>
      <c r="D338" s="466"/>
      <c r="E338" s="466"/>
      <c r="F338" s="466"/>
      <c r="G338" s="466"/>
      <c r="H338" s="466"/>
      <c r="I338" s="767"/>
      <c r="J338" s="466"/>
      <c r="K338" s="466"/>
      <c r="L338" s="466"/>
      <c r="M338" s="466"/>
      <c r="N338" s="466"/>
      <c r="O338" s="767"/>
      <c r="P338" s="466"/>
      <c r="Q338" s="466"/>
      <c r="R338" s="466"/>
      <c r="S338" s="767"/>
      <c r="T338" s="466"/>
      <c r="U338" s="767"/>
      <c r="V338" s="466"/>
      <c r="W338" s="767"/>
      <c r="X338" s="378"/>
      <c r="Y338" s="180"/>
      <c r="Z338" s="180"/>
      <c r="AA338" s="180"/>
      <c r="AB338" s="180"/>
    </row>
    <row r="339" spans="1:28" x14ac:dyDescent="0.2">
      <c r="A339" s="636"/>
      <c r="B339" s="388"/>
      <c r="C339" s="391"/>
      <c r="D339" s="391"/>
      <c r="E339" s="391"/>
      <c r="F339" s="391"/>
      <c r="G339" s="391"/>
      <c r="H339" s="391"/>
      <c r="I339" s="765"/>
      <c r="J339" s="391"/>
      <c r="K339" s="391"/>
      <c r="L339" s="391"/>
      <c r="M339" s="391"/>
      <c r="N339" s="391"/>
      <c r="O339" s="765"/>
      <c r="P339" s="391"/>
      <c r="Q339" s="391"/>
      <c r="R339" s="391"/>
      <c r="S339" s="765"/>
      <c r="T339" s="391"/>
      <c r="U339" s="765"/>
      <c r="V339" s="391"/>
      <c r="W339" s="765"/>
      <c r="X339" s="378"/>
      <c r="Y339" s="180"/>
      <c r="Z339" s="180"/>
      <c r="AA339" s="180"/>
      <c r="AB339" s="180"/>
    </row>
    <row r="340" spans="1:28" s="203" customFormat="1" x14ac:dyDescent="0.2">
      <c r="A340" s="636"/>
      <c r="B340" s="389"/>
      <c r="C340" s="392"/>
      <c r="D340" s="392"/>
      <c r="E340" s="392"/>
      <c r="F340" s="392"/>
      <c r="G340" s="392"/>
      <c r="H340" s="392"/>
      <c r="I340" s="766"/>
      <c r="J340" s="392"/>
      <c r="K340" s="392"/>
      <c r="L340" s="392"/>
      <c r="M340" s="392"/>
      <c r="N340" s="392"/>
      <c r="O340" s="766"/>
      <c r="P340" s="392"/>
      <c r="Q340" s="392"/>
      <c r="R340" s="392"/>
      <c r="S340" s="766"/>
      <c r="T340" s="392"/>
      <c r="U340" s="766"/>
      <c r="V340" s="392"/>
      <c r="W340" s="766"/>
      <c r="X340" s="378"/>
      <c r="Y340" s="180"/>
      <c r="Z340" s="180"/>
      <c r="AA340" s="180"/>
      <c r="AB340" s="180"/>
    </row>
    <row r="341" spans="1:28" s="202" customFormat="1" x14ac:dyDescent="0.2">
      <c r="A341" s="636"/>
      <c r="B341" s="639"/>
      <c r="C341" s="466"/>
      <c r="D341" s="466"/>
      <c r="E341" s="466"/>
      <c r="F341" s="466"/>
      <c r="G341" s="466"/>
      <c r="H341" s="466"/>
      <c r="I341" s="767"/>
      <c r="J341" s="466"/>
      <c r="K341" s="466"/>
      <c r="L341" s="466"/>
      <c r="M341" s="466"/>
      <c r="N341" s="466"/>
      <c r="O341" s="767"/>
      <c r="P341" s="466"/>
      <c r="Q341" s="466"/>
      <c r="R341" s="466"/>
      <c r="S341" s="767"/>
      <c r="T341" s="466"/>
      <c r="U341" s="767"/>
      <c r="V341" s="466"/>
      <c r="W341" s="767"/>
      <c r="X341" s="378"/>
      <c r="Y341" s="180"/>
      <c r="Z341" s="180"/>
      <c r="AA341" s="180"/>
      <c r="AB341" s="180"/>
    </row>
    <row r="342" spans="1:28" x14ac:dyDescent="0.2">
      <c r="A342" s="636"/>
      <c r="B342" s="388"/>
      <c r="C342" s="391"/>
      <c r="D342" s="391"/>
      <c r="E342" s="391"/>
      <c r="F342" s="391"/>
      <c r="G342" s="391"/>
      <c r="H342" s="391"/>
      <c r="I342" s="765"/>
      <c r="J342" s="391"/>
      <c r="K342" s="391"/>
      <c r="L342" s="391"/>
      <c r="M342" s="391"/>
      <c r="N342" s="391"/>
      <c r="O342" s="765"/>
      <c r="P342" s="391"/>
      <c r="Q342" s="391"/>
      <c r="R342" s="391"/>
      <c r="S342" s="765"/>
      <c r="T342" s="391"/>
      <c r="U342" s="765"/>
      <c r="V342" s="391"/>
      <c r="W342" s="765"/>
      <c r="X342" s="378"/>
      <c r="Y342" s="180"/>
      <c r="Z342" s="180"/>
      <c r="AA342" s="180"/>
      <c r="AB342" s="180"/>
    </row>
    <row r="343" spans="1:28" s="203" customFormat="1" x14ac:dyDescent="0.2">
      <c r="A343" s="636"/>
      <c r="B343" s="389"/>
      <c r="C343" s="392"/>
      <c r="D343" s="392"/>
      <c r="E343" s="392"/>
      <c r="F343" s="392"/>
      <c r="G343" s="392"/>
      <c r="H343" s="392"/>
      <c r="I343" s="766"/>
      <c r="J343" s="392"/>
      <c r="K343" s="392"/>
      <c r="L343" s="392"/>
      <c r="M343" s="392"/>
      <c r="N343" s="392"/>
      <c r="O343" s="766"/>
      <c r="P343" s="392"/>
      <c r="Q343" s="392"/>
      <c r="R343" s="392"/>
      <c r="S343" s="766"/>
      <c r="T343" s="392"/>
      <c r="U343" s="766"/>
      <c r="V343" s="392"/>
      <c r="W343" s="766"/>
      <c r="X343" s="378"/>
      <c r="Y343" s="180"/>
      <c r="Z343" s="180"/>
      <c r="AA343" s="180"/>
      <c r="AB343" s="180"/>
    </row>
    <row r="344" spans="1:28" s="202" customFormat="1" x14ac:dyDescent="0.2">
      <c r="A344" s="636"/>
      <c r="B344" s="639"/>
      <c r="C344" s="466"/>
      <c r="D344" s="466"/>
      <c r="E344" s="466"/>
      <c r="F344" s="466"/>
      <c r="G344" s="466"/>
      <c r="H344" s="466"/>
      <c r="I344" s="767"/>
      <c r="J344" s="466"/>
      <c r="K344" s="466"/>
      <c r="L344" s="466"/>
      <c r="M344" s="466"/>
      <c r="N344" s="466"/>
      <c r="O344" s="767"/>
      <c r="P344" s="466"/>
      <c r="Q344" s="466"/>
      <c r="R344" s="466"/>
      <c r="S344" s="767"/>
      <c r="T344" s="466"/>
      <c r="U344" s="767"/>
      <c r="V344" s="466"/>
      <c r="W344" s="767"/>
      <c r="X344" s="378"/>
      <c r="Y344" s="180"/>
      <c r="Z344" s="180"/>
      <c r="AA344" s="180"/>
      <c r="AB344" s="180"/>
    </row>
    <row r="345" spans="1:28" x14ac:dyDescent="0.2">
      <c r="A345" s="636"/>
      <c r="B345" s="388"/>
      <c r="C345" s="391"/>
      <c r="D345" s="391"/>
      <c r="E345" s="391"/>
      <c r="F345" s="391"/>
      <c r="G345" s="391"/>
      <c r="H345" s="391"/>
      <c r="I345" s="765"/>
      <c r="J345" s="391"/>
      <c r="K345" s="391"/>
      <c r="L345" s="391"/>
      <c r="M345" s="391"/>
      <c r="N345" s="391"/>
      <c r="O345" s="765"/>
      <c r="P345" s="391"/>
      <c r="Q345" s="391"/>
      <c r="R345" s="391"/>
      <c r="S345" s="765"/>
      <c r="T345" s="391"/>
      <c r="U345" s="765"/>
      <c r="V345" s="391"/>
      <c r="W345" s="765"/>
      <c r="X345" s="378"/>
      <c r="Y345" s="180"/>
      <c r="Z345" s="180"/>
      <c r="AA345" s="180"/>
      <c r="AB345" s="180"/>
    </row>
    <row r="346" spans="1:28" s="203" customFormat="1" x14ac:dyDescent="0.2">
      <c r="A346" s="636"/>
      <c r="B346" s="389"/>
      <c r="C346" s="392"/>
      <c r="D346" s="392"/>
      <c r="E346" s="392"/>
      <c r="F346" s="392"/>
      <c r="G346" s="392"/>
      <c r="H346" s="392"/>
      <c r="I346" s="766"/>
      <c r="J346" s="392"/>
      <c r="K346" s="392"/>
      <c r="L346" s="392"/>
      <c r="M346" s="392"/>
      <c r="N346" s="392"/>
      <c r="O346" s="766"/>
      <c r="P346" s="392"/>
      <c r="Q346" s="392"/>
      <c r="R346" s="392"/>
      <c r="S346" s="766"/>
      <c r="T346" s="392"/>
      <c r="U346" s="766"/>
      <c r="V346" s="392"/>
      <c r="W346" s="766"/>
      <c r="X346" s="378"/>
      <c r="Y346" s="180"/>
      <c r="Z346" s="180"/>
      <c r="AA346" s="180"/>
      <c r="AB346" s="180"/>
    </row>
    <row r="347" spans="1:28" s="202" customFormat="1" x14ac:dyDescent="0.2">
      <c r="A347" s="636"/>
      <c r="B347" s="639"/>
      <c r="C347" s="466"/>
      <c r="D347" s="466"/>
      <c r="E347" s="466"/>
      <c r="F347" s="466"/>
      <c r="G347" s="466"/>
      <c r="H347" s="466"/>
      <c r="I347" s="767"/>
      <c r="J347" s="466"/>
      <c r="K347" s="466"/>
      <c r="L347" s="466"/>
      <c r="M347" s="466"/>
      <c r="N347" s="466"/>
      <c r="O347" s="767"/>
      <c r="P347" s="466"/>
      <c r="Q347" s="466"/>
      <c r="R347" s="466"/>
      <c r="S347" s="767"/>
      <c r="T347" s="466"/>
      <c r="U347" s="767"/>
      <c r="V347" s="466"/>
      <c r="W347" s="767"/>
      <c r="X347" s="378"/>
      <c r="Y347" s="180"/>
      <c r="Z347" s="180"/>
      <c r="AA347" s="180"/>
      <c r="AB347" s="180"/>
    </row>
    <row r="348" spans="1:28" x14ac:dyDescent="0.2">
      <c r="A348" s="636"/>
      <c r="B348" s="388"/>
      <c r="C348" s="391"/>
      <c r="D348" s="391"/>
      <c r="E348" s="391"/>
      <c r="F348" s="391"/>
      <c r="G348" s="391"/>
      <c r="H348" s="391"/>
      <c r="I348" s="765"/>
      <c r="J348" s="391"/>
      <c r="K348" s="391"/>
      <c r="L348" s="391"/>
      <c r="M348" s="391"/>
      <c r="N348" s="391"/>
      <c r="O348" s="765"/>
      <c r="P348" s="391"/>
      <c r="Q348" s="391"/>
      <c r="R348" s="391"/>
      <c r="S348" s="765"/>
      <c r="T348" s="391"/>
      <c r="U348" s="765"/>
      <c r="V348" s="391"/>
      <c r="W348" s="765"/>
      <c r="X348" s="378"/>
      <c r="Y348" s="180"/>
      <c r="Z348" s="180"/>
      <c r="AA348" s="180"/>
      <c r="AB348" s="180"/>
    </row>
    <row r="349" spans="1:28" s="203" customFormat="1" x14ac:dyDescent="0.2">
      <c r="A349" s="636"/>
      <c r="B349" s="389"/>
      <c r="C349" s="392"/>
      <c r="D349" s="392"/>
      <c r="E349" s="392"/>
      <c r="F349" s="392"/>
      <c r="G349" s="392"/>
      <c r="H349" s="392"/>
      <c r="I349" s="766"/>
      <c r="J349" s="392"/>
      <c r="K349" s="392"/>
      <c r="L349" s="392"/>
      <c r="M349" s="392"/>
      <c r="N349" s="392"/>
      <c r="O349" s="766"/>
      <c r="P349" s="392"/>
      <c r="Q349" s="392"/>
      <c r="R349" s="392"/>
      <c r="S349" s="766"/>
      <c r="T349" s="392"/>
      <c r="U349" s="766"/>
      <c r="V349" s="392"/>
      <c r="W349" s="766"/>
      <c r="X349" s="378"/>
      <c r="Y349" s="180"/>
      <c r="Z349" s="180"/>
      <c r="AA349" s="180"/>
      <c r="AB349" s="180"/>
    </row>
    <row r="350" spans="1:28" s="202" customFormat="1" x14ac:dyDescent="0.2">
      <c r="A350" s="636"/>
      <c r="B350" s="639"/>
      <c r="C350" s="466"/>
      <c r="D350" s="466"/>
      <c r="E350" s="466"/>
      <c r="F350" s="466"/>
      <c r="G350" s="466"/>
      <c r="H350" s="466"/>
      <c r="I350" s="767"/>
      <c r="J350" s="466"/>
      <c r="K350" s="466"/>
      <c r="L350" s="466"/>
      <c r="M350" s="466"/>
      <c r="N350" s="466"/>
      <c r="O350" s="767"/>
      <c r="P350" s="466"/>
      <c r="Q350" s="466"/>
      <c r="R350" s="466"/>
      <c r="S350" s="767"/>
      <c r="T350" s="466"/>
      <c r="U350" s="767"/>
      <c r="V350" s="466"/>
      <c r="W350" s="767"/>
      <c r="X350" s="378"/>
      <c r="Y350" s="180"/>
      <c r="Z350" s="180"/>
      <c r="AA350" s="180"/>
      <c r="AB350" s="180"/>
    </row>
    <row r="351" spans="1:28" x14ac:dyDescent="0.2">
      <c r="A351" s="636"/>
      <c r="B351" s="388"/>
      <c r="C351" s="391"/>
      <c r="D351" s="391"/>
      <c r="E351" s="391"/>
      <c r="F351" s="391"/>
      <c r="G351" s="391"/>
      <c r="H351" s="391"/>
      <c r="I351" s="765"/>
      <c r="J351" s="391"/>
      <c r="K351" s="391"/>
      <c r="L351" s="391"/>
      <c r="M351" s="391"/>
      <c r="N351" s="391"/>
      <c r="O351" s="765"/>
      <c r="P351" s="391"/>
      <c r="Q351" s="391"/>
      <c r="R351" s="391"/>
      <c r="S351" s="765"/>
      <c r="T351" s="391"/>
      <c r="U351" s="765"/>
      <c r="V351" s="391"/>
      <c r="W351" s="765"/>
      <c r="X351" s="378"/>
      <c r="Y351" s="180"/>
      <c r="Z351" s="180"/>
      <c r="AA351" s="180"/>
      <c r="AB351" s="180"/>
    </row>
    <row r="352" spans="1:28" s="203" customFormat="1" x14ac:dyDescent="0.2">
      <c r="A352" s="636"/>
      <c r="B352" s="389"/>
      <c r="C352" s="392"/>
      <c r="D352" s="392"/>
      <c r="E352" s="392"/>
      <c r="F352" s="392"/>
      <c r="G352" s="392"/>
      <c r="H352" s="392"/>
      <c r="I352" s="766"/>
      <c r="J352" s="392"/>
      <c r="K352" s="392"/>
      <c r="L352" s="392"/>
      <c r="M352" s="392"/>
      <c r="N352" s="392"/>
      <c r="O352" s="766"/>
      <c r="P352" s="392"/>
      <c r="Q352" s="392"/>
      <c r="R352" s="392"/>
      <c r="S352" s="766"/>
      <c r="T352" s="392"/>
      <c r="U352" s="766"/>
      <c r="V352" s="392"/>
      <c r="W352" s="766"/>
      <c r="X352" s="378"/>
      <c r="Y352" s="180"/>
      <c r="Z352" s="180"/>
      <c r="AA352" s="180"/>
      <c r="AB352" s="180"/>
    </row>
    <row r="353" spans="1:28" s="202" customFormat="1" x14ac:dyDescent="0.2">
      <c r="A353" s="636"/>
      <c r="B353" s="639"/>
      <c r="C353" s="466"/>
      <c r="D353" s="466"/>
      <c r="E353" s="466"/>
      <c r="F353" s="466"/>
      <c r="G353" s="466"/>
      <c r="H353" s="466"/>
      <c r="I353" s="767"/>
      <c r="J353" s="466"/>
      <c r="K353" s="466"/>
      <c r="L353" s="466"/>
      <c r="M353" s="466"/>
      <c r="N353" s="466"/>
      <c r="O353" s="767"/>
      <c r="P353" s="466"/>
      <c r="Q353" s="466"/>
      <c r="R353" s="466"/>
      <c r="S353" s="767"/>
      <c r="T353" s="763"/>
      <c r="U353" s="767"/>
      <c r="V353" s="466"/>
      <c r="W353" s="767"/>
      <c r="X353" s="378"/>
      <c r="Y353" s="180"/>
      <c r="Z353" s="180"/>
      <c r="AA353" s="180"/>
      <c r="AB353" s="180"/>
    </row>
    <row r="354" spans="1:28" x14ac:dyDescent="0.2">
      <c r="A354" s="636"/>
      <c r="B354" s="388"/>
      <c r="C354" s="391"/>
      <c r="D354" s="391"/>
      <c r="E354" s="391"/>
      <c r="F354" s="391"/>
      <c r="G354" s="391"/>
      <c r="H354" s="391"/>
      <c r="I354" s="765"/>
      <c r="J354" s="391"/>
      <c r="K354" s="391"/>
      <c r="L354" s="391"/>
      <c r="M354" s="391"/>
      <c r="N354" s="391"/>
      <c r="O354" s="765"/>
      <c r="P354" s="391"/>
      <c r="Q354" s="391"/>
      <c r="R354" s="391"/>
      <c r="S354" s="765"/>
      <c r="T354" s="391"/>
      <c r="U354" s="765"/>
      <c r="V354" s="391"/>
      <c r="W354" s="765"/>
      <c r="X354" s="378"/>
      <c r="Y354" s="180"/>
      <c r="Z354" s="180"/>
      <c r="AA354" s="180"/>
      <c r="AB354" s="180"/>
    </row>
    <row r="355" spans="1:28" s="203" customFormat="1" x14ac:dyDescent="0.2">
      <c r="A355" s="636"/>
      <c r="B355" s="389"/>
      <c r="C355" s="392"/>
      <c r="D355" s="392"/>
      <c r="E355" s="392"/>
      <c r="F355" s="392"/>
      <c r="G355" s="392"/>
      <c r="H355" s="392"/>
      <c r="I355" s="766"/>
      <c r="J355" s="392"/>
      <c r="K355" s="392"/>
      <c r="L355" s="392"/>
      <c r="M355" s="392"/>
      <c r="N355" s="392"/>
      <c r="O355" s="766"/>
      <c r="P355" s="392"/>
      <c r="Q355" s="392"/>
      <c r="R355" s="392"/>
      <c r="S355" s="766"/>
      <c r="T355" s="392"/>
      <c r="U355" s="766"/>
      <c r="V355" s="392"/>
      <c r="W355" s="766"/>
      <c r="X355" s="378"/>
      <c r="Y355" s="180"/>
      <c r="Z355" s="180"/>
      <c r="AA355" s="180"/>
      <c r="AB355" s="180"/>
    </row>
    <row r="356" spans="1:28" s="212" customFormat="1" ht="13.5" thickBot="1" x14ac:dyDescent="0.25">
      <c r="A356" s="640"/>
      <c r="B356" s="777"/>
      <c r="C356" s="778"/>
      <c r="D356" s="778"/>
      <c r="E356" s="778"/>
      <c r="F356" s="1512"/>
      <c r="G356" s="778"/>
      <c r="H356" s="778"/>
      <c r="I356" s="779"/>
      <c r="J356" s="778"/>
      <c r="K356" s="778"/>
      <c r="L356" s="778"/>
      <c r="M356" s="778"/>
      <c r="N356" s="778"/>
      <c r="O356" s="779"/>
      <c r="P356" s="778"/>
      <c r="Q356" s="778"/>
      <c r="R356" s="778"/>
      <c r="S356" s="779"/>
      <c r="T356" s="778"/>
      <c r="U356" s="779"/>
      <c r="V356" s="778"/>
      <c r="W356" s="779"/>
      <c r="X356" s="378"/>
      <c r="Y356" s="180"/>
      <c r="Z356" s="180"/>
      <c r="AA356" s="180"/>
      <c r="AB356" s="180"/>
    </row>
    <row r="357" spans="1:28" ht="13.5" thickTop="1" x14ac:dyDescent="0.2">
      <c r="A357" s="230"/>
      <c r="B357" s="780"/>
      <c r="C357" s="781"/>
      <c r="D357" s="781"/>
      <c r="E357" s="781"/>
      <c r="F357" s="781"/>
      <c r="G357" s="781"/>
      <c r="H357" s="781"/>
      <c r="I357" s="782"/>
      <c r="J357" s="781"/>
      <c r="K357" s="781"/>
      <c r="L357" s="781"/>
      <c r="M357" s="781"/>
      <c r="N357" s="781"/>
      <c r="O357" s="782"/>
      <c r="P357" s="781"/>
      <c r="Q357" s="781"/>
      <c r="R357" s="781"/>
      <c r="S357" s="782"/>
      <c r="T357" s="781"/>
      <c r="U357" s="782"/>
      <c r="V357" s="781"/>
      <c r="W357" s="782"/>
      <c r="X357" s="378"/>
      <c r="Y357" s="180"/>
      <c r="Z357" s="180"/>
      <c r="AA357" s="180"/>
      <c r="AB357" s="180"/>
    </row>
    <row r="358" spans="1:28" s="203" customFormat="1" x14ac:dyDescent="0.2">
      <c r="A358" s="636"/>
      <c r="B358" s="389"/>
      <c r="C358" s="392"/>
      <c r="D358" s="392"/>
      <c r="E358" s="392"/>
      <c r="F358" s="392"/>
      <c r="G358" s="392"/>
      <c r="H358" s="392"/>
      <c r="I358" s="766"/>
      <c r="J358" s="392"/>
      <c r="K358" s="392"/>
      <c r="L358" s="392"/>
      <c r="M358" s="392"/>
      <c r="N358" s="392"/>
      <c r="O358" s="766"/>
      <c r="P358" s="392"/>
      <c r="Q358" s="392"/>
      <c r="R358" s="392"/>
      <c r="S358" s="766"/>
      <c r="T358" s="392"/>
      <c r="U358" s="766"/>
      <c r="V358" s="392"/>
      <c r="W358" s="766"/>
      <c r="X358" s="378"/>
      <c r="Y358" s="180"/>
      <c r="Z358" s="180"/>
      <c r="AA358" s="180"/>
      <c r="AB358" s="180"/>
    </row>
    <row r="359" spans="1:28" s="202" customFormat="1" x14ac:dyDescent="0.2">
      <c r="A359" s="637"/>
      <c r="B359" s="639"/>
      <c r="C359" s="466"/>
      <c r="D359" s="466"/>
      <c r="E359" s="466"/>
      <c r="F359" s="466"/>
      <c r="G359" s="466"/>
      <c r="H359" s="466"/>
      <c r="I359" s="767"/>
      <c r="J359" s="466"/>
      <c r="K359" s="466"/>
      <c r="L359" s="466"/>
      <c r="M359" s="466"/>
      <c r="N359" s="466"/>
      <c r="O359" s="767"/>
      <c r="P359" s="466"/>
      <c r="Q359" s="466"/>
      <c r="R359" s="466"/>
      <c r="S359" s="767"/>
      <c r="T359" s="763"/>
      <c r="U359" s="767"/>
      <c r="V359" s="466"/>
      <c r="W359" s="767"/>
      <c r="X359" s="378"/>
      <c r="Y359" s="180"/>
      <c r="Z359" s="180"/>
      <c r="AA359" s="180"/>
      <c r="AB359" s="180"/>
    </row>
    <row r="360" spans="1:28" x14ac:dyDescent="0.2">
      <c r="A360" s="636"/>
      <c r="B360" s="388"/>
      <c r="C360" s="391"/>
      <c r="D360" s="391"/>
      <c r="E360" s="391"/>
      <c r="F360" s="391"/>
      <c r="G360" s="391"/>
      <c r="H360" s="391"/>
      <c r="I360" s="765"/>
      <c r="J360" s="391"/>
      <c r="K360" s="391"/>
      <c r="L360" s="391"/>
      <c r="M360" s="391"/>
      <c r="N360" s="391"/>
      <c r="O360" s="765"/>
      <c r="P360" s="391"/>
      <c r="Q360" s="391"/>
      <c r="R360" s="391"/>
      <c r="S360" s="765"/>
      <c r="T360" s="391"/>
      <c r="U360" s="765"/>
      <c r="V360" s="391"/>
      <c r="W360" s="765"/>
      <c r="X360" s="378"/>
      <c r="Y360" s="180"/>
      <c r="Z360" s="180"/>
      <c r="AA360" s="180"/>
      <c r="AB360" s="180"/>
    </row>
    <row r="361" spans="1:28" s="203" customFormat="1" x14ac:dyDescent="0.2">
      <c r="A361" s="636"/>
      <c r="B361" s="389"/>
      <c r="C361" s="392"/>
      <c r="D361" s="392"/>
      <c r="E361" s="392"/>
      <c r="F361" s="392"/>
      <c r="G361" s="392"/>
      <c r="H361" s="392"/>
      <c r="I361" s="766"/>
      <c r="J361" s="392"/>
      <c r="K361" s="392"/>
      <c r="L361" s="392"/>
      <c r="M361" s="392"/>
      <c r="N361" s="392"/>
      <c r="O361" s="766"/>
      <c r="P361" s="392"/>
      <c r="Q361" s="392"/>
      <c r="R361" s="392"/>
      <c r="S361" s="766"/>
      <c r="T361" s="392"/>
      <c r="U361" s="766"/>
      <c r="V361" s="392"/>
      <c r="W361" s="766"/>
      <c r="X361" s="378"/>
      <c r="Y361" s="180"/>
      <c r="Z361" s="180"/>
      <c r="AA361" s="180"/>
      <c r="AB361" s="180"/>
    </row>
    <row r="362" spans="1:28" s="202" customFormat="1" x14ac:dyDescent="0.2">
      <c r="A362" s="636"/>
      <c r="B362" s="639"/>
      <c r="C362" s="466"/>
      <c r="D362" s="466"/>
      <c r="E362" s="466"/>
      <c r="F362" s="466"/>
      <c r="G362" s="466"/>
      <c r="H362" s="466"/>
      <c r="I362" s="767"/>
      <c r="J362" s="466"/>
      <c r="K362" s="466"/>
      <c r="L362" s="466"/>
      <c r="M362" s="466"/>
      <c r="N362" s="466"/>
      <c r="O362" s="767"/>
      <c r="P362" s="466"/>
      <c r="Q362" s="466"/>
      <c r="R362" s="466"/>
      <c r="S362" s="767"/>
      <c r="T362" s="466"/>
      <c r="U362" s="767"/>
      <c r="V362" s="763"/>
      <c r="W362" s="767"/>
      <c r="X362" s="378"/>
      <c r="Y362" s="180"/>
      <c r="Z362" s="180"/>
      <c r="AA362" s="180"/>
      <c r="AB362" s="180"/>
    </row>
    <row r="363" spans="1:28" x14ac:dyDescent="0.2">
      <c r="A363" s="636"/>
      <c r="B363" s="388"/>
      <c r="C363" s="391"/>
      <c r="D363" s="391"/>
      <c r="E363" s="391"/>
      <c r="F363" s="391"/>
      <c r="G363" s="391"/>
      <c r="H363" s="391"/>
      <c r="I363" s="765"/>
      <c r="J363" s="391"/>
      <c r="K363" s="391"/>
      <c r="L363" s="391"/>
      <c r="M363" s="391"/>
      <c r="N363" s="391"/>
      <c r="O363" s="765"/>
      <c r="P363" s="391"/>
      <c r="Q363" s="391"/>
      <c r="R363" s="391"/>
      <c r="S363" s="765"/>
      <c r="T363" s="391"/>
      <c r="U363" s="765"/>
      <c r="V363" s="391"/>
      <c r="W363" s="765"/>
      <c r="X363" s="378"/>
      <c r="Y363" s="180"/>
      <c r="Z363" s="180"/>
      <c r="AA363" s="180"/>
      <c r="AB363" s="180"/>
    </row>
    <row r="364" spans="1:28" s="203" customFormat="1" x14ac:dyDescent="0.2">
      <c r="A364" s="636"/>
      <c r="B364" s="389"/>
      <c r="C364" s="392"/>
      <c r="D364" s="392"/>
      <c r="E364" s="392"/>
      <c r="F364" s="392"/>
      <c r="G364" s="392"/>
      <c r="H364" s="392"/>
      <c r="I364" s="766"/>
      <c r="J364" s="392"/>
      <c r="K364" s="392"/>
      <c r="L364" s="392"/>
      <c r="M364" s="392"/>
      <c r="N364" s="392"/>
      <c r="O364" s="766"/>
      <c r="P364" s="392"/>
      <c r="Q364" s="392"/>
      <c r="R364" s="392"/>
      <c r="S364" s="766"/>
      <c r="T364" s="392"/>
      <c r="U364" s="766"/>
      <c r="V364" s="392"/>
      <c r="W364" s="766"/>
      <c r="X364" s="378"/>
      <c r="Y364" s="180"/>
      <c r="Z364" s="180"/>
      <c r="AA364" s="180"/>
      <c r="AB364" s="180"/>
    </row>
    <row r="365" spans="1:28" s="202" customFormat="1" x14ac:dyDescent="0.2">
      <c r="A365" s="636"/>
      <c r="B365" s="639"/>
      <c r="C365" s="466"/>
      <c r="D365" s="466"/>
      <c r="E365" s="466"/>
      <c r="F365" s="466"/>
      <c r="G365" s="466"/>
      <c r="H365" s="466"/>
      <c r="I365" s="767"/>
      <c r="J365" s="466"/>
      <c r="K365" s="466"/>
      <c r="L365" s="466"/>
      <c r="M365" s="466"/>
      <c r="N365" s="466"/>
      <c r="O365" s="767"/>
      <c r="P365" s="466"/>
      <c r="Q365" s="466"/>
      <c r="R365" s="466"/>
      <c r="S365" s="767"/>
      <c r="T365" s="466"/>
      <c r="U365" s="767"/>
      <c r="V365" s="466"/>
      <c r="W365" s="767"/>
      <c r="X365" s="378"/>
      <c r="Y365" s="180"/>
      <c r="Z365" s="180"/>
      <c r="AA365" s="180"/>
      <c r="AB365" s="180"/>
    </row>
    <row r="366" spans="1:28" x14ac:dyDescent="0.2">
      <c r="A366" s="636"/>
      <c r="B366" s="388"/>
      <c r="C366" s="391"/>
      <c r="D366" s="391"/>
      <c r="E366" s="391"/>
      <c r="F366" s="391"/>
      <c r="G366" s="391"/>
      <c r="H366" s="391"/>
      <c r="I366" s="765"/>
      <c r="J366" s="391"/>
      <c r="K366" s="391"/>
      <c r="L366" s="391"/>
      <c r="M366" s="391"/>
      <c r="N366" s="391"/>
      <c r="O366" s="765"/>
      <c r="P366" s="391"/>
      <c r="Q366" s="391"/>
      <c r="R366" s="391"/>
      <c r="S366" s="765"/>
      <c r="T366" s="391"/>
      <c r="U366" s="765"/>
      <c r="V366" s="391"/>
      <c r="W366" s="765"/>
      <c r="X366" s="378"/>
      <c r="Y366" s="180"/>
      <c r="Z366" s="180"/>
      <c r="AA366" s="180"/>
      <c r="AB366" s="180"/>
    </row>
    <row r="367" spans="1:28" s="203" customFormat="1" x14ac:dyDescent="0.2">
      <c r="A367" s="636"/>
      <c r="B367" s="389"/>
      <c r="C367" s="392"/>
      <c r="D367" s="392"/>
      <c r="E367" s="392"/>
      <c r="F367" s="392"/>
      <c r="G367" s="392"/>
      <c r="H367" s="392"/>
      <c r="I367" s="766"/>
      <c r="J367" s="392"/>
      <c r="K367" s="392"/>
      <c r="L367" s="392"/>
      <c r="M367" s="392"/>
      <c r="N367" s="392"/>
      <c r="O367" s="766"/>
      <c r="P367" s="392"/>
      <c r="Q367" s="392"/>
      <c r="R367" s="392"/>
      <c r="S367" s="766"/>
      <c r="T367" s="392"/>
      <c r="U367" s="766"/>
      <c r="V367" s="392"/>
      <c r="W367" s="766"/>
      <c r="X367" s="378"/>
      <c r="Y367" s="180"/>
      <c r="Z367" s="180"/>
      <c r="AA367" s="180"/>
      <c r="AB367" s="180"/>
    </row>
    <row r="368" spans="1:28" s="202" customFormat="1" x14ac:dyDescent="0.2">
      <c r="A368" s="636"/>
      <c r="B368" s="639"/>
      <c r="C368" s="466"/>
      <c r="D368" s="466"/>
      <c r="E368" s="466"/>
      <c r="F368" s="763"/>
      <c r="G368" s="763"/>
      <c r="H368" s="466"/>
      <c r="I368" s="767"/>
      <c r="J368" s="466"/>
      <c r="K368" s="466"/>
      <c r="L368" s="466"/>
      <c r="M368" s="763"/>
      <c r="N368" s="466"/>
      <c r="O368" s="767"/>
      <c r="P368" s="466"/>
      <c r="Q368" s="466"/>
      <c r="R368" s="466"/>
      <c r="S368" s="767"/>
      <c r="T368" s="466"/>
      <c r="U368" s="767"/>
      <c r="V368" s="466"/>
      <c r="W368" s="767"/>
      <c r="X368" s="378"/>
      <c r="Y368" s="180"/>
      <c r="Z368" s="180"/>
      <c r="AA368" s="180"/>
      <c r="AB368" s="180"/>
    </row>
    <row r="369" spans="1:28" x14ac:dyDescent="0.2">
      <c r="A369" s="636"/>
      <c r="B369" s="388"/>
      <c r="C369" s="391"/>
      <c r="D369" s="391"/>
      <c r="E369" s="391"/>
      <c r="F369" s="391"/>
      <c r="G369" s="391"/>
      <c r="H369" s="391"/>
      <c r="I369" s="765"/>
      <c r="J369" s="391"/>
      <c r="K369" s="391"/>
      <c r="L369" s="391"/>
      <c r="M369" s="391"/>
      <c r="N369" s="391"/>
      <c r="O369" s="765"/>
      <c r="P369" s="391"/>
      <c r="Q369" s="391"/>
      <c r="R369" s="391"/>
      <c r="S369" s="765"/>
      <c r="T369" s="391"/>
      <c r="U369" s="765"/>
      <c r="V369" s="391"/>
      <c r="W369" s="765"/>
      <c r="X369" s="378"/>
      <c r="Y369" s="180"/>
      <c r="Z369" s="180"/>
      <c r="AA369" s="180"/>
      <c r="AB369" s="180"/>
    </row>
    <row r="370" spans="1:28" s="203" customFormat="1" x14ac:dyDescent="0.2">
      <c r="A370" s="636"/>
      <c r="B370" s="389"/>
      <c r="C370" s="392"/>
      <c r="D370" s="392"/>
      <c r="E370" s="392"/>
      <c r="F370" s="392"/>
      <c r="G370" s="392"/>
      <c r="H370" s="392"/>
      <c r="I370" s="766"/>
      <c r="J370" s="392"/>
      <c r="K370" s="392"/>
      <c r="L370" s="392"/>
      <c r="M370" s="392"/>
      <c r="N370" s="392"/>
      <c r="O370" s="766"/>
      <c r="P370" s="392"/>
      <c r="Q370" s="392"/>
      <c r="R370" s="392"/>
      <c r="S370" s="766"/>
      <c r="T370" s="392"/>
      <c r="U370" s="766"/>
      <c r="V370" s="392"/>
      <c r="W370" s="766"/>
      <c r="X370" s="378"/>
      <c r="Y370" s="180"/>
      <c r="Z370" s="180"/>
      <c r="AA370" s="180"/>
      <c r="AB370" s="180"/>
    </row>
    <row r="371" spans="1:28" s="202" customFormat="1" x14ac:dyDescent="0.2">
      <c r="A371" s="636"/>
      <c r="B371" s="639"/>
      <c r="C371" s="466"/>
      <c r="D371" s="466"/>
      <c r="E371" s="466"/>
      <c r="F371" s="466"/>
      <c r="G371" s="466"/>
      <c r="H371" s="466"/>
      <c r="I371" s="767"/>
      <c r="J371" s="466"/>
      <c r="K371" s="466"/>
      <c r="L371" s="466"/>
      <c r="M371" s="466"/>
      <c r="N371" s="466"/>
      <c r="O371" s="767"/>
      <c r="P371" s="466"/>
      <c r="Q371" s="466"/>
      <c r="R371" s="466"/>
      <c r="S371" s="767"/>
      <c r="T371" s="466"/>
      <c r="U371" s="767"/>
      <c r="V371" s="466"/>
      <c r="W371" s="767"/>
      <c r="X371" s="378"/>
      <c r="Y371" s="180"/>
      <c r="Z371" s="180"/>
      <c r="AA371" s="180"/>
      <c r="AB371" s="180"/>
    </row>
    <row r="372" spans="1:28" x14ac:dyDescent="0.2">
      <c r="A372" s="636"/>
      <c r="B372" s="768"/>
      <c r="C372" s="765"/>
      <c r="D372" s="765"/>
      <c r="E372" s="765"/>
      <c r="F372" s="765"/>
      <c r="G372" s="765"/>
      <c r="H372" s="765"/>
      <c r="I372" s="765"/>
      <c r="J372" s="765"/>
      <c r="K372" s="765"/>
      <c r="L372" s="765"/>
      <c r="M372" s="765"/>
      <c r="N372" s="765"/>
      <c r="O372" s="765"/>
      <c r="P372" s="765"/>
      <c r="Q372" s="765"/>
      <c r="R372" s="765"/>
      <c r="S372" s="765"/>
      <c r="T372" s="765"/>
      <c r="U372" s="765"/>
      <c r="V372" s="765"/>
      <c r="W372" s="765"/>
      <c r="X372" s="378"/>
      <c r="Y372" s="180"/>
      <c r="Z372" s="180"/>
      <c r="AA372" s="180"/>
      <c r="AB372" s="180"/>
    </row>
    <row r="373" spans="1:28" s="203" customFormat="1" x14ac:dyDescent="0.2">
      <c r="A373" s="636"/>
      <c r="B373" s="769"/>
      <c r="C373" s="766"/>
      <c r="D373" s="766"/>
      <c r="E373" s="766"/>
      <c r="F373" s="766"/>
      <c r="G373" s="766"/>
      <c r="H373" s="766"/>
      <c r="I373" s="766"/>
      <c r="J373" s="766"/>
      <c r="K373" s="766"/>
      <c r="L373" s="766"/>
      <c r="M373" s="766"/>
      <c r="N373" s="766"/>
      <c r="O373" s="766"/>
      <c r="P373" s="766"/>
      <c r="Q373" s="766"/>
      <c r="R373" s="766"/>
      <c r="S373" s="766"/>
      <c r="T373" s="766"/>
      <c r="U373" s="766"/>
      <c r="V373" s="766"/>
      <c r="W373" s="766"/>
      <c r="X373" s="378"/>
      <c r="Y373" s="180"/>
      <c r="Z373" s="180"/>
      <c r="AA373" s="180"/>
      <c r="AB373" s="180"/>
    </row>
    <row r="374" spans="1:28" s="202" customFormat="1" x14ac:dyDescent="0.2">
      <c r="A374" s="636"/>
      <c r="B374" s="770"/>
      <c r="C374" s="767"/>
      <c r="D374" s="767"/>
      <c r="E374" s="767"/>
      <c r="F374" s="767"/>
      <c r="G374" s="767"/>
      <c r="H374" s="767"/>
      <c r="I374" s="767"/>
      <c r="J374" s="767"/>
      <c r="K374" s="767"/>
      <c r="L374" s="767"/>
      <c r="M374" s="767"/>
      <c r="N374" s="767"/>
      <c r="O374" s="767"/>
      <c r="P374" s="767"/>
      <c r="Q374" s="767"/>
      <c r="R374" s="767"/>
      <c r="S374" s="767"/>
      <c r="T374" s="767"/>
      <c r="U374" s="767"/>
      <c r="V374" s="767"/>
      <c r="W374" s="767"/>
      <c r="X374" s="378"/>
      <c r="Y374" s="180"/>
      <c r="Z374" s="180"/>
      <c r="AA374" s="180"/>
      <c r="AB374" s="180"/>
    </row>
    <row r="375" spans="1:28" x14ac:dyDescent="0.2">
      <c r="A375" s="636"/>
      <c r="B375" s="388"/>
      <c r="C375" s="391"/>
      <c r="D375" s="391"/>
      <c r="E375" s="391"/>
      <c r="F375" s="391"/>
      <c r="G375" s="391"/>
      <c r="H375" s="391"/>
      <c r="I375" s="765"/>
      <c r="J375" s="391"/>
      <c r="K375" s="391"/>
      <c r="L375" s="391"/>
      <c r="M375" s="391"/>
      <c r="N375" s="391"/>
      <c r="O375" s="765"/>
      <c r="P375" s="391"/>
      <c r="Q375" s="391"/>
      <c r="R375" s="391"/>
      <c r="S375" s="765"/>
      <c r="T375" s="391"/>
      <c r="U375" s="765"/>
      <c r="V375" s="391"/>
      <c r="W375" s="765"/>
      <c r="X375" s="378"/>
      <c r="Y375" s="180"/>
      <c r="Z375" s="180"/>
      <c r="AA375" s="180"/>
      <c r="AB375" s="180"/>
    </row>
    <row r="376" spans="1:28" s="203" customFormat="1" x14ac:dyDescent="0.2">
      <c r="A376" s="636"/>
      <c r="B376" s="389"/>
      <c r="C376" s="392"/>
      <c r="D376" s="392"/>
      <c r="E376" s="392"/>
      <c r="F376" s="392"/>
      <c r="G376" s="392"/>
      <c r="H376" s="392"/>
      <c r="I376" s="766"/>
      <c r="J376" s="392"/>
      <c r="K376" s="392"/>
      <c r="L376" s="392"/>
      <c r="M376" s="392"/>
      <c r="N376" s="392"/>
      <c r="O376" s="766"/>
      <c r="P376" s="392"/>
      <c r="Q376" s="392"/>
      <c r="R376" s="392"/>
      <c r="S376" s="766"/>
      <c r="T376" s="392"/>
      <c r="U376" s="766"/>
      <c r="V376" s="392"/>
      <c r="W376" s="766"/>
      <c r="X376" s="378"/>
      <c r="Y376" s="180"/>
      <c r="Z376" s="180"/>
      <c r="AA376" s="180"/>
      <c r="AB376" s="180"/>
    </row>
    <row r="377" spans="1:28" s="202" customFormat="1" x14ac:dyDescent="0.2">
      <c r="A377" s="636"/>
      <c r="B377" s="639"/>
      <c r="C377" s="466"/>
      <c r="D377" s="466"/>
      <c r="E377" s="466"/>
      <c r="F377" s="466"/>
      <c r="G377" s="466"/>
      <c r="H377" s="466"/>
      <c r="I377" s="767"/>
      <c r="J377" s="466"/>
      <c r="K377" s="466"/>
      <c r="L377" s="466"/>
      <c r="M377" s="466"/>
      <c r="N377" s="466"/>
      <c r="O377" s="767"/>
      <c r="P377" s="466"/>
      <c r="Q377" s="466"/>
      <c r="R377" s="466"/>
      <c r="S377" s="767"/>
      <c r="T377" s="763"/>
      <c r="U377" s="767"/>
      <c r="V377" s="466"/>
      <c r="W377" s="767"/>
      <c r="X377" s="378"/>
      <c r="Y377" s="180"/>
      <c r="Z377" s="180"/>
      <c r="AA377" s="180"/>
      <c r="AB377" s="180"/>
    </row>
    <row r="378" spans="1:28" x14ac:dyDescent="0.2">
      <c r="A378" s="636"/>
      <c r="B378" s="388"/>
      <c r="C378" s="391"/>
      <c r="D378" s="391"/>
      <c r="E378" s="391"/>
      <c r="F378" s="391"/>
      <c r="G378" s="391"/>
      <c r="H378" s="391"/>
      <c r="I378" s="765"/>
      <c r="J378" s="391"/>
      <c r="K378" s="391"/>
      <c r="L378" s="391"/>
      <c r="M378" s="391"/>
      <c r="N378" s="391"/>
      <c r="O378" s="765"/>
      <c r="P378" s="391"/>
      <c r="Q378" s="391"/>
      <c r="R378" s="391"/>
      <c r="S378" s="765"/>
      <c r="T378" s="391"/>
      <c r="U378" s="765"/>
      <c r="V378" s="391"/>
      <c r="W378" s="765"/>
      <c r="X378" s="378"/>
      <c r="Y378" s="180"/>
      <c r="Z378" s="180"/>
      <c r="AA378" s="180"/>
      <c r="AB378" s="180"/>
    </row>
    <row r="379" spans="1:28" s="203" customFormat="1" x14ac:dyDescent="0.2">
      <c r="A379" s="636"/>
      <c r="B379" s="389"/>
      <c r="C379" s="392"/>
      <c r="D379" s="392"/>
      <c r="E379" s="392"/>
      <c r="F379" s="392"/>
      <c r="G379" s="392"/>
      <c r="H379" s="392"/>
      <c r="I379" s="766"/>
      <c r="J379" s="392"/>
      <c r="K379" s="392"/>
      <c r="L379" s="392"/>
      <c r="M379" s="392"/>
      <c r="N379" s="392"/>
      <c r="O379" s="766"/>
      <c r="P379" s="392"/>
      <c r="Q379" s="392"/>
      <c r="R379" s="392"/>
      <c r="S379" s="766"/>
      <c r="T379" s="392"/>
      <c r="U379" s="766"/>
      <c r="V379" s="392"/>
      <c r="W379" s="766"/>
      <c r="X379" s="378"/>
      <c r="Y379" s="180"/>
      <c r="Z379" s="180"/>
      <c r="AA379" s="180"/>
      <c r="AB379" s="180"/>
    </row>
    <row r="380" spans="1:28" s="202" customFormat="1" x14ac:dyDescent="0.2">
      <c r="A380" s="636"/>
      <c r="B380" s="639"/>
      <c r="C380" s="466"/>
      <c r="D380" s="466"/>
      <c r="E380" s="466"/>
      <c r="F380" s="466"/>
      <c r="G380" s="466"/>
      <c r="H380" s="466"/>
      <c r="I380" s="767"/>
      <c r="J380" s="466"/>
      <c r="K380" s="466"/>
      <c r="L380" s="466"/>
      <c r="M380" s="466"/>
      <c r="N380" s="466"/>
      <c r="O380" s="767"/>
      <c r="P380" s="466"/>
      <c r="Q380" s="466"/>
      <c r="R380" s="466"/>
      <c r="S380" s="767"/>
      <c r="T380" s="763"/>
      <c r="U380" s="767"/>
      <c r="V380" s="466"/>
      <c r="W380" s="767"/>
      <c r="X380" s="378"/>
      <c r="Y380" s="180"/>
      <c r="Z380" s="180"/>
      <c r="AA380" s="180"/>
      <c r="AB380" s="180"/>
    </row>
    <row r="381" spans="1:28" x14ac:dyDescent="0.2">
      <c r="A381" s="636"/>
      <c r="B381" s="388"/>
      <c r="C381" s="391"/>
      <c r="D381" s="391"/>
      <c r="E381" s="391"/>
      <c r="F381" s="391"/>
      <c r="G381" s="391"/>
      <c r="H381" s="391"/>
      <c r="I381" s="765"/>
      <c r="J381" s="391"/>
      <c r="K381" s="391"/>
      <c r="L381" s="391"/>
      <c r="M381" s="391"/>
      <c r="N381" s="391"/>
      <c r="O381" s="765"/>
      <c r="P381" s="391"/>
      <c r="Q381" s="391"/>
      <c r="R381" s="391"/>
      <c r="S381" s="765"/>
      <c r="T381" s="391"/>
      <c r="U381" s="765"/>
      <c r="V381" s="391"/>
      <c r="W381" s="765"/>
      <c r="X381" s="378"/>
      <c r="Y381" s="180"/>
      <c r="Z381" s="180"/>
      <c r="AA381" s="180"/>
      <c r="AB381" s="180"/>
    </row>
    <row r="382" spans="1:28" s="203" customFormat="1" x14ac:dyDescent="0.2">
      <c r="A382" s="636"/>
      <c r="B382" s="389"/>
      <c r="C382" s="392"/>
      <c r="D382" s="392"/>
      <c r="E382" s="392"/>
      <c r="F382" s="392"/>
      <c r="G382" s="392"/>
      <c r="H382" s="392"/>
      <c r="I382" s="766"/>
      <c r="J382" s="392"/>
      <c r="K382" s="392"/>
      <c r="L382" s="392"/>
      <c r="M382" s="392"/>
      <c r="N382" s="392"/>
      <c r="O382" s="766"/>
      <c r="P382" s="392"/>
      <c r="Q382" s="392"/>
      <c r="R382" s="392"/>
      <c r="S382" s="766"/>
      <c r="T382" s="392"/>
      <c r="U382" s="766"/>
      <c r="V382" s="392"/>
      <c r="W382" s="766"/>
      <c r="X382" s="378"/>
      <c r="Y382" s="180"/>
      <c r="Z382" s="180"/>
      <c r="AA382" s="180"/>
      <c r="AB382" s="180"/>
    </row>
    <row r="383" spans="1:28" s="202" customFormat="1" x14ac:dyDescent="0.2">
      <c r="A383" s="636"/>
      <c r="B383" s="639"/>
      <c r="C383" s="466"/>
      <c r="D383" s="466"/>
      <c r="E383" s="466"/>
      <c r="F383" s="466"/>
      <c r="G383" s="466"/>
      <c r="H383" s="466"/>
      <c r="I383" s="767"/>
      <c r="J383" s="466"/>
      <c r="K383" s="466"/>
      <c r="L383" s="466"/>
      <c r="M383" s="466"/>
      <c r="N383" s="466"/>
      <c r="O383" s="767"/>
      <c r="P383" s="466"/>
      <c r="Q383" s="466"/>
      <c r="R383" s="466"/>
      <c r="S383" s="767"/>
      <c r="T383" s="466"/>
      <c r="U383" s="767"/>
      <c r="V383" s="466"/>
      <c r="W383" s="767"/>
      <c r="X383" s="378"/>
      <c r="Y383" s="180"/>
      <c r="Z383" s="180"/>
      <c r="AA383" s="180"/>
      <c r="AB383" s="180"/>
    </row>
    <row r="384" spans="1:28" x14ac:dyDescent="0.2">
      <c r="A384" s="636"/>
      <c r="B384" s="388"/>
      <c r="C384" s="391"/>
      <c r="D384" s="391"/>
      <c r="E384" s="391"/>
      <c r="F384" s="391"/>
      <c r="G384" s="391"/>
      <c r="H384" s="391"/>
      <c r="I384" s="765"/>
      <c r="J384" s="391"/>
      <c r="K384" s="391"/>
      <c r="L384" s="391"/>
      <c r="M384" s="391"/>
      <c r="N384" s="391"/>
      <c r="O384" s="765"/>
      <c r="P384" s="391"/>
      <c r="Q384" s="391"/>
      <c r="R384" s="391"/>
      <c r="S384" s="765"/>
      <c r="T384" s="391"/>
      <c r="U384" s="765"/>
      <c r="V384" s="391"/>
      <c r="W384" s="765"/>
      <c r="X384" s="378"/>
      <c r="Y384" s="180"/>
      <c r="Z384" s="180"/>
      <c r="AA384" s="180"/>
      <c r="AB384" s="180"/>
    </row>
    <row r="385" spans="1:28" s="203" customFormat="1" x14ac:dyDescent="0.2">
      <c r="A385" s="636"/>
      <c r="B385" s="389"/>
      <c r="C385" s="392"/>
      <c r="D385" s="392"/>
      <c r="E385" s="392"/>
      <c r="F385" s="392"/>
      <c r="G385" s="392"/>
      <c r="H385" s="392"/>
      <c r="I385" s="766"/>
      <c r="J385" s="392"/>
      <c r="K385" s="392"/>
      <c r="L385" s="392"/>
      <c r="M385" s="392"/>
      <c r="N385" s="392"/>
      <c r="O385" s="766"/>
      <c r="P385" s="392"/>
      <c r="Q385" s="392"/>
      <c r="R385" s="392"/>
      <c r="S385" s="766"/>
      <c r="T385" s="392"/>
      <c r="U385" s="766"/>
      <c r="V385" s="392"/>
      <c r="W385" s="766"/>
      <c r="X385" s="378"/>
      <c r="Y385" s="180"/>
      <c r="Z385" s="180"/>
      <c r="AA385" s="180"/>
      <c r="AB385" s="180"/>
    </row>
    <row r="386" spans="1:28" s="202" customFormat="1" x14ac:dyDescent="0.2">
      <c r="A386" s="636"/>
      <c r="B386" s="639"/>
      <c r="C386" s="466"/>
      <c r="D386" s="466"/>
      <c r="E386" s="466"/>
      <c r="F386" s="466"/>
      <c r="G386" s="466"/>
      <c r="H386" s="466"/>
      <c r="I386" s="767"/>
      <c r="J386" s="466"/>
      <c r="K386" s="466"/>
      <c r="L386" s="466"/>
      <c r="M386" s="466"/>
      <c r="N386" s="466"/>
      <c r="O386" s="767"/>
      <c r="P386" s="466"/>
      <c r="Q386" s="466"/>
      <c r="R386" s="466"/>
      <c r="S386" s="767"/>
      <c r="T386" s="763"/>
      <c r="U386" s="767"/>
      <c r="V386" s="466"/>
      <c r="W386" s="767"/>
      <c r="X386" s="378"/>
      <c r="Y386" s="180"/>
      <c r="Z386" s="180"/>
      <c r="AA386" s="180"/>
      <c r="AB386" s="180"/>
    </row>
    <row r="387" spans="1:28" x14ac:dyDescent="0.2">
      <c r="A387" s="636"/>
      <c r="B387" s="388"/>
      <c r="C387" s="391"/>
      <c r="D387" s="391"/>
      <c r="E387" s="391"/>
      <c r="F387" s="391"/>
      <c r="G387" s="391"/>
      <c r="H387" s="391"/>
      <c r="I387" s="765"/>
      <c r="J387" s="391"/>
      <c r="K387" s="391"/>
      <c r="L387" s="391"/>
      <c r="M387" s="391"/>
      <c r="N387" s="391"/>
      <c r="O387" s="765"/>
      <c r="P387" s="391"/>
      <c r="Q387" s="391"/>
      <c r="R387" s="391"/>
      <c r="S387" s="765"/>
      <c r="T387" s="391"/>
      <c r="U387" s="765"/>
      <c r="V387" s="391"/>
      <c r="W387" s="765"/>
      <c r="X387" s="378"/>
      <c r="Y387" s="180"/>
      <c r="Z387" s="180"/>
      <c r="AA387" s="180"/>
      <c r="AB387" s="180"/>
    </row>
    <row r="388" spans="1:28" s="203" customFormat="1" x14ac:dyDescent="0.2">
      <c r="A388" s="636"/>
      <c r="B388" s="389"/>
      <c r="C388" s="392"/>
      <c r="D388" s="392"/>
      <c r="E388" s="392"/>
      <c r="F388" s="392"/>
      <c r="G388" s="392"/>
      <c r="H388" s="392"/>
      <c r="I388" s="766"/>
      <c r="J388" s="392"/>
      <c r="K388" s="392"/>
      <c r="L388" s="392"/>
      <c r="M388" s="392"/>
      <c r="N388" s="392"/>
      <c r="O388" s="766"/>
      <c r="P388" s="392"/>
      <c r="Q388" s="392"/>
      <c r="R388" s="392"/>
      <c r="S388" s="766"/>
      <c r="T388" s="392"/>
      <c r="U388" s="766"/>
      <c r="V388" s="392"/>
      <c r="W388" s="766"/>
      <c r="X388" s="378"/>
      <c r="Y388" s="180"/>
      <c r="Z388" s="180"/>
      <c r="AA388" s="180"/>
      <c r="AB388" s="180"/>
    </row>
    <row r="389" spans="1:28" s="202" customFormat="1" x14ac:dyDescent="0.2">
      <c r="A389" s="636"/>
      <c r="B389" s="639"/>
      <c r="C389" s="466"/>
      <c r="D389" s="466"/>
      <c r="E389" s="466"/>
      <c r="F389" s="466"/>
      <c r="G389" s="466"/>
      <c r="H389" s="466"/>
      <c r="I389" s="767"/>
      <c r="J389" s="466"/>
      <c r="K389" s="466"/>
      <c r="L389" s="466"/>
      <c r="M389" s="466"/>
      <c r="N389" s="466"/>
      <c r="O389" s="767"/>
      <c r="P389" s="466"/>
      <c r="Q389" s="466"/>
      <c r="R389" s="466"/>
      <c r="S389" s="767"/>
      <c r="T389" s="466"/>
      <c r="U389" s="767"/>
      <c r="V389" s="466"/>
      <c r="W389" s="767"/>
      <c r="X389" s="378"/>
      <c r="Y389" s="180"/>
      <c r="Z389" s="180"/>
      <c r="AA389" s="180"/>
      <c r="AB389" s="180"/>
    </row>
    <row r="390" spans="1:28" x14ac:dyDescent="0.2">
      <c r="A390" s="636"/>
      <c r="B390" s="388"/>
      <c r="C390" s="391"/>
      <c r="D390" s="391"/>
      <c r="E390" s="391"/>
      <c r="F390" s="391"/>
      <c r="G390" s="391"/>
      <c r="H390" s="391"/>
      <c r="I390" s="765"/>
      <c r="J390" s="391"/>
      <c r="K390" s="391"/>
      <c r="L390" s="391"/>
      <c r="M390" s="391"/>
      <c r="N390" s="391"/>
      <c r="O390" s="765"/>
      <c r="P390" s="391"/>
      <c r="Q390" s="391"/>
      <c r="R390" s="391"/>
      <c r="S390" s="765"/>
      <c r="T390" s="391"/>
      <c r="U390" s="765"/>
      <c r="V390" s="391"/>
      <c r="W390" s="765"/>
      <c r="X390" s="378"/>
      <c r="Y390" s="180"/>
      <c r="Z390" s="180"/>
      <c r="AA390" s="180"/>
      <c r="AB390" s="180"/>
    </row>
    <row r="391" spans="1:28" s="203" customFormat="1" x14ac:dyDescent="0.2">
      <c r="A391" s="636"/>
      <c r="B391" s="389"/>
      <c r="C391" s="392"/>
      <c r="D391" s="392"/>
      <c r="E391" s="392"/>
      <c r="F391" s="392"/>
      <c r="G391" s="392"/>
      <c r="H391" s="392"/>
      <c r="I391" s="766"/>
      <c r="J391" s="392"/>
      <c r="K391" s="392"/>
      <c r="L391" s="392"/>
      <c r="M391" s="392"/>
      <c r="N391" s="392"/>
      <c r="O391" s="766"/>
      <c r="P391" s="392"/>
      <c r="Q391" s="392"/>
      <c r="R391" s="392"/>
      <c r="S391" s="766"/>
      <c r="T391" s="392"/>
      <c r="U391" s="766"/>
      <c r="V391" s="392"/>
      <c r="W391" s="766"/>
      <c r="X391" s="378"/>
      <c r="Y391" s="180"/>
      <c r="Z391" s="180"/>
      <c r="AA391" s="180"/>
      <c r="AB391" s="180"/>
    </row>
    <row r="392" spans="1:28" s="202" customFormat="1" x14ac:dyDescent="0.2">
      <c r="A392" s="636"/>
      <c r="B392" s="639"/>
      <c r="C392" s="763"/>
      <c r="D392" s="763"/>
      <c r="E392" s="466"/>
      <c r="F392" s="466"/>
      <c r="G392" s="466"/>
      <c r="H392" s="466"/>
      <c r="I392" s="767"/>
      <c r="J392" s="466"/>
      <c r="K392" s="466"/>
      <c r="L392" s="466"/>
      <c r="M392" s="466"/>
      <c r="N392" s="466"/>
      <c r="O392" s="767"/>
      <c r="P392" s="466"/>
      <c r="Q392" s="466"/>
      <c r="R392" s="466"/>
      <c r="S392" s="767"/>
      <c r="T392" s="466"/>
      <c r="U392" s="767"/>
      <c r="V392" s="466"/>
      <c r="W392" s="767"/>
      <c r="X392" s="378"/>
      <c r="Y392" s="180"/>
      <c r="Z392" s="180"/>
      <c r="AA392" s="180"/>
      <c r="AB392" s="180"/>
    </row>
    <row r="393" spans="1:28" x14ac:dyDescent="0.2">
      <c r="A393" s="636"/>
      <c r="B393" s="388"/>
      <c r="C393" s="391"/>
      <c r="D393" s="391"/>
      <c r="E393" s="391"/>
      <c r="F393" s="391"/>
      <c r="G393" s="391"/>
      <c r="H393" s="391"/>
      <c r="I393" s="765"/>
      <c r="J393" s="391"/>
      <c r="K393" s="391"/>
      <c r="L393" s="391"/>
      <c r="M393" s="391"/>
      <c r="N393" s="391"/>
      <c r="O393" s="765"/>
      <c r="P393" s="391"/>
      <c r="Q393" s="391"/>
      <c r="R393" s="391"/>
      <c r="S393" s="765"/>
      <c r="T393" s="391"/>
      <c r="U393" s="765"/>
      <c r="V393" s="391"/>
      <c r="W393" s="765"/>
      <c r="X393" s="378"/>
      <c r="Y393" s="180"/>
      <c r="Z393" s="180"/>
      <c r="AA393" s="180"/>
      <c r="AB393" s="180"/>
    </row>
    <row r="394" spans="1:28" s="203" customFormat="1" x14ac:dyDescent="0.2">
      <c r="A394" s="636"/>
      <c r="B394" s="389"/>
      <c r="C394" s="392"/>
      <c r="D394" s="392"/>
      <c r="E394" s="392"/>
      <c r="F394" s="392"/>
      <c r="G394" s="392"/>
      <c r="H394" s="392"/>
      <c r="I394" s="766"/>
      <c r="J394" s="392"/>
      <c r="K394" s="392"/>
      <c r="L394" s="392"/>
      <c r="M394" s="392"/>
      <c r="N394" s="392"/>
      <c r="O394" s="766"/>
      <c r="P394" s="392"/>
      <c r="Q394" s="392"/>
      <c r="R394" s="392"/>
      <c r="S394" s="766"/>
      <c r="T394" s="392"/>
      <c r="U394" s="766"/>
      <c r="V394" s="392"/>
      <c r="W394" s="766"/>
      <c r="X394" s="378"/>
      <c r="Y394" s="180"/>
      <c r="Z394" s="180"/>
      <c r="AA394" s="180"/>
      <c r="AB394" s="180"/>
    </row>
    <row r="395" spans="1:28" s="212" customFormat="1" ht="13.5" thickBot="1" x14ac:dyDescent="0.25">
      <c r="A395" s="640"/>
      <c r="B395" s="777"/>
      <c r="C395" s="778"/>
      <c r="D395" s="778"/>
      <c r="E395" s="778"/>
      <c r="F395" s="778"/>
      <c r="G395" s="778"/>
      <c r="H395" s="778"/>
      <c r="I395" s="779"/>
      <c r="J395" s="778"/>
      <c r="K395" s="778"/>
      <c r="L395" s="778"/>
      <c r="M395" s="778"/>
      <c r="N395" s="778"/>
      <c r="O395" s="779"/>
      <c r="P395" s="778"/>
      <c r="Q395" s="778"/>
      <c r="R395" s="778"/>
      <c r="S395" s="779"/>
      <c r="T395" s="1512"/>
      <c r="U395" s="779"/>
      <c r="V395" s="1512"/>
      <c r="W395" s="779"/>
      <c r="X395" s="378"/>
      <c r="Y395" s="180"/>
      <c r="Z395" s="180"/>
      <c r="AA395" s="180"/>
      <c r="AB395" s="180"/>
    </row>
    <row r="396" spans="1:28" ht="13.5" thickTop="1" x14ac:dyDescent="0.2">
      <c r="A396" s="230"/>
      <c r="B396" s="780"/>
      <c r="C396" s="781"/>
      <c r="D396" s="781"/>
      <c r="E396" s="781"/>
      <c r="F396" s="781"/>
      <c r="G396" s="781"/>
      <c r="H396" s="781"/>
      <c r="I396" s="782"/>
      <c r="J396" s="781"/>
      <c r="K396" s="781"/>
      <c r="L396" s="781"/>
      <c r="M396" s="781"/>
      <c r="N396" s="781"/>
      <c r="O396" s="782"/>
      <c r="P396" s="781"/>
      <c r="Q396" s="781"/>
      <c r="R396" s="781"/>
      <c r="S396" s="782"/>
      <c r="T396" s="781"/>
      <c r="U396" s="782"/>
      <c r="V396" s="781"/>
      <c r="W396" s="782"/>
      <c r="X396" s="378"/>
      <c r="Y396" s="180"/>
      <c r="Z396" s="180"/>
      <c r="AA396" s="180"/>
      <c r="AB396" s="180"/>
    </row>
    <row r="397" spans="1:28" s="203" customFormat="1" x14ac:dyDescent="0.2">
      <c r="A397" s="636"/>
      <c r="B397" s="389"/>
      <c r="C397" s="392"/>
      <c r="D397" s="392"/>
      <c r="E397" s="392"/>
      <c r="F397" s="392"/>
      <c r="G397" s="392"/>
      <c r="H397" s="392"/>
      <c r="I397" s="766"/>
      <c r="J397" s="392"/>
      <c r="K397" s="392"/>
      <c r="L397" s="392"/>
      <c r="M397" s="392"/>
      <c r="N397" s="392"/>
      <c r="O397" s="766"/>
      <c r="P397" s="392"/>
      <c r="Q397" s="392"/>
      <c r="R397" s="392"/>
      <c r="S397" s="766"/>
      <c r="T397" s="392"/>
      <c r="U397" s="766"/>
      <c r="V397" s="392"/>
      <c r="W397" s="766"/>
      <c r="X397" s="378"/>
      <c r="Y397" s="180"/>
      <c r="Z397" s="180"/>
      <c r="AA397" s="180"/>
      <c r="AB397" s="180"/>
    </row>
    <row r="398" spans="1:28" s="202" customFormat="1" x14ac:dyDescent="0.2">
      <c r="A398" s="637"/>
      <c r="B398" s="639"/>
      <c r="C398" s="466"/>
      <c r="D398" s="466"/>
      <c r="E398" s="466"/>
      <c r="F398" s="466"/>
      <c r="G398" s="466"/>
      <c r="H398" s="466"/>
      <c r="I398" s="767"/>
      <c r="J398" s="466"/>
      <c r="K398" s="466"/>
      <c r="L398" s="466"/>
      <c r="M398" s="466"/>
      <c r="N398" s="466"/>
      <c r="O398" s="767"/>
      <c r="P398" s="466"/>
      <c r="Q398" s="466"/>
      <c r="R398" s="466"/>
      <c r="S398" s="767"/>
      <c r="T398" s="466"/>
      <c r="U398" s="767"/>
      <c r="V398" s="466"/>
      <c r="W398" s="767"/>
      <c r="X398" s="378"/>
      <c r="Y398" s="180"/>
      <c r="Z398" s="180"/>
      <c r="AA398" s="180"/>
      <c r="AB398" s="180"/>
    </row>
    <row r="399" spans="1:28" x14ac:dyDescent="0.2">
      <c r="A399" s="636"/>
      <c r="B399" s="388"/>
      <c r="C399" s="391"/>
      <c r="D399" s="391"/>
      <c r="E399" s="391"/>
      <c r="F399" s="391"/>
      <c r="G399" s="391"/>
      <c r="H399" s="391"/>
      <c r="I399" s="765"/>
      <c r="J399" s="391"/>
      <c r="K399" s="391"/>
      <c r="L399" s="391"/>
      <c r="M399" s="391"/>
      <c r="N399" s="391"/>
      <c r="O399" s="765"/>
      <c r="P399" s="391"/>
      <c r="Q399" s="391"/>
      <c r="R399" s="391"/>
      <c r="S399" s="765"/>
      <c r="T399" s="391"/>
      <c r="U399" s="765"/>
      <c r="V399" s="391"/>
      <c r="W399" s="765"/>
      <c r="X399" s="378"/>
      <c r="Y399" s="180"/>
      <c r="Z399" s="180"/>
      <c r="AA399" s="180"/>
      <c r="AB399" s="180"/>
    </row>
    <row r="400" spans="1:28" s="203" customFormat="1" x14ac:dyDescent="0.2">
      <c r="A400" s="636"/>
      <c r="B400" s="389"/>
      <c r="C400" s="392"/>
      <c r="D400" s="392"/>
      <c r="E400" s="392"/>
      <c r="F400" s="392"/>
      <c r="G400" s="392"/>
      <c r="H400" s="392"/>
      <c r="I400" s="766"/>
      <c r="J400" s="392"/>
      <c r="K400" s="392"/>
      <c r="L400" s="392"/>
      <c r="M400" s="392"/>
      <c r="N400" s="392"/>
      <c r="O400" s="766"/>
      <c r="P400" s="392"/>
      <c r="Q400" s="392"/>
      <c r="R400" s="392"/>
      <c r="S400" s="766"/>
      <c r="T400" s="392"/>
      <c r="U400" s="766"/>
      <c r="V400" s="392"/>
      <c r="W400" s="766"/>
      <c r="X400" s="378"/>
      <c r="Y400" s="180"/>
      <c r="Z400" s="180"/>
      <c r="AA400" s="180"/>
      <c r="AB400" s="180"/>
    </row>
    <row r="401" spans="1:28" s="202" customFormat="1" x14ac:dyDescent="0.2">
      <c r="A401" s="636"/>
      <c r="B401" s="639"/>
      <c r="C401" s="763"/>
      <c r="D401" s="466"/>
      <c r="E401" s="466"/>
      <c r="F401" s="466"/>
      <c r="G401" s="466"/>
      <c r="H401" s="466"/>
      <c r="I401" s="767"/>
      <c r="J401" s="466"/>
      <c r="K401" s="466"/>
      <c r="L401" s="466"/>
      <c r="M401" s="466"/>
      <c r="N401" s="466"/>
      <c r="O401" s="767"/>
      <c r="P401" s="466"/>
      <c r="Q401" s="466"/>
      <c r="R401" s="466"/>
      <c r="S401" s="767"/>
      <c r="T401" s="466"/>
      <c r="U401" s="767"/>
      <c r="V401" s="466"/>
      <c r="W401" s="767"/>
      <c r="X401" s="378"/>
      <c r="Y401" s="180"/>
      <c r="Z401" s="180"/>
      <c r="AA401" s="180"/>
      <c r="AB401" s="180"/>
    </row>
    <row r="402" spans="1:28" x14ac:dyDescent="0.2">
      <c r="A402" s="636"/>
      <c r="B402" s="388"/>
      <c r="C402" s="391"/>
      <c r="D402" s="391"/>
      <c r="E402" s="391"/>
      <c r="F402" s="391"/>
      <c r="G402" s="391"/>
      <c r="H402" s="391"/>
      <c r="I402" s="765"/>
      <c r="J402" s="391"/>
      <c r="K402" s="391"/>
      <c r="L402" s="391"/>
      <c r="M402" s="391"/>
      <c r="N402" s="391"/>
      <c r="O402" s="765"/>
      <c r="P402" s="391"/>
      <c r="Q402" s="391"/>
      <c r="R402" s="391"/>
      <c r="S402" s="765"/>
      <c r="T402" s="391"/>
      <c r="U402" s="765"/>
      <c r="V402" s="391"/>
      <c r="W402" s="765"/>
      <c r="X402" s="378"/>
      <c r="Y402" s="180"/>
      <c r="Z402" s="180"/>
      <c r="AA402" s="180"/>
      <c r="AB402" s="180"/>
    </row>
    <row r="403" spans="1:28" s="203" customFormat="1" x14ac:dyDescent="0.2">
      <c r="A403" s="636"/>
      <c r="B403" s="389"/>
      <c r="C403" s="392"/>
      <c r="D403" s="392"/>
      <c r="E403" s="392"/>
      <c r="F403" s="392"/>
      <c r="G403" s="392"/>
      <c r="H403" s="392"/>
      <c r="I403" s="766"/>
      <c r="J403" s="392"/>
      <c r="K403" s="392"/>
      <c r="L403" s="392"/>
      <c r="M403" s="392"/>
      <c r="N403" s="392"/>
      <c r="O403" s="766"/>
      <c r="P403" s="392"/>
      <c r="Q403" s="392"/>
      <c r="R403" s="392"/>
      <c r="S403" s="766"/>
      <c r="T403" s="392"/>
      <c r="U403" s="766"/>
      <c r="V403" s="392"/>
      <c r="W403" s="766"/>
      <c r="X403" s="378"/>
      <c r="Y403" s="180"/>
      <c r="Z403" s="180"/>
      <c r="AA403" s="180"/>
      <c r="AB403" s="180"/>
    </row>
    <row r="404" spans="1:28" s="202" customFormat="1" x14ac:dyDescent="0.2">
      <c r="A404" s="636"/>
      <c r="B404" s="639"/>
      <c r="C404" s="466"/>
      <c r="D404" s="466"/>
      <c r="E404" s="466"/>
      <c r="F404" s="466"/>
      <c r="G404" s="466"/>
      <c r="H404" s="466"/>
      <c r="I404" s="767"/>
      <c r="J404" s="466"/>
      <c r="K404" s="763"/>
      <c r="L404" s="466"/>
      <c r="M404" s="466"/>
      <c r="N404" s="466"/>
      <c r="O404" s="767"/>
      <c r="P404" s="466"/>
      <c r="Q404" s="466"/>
      <c r="R404" s="466"/>
      <c r="S404" s="767"/>
      <c r="T404" s="466"/>
      <c r="U404" s="767"/>
      <c r="V404" s="466"/>
      <c r="W404" s="767"/>
      <c r="X404" s="378"/>
      <c r="Y404" s="180"/>
      <c r="Z404" s="180"/>
      <c r="AA404" s="180"/>
      <c r="AB404" s="180"/>
    </row>
    <row r="405" spans="1:28" x14ac:dyDescent="0.2">
      <c r="A405" s="636"/>
      <c r="B405" s="388"/>
      <c r="C405" s="391"/>
      <c r="D405" s="391"/>
      <c r="E405" s="391"/>
      <c r="F405" s="391"/>
      <c r="G405" s="391"/>
      <c r="H405" s="391"/>
      <c r="I405" s="765"/>
      <c r="J405" s="391"/>
      <c r="K405" s="391"/>
      <c r="L405" s="391"/>
      <c r="M405" s="391"/>
      <c r="N405" s="391"/>
      <c r="O405" s="765"/>
      <c r="P405" s="391"/>
      <c r="Q405" s="391"/>
      <c r="R405" s="391"/>
      <c r="S405" s="765"/>
      <c r="T405" s="391"/>
      <c r="U405" s="765"/>
      <c r="V405" s="391"/>
      <c r="W405" s="765"/>
      <c r="X405" s="378"/>
      <c r="Y405" s="180"/>
      <c r="Z405" s="180"/>
      <c r="AA405" s="180"/>
      <c r="AB405" s="180"/>
    </row>
    <row r="406" spans="1:28" s="203" customFormat="1" x14ac:dyDescent="0.2">
      <c r="A406" s="636"/>
      <c r="B406" s="389"/>
      <c r="C406" s="392"/>
      <c r="D406" s="392"/>
      <c r="E406" s="392"/>
      <c r="F406" s="392"/>
      <c r="G406" s="392"/>
      <c r="H406" s="392"/>
      <c r="I406" s="766"/>
      <c r="J406" s="392"/>
      <c r="K406" s="392"/>
      <c r="L406" s="392"/>
      <c r="M406" s="392"/>
      <c r="N406" s="392"/>
      <c r="O406" s="766"/>
      <c r="P406" s="392"/>
      <c r="Q406" s="392"/>
      <c r="R406" s="392"/>
      <c r="S406" s="766"/>
      <c r="T406" s="392"/>
      <c r="U406" s="766"/>
      <c r="V406" s="392"/>
      <c r="W406" s="766"/>
      <c r="X406" s="378"/>
      <c r="Y406" s="180"/>
      <c r="Z406" s="180"/>
      <c r="AA406" s="180"/>
      <c r="AB406" s="180"/>
    </row>
    <row r="407" spans="1:28" s="202" customFormat="1" x14ac:dyDescent="0.2">
      <c r="A407" s="636"/>
      <c r="B407" s="639"/>
      <c r="C407" s="763"/>
      <c r="D407" s="466"/>
      <c r="E407" s="466"/>
      <c r="F407" s="466"/>
      <c r="G407" s="466"/>
      <c r="H407" s="466"/>
      <c r="I407" s="767"/>
      <c r="J407" s="466"/>
      <c r="K407" s="466"/>
      <c r="L407" s="466"/>
      <c r="M407" s="763"/>
      <c r="N407" s="466"/>
      <c r="O407" s="767"/>
      <c r="P407" s="763"/>
      <c r="Q407" s="466"/>
      <c r="R407" s="466"/>
      <c r="S407" s="767"/>
      <c r="T407" s="466"/>
      <c r="U407" s="767"/>
      <c r="V407" s="466"/>
      <c r="W407" s="767"/>
      <c r="X407" s="378"/>
      <c r="Y407" s="180"/>
      <c r="Z407" s="180"/>
      <c r="AA407" s="180"/>
      <c r="AB407" s="180"/>
    </row>
    <row r="408" spans="1:28" x14ac:dyDescent="0.2">
      <c r="A408" s="636"/>
      <c r="B408" s="388"/>
      <c r="C408" s="391"/>
      <c r="D408" s="391"/>
      <c r="E408" s="391"/>
      <c r="F408" s="391"/>
      <c r="G408" s="391"/>
      <c r="H408" s="391"/>
      <c r="I408" s="765"/>
      <c r="J408" s="391"/>
      <c r="K408" s="391"/>
      <c r="L408" s="391"/>
      <c r="M408" s="391"/>
      <c r="N408" s="391"/>
      <c r="O408" s="765"/>
      <c r="P408" s="391"/>
      <c r="Q408" s="391"/>
      <c r="R408" s="391"/>
      <c r="S408" s="765"/>
      <c r="T408" s="391"/>
      <c r="U408" s="765"/>
      <c r="V408" s="391"/>
      <c r="W408" s="765"/>
      <c r="X408" s="378"/>
      <c r="Y408" s="180"/>
      <c r="Z408" s="180"/>
      <c r="AA408" s="180"/>
      <c r="AB408" s="180"/>
    </row>
    <row r="409" spans="1:28" s="203" customFormat="1" x14ac:dyDescent="0.2">
      <c r="A409" s="636"/>
      <c r="B409" s="389"/>
      <c r="C409" s="392"/>
      <c r="D409" s="392"/>
      <c r="E409" s="392"/>
      <c r="F409" s="392"/>
      <c r="G409" s="392"/>
      <c r="H409" s="392"/>
      <c r="I409" s="766"/>
      <c r="J409" s="392"/>
      <c r="K409" s="392"/>
      <c r="L409" s="392"/>
      <c r="M409" s="392"/>
      <c r="N409" s="392"/>
      <c r="O409" s="766"/>
      <c r="P409" s="392"/>
      <c r="Q409" s="392"/>
      <c r="R409" s="392"/>
      <c r="S409" s="766"/>
      <c r="T409" s="392"/>
      <c r="U409" s="766"/>
      <c r="V409" s="392"/>
      <c r="W409" s="766"/>
      <c r="X409" s="378"/>
      <c r="Y409" s="180"/>
      <c r="Z409" s="180"/>
      <c r="AA409" s="180"/>
      <c r="AB409" s="180"/>
    </row>
    <row r="410" spans="1:28" s="202" customFormat="1" x14ac:dyDescent="0.2">
      <c r="A410" s="636"/>
      <c r="B410" s="639"/>
      <c r="C410" s="466"/>
      <c r="D410" s="466"/>
      <c r="E410" s="466"/>
      <c r="F410" s="466"/>
      <c r="G410" s="466"/>
      <c r="H410" s="466"/>
      <c r="I410" s="767"/>
      <c r="J410" s="466"/>
      <c r="K410" s="466"/>
      <c r="L410" s="466"/>
      <c r="M410" s="466"/>
      <c r="N410" s="466"/>
      <c r="O410" s="767"/>
      <c r="P410" s="466"/>
      <c r="Q410" s="466"/>
      <c r="R410" s="466"/>
      <c r="S410" s="767"/>
      <c r="T410" s="466"/>
      <c r="U410" s="767"/>
      <c r="V410" s="466"/>
      <c r="W410" s="767"/>
      <c r="X410" s="378"/>
      <c r="Y410" s="180"/>
      <c r="Z410" s="180"/>
      <c r="AA410" s="180"/>
      <c r="AB410" s="180"/>
    </row>
    <row r="411" spans="1:28" x14ac:dyDescent="0.2">
      <c r="A411" s="636"/>
      <c r="B411" s="768"/>
      <c r="C411" s="765"/>
      <c r="D411" s="765"/>
      <c r="E411" s="765"/>
      <c r="F411" s="765"/>
      <c r="G411" s="765"/>
      <c r="H411" s="765"/>
      <c r="I411" s="765"/>
      <c r="J411" s="765"/>
      <c r="K411" s="765"/>
      <c r="L411" s="765"/>
      <c r="M411" s="765"/>
      <c r="N411" s="765"/>
      <c r="O411" s="765"/>
      <c r="P411" s="765"/>
      <c r="Q411" s="765"/>
      <c r="R411" s="765"/>
      <c r="S411" s="765"/>
      <c r="T411" s="765"/>
      <c r="U411" s="765"/>
      <c r="V411" s="765"/>
      <c r="W411" s="765"/>
      <c r="X411" s="378"/>
      <c r="Y411" s="180"/>
      <c r="Z411" s="180"/>
      <c r="AA411" s="180"/>
      <c r="AB411" s="180"/>
    </row>
    <row r="412" spans="1:28" s="203" customFormat="1" x14ac:dyDescent="0.2">
      <c r="A412" s="636"/>
      <c r="B412" s="769"/>
      <c r="C412" s="766"/>
      <c r="D412" s="766"/>
      <c r="E412" s="766"/>
      <c r="F412" s="766"/>
      <c r="G412" s="766"/>
      <c r="H412" s="766"/>
      <c r="I412" s="766"/>
      <c r="J412" s="766"/>
      <c r="K412" s="766"/>
      <c r="L412" s="766"/>
      <c r="M412" s="766"/>
      <c r="N412" s="766"/>
      <c r="O412" s="766"/>
      <c r="P412" s="766"/>
      <c r="Q412" s="766"/>
      <c r="R412" s="766"/>
      <c r="S412" s="766"/>
      <c r="T412" s="766"/>
      <c r="U412" s="766"/>
      <c r="V412" s="766"/>
      <c r="W412" s="766"/>
      <c r="X412" s="378"/>
      <c r="Y412" s="180"/>
      <c r="Z412" s="180"/>
      <c r="AA412" s="180"/>
      <c r="AB412" s="180"/>
    </row>
    <row r="413" spans="1:28" s="202" customFormat="1" x14ac:dyDescent="0.2">
      <c r="A413" s="636"/>
      <c r="B413" s="770"/>
      <c r="C413" s="767"/>
      <c r="D413" s="767"/>
      <c r="E413" s="767"/>
      <c r="F413" s="767"/>
      <c r="G413" s="767"/>
      <c r="H413" s="767"/>
      <c r="I413" s="767"/>
      <c r="J413" s="767"/>
      <c r="K413" s="767"/>
      <c r="L413" s="767"/>
      <c r="M413" s="767"/>
      <c r="N413" s="767"/>
      <c r="O413" s="767"/>
      <c r="P413" s="767"/>
      <c r="Q413" s="767"/>
      <c r="R413" s="767"/>
      <c r="S413" s="767"/>
      <c r="T413" s="767"/>
      <c r="U413" s="767"/>
      <c r="V413" s="767"/>
      <c r="W413" s="767"/>
      <c r="X413" s="378"/>
      <c r="Y413" s="180"/>
      <c r="Z413" s="180"/>
      <c r="AA413" s="180"/>
      <c r="AB413" s="180"/>
    </row>
    <row r="414" spans="1:28" x14ac:dyDescent="0.2">
      <c r="A414" s="636"/>
      <c r="B414" s="388"/>
      <c r="C414" s="391"/>
      <c r="D414" s="391"/>
      <c r="E414" s="391"/>
      <c r="F414" s="391"/>
      <c r="G414" s="391"/>
      <c r="H414" s="391"/>
      <c r="I414" s="765"/>
      <c r="J414" s="391"/>
      <c r="K414" s="391"/>
      <c r="L414" s="391"/>
      <c r="M414" s="391"/>
      <c r="N414" s="391"/>
      <c r="O414" s="765"/>
      <c r="P414" s="391"/>
      <c r="Q414" s="391"/>
      <c r="R414" s="391"/>
      <c r="S414" s="765"/>
      <c r="T414" s="391"/>
      <c r="U414" s="765"/>
      <c r="V414" s="391"/>
      <c r="W414" s="765"/>
      <c r="X414" s="378"/>
      <c r="Y414" s="180"/>
      <c r="Z414" s="180"/>
      <c r="AA414" s="180"/>
      <c r="AB414" s="180"/>
    </row>
    <row r="415" spans="1:28" s="203" customFormat="1" x14ac:dyDescent="0.2">
      <c r="A415" s="636"/>
      <c r="B415" s="389"/>
      <c r="C415" s="392"/>
      <c r="D415" s="392"/>
      <c r="E415" s="392"/>
      <c r="F415" s="392"/>
      <c r="G415" s="392"/>
      <c r="H415" s="392"/>
      <c r="I415" s="766"/>
      <c r="J415" s="392"/>
      <c r="K415" s="392"/>
      <c r="L415" s="392"/>
      <c r="M415" s="392"/>
      <c r="N415" s="392"/>
      <c r="O415" s="766"/>
      <c r="P415" s="392"/>
      <c r="Q415" s="392"/>
      <c r="R415" s="392"/>
      <c r="S415" s="766"/>
      <c r="T415" s="392"/>
      <c r="U415" s="766"/>
      <c r="V415" s="392"/>
      <c r="W415" s="766"/>
      <c r="X415" s="378"/>
      <c r="Y415" s="180"/>
      <c r="Z415" s="180"/>
      <c r="AA415" s="180"/>
      <c r="AB415" s="180"/>
    </row>
    <row r="416" spans="1:28" s="202" customFormat="1" x14ac:dyDescent="0.2">
      <c r="A416" s="636"/>
      <c r="B416" s="639"/>
      <c r="C416" s="466"/>
      <c r="D416" s="466"/>
      <c r="E416" s="466"/>
      <c r="F416" s="466"/>
      <c r="G416" s="466"/>
      <c r="H416" s="466"/>
      <c r="I416" s="767"/>
      <c r="J416" s="466"/>
      <c r="K416" s="466"/>
      <c r="L416" s="466"/>
      <c r="M416" s="466"/>
      <c r="N416" s="466"/>
      <c r="O416" s="767"/>
      <c r="P416" s="466"/>
      <c r="Q416" s="466"/>
      <c r="R416" s="466"/>
      <c r="S416" s="767"/>
      <c r="T416" s="466"/>
      <c r="U416" s="767"/>
      <c r="V416" s="466"/>
      <c r="W416" s="767"/>
      <c r="X416" s="378"/>
      <c r="Y416" s="180"/>
      <c r="Z416" s="180"/>
      <c r="AA416" s="180"/>
      <c r="AB416" s="180"/>
    </row>
    <row r="417" spans="1:28" x14ac:dyDescent="0.2">
      <c r="A417" s="636"/>
      <c r="B417" s="388"/>
      <c r="C417" s="391"/>
      <c r="D417" s="391"/>
      <c r="E417" s="391"/>
      <c r="F417" s="391"/>
      <c r="G417" s="391"/>
      <c r="H417" s="391"/>
      <c r="I417" s="765"/>
      <c r="J417" s="391"/>
      <c r="K417" s="391"/>
      <c r="L417" s="391"/>
      <c r="M417" s="391"/>
      <c r="N417" s="391"/>
      <c r="O417" s="765"/>
      <c r="P417" s="391"/>
      <c r="Q417" s="391"/>
      <c r="R417" s="391"/>
      <c r="S417" s="765"/>
      <c r="T417" s="391"/>
      <c r="U417" s="765"/>
      <c r="V417" s="391"/>
      <c r="W417" s="765"/>
      <c r="X417" s="378"/>
      <c r="Y417" s="180"/>
      <c r="Z417" s="180"/>
      <c r="AA417" s="180"/>
      <c r="AB417" s="180"/>
    </row>
    <row r="418" spans="1:28" s="203" customFormat="1" x14ac:dyDescent="0.2">
      <c r="A418" s="636"/>
      <c r="B418" s="389"/>
      <c r="C418" s="392"/>
      <c r="D418" s="392"/>
      <c r="E418" s="392"/>
      <c r="F418" s="392"/>
      <c r="G418" s="392"/>
      <c r="H418" s="392"/>
      <c r="I418" s="766"/>
      <c r="J418" s="392"/>
      <c r="K418" s="392"/>
      <c r="L418" s="392"/>
      <c r="M418" s="392"/>
      <c r="N418" s="392"/>
      <c r="O418" s="766"/>
      <c r="P418" s="392"/>
      <c r="Q418" s="392"/>
      <c r="R418" s="392"/>
      <c r="S418" s="766"/>
      <c r="T418" s="392"/>
      <c r="U418" s="766"/>
      <c r="V418" s="392"/>
      <c r="W418" s="766"/>
      <c r="X418" s="378"/>
      <c r="Y418" s="180"/>
      <c r="Z418" s="180"/>
      <c r="AA418" s="180"/>
      <c r="AB418" s="180"/>
    </row>
    <row r="419" spans="1:28" s="202" customFormat="1" x14ac:dyDescent="0.2">
      <c r="A419" s="636"/>
      <c r="B419" s="639"/>
      <c r="C419" s="466"/>
      <c r="D419" s="466"/>
      <c r="E419" s="466"/>
      <c r="F419" s="466"/>
      <c r="G419" s="466"/>
      <c r="H419" s="466"/>
      <c r="I419" s="767"/>
      <c r="J419" s="466"/>
      <c r="K419" s="466"/>
      <c r="L419" s="466"/>
      <c r="M419" s="466"/>
      <c r="N419" s="466"/>
      <c r="O419" s="767"/>
      <c r="P419" s="466"/>
      <c r="Q419" s="466"/>
      <c r="R419" s="466"/>
      <c r="S419" s="767"/>
      <c r="T419" s="466"/>
      <c r="U419" s="767"/>
      <c r="V419" s="466"/>
      <c r="W419" s="767"/>
      <c r="X419" s="378"/>
      <c r="Y419" s="180"/>
      <c r="Z419" s="180"/>
      <c r="AA419" s="180"/>
      <c r="AB419" s="180"/>
    </row>
    <row r="420" spans="1:28" x14ac:dyDescent="0.2">
      <c r="A420" s="636"/>
      <c r="B420" s="388"/>
      <c r="C420" s="391"/>
      <c r="D420" s="391"/>
      <c r="E420" s="391"/>
      <c r="F420" s="391"/>
      <c r="G420" s="391"/>
      <c r="H420" s="391"/>
      <c r="I420" s="765"/>
      <c r="J420" s="391"/>
      <c r="K420" s="391"/>
      <c r="L420" s="391"/>
      <c r="M420" s="391"/>
      <c r="N420" s="391"/>
      <c r="O420" s="765"/>
      <c r="P420" s="391"/>
      <c r="Q420" s="391"/>
      <c r="R420" s="391"/>
      <c r="S420" s="765"/>
      <c r="T420" s="391"/>
      <c r="U420" s="765"/>
      <c r="V420" s="391"/>
      <c r="W420" s="765"/>
      <c r="X420" s="378"/>
      <c r="Y420" s="180"/>
      <c r="Z420" s="180"/>
      <c r="AA420" s="180"/>
      <c r="AB420" s="180"/>
    </row>
    <row r="421" spans="1:28" s="203" customFormat="1" x14ac:dyDescent="0.2">
      <c r="A421" s="636"/>
      <c r="B421" s="389"/>
      <c r="C421" s="392"/>
      <c r="D421" s="392"/>
      <c r="E421" s="392"/>
      <c r="F421" s="392"/>
      <c r="G421" s="392"/>
      <c r="H421" s="392"/>
      <c r="I421" s="766"/>
      <c r="J421" s="392"/>
      <c r="K421" s="392"/>
      <c r="L421" s="392"/>
      <c r="M421" s="392"/>
      <c r="N421" s="392"/>
      <c r="O421" s="766"/>
      <c r="P421" s="392"/>
      <c r="Q421" s="392"/>
      <c r="R421" s="392"/>
      <c r="S421" s="766"/>
      <c r="T421" s="392"/>
      <c r="U421" s="766"/>
      <c r="V421" s="392"/>
      <c r="W421" s="766"/>
      <c r="X421" s="378"/>
      <c r="Y421" s="180"/>
      <c r="Z421" s="180"/>
      <c r="AA421" s="180"/>
      <c r="AB421" s="180"/>
    </row>
    <row r="422" spans="1:28" s="202" customFormat="1" x14ac:dyDescent="0.2">
      <c r="A422" s="636"/>
      <c r="B422" s="639"/>
      <c r="C422" s="466"/>
      <c r="D422" s="466"/>
      <c r="E422" s="466"/>
      <c r="F422" s="466"/>
      <c r="G422" s="466"/>
      <c r="H422" s="466"/>
      <c r="I422" s="767"/>
      <c r="J422" s="466"/>
      <c r="K422" s="466"/>
      <c r="L422" s="466"/>
      <c r="M422" s="466"/>
      <c r="N422" s="466"/>
      <c r="O422" s="767"/>
      <c r="P422" s="466"/>
      <c r="Q422" s="466"/>
      <c r="R422" s="466"/>
      <c r="S422" s="767"/>
      <c r="T422" s="466"/>
      <c r="U422" s="767"/>
      <c r="V422" s="466"/>
      <c r="W422" s="767"/>
      <c r="X422" s="378"/>
      <c r="Y422" s="180"/>
      <c r="Z422" s="180"/>
      <c r="AA422" s="180"/>
      <c r="AB422" s="180"/>
    </row>
    <row r="423" spans="1:28" x14ac:dyDescent="0.2">
      <c r="A423" s="636"/>
      <c r="B423" s="388"/>
      <c r="C423" s="391"/>
      <c r="D423" s="391"/>
      <c r="E423" s="391"/>
      <c r="F423" s="391"/>
      <c r="G423" s="391"/>
      <c r="H423" s="391"/>
      <c r="I423" s="765"/>
      <c r="J423" s="391"/>
      <c r="K423" s="391"/>
      <c r="L423" s="391"/>
      <c r="M423" s="391"/>
      <c r="N423" s="391"/>
      <c r="O423" s="765"/>
      <c r="P423" s="391"/>
      <c r="Q423" s="391"/>
      <c r="R423" s="391"/>
      <c r="S423" s="765"/>
      <c r="T423" s="391"/>
      <c r="U423" s="765"/>
      <c r="V423" s="391"/>
      <c r="W423" s="765"/>
      <c r="X423" s="378"/>
      <c r="Y423" s="180"/>
      <c r="Z423" s="180"/>
      <c r="AA423" s="180"/>
      <c r="AB423" s="180"/>
    </row>
    <row r="424" spans="1:28" s="203" customFormat="1" x14ac:dyDescent="0.2">
      <c r="A424" s="636"/>
      <c r="B424" s="389"/>
      <c r="C424" s="392"/>
      <c r="D424" s="392"/>
      <c r="E424" s="392"/>
      <c r="F424" s="392"/>
      <c r="G424" s="392"/>
      <c r="H424" s="392"/>
      <c r="I424" s="766"/>
      <c r="J424" s="392"/>
      <c r="K424" s="392"/>
      <c r="L424" s="392"/>
      <c r="M424" s="392"/>
      <c r="N424" s="392"/>
      <c r="O424" s="766"/>
      <c r="P424" s="392"/>
      <c r="Q424" s="392"/>
      <c r="R424" s="392"/>
      <c r="S424" s="766"/>
      <c r="T424" s="392"/>
      <c r="U424" s="766"/>
      <c r="V424" s="392"/>
      <c r="W424" s="766"/>
      <c r="X424" s="378"/>
      <c r="Y424" s="180"/>
      <c r="Z424" s="180"/>
      <c r="AA424" s="180"/>
      <c r="AB424" s="180"/>
    </row>
    <row r="425" spans="1:28" s="202" customFormat="1" x14ac:dyDescent="0.2">
      <c r="A425" s="636"/>
      <c r="B425" s="639"/>
      <c r="C425" s="466"/>
      <c r="D425" s="466"/>
      <c r="E425" s="466"/>
      <c r="F425" s="466"/>
      <c r="G425" s="466"/>
      <c r="H425" s="466"/>
      <c r="I425" s="767"/>
      <c r="J425" s="466"/>
      <c r="K425" s="466"/>
      <c r="L425" s="466"/>
      <c r="M425" s="466"/>
      <c r="N425" s="466"/>
      <c r="O425" s="767"/>
      <c r="P425" s="466"/>
      <c r="Q425" s="466"/>
      <c r="R425" s="466"/>
      <c r="S425" s="767"/>
      <c r="T425" s="466"/>
      <c r="U425" s="767"/>
      <c r="V425" s="466"/>
      <c r="W425" s="767"/>
      <c r="X425" s="378"/>
      <c r="Y425" s="180"/>
      <c r="Z425" s="180"/>
      <c r="AA425" s="180"/>
      <c r="AB425" s="180"/>
    </row>
    <row r="426" spans="1:28" x14ac:dyDescent="0.2">
      <c r="A426" s="636"/>
      <c r="B426" s="388"/>
      <c r="C426" s="391"/>
      <c r="D426" s="391"/>
      <c r="E426" s="391"/>
      <c r="F426" s="391"/>
      <c r="G426" s="391"/>
      <c r="H426" s="391"/>
      <c r="I426" s="765"/>
      <c r="J426" s="391"/>
      <c r="K426" s="391"/>
      <c r="L426" s="391"/>
      <c r="M426" s="391"/>
      <c r="N426" s="391"/>
      <c r="O426" s="765"/>
      <c r="P426" s="391"/>
      <c r="Q426" s="391"/>
      <c r="R426" s="391"/>
      <c r="S426" s="765"/>
      <c r="T426" s="391"/>
      <c r="U426" s="765"/>
      <c r="V426" s="391"/>
      <c r="W426" s="765"/>
      <c r="X426" s="378"/>
      <c r="Y426" s="180"/>
      <c r="Z426" s="180"/>
      <c r="AA426" s="180"/>
      <c r="AB426" s="180"/>
    </row>
    <row r="427" spans="1:28" s="203" customFormat="1" x14ac:dyDescent="0.2">
      <c r="A427" s="636"/>
      <c r="B427" s="389"/>
      <c r="C427" s="392"/>
      <c r="D427" s="392"/>
      <c r="E427" s="392"/>
      <c r="F427" s="392"/>
      <c r="G427" s="392"/>
      <c r="H427" s="392"/>
      <c r="I427" s="766"/>
      <c r="J427" s="392"/>
      <c r="K427" s="392"/>
      <c r="L427" s="392"/>
      <c r="M427" s="392"/>
      <c r="N427" s="392"/>
      <c r="O427" s="766"/>
      <c r="P427" s="392"/>
      <c r="Q427" s="392"/>
      <c r="R427" s="392"/>
      <c r="S427" s="766"/>
      <c r="T427" s="392"/>
      <c r="U427" s="766"/>
      <c r="V427" s="392"/>
      <c r="W427" s="766"/>
      <c r="X427" s="378"/>
      <c r="Y427" s="180"/>
      <c r="Z427" s="180"/>
      <c r="AA427" s="180"/>
      <c r="AB427" s="180"/>
    </row>
    <row r="428" spans="1:28" s="202" customFormat="1" x14ac:dyDescent="0.2">
      <c r="A428" s="636"/>
      <c r="B428" s="639"/>
      <c r="C428" s="466"/>
      <c r="D428" s="466"/>
      <c r="E428" s="466"/>
      <c r="F428" s="466"/>
      <c r="G428" s="466"/>
      <c r="H428" s="466"/>
      <c r="I428" s="767"/>
      <c r="J428" s="466"/>
      <c r="K428" s="466"/>
      <c r="L428" s="466"/>
      <c r="M428" s="466"/>
      <c r="N428" s="466"/>
      <c r="O428" s="767"/>
      <c r="P428" s="466"/>
      <c r="Q428" s="466"/>
      <c r="R428" s="466"/>
      <c r="S428" s="767"/>
      <c r="T428" s="466"/>
      <c r="U428" s="767"/>
      <c r="V428" s="466"/>
      <c r="W428" s="767"/>
      <c r="X428" s="378"/>
      <c r="Y428" s="180"/>
      <c r="Z428" s="180"/>
      <c r="AA428" s="180"/>
      <c r="AB428" s="180"/>
    </row>
    <row r="429" spans="1:28" x14ac:dyDescent="0.2">
      <c r="A429" s="636"/>
      <c r="B429" s="388"/>
      <c r="C429" s="391"/>
      <c r="D429" s="391"/>
      <c r="E429" s="391"/>
      <c r="F429" s="391"/>
      <c r="G429" s="391"/>
      <c r="H429" s="391"/>
      <c r="I429" s="765"/>
      <c r="J429" s="391"/>
      <c r="K429" s="391"/>
      <c r="L429" s="391"/>
      <c r="M429" s="391"/>
      <c r="N429" s="391"/>
      <c r="O429" s="765"/>
      <c r="P429" s="391"/>
      <c r="Q429" s="391"/>
      <c r="R429" s="391"/>
      <c r="S429" s="765"/>
      <c r="T429" s="391"/>
      <c r="U429" s="765"/>
      <c r="V429" s="391"/>
      <c r="W429" s="765"/>
      <c r="X429" s="378"/>
      <c r="Y429" s="180"/>
      <c r="Z429" s="180"/>
      <c r="AA429" s="180"/>
      <c r="AB429" s="180"/>
    </row>
    <row r="430" spans="1:28" s="203" customFormat="1" x14ac:dyDescent="0.2">
      <c r="A430" s="636"/>
      <c r="B430" s="389"/>
      <c r="C430" s="392"/>
      <c r="D430" s="392"/>
      <c r="E430" s="392"/>
      <c r="F430" s="392"/>
      <c r="G430" s="392"/>
      <c r="H430" s="392"/>
      <c r="I430" s="766"/>
      <c r="J430" s="392"/>
      <c r="K430" s="392"/>
      <c r="L430" s="392"/>
      <c r="M430" s="392"/>
      <c r="N430" s="392"/>
      <c r="O430" s="766"/>
      <c r="P430" s="392"/>
      <c r="Q430" s="392"/>
      <c r="R430" s="392"/>
      <c r="S430" s="766"/>
      <c r="T430" s="392"/>
      <c r="U430" s="766"/>
      <c r="V430" s="392"/>
      <c r="W430" s="766"/>
      <c r="X430" s="378"/>
      <c r="Y430" s="180"/>
      <c r="Z430" s="180"/>
      <c r="AA430" s="180"/>
      <c r="AB430" s="180"/>
    </row>
    <row r="431" spans="1:28" s="202" customFormat="1" x14ac:dyDescent="0.2">
      <c r="A431" s="636"/>
      <c r="B431" s="639"/>
      <c r="C431" s="466"/>
      <c r="D431" s="466"/>
      <c r="E431" s="466"/>
      <c r="F431" s="466"/>
      <c r="G431" s="466"/>
      <c r="H431" s="466"/>
      <c r="I431" s="767"/>
      <c r="J431" s="466"/>
      <c r="K431" s="466"/>
      <c r="L431" s="466"/>
      <c r="M431" s="466"/>
      <c r="N431" s="466"/>
      <c r="O431" s="767"/>
      <c r="P431" s="466"/>
      <c r="Q431" s="466"/>
      <c r="R431" s="466"/>
      <c r="S431" s="767"/>
      <c r="T431" s="466"/>
      <c r="U431" s="767"/>
      <c r="V431" s="466"/>
      <c r="W431" s="767"/>
      <c r="X431" s="378"/>
      <c r="Y431" s="180"/>
      <c r="Z431" s="180"/>
      <c r="AA431" s="180"/>
      <c r="AB431" s="180"/>
    </row>
    <row r="432" spans="1:28" x14ac:dyDescent="0.2">
      <c r="A432" s="636"/>
      <c r="B432" s="388"/>
      <c r="C432" s="391"/>
      <c r="D432" s="391"/>
      <c r="E432" s="391"/>
      <c r="F432" s="391"/>
      <c r="G432" s="391"/>
      <c r="H432" s="391"/>
      <c r="I432" s="765"/>
      <c r="J432" s="391"/>
      <c r="K432" s="391"/>
      <c r="L432" s="391"/>
      <c r="M432" s="391"/>
      <c r="N432" s="391"/>
      <c r="O432" s="765"/>
      <c r="P432" s="391"/>
      <c r="Q432" s="391"/>
      <c r="R432" s="391"/>
      <c r="S432" s="765"/>
      <c r="T432" s="391"/>
      <c r="U432" s="765"/>
      <c r="V432" s="391"/>
      <c r="W432" s="765"/>
      <c r="X432" s="378"/>
      <c r="Y432" s="180"/>
      <c r="Z432" s="180"/>
      <c r="AA432" s="180"/>
      <c r="AB432" s="180"/>
    </row>
    <row r="433" spans="1:28" s="203" customFormat="1" x14ac:dyDescent="0.2">
      <c r="A433" s="636"/>
      <c r="B433" s="389"/>
      <c r="C433" s="392"/>
      <c r="D433" s="392"/>
      <c r="E433" s="392"/>
      <c r="F433" s="392"/>
      <c r="G433" s="392"/>
      <c r="H433" s="392"/>
      <c r="I433" s="766"/>
      <c r="J433" s="392"/>
      <c r="K433" s="392"/>
      <c r="L433" s="392"/>
      <c r="M433" s="392"/>
      <c r="N433" s="392"/>
      <c r="O433" s="766"/>
      <c r="P433" s="392"/>
      <c r="Q433" s="392"/>
      <c r="R433" s="392"/>
      <c r="S433" s="766"/>
      <c r="T433" s="392"/>
      <c r="U433" s="766"/>
      <c r="V433" s="392"/>
      <c r="W433" s="766"/>
      <c r="X433" s="378"/>
      <c r="Y433" s="180"/>
      <c r="Z433" s="180"/>
      <c r="AA433" s="180"/>
      <c r="AB433" s="180"/>
    </row>
    <row r="434" spans="1:28" s="212" customFormat="1" ht="13.5" thickBot="1" x14ac:dyDescent="0.25">
      <c r="A434" s="640"/>
      <c r="B434" s="777"/>
      <c r="C434" s="1512"/>
      <c r="D434" s="778"/>
      <c r="E434" s="778"/>
      <c r="F434" s="778"/>
      <c r="G434" s="778"/>
      <c r="H434" s="778"/>
      <c r="I434" s="779"/>
      <c r="J434" s="778"/>
      <c r="K434" s="778"/>
      <c r="L434" s="778"/>
      <c r="M434" s="1512"/>
      <c r="N434" s="778"/>
      <c r="O434" s="779"/>
      <c r="P434" s="1512"/>
      <c r="Q434" s="778"/>
      <c r="R434" s="778"/>
      <c r="S434" s="779"/>
      <c r="T434" s="778"/>
      <c r="U434" s="779"/>
      <c r="V434" s="778"/>
      <c r="W434" s="779"/>
      <c r="X434" s="378"/>
      <c r="Y434" s="180"/>
      <c r="Z434" s="180"/>
      <c r="AA434" s="180"/>
      <c r="AB434" s="180"/>
    </row>
    <row r="435" spans="1:28" ht="13.5" thickTop="1" x14ac:dyDescent="0.2">
      <c r="A435" s="230"/>
      <c r="B435" s="780"/>
      <c r="C435" s="781"/>
      <c r="D435" s="781"/>
      <c r="E435" s="781"/>
      <c r="F435" s="781"/>
      <c r="G435" s="781"/>
      <c r="H435" s="781"/>
      <c r="I435" s="782"/>
      <c r="J435" s="781"/>
      <c r="K435" s="781"/>
      <c r="L435" s="781"/>
      <c r="M435" s="781"/>
      <c r="N435" s="781"/>
      <c r="O435" s="782"/>
      <c r="P435" s="781"/>
      <c r="Q435" s="781"/>
      <c r="R435" s="781"/>
      <c r="S435" s="782"/>
      <c r="T435" s="781"/>
      <c r="U435" s="782"/>
      <c r="V435" s="781"/>
      <c r="W435" s="782"/>
      <c r="X435" s="378"/>
      <c r="Y435" s="180"/>
      <c r="Z435" s="180"/>
      <c r="AA435" s="180"/>
      <c r="AB435" s="180"/>
    </row>
    <row r="436" spans="1:28" s="203" customFormat="1" x14ac:dyDescent="0.2">
      <c r="A436" s="636"/>
      <c r="B436" s="389"/>
      <c r="C436" s="392"/>
      <c r="D436" s="392"/>
      <c r="E436" s="392"/>
      <c r="F436" s="392"/>
      <c r="G436" s="392"/>
      <c r="H436" s="392"/>
      <c r="I436" s="766"/>
      <c r="J436" s="392"/>
      <c r="K436" s="392"/>
      <c r="L436" s="392"/>
      <c r="M436" s="392"/>
      <c r="N436" s="392"/>
      <c r="O436" s="766"/>
      <c r="P436" s="392"/>
      <c r="Q436" s="392"/>
      <c r="R436" s="392"/>
      <c r="S436" s="766"/>
      <c r="T436" s="392"/>
      <c r="U436" s="766"/>
      <c r="V436" s="392"/>
      <c r="W436" s="766"/>
      <c r="X436" s="378"/>
      <c r="Y436" s="180"/>
      <c r="Z436" s="180"/>
      <c r="AA436" s="180"/>
      <c r="AB436" s="180"/>
    </row>
    <row r="437" spans="1:28" s="202" customFormat="1" x14ac:dyDescent="0.2">
      <c r="A437" s="637"/>
      <c r="B437" s="639"/>
      <c r="C437" s="466"/>
      <c r="D437" s="466"/>
      <c r="E437" s="466"/>
      <c r="F437" s="466"/>
      <c r="G437" s="466"/>
      <c r="H437" s="466"/>
      <c r="I437" s="767"/>
      <c r="J437" s="466"/>
      <c r="K437" s="466"/>
      <c r="L437" s="466"/>
      <c r="M437" s="466"/>
      <c r="N437" s="466"/>
      <c r="O437" s="767"/>
      <c r="P437" s="466"/>
      <c r="Q437" s="466"/>
      <c r="R437" s="466"/>
      <c r="S437" s="767"/>
      <c r="T437" s="466"/>
      <c r="U437" s="767"/>
      <c r="V437" s="466"/>
      <c r="W437" s="767"/>
      <c r="X437" s="378"/>
      <c r="Y437" s="180"/>
      <c r="Z437" s="180"/>
      <c r="AA437" s="180"/>
      <c r="AB437" s="180"/>
    </row>
    <row r="438" spans="1:28" x14ac:dyDescent="0.2">
      <c r="A438" s="636"/>
      <c r="B438" s="388"/>
      <c r="C438" s="391"/>
      <c r="D438" s="391"/>
      <c r="E438" s="391"/>
      <c r="F438" s="391"/>
      <c r="G438" s="391"/>
      <c r="H438" s="391"/>
      <c r="I438" s="765"/>
      <c r="J438" s="391"/>
      <c r="K438" s="391"/>
      <c r="L438" s="391"/>
      <c r="M438" s="391"/>
      <c r="N438" s="391"/>
      <c r="O438" s="765"/>
      <c r="P438" s="391"/>
      <c r="Q438" s="391"/>
      <c r="R438" s="391"/>
      <c r="S438" s="765"/>
      <c r="T438" s="391"/>
      <c r="U438" s="765"/>
      <c r="V438" s="391"/>
      <c r="W438" s="765"/>
      <c r="X438" s="378"/>
      <c r="Y438" s="180"/>
      <c r="Z438" s="180"/>
      <c r="AA438" s="180"/>
      <c r="AB438" s="180"/>
    </row>
    <row r="439" spans="1:28" s="203" customFormat="1" x14ac:dyDescent="0.2">
      <c r="A439" s="636"/>
      <c r="B439" s="389"/>
      <c r="C439" s="392"/>
      <c r="D439" s="392"/>
      <c r="E439" s="392"/>
      <c r="F439" s="392"/>
      <c r="G439" s="392"/>
      <c r="H439" s="392"/>
      <c r="I439" s="766"/>
      <c r="J439" s="392"/>
      <c r="K439" s="392"/>
      <c r="L439" s="392"/>
      <c r="M439" s="392"/>
      <c r="N439" s="392"/>
      <c r="O439" s="766"/>
      <c r="P439" s="392"/>
      <c r="Q439" s="392"/>
      <c r="R439" s="392"/>
      <c r="S439" s="766"/>
      <c r="T439" s="392"/>
      <c r="U439" s="766"/>
      <c r="V439" s="392"/>
      <c r="W439" s="766"/>
      <c r="X439" s="378"/>
      <c r="Y439" s="180"/>
      <c r="Z439" s="180"/>
      <c r="AA439" s="180"/>
      <c r="AB439" s="180"/>
    </row>
    <row r="440" spans="1:28" s="202" customFormat="1" x14ac:dyDescent="0.2">
      <c r="A440" s="636"/>
      <c r="B440" s="639"/>
      <c r="C440" s="763"/>
      <c r="D440" s="466"/>
      <c r="E440" s="763"/>
      <c r="F440" s="466"/>
      <c r="G440" s="763"/>
      <c r="H440" s="763"/>
      <c r="I440" s="767"/>
      <c r="J440" s="466"/>
      <c r="K440" s="763"/>
      <c r="L440" s="763"/>
      <c r="M440" s="763"/>
      <c r="N440" s="466"/>
      <c r="O440" s="767"/>
      <c r="P440" s="466"/>
      <c r="Q440" s="466"/>
      <c r="R440" s="466"/>
      <c r="S440" s="767"/>
      <c r="T440" s="466"/>
      <c r="U440" s="767"/>
      <c r="V440" s="763"/>
      <c r="W440" s="767"/>
      <c r="X440" s="378"/>
      <c r="Y440" s="180"/>
      <c r="Z440" s="180"/>
      <c r="AA440" s="180"/>
      <c r="AB440" s="180"/>
    </row>
    <row r="441" spans="1:28" x14ac:dyDescent="0.2">
      <c r="A441" s="636"/>
      <c r="B441" s="388"/>
      <c r="C441" s="391"/>
      <c r="D441" s="391"/>
      <c r="E441" s="391"/>
      <c r="F441" s="391"/>
      <c r="G441" s="391"/>
      <c r="H441" s="391"/>
      <c r="I441" s="765"/>
      <c r="J441" s="391"/>
      <c r="K441" s="391"/>
      <c r="L441" s="391"/>
      <c r="M441" s="391"/>
      <c r="N441" s="391"/>
      <c r="O441" s="765"/>
      <c r="P441" s="391"/>
      <c r="Q441" s="391"/>
      <c r="R441" s="391"/>
      <c r="S441" s="765"/>
      <c r="T441" s="391"/>
      <c r="U441" s="765"/>
      <c r="V441" s="391"/>
      <c r="W441" s="765"/>
      <c r="X441" s="378"/>
      <c r="Y441" s="180"/>
      <c r="Z441" s="180"/>
      <c r="AA441" s="180"/>
      <c r="AB441" s="180"/>
    </row>
    <row r="442" spans="1:28" s="203" customFormat="1" x14ac:dyDescent="0.2">
      <c r="A442" s="636"/>
      <c r="B442" s="389"/>
      <c r="C442" s="392"/>
      <c r="D442" s="392"/>
      <c r="E442" s="392"/>
      <c r="F442" s="392"/>
      <c r="G442" s="392"/>
      <c r="H442" s="392"/>
      <c r="I442" s="766"/>
      <c r="J442" s="392"/>
      <c r="K442" s="392"/>
      <c r="L442" s="392"/>
      <c r="M442" s="392"/>
      <c r="N442" s="392"/>
      <c r="O442" s="766"/>
      <c r="P442" s="392"/>
      <c r="Q442" s="392"/>
      <c r="R442" s="392"/>
      <c r="S442" s="766"/>
      <c r="T442" s="392"/>
      <c r="U442" s="766"/>
      <c r="V442" s="392"/>
      <c r="W442" s="766"/>
      <c r="X442" s="378"/>
      <c r="Y442" s="180"/>
      <c r="Z442" s="180"/>
      <c r="AA442" s="180"/>
      <c r="AB442" s="180"/>
    </row>
    <row r="443" spans="1:28" s="202" customFormat="1" x14ac:dyDescent="0.2">
      <c r="A443" s="636"/>
      <c r="B443" s="639"/>
      <c r="C443" s="466"/>
      <c r="D443" s="466"/>
      <c r="E443" s="466"/>
      <c r="F443" s="466"/>
      <c r="G443" s="466"/>
      <c r="H443" s="466"/>
      <c r="I443" s="767"/>
      <c r="J443" s="466"/>
      <c r="K443" s="466"/>
      <c r="L443" s="466"/>
      <c r="M443" s="466"/>
      <c r="N443" s="466"/>
      <c r="O443" s="767"/>
      <c r="P443" s="466"/>
      <c r="Q443" s="466"/>
      <c r="R443" s="466"/>
      <c r="S443" s="767"/>
      <c r="T443" s="466"/>
      <c r="U443" s="767"/>
      <c r="V443" s="466"/>
      <c r="W443" s="767"/>
      <c r="X443" s="378"/>
      <c r="Y443" s="180"/>
      <c r="Z443" s="180"/>
      <c r="AA443" s="180"/>
      <c r="AB443" s="180"/>
    </row>
    <row r="444" spans="1:28" x14ac:dyDescent="0.2">
      <c r="A444" s="636"/>
      <c r="B444" s="388"/>
      <c r="C444" s="391"/>
      <c r="D444" s="391"/>
      <c r="E444" s="391"/>
      <c r="F444" s="391"/>
      <c r="G444" s="391"/>
      <c r="H444" s="391"/>
      <c r="I444" s="765"/>
      <c r="J444" s="391"/>
      <c r="K444" s="391"/>
      <c r="L444" s="391"/>
      <c r="M444" s="391"/>
      <c r="N444" s="391"/>
      <c r="O444" s="765"/>
      <c r="P444" s="391"/>
      <c r="Q444" s="391"/>
      <c r="R444" s="391"/>
      <c r="S444" s="765"/>
      <c r="T444" s="391"/>
      <c r="U444" s="765"/>
      <c r="V444" s="391"/>
      <c r="W444" s="765"/>
      <c r="X444" s="378"/>
      <c r="Y444" s="180"/>
      <c r="Z444" s="180"/>
      <c r="AA444" s="180"/>
      <c r="AB444" s="180"/>
    </row>
    <row r="445" spans="1:28" s="203" customFormat="1" x14ac:dyDescent="0.2">
      <c r="A445" s="636"/>
      <c r="B445" s="389"/>
      <c r="C445" s="392"/>
      <c r="D445" s="392"/>
      <c r="E445" s="392"/>
      <c r="F445" s="392"/>
      <c r="G445" s="392"/>
      <c r="H445" s="392"/>
      <c r="I445" s="766"/>
      <c r="J445" s="392"/>
      <c r="K445" s="392"/>
      <c r="L445" s="392"/>
      <c r="M445" s="392"/>
      <c r="N445" s="392"/>
      <c r="O445" s="766"/>
      <c r="P445" s="392"/>
      <c r="Q445" s="392"/>
      <c r="R445" s="392"/>
      <c r="S445" s="766"/>
      <c r="T445" s="392"/>
      <c r="U445" s="766"/>
      <c r="V445" s="392"/>
      <c r="W445" s="766"/>
      <c r="X445" s="378"/>
      <c r="Y445" s="180"/>
      <c r="Z445" s="180"/>
      <c r="AA445" s="180"/>
      <c r="AB445" s="180"/>
    </row>
    <row r="446" spans="1:28" s="202" customFormat="1" x14ac:dyDescent="0.2">
      <c r="A446" s="636"/>
      <c r="B446" s="639"/>
      <c r="C446" s="466"/>
      <c r="D446" s="466"/>
      <c r="E446" s="466"/>
      <c r="F446" s="466"/>
      <c r="G446" s="466"/>
      <c r="H446" s="466"/>
      <c r="I446" s="767"/>
      <c r="J446" s="466"/>
      <c r="K446" s="466"/>
      <c r="L446" s="466"/>
      <c r="M446" s="466"/>
      <c r="N446" s="466"/>
      <c r="O446" s="767"/>
      <c r="P446" s="466"/>
      <c r="Q446" s="466"/>
      <c r="R446" s="466"/>
      <c r="S446" s="767"/>
      <c r="T446" s="466"/>
      <c r="U446" s="767"/>
      <c r="V446" s="466"/>
      <c r="W446" s="767"/>
      <c r="X446" s="713"/>
      <c r="Y446" s="180"/>
      <c r="Z446" s="180"/>
      <c r="AA446" s="180"/>
      <c r="AB446" s="180"/>
    </row>
    <row r="447" spans="1:28" x14ac:dyDescent="0.2">
      <c r="A447" s="636"/>
      <c r="B447" s="388"/>
      <c r="C447" s="391"/>
      <c r="D447" s="391"/>
      <c r="E447" s="391"/>
      <c r="F447" s="391"/>
      <c r="G447" s="391"/>
      <c r="H447" s="391"/>
      <c r="I447" s="765"/>
      <c r="J447" s="391"/>
      <c r="K447" s="391"/>
      <c r="L447" s="391"/>
      <c r="M447" s="391"/>
      <c r="N447" s="391"/>
      <c r="O447" s="765"/>
      <c r="P447" s="391"/>
      <c r="Q447" s="391"/>
      <c r="R447" s="391"/>
      <c r="S447" s="765"/>
      <c r="T447" s="391"/>
      <c r="U447" s="765"/>
      <c r="V447" s="391"/>
      <c r="W447" s="765"/>
      <c r="X447" s="378"/>
      <c r="Y447" s="180"/>
      <c r="Z447" s="180"/>
      <c r="AA447" s="180"/>
      <c r="AB447" s="180"/>
    </row>
    <row r="448" spans="1:28" s="203" customFormat="1" x14ac:dyDescent="0.2">
      <c r="A448" s="636"/>
      <c r="B448" s="389"/>
      <c r="C448" s="392"/>
      <c r="D448" s="392"/>
      <c r="E448" s="392"/>
      <c r="F448" s="392"/>
      <c r="G448" s="392"/>
      <c r="H448" s="392"/>
      <c r="I448" s="766"/>
      <c r="J448" s="392"/>
      <c r="K448" s="392"/>
      <c r="L448" s="392"/>
      <c r="M448" s="392"/>
      <c r="N448" s="392"/>
      <c r="O448" s="766"/>
      <c r="P448" s="392"/>
      <c r="Q448" s="392"/>
      <c r="R448" s="392"/>
      <c r="S448" s="766"/>
      <c r="T448" s="392"/>
      <c r="U448" s="766"/>
      <c r="V448" s="392"/>
      <c r="W448" s="766"/>
      <c r="X448" s="378"/>
      <c r="Y448" s="180"/>
      <c r="Z448" s="180"/>
      <c r="AA448" s="180"/>
      <c r="AB448" s="180"/>
    </row>
    <row r="449" spans="1:28" s="202" customFormat="1" x14ac:dyDescent="0.2">
      <c r="A449" s="636"/>
      <c r="B449" s="639"/>
      <c r="C449" s="466"/>
      <c r="D449" s="466"/>
      <c r="E449" s="466"/>
      <c r="F449" s="466"/>
      <c r="G449" s="466"/>
      <c r="H449" s="466"/>
      <c r="I449" s="767"/>
      <c r="J449" s="466"/>
      <c r="K449" s="466"/>
      <c r="L449" s="466"/>
      <c r="M449" s="466"/>
      <c r="N449" s="466"/>
      <c r="O449" s="767"/>
      <c r="P449" s="466"/>
      <c r="Q449" s="466"/>
      <c r="R449" s="466"/>
      <c r="S449" s="767"/>
      <c r="T449" s="466"/>
      <c r="U449" s="767"/>
      <c r="V449" s="466"/>
      <c r="W449" s="767"/>
      <c r="X449" s="378"/>
      <c r="Y449" s="180"/>
      <c r="Z449" s="180"/>
      <c r="AA449" s="180"/>
      <c r="AB449" s="180"/>
    </row>
    <row r="450" spans="1:28" x14ac:dyDescent="0.2">
      <c r="A450" s="636"/>
      <c r="B450" s="768"/>
      <c r="C450" s="765"/>
      <c r="D450" s="765"/>
      <c r="E450" s="765"/>
      <c r="F450" s="765"/>
      <c r="G450" s="765"/>
      <c r="H450" s="765"/>
      <c r="I450" s="765"/>
      <c r="J450" s="765"/>
      <c r="K450" s="765"/>
      <c r="L450" s="765"/>
      <c r="M450" s="765"/>
      <c r="N450" s="765"/>
      <c r="O450" s="765"/>
      <c r="P450" s="765"/>
      <c r="Q450" s="765"/>
      <c r="R450" s="765"/>
      <c r="S450" s="765"/>
      <c r="T450" s="765"/>
      <c r="U450" s="765"/>
      <c r="V450" s="765"/>
      <c r="W450" s="765"/>
      <c r="X450" s="378"/>
      <c r="Y450" s="180"/>
      <c r="Z450" s="180"/>
      <c r="AA450" s="180"/>
      <c r="AB450" s="180"/>
    </row>
    <row r="451" spans="1:28" s="203" customFormat="1" x14ac:dyDescent="0.2">
      <c r="A451" s="636"/>
      <c r="B451" s="769"/>
      <c r="C451" s="766"/>
      <c r="D451" s="766"/>
      <c r="E451" s="766"/>
      <c r="F451" s="766"/>
      <c r="G451" s="766"/>
      <c r="H451" s="766"/>
      <c r="I451" s="766"/>
      <c r="J451" s="766"/>
      <c r="K451" s="766"/>
      <c r="L451" s="766"/>
      <c r="M451" s="766"/>
      <c r="N451" s="766"/>
      <c r="O451" s="766"/>
      <c r="P451" s="766"/>
      <c r="Q451" s="766"/>
      <c r="R451" s="766"/>
      <c r="S451" s="766"/>
      <c r="T451" s="766"/>
      <c r="U451" s="766"/>
      <c r="V451" s="766"/>
      <c r="W451" s="766"/>
      <c r="X451" s="378"/>
      <c r="Y451" s="180"/>
      <c r="Z451" s="180"/>
      <c r="AA451" s="180"/>
      <c r="AB451" s="180"/>
    </row>
    <row r="452" spans="1:28" s="202" customFormat="1" x14ac:dyDescent="0.2">
      <c r="A452" s="636"/>
      <c r="B452" s="770"/>
      <c r="C452" s="767"/>
      <c r="D452" s="767"/>
      <c r="E452" s="767"/>
      <c r="F452" s="767"/>
      <c r="G452" s="767"/>
      <c r="H452" s="767"/>
      <c r="I452" s="767"/>
      <c r="J452" s="767"/>
      <c r="K452" s="767"/>
      <c r="L452" s="767"/>
      <c r="M452" s="767"/>
      <c r="N452" s="767"/>
      <c r="O452" s="767"/>
      <c r="P452" s="767"/>
      <c r="Q452" s="767"/>
      <c r="R452" s="767"/>
      <c r="S452" s="767"/>
      <c r="T452" s="767"/>
      <c r="U452" s="767"/>
      <c r="V452" s="767"/>
      <c r="W452" s="767"/>
      <c r="X452" s="378"/>
      <c r="Y452" s="180"/>
      <c r="Z452" s="180"/>
      <c r="AA452" s="180"/>
      <c r="AB452" s="180"/>
    </row>
    <row r="453" spans="1:28" x14ac:dyDescent="0.2">
      <c r="A453" s="636"/>
      <c r="B453" s="388"/>
      <c r="C453" s="391"/>
      <c r="D453" s="391"/>
      <c r="E453" s="391"/>
      <c r="F453" s="391"/>
      <c r="G453" s="391"/>
      <c r="H453" s="391"/>
      <c r="I453" s="765"/>
      <c r="J453" s="391"/>
      <c r="K453" s="391"/>
      <c r="L453" s="391"/>
      <c r="M453" s="391"/>
      <c r="N453" s="391"/>
      <c r="O453" s="765"/>
      <c r="P453" s="391"/>
      <c r="Q453" s="391"/>
      <c r="R453" s="391"/>
      <c r="S453" s="765"/>
      <c r="T453" s="391"/>
      <c r="U453" s="765"/>
      <c r="V453" s="391"/>
      <c r="W453" s="765"/>
      <c r="X453" s="378"/>
      <c r="Y453" s="180"/>
      <c r="Z453" s="180"/>
      <c r="AA453" s="180"/>
      <c r="AB453" s="180"/>
    </row>
    <row r="454" spans="1:28" s="203" customFormat="1" x14ac:dyDescent="0.2">
      <c r="A454" s="636"/>
      <c r="B454" s="389"/>
      <c r="C454" s="392"/>
      <c r="D454" s="392"/>
      <c r="E454" s="392"/>
      <c r="F454" s="392"/>
      <c r="G454" s="392"/>
      <c r="H454" s="392"/>
      <c r="I454" s="766"/>
      <c r="J454" s="392"/>
      <c r="K454" s="392"/>
      <c r="L454" s="392"/>
      <c r="M454" s="392"/>
      <c r="N454" s="392"/>
      <c r="O454" s="766"/>
      <c r="P454" s="392"/>
      <c r="Q454" s="392"/>
      <c r="R454" s="392"/>
      <c r="S454" s="766"/>
      <c r="T454" s="392"/>
      <c r="U454" s="766"/>
      <c r="V454" s="392"/>
      <c r="W454" s="766"/>
      <c r="X454" s="378"/>
      <c r="Y454" s="180"/>
      <c r="Z454" s="180"/>
      <c r="AA454" s="180"/>
      <c r="AB454" s="180"/>
    </row>
    <row r="455" spans="1:28" s="202" customFormat="1" x14ac:dyDescent="0.2">
      <c r="A455" s="636"/>
      <c r="B455" s="639"/>
      <c r="C455" s="466"/>
      <c r="D455" s="466"/>
      <c r="E455" s="466"/>
      <c r="F455" s="466"/>
      <c r="G455" s="466"/>
      <c r="H455" s="466"/>
      <c r="I455" s="767"/>
      <c r="J455" s="466"/>
      <c r="K455" s="466"/>
      <c r="L455" s="466"/>
      <c r="M455" s="466"/>
      <c r="N455" s="466"/>
      <c r="O455" s="767"/>
      <c r="P455" s="466"/>
      <c r="Q455" s="466"/>
      <c r="R455" s="466"/>
      <c r="S455" s="767"/>
      <c r="T455" s="466"/>
      <c r="U455" s="767"/>
      <c r="V455" s="466"/>
      <c r="W455" s="767"/>
      <c r="X455" s="378"/>
      <c r="Y455" s="180"/>
      <c r="Z455" s="180"/>
      <c r="AA455" s="180"/>
      <c r="AB455" s="180"/>
    </row>
    <row r="456" spans="1:28" x14ac:dyDescent="0.2">
      <c r="A456" s="636"/>
      <c r="B456" s="388"/>
      <c r="C456" s="391"/>
      <c r="D456" s="391"/>
      <c r="E456" s="391"/>
      <c r="F456" s="391"/>
      <c r="G456" s="391"/>
      <c r="H456" s="391"/>
      <c r="I456" s="765"/>
      <c r="J456" s="391"/>
      <c r="K456" s="391"/>
      <c r="L456" s="391"/>
      <c r="M456" s="391"/>
      <c r="N456" s="391"/>
      <c r="O456" s="765"/>
      <c r="P456" s="391"/>
      <c r="Q456" s="391"/>
      <c r="R456" s="391"/>
      <c r="S456" s="765"/>
      <c r="T456" s="391"/>
      <c r="U456" s="765"/>
      <c r="V456" s="391"/>
      <c r="W456" s="765"/>
      <c r="X456" s="378"/>
      <c r="Y456" s="180"/>
      <c r="Z456" s="180"/>
      <c r="AA456" s="180"/>
      <c r="AB456" s="180"/>
    </row>
    <row r="457" spans="1:28" s="203" customFormat="1" x14ac:dyDescent="0.2">
      <c r="A457" s="636"/>
      <c r="B457" s="389"/>
      <c r="C457" s="392"/>
      <c r="D457" s="392"/>
      <c r="E457" s="392"/>
      <c r="F457" s="392"/>
      <c r="G457" s="392"/>
      <c r="H457" s="392"/>
      <c r="I457" s="766"/>
      <c r="J457" s="392"/>
      <c r="K457" s="392"/>
      <c r="L457" s="392"/>
      <c r="M457" s="392"/>
      <c r="N457" s="392"/>
      <c r="O457" s="766"/>
      <c r="P457" s="392"/>
      <c r="Q457" s="392"/>
      <c r="R457" s="392"/>
      <c r="S457" s="766"/>
      <c r="T457" s="392"/>
      <c r="U457" s="766"/>
      <c r="V457" s="392"/>
      <c r="W457" s="766"/>
      <c r="X457" s="378"/>
      <c r="Y457" s="180"/>
      <c r="Z457" s="180"/>
      <c r="AA457" s="180"/>
      <c r="AB457" s="180"/>
    </row>
    <row r="458" spans="1:28" s="202" customFormat="1" x14ac:dyDescent="0.2">
      <c r="A458" s="636"/>
      <c r="B458" s="639"/>
      <c r="C458" s="466"/>
      <c r="D458" s="466"/>
      <c r="E458" s="466"/>
      <c r="F458" s="466"/>
      <c r="G458" s="466"/>
      <c r="H458" s="466"/>
      <c r="I458" s="767"/>
      <c r="J458" s="466"/>
      <c r="K458" s="466"/>
      <c r="L458" s="466"/>
      <c r="M458" s="466"/>
      <c r="N458" s="466"/>
      <c r="O458" s="767"/>
      <c r="P458" s="466"/>
      <c r="Q458" s="466"/>
      <c r="R458" s="466"/>
      <c r="S458" s="767"/>
      <c r="T458" s="466"/>
      <c r="U458" s="767"/>
      <c r="V458" s="466"/>
      <c r="W458" s="767"/>
      <c r="X458" s="378"/>
      <c r="Y458" s="180"/>
      <c r="Z458" s="180"/>
      <c r="AA458" s="180"/>
      <c r="AB458" s="180"/>
    </row>
    <row r="459" spans="1:28" x14ac:dyDescent="0.2">
      <c r="A459" s="636"/>
      <c r="B459" s="388"/>
      <c r="C459" s="391"/>
      <c r="D459" s="391"/>
      <c r="E459" s="391"/>
      <c r="F459" s="391"/>
      <c r="G459" s="391"/>
      <c r="H459" s="391"/>
      <c r="I459" s="765"/>
      <c r="J459" s="391"/>
      <c r="K459" s="391"/>
      <c r="L459" s="391"/>
      <c r="M459" s="391"/>
      <c r="N459" s="391"/>
      <c r="O459" s="765"/>
      <c r="P459" s="391"/>
      <c r="Q459" s="391"/>
      <c r="R459" s="391"/>
      <c r="S459" s="765"/>
      <c r="T459" s="391"/>
      <c r="U459" s="765"/>
      <c r="V459" s="391"/>
      <c r="W459" s="765"/>
      <c r="X459" s="378"/>
      <c r="Y459" s="180"/>
      <c r="Z459" s="180"/>
      <c r="AA459" s="180"/>
      <c r="AB459" s="180"/>
    </row>
    <row r="460" spans="1:28" s="203" customFormat="1" x14ac:dyDescent="0.2">
      <c r="A460" s="636"/>
      <c r="B460" s="389"/>
      <c r="C460" s="392"/>
      <c r="D460" s="392"/>
      <c r="E460" s="392"/>
      <c r="F460" s="392"/>
      <c r="G460" s="392"/>
      <c r="H460" s="392"/>
      <c r="I460" s="766"/>
      <c r="J460" s="392"/>
      <c r="K460" s="392"/>
      <c r="L460" s="392"/>
      <c r="M460" s="392"/>
      <c r="N460" s="392"/>
      <c r="O460" s="766"/>
      <c r="P460" s="392"/>
      <c r="Q460" s="392"/>
      <c r="R460" s="392"/>
      <c r="S460" s="766"/>
      <c r="T460" s="392"/>
      <c r="U460" s="766"/>
      <c r="V460" s="392"/>
      <c r="W460" s="766"/>
      <c r="X460" s="378"/>
      <c r="Y460" s="180"/>
      <c r="Z460" s="180"/>
      <c r="AA460" s="180"/>
      <c r="AB460" s="180"/>
    </row>
    <row r="461" spans="1:28" s="202" customFormat="1" x14ac:dyDescent="0.2">
      <c r="A461" s="636"/>
      <c r="B461" s="639"/>
      <c r="C461" s="466"/>
      <c r="D461" s="466"/>
      <c r="E461" s="466"/>
      <c r="F461" s="466"/>
      <c r="G461" s="466"/>
      <c r="H461" s="466"/>
      <c r="I461" s="767"/>
      <c r="J461" s="466"/>
      <c r="K461" s="466"/>
      <c r="L461" s="466"/>
      <c r="M461" s="466"/>
      <c r="N461" s="466"/>
      <c r="O461" s="767"/>
      <c r="P461" s="466"/>
      <c r="Q461" s="466"/>
      <c r="R461" s="466"/>
      <c r="S461" s="767"/>
      <c r="T461" s="466"/>
      <c r="U461" s="767"/>
      <c r="V461" s="466"/>
      <c r="W461" s="767"/>
      <c r="X461" s="378"/>
      <c r="Y461" s="180"/>
      <c r="Z461" s="180"/>
      <c r="AA461" s="180"/>
      <c r="AB461" s="180"/>
    </row>
    <row r="462" spans="1:28" x14ac:dyDescent="0.2">
      <c r="A462" s="636"/>
      <c r="B462" s="388"/>
      <c r="C462" s="391"/>
      <c r="D462" s="391"/>
      <c r="E462" s="391"/>
      <c r="F462" s="391"/>
      <c r="G462" s="391"/>
      <c r="H462" s="391"/>
      <c r="I462" s="765"/>
      <c r="J462" s="391"/>
      <c r="K462" s="391"/>
      <c r="L462" s="391"/>
      <c r="M462" s="391"/>
      <c r="N462" s="391"/>
      <c r="O462" s="765"/>
      <c r="P462" s="391"/>
      <c r="Q462" s="391"/>
      <c r="R462" s="391"/>
      <c r="S462" s="765"/>
      <c r="T462" s="391"/>
      <c r="U462" s="765"/>
      <c r="V462" s="391"/>
      <c r="W462" s="765"/>
      <c r="X462" s="378"/>
      <c r="Y462" s="180"/>
      <c r="Z462" s="180"/>
      <c r="AA462" s="180"/>
      <c r="AB462" s="180"/>
    </row>
    <row r="463" spans="1:28" s="203" customFormat="1" x14ac:dyDescent="0.2">
      <c r="A463" s="636"/>
      <c r="B463" s="389"/>
      <c r="C463" s="392"/>
      <c r="D463" s="392"/>
      <c r="E463" s="392"/>
      <c r="F463" s="392"/>
      <c r="G463" s="392"/>
      <c r="H463" s="392"/>
      <c r="I463" s="766"/>
      <c r="J463" s="392"/>
      <c r="K463" s="392"/>
      <c r="L463" s="392"/>
      <c r="M463" s="392"/>
      <c r="N463" s="392"/>
      <c r="O463" s="766"/>
      <c r="P463" s="392"/>
      <c r="Q463" s="392"/>
      <c r="R463" s="392"/>
      <c r="S463" s="766"/>
      <c r="T463" s="392"/>
      <c r="U463" s="766"/>
      <c r="V463" s="392"/>
      <c r="W463" s="766"/>
      <c r="X463" s="378"/>
      <c r="Y463" s="180"/>
      <c r="Z463" s="180"/>
      <c r="AA463" s="180"/>
      <c r="AB463" s="180"/>
    </row>
    <row r="464" spans="1:28" s="202" customFormat="1" x14ac:dyDescent="0.2">
      <c r="A464" s="636"/>
      <c r="B464" s="639"/>
      <c r="C464" s="466"/>
      <c r="D464" s="466"/>
      <c r="E464" s="466"/>
      <c r="F464" s="466"/>
      <c r="G464" s="466"/>
      <c r="H464" s="466"/>
      <c r="I464" s="767"/>
      <c r="J464" s="466"/>
      <c r="K464" s="466"/>
      <c r="L464" s="466"/>
      <c r="M464" s="466"/>
      <c r="N464" s="466"/>
      <c r="O464" s="767"/>
      <c r="P464" s="466"/>
      <c r="Q464" s="466"/>
      <c r="R464" s="466"/>
      <c r="S464" s="767"/>
      <c r="T464" s="466"/>
      <c r="U464" s="767"/>
      <c r="V464" s="466"/>
      <c r="W464" s="767"/>
      <c r="X464" s="378"/>
      <c r="Y464" s="180"/>
      <c r="Z464" s="180"/>
      <c r="AA464" s="180"/>
      <c r="AB464" s="180"/>
    </row>
    <row r="465" spans="1:28" x14ac:dyDescent="0.2">
      <c r="A465" s="636"/>
      <c r="B465" s="388"/>
      <c r="C465" s="391"/>
      <c r="D465" s="391"/>
      <c r="E465" s="391"/>
      <c r="F465" s="391"/>
      <c r="G465" s="391"/>
      <c r="H465" s="391"/>
      <c r="I465" s="765"/>
      <c r="J465" s="391"/>
      <c r="K465" s="391"/>
      <c r="L465" s="391"/>
      <c r="M465" s="391"/>
      <c r="N465" s="391"/>
      <c r="O465" s="765"/>
      <c r="P465" s="391"/>
      <c r="Q465" s="391"/>
      <c r="R465" s="391"/>
      <c r="S465" s="765"/>
      <c r="T465" s="391"/>
      <c r="U465" s="765"/>
      <c r="V465" s="391"/>
      <c r="W465" s="765"/>
      <c r="X465" s="378"/>
      <c r="Y465" s="180"/>
      <c r="Z465" s="180"/>
      <c r="AA465" s="180"/>
      <c r="AB465" s="180"/>
    </row>
    <row r="466" spans="1:28" s="203" customFormat="1" x14ac:dyDescent="0.2">
      <c r="A466" s="636"/>
      <c r="B466" s="389"/>
      <c r="C466" s="392"/>
      <c r="D466" s="392"/>
      <c r="E466" s="392"/>
      <c r="F466" s="392"/>
      <c r="G466" s="392"/>
      <c r="H466" s="392"/>
      <c r="I466" s="766"/>
      <c r="J466" s="392"/>
      <c r="K466" s="392"/>
      <c r="L466" s="392"/>
      <c r="M466" s="392"/>
      <c r="N466" s="392"/>
      <c r="O466" s="766"/>
      <c r="P466" s="392"/>
      <c r="Q466" s="392"/>
      <c r="R466" s="392"/>
      <c r="S466" s="766"/>
      <c r="T466" s="392"/>
      <c r="U466" s="766"/>
      <c r="V466" s="392"/>
      <c r="W466" s="766"/>
      <c r="X466" s="378"/>
      <c r="Y466" s="180"/>
      <c r="Z466" s="180"/>
      <c r="AA466" s="180"/>
      <c r="AB466" s="180"/>
    </row>
    <row r="467" spans="1:28" s="202" customFormat="1" x14ac:dyDescent="0.2">
      <c r="A467" s="636"/>
      <c r="B467" s="639"/>
      <c r="C467" s="466"/>
      <c r="D467" s="466"/>
      <c r="E467" s="466"/>
      <c r="F467" s="466"/>
      <c r="G467" s="466"/>
      <c r="H467" s="466"/>
      <c r="I467" s="767"/>
      <c r="J467" s="466"/>
      <c r="K467" s="466"/>
      <c r="L467" s="466"/>
      <c r="M467" s="466"/>
      <c r="N467" s="466"/>
      <c r="O467" s="767"/>
      <c r="P467" s="466"/>
      <c r="Q467" s="466"/>
      <c r="R467" s="466"/>
      <c r="S467" s="767"/>
      <c r="T467" s="466"/>
      <c r="U467" s="767"/>
      <c r="V467" s="466"/>
      <c r="W467" s="767"/>
      <c r="X467" s="713"/>
      <c r="Y467" s="180"/>
      <c r="Z467" s="180"/>
      <c r="AA467" s="180"/>
      <c r="AB467" s="180"/>
    </row>
    <row r="468" spans="1:28" x14ac:dyDescent="0.2">
      <c r="A468" s="636"/>
      <c r="B468" s="388"/>
      <c r="C468" s="391"/>
      <c r="D468" s="391"/>
      <c r="E468" s="391"/>
      <c r="F468" s="391"/>
      <c r="G468" s="391"/>
      <c r="H468" s="391"/>
      <c r="I468" s="765"/>
      <c r="J468" s="391"/>
      <c r="K468" s="391"/>
      <c r="L468" s="391"/>
      <c r="M468" s="391"/>
      <c r="N468" s="391"/>
      <c r="O468" s="765"/>
      <c r="P468" s="391"/>
      <c r="Q468" s="391"/>
      <c r="R468" s="391"/>
      <c r="S468" s="765"/>
      <c r="T468" s="391"/>
      <c r="U468" s="765"/>
      <c r="V468" s="391"/>
      <c r="W468" s="765"/>
      <c r="X468" s="378"/>
      <c r="Y468" s="180"/>
      <c r="Z468" s="180"/>
      <c r="AA468" s="180"/>
      <c r="AB468" s="180"/>
    </row>
    <row r="469" spans="1:28" s="203" customFormat="1" x14ac:dyDescent="0.2">
      <c r="A469" s="636"/>
      <c r="B469" s="389"/>
      <c r="C469" s="392"/>
      <c r="D469" s="392"/>
      <c r="E469" s="392"/>
      <c r="F469" s="392"/>
      <c r="G469" s="392"/>
      <c r="H469" s="392"/>
      <c r="I469" s="766"/>
      <c r="J469" s="392"/>
      <c r="K469" s="392"/>
      <c r="L469" s="392"/>
      <c r="M469" s="392"/>
      <c r="N469" s="392"/>
      <c r="O469" s="766"/>
      <c r="P469" s="392"/>
      <c r="Q469" s="392"/>
      <c r="R469" s="392"/>
      <c r="S469" s="766"/>
      <c r="T469" s="392"/>
      <c r="U469" s="766"/>
      <c r="V469" s="392"/>
      <c r="W469" s="766"/>
      <c r="X469" s="378"/>
      <c r="Y469" s="180"/>
      <c r="Z469" s="180"/>
      <c r="AA469" s="180"/>
      <c r="AB469" s="180"/>
    </row>
    <row r="470" spans="1:28" s="202" customFormat="1" x14ac:dyDescent="0.2">
      <c r="A470" s="636"/>
      <c r="B470" s="639"/>
      <c r="C470" s="763"/>
      <c r="D470" s="466"/>
      <c r="E470" s="466"/>
      <c r="F470" s="466"/>
      <c r="G470" s="466"/>
      <c r="H470" s="466"/>
      <c r="I470" s="767"/>
      <c r="J470" s="466"/>
      <c r="K470" s="466"/>
      <c r="L470" s="466"/>
      <c r="M470" s="466"/>
      <c r="N470" s="466"/>
      <c r="O470" s="767"/>
      <c r="P470" s="466"/>
      <c r="Q470" s="466"/>
      <c r="R470" s="466"/>
      <c r="S470" s="767"/>
      <c r="T470" s="763"/>
      <c r="U470" s="767"/>
      <c r="V470" s="466"/>
      <c r="W470" s="767"/>
      <c r="X470" s="378"/>
      <c r="Y470" s="180"/>
      <c r="Z470" s="180"/>
      <c r="AA470" s="180"/>
      <c r="AB470" s="180"/>
    </row>
    <row r="471" spans="1:28" x14ac:dyDescent="0.2">
      <c r="A471" s="636"/>
      <c r="B471" s="388"/>
      <c r="C471" s="391"/>
      <c r="D471" s="391"/>
      <c r="E471" s="391"/>
      <c r="F471" s="391"/>
      <c r="G471" s="391"/>
      <c r="H471" s="391"/>
      <c r="I471" s="765"/>
      <c r="J471" s="391"/>
      <c r="K471" s="391"/>
      <c r="L471" s="391"/>
      <c r="M471" s="391"/>
      <c r="N471" s="391"/>
      <c r="O471" s="765"/>
      <c r="P471" s="391"/>
      <c r="Q471" s="391"/>
      <c r="R471" s="391"/>
      <c r="S471" s="765"/>
      <c r="T471" s="391"/>
      <c r="U471" s="765"/>
      <c r="V471" s="391"/>
      <c r="W471" s="765"/>
      <c r="X471" s="378"/>
      <c r="Y471" s="180"/>
      <c r="Z471" s="180"/>
      <c r="AA471" s="180"/>
      <c r="AB471" s="180"/>
    </row>
    <row r="472" spans="1:28" s="203" customFormat="1" x14ac:dyDescent="0.2">
      <c r="A472" s="636"/>
      <c r="B472" s="389"/>
      <c r="C472" s="392"/>
      <c r="D472" s="392"/>
      <c r="E472" s="392"/>
      <c r="F472" s="392"/>
      <c r="G472" s="392"/>
      <c r="H472" s="392"/>
      <c r="I472" s="766"/>
      <c r="J472" s="392"/>
      <c r="K472" s="392"/>
      <c r="L472" s="392"/>
      <c r="M472" s="392"/>
      <c r="N472" s="392"/>
      <c r="O472" s="766"/>
      <c r="P472" s="392"/>
      <c r="Q472" s="392"/>
      <c r="R472" s="392"/>
      <c r="S472" s="766"/>
      <c r="T472" s="392"/>
      <c r="U472" s="766"/>
      <c r="V472" s="392"/>
      <c r="W472" s="766"/>
      <c r="X472" s="378"/>
      <c r="Y472" s="180"/>
      <c r="Z472" s="180"/>
      <c r="AA472" s="180"/>
      <c r="AB472" s="180"/>
    </row>
    <row r="473" spans="1:28" s="212" customFormat="1" ht="13.5" thickBot="1" x14ac:dyDescent="0.25">
      <c r="A473" s="640"/>
      <c r="B473" s="777"/>
      <c r="C473" s="778"/>
      <c r="D473" s="778"/>
      <c r="E473" s="778"/>
      <c r="F473" s="778"/>
      <c r="G473" s="778"/>
      <c r="H473" s="778"/>
      <c r="I473" s="779"/>
      <c r="J473" s="778"/>
      <c r="K473" s="778"/>
      <c r="L473" s="1512"/>
      <c r="M473" s="778"/>
      <c r="N473" s="778"/>
      <c r="O473" s="779"/>
      <c r="P473" s="778"/>
      <c r="Q473" s="778"/>
      <c r="R473" s="778"/>
      <c r="S473" s="779"/>
      <c r="T473" s="778"/>
      <c r="U473" s="779"/>
      <c r="V473" s="778"/>
      <c r="W473" s="779"/>
      <c r="X473" s="378"/>
      <c r="Y473" s="180"/>
      <c r="Z473" s="180"/>
      <c r="AA473" s="180"/>
      <c r="AB473" s="180"/>
    </row>
    <row r="474" spans="1:28" ht="13.5" thickTop="1" x14ac:dyDescent="0.2">
      <c r="A474" s="230"/>
      <c r="B474" s="780"/>
      <c r="C474" s="781"/>
      <c r="D474" s="781"/>
      <c r="E474" s="781"/>
      <c r="F474" s="781"/>
      <c r="G474" s="781"/>
      <c r="H474" s="781"/>
      <c r="I474" s="782"/>
      <c r="J474" s="781"/>
      <c r="K474" s="781"/>
      <c r="L474" s="781"/>
      <c r="M474" s="781"/>
      <c r="N474" s="781"/>
      <c r="O474" s="782"/>
      <c r="P474" s="781"/>
      <c r="Q474" s="781"/>
      <c r="R474" s="781"/>
      <c r="S474" s="782"/>
      <c r="T474" s="781"/>
      <c r="U474" s="782"/>
      <c r="V474" s="781"/>
      <c r="W474" s="782"/>
      <c r="X474" s="378"/>
      <c r="Y474" s="180"/>
      <c r="Z474" s="180"/>
      <c r="AA474" s="180"/>
      <c r="AB474" s="180"/>
    </row>
    <row r="475" spans="1:28" s="203" customFormat="1" x14ac:dyDescent="0.2">
      <c r="A475" s="636"/>
      <c r="B475" s="389"/>
      <c r="C475" s="392"/>
      <c r="D475" s="392"/>
      <c r="E475" s="392"/>
      <c r="F475" s="392"/>
      <c r="G475" s="392"/>
      <c r="H475" s="392"/>
      <c r="I475" s="766"/>
      <c r="J475" s="392"/>
      <c r="K475" s="392"/>
      <c r="L475" s="392"/>
      <c r="M475" s="392"/>
      <c r="N475" s="392"/>
      <c r="O475" s="766"/>
      <c r="P475" s="392"/>
      <c r="Q475" s="392"/>
      <c r="R475" s="392"/>
      <c r="S475" s="766"/>
      <c r="T475" s="392"/>
      <c r="U475" s="766"/>
      <c r="V475" s="392"/>
      <c r="W475" s="766"/>
      <c r="X475" s="378"/>
      <c r="Y475" s="180"/>
      <c r="Z475" s="180"/>
      <c r="AA475" s="180"/>
      <c r="AB475" s="180"/>
    </row>
    <row r="476" spans="1:28" s="202" customFormat="1" x14ac:dyDescent="0.2">
      <c r="A476" s="637"/>
      <c r="B476" s="639"/>
      <c r="C476" s="466"/>
      <c r="D476" s="466"/>
      <c r="E476" s="466"/>
      <c r="F476" s="466"/>
      <c r="G476" s="466"/>
      <c r="H476" s="466"/>
      <c r="I476" s="767"/>
      <c r="J476" s="466"/>
      <c r="K476" s="466"/>
      <c r="L476" s="466"/>
      <c r="M476" s="466"/>
      <c r="N476" s="466"/>
      <c r="O476" s="767"/>
      <c r="P476" s="466"/>
      <c r="Q476" s="466"/>
      <c r="R476" s="466"/>
      <c r="S476" s="767"/>
      <c r="T476" s="466"/>
      <c r="U476" s="767"/>
      <c r="V476" s="466"/>
      <c r="W476" s="767"/>
      <c r="X476" s="378"/>
      <c r="Y476" s="180"/>
      <c r="Z476" s="180"/>
      <c r="AA476" s="180"/>
      <c r="AB476" s="180"/>
    </row>
    <row r="477" spans="1:28" x14ac:dyDescent="0.2">
      <c r="A477" s="636"/>
      <c r="B477" s="388"/>
      <c r="C477" s="391"/>
      <c r="D477" s="391"/>
      <c r="E477" s="391"/>
      <c r="F477" s="391"/>
      <c r="G477" s="391"/>
      <c r="H477" s="391"/>
      <c r="I477" s="765"/>
      <c r="J477" s="391"/>
      <c r="K477" s="391"/>
      <c r="L477" s="391"/>
      <c r="M477" s="391"/>
      <c r="N477" s="391"/>
      <c r="O477" s="765"/>
      <c r="P477" s="391"/>
      <c r="Q477" s="391"/>
      <c r="R477" s="391"/>
      <c r="S477" s="765"/>
      <c r="T477" s="391"/>
      <c r="U477" s="765"/>
      <c r="V477" s="391"/>
      <c r="W477" s="765"/>
      <c r="X477" s="378"/>
      <c r="Y477" s="180"/>
      <c r="Z477" s="180"/>
      <c r="AA477" s="180"/>
      <c r="AB477" s="180"/>
    </row>
    <row r="478" spans="1:28" s="203" customFormat="1" x14ac:dyDescent="0.2">
      <c r="A478" s="636"/>
      <c r="B478" s="389"/>
      <c r="C478" s="392"/>
      <c r="D478" s="392"/>
      <c r="E478" s="392"/>
      <c r="F478" s="392"/>
      <c r="G478" s="392"/>
      <c r="H478" s="392"/>
      <c r="I478" s="766"/>
      <c r="J478" s="392"/>
      <c r="K478" s="392"/>
      <c r="L478" s="392"/>
      <c r="M478" s="392"/>
      <c r="N478" s="392"/>
      <c r="O478" s="766"/>
      <c r="P478" s="392"/>
      <c r="Q478" s="392"/>
      <c r="R478" s="392"/>
      <c r="S478" s="766"/>
      <c r="T478" s="392"/>
      <c r="U478" s="766"/>
      <c r="V478" s="392"/>
      <c r="W478" s="766"/>
      <c r="X478" s="378"/>
      <c r="Y478" s="180"/>
      <c r="Z478" s="180"/>
      <c r="AA478" s="180"/>
      <c r="AB478" s="180"/>
    </row>
    <row r="479" spans="1:28" s="202" customFormat="1" x14ac:dyDescent="0.2">
      <c r="A479" s="636"/>
      <c r="B479" s="639"/>
      <c r="C479" s="466"/>
      <c r="D479" s="466"/>
      <c r="E479" s="466"/>
      <c r="F479" s="466"/>
      <c r="G479" s="466"/>
      <c r="H479" s="466"/>
      <c r="I479" s="767"/>
      <c r="J479" s="466"/>
      <c r="K479" s="466"/>
      <c r="L479" s="466"/>
      <c r="M479" s="466"/>
      <c r="N479" s="466"/>
      <c r="O479" s="767"/>
      <c r="P479" s="466"/>
      <c r="Q479" s="466"/>
      <c r="R479" s="466"/>
      <c r="S479" s="767"/>
      <c r="T479" s="466"/>
      <c r="U479" s="767"/>
      <c r="V479" s="466"/>
      <c r="W479" s="767"/>
      <c r="X479" s="378"/>
      <c r="Y479" s="180"/>
      <c r="Z479" s="180"/>
      <c r="AA479" s="180"/>
      <c r="AB479" s="180"/>
    </row>
    <row r="480" spans="1:28" x14ac:dyDescent="0.2">
      <c r="A480" s="636"/>
      <c r="B480" s="388"/>
      <c r="C480" s="391"/>
      <c r="D480" s="391"/>
      <c r="E480" s="391"/>
      <c r="F480" s="391"/>
      <c r="G480" s="391"/>
      <c r="H480" s="391"/>
      <c r="I480" s="765"/>
      <c r="J480" s="391"/>
      <c r="K480" s="391"/>
      <c r="L480" s="391"/>
      <c r="M480" s="391"/>
      <c r="N480" s="391"/>
      <c r="O480" s="765"/>
      <c r="P480" s="391"/>
      <c r="Q480" s="391"/>
      <c r="R480" s="391"/>
      <c r="S480" s="765"/>
      <c r="T480" s="391"/>
      <c r="U480" s="765"/>
      <c r="V480" s="391"/>
      <c r="W480" s="765"/>
      <c r="X480" s="378"/>
      <c r="Y480" s="180"/>
      <c r="Z480" s="180"/>
      <c r="AA480" s="180"/>
      <c r="AB480" s="180"/>
    </row>
    <row r="481" spans="1:28" s="203" customFormat="1" x14ac:dyDescent="0.2">
      <c r="A481" s="636"/>
      <c r="B481" s="389"/>
      <c r="C481" s="392"/>
      <c r="D481" s="392"/>
      <c r="E481" s="392"/>
      <c r="F481" s="392"/>
      <c r="G481" s="392"/>
      <c r="H481" s="392"/>
      <c r="I481" s="766"/>
      <c r="J481" s="392"/>
      <c r="K481" s="392"/>
      <c r="L481" s="392"/>
      <c r="M481" s="392"/>
      <c r="N481" s="392"/>
      <c r="O481" s="766"/>
      <c r="P481" s="392"/>
      <c r="Q481" s="392"/>
      <c r="R481" s="392"/>
      <c r="S481" s="766"/>
      <c r="T481" s="392"/>
      <c r="U481" s="766"/>
      <c r="V481" s="392"/>
      <c r="W481" s="766"/>
      <c r="X481" s="378"/>
      <c r="Y481" s="180"/>
      <c r="Z481" s="180"/>
      <c r="AA481" s="180"/>
      <c r="AB481" s="180"/>
    </row>
    <row r="482" spans="1:28" s="202" customFormat="1" x14ac:dyDescent="0.2">
      <c r="A482" s="636"/>
      <c r="B482" s="639"/>
      <c r="C482" s="466"/>
      <c r="D482" s="466"/>
      <c r="E482" s="466"/>
      <c r="F482" s="466"/>
      <c r="G482" s="466"/>
      <c r="H482" s="466"/>
      <c r="I482" s="767"/>
      <c r="J482" s="466"/>
      <c r="K482" s="466"/>
      <c r="L482" s="466"/>
      <c r="M482" s="466"/>
      <c r="N482" s="466"/>
      <c r="O482" s="767"/>
      <c r="P482" s="466"/>
      <c r="Q482" s="466"/>
      <c r="R482" s="466"/>
      <c r="S482" s="767"/>
      <c r="T482" s="466"/>
      <c r="U482" s="767"/>
      <c r="V482" s="466"/>
      <c r="W482" s="767"/>
      <c r="X482" s="378"/>
      <c r="Y482" s="180"/>
      <c r="Z482" s="180"/>
      <c r="AA482" s="180"/>
      <c r="AB482" s="180"/>
    </row>
    <row r="483" spans="1:28" x14ac:dyDescent="0.2">
      <c r="A483" s="636"/>
      <c r="B483" s="388"/>
      <c r="C483" s="391"/>
      <c r="D483" s="391"/>
      <c r="E483" s="391"/>
      <c r="F483" s="391"/>
      <c r="G483" s="391"/>
      <c r="H483" s="391"/>
      <c r="I483" s="765"/>
      <c r="J483" s="391"/>
      <c r="K483" s="391"/>
      <c r="L483" s="391"/>
      <c r="M483" s="391"/>
      <c r="N483" s="391"/>
      <c r="O483" s="765"/>
      <c r="P483" s="391"/>
      <c r="Q483" s="391"/>
      <c r="R483" s="391"/>
      <c r="S483" s="765"/>
      <c r="T483" s="391"/>
      <c r="U483" s="765"/>
      <c r="V483" s="391"/>
      <c r="W483" s="765"/>
      <c r="X483" s="378"/>
      <c r="Y483" s="180"/>
      <c r="Z483" s="180"/>
      <c r="AA483" s="180"/>
      <c r="AB483" s="180"/>
    </row>
    <row r="484" spans="1:28" s="203" customFormat="1" x14ac:dyDescent="0.2">
      <c r="A484" s="636"/>
      <c r="B484" s="389"/>
      <c r="C484" s="392"/>
      <c r="D484" s="392"/>
      <c r="E484" s="392"/>
      <c r="F484" s="392"/>
      <c r="G484" s="392"/>
      <c r="H484" s="392"/>
      <c r="I484" s="766"/>
      <c r="J484" s="392"/>
      <c r="K484" s="392"/>
      <c r="L484" s="392"/>
      <c r="M484" s="392"/>
      <c r="N484" s="392"/>
      <c r="O484" s="766"/>
      <c r="P484" s="392"/>
      <c r="Q484" s="392"/>
      <c r="R484" s="392"/>
      <c r="S484" s="766"/>
      <c r="T484" s="392"/>
      <c r="U484" s="766"/>
      <c r="V484" s="392"/>
      <c r="W484" s="766"/>
      <c r="X484" s="378"/>
      <c r="Y484" s="180"/>
      <c r="Z484" s="180"/>
      <c r="AA484" s="180"/>
      <c r="AB484" s="180"/>
    </row>
    <row r="485" spans="1:28" s="202" customFormat="1" x14ac:dyDescent="0.2">
      <c r="A485" s="636"/>
      <c r="B485" s="639"/>
      <c r="C485" s="466"/>
      <c r="D485" s="466"/>
      <c r="E485" s="466"/>
      <c r="F485" s="466"/>
      <c r="G485" s="466"/>
      <c r="H485" s="466"/>
      <c r="I485" s="767"/>
      <c r="J485" s="466"/>
      <c r="K485" s="466"/>
      <c r="L485" s="466"/>
      <c r="M485" s="466"/>
      <c r="N485" s="466"/>
      <c r="O485" s="767"/>
      <c r="P485" s="763"/>
      <c r="Q485" s="466"/>
      <c r="R485" s="466"/>
      <c r="S485" s="767"/>
      <c r="T485" s="466"/>
      <c r="U485" s="767"/>
      <c r="V485" s="466"/>
      <c r="W485" s="767"/>
      <c r="X485" s="378"/>
      <c r="Y485" s="180"/>
      <c r="Z485" s="180"/>
      <c r="AA485" s="180"/>
      <c r="AB485" s="180"/>
    </row>
    <row r="486" spans="1:28" x14ac:dyDescent="0.2">
      <c r="A486" s="636"/>
      <c r="B486" s="388"/>
      <c r="C486" s="391"/>
      <c r="D486" s="391"/>
      <c r="E486" s="391"/>
      <c r="F486" s="391"/>
      <c r="G486" s="391"/>
      <c r="H486" s="391"/>
      <c r="I486" s="765"/>
      <c r="J486" s="391"/>
      <c r="K486" s="391"/>
      <c r="L486" s="391"/>
      <c r="M486" s="391"/>
      <c r="N486" s="391"/>
      <c r="O486" s="765"/>
      <c r="P486" s="391"/>
      <c r="Q486" s="391"/>
      <c r="R486" s="391"/>
      <c r="S486" s="765"/>
      <c r="T486" s="391"/>
      <c r="U486" s="765"/>
      <c r="V486" s="391"/>
      <c r="W486" s="765"/>
      <c r="X486" s="378"/>
      <c r="Y486" s="180"/>
      <c r="Z486" s="180"/>
      <c r="AA486" s="180"/>
      <c r="AB486" s="180"/>
    </row>
    <row r="487" spans="1:28" s="203" customFormat="1" x14ac:dyDescent="0.2">
      <c r="A487" s="636"/>
      <c r="B487" s="389"/>
      <c r="C487" s="392"/>
      <c r="D487" s="392"/>
      <c r="E487" s="392"/>
      <c r="F487" s="392"/>
      <c r="G487" s="392"/>
      <c r="H487" s="392"/>
      <c r="I487" s="766"/>
      <c r="J487" s="392"/>
      <c r="K487" s="392"/>
      <c r="L487" s="392"/>
      <c r="M487" s="392"/>
      <c r="N487" s="392"/>
      <c r="O487" s="766"/>
      <c r="P487" s="392"/>
      <c r="Q487" s="392"/>
      <c r="R487" s="392"/>
      <c r="S487" s="766"/>
      <c r="T487" s="392"/>
      <c r="U487" s="766"/>
      <c r="V487" s="392"/>
      <c r="W487" s="766"/>
      <c r="X487" s="378"/>
      <c r="Y487" s="180"/>
      <c r="Z487" s="180"/>
      <c r="AA487" s="180"/>
      <c r="AB487" s="180"/>
    </row>
    <row r="488" spans="1:28" s="202" customFormat="1" x14ac:dyDescent="0.2">
      <c r="A488" s="636"/>
      <c r="B488" s="639"/>
      <c r="C488" s="466"/>
      <c r="D488" s="466"/>
      <c r="E488" s="466"/>
      <c r="F488" s="466"/>
      <c r="G488" s="466"/>
      <c r="H488" s="466"/>
      <c r="I488" s="767"/>
      <c r="J488" s="466"/>
      <c r="K488" s="466"/>
      <c r="L488" s="466"/>
      <c r="M488" s="466"/>
      <c r="N488" s="466"/>
      <c r="O488" s="767"/>
      <c r="P488" s="466"/>
      <c r="Q488" s="466"/>
      <c r="R488" s="466"/>
      <c r="S488" s="767"/>
      <c r="T488" s="466"/>
      <c r="U488" s="767"/>
      <c r="V488" s="466"/>
      <c r="W488" s="767"/>
      <c r="X488" s="378"/>
      <c r="Y488" s="180"/>
      <c r="Z488" s="180"/>
      <c r="AA488" s="180"/>
      <c r="AB488" s="180"/>
    </row>
    <row r="489" spans="1:28" x14ac:dyDescent="0.2">
      <c r="A489" s="636"/>
      <c r="B489" s="768"/>
      <c r="C489" s="765"/>
      <c r="D489" s="765"/>
      <c r="E489" s="765"/>
      <c r="F489" s="765"/>
      <c r="G489" s="765"/>
      <c r="H489" s="765"/>
      <c r="I489" s="765"/>
      <c r="J489" s="765"/>
      <c r="K489" s="765"/>
      <c r="L489" s="765"/>
      <c r="M489" s="765"/>
      <c r="N489" s="765"/>
      <c r="O489" s="765"/>
      <c r="P489" s="765"/>
      <c r="Q489" s="765"/>
      <c r="R489" s="765"/>
      <c r="S489" s="765"/>
      <c r="T489" s="765"/>
      <c r="U489" s="765"/>
      <c r="V489" s="765"/>
      <c r="W489" s="765"/>
      <c r="X489" s="378"/>
      <c r="Y489" s="180"/>
      <c r="Z489" s="180"/>
      <c r="AA489" s="180"/>
      <c r="AB489" s="180"/>
    </row>
    <row r="490" spans="1:28" s="203" customFormat="1" x14ac:dyDescent="0.2">
      <c r="A490" s="636"/>
      <c r="B490" s="769"/>
      <c r="C490" s="766"/>
      <c r="D490" s="766"/>
      <c r="E490" s="766"/>
      <c r="F490" s="766"/>
      <c r="G490" s="766"/>
      <c r="H490" s="766"/>
      <c r="I490" s="766"/>
      <c r="J490" s="766"/>
      <c r="K490" s="766"/>
      <c r="L490" s="766"/>
      <c r="M490" s="766"/>
      <c r="N490" s="766"/>
      <c r="O490" s="766"/>
      <c r="P490" s="766"/>
      <c r="Q490" s="766"/>
      <c r="R490" s="766"/>
      <c r="S490" s="766"/>
      <c r="T490" s="766"/>
      <c r="U490" s="766"/>
      <c r="V490" s="766"/>
      <c r="W490" s="766"/>
      <c r="X490" s="378"/>
      <c r="Y490" s="180"/>
      <c r="Z490" s="180"/>
      <c r="AA490" s="180"/>
      <c r="AB490" s="180"/>
    </row>
    <row r="491" spans="1:28" s="202" customFormat="1" x14ac:dyDescent="0.2">
      <c r="A491" s="636"/>
      <c r="B491" s="770"/>
      <c r="C491" s="767"/>
      <c r="D491" s="767"/>
      <c r="E491" s="767"/>
      <c r="F491" s="767"/>
      <c r="G491" s="767"/>
      <c r="H491" s="767"/>
      <c r="I491" s="767"/>
      <c r="J491" s="767"/>
      <c r="K491" s="767"/>
      <c r="L491" s="767"/>
      <c r="M491" s="767"/>
      <c r="N491" s="767"/>
      <c r="O491" s="767"/>
      <c r="P491" s="767"/>
      <c r="Q491" s="767"/>
      <c r="R491" s="767"/>
      <c r="S491" s="767"/>
      <c r="T491" s="767"/>
      <c r="U491" s="767"/>
      <c r="V491" s="767"/>
      <c r="W491" s="767"/>
      <c r="X491" s="378"/>
      <c r="Y491" s="180"/>
      <c r="Z491" s="180"/>
      <c r="AA491" s="180"/>
      <c r="AB491" s="180"/>
    </row>
    <row r="492" spans="1:28" x14ac:dyDescent="0.2">
      <c r="A492" s="636"/>
      <c r="B492" s="388"/>
      <c r="C492" s="391"/>
      <c r="D492" s="391"/>
      <c r="E492" s="391"/>
      <c r="F492" s="391"/>
      <c r="G492" s="391"/>
      <c r="H492" s="391"/>
      <c r="I492" s="765"/>
      <c r="J492" s="391"/>
      <c r="K492" s="391"/>
      <c r="L492" s="391"/>
      <c r="M492" s="391"/>
      <c r="N492" s="391"/>
      <c r="O492" s="765"/>
      <c r="P492" s="391"/>
      <c r="Q492" s="391"/>
      <c r="R492" s="391"/>
      <c r="S492" s="765"/>
      <c r="T492" s="391"/>
      <c r="U492" s="765"/>
      <c r="V492" s="391"/>
      <c r="W492" s="765"/>
      <c r="X492" s="378"/>
      <c r="Y492" s="180"/>
      <c r="Z492" s="180"/>
      <c r="AA492" s="180"/>
      <c r="AB492" s="180"/>
    </row>
    <row r="493" spans="1:28" s="203" customFormat="1" x14ac:dyDescent="0.2">
      <c r="A493" s="636"/>
      <c r="B493" s="389"/>
      <c r="C493" s="392"/>
      <c r="D493" s="392"/>
      <c r="E493" s="392"/>
      <c r="F493" s="392"/>
      <c r="G493" s="392"/>
      <c r="H493" s="392"/>
      <c r="I493" s="766"/>
      <c r="J493" s="392"/>
      <c r="K493" s="392"/>
      <c r="L493" s="392"/>
      <c r="M493" s="392"/>
      <c r="N493" s="392"/>
      <c r="O493" s="766"/>
      <c r="P493" s="392"/>
      <c r="Q493" s="392"/>
      <c r="R493" s="392"/>
      <c r="S493" s="766"/>
      <c r="T493" s="392"/>
      <c r="U493" s="766"/>
      <c r="V493" s="392"/>
      <c r="W493" s="766"/>
      <c r="X493" s="378"/>
      <c r="Y493" s="180"/>
      <c r="Z493" s="180"/>
      <c r="AA493" s="180"/>
      <c r="AB493" s="180"/>
    </row>
    <row r="494" spans="1:28" s="202" customFormat="1" x14ac:dyDescent="0.2">
      <c r="A494" s="636"/>
      <c r="B494" s="639"/>
      <c r="C494" s="466"/>
      <c r="D494" s="466"/>
      <c r="E494" s="466"/>
      <c r="F494" s="466"/>
      <c r="G494" s="466"/>
      <c r="H494" s="466"/>
      <c r="I494" s="767"/>
      <c r="J494" s="466"/>
      <c r="K494" s="466"/>
      <c r="L494" s="466"/>
      <c r="M494" s="466"/>
      <c r="N494" s="466"/>
      <c r="O494" s="767"/>
      <c r="P494" s="466"/>
      <c r="Q494" s="466"/>
      <c r="R494" s="466"/>
      <c r="S494" s="767"/>
      <c r="T494" s="466"/>
      <c r="U494" s="767"/>
      <c r="V494" s="466"/>
      <c r="W494" s="767"/>
      <c r="X494" s="378"/>
      <c r="Y494" s="180"/>
      <c r="Z494" s="180"/>
      <c r="AA494" s="180"/>
      <c r="AB494" s="180"/>
    </row>
    <row r="495" spans="1:28" x14ac:dyDescent="0.2">
      <c r="A495" s="636"/>
      <c r="B495" s="388"/>
      <c r="C495" s="391"/>
      <c r="D495" s="391"/>
      <c r="E495" s="391"/>
      <c r="F495" s="391"/>
      <c r="G495" s="391"/>
      <c r="H495" s="391"/>
      <c r="I495" s="765"/>
      <c r="J495" s="391"/>
      <c r="K495" s="391"/>
      <c r="L495" s="391"/>
      <c r="M495" s="391"/>
      <c r="N495" s="391"/>
      <c r="O495" s="765"/>
      <c r="P495" s="391"/>
      <c r="Q495" s="391"/>
      <c r="R495" s="391"/>
      <c r="S495" s="765"/>
      <c r="T495" s="391"/>
      <c r="U495" s="765"/>
      <c r="V495" s="391"/>
      <c r="W495" s="765"/>
      <c r="X495" s="378"/>
      <c r="Y495" s="180"/>
      <c r="Z495" s="180"/>
      <c r="AA495" s="180"/>
      <c r="AB495" s="180"/>
    </row>
    <row r="496" spans="1:28" s="203" customFormat="1" x14ac:dyDescent="0.2">
      <c r="A496" s="636"/>
      <c r="B496" s="389"/>
      <c r="C496" s="392"/>
      <c r="D496" s="392"/>
      <c r="E496" s="392"/>
      <c r="F496" s="392"/>
      <c r="G496" s="392"/>
      <c r="H496" s="392"/>
      <c r="I496" s="766"/>
      <c r="J496" s="392"/>
      <c r="K496" s="392"/>
      <c r="L496" s="392"/>
      <c r="M496" s="392"/>
      <c r="N496" s="392"/>
      <c r="O496" s="766"/>
      <c r="P496" s="392"/>
      <c r="Q496" s="392"/>
      <c r="R496" s="392"/>
      <c r="S496" s="766"/>
      <c r="T496" s="392"/>
      <c r="U496" s="766"/>
      <c r="V496" s="392"/>
      <c r="W496" s="766"/>
      <c r="X496" s="378"/>
      <c r="Y496" s="180"/>
      <c r="Z496" s="180"/>
      <c r="AA496" s="180"/>
      <c r="AB496" s="180"/>
    </row>
    <row r="497" spans="1:28" s="202" customFormat="1" x14ac:dyDescent="0.2">
      <c r="A497" s="636"/>
      <c r="B497" s="639"/>
      <c r="C497" s="466"/>
      <c r="D497" s="466"/>
      <c r="E497" s="466"/>
      <c r="F497" s="466"/>
      <c r="G497" s="466"/>
      <c r="H497" s="466"/>
      <c r="I497" s="767"/>
      <c r="J497" s="466"/>
      <c r="K497" s="466"/>
      <c r="L497" s="466"/>
      <c r="M497" s="466"/>
      <c r="N497" s="466"/>
      <c r="O497" s="767"/>
      <c r="P497" s="466"/>
      <c r="Q497" s="466"/>
      <c r="R497" s="466"/>
      <c r="S497" s="767"/>
      <c r="T497" s="466"/>
      <c r="U497" s="767"/>
      <c r="V497" s="466"/>
      <c r="W497" s="767"/>
      <c r="X497" s="378"/>
      <c r="Y497" s="180"/>
      <c r="Z497" s="180"/>
      <c r="AA497" s="180"/>
      <c r="AB497" s="180"/>
    </row>
    <row r="498" spans="1:28" x14ac:dyDescent="0.2">
      <c r="A498" s="636"/>
      <c r="B498" s="388"/>
      <c r="C498" s="391"/>
      <c r="D498" s="391"/>
      <c r="E498" s="391"/>
      <c r="F498" s="391"/>
      <c r="G498" s="391"/>
      <c r="H498" s="391"/>
      <c r="I498" s="765"/>
      <c r="J498" s="391"/>
      <c r="K498" s="391"/>
      <c r="L498" s="391"/>
      <c r="M498" s="391"/>
      <c r="N498" s="391"/>
      <c r="O498" s="765"/>
      <c r="P498" s="391"/>
      <c r="Q498" s="391"/>
      <c r="R498" s="391"/>
      <c r="S498" s="765"/>
      <c r="T498" s="391"/>
      <c r="U498" s="765"/>
      <c r="V498" s="391"/>
      <c r="W498" s="765"/>
      <c r="X498" s="378"/>
      <c r="Y498" s="180"/>
      <c r="Z498" s="180"/>
      <c r="AA498" s="180"/>
      <c r="AB498" s="180"/>
    </row>
    <row r="499" spans="1:28" s="203" customFormat="1" x14ac:dyDescent="0.2">
      <c r="A499" s="636"/>
      <c r="B499" s="389"/>
      <c r="C499" s="392"/>
      <c r="D499" s="392"/>
      <c r="E499" s="392"/>
      <c r="F499" s="392"/>
      <c r="G499" s="392"/>
      <c r="H499" s="392"/>
      <c r="I499" s="766"/>
      <c r="J499" s="392"/>
      <c r="K499" s="392"/>
      <c r="L499" s="392"/>
      <c r="M499" s="392"/>
      <c r="N499" s="392"/>
      <c r="O499" s="766"/>
      <c r="P499" s="392"/>
      <c r="Q499" s="392"/>
      <c r="R499" s="392"/>
      <c r="S499" s="766"/>
      <c r="T499" s="392"/>
      <c r="U499" s="766"/>
      <c r="V499" s="392"/>
      <c r="W499" s="766"/>
      <c r="X499" s="378"/>
      <c r="Y499" s="180"/>
      <c r="Z499" s="180"/>
      <c r="AA499" s="180"/>
      <c r="AB499" s="180"/>
    </row>
    <row r="500" spans="1:28" s="202" customFormat="1" x14ac:dyDescent="0.2">
      <c r="A500" s="636"/>
      <c r="B500" s="639"/>
      <c r="C500" s="466"/>
      <c r="D500" s="466"/>
      <c r="E500" s="466"/>
      <c r="F500" s="466"/>
      <c r="G500" s="466"/>
      <c r="H500" s="466"/>
      <c r="I500" s="767"/>
      <c r="J500" s="466"/>
      <c r="K500" s="466"/>
      <c r="L500" s="466"/>
      <c r="M500" s="466"/>
      <c r="N500" s="466"/>
      <c r="O500" s="767"/>
      <c r="P500" s="466"/>
      <c r="Q500" s="466"/>
      <c r="R500" s="466"/>
      <c r="S500" s="767"/>
      <c r="T500" s="466"/>
      <c r="U500" s="767"/>
      <c r="V500" s="466"/>
      <c r="W500" s="767"/>
      <c r="X500" s="378"/>
      <c r="Y500" s="180"/>
      <c r="Z500" s="180"/>
      <c r="AA500" s="180"/>
      <c r="AB500" s="180"/>
    </row>
    <row r="501" spans="1:28" x14ac:dyDescent="0.2">
      <c r="A501" s="636"/>
      <c r="B501" s="388"/>
      <c r="C501" s="391"/>
      <c r="D501" s="391"/>
      <c r="E501" s="391"/>
      <c r="F501" s="391"/>
      <c r="G501" s="391"/>
      <c r="H501" s="391"/>
      <c r="I501" s="765"/>
      <c r="J501" s="391"/>
      <c r="K501" s="391"/>
      <c r="L501" s="391"/>
      <c r="M501" s="391"/>
      <c r="N501" s="391"/>
      <c r="O501" s="765"/>
      <c r="P501" s="391"/>
      <c r="Q501" s="391"/>
      <c r="R501" s="391"/>
      <c r="S501" s="765"/>
      <c r="T501" s="391"/>
      <c r="U501" s="765"/>
      <c r="V501" s="391"/>
      <c r="W501" s="765"/>
      <c r="X501" s="378"/>
      <c r="Y501" s="180"/>
      <c r="Z501" s="180"/>
      <c r="AA501" s="180"/>
      <c r="AB501" s="180"/>
    </row>
    <row r="502" spans="1:28" s="203" customFormat="1" x14ac:dyDescent="0.2">
      <c r="A502" s="636"/>
      <c r="B502" s="389"/>
      <c r="C502" s="392"/>
      <c r="D502" s="392"/>
      <c r="E502" s="392"/>
      <c r="F502" s="392"/>
      <c r="G502" s="392"/>
      <c r="H502" s="392"/>
      <c r="I502" s="766"/>
      <c r="J502" s="392"/>
      <c r="K502" s="392"/>
      <c r="L502" s="392"/>
      <c r="M502" s="392"/>
      <c r="N502" s="392"/>
      <c r="O502" s="766"/>
      <c r="P502" s="392"/>
      <c r="Q502" s="392"/>
      <c r="R502" s="392"/>
      <c r="S502" s="766"/>
      <c r="T502" s="392"/>
      <c r="U502" s="766"/>
      <c r="V502" s="392"/>
      <c r="W502" s="766"/>
      <c r="X502" s="378"/>
      <c r="Y502" s="180"/>
      <c r="Z502" s="180"/>
      <c r="AA502" s="180"/>
      <c r="AB502" s="180"/>
    </row>
    <row r="503" spans="1:28" s="202" customFormat="1" x14ac:dyDescent="0.2">
      <c r="A503" s="636"/>
      <c r="B503" s="639"/>
      <c r="C503" s="466"/>
      <c r="D503" s="466"/>
      <c r="E503" s="466"/>
      <c r="F503" s="466"/>
      <c r="G503" s="466"/>
      <c r="H503" s="466"/>
      <c r="I503" s="767"/>
      <c r="J503" s="466"/>
      <c r="K503" s="466"/>
      <c r="L503" s="466"/>
      <c r="M503" s="466"/>
      <c r="N503" s="466"/>
      <c r="O503" s="767"/>
      <c r="P503" s="466"/>
      <c r="Q503" s="466"/>
      <c r="R503" s="466"/>
      <c r="S503" s="767"/>
      <c r="T503" s="466"/>
      <c r="U503" s="767"/>
      <c r="V503" s="466"/>
      <c r="W503" s="767"/>
      <c r="X503" s="378"/>
      <c r="Y503" s="180"/>
      <c r="Z503" s="180"/>
      <c r="AA503" s="180"/>
      <c r="AB503" s="180"/>
    </row>
    <row r="504" spans="1:28" x14ac:dyDescent="0.2">
      <c r="A504" s="636"/>
      <c r="B504" s="388"/>
      <c r="C504" s="391"/>
      <c r="D504" s="391"/>
      <c r="E504" s="391"/>
      <c r="F504" s="391"/>
      <c r="G504" s="391"/>
      <c r="H504" s="391"/>
      <c r="I504" s="765"/>
      <c r="J504" s="391"/>
      <c r="K504" s="391"/>
      <c r="L504" s="391"/>
      <c r="M504" s="391"/>
      <c r="N504" s="391"/>
      <c r="O504" s="765"/>
      <c r="P504" s="391"/>
      <c r="Q504" s="391"/>
      <c r="R504" s="391"/>
      <c r="S504" s="765"/>
      <c r="T504" s="391"/>
      <c r="U504" s="765"/>
      <c r="V504" s="391"/>
      <c r="W504" s="765"/>
      <c r="X504" s="378"/>
      <c r="Y504" s="180"/>
      <c r="Z504" s="180"/>
      <c r="AA504" s="180"/>
      <c r="AB504" s="180"/>
    </row>
    <row r="505" spans="1:28" s="203" customFormat="1" x14ac:dyDescent="0.2">
      <c r="A505" s="636"/>
      <c r="B505" s="389"/>
      <c r="C505" s="392"/>
      <c r="D505" s="392"/>
      <c r="E505" s="392"/>
      <c r="F505" s="392"/>
      <c r="G505" s="392"/>
      <c r="H505" s="392"/>
      <c r="I505" s="766"/>
      <c r="J505" s="392"/>
      <c r="K505" s="392"/>
      <c r="L505" s="392"/>
      <c r="M505" s="392"/>
      <c r="N505" s="392"/>
      <c r="O505" s="766"/>
      <c r="P505" s="392"/>
      <c r="Q505" s="392"/>
      <c r="R505" s="392"/>
      <c r="S505" s="766"/>
      <c r="T505" s="392"/>
      <c r="U505" s="766"/>
      <c r="V505" s="392"/>
      <c r="W505" s="766"/>
      <c r="X505" s="378"/>
      <c r="Y505" s="180"/>
      <c r="Z505" s="180"/>
      <c r="AA505" s="180"/>
      <c r="AB505" s="180"/>
    </row>
    <row r="506" spans="1:28" s="202" customFormat="1" x14ac:dyDescent="0.2">
      <c r="A506" s="636"/>
      <c r="B506" s="639"/>
      <c r="C506" s="466"/>
      <c r="D506" s="466"/>
      <c r="E506" s="466"/>
      <c r="F506" s="466"/>
      <c r="G506" s="466"/>
      <c r="H506" s="466"/>
      <c r="I506" s="767"/>
      <c r="J506" s="466"/>
      <c r="K506" s="466"/>
      <c r="L506" s="466"/>
      <c r="M506" s="466"/>
      <c r="N506" s="466"/>
      <c r="O506" s="767"/>
      <c r="P506" s="466"/>
      <c r="Q506" s="466"/>
      <c r="R506" s="466"/>
      <c r="S506" s="767"/>
      <c r="T506" s="466"/>
      <c r="U506" s="767"/>
      <c r="V506" s="466"/>
      <c r="W506" s="767"/>
      <c r="X506" s="378"/>
      <c r="Y506" s="180"/>
      <c r="Z506" s="180"/>
      <c r="AA506" s="180"/>
      <c r="AB506" s="180"/>
    </row>
    <row r="507" spans="1:28" x14ac:dyDescent="0.2">
      <c r="A507" s="636"/>
      <c r="B507" s="388"/>
      <c r="C507" s="391"/>
      <c r="D507" s="391"/>
      <c r="E507" s="391"/>
      <c r="F507" s="391"/>
      <c r="G507" s="391"/>
      <c r="H507" s="391"/>
      <c r="I507" s="765"/>
      <c r="J507" s="391"/>
      <c r="K507" s="391"/>
      <c r="L507" s="391"/>
      <c r="M507" s="391"/>
      <c r="N507" s="391"/>
      <c r="O507" s="765"/>
      <c r="P507" s="391"/>
      <c r="Q507" s="391"/>
      <c r="R507" s="391"/>
      <c r="S507" s="765"/>
      <c r="T507" s="391"/>
      <c r="U507" s="765"/>
      <c r="V507" s="391"/>
      <c r="W507" s="765"/>
      <c r="X507" s="378"/>
      <c r="Y507" s="180"/>
      <c r="Z507" s="180"/>
      <c r="AA507" s="180"/>
      <c r="AB507" s="180"/>
    </row>
    <row r="508" spans="1:28" s="203" customFormat="1" x14ac:dyDescent="0.2">
      <c r="A508" s="636"/>
      <c r="B508" s="389"/>
      <c r="C508" s="392"/>
      <c r="D508" s="392"/>
      <c r="E508" s="392"/>
      <c r="F508" s="392"/>
      <c r="G508" s="392"/>
      <c r="H508" s="392"/>
      <c r="I508" s="766"/>
      <c r="J508" s="392"/>
      <c r="K508" s="392"/>
      <c r="L508" s="392"/>
      <c r="M508" s="392"/>
      <c r="N508" s="392"/>
      <c r="O508" s="766"/>
      <c r="P508" s="392"/>
      <c r="Q508" s="392"/>
      <c r="R508" s="392"/>
      <c r="S508" s="766"/>
      <c r="T508" s="392"/>
      <c r="U508" s="766"/>
      <c r="V508" s="392"/>
      <c r="W508" s="766"/>
      <c r="X508" s="378"/>
      <c r="Y508" s="180"/>
      <c r="Z508" s="180"/>
      <c r="AA508" s="180"/>
      <c r="AB508" s="180"/>
    </row>
    <row r="509" spans="1:28" s="202" customFormat="1" x14ac:dyDescent="0.2">
      <c r="A509" s="636"/>
      <c r="B509" s="639"/>
      <c r="C509" s="466"/>
      <c r="D509" s="466"/>
      <c r="E509" s="466"/>
      <c r="F509" s="466"/>
      <c r="G509" s="466"/>
      <c r="H509" s="466"/>
      <c r="I509" s="767"/>
      <c r="J509" s="466"/>
      <c r="K509" s="466"/>
      <c r="L509" s="466"/>
      <c r="M509" s="466"/>
      <c r="N509" s="466"/>
      <c r="O509" s="767"/>
      <c r="P509" s="466"/>
      <c r="Q509" s="466"/>
      <c r="R509" s="466"/>
      <c r="S509" s="767"/>
      <c r="T509" s="466"/>
      <c r="U509" s="767"/>
      <c r="V509" s="466"/>
      <c r="W509" s="767"/>
      <c r="X509" s="378"/>
      <c r="Y509" s="180"/>
      <c r="Z509" s="180"/>
      <c r="AA509" s="180"/>
      <c r="AB509" s="180"/>
    </row>
    <row r="510" spans="1:28" x14ac:dyDescent="0.2">
      <c r="A510" s="636"/>
      <c r="B510" s="388"/>
      <c r="C510" s="391"/>
      <c r="D510" s="391"/>
      <c r="E510" s="391"/>
      <c r="F510" s="391"/>
      <c r="G510" s="391"/>
      <c r="H510" s="391"/>
      <c r="I510" s="765"/>
      <c r="J510" s="391"/>
      <c r="K510" s="391"/>
      <c r="L510" s="391"/>
      <c r="M510" s="391"/>
      <c r="N510" s="391"/>
      <c r="O510" s="765"/>
      <c r="P510" s="391"/>
      <c r="Q510" s="391"/>
      <c r="R510" s="391"/>
      <c r="S510" s="765"/>
      <c r="T510" s="391"/>
      <c r="U510" s="765"/>
      <c r="V510" s="391"/>
      <c r="W510" s="765"/>
      <c r="X510" s="378"/>
      <c r="Y510" s="180"/>
      <c r="Z510" s="180"/>
      <c r="AA510" s="180"/>
      <c r="AB510" s="180"/>
    </row>
    <row r="511" spans="1:28" s="203" customFormat="1" x14ac:dyDescent="0.2">
      <c r="A511" s="636"/>
      <c r="B511" s="389"/>
      <c r="C511" s="392"/>
      <c r="D511" s="392"/>
      <c r="E511" s="392"/>
      <c r="F511" s="392"/>
      <c r="G511" s="392"/>
      <c r="H511" s="392"/>
      <c r="I511" s="766"/>
      <c r="J511" s="392"/>
      <c r="K511" s="392"/>
      <c r="L511" s="392"/>
      <c r="M511" s="392"/>
      <c r="N511" s="392"/>
      <c r="O511" s="766"/>
      <c r="P511" s="392"/>
      <c r="Q511" s="392"/>
      <c r="R511" s="392"/>
      <c r="S511" s="766"/>
      <c r="T511" s="392"/>
      <c r="U511" s="766"/>
      <c r="V511" s="392"/>
      <c r="W511" s="766"/>
      <c r="X511" s="378"/>
      <c r="Y511" s="180"/>
      <c r="Z511" s="180"/>
      <c r="AA511" s="180"/>
      <c r="AB511" s="180"/>
    </row>
    <row r="512" spans="1:28" s="212" customFormat="1" ht="13.5" thickBot="1" x14ac:dyDescent="0.25">
      <c r="A512" s="640"/>
      <c r="B512" s="777"/>
      <c r="C512" s="778"/>
      <c r="D512" s="778"/>
      <c r="E512" s="778"/>
      <c r="F512" s="778"/>
      <c r="G512" s="778"/>
      <c r="H512" s="778"/>
      <c r="I512" s="779"/>
      <c r="J512" s="778"/>
      <c r="K512" s="778"/>
      <c r="L512" s="778"/>
      <c r="M512" s="778"/>
      <c r="N512" s="778"/>
      <c r="O512" s="779"/>
      <c r="P512" s="778"/>
      <c r="Q512" s="778"/>
      <c r="R512" s="778"/>
      <c r="S512" s="779"/>
      <c r="T512" s="778"/>
      <c r="U512" s="779"/>
      <c r="V512" s="778"/>
      <c r="W512" s="779"/>
      <c r="X512" s="378"/>
      <c r="Y512" s="180"/>
      <c r="Z512" s="180"/>
      <c r="AA512" s="180"/>
      <c r="AB512" s="180"/>
    </row>
    <row r="513" spans="1:28" ht="13.5" thickTop="1" x14ac:dyDescent="0.2">
      <c r="A513" s="230"/>
      <c r="B513" s="780"/>
      <c r="C513" s="781"/>
      <c r="D513" s="781"/>
      <c r="E513" s="781"/>
      <c r="F513" s="781"/>
      <c r="G513" s="781"/>
      <c r="H513" s="781"/>
      <c r="I513" s="782"/>
      <c r="J513" s="781"/>
      <c r="K513" s="781"/>
      <c r="L513" s="781"/>
      <c r="M513" s="781"/>
      <c r="N513" s="781"/>
      <c r="O513" s="782"/>
      <c r="P513" s="781"/>
      <c r="Q513" s="781"/>
      <c r="R513" s="781"/>
      <c r="S513" s="782"/>
      <c r="T513" s="781"/>
      <c r="U513" s="782"/>
      <c r="V513" s="781"/>
      <c r="W513" s="782"/>
      <c r="X513" s="378"/>
      <c r="Y513" s="180"/>
      <c r="Z513" s="180"/>
      <c r="AA513" s="180"/>
      <c r="AB513" s="180"/>
    </row>
    <row r="514" spans="1:28" s="203" customFormat="1" x14ac:dyDescent="0.2">
      <c r="A514" s="636"/>
      <c r="B514" s="389"/>
      <c r="C514" s="392"/>
      <c r="D514" s="392"/>
      <c r="E514" s="392"/>
      <c r="F514" s="392"/>
      <c r="G514" s="392"/>
      <c r="H514" s="392"/>
      <c r="I514" s="766"/>
      <c r="J514" s="392"/>
      <c r="K514" s="392"/>
      <c r="L514" s="392"/>
      <c r="M514" s="392"/>
      <c r="N514" s="392"/>
      <c r="O514" s="766"/>
      <c r="P514" s="392"/>
      <c r="Q514" s="392"/>
      <c r="R514" s="392"/>
      <c r="S514" s="766"/>
      <c r="T514" s="392"/>
      <c r="U514" s="766"/>
      <c r="V514" s="392"/>
      <c r="W514" s="766"/>
      <c r="X514" s="378"/>
      <c r="Y514" s="180"/>
      <c r="Z514" s="180"/>
      <c r="AA514" s="180"/>
      <c r="AB514" s="180"/>
    </row>
    <row r="515" spans="1:28" s="202" customFormat="1" x14ac:dyDescent="0.2">
      <c r="A515" s="637"/>
      <c r="B515" s="639"/>
      <c r="C515" s="466"/>
      <c r="D515" s="466"/>
      <c r="E515" s="466"/>
      <c r="F515" s="763"/>
      <c r="G515" s="763"/>
      <c r="H515" s="466"/>
      <c r="I515" s="767"/>
      <c r="J515" s="466"/>
      <c r="K515" s="466"/>
      <c r="L515" s="466"/>
      <c r="M515" s="466"/>
      <c r="N515" s="763"/>
      <c r="O515" s="767"/>
      <c r="P515" s="466"/>
      <c r="Q515" s="466"/>
      <c r="R515" s="466"/>
      <c r="S515" s="767"/>
      <c r="T515" s="466"/>
      <c r="U515" s="767"/>
      <c r="V515" s="466"/>
      <c r="W515" s="767"/>
      <c r="X515" s="378"/>
      <c r="Y515" s="180"/>
      <c r="Z515" s="180"/>
      <c r="AA515" s="180"/>
      <c r="AB515" s="180"/>
    </row>
    <row r="516" spans="1:28" x14ac:dyDescent="0.2">
      <c r="A516" s="636"/>
      <c r="B516" s="388"/>
      <c r="C516" s="391"/>
      <c r="D516" s="391"/>
      <c r="E516" s="391"/>
      <c r="F516" s="391"/>
      <c r="G516" s="391"/>
      <c r="H516" s="391"/>
      <c r="I516" s="765"/>
      <c r="J516" s="391"/>
      <c r="K516" s="391"/>
      <c r="L516" s="391"/>
      <c r="M516" s="391"/>
      <c r="N516" s="391"/>
      <c r="O516" s="765"/>
      <c r="P516" s="391"/>
      <c r="Q516" s="391"/>
      <c r="R516" s="391"/>
      <c r="S516" s="765"/>
      <c r="T516" s="391"/>
      <c r="U516" s="765"/>
      <c r="V516" s="391"/>
      <c r="W516" s="765"/>
      <c r="X516" s="378"/>
      <c r="Y516" s="180"/>
      <c r="Z516" s="180"/>
      <c r="AA516" s="180"/>
      <c r="AB516" s="180"/>
    </row>
    <row r="517" spans="1:28" s="203" customFormat="1" x14ac:dyDescent="0.2">
      <c r="A517" s="636"/>
      <c r="B517" s="389"/>
      <c r="C517" s="392"/>
      <c r="D517" s="392"/>
      <c r="E517" s="392"/>
      <c r="F517" s="392"/>
      <c r="G517" s="392"/>
      <c r="H517" s="392"/>
      <c r="I517" s="766"/>
      <c r="J517" s="392"/>
      <c r="K517" s="392"/>
      <c r="L517" s="392"/>
      <c r="M517" s="392"/>
      <c r="N517" s="392"/>
      <c r="O517" s="766"/>
      <c r="P517" s="392"/>
      <c r="Q517" s="392"/>
      <c r="R517" s="392"/>
      <c r="S517" s="766"/>
      <c r="T517" s="392"/>
      <c r="U517" s="766"/>
      <c r="V517" s="392"/>
      <c r="W517" s="766"/>
      <c r="X517" s="378"/>
      <c r="Y517" s="180"/>
      <c r="Z517" s="180"/>
      <c r="AA517" s="180"/>
      <c r="AB517" s="180"/>
    </row>
    <row r="518" spans="1:28" s="202" customFormat="1" x14ac:dyDescent="0.2">
      <c r="A518" s="636"/>
      <c r="B518" s="639"/>
      <c r="C518" s="763"/>
      <c r="D518" s="763"/>
      <c r="E518" s="763"/>
      <c r="F518" s="466"/>
      <c r="G518" s="466"/>
      <c r="H518" s="466"/>
      <c r="I518" s="767"/>
      <c r="J518" s="466"/>
      <c r="K518" s="466"/>
      <c r="L518" s="466"/>
      <c r="M518" s="466"/>
      <c r="N518" s="466"/>
      <c r="O518" s="767"/>
      <c r="P518" s="466"/>
      <c r="Q518" s="466"/>
      <c r="R518" s="466"/>
      <c r="S518" s="767"/>
      <c r="T518" s="466"/>
      <c r="U518" s="767"/>
      <c r="V518" s="466"/>
      <c r="W518" s="767"/>
      <c r="X518" s="378"/>
      <c r="Y518" s="180"/>
      <c r="Z518" s="180"/>
      <c r="AA518" s="180"/>
      <c r="AB518" s="180"/>
    </row>
    <row r="519" spans="1:28" x14ac:dyDescent="0.2">
      <c r="A519" s="636"/>
      <c r="B519" s="388"/>
      <c r="C519" s="391"/>
      <c r="D519" s="391"/>
      <c r="E519" s="391"/>
      <c r="F519" s="391"/>
      <c r="G519" s="391"/>
      <c r="H519" s="391"/>
      <c r="I519" s="765"/>
      <c r="J519" s="391"/>
      <c r="K519" s="391"/>
      <c r="L519" s="391"/>
      <c r="M519" s="391"/>
      <c r="N519" s="391"/>
      <c r="O519" s="765"/>
      <c r="P519" s="391"/>
      <c r="Q519" s="391"/>
      <c r="R519" s="391"/>
      <c r="S519" s="765"/>
      <c r="T519" s="391"/>
      <c r="U519" s="765"/>
      <c r="V519" s="391"/>
      <c r="W519" s="765"/>
      <c r="X519" s="378"/>
      <c r="Y519" s="180"/>
      <c r="Z519" s="180"/>
      <c r="AA519" s="180"/>
      <c r="AB519" s="180"/>
    </row>
    <row r="520" spans="1:28" s="203" customFormat="1" x14ac:dyDescent="0.2">
      <c r="A520" s="636"/>
      <c r="B520" s="389"/>
      <c r="C520" s="392"/>
      <c r="D520" s="392"/>
      <c r="E520" s="392"/>
      <c r="F520" s="392"/>
      <c r="G520" s="392"/>
      <c r="H520" s="392"/>
      <c r="I520" s="766"/>
      <c r="J520" s="392"/>
      <c r="K520" s="392"/>
      <c r="L520" s="392"/>
      <c r="M520" s="392"/>
      <c r="N520" s="392"/>
      <c r="O520" s="766"/>
      <c r="P520" s="392"/>
      <c r="Q520" s="392"/>
      <c r="R520" s="392"/>
      <c r="S520" s="766"/>
      <c r="T520" s="392"/>
      <c r="U520" s="766"/>
      <c r="V520" s="392"/>
      <c r="W520" s="766"/>
      <c r="X520" s="378"/>
      <c r="Y520" s="180"/>
      <c r="Z520" s="180"/>
      <c r="AA520" s="180"/>
      <c r="AB520" s="180"/>
    </row>
    <row r="521" spans="1:28" s="202" customFormat="1" x14ac:dyDescent="0.2">
      <c r="A521" s="636"/>
      <c r="B521" s="639"/>
      <c r="C521" s="466"/>
      <c r="D521" s="466"/>
      <c r="E521" s="466"/>
      <c r="F521" s="466"/>
      <c r="G521" s="466"/>
      <c r="H521" s="466"/>
      <c r="I521" s="767"/>
      <c r="J521" s="466"/>
      <c r="K521" s="466"/>
      <c r="L521" s="466"/>
      <c r="M521" s="466"/>
      <c r="N521" s="763"/>
      <c r="O521" s="767"/>
      <c r="P521" s="466"/>
      <c r="Q521" s="466"/>
      <c r="R521" s="466"/>
      <c r="S521" s="767"/>
      <c r="T521" s="466"/>
      <c r="U521" s="767"/>
      <c r="V521" s="466"/>
      <c r="W521" s="767"/>
      <c r="X521" s="378"/>
      <c r="Y521" s="180"/>
      <c r="Z521" s="180"/>
      <c r="AA521" s="180"/>
      <c r="AB521" s="180"/>
    </row>
    <row r="522" spans="1:28" x14ac:dyDescent="0.2">
      <c r="A522" s="636"/>
      <c r="B522" s="388"/>
      <c r="C522" s="391"/>
      <c r="D522" s="391"/>
      <c r="E522" s="391"/>
      <c r="F522" s="391"/>
      <c r="G522" s="391"/>
      <c r="H522" s="391"/>
      <c r="I522" s="765"/>
      <c r="J522" s="391"/>
      <c r="K522" s="391"/>
      <c r="L522" s="391"/>
      <c r="M522" s="391"/>
      <c r="N522" s="391"/>
      <c r="O522" s="765"/>
      <c r="P522" s="391"/>
      <c r="Q522" s="391"/>
      <c r="R522" s="391"/>
      <c r="S522" s="765"/>
      <c r="T522" s="391"/>
      <c r="U522" s="765"/>
      <c r="V522" s="391"/>
      <c r="W522" s="765"/>
      <c r="X522" s="378"/>
      <c r="Y522" s="180"/>
      <c r="Z522" s="180"/>
      <c r="AA522" s="180"/>
      <c r="AB522" s="180"/>
    </row>
    <row r="523" spans="1:28" s="203" customFormat="1" x14ac:dyDescent="0.2">
      <c r="A523" s="636"/>
      <c r="B523" s="389"/>
      <c r="C523" s="392"/>
      <c r="D523" s="392"/>
      <c r="E523" s="392"/>
      <c r="F523" s="392"/>
      <c r="G523" s="392"/>
      <c r="H523" s="392"/>
      <c r="I523" s="766"/>
      <c r="J523" s="392"/>
      <c r="K523" s="392"/>
      <c r="L523" s="392"/>
      <c r="M523" s="392"/>
      <c r="N523" s="392"/>
      <c r="O523" s="766"/>
      <c r="P523" s="392"/>
      <c r="Q523" s="392"/>
      <c r="R523" s="392"/>
      <c r="S523" s="766"/>
      <c r="T523" s="392"/>
      <c r="U523" s="766"/>
      <c r="V523" s="392"/>
      <c r="W523" s="766"/>
      <c r="X523" s="378"/>
      <c r="Y523" s="180"/>
      <c r="Z523" s="180"/>
      <c r="AA523" s="180"/>
      <c r="AB523" s="180"/>
    </row>
    <row r="524" spans="1:28" s="202" customFormat="1" x14ac:dyDescent="0.2">
      <c r="A524" s="636"/>
      <c r="B524" s="639"/>
      <c r="C524" s="466"/>
      <c r="D524" s="763"/>
      <c r="E524" s="466"/>
      <c r="F524" s="466"/>
      <c r="G524" s="466"/>
      <c r="H524" s="466"/>
      <c r="I524" s="767"/>
      <c r="J524" s="466"/>
      <c r="K524" s="466"/>
      <c r="L524" s="466"/>
      <c r="M524" s="466"/>
      <c r="N524" s="466"/>
      <c r="O524" s="767"/>
      <c r="P524" s="466"/>
      <c r="Q524" s="466"/>
      <c r="R524" s="466"/>
      <c r="S524" s="767"/>
      <c r="T524" s="466"/>
      <c r="U524" s="767"/>
      <c r="V524" s="466"/>
      <c r="W524" s="767"/>
      <c r="X524" s="378"/>
      <c r="Y524" s="180"/>
      <c r="Z524" s="180"/>
      <c r="AA524" s="180"/>
      <c r="AB524" s="180"/>
    </row>
    <row r="525" spans="1:28" x14ac:dyDescent="0.2">
      <c r="A525" s="636"/>
      <c r="B525" s="388"/>
      <c r="C525" s="391"/>
      <c r="D525" s="391"/>
      <c r="E525" s="391"/>
      <c r="F525" s="391"/>
      <c r="G525" s="391"/>
      <c r="H525" s="391"/>
      <c r="I525" s="765"/>
      <c r="J525" s="391"/>
      <c r="K525" s="391"/>
      <c r="L525" s="391"/>
      <c r="M525" s="391"/>
      <c r="N525" s="391"/>
      <c r="O525" s="765"/>
      <c r="P525" s="391"/>
      <c r="Q525" s="391"/>
      <c r="R525" s="391"/>
      <c r="S525" s="765"/>
      <c r="T525" s="391"/>
      <c r="U525" s="765"/>
      <c r="V525" s="391"/>
      <c r="W525" s="765"/>
      <c r="X525" s="378"/>
      <c r="Y525" s="180"/>
      <c r="Z525" s="180"/>
      <c r="AA525" s="180"/>
      <c r="AB525" s="180"/>
    </row>
    <row r="526" spans="1:28" s="203" customFormat="1" x14ac:dyDescent="0.2">
      <c r="A526" s="636"/>
      <c r="B526" s="389"/>
      <c r="C526" s="392"/>
      <c r="D526" s="392"/>
      <c r="E526" s="392"/>
      <c r="F526" s="392"/>
      <c r="G526" s="392"/>
      <c r="H526" s="392"/>
      <c r="I526" s="766"/>
      <c r="J526" s="392"/>
      <c r="K526" s="392"/>
      <c r="L526" s="392"/>
      <c r="M526" s="392"/>
      <c r="N526" s="392"/>
      <c r="O526" s="766"/>
      <c r="P526" s="392"/>
      <c r="Q526" s="392"/>
      <c r="R526" s="392"/>
      <c r="S526" s="766"/>
      <c r="T526" s="392"/>
      <c r="U526" s="766"/>
      <c r="V526" s="392"/>
      <c r="W526" s="766"/>
      <c r="X526" s="378"/>
      <c r="Y526" s="180"/>
      <c r="Z526" s="180"/>
      <c r="AA526" s="180"/>
      <c r="AB526" s="180"/>
    </row>
    <row r="527" spans="1:28" s="202" customFormat="1" x14ac:dyDescent="0.2">
      <c r="A527" s="636"/>
      <c r="B527" s="639"/>
      <c r="C527" s="466"/>
      <c r="D527" s="466"/>
      <c r="E527" s="466"/>
      <c r="F527" s="466"/>
      <c r="G527" s="466"/>
      <c r="H527" s="466"/>
      <c r="I527" s="767"/>
      <c r="J527" s="466"/>
      <c r="K527" s="466"/>
      <c r="L527" s="466"/>
      <c r="M527" s="466"/>
      <c r="N527" s="466"/>
      <c r="O527" s="767"/>
      <c r="P527" s="466"/>
      <c r="Q527" s="466"/>
      <c r="R527" s="466"/>
      <c r="S527" s="767"/>
      <c r="T527" s="466"/>
      <c r="U527" s="767"/>
      <c r="V527" s="466"/>
      <c r="W527" s="767"/>
      <c r="X527" s="378"/>
      <c r="Y527" s="180"/>
      <c r="Z527" s="180"/>
      <c r="AA527" s="180"/>
      <c r="AB527" s="180"/>
    </row>
    <row r="528" spans="1:28" x14ac:dyDescent="0.2">
      <c r="A528" s="636"/>
      <c r="B528" s="768"/>
      <c r="C528" s="765"/>
      <c r="D528" s="765"/>
      <c r="E528" s="765"/>
      <c r="F528" s="765"/>
      <c r="G528" s="765"/>
      <c r="H528" s="765"/>
      <c r="I528" s="765"/>
      <c r="J528" s="765"/>
      <c r="K528" s="765"/>
      <c r="L528" s="765"/>
      <c r="M528" s="765"/>
      <c r="N528" s="765"/>
      <c r="O528" s="765"/>
      <c r="P528" s="765"/>
      <c r="Q528" s="765"/>
      <c r="R528" s="765"/>
      <c r="S528" s="765"/>
      <c r="T528" s="765"/>
      <c r="U528" s="765"/>
      <c r="V528" s="765"/>
      <c r="W528" s="765"/>
      <c r="X528" s="378"/>
      <c r="Y528" s="180"/>
      <c r="Z528" s="180"/>
      <c r="AA528" s="180"/>
      <c r="AB528" s="180"/>
    </row>
    <row r="529" spans="1:28" s="203" customFormat="1" x14ac:dyDescent="0.2">
      <c r="A529" s="636"/>
      <c r="B529" s="769"/>
      <c r="C529" s="766"/>
      <c r="D529" s="766"/>
      <c r="E529" s="766"/>
      <c r="F529" s="766"/>
      <c r="G529" s="766"/>
      <c r="H529" s="766"/>
      <c r="I529" s="766"/>
      <c r="J529" s="766"/>
      <c r="K529" s="766"/>
      <c r="L529" s="766"/>
      <c r="M529" s="766"/>
      <c r="N529" s="766"/>
      <c r="O529" s="766"/>
      <c r="P529" s="766"/>
      <c r="Q529" s="766"/>
      <c r="R529" s="766"/>
      <c r="S529" s="766"/>
      <c r="T529" s="766"/>
      <c r="U529" s="766"/>
      <c r="V529" s="766"/>
      <c r="W529" s="766"/>
      <c r="X529" s="378"/>
      <c r="Y529" s="180"/>
      <c r="Z529" s="180"/>
      <c r="AA529" s="180"/>
      <c r="AB529" s="180"/>
    </row>
    <row r="530" spans="1:28" s="202" customFormat="1" x14ac:dyDescent="0.2">
      <c r="A530" s="636"/>
      <c r="B530" s="770"/>
      <c r="C530" s="767"/>
      <c r="D530" s="767"/>
      <c r="E530" s="767"/>
      <c r="F530" s="767"/>
      <c r="G530" s="767"/>
      <c r="H530" s="767"/>
      <c r="I530" s="767"/>
      <c r="J530" s="767"/>
      <c r="K530" s="767"/>
      <c r="L530" s="767"/>
      <c r="M530" s="767"/>
      <c r="N530" s="767"/>
      <c r="O530" s="767"/>
      <c r="P530" s="767"/>
      <c r="Q530" s="767"/>
      <c r="R530" s="767"/>
      <c r="S530" s="767"/>
      <c r="T530" s="767"/>
      <c r="U530" s="767"/>
      <c r="V530" s="767"/>
      <c r="W530" s="767"/>
      <c r="X530" s="378"/>
      <c r="Y530" s="180"/>
      <c r="Z530" s="180"/>
      <c r="AA530" s="180"/>
      <c r="AB530" s="180"/>
    </row>
    <row r="531" spans="1:28" x14ac:dyDescent="0.2">
      <c r="A531" s="636"/>
      <c r="B531" s="388"/>
      <c r="C531" s="391"/>
      <c r="D531" s="391"/>
      <c r="E531" s="391"/>
      <c r="F531" s="391"/>
      <c r="G531" s="391"/>
      <c r="H531" s="391"/>
      <c r="I531" s="765"/>
      <c r="J531" s="391"/>
      <c r="K531" s="391"/>
      <c r="L531" s="391"/>
      <c r="M531" s="391"/>
      <c r="N531" s="391"/>
      <c r="O531" s="765"/>
      <c r="P531" s="391"/>
      <c r="Q531" s="391"/>
      <c r="R531" s="391"/>
      <c r="S531" s="765"/>
      <c r="T531" s="391"/>
      <c r="U531" s="765"/>
      <c r="V531" s="391"/>
      <c r="W531" s="765"/>
      <c r="X531" s="378"/>
      <c r="Y531" s="180"/>
      <c r="Z531" s="180"/>
      <c r="AA531" s="180"/>
      <c r="AB531" s="180"/>
    </row>
    <row r="532" spans="1:28" s="203" customFormat="1" x14ac:dyDescent="0.2">
      <c r="A532" s="636"/>
      <c r="B532" s="389"/>
      <c r="C532" s="392"/>
      <c r="D532" s="392"/>
      <c r="E532" s="392"/>
      <c r="F532" s="392"/>
      <c r="G532" s="392"/>
      <c r="H532" s="392"/>
      <c r="I532" s="766"/>
      <c r="J532" s="392"/>
      <c r="K532" s="392"/>
      <c r="L532" s="392"/>
      <c r="M532" s="392"/>
      <c r="N532" s="392"/>
      <c r="O532" s="766"/>
      <c r="P532" s="392"/>
      <c r="Q532" s="392"/>
      <c r="R532" s="392"/>
      <c r="S532" s="766"/>
      <c r="T532" s="392"/>
      <c r="U532" s="766"/>
      <c r="V532" s="392"/>
      <c r="W532" s="766"/>
      <c r="X532" s="378"/>
      <c r="Y532" s="180"/>
      <c r="Z532" s="180"/>
      <c r="AA532" s="180"/>
      <c r="AB532" s="180"/>
    </row>
    <row r="533" spans="1:28" s="202" customFormat="1" x14ac:dyDescent="0.2">
      <c r="A533" s="636"/>
      <c r="B533" s="639"/>
      <c r="C533" s="466"/>
      <c r="D533" s="466"/>
      <c r="E533" s="466"/>
      <c r="F533" s="466"/>
      <c r="G533" s="466"/>
      <c r="H533" s="466"/>
      <c r="I533" s="767"/>
      <c r="J533" s="466"/>
      <c r="K533" s="466"/>
      <c r="L533" s="466"/>
      <c r="M533" s="466"/>
      <c r="N533" s="466"/>
      <c r="O533" s="767"/>
      <c r="P533" s="466"/>
      <c r="Q533" s="466"/>
      <c r="R533" s="466"/>
      <c r="S533" s="767"/>
      <c r="T533" s="466"/>
      <c r="U533" s="767"/>
      <c r="V533" s="763"/>
      <c r="W533" s="767"/>
      <c r="X533" s="378"/>
      <c r="Y533" s="180"/>
      <c r="Z533" s="180"/>
      <c r="AA533" s="180"/>
      <c r="AB533" s="180"/>
    </row>
    <row r="534" spans="1:28" x14ac:dyDescent="0.2">
      <c r="A534" s="636"/>
      <c r="B534" s="388"/>
      <c r="C534" s="391"/>
      <c r="D534" s="391"/>
      <c r="E534" s="391"/>
      <c r="F534" s="391"/>
      <c r="G534" s="391"/>
      <c r="H534" s="391"/>
      <c r="I534" s="765"/>
      <c r="J534" s="391"/>
      <c r="K534" s="391"/>
      <c r="L534" s="391"/>
      <c r="M534" s="391"/>
      <c r="N534" s="391"/>
      <c r="O534" s="765"/>
      <c r="P534" s="391"/>
      <c r="Q534" s="391"/>
      <c r="R534" s="391"/>
      <c r="S534" s="765"/>
      <c r="T534" s="391"/>
      <c r="U534" s="765"/>
      <c r="V534" s="391"/>
      <c r="W534" s="765"/>
      <c r="X534" s="378"/>
      <c r="Y534" s="180"/>
      <c r="Z534" s="180"/>
      <c r="AA534" s="180"/>
      <c r="AB534" s="180"/>
    </row>
    <row r="535" spans="1:28" s="203" customFormat="1" x14ac:dyDescent="0.2">
      <c r="A535" s="636"/>
      <c r="B535" s="389"/>
      <c r="C535" s="392"/>
      <c r="D535" s="392"/>
      <c r="E535" s="392"/>
      <c r="F535" s="392"/>
      <c r="G535" s="392"/>
      <c r="H535" s="392"/>
      <c r="I535" s="766"/>
      <c r="J535" s="392"/>
      <c r="K535" s="392"/>
      <c r="L535" s="392"/>
      <c r="M535" s="392"/>
      <c r="N535" s="392"/>
      <c r="O535" s="766"/>
      <c r="P535" s="392"/>
      <c r="Q535" s="392"/>
      <c r="R535" s="392"/>
      <c r="S535" s="766"/>
      <c r="T535" s="392"/>
      <c r="U535" s="766"/>
      <c r="V535" s="392"/>
      <c r="W535" s="766"/>
      <c r="X535" s="378"/>
      <c r="Y535" s="180"/>
      <c r="Z535" s="180"/>
      <c r="AA535" s="180"/>
      <c r="AB535" s="180"/>
    </row>
    <row r="536" spans="1:28" s="202" customFormat="1" x14ac:dyDescent="0.2">
      <c r="A536" s="636"/>
      <c r="B536" s="639"/>
      <c r="C536" s="466"/>
      <c r="D536" s="466"/>
      <c r="E536" s="466"/>
      <c r="F536" s="466"/>
      <c r="G536" s="466"/>
      <c r="H536" s="466"/>
      <c r="I536" s="767"/>
      <c r="J536" s="466"/>
      <c r="K536" s="466"/>
      <c r="L536" s="466"/>
      <c r="M536" s="466"/>
      <c r="N536" s="466"/>
      <c r="O536" s="767"/>
      <c r="P536" s="466"/>
      <c r="Q536" s="466"/>
      <c r="R536" s="466"/>
      <c r="S536" s="767"/>
      <c r="T536" s="466"/>
      <c r="U536" s="767"/>
      <c r="V536" s="466"/>
      <c r="W536" s="767"/>
      <c r="X536" s="378"/>
      <c r="Y536" s="180"/>
      <c r="Z536" s="180"/>
      <c r="AA536" s="180"/>
      <c r="AB536" s="180"/>
    </row>
    <row r="537" spans="1:28" x14ac:dyDescent="0.2">
      <c r="A537" s="636"/>
      <c r="B537" s="388"/>
      <c r="C537" s="391"/>
      <c r="D537" s="391"/>
      <c r="E537" s="391"/>
      <c r="F537" s="391"/>
      <c r="G537" s="391"/>
      <c r="H537" s="391"/>
      <c r="I537" s="765"/>
      <c r="J537" s="391"/>
      <c r="K537" s="391"/>
      <c r="L537" s="391"/>
      <c r="M537" s="391"/>
      <c r="N537" s="391"/>
      <c r="O537" s="765"/>
      <c r="P537" s="391"/>
      <c r="Q537" s="391"/>
      <c r="R537" s="391"/>
      <c r="S537" s="765"/>
      <c r="T537" s="391"/>
      <c r="U537" s="765"/>
      <c r="V537" s="391"/>
      <c r="W537" s="765"/>
      <c r="X537" s="378"/>
      <c r="Y537" s="180"/>
      <c r="Z537" s="180"/>
      <c r="AA537" s="180"/>
      <c r="AB537" s="180"/>
    </row>
    <row r="538" spans="1:28" s="203" customFormat="1" x14ac:dyDescent="0.2">
      <c r="A538" s="636"/>
      <c r="B538" s="389"/>
      <c r="C538" s="392"/>
      <c r="D538" s="392"/>
      <c r="E538" s="392"/>
      <c r="F538" s="392"/>
      <c r="G538" s="392"/>
      <c r="H538" s="392"/>
      <c r="I538" s="766"/>
      <c r="J538" s="392"/>
      <c r="K538" s="392"/>
      <c r="L538" s="392"/>
      <c r="M538" s="392"/>
      <c r="N538" s="392"/>
      <c r="O538" s="766"/>
      <c r="P538" s="392"/>
      <c r="Q538" s="392"/>
      <c r="R538" s="392"/>
      <c r="S538" s="766"/>
      <c r="T538" s="392"/>
      <c r="U538" s="766"/>
      <c r="V538" s="392"/>
      <c r="W538" s="766"/>
      <c r="X538" s="378"/>
      <c r="Y538" s="180"/>
      <c r="Z538" s="180"/>
      <c r="AA538" s="180"/>
      <c r="AB538" s="180"/>
    </row>
    <row r="539" spans="1:28" s="202" customFormat="1" x14ac:dyDescent="0.2">
      <c r="A539" s="636"/>
      <c r="B539" s="639"/>
      <c r="C539" s="466"/>
      <c r="D539" s="466"/>
      <c r="E539" s="466"/>
      <c r="F539" s="466"/>
      <c r="G539" s="466"/>
      <c r="H539" s="466"/>
      <c r="I539" s="767"/>
      <c r="J539" s="466"/>
      <c r="K539" s="466"/>
      <c r="L539" s="466"/>
      <c r="M539" s="466"/>
      <c r="N539" s="466"/>
      <c r="O539" s="767"/>
      <c r="P539" s="466"/>
      <c r="Q539" s="466"/>
      <c r="R539" s="466"/>
      <c r="S539" s="767"/>
      <c r="T539" s="466"/>
      <c r="U539" s="767"/>
      <c r="V539" s="466"/>
      <c r="W539" s="767"/>
      <c r="X539" s="378"/>
      <c r="Y539" s="180"/>
      <c r="Z539" s="180"/>
      <c r="AA539" s="180"/>
      <c r="AB539" s="180"/>
    </row>
    <row r="540" spans="1:28" x14ac:dyDescent="0.2">
      <c r="A540" s="636"/>
      <c r="B540" s="388"/>
      <c r="C540" s="391"/>
      <c r="D540" s="391"/>
      <c r="E540" s="391"/>
      <c r="F540" s="391"/>
      <c r="G540" s="391"/>
      <c r="H540" s="391"/>
      <c r="I540" s="765"/>
      <c r="J540" s="391"/>
      <c r="K540" s="391"/>
      <c r="L540" s="391"/>
      <c r="M540" s="391"/>
      <c r="N540" s="391"/>
      <c r="O540" s="765"/>
      <c r="P540" s="391"/>
      <c r="Q540" s="391"/>
      <c r="R540" s="391"/>
      <c r="S540" s="765"/>
      <c r="T540" s="391"/>
      <c r="U540" s="765"/>
      <c r="V540" s="391"/>
      <c r="W540" s="765"/>
      <c r="X540" s="378"/>
      <c r="Y540" s="180"/>
      <c r="Z540" s="180"/>
      <c r="AA540" s="180"/>
      <c r="AB540" s="180"/>
    </row>
    <row r="541" spans="1:28" s="203" customFormat="1" x14ac:dyDescent="0.2">
      <c r="A541" s="636"/>
      <c r="B541" s="389"/>
      <c r="C541" s="392"/>
      <c r="D541" s="392"/>
      <c r="E541" s="392"/>
      <c r="F541" s="392"/>
      <c r="G541" s="392"/>
      <c r="H541" s="392"/>
      <c r="I541" s="766"/>
      <c r="J541" s="392"/>
      <c r="K541" s="392"/>
      <c r="L541" s="392"/>
      <c r="M541" s="392"/>
      <c r="N541" s="392"/>
      <c r="O541" s="766"/>
      <c r="P541" s="392"/>
      <c r="Q541" s="392"/>
      <c r="R541" s="392"/>
      <c r="S541" s="766"/>
      <c r="T541" s="392"/>
      <c r="U541" s="766"/>
      <c r="V541" s="392"/>
      <c r="W541" s="766"/>
      <c r="X541" s="378"/>
      <c r="Y541" s="180"/>
      <c r="Z541" s="180"/>
      <c r="AA541" s="180"/>
      <c r="AB541" s="180"/>
    </row>
    <row r="542" spans="1:28" s="202" customFormat="1" x14ac:dyDescent="0.2">
      <c r="A542" s="636"/>
      <c r="B542" s="639"/>
      <c r="C542" s="466"/>
      <c r="D542" s="466"/>
      <c r="E542" s="466"/>
      <c r="F542" s="466"/>
      <c r="G542" s="466"/>
      <c r="H542" s="466"/>
      <c r="I542" s="767"/>
      <c r="J542" s="466"/>
      <c r="K542" s="466"/>
      <c r="L542" s="466"/>
      <c r="M542" s="466"/>
      <c r="N542" s="466"/>
      <c r="O542" s="767"/>
      <c r="P542" s="466"/>
      <c r="Q542" s="466"/>
      <c r="R542" s="466"/>
      <c r="S542" s="767"/>
      <c r="T542" s="466"/>
      <c r="U542" s="767"/>
      <c r="V542" s="466"/>
      <c r="W542" s="767"/>
      <c r="X542" s="378"/>
      <c r="Y542" s="180"/>
      <c r="Z542" s="180"/>
      <c r="AA542" s="180"/>
      <c r="AB542" s="180"/>
    </row>
    <row r="543" spans="1:28" x14ac:dyDescent="0.2">
      <c r="A543" s="636"/>
      <c r="B543" s="388"/>
      <c r="C543" s="391"/>
      <c r="D543" s="391"/>
      <c r="E543" s="391"/>
      <c r="F543" s="391"/>
      <c r="G543" s="391"/>
      <c r="H543" s="391"/>
      <c r="I543" s="765"/>
      <c r="J543" s="391"/>
      <c r="K543" s="391"/>
      <c r="L543" s="391"/>
      <c r="M543" s="391"/>
      <c r="N543" s="391"/>
      <c r="O543" s="765"/>
      <c r="P543" s="391"/>
      <c r="Q543" s="391"/>
      <c r="R543" s="391"/>
      <c r="S543" s="765"/>
      <c r="T543" s="391"/>
      <c r="U543" s="765"/>
      <c r="V543" s="391"/>
      <c r="W543" s="765"/>
      <c r="X543" s="378"/>
      <c r="Y543" s="180"/>
      <c r="Z543" s="180"/>
      <c r="AA543" s="180"/>
      <c r="AB543" s="180"/>
    </row>
    <row r="544" spans="1:28" s="203" customFormat="1" x14ac:dyDescent="0.2">
      <c r="A544" s="636"/>
      <c r="B544" s="389"/>
      <c r="C544" s="392"/>
      <c r="D544" s="392"/>
      <c r="E544" s="392"/>
      <c r="F544" s="392"/>
      <c r="G544" s="392"/>
      <c r="H544" s="392"/>
      <c r="I544" s="766"/>
      <c r="J544" s="392"/>
      <c r="K544" s="392"/>
      <c r="L544" s="392"/>
      <c r="M544" s="392"/>
      <c r="N544" s="392"/>
      <c r="O544" s="766"/>
      <c r="P544" s="392"/>
      <c r="Q544" s="392"/>
      <c r="R544" s="392"/>
      <c r="S544" s="766"/>
      <c r="T544" s="392"/>
      <c r="U544" s="766"/>
      <c r="V544" s="392"/>
      <c r="W544" s="766"/>
      <c r="X544" s="378"/>
      <c r="Y544" s="180"/>
      <c r="Z544" s="180"/>
      <c r="AA544" s="180"/>
      <c r="AB544" s="180"/>
    </row>
    <row r="545" spans="1:28" s="202" customFormat="1" x14ac:dyDescent="0.2">
      <c r="A545" s="636"/>
      <c r="B545" s="639"/>
      <c r="C545" s="466"/>
      <c r="D545" s="466"/>
      <c r="E545" s="466"/>
      <c r="F545" s="466"/>
      <c r="G545" s="466"/>
      <c r="H545" s="466"/>
      <c r="I545" s="767"/>
      <c r="J545" s="466"/>
      <c r="K545" s="466"/>
      <c r="L545" s="466"/>
      <c r="M545" s="466"/>
      <c r="N545" s="466"/>
      <c r="O545" s="767"/>
      <c r="P545" s="466"/>
      <c r="Q545" s="466"/>
      <c r="R545" s="466"/>
      <c r="S545" s="767"/>
      <c r="T545" s="763"/>
      <c r="U545" s="767"/>
      <c r="V545" s="466"/>
      <c r="W545" s="767"/>
      <c r="X545" s="378"/>
      <c r="Y545" s="180"/>
      <c r="Z545" s="180"/>
      <c r="AA545" s="180"/>
      <c r="AB545" s="180"/>
    </row>
    <row r="546" spans="1:28" x14ac:dyDescent="0.2">
      <c r="A546" s="636"/>
      <c r="B546" s="388"/>
      <c r="C546" s="391"/>
      <c r="D546" s="391"/>
      <c r="E546" s="391"/>
      <c r="F546" s="391"/>
      <c r="G546" s="391"/>
      <c r="H546" s="391"/>
      <c r="I546" s="765"/>
      <c r="J546" s="391"/>
      <c r="K546" s="391"/>
      <c r="L546" s="391"/>
      <c r="M546" s="391"/>
      <c r="N546" s="391"/>
      <c r="O546" s="765"/>
      <c r="P546" s="391"/>
      <c r="Q546" s="391"/>
      <c r="R546" s="391"/>
      <c r="S546" s="765"/>
      <c r="T546" s="391"/>
      <c r="U546" s="765"/>
      <c r="V546" s="391"/>
      <c r="W546" s="765"/>
      <c r="X546" s="378"/>
      <c r="Y546" s="180"/>
      <c r="Z546" s="180"/>
      <c r="AA546" s="180"/>
      <c r="AB546" s="180"/>
    </row>
    <row r="547" spans="1:28" s="203" customFormat="1" x14ac:dyDescent="0.2">
      <c r="A547" s="636"/>
      <c r="B547" s="389"/>
      <c r="C547" s="392"/>
      <c r="D547" s="392"/>
      <c r="E547" s="392"/>
      <c r="F547" s="392"/>
      <c r="G547" s="392"/>
      <c r="H547" s="392"/>
      <c r="I547" s="766"/>
      <c r="J547" s="392"/>
      <c r="K547" s="392"/>
      <c r="L547" s="392"/>
      <c r="M547" s="392"/>
      <c r="N547" s="392"/>
      <c r="O547" s="766"/>
      <c r="P547" s="392"/>
      <c r="Q547" s="392"/>
      <c r="R547" s="392"/>
      <c r="S547" s="766"/>
      <c r="T547" s="392"/>
      <c r="U547" s="766"/>
      <c r="V547" s="392"/>
      <c r="W547" s="766"/>
      <c r="X547" s="378"/>
      <c r="Y547" s="180"/>
      <c r="Z547" s="180"/>
      <c r="AA547" s="180"/>
      <c r="AB547" s="180"/>
    </row>
    <row r="548" spans="1:28" s="202" customFormat="1" x14ac:dyDescent="0.2">
      <c r="A548" s="636"/>
      <c r="B548" s="639"/>
      <c r="C548" s="466"/>
      <c r="D548" s="466"/>
      <c r="E548" s="466"/>
      <c r="F548" s="466"/>
      <c r="G548" s="466"/>
      <c r="H548" s="466"/>
      <c r="I548" s="767"/>
      <c r="J548" s="466"/>
      <c r="K548" s="466"/>
      <c r="L548" s="466"/>
      <c r="M548" s="466"/>
      <c r="N548" s="466"/>
      <c r="O548" s="767"/>
      <c r="P548" s="466"/>
      <c r="Q548" s="466"/>
      <c r="R548" s="466"/>
      <c r="S548" s="767"/>
      <c r="T548" s="466"/>
      <c r="U548" s="767"/>
      <c r="V548" s="466"/>
      <c r="W548" s="767"/>
      <c r="X548" s="378"/>
      <c r="Y548" s="180"/>
      <c r="Z548" s="180"/>
      <c r="AA548" s="180"/>
      <c r="AB548" s="180"/>
    </row>
    <row r="549" spans="1:28" x14ac:dyDescent="0.2">
      <c r="A549" s="636"/>
      <c r="B549" s="388"/>
      <c r="C549" s="391"/>
      <c r="D549" s="391"/>
      <c r="E549" s="391"/>
      <c r="F549" s="391"/>
      <c r="G549" s="391"/>
      <c r="H549" s="391"/>
      <c r="I549" s="765"/>
      <c r="J549" s="391"/>
      <c r="K549" s="391"/>
      <c r="L549" s="391"/>
      <c r="M549" s="391"/>
      <c r="N549" s="391"/>
      <c r="O549" s="765"/>
      <c r="P549" s="391"/>
      <c r="Q549" s="391"/>
      <c r="R549" s="391"/>
      <c r="S549" s="765"/>
      <c r="T549" s="391"/>
      <c r="U549" s="765"/>
      <c r="V549" s="391"/>
      <c r="W549" s="765"/>
      <c r="X549" s="378"/>
      <c r="Y549" s="180"/>
      <c r="Z549" s="180"/>
      <c r="AA549" s="180"/>
      <c r="AB549" s="180"/>
    </row>
    <row r="550" spans="1:28" s="203" customFormat="1" x14ac:dyDescent="0.2">
      <c r="A550" s="636"/>
      <c r="B550" s="389"/>
      <c r="C550" s="392"/>
      <c r="D550" s="392"/>
      <c r="E550" s="392"/>
      <c r="F550" s="392"/>
      <c r="G550" s="392"/>
      <c r="H550" s="392"/>
      <c r="I550" s="766"/>
      <c r="J550" s="392"/>
      <c r="K550" s="392"/>
      <c r="L550" s="392"/>
      <c r="M550" s="392"/>
      <c r="N550" s="392"/>
      <c r="O550" s="766"/>
      <c r="P550" s="392"/>
      <c r="Q550" s="392"/>
      <c r="R550" s="392"/>
      <c r="S550" s="766"/>
      <c r="T550" s="392"/>
      <c r="U550" s="766"/>
      <c r="V550" s="392"/>
      <c r="W550" s="766"/>
      <c r="X550" s="378"/>
      <c r="Y550" s="180"/>
      <c r="Z550" s="180"/>
      <c r="AA550" s="180"/>
      <c r="AB550" s="180"/>
    </row>
    <row r="551" spans="1:28" s="212" customFormat="1" ht="13.5" thickBot="1" x14ac:dyDescent="0.25">
      <c r="A551" s="640"/>
      <c r="B551" s="777"/>
      <c r="C551" s="778"/>
      <c r="D551" s="1512"/>
      <c r="E551" s="778"/>
      <c r="F551" s="1512"/>
      <c r="G551" s="1512"/>
      <c r="H551" s="778"/>
      <c r="I551" s="779"/>
      <c r="J551" s="778"/>
      <c r="K551" s="778"/>
      <c r="L551" s="778"/>
      <c r="M551" s="778"/>
      <c r="N551" s="1512"/>
      <c r="O551" s="779"/>
      <c r="P551" s="778"/>
      <c r="Q551" s="778"/>
      <c r="R551" s="778"/>
      <c r="S551" s="779"/>
      <c r="T551" s="778"/>
      <c r="U551" s="779"/>
      <c r="V551" s="778"/>
      <c r="W551" s="779"/>
      <c r="X551" s="378"/>
      <c r="Y551" s="180"/>
      <c r="Z551" s="180"/>
      <c r="AA551" s="180"/>
      <c r="AB551" s="180"/>
    </row>
    <row r="552" spans="1:28" ht="13.5" thickTop="1" x14ac:dyDescent="0.2">
      <c r="A552" s="230"/>
      <c r="B552" s="780"/>
      <c r="C552" s="781"/>
      <c r="D552" s="781"/>
      <c r="E552" s="781"/>
      <c r="F552" s="781"/>
      <c r="G552" s="781"/>
      <c r="H552" s="781"/>
      <c r="I552" s="782"/>
      <c r="J552" s="781"/>
      <c r="K552" s="781"/>
      <c r="L552" s="781"/>
      <c r="M552" s="781"/>
      <c r="N552" s="781"/>
      <c r="O552" s="782"/>
      <c r="P552" s="781"/>
      <c r="Q552" s="781"/>
      <c r="R552" s="781"/>
      <c r="S552" s="782"/>
      <c r="T552" s="781"/>
      <c r="U552" s="782"/>
      <c r="V552" s="781"/>
      <c r="W552" s="782"/>
      <c r="X552" s="378"/>
      <c r="Y552" s="180"/>
      <c r="Z552" s="180"/>
      <c r="AA552" s="180"/>
      <c r="AB552" s="180"/>
    </row>
    <row r="553" spans="1:28" s="203" customFormat="1" x14ac:dyDescent="0.2">
      <c r="A553" s="636"/>
      <c r="B553" s="389"/>
      <c r="C553" s="392"/>
      <c r="D553" s="392"/>
      <c r="E553" s="392"/>
      <c r="F553" s="392"/>
      <c r="G553" s="392"/>
      <c r="H553" s="392"/>
      <c r="I553" s="766"/>
      <c r="J553" s="392"/>
      <c r="K553" s="392"/>
      <c r="L553" s="392"/>
      <c r="M553" s="392"/>
      <c r="N553" s="392"/>
      <c r="O553" s="766"/>
      <c r="P553" s="392"/>
      <c r="Q553" s="392"/>
      <c r="R553" s="392"/>
      <c r="S553" s="766"/>
      <c r="T553" s="392"/>
      <c r="U553" s="766"/>
      <c r="V553" s="392"/>
      <c r="W553" s="766"/>
      <c r="X553" s="378"/>
      <c r="Y553" s="180"/>
      <c r="Z553" s="180"/>
      <c r="AA553" s="180"/>
      <c r="AB553" s="180"/>
    </row>
    <row r="554" spans="1:28" s="202" customFormat="1" x14ac:dyDescent="0.2">
      <c r="A554" s="637"/>
      <c r="B554" s="639"/>
      <c r="C554" s="466"/>
      <c r="D554" s="466"/>
      <c r="E554" s="466"/>
      <c r="F554" s="466"/>
      <c r="G554" s="466"/>
      <c r="H554" s="466"/>
      <c r="I554" s="767"/>
      <c r="J554" s="466"/>
      <c r="K554" s="466"/>
      <c r="L554" s="466"/>
      <c r="M554" s="466"/>
      <c r="N554" s="466"/>
      <c r="O554" s="767"/>
      <c r="P554" s="466"/>
      <c r="Q554" s="466"/>
      <c r="R554" s="466"/>
      <c r="S554" s="767"/>
      <c r="T554" s="466"/>
      <c r="U554" s="767"/>
      <c r="V554" s="466"/>
      <c r="W554" s="767"/>
      <c r="X554" s="378"/>
      <c r="Y554" s="180"/>
      <c r="Z554" s="180"/>
      <c r="AA554" s="180"/>
      <c r="AB554" s="180"/>
    </row>
    <row r="555" spans="1:28" x14ac:dyDescent="0.2">
      <c r="A555" s="636"/>
      <c r="B555" s="388"/>
      <c r="C555" s="391"/>
      <c r="D555" s="391"/>
      <c r="E555" s="391"/>
      <c r="F555" s="391"/>
      <c r="G555" s="391"/>
      <c r="H555" s="391"/>
      <c r="I555" s="765"/>
      <c r="J555" s="391"/>
      <c r="K555" s="391"/>
      <c r="L555" s="391"/>
      <c r="M555" s="391"/>
      <c r="N555" s="391"/>
      <c r="O555" s="765"/>
      <c r="P555" s="391"/>
      <c r="Q555" s="391"/>
      <c r="R555" s="391"/>
      <c r="S555" s="765"/>
      <c r="T555" s="391"/>
      <c r="U555" s="765"/>
      <c r="V555" s="391"/>
      <c r="W555" s="765"/>
      <c r="X555" s="378"/>
      <c r="Y555" s="180"/>
      <c r="Z555" s="180"/>
      <c r="AA555" s="180"/>
      <c r="AB555" s="180"/>
    </row>
    <row r="556" spans="1:28" s="203" customFormat="1" x14ac:dyDescent="0.2">
      <c r="A556" s="636"/>
      <c r="B556" s="389"/>
      <c r="C556" s="392"/>
      <c r="D556" s="392"/>
      <c r="E556" s="392"/>
      <c r="F556" s="392"/>
      <c r="G556" s="392"/>
      <c r="H556" s="392"/>
      <c r="I556" s="766"/>
      <c r="J556" s="392"/>
      <c r="K556" s="392"/>
      <c r="L556" s="392"/>
      <c r="M556" s="392"/>
      <c r="N556" s="392"/>
      <c r="O556" s="766"/>
      <c r="P556" s="392"/>
      <c r="Q556" s="392"/>
      <c r="R556" s="392"/>
      <c r="S556" s="766"/>
      <c r="T556" s="392"/>
      <c r="U556" s="766"/>
      <c r="V556" s="392"/>
      <c r="W556" s="766"/>
      <c r="X556" s="378"/>
      <c r="Y556" s="180"/>
      <c r="Z556" s="180"/>
      <c r="AA556" s="180"/>
      <c r="AB556" s="180"/>
    </row>
    <row r="557" spans="1:28" s="202" customFormat="1" x14ac:dyDescent="0.2">
      <c r="A557" s="636"/>
      <c r="B557" s="639"/>
      <c r="C557" s="466"/>
      <c r="D557" s="466"/>
      <c r="E557" s="466"/>
      <c r="F557" s="466"/>
      <c r="G557" s="466"/>
      <c r="H557" s="466"/>
      <c r="I557" s="767"/>
      <c r="J557" s="466"/>
      <c r="K557" s="466"/>
      <c r="L557" s="466"/>
      <c r="M557" s="466"/>
      <c r="N557" s="466"/>
      <c r="O557" s="767"/>
      <c r="P557" s="466"/>
      <c r="Q557" s="466"/>
      <c r="R557" s="466"/>
      <c r="S557" s="767"/>
      <c r="T557" s="466"/>
      <c r="U557" s="767"/>
      <c r="V557" s="466"/>
      <c r="W557" s="767"/>
      <c r="X557" s="378"/>
      <c r="Y557" s="180"/>
      <c r="Z557" s="180"/>
      <c r="AA557" s="180"/>
      <c r="AB557" s="180"/>
    </row>
    <row r="558" spans="1:28" x14ac:dyDescent="0.2">
      <c r="A558" s="636"/>
      <c r="B558" s="388"/>
      <c r="C558" s="391"/>
      <c r="D558" s="391"/>
      <c r="E558" s="391"/>
      <c r="F558" s="391"/>
      <c r="G558" s="391"/>
      <c r="H558" s="391"/>
      <c r="I558" s="765"/>
      <c r="J558" s="391"/>
      <c r="K558" s="391"/>
      <c r="L558" s="391"/>
      <c r="M558" s="391"/>
      <c r="N558" s="391"/>
      <c r="O558" s="765"/>
      <c r="P558" s="391"/>
      <c r="Q558" s="391"/>
      <c r="R558" s="391"/>
      <c r="S558" s="765"/>
      <c r="T558" s="391"/>
      <c r="U558" s="765"/>
      <c r="V558" s="391"/>
      <c r="W558" s="765"/>
      <c r="X558" s="378"/>
      <c r="Y558" s="180"/>
      <c r="Z558" s="180"/>
      <c r="AA558" s="180"/>
      <c r="AB558" s="180"/>
    </row>
    <row r="559" spans="1:28" s="203" customFormat="1" x14ac:dyDescent="0.2">
      <c r="A559" s="636"/>
      <c r="B559" s="389"/>
      <c r="C559" s="392"/>
      <c r="D559" s="392"/>
      <c r="E559" s="392"/>
      <c r="F559" s="392"/>
      <c r="G559" s="392"/>
      <c r="H559" s="392"/>
      <c r="I559" s="766"/>
      <c r="J559" s="392"/>
      <c r="K559" s="392"/>
      <c r="L559" s="392"/>
      <c r="M559" s="392"/>
      <c r="N559" s="392"/>
      <c r="O559" s="766"/>
      <c r="P559" s="392"/>
      <c r="Q559" s="392"/>
      <c r="R559" s="392"/>
      <c r="S559" s="766"/>
      <c r="T559" s="392"/>
      <c r="U559" s="766"/>
      <c r="V559" s="392"/>
      <c r="W559" s="766"/>
      <c r="X559" s="378"/>
      <c r="Y559" s="180"/>
      <c r="Z559" s="180"/>
      <c r="AA559" s="180"/>
      <c r="AB559" s="180"/>
    </row>
    <row r="560" spans="1:28" s="202" customFormat="1" x14ac:dyDescent="0.2">
      <c r="A560" s="636"/>
      <c r="B560" s="639"/>
      <c r="C560" s="466"/>
      <c r="D560" s="466"/>
      <c r="E560" s="466"/>
      <c r="F560" s="466"/>
      <c r="G560" s="466"/>
      <c r="H560" s="466"/>
      <c r="I560" s="767"/>
      <c r="J560" s="466"/>
      <c r="K560" s="466"/>
      <c r="L560" s="466"/>
      <c r="M560" s="466"/>
      <c r="N560" s="466"/>
      <c r="O560" s="767"/>
      <c r="P560" s="466"/>
      <c r="Q560" s="466"/>
      <c r="R560" s="466"/>
      <c r="S560" s="767"/>
      <c r="T560" s="466"/>
      <c r="U560" s="767"/>
      <c r="V560" s="466"/>
      <c r="W560" s="767"/>
      <c r="X560" s="378"/>
      <c r="Y560" s="180"/>
      <c r="Z560" s="180"/>
      <c r="AA560" s="180"/>
      <c r="AB560" s="180"/>
    </row>
    <row r="561" spans="1:28" x14ac:dyDescent="0.2">
      <c r="A561" s="636"/>
      <c r="B561" s="388"/>
      <c r="C561" s="391"/>
      <c r="D561" s="391"/>
      <c r="E561" s="391"/>
      <c r="F561" s="391"/>
      <c r="G561" s="391"/>
      <c r="H561" s="391"/>
      <c r="I561" s="765"/>
      <c r="J561" s="391"/>
      <c r="K561" s="391"/>
      <c r="L561" s="391"/>
      <c r="M561" s="391"/>
      <c r="N561" s="391"/>
      <c r="O561" s="765"/>
      <c r="P561" s="391"/>
      <c r="Q561" s="391"/>
      <c r="R561" s="391"/>
      <c r="S561" s="765"/>
      <c r="T561" s="391"/>
      <c r="U561" s="765"/>
      <c r="V561" s="391"/>
      <c r="W561" s="765"/>
      <c r="X561" s="378"/>
      <c r="Y561" s="180"/>
      <c r="Z561" s="180"/>
      <c r="AA561" s="180"/>
      <c r="AB561" s="180"/>
    </row>
    <row r="562" spans="1:28" s="203" customFormat="1" x14ac:dyDescent="0.2">
      <c r="A562" s="636"/>
      <c r="B562" s="389"/>
      <c r="C562" s="392"/>
      <c r="D562" s="392"/>
      <c r="E562" s="392"/>
      <c r="F562" s="392"/>
      <c r="G562" s="392"/>
      <c r="H562" s="392"/>
      <c r="I562" s="766"/>
      <c r="J562" s="392"/>
      <c r="K562" s="392"/>
      <c r="L562" s="392"/>
      <c r="M562" s="392"/>
      <c r="N562" s="392"/>
      <c r="O562" s="766"/>
      <c r="P562" s="392"/>
      <c r="Q562" s="392"/>
      <c r="R562" s="392"/>
      <c r="S562" s="766"/>
      <c r="T562" s="392"/>
      <c r="U562" s="766"/>
      <c r="V562" s="392"/>
      <c r="W562" s="766"/>
      <c r="X562" s="378"/>
      <c r="Y562" s="180"/>
      <c r="Z562" s="180"/>
      <c r="AA562" s="180"/>
      <c r="AB562" s="180"/>
    </row>
    <row r="563" spans="1:28" s="202" customFormat="1" x14ac:dyDescent="0.2">
      <c r="A563" s="636"/>
      <c r="B563" s="639"/>
      <c r="C563" s="466"/>
      <c r="D563" s="466"/>
      <c r="E563" s="466"/>
      <c r="F563" s="466"/>
      <c r="G563" s="466"/>
      <c r="H563" s="466"/>
      <c r="I563" s="767"/>
      <c r="J563" s="466"/>
      <c r="K563" s="466"/>
      <c r="L563" s="466"/>
      <c r="M563" s="466"/>
      <c r="N563" s="466"/>
      <c r="O563" s="767"/>
      <c r="P563" s="466"/>
      <c r="Q563" s="466"/>
      <c r="R563" s="466"/>
      <c r="S563" s="767"/>
      <c r="T563" s="466"/>
      <c r="U563" s="767"/>
      <c r="V563" s="466"/>
      <c r="W563" s="767"/>
      <c r="X563" s="378"/>
      <c r="Y563" s="180"/>
      <c r="Z563" s="180"/>
      <c r="AA563" s="180"/>
      <c r="AB563" s="180"/>
    </row>
    <row r="564" spans="1:28" x14ac:dyDescent="0.2">
      <c r="A564" s="636"/>
      <c r="B564" s="388"/>
      <c r="C564" s="391"/>
      <c r="D564" s="391"/>
      <c r="E564" s="391"/>
      <c r="F564" s="391"/>
      <c r="G564" s="391"/>
      <c r="H564" s="391"/>
      <c r="I564" s="765"/>
      <c r="J564" s="391"/>
      <c r="K564" s="391"/>
      <c r="L564" s="391"/>
      <c r="M564" s="391"/>
      <c r="N564" s="391"/>
      <c r="O564" s="765"/>
      <c r="P564" s="391"/>
      <c r="Q564" s="391"/>
      <c r="R564" s="391"/>
      <c r="S564" s="765"/>
      <c r="T564" s="391"/>
      <c r="U564" s="765"/>
      <c r="V564" s="391"/>
      <c r="W564" s="765"/>
      <c r="X564" s="378"/>
      <c r="Y564" s="180"/>
      <c r="Z564" s="180"/>
      <c r="AA564" s="180"/>
      <c r="AB564" s="180"/>
    </row>
    <row r="565" spans="1:28" s="203" customFormat="1" x14ac:dyDescent="0.2">
      <c r="A565" s="636"/>
      <c r="B565" s="389"/>
      <c r="C565" s="392"/>
      <c r="D565" s="392"/>
      <c r="E565" s="392"/>
      <c r="F565" s="392"/>
      <c r="G565" s="392"/>
      <c r="H565" s="392"/>
      <c r="I565" s="766"/>
      <c r="J565" s="392"/>
      <c r="K565" s="392"/>
      <c r="L565" s="392"/>
      <c r="M565" s="392"/>
      <c r="N565" s="392"/>
      <c r="O565" s="766"/>
      <c r="P565" s="392"/>
      <c r="Q565" s="392"/>
      <c r="R565" s="392"/>
      <c r="S565" s="766"/>
      <c r="T565" s="392"/>
      <c r="U565" s="766"/>
      <c r="V565" s="392"/>
      <c r="W565" s="766"/>
      <c r="X565" s="378"/>
      <c r="Y565" s="180"/>
      <c r="Z565" s="180"/>
      <c r="AA565" s="180"/>
      <c r="AB565" s="180"/>
    </row>
    <row r="566" spans="1:28" s="202" customFormat="1" x14ac:dyDescent="0.2">
      <c r="A566" s="636"/>
      <c r="B566" s="639"/>
      <c r="C566" s="466"/>
      <c r="D566" s="466"/>
      <c r="E566" s="466"/>
      <c r="F566" s="466"/>
      <c r="G566" s="466"/>
      <c r="H566" s="466"/>
      <c r="I566" s="767"/>
      <c r="J566" s="466"/>
      <c r="K566" s="466"/>
      <c r="L566" s="466"/>
      <c r="M566" s="466"/>
      <c r="N566" s="466"/>
      <c r="O566" s="767"/>
      <c r="P566" s="466"/>
      <c r="Q566" s="466"/>
      <c r="R566" s="466"/>
      <c r="S566" s="767"/>
      <c r="T566" s="466"/>
      <c r="U566" s="767"/>
      <c r="V566" s="466"/>
      <c r="W566" s="767"/>
      <c r="X566" s="378"/>
      <c r="Y566" s="180"/>
      <c r="Z566" s="180"/>
      <c r="AA566" s="180"/>
      <c r="AB566" s="180"/>
    </row>
    <row r="567" spans="1:28" x14ac:dyDescent="0.2">
      <c r="A567" s="636"/>
      <c r="B567" s="768"/>
      <c r="C567" s="765"/>
      <c r="D567" s="765"/>
      <c r="E567" s="765"/>
      <c r="F567" s="765"/>
      <c r="G567" s="765"/>
      <c r="H567" s="765"/>
      <c r="I567" s="765"/>
      <c r="J567" s="765"/>
      <c r="K567" s="765"/>
      <c r="L567" s="765"/>
      <c r="M567" s="765"/>
      <c r="N567" s="765"/>
      <c r="O567" s="765"/>
      <c r="P567" s="765"/>
      <c r="Q567" s="765"/>
      <c r="R567" s="765"/>
      <c r="S567" s="765"/>
      <c r="T567" s="765"/>
      <c r="U567" s="765"/>
      <c r="V567" s="765"/>
      <c r="W567" s="765"/>
      <c r="X567" s="378"/>
      <c r="Y567" s="180"/>
      <c r="Z567" s="180"/>
      <c r="AA567" s="180"/>
      <c r="AB567" s="180"/>
    </row>
    <row r="568" spans="1:28" s="203" customFormat="1" x14ac:dyDescent="0.2">
      <c r="A568" s="636"/>
      <c r="B568" s="769"/>
      <c r="C568" s="766"/>
      <c r="D568" s="766"/>
      <c r="E568" s="766"/>
      <c r="F568" s="766"/>
      <c r="G568" s="766"/>
      <c r="H568" s="766"/>
      <c r="I568" s="766"/>
      <c r="J568" s="766"/>
      <c r="K568" s="766"/>
      <c r="L568" s="766"/>
      <c r="M568" s="766"/>
      <c r="N568" s="766"/>
      <c r="O568" s="766"/>
      <c r="P568" s="766"/>
      <c r="Q568" s="766"/>
      <c r="R568" s="766"/>
      <c r="S568" s="766"/>
      <c r="T568" s="766"/>
      <c r="U568" s="766"/>
      <c r="V568" s="766"/>
      <c r="W568" s="766"/>
      <c r="X568" s="378"/>
      <c r="Y568" s="180"/>
      <c r="Z568" s="180"/>
      <c r="AA568" s="180"/>
      <c r="AB568" s="180"/>
    </row>
    <row r="569" spans="1:28" s="202" customFormat="1" x14ac:dyDescent="0.2">
      <c r="A569" s="636"/>
      <c r="B569" s="770"/>
      <c r="C569" s="767"/>
      <c r="D569" s="767"/>
      <c r="E569" s="767"/>
      <c r="F569" s="767"/>
      <c r="G569" s="767"/>
      <c r="H569" s="767"/>
      <c r="I569" s="767"/>
      <c r="J569" s="767"/>
      <c r="K569" s="767"/>
      <c r="L569" s="767"/>
      <c r="M569" s="767"/>
      <c r="N569" s="767"/>
      <c r="O569" s="767"/>
      <c r="P569" s="767"/>
      <c r="Q569" s="767"/>
      <c r="R569" s="767"/>
      <c r="S569" s="767"/>
      <c r="T569" s="767"/>
      <c r="U569" s="767"/>
      <c r="V569" s="767"/>
      <c r="W569" s="767"/>
      <c r="X569" s="378"/>
      <c r="Y569" s="180"/>
      <c r="Z569" s="180"/>
      <c r="AA569" s="180"/>
      <c r="AB569" s="180"/>
    </row>
    <row r="570" spans="1:28" x14ac:dyDescent="0.2">
      <c r="A570" s="636"/>
      <c r="B570" s="388"/>
      <c r="C570" s="391"/>
      <c r="D570" s="391"/>
      <c r="E570" s="391"/>
      <c r="F570" s="391"/>
      <c r="G570" s="391"/>
      <c r="H570" s="391"/>
      <c r="I570" s="765"/>
      <c r="J570" s="391"/>
      <c r="K570" s="391"/>
      <c r="L570" s="391"/>
      <c r="M570" s="391"/>
      <c r="N570" s="391"/>
      <c r="O570" s="765"/>
      <c r="P570" s="391"/>
      <c r="Q570" s="391"/>
      <c r="R570" s="391"/>
      <c r="S570" s="765"/>
      <c r="T570" s="391"/>
      <c r="U570" s="765"/>
      <c r="V570" s="391"/>
      <c r="W570" s="765"/>
      <c r="X570" s="378"/>
      <c r="Y570" s="180"/>
      <c r="Z570" s="180"/>
      <c r="AA570" s="180"/>
      <c r="AB570" s="180"/>
    </row>
    <row r="571" spans="1:28" s="203" customFormat="1" x14ac:dyDescent="0.2">
      <c r="A571" s="636"/>
      <c r="B571" s="389"/>
      <c r="C571" s="392"/>
      <c r="D571" s="392"/>
      <c r="E571" s="392"/>
      <c r="F571" s="392"/>
      <c r="G571" s="392"/>
      <c r="H571" s="392"/>
      <c r="I571" s="766"/>
      <c r="J571" s="392"/>
      <c r="K571" s="392"/>
      <c r="L571" s="392"/>
      <c r="M571" s="392"/>
      <c r="N571" s="392"/>
      <c r="O571" s="766"/>
      <c r="P571" s="392"/>
      <c r="Q571" s="392"/>
      <c r="R571" s="392"/>
      <c r="S571" s="766"/>
      <c r="T571" s="392"/>
      <c r="U571" s="766"/>
      <c r="V571" s="392"/>
      <c r="W571" s="766"/>
      <c r="X571" s="378"/>
      <c r="Y571" s="180"/>
      <c r="Z571" s="180"/>
      <c r="AA571" s="180"/>
      <c r="AB571" s="180"/>
    </row>
    <row r="572" spans="1:28" s="202" customFormat="1" x14ac:dyDescent="0.2">
      <c r="A572" s="636"/>
      <c r="B572" s="639"/>
      <c r="C572" s="466"/>
      <c r="D572" s="466"/>
      <c r="E572" s="466"/>
      <c r="F572" s="466"/>
      <c r="G572" s="466"/>
      <c r="H572" s="466"/>
      <c r="I572" s="767"/>
      <c r="J572" s="466"/>
      <c r="K572" s="466"/>
      <c r="L572" s="466"/>
      <c r="M572" s="466"/>
      <c r="N572" s="466"/>
      <c r="O572" s="767"/>
      <c r="P572" s="466"/>
      <c r="Q572" s="466"/>
      <c r="R572" s="466"/>
      <c r="S572" s="767"/>
      <c r="T572" s="466"/>
      <c r="U572" s="767"/>
      <c r="V572" s="466"/>
      <c r="W572" s="767"/>
      <c r="X572" s="378"/>
      <c r="Y572" s="180"/>
      <c r="Z572" s="180"/>
      <c r="AA572" s="180"/>
      <c r="AB572" s="180"/>
    </row>
    <row r="573" spans="1:28" x14ac:dyDescent="0.2">
      <c r="A573" s="636"/>
      <c r="B573" s="388"/>
      <c r="C573" s="391"/>
      <c r="D573" s="391"/>
      <c r="E573" s="391"/>
      <c r="F573" s="391"/>
      <c r="G573" s="391"/>
      <c r="H573" s="391"/>
      <c r="I573" s="765"/>
      <c r="J573" s="391"/>
      <c r="K573" s="391"/>
      <c r="L573" s="391"/>
      <c r="M573" s="391"/>
      <c r="N573" s="391"/>
      <c r="O573" s="765"/>
      <c r="P573" s="391"/>
      <c r="Q573" s="391"/>
      <c r="R573" s="391"/>
      <c r="S573" s="765"/>
      <c r="T573" s="391"/>
      <c r="U573" s="765"/>
      <c r="V573" s="391"/>
      <c r="W573" s="765"/>
      <c r="X573" s="378"/>
      <c r="Y573" s="180"/>
      <c r="Z573" s="180"/>
      <c r="AA573" s="180"/>
      <c r="AB573" s="180"/>
    </row>
    <row r="574" spans="1:28" s="203" customFormat="1" x14ac:dyDescent="0.2">
      <c r="A574" s="636"/>
      <c r="B574" s="389"/>
      <c r="C574" s="392"/>
      <c r="D574" s="392"/>
      <c r="E574" s="392"/>
      <c r="F574" s="392"/>
      <c r="G574" s="392"/>
      <c r="H574" s="392"/>
      <c r="I574" s="766"/>
      <c r="J574" s="392"/>
      <c r="K574" s="392"/>
      <c r="L574" s="392"/>
      <c r="M574" s="392"/>
      <c r="N574" s="392"/>
      <c r="O574" s="766"/>
      <c r="P574" s="392"/>
      <c r="Q574" s="392"/>
      <c r="R574" s="392"/>
      <c r="S574" s="766"/>
      <c r="T574" s="392"/>
      <c r="U574" s="766"/>
      <c r="V574" s="392"/>
      <c r="W574" s="766"/>
      <c r="X574" s="378"/>
      <c r="Y574" s="180"/>
      <c r="Z574" s="180"/>
      <c r="AA574" s="180"/>
      <c r="AB574" s="180"/>
    </row>
    <row r="575" spans="1:28" s="202" customFormat="1" x14ac:dyDescent="0.2">
      <c r="A575" s="636"/>
      <c r="B575" s="639"/>
      <c r="C575" s="466"/>
      <c r="D575" s="466"/>
      <c r="E575" s="466"/>
      <c r="F575" s="466"/>
      <c r="G575" s="466"/>
      <c r="H575" s="466"/>
      <c r="I575" s="767"/>
      <c r="J575" s="466"/>
      <c r="K575" s="466"/>
      <c r="L575" s="466"/>
      <c r="M575" s="466"/>
      <c r="N575" s="466"/>
      <c r="O575" s="767"/>
      <c r="P575" s="466"/>
      <c r="Q575" s="466"/>
      <c r="R575" s="466"/>
      <c r="S575" s="767"/>
      <c r="T575" s="466"/>
      <c r="U575" s="767"/>
      <c r="V575" s="466"/>
      <c r="W575" s="767"/>
      <c r="X575" s="378"/>
      <c r="Y575" s="180"/>
      <c r="Z575" s="180"/>
      <c r="AA575" s="180"/>
      <c r="AB575" s="180"/>
    </row>
    <row r="576" spans="1:28" x14ac:dyDescent="0.2">
      <c r="A576" s="636"/>
      <c r="B576" s="388"/>
      <c r="C576" s="391"/>
      <c r="D576" s="391"/>
      <c r="E576" s="391"/>
      <c r="F576" s="391"/>
      <c r="G576" s="391"/>
      <c r="H576" s="391"/>
      <c r="I576" s="765"/>
      <c r="J576" s="391"/>
      <c r="K576" s="391"/>
      <c r="L576" s="391"/>
      <c r="M576" s="391"/>
      <c r="N576" s="391"/>
      <c r="O576" s="765"/>
      <c r="P576" s="391"/>
      <c r="Q576" s="391"/>
      <c r="R576" s="391"/>
      <c r="S576" s="765"/>
      <c r="T576" s="391"/>
      <c r="U576" s="765"/>
      <c r="V576" s="391"/>
      <c r="W576" s="765"/>
      <c r="X576" s="378"/>
      <c r="Y576" s="180"/>
      <c r="Z576" s="180"/>
      <c r="AA576" s="180"/>
      <c r="AB576" s="180"/>
    </row>
    <row r="577" spans="1:28" s="203" customFormat="1" x14ac:dyDescent="0.2">
      <c r="A577" s="636"/>
      <c r="B577" s="389"/>
      <c r="C577" s="392"/>
      <c r="D577" s="392"/>
      <c r="E577" s="392"/>
      <c r="F577" s="392"/>
      <c r="G577" s="392"/>
      <c r="H577" s="392"/>
      <c r="I577" s="766"/>
      <c r="J577" s="392"/>
      <c r="K577" s="392"/>
      <c r="L577" s="392"/>
      <c r="M577" s="392"/>
      <c r="N577" s="392"/>
      <c r="O577" s="766"/>
      <c r="P577" s="392"/>
      <c r="Q577" s="392"/>
      <c r="R577" s="392"/>
      <c r="S577" s="766"/>
      <c r="T577" s="392"/>
      <c r="U577" s="766"/>
      <c r="V577" s="392"/>
      <c r="W577" s="766"/>
      <c r="X577" s="378"/>
      <c r="Y577" s="180"/>
      <c r="Z577" s="180"/>
      <c r="AA577" s="180"/>
      <c r="AB577" s="180"/>
    </row>
    <row r="578" spans="1:28" s="202" customFormat="1" x14ac:dyDescent="0.2">
      <c r="A578" s="636"/>
      <c r="B578" s="639"/>
      <c r="C578" s="466"/>
      <c r="D578" s="466"/>
      <c r="E578" s="466"/>
      <c r="F578" s="466"/>
      <c r="G578" s="466"/>
      <c r="H578" s="466"/>
      <c r="I578" s="767"/>
      <c r="J578" s="466"/>
      <c r="K578" s="466"/>
      <c r="L578" s="466"/>
      <c r="M578" s="466"/>
      <c r="N578" s="466"/>
      <c r="O578" s="767"/>
      <c r="P578" s="466"/>
      <c r="Q578" s="466"/>
      <c r="R578" s="466"/>
      <c r="S578" s="767"/>
      <c r="T578" s="466"/>
      <c r="U578" s="767"/>
      <c r="V578" s="466"/>
      <c r="W578" s="767"/>
      <c r="X578" s="378"/>
      <c r="Y578" s="180"/>
      <c r="Z578" s="180"/>
      <c r="AA578" s="180"/>
      <c r="AB578" s="180"/>
    </row>
    <row r="579" spans="1:28" x14ac:dyDescent="0.2">
      <c r="A579" s="636"/>
      <c r="B579" s="388"/>
      <c r="C579" s="391"/>
      <c r="D579" s="391"/>
      <c r="E579" s="391"/>
      <c r="F579" s="391"/>
      <c r="G579" s="391"/>
      <c r="H579" s="391"/>
      <c r="I579" s="765"/>
      <c r="J579" s="391"/>
      <c r="K579" s="391"/>
      <c r="L579" s="391"/>
      <c r="M579" s="391"/>
      <c r="N579" s="391"/>
      <c r="O579" s="765"/>
      <c r="P579" s="391"/>
      <c r="Q579" s="391"/>
      <c r="R579" s="391"/>
      <c r="S579" s="765"/>
      <c r="T579" s="391"/>
      <c r="U579" s="765"/>
      <c r="V579" s="391"/>
      <c r="W579" s="765"/>
      <c r="X579" s="378"/>
      <c r="Y579" s="180"/>
      <c r="Z579" s="180"/>
      <c r="AA579" s="180"/>
      <c r="AB579" s="180"/>
    </row>
    <row r="580" spans="1:28" s="203" customFormat="1" x14ac:dyDescent="0.2">
      <c r="A580" s="636"/>
      <c r="B580" s="389"/>
      <c r="C580" s="392"/>
      <c r="D580" s="392"/>
      <c r="E580" s="392"/>
      <c r="F580" s="392"/>
      <c r="G580" s="392"/>
      <c r="H580" s="392"/>
      <c r="I580" s="766"/>
      <c r="J580" s="392"/>
      <c r="K580" s="392"/>
      <c r="L580" s="392"/>
      <c r="M580" s="392"/>
      <c r="N580" s="392"/>
      <c r="O580" s="766"/>
      <c r="P580" s="392"/>
      <c r="Q580" s="392"/>
      <c r="R580" s="392"/>
      <c r="S580" s="766"/>
      <c r="T580" s="392"/>
      <c r="U580" s="766"/>
      <c r="V580" s="392"/>
      <c r="W580" s="766"/>
      <c r="X580" s="378"/>
      <c r="Y580" s="180"/>
      <c r="Z580" s="180"/>
      <c r="AA580" s="180"/>
      <c r="AB580" s="180"/>
    </row>
    <row r="581" spans="1:28" s="202" customFormat="1" x14ac:dyDescent="0.2">
      <c r="A581" s="636"/>
      <c r="B581" s="639"/>
      <c r="C581" s="466"/>
      <c r="D581" s="466"/>
      <c r="E581" s="466"/>
      <c r="F581" s="466"/>
      <c r="G581" s="466"/>
      <c r="H581" s="466"/>
      <c r="I581" s="767"/>
      <c r="J581" s="466"/>
      <c r="K581" s="466"/>
      <c r="L581" s="466"/>
      <c r="M581" s="466"/>
      <c r="N581" s="466"/>
      <c r="O581" s="767"/>
      <c r="P581" s="466"/>
      <c r="Q581" s="466"/>
      <c r="R581" s="466"/>
      <c r="S581" s="767"/>
      <c r="T581" s="466"/>
      <c r="U581" s="767"/>
      <c r="V581" s="466"/>
      <c r="W581" s="767"/>
      <c r="X581" s="378"/>
      <c r="Y581" s="180"/>
      <c r="Z581" s="180"/>
      <c r="AA581" s="180"/>
      <c r="AB581" s="180"/>
    </row>
    <row r="582" spans="1:28" x14ac:dyDescent="0.2">
      <c r="A582" s="636"/>
      <c r="B582" s="388"/>
      <c r="C582" s="391"/>
      <c r="D582" s="391"/>
      <c r="E582" s="391"/>
      <c r="F582" s="391"/>
      <c r="G582" s="391"/>
      <c r="H582" s="391"/>
      <c r="I582" s="765"/>
      <c r="J582" s="391"/>
      <c r="K582" s="391"/>
      <c r="L582" s="391"/>
      <c r="M582" s="391"/>
      <c r="N582" s="391"/>
      <c r="O582" s="765"/>
      <c r="P582" s="391"/>
      <c r="Q582" s="391"/>
      <c r="R582" s="391"/>
      <c r="S582" s="765"/>
      <c r="T582" s="391"/>
      <c r="U582" s="765"/>
      <c r="V582" s="391"/>
      <c r="W582" s="765"/>
      <c r="X582" s="378"/>
      <c r="Y582" s="180"/>
      <c r="Z582" s="180"/>
      <c r="AA582" s="180"/>
      <c r="AB582" s="180"/>
    </row>
    <row r="583" spans="1:28" s="203" customFormat="1" x14ac:dyDescent="0.2">
      <c r="A583" s="636"/>
      <c r="B583" s="389"/>
      <c r="C583" s="392"/>
      <c r="D583" s="392"/>
      <c r="E583" s="392"/>
      <c r="F583" s="392"/>
      <c r="G583" s="392"/>
      <c r="H583" s="392"/>
      <c r="I583" s="766"/>
      <c r="J583" s="392"/>
      <c r="K583" s="392"/>
      <c r="L583" s="392"/>
      <c r="M583" s="392"/>
      <c r="N583" s="392"/>
      <c r="O583" s="766"/>
      <c r="P583" s="392"/>
      <c r="Q583" s="392"/>
      <c r="R583" s="392"/>
      <c r="S583" s="766"/>
      <c r="T583" s="392"/>
      <c r="U583" s="766"/>
      <c r="V583" s="392"/>
      <c r="W583" s="766"/>
      <c r="X583" s="378"/>
      <c r="Y583" s="180"/>
      <c r="Z583" s="180"/>
      <c r="AA583" s="180"/>
      <c r="AB583" s="180"/>
    </row>
    <row r="584" spans="1:28" s="202" customFormat="1" x14ac:dyDescent="0.2">
      <c r="A584" s="636"/>
      <c r="B584" s="639"/>
      <c r="C584" s="466"/>
      <c r="D584" s="466"/>
      <c r="E584" s="466"/>
      <c r="F584" s="466"/>
      <c r="G584" s="466"/>
      <c r="H584" s="466"/>
      <c r="I584" s="767"/>
      <c r="J584" s="466"/>
      <c r="K584" s="466"/>
      <c r="L584" s="466"/>
      <c r="M584" s="466"/>
      <c r="N584" s="466"/>
      <c r="O584" s="767"/>
      <c r="P584" s="466"/>
      <c r="Q584" s="466"/>
      <c r="R584" s="466"/>
      <c r="S584" s="767"/>
      <c r="T584" s="466"/>
      <c r="U584" s="767"/>
      <c r="V584" s="466"/>
      <c r="W584" s="767"/>
      <c r="X584" s="378"/>
      <c r="Y584" s="180"/>
      <c r="Z584" s="180"/>
      <c r="AA584" s="180"/>
      <c r="AB584" s="180"/>
    </row>
    <row r="585" spans="1:28" x14ac:dyDescent="0.2">
      <c r="A585" s="636"/>
      <c r="B585" s="388"/>
      <c r="C585" s="391"/>
      <c r="D585" s="391"/>
      <c r="E585" s="391"/>
      <c r="F585" s="391"/>
      <c r="G585" s="391"/>
      <c r="H585" s="391"/>
      <c r="I585" s="765"/>
      <c r="J585" s="391"/>
      <c r="K585" s="391"/>
      <c r="L585" s="391"/>
      <c r="M585" s="391"/>
      <c r="N585" s="391"/>
      <c r="O585" s="765"/>
      <c r="P585" s="391"/>
      <c r="Q585" s="391"/>
      <c r="R585" s="391"/>
      <c r="S585" s="765"/>
      <c r="T585" s="391"/>
      <c r="U585" s="765"/>
      <c r="V585" s="391"/>
      <c r="W585" s="765"/>
      <c r="X585" s="378"/>
      <c r="Y585" s="180"/>
      <c r="Z585" s="180"/>
      <c r="AA585" s="180"/>
      <c r="AB585" s="180"/>
    </row>
    <row r="586" spans="1:28" s="203" customFormat="1" x14ac:dyDescent="0.2">
      <c r="A586" s="636"/>
      <c r="B586" s="389"/>
      <c r="C586" s="392"/>
      <c r="D586" s="392"/>
      <c r="E586" s="392"/>
      <c r="F586" s="392"/>
      <c r="G586" s="392"/>
      <c r="H586" s="392"/>
      <c r="I586" s="766"/>
      <c r="J586" s="392"/>
      <c r="K586" s="392"/>
      <c r="L586" s="392"/>
      <c r="M586" s="392"/>
      <c r="N586" s="392"/>
      <c r="O586" s="766"/>
      <c r="P586" s="392"/>
      <c r="Q586" s="392"/>
      <c r="R586" s="392"/>
      <c r="S586" s="766"/>
      <c r="T586" s="392"/>
      <c r="U586" s="766"/>
      <c r="V586" s="392"/>
      <c r="W586" s="766"/>
      <c r="X586" s="378"/>
      <c r="Y586" s="180"/>
      <c r="Z586" s="180"/>
      <c r="AA586" s="180"/>
      <c r="AB586" s="180"/>
    </row>
    <row r="587" spans="1:28" s="202" customFormat="1" x14ac:dyDescent="0.2">
      <c r="A587" s="636"/>
      <c r="B587" s="639"/>
      <c r="C587" s="466"/>
      <c r="D587" s="466"/>
      <c r="E587" s="466"/>
      <c r="F587" s="466"/>
      <c r="G587" s="466"/>
      <c r="H587" s="466"/>
      <c r="I587" s="767"/>
      <c r="J587" s="466"/>
      <c r="K587" s="466"/>
      <c r="L587" s="466"/>
      <c r="M587" s="466"/>
      <c r="N587" s="466"/>
      <c r="O587" s="767"/>
      <c r="P587" s="466"/>
      <c r="Q587" s="466"/>
      <c r="R587" s="466"/>
      <c r="S587" s="767"/>
      <c r="T587" s="466"/>
      <c r="U587" s="767"/>
      <c r="V587" s="466"/>
      <c r="W587" s="767"/>
      <c r="X587" s="378"/>
      <c r="Y587" s="180"/>
      <c r="Z587" s="180"/>
      <c r="AA587" s="180"/>
      <c r="AB587" s="180"/>
    </row>
    <row r="588" spans="1:28" x14ac:dyDescent="0.2">
      <c r="A588" s="636"/>
      <c r="B588" s="388"/>
      <c r="C588" s="391"/>
      <c r="D588" s="391"/>
      <c r="E588" s="391"/>
      <c r="F588" s="391"/>
      <c r="G588" s="391"/>
      <c r="H588" s="391"/>
      <c r="I588" s="765"/>
      <c r="J588" s="391"/>
      <c r="K588" s="391"/>
      <c r="L588" s="391"/>
      <c r="M588" s="391"/>
      <c r="N588" s="391"/>
      <c r="O588" s="765"/>
      <c r="P588" s="391"/>
      <c r="Q588" s="391"/>
      <c r="R588" s="391"/>
      <c r="S588" s="765"/>
      <c r="T588" s="391"/>
      <c r="U588" s="765"/>
      <c r="V588" s="391"/>
      <c r="W588" s="765"/>
      <c r="X588" s="378"/>
      <c r="Y588" s="180"/>
      <c r="Z588" s="180"/>
      <c r="AA588" s="180"/>
      <c r="AB588" s="180"/>
    </row>
    <row r="589" spans="1:28" s="203" customFormat="1" x14ac:dyDescent="0.2">
      <c r="A589" s="636"/>
      <c r="B589" s="389"/>
      <c r="C589" s="392"/>
      <c r="D589" s="392"/>
      <c r="E589" s="392"/>
      <c r="F589" s="392"/>
      <c r="G589" s="392"/>
      <c r="H589" s="392"/>
      <c r="I589" s="766"/>
      <c r="J589" s="392"/>
      <c r="K589" s="392"/>
      <c r="L589" s="392"/>
      <c r="M589" s="392"/>
      <c r="N589" s="392"/>
      <c r="O589" s="766"/>
      <c r="P589" s="392"/>
      <c r="Q589" s="392"/>
      <c r="R589" s="392"/>
      <c r="S589" s="766"/>
      <c r="T589" s="392"/>
      <c r="U589" s="766"/>
      <c r="V589" s="392"/>
      <c r="W589" s="766"/>
      <c r="X589" s="378"/>
      <c r="Y589" s="180"/>
      <c r="Z589" s="180"/>
      <c r="AA589" s="180"/>
      <c r="AB589" s="180"/>
    </row>
    <row r="590" spans="1:28" s="212" customFormat="1" ht="13.5" thickBot="1" x14ac:dyDescent="0.25">
      <c r="A590" s="640"/>
      <c r="B590" s="777"/>
      <c r="C590" s="778"/>
      <c r="D590" s="778"/>
      <c r="E590" s="778"/>
      <c r="F590" s="778"/>
      <c r="G590" s="778"/>
      <c r="H590" s="778"/>
      <c r="I590" s="779"/>
      <c r="J590" s="778"/>
      <c r="K590" s="778"/>
      <c r="L590" s="778"/>
      <c r="M590" s="778"/>
      <c r="N590" s="778"/>
      <c r="O590" s="779"/>
      <c r="P590" s="778"/>
      <c r="Q590" s="778"/>
      <c r="R590" s="778"/>
      <c r="S590" s="779"/>
      <c r="T590" s="778"/>
      <c r="U590" s="779"/>
      <c r="V590" s="778"/>
      <c r="W590" s="779"/>
      <c r="X590" s="378"/>
      <c r="Y590" s="180"/>
      <c r="Z590" s="180"/>
      <c r="AA590" s="180"/>
      <c r="AB590" s="180"/>
    </row>
    <row r="591" spans="1:28" ht="13.5" thickTop="1" x14ac:dyDescent="0.2">
      <c r="A591" s="230"/>
      <c r="B591" s="780"/>
      <c r="C591" s="781"/>
      <c r="D591" s="781"/>
      <c r="E591" s="781"/>
      <c r="F591" s="781"/>
      <c r="G591" s="781"/>
      <c r="H591" s="781"/>
      <c r="I591" s="782"/>
      <c r="J591" s="781"/>
      <c r="K591" s="781"/>
      <c r="L591" s="781"/>
      <c r="M591" s="781"/>
      <c r="N591" s="781"/>
      <c r="O591" s="782"/>
      <c r="P591" s="781"/>
      <c r="Q591" s="781"/>
      <c r="R591" s="781"/>
      <c r="S591" s="782"/>
      <c r="T591" s="781"/>
      <c r="U591" s="782"/>
      <c r="V591" s="781"/>
      <c r="W591" s="782"/>
      <c r="X591" s="378"/>
      <c r="Y591" s="180"/>
      <c r="Z591" s="180"/>
      <c r="AA591" s="180"/>
      <c r="AB591" s="180"/>
    </row>
    <row r="592" spans="1:28" s="203" customFormat="1" x14ac:dyDescent="0.2">
      <c r="A592" s="636"/>
      <c r="B592" s="389"/>
      <c r="C592" s="392"/>
      <c r="D592" s="392"/>
      <c r="E592" s="392"/>
      <c r="F592" s="392"/>
      <c r="G592" s="392"/>
      <c r="H592" s="392"/>
      <c r="I592" s="766"/>
      <c r="J592" s="392"/>
      <c r="K592" s="392"/>
      <c r="L592" s="392"/>
      <c r="M592" s="392"/>
      <c r="N592" s="392"/>
      <c r="O592" s="766"/>
      <c r="P592" s="392"/>
      <c r="Q592" s="392"/>
      <c r="R592" s="392"/>
      <c r="S592" s="766"/>
      <c r="T592" s="392"/>
      <c r="U592" s="766"/>
      <c r="V592" s="392"/>
      <c r="W592" s="766"/>
      <c r="X592" s="378"/>
      <c r="Y592" s="180"/>
      <c r="Z592" s="180"/>
      <c r="AA592" s="180"/>
      <c r="AB592" s="180"/>
    </row>
    <row r="593" spans="1:28" s="202" customFormat="1" x14ac:dyDescent="0.2">
      <c r="A593" s="637"/>
      <c r="B593" s="639"/>
      <c r="C593" s="466"/>
      <c r="D593" s="466"/>
      <c r="E593" s="466"/>
      <c r="F593" s="466"/>
      <c r="G593" s="466"/>
      <c r="H593" s="466"/>
      <c r="I593" s="767"/>
      <c r="J593" s="466"/>
      <c r="K593" s="466"/>
      <c r="L593" s="466"/>
      <c r="M593" s="466"/>
      <c r="N593" s="466"/>
      <c r="O593" s="767"/>
      <c r="P593" s="466"/>
      <c r="Q593" s="466"/>
      <c r="R593" s="466"/>
      <c r="S593" s="767"/>
      <c r="T593" s="466"/>
      <c r="U593" s="767"/>
      <c r="V593" s="466"/>
      <c r="W593" s="767"/>
      <c r="X593" s="378"/>
      <c r="Y593" s="180"/>
      <c r="Z593" s="180"/>
      <c r="AA593" s="180"/>
      <c r="AB593" s="180"/>
    </row>
    <row r="594" spans="1:28" x14ac:dyDescent="0.2">
      <c r="A594" s="636"/>
      <c r="B594" s="388"/>
      <c r="C594" s="391"/>
      <c r="D594" s="391"/>
      <c r="E594" s="391"/>
      <c r="F594" s="391"/>
      <c r="G594" s="391"/>
      <c r="H594" s="391"/>
      <c r="I594" s="765"/>
      <c r="J594" s="391"/>
      <c r="K594" s="391"/>
      <c r="L594" s="391"/>
      <c r="M594" s="391"/>
      <c r="N594" s="391"/>
      <c r="O594" s="765"/>
      <c r="P594" s="391"/>
      <c r="Q594" s="391"/>
      <c r="R594" s="391"/>
      <c r="S594" s="765"/>
      <c r="T594" s="391"/>
      <c r="U594" s="765"/>
      <c r="V594" s="391"/>
      <c r="W594" s="765"/>
      <c r="X594" s="378"/>
      <c r="Y594" s="180"/>
      <c r="Z594" s="180"/>
      <c r="AA594" s="180"/>
      <c r="AB594" s="180"/>
    </row>
    <row r="595" spans="1:28" s="203" customFormat="1" x14ac:dyDescent="0.2">
      <c r="A595" s="636"/>
      <c r="B595" s="389"/>
      <c r="C595" s="392"/>
      <c r="D595" s="392"/>
      <c r="E595" s="392"/>
      <c r="F595" s="392"/>
      <c r="G595" s="392"/>
      <c r="H595" s="392"/>
      <c r="I595" s="766"/>
      <c r="J595" s="392"/>
      <c r="K595" s="392"/>
      <c r="L595" s="392"/>
      <c r="M595" s="392"/>
      <c r="N595" s="392"/>
      <c r="O595" s="766"/>
      <c r="P595" s="392"/>
      <c r="Q595" s="392"/>
      <c r="R595" s="392"/>
      <c r="S595" s="766"/>
      <c r="T595" s="392"/>
      <c r="U595" s="766"/>
      <c r="V595" s="392"/>
      <c r="W595" s="766"/>
      <c r="X595" s="378"/>
      <c r="Y595" s="180"/>
      <c r="Z595" s="180"/>
      <c r="AA595" s="180"/>
      <c r="AB595" s="180"/>
    </row>
    <row r="596" spans="1:28" s="202" customFormat="1" x14ac:dyDescent="0.2">
      <c r="A596" s="636"/>
      <c r="B596" s="639"/>
      <c r="C596" s="466"/>
      <c r="D596" s="466"/>
      <c r="E596" s="466"/>
      <c r="F596" s="466"/>
      <c r="G596" s="466"/>
      <c r="H596" s="466"/>
      <c r="I596" s="767"/>
      <c r="J596" s="466"/>
      <c r="K596" s="466"/>
      <c r="L596" s="466"/>
      <c r="M596" s="466"/>
      <c r="N596" s="466"/>
      <c r="O596" s="767"/>
      <c r="P596" s="466"/>
      <c r="Q596" s="466"/>
      <c r="R596" s="466"/>
      <c r="S596" s="767"/>
      <c r="T596" s="466"/>
      <c r="U596" s="767"/>
      <c r="V596" s="466"/>
      <c r="W596" s="767"/>
      <c r="X596" s="378"/>
      <c r="Y596" s="180"/>
      <c r="Z596" s="180"/>
      <c r="AA596" s="180"/>
      <c r="AB596" s="180"/>
    </row>
    <row r="597" spans="1:28" x14ac:dyDescent="0.2">
      <c r="A597" s="636"/>
      <c r="B597" s="388"/>
      <c r="C597" s="391"/>
      <c r="D597" s="391"/>
      <c r="E597" s="391"/>
      <c r="F597" s="391"/>
      <c r="G597" s="391"/>
      <c r="H597" s="391"/>
      <c r="I597" s="765"/>
      <c r="J597" s="391"/>
      <c r="K597" s="391"/>
      <c r="L597" s="391"/>
      <c r="M597" s="391"/>
      <c r="N597" s="391"/>
      <c r="O597" s="765"/>
      <c r="P597" s="391"/>
      <c r="Q597" s="391"/>
      <c r="R597" s="391"/>
      <c r="S597" s="765"/>
      <c r="T597" s="391"/>
      <c r="U597" s="765"/>
      <c r="V597" s="391"/>
      <c r="W597" s="765"/>
      <c r="X597" s="378"/>
      <c r="Y597" s="180"/>
      <c r="Z597" s="180"/>
      <c r="AA597" s="180"/>
      <c r="AB597" s="180"/>
    </row>
    <row r="598" spans="1:28" s="203" customFormat="1" x14ac:dyDescent="0.2">
      <c r="A598" s="636"/>
      <c r="B598" s="389"/>
      <c r="C598" s="392"/>
      <c r="D598" s="392"/>
      <c r="E598" s="392"/>
      <c r="F598" s="392"/>
      <c r="G598" s="392"/>
      <c r="H598" s="392"/>
      <c r="I598" s="766"/>
      <c r="J598" s="392"/>
      <c r="K598" s="392"/>
      <c r="L598" s="392"/>
      <c r="M598" s="392"/>
      <c r="N598" s="392"/>
      <c r="O598" s="766"/>
      <c r="P598" s="392"/>
      <c r="Q598" s="392"/>
      <c r="R598" s="392"/>
      <c r="S598" s="766"/>
      <c r="T598" s="392"/>
      <c r="U598" s="766"/>
      <c r="V598" s="392"/>
      <c r="W598" s="766"/>
      <c r="X598" s="378"/>
      <c r="Y598" s="180"/>
      <c r="Z598" s="180"/>
      <c r="AA598" s="180"/>
      <c r="AB598" s="180"/>
    </row>
    <row r="599" spans="1:28" s="202" customFormat="1" x14ac:dyDescent="0.2">
      <c r="A599" s="636"/>
      <c r="B599" s="639"/>
      <c r="C599" s="466"/>
      <c r="D599" s="466"/>
      <c r="E599" s="466"/>
      <c r="F599" s="466"/>
      <c r="G599" s="466"/>
      <c r="H599" s="466"/>
      <c r="I599" s="767"/>
      <c r="J599" s="466"/>
      <c r="K599" s="466"/>
      <c r="L599" s="466"/>
      <c r="M599" s="466"/>
      <c r="N599" s="466"/>
      <c r="O599" s="767"/>
      <c r="P599" s="466"/>
      <c r="Q599" s="466"/>
      <c r="R599" s="466"/>
      <c r="S599" s="767"/>
      <c r="T599" s="466"/>
      <c r="U599" s="767"/>
      <c r="V599" s="466"/>
      <c r="W599" s="767"/>
      <c r="X599" s="378"/>
      <c r="Y599" s="180"/>
      <c r="Z599" s="180"/>
      <c r="AA599" s="180"/>
      <c r="AB599" s="180"/>
    </row>
    <row r="600" spans="1:28" x14ac:dyDescent="0.2">
      <c r="A600" s="636"/>
      <c r="B600" s="388"/>
      <c r="C600" s="391"/>
      <c r="D600" s="391"/>
      <c r="E600" s="391"/>
      <c r="F600" s="391"/>
      <c r="G600" s="391"/>
      <c r="H600" s="391"/>
      <c r="I600" s="765"/>
      <c r="J600" s="391"/>
      <c r="K600" s="391"/>
      <c r="L600" s="391"/>
      <c r="M600" s="391"/>
      <c r="N600" s="391"/>
      <c r="O600" s="765"/>
      <c r="P600" s="391"/>
      <c r="Q600" s="391"/>
      <c r="R600" s="391"/>
      <c r="S600" s="765"/>
      <c r="T600" s="391"/>
      <c r="U600" s="765"/>
      <c r="V600" s="391"/>
      <c r="W600" s="765"/>
      <c r="X600" s="378"/>
      <c r="Y600" s="180"/>
      <c r="Z600" s="180"/>
      <c r="AA600" s="180"/>
      <c r="AB600" s="180"/>
    </row>
    <row r="601" spans="1:28" s="203" customFormat="1" x14ac:dyDescent="0.2">
      <c r="A601" s="636"/>
      <c r="B601" s="389"/>
      <c r="C601" s="392"/>
      <c r="D601" s="392"/>
      <c r="E601" s="392"/>
      <c r="F601" s="392"/>
      <c r="G601" s="392"/>
      <c r="H601" s="392"/>
      <c r="I601" s="766"/>
      <c r="J601" s="392"/>
      <c r="K601" s="392"/>
      <c r="L601" s="392"/>
      <c r="M601" s="392"/>
      <c r="N601" s="392"/>
      <c r="O601" s="766"/>
      <c r="P601" s="392"/>
      <c r="Q601" s="392"/>
      <c r="R601" s="392"/>
      <c r="S601" s="766"/>
      <c r="T601" s="392"/>
      <c r="U601" s="766"/>
      <c r="V601" s="392"/>
      <c r="W601" s="766"/>
      <c r="X601" s="378"/>
      <c r="Y601" s="180"/>
      <c r="Z601" s="180"/>
      <c r="AA601" s="180"/>
      <c r="AB601" s="180"/>
    </row>
    <row r="602" spans="1:28" s="202" customFormat="1" x14ac:dyDescent="0.2">
      <c r="A602" s="636"/>
      <c r="B602" s="639"/>
      <c r="C602" s="466"/>
      <c r="D602" s="466"/>
      <c r="E602" s="466"/>
      <c r="F602" s="466"/>
      <c r="G602" s="466"/>
      <c r="H602" s="466"/>
      <c r="I602" s="767"/>
      <c r="J602" s="466"/>
      <c r="K602" s="466"/>
      <c r="L602" s="466"/>
      <c r="M602" s="466"/>
      <c r="N602" s="466"/>
      <c r="O602" s="767"/>
      <c r="P602" s="466"/>
      <c r="Q602" s="466"/>
      <c r="R602" s="466"/>
      <c r="S602" s="767"/>
      <c r="T602" s="466"/>
      <c r="U602" s="767"/>
      <c r="V602" s="466"/>
      <c r="W602" s="767"/>
      <c r="X602" s="378"/>
      <c r="Y602" s="180"/>
      <c r="Z602" s="180"/>
      <c r="AA602" s="180"/>
      <c r="AB602" s="180"/>
    </row>
    <row r="603" spans="1:28" x14ac:dyDescent="0.2">
      <c r="A603" s="636"/>
      <c r="B603" s="388"/>
      <c r="C603" s="391"/>
      <c r="D603" s="391"/>
      <c r="E603" s="391"/>
      <c r="F603" s="391"/>
      <c r="G603" s="391"/>
      <c r="H603" s="391"/>
      <c r="I603" s="765"/>
      <c r="J603" s="391"/>
      <c r="K603" s="391"/>
      <c r="L603" s="391"/>
      <c r="M603" s="391"/>
      <c r="N603" s="391"/>
      <c r="O603" s="765"/>
      <c r="P603" s="391"/>
      <c r="Q603" s="391"/>
      <c r="R603" s="391"/>
      <c r="S603" s="765"/>
      <c r="T603" s="391"/>
      <c r="U603" s="765"/>
      <c r="V603" s="391"/>
      <c r="W603" s="765"/>
      <c r="X603" s="378"/>
      <c r="Y603" s="180"/>
      <c r="Z603" s="180"/>
      <c r="AA603" s="180"/>
      <c r="AB603" s="180"/>
    </row>
    <row r="604" spans="1:28" s="203" customFormat="1" x14ac:dyDescent="0.2">
      <c r="A604" s="636"/>
      <c r="B604" s="389"/>
      <c r="C604" s="392"/>
      <c r="D604" s="392"/>
      <c r="E604" s="392"/>
      <c r="F604" s="392"/>
      <c r="G604" s="392"/>
      <c r="H604" s="392"/>
      <c r="I604" s="766"/>
      <c r="J604" s="392"/>
      <c r="K604" s="392"/>
      <c r="L604" s="392"/>
      <c r="M604" s="392"/>
      <c r="N604" s="392"/>
      <c r="O604" s="766"/>
      <c r="P604" s="392"/>
      <c r="Q604" s="392"/>
      <c r="R604" s="392"/>
      <c r="S604" s="766"/>
      <c r="T604" s="392"/>
      <c r="U604" s="766"/>
      <c r="V604" s="392"/>
      <c r="W604" s="766"/>
      <c r="X604" s="378"/>
      <c r="Y604" s="180"/>
      <c r="Z604" s="180"/>
      <c r="AA604" s="180"/>
      <c r="AB604" s="180"/>
    </row>
    <row r="605" spans="1:28" s="202" customFormat="1" x14ac:dyDescent="0.2">
      <c r="A605" s="636"/>
      <c r="B605" s="639"/>
      <c r="C605" s="466"/>
      <c r="D605" s="466"/>
      <c r="E605" s="466"/>
      <c r="F605" s="466"/>
      <c r="G605" s="466"/>
      <c r="H605" s="466"/>
      <c r="I605" s="767"/>
      <c r="J605" s="466"/>
      <c r="K605" s="466"/>
      <c r="L605" s="466"/>
      <c r="M605" s="466"/>
      <c r="N605" s="466"/>
      <c r="O605" s="767"/>
      <c r="P605" s="466"/>
      <c r="Q605" s="466"/>
      <c r="R605" s="466"/>
      <c r="S605" s="767"/>
      <c r="T605" s="466"/>
      <c r="U605" s="767"/>
      <c r="V605" s="466"/>
      <c r="W605" s="767"/>
      <c r="X605" s="378"/>
      <c r="Y605" s="180"/>
      <c r="Z605" s="180"/>
      <c r="AA605" s="180"/>
      <c r="AB605" s="180"/>
    </row>
    <row r="606" spans="1:28" x14ac:dyDescent="0.2">
      <c r="A606" s="636"/>
      <c r="B606" s="768"/>
      <c r="C606" s="765"/>
      <c r="D606" s="765"/>
      <c r="E606" s="765"/>
      <c r="F606" s="765"/>
      <c r="G606" s="765"/>
      <c r="H606" s="765"/>
      <c r="I606" s="765"/>
      <c r="J606" s="765"/>
      <c r="K606" s="765"/>
      <c r="L606" s="765"/>
      <c r="M606" s="765"/>
      <c r="N606" s="765"/>
      <c r="O606" s="765"/>
      <c r="P606" s="765"/>
      <c r="Q606" s="765"/>
      <c r="R606" s="765"/>
      <c r="S606" s="765"/>
      <c r="T606" s="765"/>
      <c r="U606" s="765"/>
      <c r="V606" s="765"/>
      <c r="W606" s="765"/>
      <c r="X606" s="378"/>
      <c r="Y606" s="180"/>
      <c r="Z606" s="180"/>
      <c r="AA606" s="180"/>
      <c r="AB606" s="180"/>
    </row>
    <row r="607" spans="1:28" s="203" customFormat="1" x14ac:dyDescent="0.2">
      <c r="A607" s="636"/>
      <c r="B607" s="769"/>
      <c r="C607" s="766"/>
      <c r="D607" s="766"/>
      <c r="E607" s="766"/>
      <c r="F607" s="766"/>
      <c r="G607" s="766"/>
      <c r="H607" s="766"/>
      <c r="I607" s="766"/>
      <c r="J607" s="766"/>
      <c r="K607" s="766"/>
      <c r="L607" s="766"/>
      <c r="M607" s="766"/>
      <c r="N607" s="766"/>
      <c r="O607" s="766"/>
      <c r="P607" s="766"/>
      <c r="Q607" s="766"/>
      <c r="R607" s="766"/>
      <c r="S607" s="766"/>
      <c r="T607" s="766"/>
      <c r="U607" s="766"/>
      <c r="V607" s="766"/>
      <c r="W607" s="766"/>
      <c r="X607" s="378"/>
      <c r="Y607" s="180"/>
      <c r="Z607" s="180"/>
      <c r="AA607" s="180"/>
      <c r="AB607" s="180"/>
    </row>
    <row r="608" spans="1:28" s="202" customFormat="1" x14ac:dyDescent="0.2">
      <c r="A608" s="636"/>
      <c r="B608" s="770"/>
      <c r="C608" s="767"/>
      <c r="D608" s="767"/>
      <c r="E608" s="767"/>
      <c r="F608" s="767"/>
      <c r="G608" s="767"/>
      <c r="H608" s="767"/>
      <c r="I608" s="767"/>
      <c r="J608" s="767"/>
      <c r="K608" s="767"/>
      <c r="L608" s="767"/>
      <c r="M608" s="767"/>
      <c r="N608" s="767"/>
      <c r="O608" s="767"/>
      <c r="P608" s="767"/>
      <c r="Q608" s="767"/>
      <c r="R608" s="767"/>
      <c r="S608" s="767"/>
      <c r="T608" s="767"/>
      <c r="U608" s="767"/>
      <c r="V608" s="767"/>
      <c r="W608" s="767"/>
      <c r="X608" s="378"/>
      <c r="Y608" s="180"/>
      <c r="Z608" s="180"/>
      <c r="AA608" s="180"/>
      <c r="AB608" s="180"/>
    </row>
    <row r="609" spans="1:28" x14ac:dyDescent="0.2">
      <c r="A609" s="636"/>
      <c r="B609" s="388"/>
      <c r="C609" s="391"/>
      <c r="D609" s="391"/>
      <c r="E609" s="391"/>
      <c r="F609" s="391"/>
      <c r="G609" s="391"/>
      <c r="H609" s="391"/>
      <c r="I609" s="765"/>
      <c r="J609" s="391"/>
      <c r="K609" s="391"/>
      <c r="L609" s="391"/>
      <c r="M609" s="391"/>
      <c r="N609" s="391"/>
      <c r="O609" s="765"/>
      <c r="P609" s="391"/>
      <c r="Q609" s="391"/>
      <c r="R609" s="391"/>
      <c r="S609" s="765"/>
      <c r="T609" s="391"/>
      <c r="U609" s="765"/>
      <c r="V609" s="391"/>
      <c r="W609" s="765"/>
      <c r="X609" s="378"/>
      <c r="Y609" s="180"/>
      <c r="Z609" s="180"/>
      <c r="AA609" s="180"/>
      <c r="AB609" s="180"/>
    </row>
    <row r="610" spans="1:28" s="203" customFormat="1" x14ac:dyDescent="0.2">
      <c r="A610" s="636"/>
      <c r="B610" s="389"/>
      <c r="C610" s="392"/>
      <c r="D610" s="392"/>
      <c r="E610" s="392"/>
      <c r="F610" s="392"/>
      <c r="G610" s="392"/>
      <c r="H610" s="392"/>
      <c r="I610" s="766"/>
      <c r="J610" s="392"/>
      <c r="K610" s="392"/>
      <c r="L610" s="392"/>
      <c r="M610" s="392"/>
      <c r="N610" s="392"/>
      <c r="O610" s="766"/>
      <c r="P610" s="392"/>
      <c r="Q610" s="392"/>
      <c r="R610" s="392"/>
      <c r="S610" s="766"/>
      <c r="T610" s="392"/>
      <c r="U610" s="766"/>
      <c r="V610" s="392"/>
      <c r="W610" s="766"/>
      <c r="X610" s="378"/>
      <c r="Y610" s="180"/>
      <c r="Z610" s="180"/>
      <c r="AA610" s="180"/>
      <c r="AB610" s="180"/>
    </row>
    <row r="611" spans="1:28" s="202" customFormat="1" x14ac:dyDescent="0.2">
      <c r="A611" s="636"/>
      <c r="B611" s="639"/>
      <c r="C611" s="466"/>
      <c r="D611" s="466"/>
      <c r="E611" s="466"/>
      <c r="F611" s="466"/>
      <c r="G611" s="466"/>
      <c r="H611" s="466"/>
      <c r="I611" s="767"/>
      <c r="J611" s="466"/>
      <c r="K611" s="466"/>
      <c r="L611" s="466"/>
      <c r="M611" s="466"/>
      <c r="N611" s="466"/>
      <c r="O611" s="767"/>
      <c r="P611" s="466"/>
      <c r="Q611" s="466"/>
      <c r="R611" s="466"/>
      <c r="S611" s="767"/>
      <c r="T611" s="466"/>
      <c r="U611" s="767"/>
      <c r="V611" s="466"/>
      <c r="W611" s="767"/>
      <c r="X611" s="378"/>
      <c r="Y611" s="180"/>
      <c r="Z611" s="180"/>
      <c r="AA611" s="180"/>
      <c r="AB611" s="180"/>
    </row>
    <row r="612" spans="1:28" x14ac:dyDescent="0.2">
      <c r="A612" s="636"/>
      <c r="B612" s="388"/>
      <c r="C612" s="391"/>
      <c r="D612" s="391"/>
      <c r="E612" s="391"/>
      <c r="F612" s="391"/>
      <c r="G612" s="391"/>
      <c r="H612" s="391"/>
      <c r="I612" s="765"/>
      <c r="J612" s="391"/>
      <c r="K612" s="391"/>
      <c r="L612" s="391"/>
      <c r="M612" s="391"/>
      <c r="N612" s="391"/>
      <c r="O612" s="765"/>
      <c r="P612" s="391"/>
      <c r="Q612" s="391"/>
      <c r="R612" s="391"/>
      <c r="S612" s="765"/>
      <c r="T612" s="391"/>
      <c r="U612" s="765"/>
      <c r="V612" s="391"/>
      <c r="W612" s="765"/>
      <c r="X612" s="378"/>
      <c r="Y612" s="180"/>
      <c r="Z612" s="180"/>
      <c r="AA612" s="180"/>
      <c r="AB612" s="180"/>
    </row>
    <row r="613" spans="1:28" s="203" customFormat="1" x14ac:dyDescent="0.2">
      <c r="A613" s="636"/>
      <c r="B613" s="389"/>
      <c r="C613" s="392"/>
      <c r="D613" s="392"/>
      <c r="E613" s="392"/>
      <c r="F613" s="392"/>
      <c r="G613" s="392"/>
      <c r="H613" s="392"/>
      <c r="I613" s="766"/>
      <c r="J613" s="392"/>
      <c r="K613" s="392"/>
      <c r="L613" s="392"/>
      <c r="M613" s="392"/>
      <c r="N613" s="392"/>
      <c r="O613" s="766"/>
      <c r="P613" s="392"/>
      <c r="Q613" s="392"/>
      <c r="R613" s="392"/>
      <c r="S613" s="766"/>
      <c r="T613" s="392"/>
      <c r="U613" s="766"/>
      <c r="V613" s="392"/>
      <c r="W613" s="766"/>
      <c r="X613" s="378"/>
      <c r="Y613" s="180"/>
      <c r="Z613" s="180"/>
      <c r="AA613" s="180"/>
      <c r="AB613" s="180"/>
    </row>
    <row r="614" spans="1:28" s="202" customFormat="1" x14ac:dyDescent="0.2">
      <c r="A614" s="636"/>
      <c r="B614" s="639"/>
      <c r="C614" s="466"/>
      <c r="D614" s="466"/>
      <c r="E614" s="466"/>
      <c r="F614" s="466"/>
      <c r="G614" s="466"/>
      <c r="H614" s="466"/>
      <c r="I614" s="767"/>
      <c r="J614" s="466"/>
      <c r="K614" s="466"/>
      <c r="L614" s="466"/>
      <c r="M614" s="466"/>
      <c r="N614" s="466"/>
      <c r="O614" s="767"/>
      <c r="P614" s="466"/>
      <c r="Q614" s="466"/>
      <c r="R614" s="466"/>
      <c r="S614" s="767"/>
      <c r="T614" s="466"/>
      <c r="U614" s="767"/>
      <c r="V614" s="466"/>
      <c r="W614" s="767"/>
      <c r="X614" s="378"/>
      <c r="Y614" s="180"/>
      <c r="Z614" s="180"/>
      <c r="AA614" s="180"/>
      <c r="AB614" s="180"/>
    </row>
    <row r="615" spans="1:28" x14ac:dyDescent="0.2">
      <c r="A615" s="636"/>
      <c r="B615" s="388"/>
      <c r="C615" s="391"/>
      <c r="D615" s="391"/>
      <c r="E615" s="391"/>
      <c r="F615" s="391"/>
      <c r="G615" s="391"/>
      <c r="H615" s="391"/>
      <c r="I615" s="765"/>
      <c r="J615" s="391"/>
      <c r="K615" s="391"/>
      <c r="L615" s="391"/>
      <c r="M615" s="391"/>
      <c r="N615" s="391"/>
      <c r="O615" s="765"/>
      <c r="P615" s="391"/>
      <c r="Q615" s="391"/>
      <c r="R615" s="391"/>
      <c r="S615" s="765"/>
      <c r="T615" s="391"/>
      <c r="U615" s="765"/>
      <c r="V615" s="391"/>
      <c r="W615" s="765"/>
      <c r="X615" s="378"/>
      <c r="Y615" s="180"/>
      <c r="Z615" s="180"/>
      <c r="AA615" s="180"/>
      <c r="AB615" s="180"/>
    </row>
    <row r="616" spans="1:28" s="203" customFormat="1" x14ac:dyDescent="0.2">
      <c r="A616" s="636"/>
      <c r="B616" s="389"/>
      <c r="C616" s="392"/>
      <c r="D616" s="392"/>
      <c r="E616" s="392"/>
      <c r="F616" s="392"/>
      <c r="G616" s="392"/>
      <c r="H616" s="392"/>
      <c r="I616" s="766"/>
      <c r="J616" s="392"/>
      <c r="K616" s="392"/>
      <c r="L616" s="392"/>
      <c r="M616" s="392"/>
      <c r="N616" s="392"/>
      <c r="O616" s="766"/>
      <c r="P616" s="392"/>
      <c r="Q616" s="392"/>
      <c r="R616" s="392"/>
      <c r="S616" s="766"/>
      <c r="T616" s="392"/>
      <c r="U616" s="766"/>
      <c r="V616" s="392"/>
      <c r="W616" s="766"/>
      <c r="X616" s="378"/>
      <c r="Y616" s="180"/>
      <c r="Z616" s="180"/>
      <c r="AA616" s="180"/>
      <c r="AB616" s="180"/>
    </row>
    <row r="617" spans="1:28" s="202" customFormat="1" x14ac:dyDescent="0.2">
      <c r="A617" s="636"/>
      <c r="B617" s="639"/>
      <c r="C617" s="466"/>
      <c r="D617" s="466"/>
      <c r="E617" s="466"/>
      <c r="F617" s="466"/>
      <c r="G617" s="466"/>
      <c r="H617" s="466"/>
      <c r="I617" s="767"/>
      <c r="J617" s="466"/>
      <c r="K617" s="466"/>
      <c r="L617" s="466"/>
      <c r="M617" s="466"/>
      <c r="N617" s="466"/>
      <c r="O617" s="767"/>
      <c r="P617" s="466"/>
      <c r="Q617" s="466"/>
      <c r="R617" s="466"/>
      <c r="S617" s="767"/>
      <c r="T617" s="466"/>
      <c r="U617" s="767"/>
      <c r="V617" s="466"/>
      <c r="W617" s="767"/>
      <c r="X617" s="378"/>
      <c r="Y617" s="180"/>
      <c r="Z617" s="180"/>
      <c r="AA617" s="180"/>
      <c r="AB617" s="180"/>
    </row>
    <row r="618" spans="1:28" x14ac:dyDescent="0.2">
      <c r="A618" s="636"/>
      <c r="B618" s="388"/>
      <c r="C618" s="391"/>
      <c r="D618" s="391"/>
      <c r="E618" s="391"/>
      <c r="F618" s="391"/>
      <c r="G618" s="391"/>
      <c r="H618" s="391"/>
      <c r="I618" s="765"/>
      <c r="J618" s="391"/>
      <c r="K618" s="391"/>
      <c r="L618" s="391"/>
      <c r="M618" s="391"/>
      <c r="N618" s="391"/>
      <c r="O618" s="765"/>
      <c r="P618" s="391"/>
      <c r="Q618" s="391"/>
      <c r="R618" s="391"/>
      <c r="S618" s="765"/>
      <c r="T618" s="391"/>
      <c r="U618" s="765"/>
      <c r="V618" s="391"/>
      <c r="W618" s="765"/>
      <c r="X618" s="378"/>
      <c r="Y618" s="180"/>
      <c r="Z618" s="180"/>
      <c r="AA618" s="180"/>
      <c r="AB618" s="180"/>
    </row>
    <row r="619" spans="1:28" s="203" customFormat="1" x14ac:dyDescent="0.2">
      <c r="A619" s="636"/>
      <c r="B619" s="389"/>
      <c r="C619" s="392"/>
      <c r="D619" s="392"/>
      <c r="E619" s="392"/>
      <c r="F619" s="392"/>
      <c r="G619" s="392"/>
      <c r="H619" s="392"/>
      <c r="I619" s="766"/>
      <c r="J619" s="392"/>
      <c r="K619" s="392"/>
      <c r="L619" s="392"/>
      <c r="M619" s="392"/>
      <c r="N619" s="392"/>
      <c r="O619" s="766"/>
      <c r="P619" s="392"/>
      <c r="Q619" s="392"/>
      <c r="R619" s="392"/>
      <c r="S619" s="766"/>
      <c r="T619" s="392"/>
      <c r="U619" s="766"/>
      <c r="V619" s="392"/>
      <c r="W619" s="766"/>
      <c r="X619" s="378"/>
      <c r="Y619" s="180"/>
      <c r="Z619" s="180"/>
      <c r="AA619" s="180"/>
      <c r="AB619" s="180"/>
    </row>
    <row r="620" spans="1:28" s="202" customFormat="1" x14ac:dyDescent="0.2">
      <c r="A620" s="636"/>
      <c r="B620" s="639"/>
      <c r="C620" s="466"/>
      <c r="D620" s="466"/>
      <c r="E620" s="466"/>
      <c r="F620" s="466"/>
      <c r="G620" s="466"/>
      <c r="H620" s="466"/>
      <c r="I620" s="767"/>
      <c r="J620" s="466"/>
      <c r="K620" s="466"/>
      <c r="L620" s="466"/>
      <c r="M620" s="466"/>
      <c r="N620" s="466"/>
      <c r="O620" s="767"/>
      <c r="P620" s="466"/>
      <c r="Q620" s="466"/>
      <c r="R620" s="466"/>
      <c r="S620" s="767"/>
      <c r="T620" s="466"/>
      <c r="U620" s="767"/>
      <c r="V620" s="466"/>
      <c r="W620" s="767"/>
      <c r="X620" s="378"/>
      <c r="Y620" s="180"/>
      <c r="Z620" s="180"/>
      <c r="AA620" s="180"/>
      <c r="AB620" s="180"/>
    </row>
    <row r="621" spans="1:28" x14ac:dyDescent="0.2">
      <c r="A621" s="636"/>
      <c r="B621" s="388"/>
      <c r="C621" s="391"/>
      <c r="D621" s="391"/>
      <c r="E621" s="391"/>
      <c r="F621" s="391"/>
      <c r="G621" s="391"/>
      <c r="H621" s="391"/>
      <c r="I621" s="765"/>
      <c r="J621" s="391"/>
      <c r="K621" s="391"/>
      <c r="L621" s="391"/>
      <c r="M621" s="391"/>
      <c r="N621" s="391"/>
      <c r="O621" s="765"/>
      <c r="P621" s="391"/>
      <c r="Q621" s="391"/>
      <c r="R621" s="391"/>
      <c r="S621" s="765"/>
      <c r="T621" s="391"/>
      <c r="U621" s="765"/>
      <c r="V621" s="391"/>
      <c r="W621" s="765"/>
      <c r="X621" s="378"/>
      <c r="Y621" s="180"/>
      <c r="Z621" s="180"/>
      <c r="AA621" s="180"/>
      <c r="AB621" s="180"/>
    </row>
    <row r="622" spans="1:28" s="203" customFormat="1" x14ac:dyDescent="0.2">
      <c r="A622" s="636"/>
      <c r="B622" s="389"/>
      <c r="C622" s="392"/>
      <c r="D622" s="392"/>
      <c r="E622" s="392"/>
      <c r="F622" s="392"/>
      <c r="G622" s="392"/>
      <c r="H622" s="392"/>
      <c r="I622" s="766"/>
      <c r="J622" s="392"/>
      <c r="K622" s="392"/>
      <c r="L622" s="392"/>
      <c r="M622" s="392"/>
      <c r="N622" s="392"/>
      <c r="O622" s="766"/>
      <c r="P622" s="392"/>
      <c r="Q622" s="392"/>
      <c r="R622" s="392"/>
      <c r="S622" s="766"/>
      <c r="T622" s="392"/>
      <c r="U622" s="766"/>
      <c r="V622" s="392"/>
      <c r="W622" s="766"/>
      <c r="X622" s="378"/>
      <c r="Y622" s="180"/>
      <c r="Z622" s="180"/>
      <c r="AA622" s="180"/>
      <c r="AB622" s="180"/>
    </row>
    <row r="623" spans="1:28" s="202" customFormat="1" x14ac:dyDescent="0.2">
      <c r="A623" s="636"/>
      <c r="B623" s="639"/>
      <c r="C623" s="466"/>
      <c r="D623" s="466"/>
      <c r="E623" s="466"/>
      <c r="F623" s="466"/>
      <c r="G623" s="466"/>
      <c r="H623" s="466"/>
      <c r="I623" s="767"/>
      <c r="J623" s="466"/>
      <c r="K623" s="466"/>
      <c r="L623" s="466"/>
      <c r="M623" s="466"/>
      <c r="N623" s="466"/>
      <c r="O623" s="767"/>
      <c r="P623" s="466"/>
      <c r="Q623" s="466"/>
      <c r="R623" s="466"/>
      <c r="S623" s="767"/>
      <c r="T623" s="466"/>
      <c r="U623" s="767"/>
      <c r="V623" s="466"/>
      <c r="W623" s="767"/>
      <c r="X623" s="378"/>
      <c r="Y623" s="180"/>
      <c r="Z623" s="180"/>
      <c r="AA623" s="180"/>
      <c r="AB623" s="180"/>
    </row>
    <row r="624" spans="1:28" x14ac:dyDescent="0.2">
      <c r="A624" s="636"/>
      <c r="B624" s="388"/>
      <c r="C624" s="391"/>
      <c r="D624" s="391"/>
      <c r="E624" s="391"/>
      <c r="F624" s="391"/>
      <c r="G624" s="391"/>
      <c r="H624" s="391"/>
      <c r="I624" s="765"/>
      <c r="J624" s="391"/>
      <c r="K624" s="391"/>
      <c r="L624" s="391"/>
      <c r="M624" s="391"/>
      <c r="N624" s="391"/>
      <c r="O624" s="765"/>
      <c r="P624" s="391"/>
      <c r="Q624" s="391"/>
      <c r="R624" s="391"/>
      <c r="S624" s="765"/>
      <c r="T624" s="391"/>
      <c r="U624" s="765"/>
      <c r="V624" s="391"/>
      <c r="W624" s="765"/>
      <c r="X624" s="378"/>
      <c r="Y624" s="180"/>
      <c r="Z624" s="180"/>
      <c r="AA624" s="180"/>
      <c r="AB624" s="180"/>
    </row>
    <row r="625" spans="1:28" s="203" customFormat="1" x14ac:dyDescent="0.2">
      <c r="A625" s="636"/>
      <c r="B625" s="389"/>
      <c r="C625" s="392"/>
      <c r="D625" s="392"/>
      <c r="E625" s="392"/>
      <c r="F625" s="392"/>
      <c r="G625" s="392"/>
      <c r="H625" s="392"/>
      <c r="I625" s="766"/>
      <c r="J625" s="392"/>
      <c r="K625" s="392"/>
      <c r="L625" s="392"/>
      <c r="M625" s="392"/>
      <c r="N625" s="392"/>
      <c r="O625" s="766"/>
      <c r="P625" s="392"/>
      <c r="Q625" s="392"/>
      <c r="R625" s="392"/>
      <c r="S625" s="766"/>
      <c r="T625" s="392"/>
      <c r="U625" s="766"/>
      <c r="V625" s="392"/>
      <c r="W625" s="766"/>
      <c r="X625" s="378"/>
      <c r="Y625" s="180"/>
      <c r="Z625" s="180"/>
      <c r="AA625" s="180"/>
      <c r="AB625" s="180"/>
    </row>
    <row r="626" spans="1:28" s="202" customFormat="1" x14ac:dyDescent="0.2">
      <c r="A626" s="636"/>
      <c r="B626" s="639"/>
      <c r="C626" s="466"/>
      <c r="D626" s="466"/>
      <c r="E626" s="466"/>
      <c r="F626" s="466"/>
      <c r="G626" s="466"/>
      <c r="H626" s="466"/>
      <c r="I626" s="767"/>
      <c r="J626" s="466"/>
      <c r="K626" s="466"/>
      <c r="L626" s="466"/>
      <c r="M626" s="466"/>
      <c r="N626" s="466"/>
      <c r="O626" s="767"/>
      <c r="P626" s="466"/>
      <c r="Q626" s="466"/>
      <c r="R626" s="466"/>
      <c r="S626" s="767"/>
      <c r="T626" s="466"/>
      <c r="U626" s="767"/>
      <c r="V626" s="466"/>
      <c r="W626" s="767"/>
      <c r="X626" s="378"/>
      <c r="Y626" s="180"/>
      <c r="Z626" s="180"/>
      <c r="AA626" s="180"/>
      <c r="AB626" s="180"/>
    </row>
    <row r="627" spans="1:28" x14ac:dyDescent="0.2">
      <c r="A627" s="636"/>
      <c r="B627" s="388"/>
      <c r="C627" s="391"/>
      <c r="D627" s="391"/>
      <c r="E627" s="391"/>
      <c r="F627" s="391"/>
      <c r="G627" s="391"/>
      <c r="H627" s="391"/>
      <c r="I627" s="765"/>
      <c r="J627" s="391"/>
      <c r="K627" s="391"/>
      <c r="L627" s="391"/>
      <c r="M627" s="391"/>
      <c r="N627" s="391"/>
      <c r="O627" s="765"/>
      <c r="P627" s="391"/>
      <c r="Q627" s="391"/>
      <c r="R627" s="391"/>
      <c r="S627" s="765"/>
      <c r="T627" s="391"/>
      <c r="U627" s="765"/>
      <c r="V627" s="391"/>
      <c r="W627" s="765"/>
      <c r="X627" s="378"/>
      <c r="Y627" s="180"/>
      <c r="Z627" s="180"/>
      <c r="AA627" s="180"/>
      <c r="AB627" s="180"/>
    </row>
    <row r="628" spans="1:28" s="203" customFormat="1" x14ac:dyDescent="0.2">
      <c r="A628" s="636"/>
      <c r="B628" s="389"/>
      <c r="C628" s="392"/>
      <c r="D628" s="392"/>
      <c r="E628" s="392"/>
      <c r="F628" s="392"/>
      <c r="G628" s="392"/>
      <c r="H628" s="392"/>
      <c r="I628" s="766"/>
      <c r="J628" s="392"/>
      <c r="K628" s="392"/>
      <c r="L628" s="392"/>
      <c r="M628" s="392"/>
      <c r="N628" s="392"/>
      <c r="O628" s="766"/>
      <c r="P628" s="392"/>
      <c r="Q628" s="392"/>
      <c r="R628" s="392"/>
      <c r="S628" s="766"/>
      <c r="T628" s="392"/>
      <c r="U628" s="766"/>
      <c r="V628" s="392"/>
      <c r="W628" s="766"/>
      <c r="X628" s="378"/>
      <c r="Y628" s="180"/>
      <c r="Z628" s="180"/>
      <c r="AA628" s="180"/>
      <c r="AB628" s="180"/>
    </row>
    <row r="629" spans="1:28" s="212" customFormat="1" ht="13.5" thickBot="1" x14ac:dyDescent="0.25">
      <c r="A629" s="640"/>
      <c r="B629" s="639"/>
      <c r="C629" s="778"/>
      <c r="D629" s="778"/>
      <c r="E629" s="778"/>
      <c r="F629" s="778"/>
      <c r="G629" s="778"/>
      <c r="H629" s="778"/>
      <c r="I629" s="779"/>
      <c r="J629" s="778"/>
      <c r="K629" s="778"/>
      <c r="L629" s="778"/>
      <c r="M629" s="778"/>
      <c r="N629" s="778"/>
      <c r="O629" s="779"/>
      <c r="P629" s="778"/>
      <c r="Q629" s="778"/>
      <c r="R629" s="778"/>
      <c r="S629" s="779"/>
      <c r="T629" s="778"/>
      <c r="U629" s="779"/>
      <c r="V629" s="778"/>
      <c r="W629" s="779"/>
      <c r="X629" s="378"/>
      <c r="Y629" s="180"/>
      <c r="Z629" s="180"/>
      <c r="AA629" s="180"/>
      <c r="AB629" s="180"/>
    </row>
    <row r="630" spans="1:28" ht="13.5" thickTop="1" x14ac:dyDescent="0.2">
      <c r="A630" s="230"/>
      <c r="B630" s="388"/>
      <c r="C630" s="781"/>
      <c r="D630" s="781"/>
      <c r="E630" s="781"/>
      <c r="F630" s="781"/>
      <c r="G630" s="781"/>
      <c r="H630" s="781"/>
      <c r="I630" s="782"/>
      <c r="J630" s="781"/>
      <c r="K630" s="781"/>
      <c r="L630" s="781"/>
      <c r="M630" s="781"/>
      <c r="N630" s="781"/>
      <c r="O630" s="782"/>
      <c r="P630" s="781"/>
      <c r="Q630" s="781"/>
      <c r="R630" s="781"/>
      <c r="S630" s="782"/>
      <c r="T630" s="781"/>
      <c r="U630" s="782"/>
      <c r="V630" s="781"/>
      <c r="W630" s="782"/>
      <c r="X630" s="378"/>
      <c r="Y630" s="180"/>
      <c r="Z630" s="180"/>
      <c r="AA630" s="180"/>
      <c r="AB630" s="180"/>
    </row>
    <row r="631" spans="1:28" x14ac:dyDescent="0.2">
      <c r="A631" s="636"/>
      <c r="B631" s="389"/>
      <c r="C631" s="392"/>
      <c r="D631" s="392"/>
      <c r="E631" s="392"/>
      <c r="F631" s="392"/>
      <c r="G631" s="392"/>
      <c r="H631" s="392"/>
      <c r="I631" s="766"/>
      <c r="J631" s="392"/>
      <c r="K631" s="392"/>
      <c r="L631" s="392"/>
      <c r="M631" s="392"/>
      <c r="N631" s="392"/>
      <c r="O631" s="766"/>
      <c r="P631" s="392"/>
      <c r="Q631" s="392"/>
      <c r="R631" s="392"/>
      <c r="S631" s="766"/>
      <c r="T631" s="392"/>
      <c r="U631" s="766"/>
      <c r="V631" s="392"/>
      <c r="W631" s="766"/>
      <c r="X631" s="378"/>
      <c r="Y631" s="180"/>
      <c r="Z631" s="180"/>
      <c r="AA631" s="180"/>
      <c r="AB631" s="180"/>
    </row>
    <row r="632" spans="1:28" x14ac:dyDescent="0.2">
      <c r="A632" s="637"/>
      <c r="B632" s="639"/>
      <c r="C632" s="466"/>
      <c r="D632" s="466"/>
      <c r="E632" s="466"/>
      <c r="F632" s="466"/>
      <c r="G632" s="466"/>
      <c r="H632" s="466"/>
      <c r="I632" s="767"/>
      <c r="J632" s="466"/>
      <c r="K632" s="466"/>
      <c r="L632" s="466"/>
      <c r="M632" s="466"/>
      <c r="N632" s="466"/>
      <c r="O632" s="767"/>
      <c r="P632" s="466"/>
      <c r="Q632" s="466"/>
      <c r="R632" s="466"/>
      <c r="S632" s="767"/>
      <c r="T632" s="466"/>
      <c r="U632" s="767"/>
      <c r="V632" s="466"/>
      <c r="W632" s="767"/>
      <c r="X632" s="378"/>
      <c r="Y632" s="180"/>
      <c r="Z632" s="180"/>
      <c r="AA632" s="180"/>
      <c r="AB632" s="180"/>
    </row>
    <row r="633" spans="1:28" x14ac:dyDescent="0.2">
      <c r="A633" s="636"/>
      <c r="B633" s="388"/>
      <c r="C633" s="391"/>
      <c r="D633" s="391"/>
      <c r="E633" s="391"/>
      <c r="F633" s="391"/>
      <c r="G633" s="391"/>
      <c r="H633" s="391"/>
      <c r="I633" s="765"/>
      <c r="J633" s="391"/>
      <c r="K633" s="391"/>
      <c r="L633" s="391"/>
      <c r="M633" s="391"/>
      <c r="N633" s="391"/>
      <c r="O633" s="765"/>
      <c r="P633" s="391"/>
      <c r="Q633" s="391"/>
      <c r="R633" s="391"/>
      <c r="S633" s="765"/>
      <c r="T633" s="391"/>
      <c r="U633" s="765"/>
      <c r="V633" s="391"/>
      <c r="W633" s="765"/>
      <c r="X633" s="378"/>
      <c r="Y633" s="180"/>
      <c r="Z633" s="180"/>
      <c r="AA633" s="180"/>
      <c r="AB633" s="180"/>
    </row>
    <row r="634" spans="1:28" x14ac:dyDescent="0.2">
      <c r="A634" s="636"/>
      <c r="B634" s="389"/>
      <c r="C634" s="392"/>
      <c r="D634" s="392"/>
      <c r="E634" s="392"/>
      <c r="F634" s="392"/>
      <c r="G634" s="392"/>
      <c r="H634" s="392"/>
      <c r="I634" s="766"/>
      <c r="J634" s="392"/>
      <c r="K634" s="392"/>
      <c r="L634" s="392"/>
      <c r="M634" s="392"/>
      <c r="N634" s="392"/>
      <c r="O634" s="766"/>
      <c r="P634" s="392"/>
      <c r="Q634" s="392"/>
      <c r="R634" s="392"/>
      <c r="S634" s="766"/>
      <c r="T634" s="392"/>
      <c r="U634" s="766"/>
      <c r="V634" s="392"/>
      <c r="W634" s="766"/>
      <c r="X634" s="378"/>
      <c r="Y634" s="180"/>
      <c r="Z634" s="180"/>
      <c r="AA634" s="180"/>
      <c r="AB634" s="180"/>
    </row>
    <row r="635" spans="1:28" x14ac:dyDescent="0.2">
      <c r="A635" s="636"/>
      <c r="B635" s="639"/>
      <c r="C635" s="466"/>
      <c r="D635" s="466"/>
      <c r="E635" s="466"/>
      <c r="F635" s="466"/>
      <c r="G635" s="466"/>
      <c r="H635" s="466"/>
      <c r="I635" s="767"/>
      <c r="J635" s="466"/>
      <c r="K635" s="466"/>
      <c r="L635" s="466"/>
      <c r="M635" s="466"/>
      <c r="N635" s="466"/>
      <c r="O635" s="767"/>
      <c r="P635" s="466"/>
      <c r="Q635" s="466"/>
      <c r="R635" s="466"/>
      <c r="S635" s="767"/>
      <c r="T635" s="466"/>
      <c r="U635" s="767"/>
      <c r="V635" s="466"/>
      <c r="W635" s="767"/>
      <c r="X635" s="378"/>
      <c r="Y635" s="180"/>
      <c r="Z635" s="180"/>
      <c r="AA635" s="180"/>
      <c r="AB635" s="180"/>
    </row>
    <row r="636" spans="1:28" x14ac:dyDescent="0.2">
      <c r="A636" s="636"/>
      <c r="B636" s="388"/>
      <c r="C636" s="391"/>
      <c r="D636" s="391"/>
      <c r="E636" s="391"/>
      <c r="F636" s="391"/>
      <c r="G636" s="391"/>
      <c r="H636" s="391"/>
      <c r="I636" s="765"/>
      <c r="J636" s="391"/>
      <c r="K636" s="391"/>
      <c r="L636" s="391"/>
      <c r="M636" s="391"/>
      <c r="N636" s="391"/>
      <c r="O636" s="765"/>
      <c r="P636" s="391"/>
      <c r="Q636" s="391"/>
      <c r="R636" s="391"/>
      <c r="S636" s="765"/>
      <c r="T636" s="391"/>
      <c r="U636" s="765"/>
      <c r="V636" s="391"/>
      <c r="W636" s="765"/>
      <c r="X636" s="378"/>
      <c r="Y636" s="180"/>
      <c r="Z636" s="180"/>
      <c r="AA636" s="180"/>
      <c r="AB636" s="180"/>
    </row>
    <row r="637" spans="1:28" x14ac:dyDescent="0.2">
      <c r="A637" s="636"/>
      <c r="B637" s="389"/>
      <c r="C637" s="392"/>
      <c r="D637" s="392"/>
      <c r="E637" s="392"/>
      <c r="F637" s="392"/>
      <c r="G637" s="392"/>
      <c r="H637" s="392"/>
      <c r="I637" s="766"/>
      <c r="J637" s="392"/>
      <c r="K637" s="392"/>
      <c r="L637" s="392"/>
      <c r="M637" s="392"/>
      <c r="N637" s="392"/>
      <c r="O637" s="766"/>
      <c r="P637" s="392"/>
      <c r="Q637" s="392"/>
      <c r="R637" s="392"/>
      <c r="S637" s="766"/>
      <c r="T637" s="392"/>
      <c r="U637" s="766"/>
      <c r="V637" s="392"/>
      <c r="W637" s="766"/>
      <c r="X637" s="378"/>
      <c r="Y637" s="180"/>
      <c r="Z637" s="180"/>
      <c r="AA637" s="180"/>
      <c r="AB637" s="180"/>
    </row>
    <row r="638" spans="1:28" x14ac:dyDescent="0.2">
      <c r="A638" s="636"/>
      <c r="B638" s="639"/>
      <c r="C638" s="466"/>
      <c r="D638" s="466"/>
      <c r="E638" s="466"/>
      <c r="F638" s="466"/>
      <c r="G638" s="466"/>
      <c r="H638" s="466"/>
      <c r="I638" s="767"/>
      <c r="J638" s="466"/>
      <c r="K638" s="466"/>
      <c r="L638" s="466"/>
      <c r="M638" s="466"/>
      <c r="N638" s="466"/>
      <c r="O638" s="767"/>
      <c r="P638" s="466"/>
      <c r="Q638" s="466"/>
      <c r="R638" s="466"/>
      <c r="S638" s="767"/>
      <c r="T638" s="466"/>
      <c r="U638" s="767"/>
      <c r="V638" s="466"/>
      <c r="W638" s="767"/>
      <c r="X638" s="378"/>
      <c r="Y638" s="180"/>
      <c r="Z638" s="180"/>
      <c r="AA638" s="180"/>
      <c r="AB638" s="180"/>
    </row>
    <row r="639" spans="1:28" x14ac:dyDescent="0.2">
      <c r="A639" s="636"/>
      <c r="B639" s="388"/>
      <c r="C639" s="391"/>
      <c r="D639" s="391"/>
      <c r="E639" s="391"/>
      <c r="F639" s="391"/>
      <c r="G639" s="391"/>
      <c r="H639" s="391"/>
      <c r="I639" s="765"/>
      <c r="J639" s="391"/>
      <c r="K639" s="391"/>
      <c r="L639" s="391"/>
      <c r="M639" s="391"/>
      <c r="N639" s="391"/>
      <c r="O639" s="765"/>
      <c r="P639" s="391"/>
      <c r="Q639" s="391"/>
      <c r="R639" s="391"/>
      <c r="S639" s="765"/>
      <c r="T639" s="391"/>
      <c r="U639" s="765"/>
      <c r="V639" s="391"/>
      <c r="W639" s="765"/>
      <c r="X639" s="378"/>
      <c r="Y639" s="180"/>
      <c r="Z639" s="180"/>
      <c r="AA639" s="180"/>
      <c r="AB639" s="180"/>
    </row>
    <row r="640" spans="1:28" x14ac:dyDescent="0.2">
      <c r="A640" s="636"/>
      <c r="B640" s="389"/>
      <c r="C640" s="392"/>
      <c r="D640" s="392"/>
      <c r="E640" s="392"/>
      <c r="F640" s="392"/>
      <c r="G640" s="392"/>
      <c r="H640" s="392"/>
      <c r="I640" s="766"/>
      <c r="J640" s="392"/>
      <c r="K640" s="392"/>
      <c r="L640" s="392"/>
      <c r="M640" s="392"/>
      <c r="N640" s="392"/>
      <c r="O640" s="766"/>
      <c r="P640" s="392"/>
      <c r="Q640" s="392"/>
      <c r="R640" s="392"/>
      <c r="S640" s="766"/>
      <c r="T640" s="392"/>
      <c r="U640" s="766"/>
      <c r="V640" s="392"/>
      <c r="W640" s="766"/>
      <c r="X640" s="378"/>
      <c r="Y640" s="180"/>
      <c r="Z640" s="180"/>
      <c r="AA640" s="180"/>
      <c r="AB640" s="180"/>
    </row>
    <row r="641" spans="1:28" x14ac:dyDescent="0.2">
      <c r="A641" s="636"/>
      <c r="B641" s="639"/>
      <c r="C641" s="466"/>
      <c r="D641" s="466"/>
      <c r="E641" s="466"/>
      <c r="F641" s="466"/>
      <c r="G641" s="466"/>
      <c r="H641" s="466"/>
      <c r="I641" s="767"/>
      <c r="J641" s="466"/>
      <c r="K641" s="466"/>
      <c r="L641" s="466"/>
      <c r="M641" s="466"/>
      <c r="N641" s="466"/>
      <c r="O641" s="767"/>
      <c r="P641" s="466"/>
      <c r="Q641" s="466"/>
      <c r="R641" s="466"/>
      <c r="S641" s="767"/>
      <c r="T641" s="466"/>
      <c r="U641" s="767"/>
      <c r="V641" s="466"/>
      <c r="W641" s="767"/>
      <c r="X641" s="378"/>
      <c r="Y641" s="180"/>
      <c r="Z641" s="180"/>
      <c r="AA641" s="180"/>
      <c r="AB641" s="180"/>
    </row>
    <row r="642" spans="1:28" x14ac:dyDescent="0.2">
      <c r="A642" s="636"/>
      <c r="B642" s="388"/>
      <c r="C642" s="391"/>
      <c r="D642" s="391"/>
      <c r="E642" s="391"/>
      <c r="F642" s="391"/>
      <c r="G642" s="391"/>
      <c r="H642" s="391"/>
      <c r="I642" s="765"/>
      <c r="J642" s="391"/>
      <c r="K642" s="391"/>
      <c r="L642" s="391"/>
      <c r="M642" s="391"/>
      <c r="N642" s="391"/>
      <c r="O642" s="765"/>
      <c r="P642" s="391"/>
      <c r="Q642" s="391"/>
      <c r="R642" s="391"/>
      <c r="S642" s="765"/>
      <c r="T642" s="391"/>
      <c r="U642" s="765"/>
      <c r="V642" s="391"/>
      <c r="W642" s="765"/>
      <c r="X642" s="378"/>
      <c r="Y642" s="180"/>
      <c r="Z642" s="180"/>
      <c r="AA642" s="180"/>
      <c r="AB642" s="180"/>
    </row>
    <row r="643" spans="1:28" x14ac:dyDescent="0.2">
      <c r="A643" s="636"/>
      <c r="B643" s="389"/>
      <c r="C643" s="392"/>
      <c r="D643" s="392"/>
      <c r="E643" s="392"/>
      <c r="F643" s="392"/>
      <c r="G643" s="392"/>
      <c r="H643" s="392"/>
      <c r="I643" s="766"/>
      <c r="J643" s="392"/>
      <c r="K643" s="392"/>
      <c r="L643" s="392"/>
      <c r="M643" s="392"/>
      <c r="N643" s="392"/>
      <c r="O643" s="766"/>
      <c r="P643" s="392"/>
      <c r="Q643" s="392"/>
      <c r="R643" s="392"/>
      <c r="S643" s="766"/>
      <c r="T643" s="392"/>
      <c r="U643" s="766"/>
      <c r="V643" s="392"/>
      <c r="W643" s="766"/>
      <c r="X643" s="378"/>
      <c r="Y643" s="180"/>
      <c r="Z643" s="180"/>
      <c r="AA643" s="180"/>
      <c r="AB643" s="180"/>
    </row>
    <row r="644" spans="1:28" x14ac:dyDescent="0.2">
      <c r="A644" s="636"/>
      <c r="B644" s="639"/>
      <c r="C644" s="466"/>
      <c r="D644" s="466"/>
      <c r="E644" s="466"/>
      <c r="F644" s="466"/>
      <c r="G644" s="466"/>
      <c r="H644" s="466"/>
      <c r="I644" s="767"/>
      <c r="J644" s="466"/>
      <c r="K644" s="466"/>
      <c r="L644" s="466"/>
      <c r="M644" s="466"/>
      <c r="N644" s="466"/>
      <c r="O644" s="767"/>
      <c r="P644" s="466"/>
      <c r="Q644" s="466"/>
      <c r="R644" s="466"/>
      <c r="S644" s="767"/>
      <c r="T644" s="466"/>
      <c r="U644" s="767"/>
      <c r="V644" s="466"/>
      <c r="W644" s="767"/>
      <c r="X644" s="378"/>
      <c r="Y644" s="180"/>
      <c r="Z644" s="180"/>
      <c r="AA644" s="180"/>
      <c r="AB644" s="180"/>
    </row>
    <row r="645" spans="1:28" x14ac:dyDescent="0.2">
      <c r="A645" s="636"/>
      <c r="B645" s="388"/>
      <c r="C645" s="765"/>
      <c r="D645" s="765"/>
      <c r="E645" s="765"/>
      <c r="F645" s="765"/>
      <c r="G645" s="765"/>
      <c r="H645" s="765"/>
      <c r="I645" s="765"/>
      <c r="J645" s="765"/>
      <c r="K645" s="765"/>
      <c r="L645" s="765"/>
      <c r="M645" s="765"/>
      <c r="N645" s="765"/>
      <c r="O645" s="765"/>
      <c r="P645" s="765"/>
      <c r="Q645" s="765"/>
      <c r="R645" s="765"/>
      <c r="S645" s="765"/>
      <c r="T645" s="765"/>
      <c r="U645" s="765"/>
      <c r="V645" s="765"/>
      <c r="W645" s="765"/>
      <c r="X645" s="378"/>
      <c r="Y645" s="180"/>
      <c r="Z645" s="180"/>
      <c r="AA645" s="180"/>
      <c r="AB645" s="180"/>
    </row>
    <row r="646" spans="1:28" x14ac:dyDescent="0.2">
      <c r="A646" s="636"/>
      <c r="B646" s="389"/>
      <c r="C646" s="766"/>
      <c r="D646" s="766"/>
      <c r="E646" s="766"/>
      <c r="F646" s="766"/>
      <c r="G646" s="766"/>
      <c r="H646" s="766"/>
      <c r="I646" s="766"/>
      <c r="J646" s="766"/>
      <c r="K646" s="766"/>
      <c r="L646" s="766"/>
      <c r="M646" s="766"/>
      <c r="N646" s="766"/>
      <c r="O646" s="766"/>
      <c r="P646" s="766"/>
      <c r="Q646" s="766"/>
      <c r="R646" s="766"/>
      <c r="S646" s="766"/>
      <c r="T646" s="766"/>
      <c r="U646" s="766"/>
      <c r="V646" s="766"/>
      <c r="W646" s="766"/>
      <c r="X646" s="378"/>
      <c r="Y646" s="180"/>
      <c r="Z646" s="180"/>
      <c r="AA646" s="180"/>
      <c r="AB646" s="180"/>
    </row>
    <row r="647" spans="1:28" x14ac:dyDescent="0.2">
      <c r="A647" s="636"/>
      <c r="B647" s="639"/>
      <c r="C647" s="767"/>
      <c r="D647" s="767"/>
      <c r="E647" s="767"/>
      <c r="F647" s="767"/>
      <c r="G647" s="767"/>
      <c r="H647" s="767"/>
      <c r="I647" s="767"/>
      <c r="J647" s="767"/>
      <c r="K647" s="767"/>
      <c r="L647" s="767"/>
      <c r="M647" s="767"/>
      <c r="N647" s="767"/>
      <c r="O647" s="767"/>
      <c r="P647" s="767"/>
      <c r="Q647" s="767"/>
      <c r="R647" s="767"/>
      <c r="S647" s="767"/>
      <c r="T647" s="767"/>
      <c r="U647" s="767"/>
      <c r="V647" s="767"/>
      <c r="W647" s="767"/>
      <c r="X647" s="378"/>
      <c r="Y647" s="180"/>
      <c r="Z647" s="180"/>
      <c r="AA647" s="180"/>
      <c r="AB647" s="180"/>
    </row>
    <row r="648" spans="1:28" x14ac:dyDescent="0.2">
      <c r="A648" s="636"/>
      <c r="B648" s="388"/>
      <c r="C648" s="391"/>
      <c r="D648" s="391"/>
      <c r="E648" s="391"/>
      <c r="F648" s="391"/>
      <c r="G648" s="391"/>
      <c r="H648" s="391"/>
      <c r="I648" s="765"/>
      <c r="J648" s="391"/>
      <c r="K648" s="391"/>
      <c r="L648" s="391"/>
      <c r="M648" s="391"/>
      <c r="N648" s="391"/>
      <c r="O648" s="765"/>
      <c r="P648" s="391"/>
      <c r="Q648" s="391"/>
      <c r="R648" s="391"/>
      <c r="S648" s="765"/>
      <c r="T648" s="391"/>
      <c r="U648" s="765"/>
      <c r="V648" s="391"/>
      <c r="W648" s="765"/>
      <c r="X648" s="378"/>
      <c r="Y648" s="180"/>
      <c r="Z648" s="180"/>
      <c r="AA648" s="180"/>
      <c r="AB648" s="180"/>
    </row>
    <row r="649" spans="1:28" x14ac:dyDescent="0.2">
      <c r="A649" s="636"/>
      <c r="B649" s="389"/>
      <c r="C649" s="392"/>
      <c r="D649" s="392"/>
      <c r="E649" s="392"/>
      <c r="F649" s="392"/>
      <c r="G649" s="392"/>
      <c r="H649" s="392"/>
      <c r="I649" s="766"/>
      <c r="J649" s="392"/>
      <c r="K649" s="392"/>
      <c r="L649" s="392"/>
      <c r="M649" s="392"/>
      <c r="N649" s="392"/>
      <c r="O649" s="766"/>
      <c r="P649" s="392"/>
      <c r="Q649" s="392"/>
      <c r="R649" s="392"/>
      <c r="S649" s="766"/>
      <c r="T649" s="392"/>
      <c r="U649" s="766"/>
      <c r="V649" s="392"/>
      <c r="W649" s="766"/>
      <c r="X649" s="378"/>
      <c r="Y649" s="180"/>
      <c r="Z649" s="180"/>
      <c r="AA649" s="180"/>
      <c r="AB649" s="180"/>
    </row>
    <row r="650" spans="1:28" x14ac:dyDescent="0.2">
      <c r="A650" s="636"/>
      <c r="B650" s="639"/>
      <c r="C650" s="466"/>
      <c r="D650" s="466"/>
      <c r="E650" s="466"/>
      <c r="F650" s="466"/>
      <c r="G650" s="466"/>
      <c r="H650" s="466"/>
      <c r="I650" s="767"/>
      <c r="J650" s="466"/>
      <c r="K650" s="466"/>
      <c r="L650" s="466"/>
      <c r="M650" s="466"/>
      <c r="N650" s="466"/>
      <c r="O650" s="767"/>
      <c r="P650" s="466"/>
      <c r="Q650" s="466"/>
      <c r="R650" s="466"/>
      <c r="S650" s="767"/>
      <c r="T650" s="466"/>
      <c r="U650" s="767"/>
      <c r="V650" s="466"/>
      <c r="W650" s="767"/>
      <c r="X650" s="378"/>
      <c r="Y650" s="180"/>
      <c r="Z650" s="180"/>
      <c r="AA650" s="180"/>
      <c r="AB650" s="180"/>
    </row>
    <row r="651" spans="1:28" x14ac:dyDescent="0.2">
      <c r="A651" s="636"/>
      <c r="B651" s="388"/>
      <c r="C651" s="391"/>
      <c r="D651" s="391"/>
      <c r="E651" s="391"/>
      <c r="F651" s="391"/>
      <c r="G651" s="391"/>
      <c r="H651" s="391"/>
      <c r="I651" s="765"/>
      <c r="J651" s="391"/>
      <c r="K651" s="391"/>
      <c r="L651" s="391"/>
      <c r="M651" s="391"/>
      <c r="N651" s="391"/>
      <c r="O651" s="765"/>
      <c r="P651" s="391"/>
      <c r="Q651" s="391"/>
      <c r="R651" s="391"/>
      <c r="S651" s="765"/>
      <c r="T651" s="391"/>
      <c r="U651" s="765"/>
      <c r="V651" s="391"/>
      <c r="W651" s="765"/>
      <c r="X651" s="378"/>
      <c r="Y651" s="180"/>
      <c r="Z651" s="180"/>
      <c r="AA651" s="180"/>
      <c r="AB651" s="180"/>
    </row>
    <row r="652" spans="1:28" x14ac:dyDescent="0.2">
      <c r="A652" s="636"/>
      <c r="B652" s="389"/>
      <c r="C652" s="392"/>
      <c r="D652" s="392"/>
      <c r="E652" s="392"/>
      <c r="F652" s="392"/>
      <c r="G652" s="392"/>
      <c r="H652" s="392"/>
      <c r="I652" s="766"/>
      <c r="J652" s="392"/>
      <c r="K652" s="392"/>
      <c r="L652" s="392"/>
      <c r="M652" s="392"/>
      <c r="N652" s="392"/>
      <c r="O652" s="766"/>
      <c r="P652" s="392"/>
      <c r="Q652" s="392"/>
      <c r="R652" s="392"/>
      <c r="S652" s="766"/>
      <c r="T652" s="392"/>
      <c r="U652" s="766"/>
      <c r="V652" s="392"/>
      <c r="W652" s="766"/>
      <c r="X652" s="378"/>
      <c r="Y652" s="180"/>
      <c r="Z652" s="180"/>
      <c r="AA652" s="180"/>
      <c r="AB652" s="180"/>
    </row>
    <row r="653" spans="1:28" x14ac:dyDescent="0.2">
      <c r="A653" s="636"/>
      <c r="B653" s="639"/>
      <c r="C653" s="466"/>
      <c r="D653" s="466"/>
      <c r="E653" s="466"/>
      <c r="F653" s="466"/>
      <c r="G653" s="466"/>
      <c r="H653" s="466"/>
      <c r="I653" s="767"/>
      <c r="J653" s="466"/>
      <c r="K653" s="466"/>
      <c r="L653" s="466"/>
      <c r="M653" s="466"/>
      <c r="N653" s="466"/>
      <c r="O653" s="767"/>
      <c r="P653" s="466"/>
      <c r="Q653" s="466"/>
      <c r="R653" s="466"/>
      <c r="S653" s="767"/>
      <c r="T653" s="466"/>
      <c r="U653" s="767"/>
      <c r="V653" s="466"/>
      <c r="W653" s="767"/>
      <c r="X653" s="378"/>
      <c r="Y653" s="180"/>
      <c r="Z653" s="180"/>
      <c r="AA653" s="180"/>
      <c r="AB653" s="180"/>
    </row>
    <row r="654" spans="1:28" x14ac:dyDescent="0.2">
      <c r="A654" s="636"/>
      <c r="B654" s="388"/>
      <c r="C654" s="391"/>
      <c r="D654" s="391"/>
      <c r="E654" s="391"/>
      <c r="F654" s="391"/>
      <c r="G654" s="391"/>
      <c r="H654" s="391"/>
      <c r="I654" s="765"/>
      <c r="J654" s="391"/>
      <c r="K654" s="391"/>
      <c r="L654" s="391"/>
      <c r="M654" s="391"/>
      <c r="N654" s="391"/>
      <c r="O654" s="765"/>
      <c r="P654" s="391"/>
      <c r="Q654" s="391"/>
      <c r="R654" s="391"/>
      <c r="S654" s="765"/>
      <c r="T654" s="391"/>
      <c r="U654" s="765"/>
      <c r="V654" s="391"/>
      <c r="W654" s="765"/>
      <c r="X654" s="378"/>
      <c r="Y654" s="180"/>
      <c r="Z654" s="180"/>
      <c r="AA654" s="180"/>
      <c r="AB654" s="180"/>
    </row>
    <row r="655" spans="1:28" x14ac:dyDescent="0.2">
      <c r="A655" s="636"/>
      <c r="B655" s="389"/>
      <c r="C655" s="392"/>
      <c r="D655" s="392"/>
      <c r="E655" s="392"/>
      <c r="F655" s="392"/>
      <c r="G655" s="392"/>
      <c r="H655" s="392"/>
      <c r="I655" s="766"/>
      <c r="J655" s="392"/>
      <c r="K655" s="392"/>
      <c r="L655" s="392"/>
      <c r="M655" s="392"/>
      <c r="N655" s="392"/>
      <c r="O655" s="766"/>
      <c r="P655" s="392"/>
      <c r="Q655" s="392"/>
      <c r="R655" s="392"/>
      <c r="S655" s="766"/>
      <c r="T655" s="392"/>
      <c r="U655" s="766"/>
      <c r="V655" s="392"/>
      <c r="W655" s="766"/>
      <c r="X655" s="378"/>
      <c r="Y655" s="180"/>
      <c r="Z655" s="180"/>
      <c r="AA655" s="180"/>
      <c r="AB655" s="180"/>
    </row>
    <row r="656" spans="1:28" x14ac:dyDescent="0.2">
      <c r="A656" s="636"/>
      <c r="B656" s="639"/>
      <c r="C656" s="466"/>
      <c r="D656" s="466"/>
      <c r="E656" s="466"/>
      <c r="F656" s="466"/>
      <c r="G656" s="466"/>
      <c r="H656" s="466"/>
      <c r="I656" s="767"/>
      <c r="J656" s="466"/>
      <c r="K656" s="466"/>
      <c r="L656" s="466"/>
      <c r="M656" s="466"/>
      <c r="N656" s="466"/>
      <c r="O656" s="767"/>
      <c r="P656" s="466"/>
      <c r="Q656" s="466"/>
      <c r="R656" s="466"/>
      <c r="S656" s="767"/>
      <c r="T656" s="466"/>
      <c r="U656" s="767"/>
      <c r="V656" s="466"/>
      <c r="W656" s="767"/>
      <c r="X656" s="378"/>
      <c r="Y656" s="180"/>
      <c r="Z656" s="180"/>
      <c r="AA656" s="180"/>
      <c r="AB656" s="180"/>
    </row>
    <row r="657" spans="1:28" x14ac:dyDescent="0.2">
      <c r="A657" s="636"/>
      <c r="B657" s="388"/>
      <c r="C657" s="391"/>
      <c r="D657" s="391"/>
      <c r="E657" s="391"/>
      <c r="F657" s="391"/>
      <c r="G657" s="391"/>
      <c r="H657" s="391"/>
      <c r="I657" s="765"/>
      <c r="J657" s="391"/>
      <c r="K657" s="391"/>
      <c r="L657" s="391"/>
      <c r="M657" s="391"/>
      <c r="N657" s="391"/>
      <c r="O657" s="765"/>
      <c r="P657" s="391"/>
      <c r="Q657" s="391"/>
      <c r="R657" s="391"/>
      <c r="S657" s="765"/>
      <c r="T657" s="391"/>
      <c r="U657" s="765"/>
      <c r="V657" s="391"/>
      <c r="W657" s="765"/>
      <c r="X657" s="378"/>
      <c r="Y657" s="180"/>
      <c r="Z657" s="180"/>
      <c r="AA657" s="180"/>
      <c r="AB657" s="180"/>
    </row>
    <row r="658" spans="1:28" x14ac:dyDescent="0.2">
      <c r="A658" s="636"/>
      <c r="B658" s="389"/>
      <c r="C658" s="392"/>
      <c r="D658" s="392"/>
      <c r="E658" s="392"/>
      <c r="F658" s="392"/>
      <c r="G658" s="392"/>
      <c r="H658" s="392"/>
      <c r="I658" s="766"/>
      <c r="J658" s="392"/>
      <c r="K658" s="392"/>
      <c r="L658" s="392"/>
      <c r="M658" s="392"/>
      <c r="N658" s="392"/>
      <c r="O658" s="766"/>
      <c r="P658" s="392"/>
      <c r="Q658" s="392"/>
      <c r="R658" s="392"/>
      <c r="S658" s="766"/>
      <c r="T658" s="392"/>
      <c r="U658" s="766"/>
      <c r="V658" s="392"/>
      <c r="W658" s="766"/>
      <c r="X658" s="378"/>
      <c r="Y658" s="180"/>
      <c r="Z658" s="180"/>
      <c r="AA658" s="180"/>
      <c r="AB658" s="180"/>
    </row>
    <row r="659" spans="1:28" x14ac:dyDescent="0.2">
      <c r="A659" s="636"/>
      <c r="B659" s="639"/>
      <c r="C659" s="466"/>
      <c r="D659" s="466"/>
      <c r="E659" s="466"/>
      <c r="F659" s="466"/>
      <c r="G659" s="466"/>
      <c r="H659" s="466"/>
      <c r="I659" s="767"/>
      <c r="J659" s="466"/>
      <c r="K659" s="466"/>
      <c r="L659" s="466"/>
      <c r="M659" s="466"/>
      <c r="N659" s="466"/>
      <c r="O659" s="767"/>
      <c r="P659" s="466"/>
      <c r="Q659" s="466"/>
      <c r="R659" s="466"/>
      <c r="S659" s="767"/>
      <c r="T659" s="466"/>
      <c r="U659" s="767"/>
      <c r="V659" s="466"/>
      <c r="W659" s="767"/>
      <c r="X659" s="378"/>
      <c r="Y659" s="180"/>
      <c r="Z659" s="180"/>
      <c r="AA659" s="180"/>
      <c r="AB659" s="180"/>
    </row>
    <row r="660" spans="1:28" x14ac:dyDescent="0.2">
      <c r="A660" s="636"/>
      <c r="B660" s="388"/>
      <c r="C660" s="391"/>
      <c r="D660" s="391"/>
      <c r="E660" s="391"/>
      <c r="F660" s="391"/>
      <c r="G660" s="391"/>
      <c r="H660" s="391"/>
      <c r="I660" s="765"/>
      <c r="J660" s="391"/>
      <c r="K660" s="391"/>
      <c r="L660" s="391"/>
      <c r="M660" s="391"/>
      <c r="N660" s="391"/>
      <c r="O660" s="765"/>
      <c r="P660" s="391"/>
      <c r="Q660" s="391"/>
      <c r="R660" s="391"/>
      <c r="S660" s="765"/>
      <c r="T660" s="391"/>
      <c r="U660" s="765"/>
      <c r="V660" s="391"/>
      <c r="W660" s="765"/>
      <c r="X660" s="378"/>
      <c r="Y660" s="180"/>
      <c r="Z660" s="180"/>
      <c r="AA660" s="180"/>
      <c r="AB660" s="180"/>
    </row>
    <row r="661" spans="1:28" x14ac:dyDescent="0.2">
      <c r="A661" s="636"/>
      <c r="B661" s="389"/>
      <c r="C661" s="392"/>
      <c r="D661" s="392"/>
      <c r="E661" s="392"/>
      <c r="F661" s="392"/>
      <c r="G661" s="392"/>
      <c r="H661" s="392"/>
      <c r="I661" s="766"/>
      <c r="J661" s="392"/>
      <c r="K661" s="392"/>
      <c r="L661" s="392"/>
      <c r="M661" s="392"/>
      <c r="N661" s="392"/>
      <c r="O661" s="766"/>
      <c r="P661" s="392"/>
      <c r="Q661" s="392"/>
      <c r="R661" s="392"/>
      <c r="S661" s="766"/>
      <c r="T661" s="392"/>
      <c r="U661" s="766"/>
      <c r="V661" s="392"/>
      <c r="W661" s="766"/>
      <c r="X661" s="378"/>
      <c r="Y661" s="180"/>
      <c r="Z661" s="180"/>
      <c r="AA661" s="180"/>
      <c r="AB661" s="180"/>
    </row>
    <row r="662" spans="1:28" x14ac:dyDescent="0.2">
      <c r="A662" s="636"/>
      <c r="B662" s="639"/>
      <c r="C662" s="466"/>
      <c r="D662" s="466"/>
      <c r="E662" s="466"/>
      <c r="F662" s="466"/>
      <c r="G662" s="466"/>
      <c r="H662" s="466"/>
      <c r="I662" s="767"/>
      <c r="J662" s="466"/>
      <c r="K662" s="466"/>
      <c r="L662" s="466"/>
      <c r="M662" s="466"/>
      <c r="N662" s="466"/>
      <c r="O662" s="767"/>
      <c r="P662" s="466"/>
      <c r="Q662" s="466"/>
      <c r="R662" s="466"/>
      <c r="S662" s="767"/>
      <c r="T662" s="466"/>
      <c r="U662" s="767"/>
      <c r="V662" s="466"/>
      <c r="W662" s="767"/>
      <c r="X662" s="378"/>
      <c r="Y662" s="180"/>
      <c r="Z662" s="180"/>
      <c r="AA662" s="180"/>
      <c r="AB662" s="180"/>
    </row>
    <row r="663" spans="1:28" x14ac:dyDescent="0.2">
      <c r="A663" s="636"/>
      <c r="B663" s="388"/>
      <c r="C663" s="391"/>
      <c r="D663" s="391"/>
      <c r="E663" s="391"/>
      <c r="F663" s="391"/>
      <c r="G663" s="391"/>
      <c r="H663" s="391"/>
      <c r="I663" s="765"/>
      <c r="J663" s="391"/>
      <c r="K663" s="391"/>
      <c r="L663" s="391"/>
      <c r="M663" s="391"/>
      <c r="N663" s="391"/>
      <c r="O663" s="765"/>
      <c r="P663" s="391"/>
      <c r="Q663" s="391"/>
      <c r="R663" s="391"/>
      <c r="S663" s="765"/>
      <c r="T663" s="391"/>
      <c r="U663" s="765"/>
      <c r="V663" s="391"/>
      <c r="W663" s="765"/>
      <c r="X663" s="378"/>
      <c r="Y663" s="180"/>
      <c r="Z663" s="180"/>
      <c r="AA663" s="180"/>
      <c r="AB663" s="180"/>
    </row>
    <row r="664" spans="1:28" x14ac:dyDescent="0.2">
      <c r="A664" s="636"/>
      <c r="B664" s="389"/>
      <c r="C664" s="392"/>
      <c r="D664" s="392"/>
      <c r="E664" s="392"/>
      <c r="F664" s="392"/>
      <c r="G664" s="392"/>
      <c r="H664" s="392"/>
      <c r="I664" s="766"/>
      <c r="J664" s="392"/>
      <c r="K664" s="392"/>
      <c r="L664" s="392"/>
      <c r="M664" s="392"/>
      <c r="N664" s="392"/>
      <c r="O664" s="766"/>
      <c r="P664" s="392"/>
      <c r="Q664" s="392"/>
      <c r="R664" s="392"/>
      <c r="S664" s="766"/>
      <c r="T664" s="392"/>
      <c r="U664" s="766"/>
      <c r="V664" s="392"/>
      <c r="W664" s="766"/>
      <c r="X664" s="378"/>
      <c r="Y664" s="180"/>
      <c r="Z664" s="180"/>
      <c r="AA664" s="180"/>
      <c r="AB664" s="180"/>
    </row>
    <row r="665" spans="1:28" x14ac:dyDescent="0.2">
      <c r="A665" s="636"/>
      <c r="B665" s="639"/>
      <c r="C665" s="466"/>
      <c r="D665" s="466"/>
      <c r="E665" s="466"/>
      <c r="F665" s="466"/>
      <c r="G665" s="466"/>
      <c r="H665" s="466"/>
      <c r="I665" s="767"/>
      <c r="J665" s="466"/>
      <c r="K665" s="466"/>
      <c r="L665" s="466"/>
      <c r="M665" s="466"/>
      <c r="N665" s="466"/>
      <c r="O665" s="767"/>
      <c r="P665" s="466"/>
      <c r="Q665" s="466"/>
      <c r="R665" s="466"/>
      <c r="S665" s="767"/>
      <c r="T665" s="466"/>
      <c r="U665" s="767"/>
      <c r="V665" s="466"/>
      <c r="W665" s="767"/>
      <c r="X665" s="378"/>
      <c r="Y665" s="180"/>
      <c r="Z665" s="180"/>
      <c r="AA665" s="180"/>
      <c r="AB665" s="180"/>
    </row>
    <row r="666" spans="1:28" x14ac:dyDescent="0.2">
      <c r="A666" s="636"/>
      <c r="B666" s="388"/>
      <c r="C666" s="391"/>
      <c r="D666" s="391"/>
      <c r="E666" s="391"/>
      <c r="F666" s="391"/>
      <c r="G666" s="391"/>
      <c r="H666" s="391"/>
      <c r="I666" s="765"/>
      <c r="J666" s="391"/>
      <c r="K666" s="391"/>
      <c r="L666" s="391"/>
      <c r="M666" s="391"/>
      <c r="N666" s="391"/>
      <c r="O666" s="765"/>
      <c r="P666" s="391"/>
      <c r="Q666" s="391"/>
      <c r="R666" s="391"/>
      <c r="S666" s="765"/>
      <c r="T666" s="391"/>
      <c r="U666" s="765"/>
      <c r="V666" s="391"/>
      <c r="W666" s="765"/>
      <c r="X666" s="378"/>
      <c r="Y666" s="180"/>
      <c r="Z666" s="180"/>
      <c r="AA666" s="180"/>
      <c r="AB666" s="180"/>
    </row>
    <row r="667" spans="1:28" x14ac:dyDescent="0.2">
      <c r="A667" s="636"/>
      <c r="B667" s="389"/>
      <c r="C667" s="392"/>
      <c r="D667" s="392"/>
      <c r="E667" s="392"/>
      <c r="F667" s="392"/>
      <c r="G667" s="392"/>
      <c r="H667" s="392"/>
      <c r="I667" s="766"/>
      <c r="J667" s="392"/>
      <c r="K667" s="392"/>
      <c r="L667" s="392"/>
      <c r="M667" s="392"/>
      <c r="N667" s="392"/>
      <c r="O667" s="766"/>
      <c r="P667" s="392"/>
      <c r="Q667" s="392"/>
      <c r="R667" s="392"/>
      <c r="S667" s="766"/>
      <c r="T667" s="392"/>
      <c r="U667" s="766"/>
      <c r="V667" s="392"/>
      <c r="W667" s="766"/>
      <c r="X667" s="378"/>
      <c r="Y667" s="180"/>
      <c r="Z667" s="180"/>
      <c r="AA667" s="180"/>
      <c r="AB667" s="180"/>
    </row>
    <row r="668" spans="1:28" x14ac:dyDescent="0.2">
      <c r="A668" s="640"/>
      <c r="B668" s="639"/>
      <c r="C668" s="466"/>
      <c r="D668" s="466"/>
      <c r="E668" s="466"/>
      <c r="F668" s="466"/>
      <c r="G668" s="466"/>
      <c r="H668" s="466"/>
      <c r="I668" s="767"/>
      <c r="J668" s="466"/>
      <c r="K668" s="466"/>
      <c r="L668" s="466"/>
      <c r="M668" s="466"/>
      <c r="N668" s="466"/>
      <c r="O668" s="767"/>
      <c r="P668" s="466"/>
      <c r="Q668" s="466"/>
      <c r="R668" s="466"/>
      <c r="S668" s="767"/>
      <c r="T668" s="466"/>
      <c r="U668" s="767"/>
      <c r="V668" s="466"/>
      <c r="W668" s="767"/>
      <c r="X668" s="378"/>
      <c r="Y668" s="180"/>
      <c r="Z668" s="180"/>
      <c r="AA668" s="180"/>
      <c r="AB668" s="180"/>
    </row>
    <row r="669" spans="1:28" x14ac:dyDescent="0.2">
      <c r="A669" s="385"/>
      <c r="B669" s="385"/>
      <c r="C669" s="385"/>
      <c r="D669" s="385"/>
      <c r="E669" s="385"/>
      <c r="F669" s="385"/>
      <c r="G669" s="385"/>
      <c r="H669" s="385"/>
      <c r="I669" s="385"/>
      <c r="J669" s="385"/>
      <c r="K669" s="385"/>
      <c r="L669" s="385"/>
      <c r="M669" s="385"/>
      <c r="N669" s="385"/>
      <c r="O669" s="385"/>
      <c r="P669" s="385"/>
      <c r="Q669" s="385"/>
      <c r="R669" s="385"/>
      <c r="S669" s="385"/>
      <c r="T669" s="385"/>
      <c r="U669" s="385"/>
      <c r="V669" s="385"/>
      <c r="W669" s="385"/>
      <c r="X669" s="378"/>
      <c r="Y669" s="385"/>
      <c r="Z669" s="385"/>
      <c r="AA669" s="385"/>
      <c r="AB669" s="385"/>
    </row>
    <row r="670" spans="1:28" x14ac:dyDescent="0.2">
      <c r="A670" s="385"/>
      <c r="B670" s="385"/>
      <c r="C670" s="385"/>
      <c r="D670" s="385"/>
      <c r="E670" s="385"/>
      <c r="F670" s="385"/>
      <c r="G670" s="385"/>
      <c r="H670" s="385"/>
      <c r="I670" s="385"/>
      <c r="J670" s="385"/>
      <c r="K670" s="385"/>
      <c r="L670" s="385"/>
      <c r="M670" s="385"/>
      <c r="N670" s="385"/>
      <c r="O670" s="385"/>
      <c r="P670" s="385"/>
      <c r="Q670" s="385"/>
      <c r="R670" s="385"/>
      <c r="S670" s="385"/>
      <c r="T670" s="385"/>
      <c r="U670" s="385"/>
      <c r="V670" s="385"/>
      <c r="W670" s="385"/>
      <c r="X670" s="378"/>
      <c r="Y670" s="385"/>
      <c r="Z670" s="385"/>
      <c r="AA670" s="385"/>
      <c r="AB670" s="385"/>
    </row>
    <row r="671" spans="1:28" x14ac:dyDescent="0.2">
      <c r="A671" s="385"/>
      <c r="B671" s="385"/>
      <c r="C671" s="385"/>
      <c r="D671" s="385"/>
      <c r="E671" s="385"/>
      <c r="F671" s="385"/>
      <c r="G671" s="385"/>
      <c r="H671" s="385"/>
      <c r="I671" s="385"/>
      <c r="J671" s="385"/>
      <c r="K671" s="385"/>
      <c r="L671" s="385"/>
      <c r="M671" s="385"/>
      <c r="N671" s="385"/>
      <c r="O671" s="385"/>
      <c r="P671" s="385"/>
      <c r="Q671" s="385"/>
      <c r="R671" s="385"/>
      <c r="S671" s="385"/>
      <c r="T671" s="385"/>
      <c r="U671" s="385"/>
      <c r="V671" s="385"/>
      <c r="W671" s="385"/>
      <c r="X671" s="378"/>
      <c r="Y671" s="385"/>
      <c r="Z671" s="385"/>
      <c r="AA671" s="385"/>
      <c r="AB671" s="385"/>
    </row>
    <row r="672" spans="1:28" x14ac:dyDescent="0.2">
      <c r="A672" s="385"/>
      <c r="B672" s="385"/>
      <c r="C672" s="385"/>
      <c r="D672" s="385"/>
      <c r="E672" s="385"/>
      <c r="F672" s="385"/>
      <c r="G672" s="385"/>
      <c r="H672" s="385"/>
      <c r="I672" s="385"/>
      <c r="J672" s="385"/>
      <c r="K672" s="385"/>
      <c r="L672" s="385"/>
      <c r="M672" s="385"/>
      <c r="N672" s="385"/>
      <c r="O672" s="385"/>
      <c r="P672" s="385"/>
      <c r="Q672" s="385"/>
      <c r="R672" s="385"/>
      <c r="S672" s="385"/>
      <c r="T672" s="385"/>
      <c r="U672" s="385"/>
      <c r="V672" s="385"/>
      <c r="W672" s="385"/>
      <c r="X672" s="378"/>
      <c r="Y672" s="385"/>
      <c r="Z672" s="385"/>
      <c r="AA672" s="385"/>
      <c r="AB672" s="385"/>
    </row>
    <row r="673" spans="1:28" x14ac:dyDescent="0.2">
      <c r="A673" s="385"/>
      <c r="B673" s="385"/>
      <c r="C673" s="385"/>
      <c r="D673" s="385"/>
      <c r="E673" s="385"/>
      <c r="F673" s="385"/>
      <c r="G673" s="385"/>
      <c r="H673" s="385"/>
      <c r="I673" s="385"/>
      <c r="J673" s="385"/>
      <c r="K673" s="385"/>
      <c r="L673" s="385"/>
      <c r="M673" s="385"/>
      <c r="N673" s="385"/>
      <c r="O673" s="385"/>
      <c r="P673" s="385"/>
      <c r="Q673" s="385"/>
      <c r="R673" s="385"/>
      <c r="S673" s="385"/>
      <c r="T673" s="385"/>
      <c r="U673" s="385"/>
      <c r="V673" s="385"/>
      <c r="W673" s="385"/>
      <c r="X673" s="378"/>
      <c r="Y673" s="385"/>
      <c r="Z673" s="385"/>
      <c r="AA673" s="385"/>
      <c r="AB673" s="385"/>
    </row>
    <row r="674" spans="1:28" x14ac:dyDescent="0.2">
      <c r="A674" s="385"/>
      <c r="B674" s="385"/>
      <c r="C674" s="385"/>
      <c r="D674" s="385"/>
      <c r="E674" s="385"/>
      <c r="F674" s="385"/>
      <c r="G674" s="385"/>
      <c r="H674" s="385"/>
      <c r="I674" s="385"/>
      <c r="J674" s="385"/>
      <c r="K674" s="385"/>
      <c r="L674" s="385"/>
      <c r="M674" s="385"/>
      <c r="N674" s="385"/>
      <c r="O674" s="385"/>
      <c r="P674" s="385"/>
      <c r="Q674" s="385"/>
      <c r="R674" s="385"/>
      <c r="S674" s="385"/>
      <c r="T674" s="385"/>
      <c r="U674" s="385"/>
      <c r="V674" s="385"/>
      <c r="W674" s="385"/>
      <c r="X674" s="378"/>
      <c r="Y674" s="385"/>
      <c r="Z674" s="385"/>
      <c r="AA674" s="385"/>
      <c r="AB674" s="385"/>
    </row>
    <row r="675" spans="1:28" x14ac:dyDescent="0.2">
      <c r="A675" s="385"/>
      <c r="B675" s="385"/>
      <c r="C675" s="385"/>
      <c r="D675" s="385"/>
      <c r="E675" s="385"/>
      <c r="F675" s="385"/>
      <c r="G675" s="385"/>
      <c r="H675" s="385"/>
      <c r="I675" s="385"/>
      <c r="J675" s="385"/>
      <c r="K675" s="385"/>
      <c r="L675" s="385"/>
      <c r="M675" s="385"/>
      <c r="N675" s="385"/>
      <c r="O675" s="385"/>
      <c r="P675" s="385"/>
      <c r="Q675" s="385"/>
      <c r="R675" s="385"/>
      <c r="S675" s="385"/>
      <c r="T675" s="385"/>
      <c r="U675" s="385"/>
      <c r="V675" s="385"/>
      <c r="W675" s="385"/>
      <c r="X675" s="378"/>
      <c r="Y675" s="385"/>
      <c r="Z675" s="385"/>
      <c r="AA675" s="385"/>
      <c r="AB675" s="385"/>
    </row>
    <row r="676" spans="1:28" x14ac:dyDescent="0.2">
      <c r="A676" s="385"/>
      <c r="B676" s="385"/>
      <c r="C676" s="385"/>
      <c r="D676" s="385"/>
      <c r="E676" s="385"/>
      <c r="F676" s="385"/>
      <c r="G676" s="385"/>
      <c r="H676" s="385"/>
      <c r="I676" s="385"/>
      <c r="J676" s="385"/>
      <c r="K676" s="385"/>
      <c r="L676" s="385"/>
      <c r="M676" s="385"/>
      <c r="N676" s="385"/>
      <c r="O676" s="385"/>
      <c r="P676" s="385"/>
      <c r="Q676" s="385"/>
      <c r="R676" s="385"/>
      <c r="S676" s="385"/>
      <c r="T676" s="385"/>
      <c r="U676" s="385"/>
      <c r="V676" s="385"/>
      <c r="W676" s="385"/>
      <c r="X676" s="378"/>
      <c r="Y676" s="385"/>
      <c r="Z676" s="385"/>
      <c r="AA676" s="385"/>
      <c r="AB676" s="385"/>
    </row>
    <row r="677" spans="1:28" x14ac:dyDescent="0.2">
      <c r="A677" s="385"/>
      <c r="B677" s="385"/>
      <c r="C677" s="385"/>
      <c r="D677" s="385"/>
      <c r="E677" s="385"/>
      <c r="F677" s="385"/>
      <c r="G677" s="385"/>
      <c r="H677" s="385"/>
      <c r="I677" s="385"/>
      <c r="J677" s="385"/>
      <c r="K677" s="385"/>
      <c r="L677" s="385"/>
      <c r="M677" s="385"/>
      <c r="N677" s="385"/>
      <c r="O677" s="385"/>
      <c r="P677" s="385"/>
      <c r="Q677" s="385"/>
      <c r="R677" s="385"/>
      <c r="S677" s="385"/>
      <c r="T677" s="385"/>
      <c r="U677" s="385"/>
      <c r="V677" s="385"/>
      <c r="W677" s="385"/>
      <c r="X677" s="378"/>
      <c r="Y677" s="385"/>
      <c r="Z677" s="385"/>
      <c r="AA677" s="385"/>
      <c r="AB677" s="385"/>
    </row>
    <row r="678" spans="1:28" x14ac:dyDescent="0.2">
      <c r="A678" s="385"/>
      <c r="B678" s="385"/>
      <c r="C678" s="385"/>
      <c r="D678" s="385"/>
      <c r="E678" s="385"/>
      <c r="F678" s="385"/>
      <c r="G678" s="385"/>
      <c r="H678" s="385"/>
      <c r="I678" s="385"/>
      <c r="J678" s="385"/>
      <c r="K678" s="385"/>
      <c r="L678" s="385"/>
      <c r="M678" s="385"/>
      <c r="N678" s="385"/>
      <c r="O678" s="385"/>
      <c r="P678" s="385"/>
      <c r="Q678" s="385"/>
      <c r="R678" s="385"/>
      <c r="S678" s="385"/>
      <c r="T678" s="385"/>
      <c r="U678" s="385"/>
      <c r="V678" s="385"/>
      <c r="W678" s="385"/>
      <c r="X678" s="378"/>
      <c r="Y678" s="385"/>
      <c r="Z678" s="385"/>
      <c r="AA678" s="385"/>
      <c r="AB678" s="385"/>
    </row>
    <row r="679" spans="1:28" x14ac:dyDescent="0.2">
      <c r="A679" s="385"/>
      <c r="B679" s="385"/>
      <c r="C679" s="385"/>
      <c r="D679" s="385"/>
      <c r="E679" s="385"/>
      <c r="F679" s="385"/>
      <c r="G679" s="385"/>
      <c r="H679" s="385"/>
      <c r="I679" s="385"/>
      <c r="J679" s="385"/>
      <c r="K679" s="385"/>
      <c r="L679" s="385"/>
      <c r="M679" s="385"/>
      <c r="N679" s="385"/>
      <c r="O679" s="385"/>
      <c r="P679" s="385"/>
      <c r="Q679" s="385"/>
      <c r="R679" s="385"/>
      <c r="S679" s="385"/>
      <c r="T679" s="385"/>
      <c r="U679" s="385"/>
      <c r="V679" s="385"/>
      <c r="W679" s="385"/>
      <c r="X679" s="378"/>
      <c r="Y679" s="385"/>
      <c r="Z679" s="385"/>
      <c r="AA679" s="385"/>
      <c r="AB679" s="385"/>
    </row>
    <row r="680" spans="1:28" x14ac:dyDescent="0.2">
      <c r="A680" s="385"/>
      <c r="B680" s="385"/>
      <c r="C680" s="385"/>
      <c r="D680" s="385"/>
      <c r="E680" s="385"/>
      <c r="F680" s="385"/>
      <c r="G680" s="385"/>
      <c r="H680" s="385"/>
      <c r="I680" s="385"/>
      <c r="J680" s="385"/>
      <c r="K680" s="385"/>
      <c r="L680" s="385"/>
      <c r="M680" s="385"/>
      <c r="N680" s="385"/>
      <c r="O680" s="385"/>
      <c r="P680" s="385"/>
      <c r="Q680" s="385"/>
      <c r="R680" s="385"/>
      <c r="S680" s="385"/>
      <c r="T680" s="385"/>
      <c r="U680" s="385"/>
      <c r="V680" s="385"/>
      <c r="W680" s="385"/>
      <c r="X680" s="378"/>
      <c r="Y680" s="385"/>
      <c r="Z680" s="385"/>
      <c r="AA680" s="385"/>
      <c r="AB680" s="385"/>
    </row>
    <row r="681" spans="1:28" x14ac:dyDescent="0.2">
      <c r="A681" s="385"/>
      <c r="B681" s="385"/>
      <c r="C681" s="385"/>
      <c r="D681" s="385"/>
      <c r="E681" s="385"/>
      <c r="F681" s="385"/>
      <c r="G681" s="385"/>
      <c r="H681" s="385"/>
      <c r="I681" s="385"/>
      <c r="J681" s="385"/>
      <c r="K681" s="385"/>
      <c r="L681" s="385"/>
      <c r="M681" s="385"/>
      <c r="N681" s="385"/>
      <c r="O681" s="385"/>
      <c r="P681" s="385"/>
      <c r="Q681" s="385"/>
      <c r="R681" s="385"/>
      <c r="S681" s="385"/>
      <c r="T681" s="385"/>
      <c r="U681" s="385"/>
      <c r="V681" s="385"/>
      <c r="W681" s="385"/>
      <c r="X681" s="378"/>
      <c r="Y681" s="385"/>
      <c r="Z681" s="385"/>
      <c r="AA681" s="385"/>
      <c r="AB681" s="385"/>
    </row>
    <row r="682" spans="1:28" x14ac:dyDescent="0.2">
      <c r="A682" s="385"/>
      <c r="B682" s="385"/>
      <c r="C682" s="385"/>
      <c r="D682" s="385"/>
      <c r="E682" s="385"/>
      <c r="F682" s="385"/>
      <c r="G682" s="385"/>
      <c r="H682" s="385"/>
      <c r="I682" s="385"/>
      <c r="J682" s="385"/>
      <c r="K682" s="385"/>
      <c r="L682" s="385"/>
      <c r="M682" s="385"/>
      <c r="N682" s="385"/>
      <c r="O682" s="385"/>
      <c r="P682" s="385"/>
      <c r="Q682" s="385"/>
      <c r="R682" s="385"/>
      <c r="S682" s="385"/>
      <c r="T682" s="385"/>
      <c r="U682" s="385"/>
      <c r="V682" s="385"/>
      <c r="W682" s="385"/>
      <c r="X682" s="378"/>
      <c r="Y682" s="385"/>
      <c r="Z682" s="385"/>
      <c r="AA682" s="385"/>
      <c r="AB682" s="385"/>
    </row>
    <row r="683" spans="1:28" x14ac:dyDescent="0.2">
      <c r="A683" s="385"/>
      <c r="B683" s="385"/>
      <c r="C683" s="385"/>
      <c r="D683" s="385"/>
      <c r="E683" s="385"/>
      <c r="F683" s="385"/>
      <c r="G683" s="385"/>
      <c r="H683" s="385"/>
      <c r="I683" s="385"/>
      <c r="J683" s="385"/>
      <c r="K683" s="385"/>
      <c r="L683" s="385"/>
      <c r="M683" s="385"/>
      <c r="N683" s="385"/>
      <c r="O683" s="385"/>
      <c r="P683" s="385"/>
      <c r="Q683" s="385"/>
      <c r="R683" s="385"/>
      <c r="S683" s="385"/>
      <c r="T683" s="385"/>
      <c r="U683" s="385"/>
      <c r="V683" s="385"/>
      <c r="W683" s="385"/>
      <c r="X683" s="378"/>
      <c r="Y683" s="385"/>
      <c r="Z683" s="385"/>
      <c r="AA683" s="385"/>
      <c r="AB683" s="385"/>
    </row>
    <row r="684" spans="1:28" x14ac:dyDescent="0.2">
      <c r="A684" s="385"/>
      <c r="B684" s="385"/>
      <c r="C684" s="385"/>
      <c r="D684" s="385"/>
      <c r="E684" s="385"/>
      <c r="F684" s="385"/>
      <c r="G684" s="385"/>
      <c r="H684" s="385"/>
      <c r="I684" s="385"/>
      <c r="J684" s="385"/>
      <c r="K684" s="385"/>
      <c r="L684" s="385"/>
      <c r="M684" s="385"/>
      <c r="N684" s="385"/>
      <c r="O684" s="385"/>
      <c r="P684" s="385"/>
      <c r="Q684" s="385"/>
      <c r="R684" s="385"/>
      <c r="S684" s="385"/>
      <c r="T684" s="385"/>
      <c r="U684" s="385"/>
      <c r="V684" s="385"/>
      <c r="W684" s="385"/>
      <c r="X684" s="378"/>
      <c r="Y684" s="385"/>
      <c r="Z684" s="385"/>
      <c r="AA684" s="385"/>
      <c r="AB684" s="385"/>
    </row>
    <row r="685" spans="1:28" x14ac:dyDescent="0.2">
      <c r="A685" s="385"/>
      <c r="B685" s="385"/>
      <c r="C685" s="385"/>
      <c r="D685" s="385"/>
      <c r="E685" s="385"/>
      <c r="F685" s="385"/>
      <c r="G685" s="385"/>
      <c r="H685" s="385"/>
      <c r="I685" s="385"/>
      <c r="J685" s="385"/>
      <c r="K685" s="385"/>
      <c r="L685" s="385"/>
      <c r="M685" s="385"/>
      <c r="N685" s="385"/>
      <c r="O685" s="385"/>
      <c r="P685" s="385"/>
      <c r="Q685" s="385"/>
      <c r="R685" s="385"/>
      <c r="S685" s="385"/>
      <c r="T685" s="385"/>
      <c r="U685" s="385"/>
      <c r="V685" s="385"/>
      <c r="W685" s="385"/>
      <c r="X685" s="378"/>
      <c r="Y685" s="385"/>
      <c r="Z685" s="385"/>
      <c r="AA685" s="385"/>
      <c r="AB685" s="385"/>
    </row>
    <row r="686" spans="1:28" x14ac:dyDescent="0.2">
      <c r="A686" s="385"/>
      <c r="B686" s="385"/>
      <c r="C686" s="385"/>
      <c r="D686" s="385"/>
      <c r="E686" s="385"/>
      <c r="F686" s="385"/>
      <c r="G686" s="385"/>
      <c r="H686" s="385"/>
      <c r="I686" s="385"/>
      <c r="J686" s="385"/>
      <c r="K686" s="385"/>
      <c r="L686" s="385"/>
      <c r="M686" s="385"/>
      <c r="N686" s="385"/>
      <c r="O686" s="385"/>
      <c r="P686" s="385"/>
      <c r="Q686" s="385"/>
      <c r="R686" s="385"/>
      <c r="S686" s="385"/>
      <c r="T686" s="385"/>
      <c r="U686" s="385"/>
      <c r="V686" s="385"/>
      <c r="W686" s="385"/>
      <c r="X686" s="378"/>
      <c r="Y686" s="385"/>
      <c r="Z686" s="385"/>
      <c r="AA686" s="385"/>
      <c r="AB686" s="385"/>
    </row>
    <row r="687" spans="1:28" x14ac:dyDescent="0.2">
      <c r="A687" s="385"/>
      <c r="B687" s="385"/>
      <c r="C687" s="385"/>
      <c r="D687" s="385"/>
      <c r="E687" s="385"/>
      <c r="F687" s="385"/>
      <c r="G687" s="385"/>
      <c r="H687" s="385"/>
      <c r="I687" s="385"/>
      <c r="J687" s="385"/>
      <c r="K687" s="385"/>
      <c r="L687" s="385"/>
      <c r="M687" s="385"/>
      <c r="N687" s="385"/>
      <c r="O687" s="385"/>
      <c r="P687" s="385"/>
      <c r="Q687" s="385"/>
      <c r="R687" s="385"/>
      <c r="S687" s="385"/>
      <c r="T687" s="385"/>
      <c r="U687" s="385"/>
      <c r="V687" s="385"/>
      <c r="W687" s="385"/>
      <c r="X687" s="378"/>
      <c r="Y687" s="385"/>
      <c r="Z687" s="385"/>
      <c r="AA687" s="385"/>
      <c r="AB687" s="385"/>
    </row>
    <row r="688" spans="1:28" x14ac:dyDescent="0.2">
      <c r="A688" s="385"/>
      <c r="B688" s="385"/>
      <c r="C688" s="385"/>
      <c r="D688" s="385"/>
      <c r="E688" s="385"/>
      <c r="F688" s="385"/>
      <c r="G688" s="385"/>
      <c r="H688" s="385"/>
      <c r="I688" s="385"/>
      <c r="J688" s="385"/>
      <c r="K688" s="385"/>
      <c r="L688" s="385"/>
      <c r="M688" s="385"/>
      <c r="N688" s="385"/>
      <c r="O688" s="385"/>
      <c r="P688" s="385"/>
      <c r="Q688" s="385"/>
      <c r="R688" s="385"/>
      <c r="S688" s="385"/>
      <c r="T688" s="385"/>
      <c r="U688" s="385"/>
      <c r="V688" s="385"/>
      <c r="W688" s="385"/>
      <c r="X688" s="378"/>
      <c r="Y688" s="385"/>
      <c r="Z688" s="385"/>
      <c r="AA688" s="385"/>
      <c r="AB688" s="385"/>
    </row>
    <row r="689" spans="1:28" x14ac:dyDescent="0.2">
      <c r="A689" s="385"/>
      <c r="B689" s="385"/>
      <c r="C689" s="385"/>
      <c r="D689" s="385"/>
      <c r="E689" s="385"/>
      <c r="F689" s="385"/>
      <c r="G689" s="385"/>
      <c r="H689" s="385"/>
      <c r="I689" s="385"/>
      <c r="J689" s="385"/>
      <c r="K689" s="385"/>
      <c r="L689" s="385"/>
      <c r="M689" s="385"/>
      <c r="N689" s="385"/>
      <c r="O689" s="385"/>
      <c r="P689" s="385"/>
      <c r="Q689" s="385"/>
      <c r="R689" s="385"/>
      <c r="S689" s="385"/>
      <c r="T689" s="385"/>
      <c r="U689" s="385"/>
      <c r="V689" s="385"/>
      <c r="W689" s="385"/>
      <c r="X689" s="378"/>
      <c r="Y689" s="385"/>
      <c r="Z689" s="385"/>
      <c r="AA689" s="385"/>
      <c r="AB689" s="385"/>
    </row>
    <row r="690" spans="1:28" x14ac:dyDescent="0.2">
      <c r="A690" s="385"/>
      <c r="B690" s="385"/>
      <c r="C690" s="385"/>
      <c r="D690" s="385"/>
      <c r="E690" s="385"/>
      <c r="F690" s="385"/>
      <c r="G690" s="385"/>
      <c r="H690" s="385"/>
      <c r="I690" s="385"/>
      <c r="J690" s="385"/>
      <c r="K690" s="385"/>
      <c r="L690" s="385"/>
      <c r="M690" s="385"/>
      <c r="N690" s="385"/>
      <c r="O690" s="385"/>
      <c r="P690" s="385"/>
      <c r="Q690" s="385"/>
      <c r="R690" s="385"/>
      <c r="S690" s="385"/>
      <c r="T690" s="385"/>
      <c r="U690" s="385"/>
      <c r="V690" s="385"/>
      <c r="W690" s="385"/>
      <c r="X690" s="378"/>
      <c r="Y690" s="385"/>
      <c r="Z690" s="385"/>
      <c r="AA690" s="385"/>
      <c r="AB690" s="385"/>
    </row>
    <row r="691" spans="1:28" x14ac:dyDescent="0.2">
      <c r="A691" s="385"/>
      <c r="B691" s="385"/>
      <c r="C691" s="385"/>
      <c r="D691" s="385"/>
      <c r="E691" s="385"/>
      <c r="F691" s="385"/>
      <c r="G691" s="385"/>
      <c r="H691" s="385"/>
      <c r="I691" s="385"/>
      <c r="J691" s="385"/>
      <c r="K691" s="385"/>
      <c r="L691" s="385"/>
      <c r="M691" s="385"/>
      <c r="N691" s="385"/>
      <c r="O691" s="385"/>
      <c r="P691" s="385"/>
      <c r="Q691" s="385"/>
      <c r="R691" s="385"/>
      <c r="S691" s="385"/>
      <c r="T691" s="385"/>
      <c r="U691" s="385"/>
      <c r="V691" s="385"/>
      <c r="W691" s="385"/>
      <c r="X691" s="378"/>
      <c r="Y691" s="385"/>
      <c r="Z691" s="385"/>
      <c r="AA691" s="385"/>
      <c r="AB691" s="385"/>
    </row>
    <row r="692" spans="1:28" x14ac:dyDescent="0.2">
      <c r="A692" s="385"/>
      <c r="B692" s="385"/>
      <c r="C692" s="385"/>
      <c r="D692" s="385"/>
      <c r="E692" s="385"/>
      <c r="F692" s="385"/>
      <c r="G692" s="385"/>
      <c r="H692" s="385"/>
      <c r="I692" s="385"/>
      <c r="J692" s="385"/>
      <c r="K692" s="385"/>
      <c r="L692" s="385"/>
      <c r="M692" s="385"/>
      <c r="N692" s="385"/>
      <c r="O692" s="385"/>
      <c r="P692" s="385"/>
      <c r="Q692" s="385"/>
      <c r="R692" s="385"/>
      <c r="S692" s="385"/>
      <c r="T692" s="385"/>
      <c r="U692" s="385"/>
      <c r="V692" s="385"/>
      <c r="W692" s="385"/>
      <c r="X692" s="378"/>
      <c r="Y692" s="385"/>
      <c r="Z692" s="385"/>
      <c r="AA692" s="385"/>
      <c r="AB692" s="385"/>
    </row>
    <row r="693" spans="1:28" x14ac:dyDescent="0.2">
      <c r="A693" s="385"/>
      <c r="B693" s="385"/>
      <c r="C693" s="385"/>
      <c r="D693" s="385"/>
      <c r="E693" s="385"/>
      <c r="F693" s="385"/>
      <c r="G693" s="385"/>
      <c r="H693" s="385"/>
      <c r="I693" s="385"/>
      <c r="J693" s="385"/>
      <c r="K693" s="385"/>
      <c r="L693" s="385"/>
      <c r="M693" s="385"/>
      <c r="N693" s="385"/>
      <c r="O693" s="385"/>
      <c r="P693" s="385"/>
      <c r="Q693" s="385"/>
      <c r="R693" s="385"/>
      <c r="S693" s="385"/>
      <c r="T693" s="385"/>
      <c r="U693" s="385"/>
      <c r="V693" s="385"/>
      <c r="W693" s="385"/>
      <c r="X693" s="378"/>
      <c r="Y693" s="385"/>
      <c r="Z693" s="385"/>
      <c r="AA693" s="385"/>
      <c r="AB693" s="385"/>
    </row>
    <row r="694" spans="1:28" x14ac:dyDescent="0.2">
      <c r="A694" s="385"/>
      <c r="B694" s="385"/>
      <c r="C694" s="385"/>
      <c r="D694" s="385"/>
      <c r="E694" s="385"/>
      <c r="F694" s="385"/>
      <c r="G694" s="385"/>
      <c r="H694" s="385"/>
      <c r="I694" s="385"/>
      <c r="J694" s="385"/>
      <c r="K694" s="385"/>
      <c r="L694" s="385"/>
      <c r="M694" s="385"/>
      <c r="N694" s="385"/>
      <c r="O694" s="385"/>
      <c r="P694" s="385"/>
      <c r="Q694" s="385"/>
      <c r="R694" s="385"/>
      <c r="S694" s="385"/>
      <c r="T694" s="385"/>
      <c r="U694" s="385"/>
      <c r="V694" s="385"/>
      <c r="W694" s="385"/>
      <c r="X694" s="378"/>
      <c r="Y694" s="385"/>
      <c r="Z694" s="385"/>
      <c r="AA694" s="385"/>
      <c r="AB694" s="385"/>
    </row>
    <row r="695" spans="1:28" x14ac:dyDescent="0.2">
      <c r="A695" s="385"/>
      <c r="B695" s="385"/>
      <c r="C695" s="385"/>
      <c r="D695" s="385"/>
      <c r="E695" s="385"/>
      <c r="F695" s="385"/>
      <c r="G695" s="385"/>
      <c r="H695" s="385"/>
      <c r="I695" s="385"/>
      <c r="J695" s="385"/>
      <c r="K695" s="385"/>
      <c r="L695" s="385"/>
      <c r="M695" s="385"/>
      <c r="N695" s="385"/>
      <c r="O695" s="385"/>
      <c r="P695" s="385"/>
      <c r="Q695" s="385"/>
      <c r="R695" s="385"/>
      <c r="S695" s="385"/>
      <c r="T695" s="385"/>
      <c r="U695" s="385"/>
      <c r="V695" s="385"/>
      <c r="W695" s="385"/>
      <c r="X695" s="378"/>
      <c r="Y695" s="385"/>
      <c r="Z695" s="385"/>
      <c r="AA695" s="385"/>
      <c r="AB695" s="385"/>
    </row>
    <row r="696" spans="1:28" x14ac:dyDescent="0.2">
      <c r="A696" s="385"/>
      <c r="B696" s="385"/>
      <c r="C696" s="385"/>
      <c r="D696" s="385"/>
      <c r="E696" s="385"/>
      <c r="F696" s="385"/>
      <c r="G696" s="385"/>
      <c r="H696" s="385"/>
      <c r="I696" s="385"/>
      <c r="J696" s="385"/>
      <c r="K696" s="385"/>
      <c r="L696" s="385"/>
      <c r="M696" s="385"/>
      <c r="N696" s="385"/>
      <c r="O696" s="385"/>
      <c r="P696" s="385"/>
      <c r="Q696" s="385"/>
      <c r="R696" s="385"/>
      <c r="S696" s="385"/>
      <c r="T696" s="385"/>
      <c r="U696" s="385"/>
      <c r="V696" s="385"/>
      <c r="W696" s="385"/>
      <c r="X696" s="378"/>
      <c r="Y696" s="385"/>
      <c r="Z696" s="385"/>
      <c r="AA696" s="385"/>
      <c r="AB696" s="385"/>
    </row>
    <row r="697" spans="1:28" x14ac:dyDescent="0.2">
      <c r="A697" s="385"/>
      <c r="B697" s="385"/>
      <c r="C697" s="385"/>
      <c r="D697" s="385"/>
      <c r="E697" s="385"/>
      <c r="F697" s="385"/>
      <c r="G697" s="385"/>
      <c r="H697" s="385"/>
      <c r="I697" s="385"/>
      <c r="J697" s="385"/>
      <c r="K697" s="385"/>
      <c r="L697" s="385"/>
      <c r="M697" s="385"/>
      <c r="N697" s="385"/>
      <c r="O697" s="385"/>
      <c r="P697" s="385"/>
      <c r="Q697" s="385"/>
      <c r="R697" s="385"/>
      <c r="S697" s="385"/>
      <c r="T697" s="385"/>
      <c r="U697" s="385"/>
      <c r="V697" s="385"/>
      <c r="W697" s="385"/>
      <c r="X697" s="378"/>
      <c r="Y697" s="385"/>
      <c r="Z697" s="385"/>
      <c r="AA697" s="385"/>
      <c r="AB697" s="385"/>
    </row>
    <row r="698" spans="1:28" x14ac:dyDescent="0.2">
      <c r="A698" s="385"/>
      <c r="B698" s="385"/>
      <c r="C698" s="385"/>
      <c r="D698" s="385"/>
      <c r="E698" s="385"/>
      <c r="F698" s="385"/>
      <c r="G698" s="385"/>
      <c r="H698" s="385"/>
      <c r="I698" s="385"/>
      <c r="J698" s="385"/>
      <c r="K698" s="385"/>
      <c r="L698" s="385"/>
      <c r="M698" s="385"/>
      <c r="N698" s="385"/>
      <c r="O698" s="385"/>
      <c r="P698" s="385"/>
      <c r="Q698" s="385"/>
      <c r="R698" s="385"/>
      <c r="S698" s="385"/>
      <c r="T698" s="385"/>
      <c r="U698" s="385"/>
      <c r="V698" s="385"/>
      <c r="W698" s="385"/>
      <c r="X698" s="378"/>
      <c r="Y698" s="385"/>
      <c r="Z698" s="385"/>
      <c r="AA698" s="385"/>
      <c r="AB698" s="385"/>
    </row>
    <row r="699" spans="1:28" x14ac:dyDescent="0.2">
      <c r="A699" s="385"/>
      <c r="B699" s="385"/>
      <c r="C699" s="385"/>
      <c r="D699" s="385"/>
      <c r="E699" s="385"/>
      <c r="F699" s="385"/>
      <c r="G699" s="385"/>
      <c r="H699" s="385"/>
      <c r="I699" s="385"/>
      <c r="J699" s="385"/>
      <c r="K699" s="385"/>
      <c r="L699" s="385"/>
      <c r="M699" s="385"/>
      <c r="N699" s="385"/>
      <c r="O699" s="385"/>
      <c r="P699" s="385"/>
      <c r="Q699" s="385"/>
      <c r="R699" s="385"/>
      <c r="S699" s="385"/>
      <c r="T699" s="385"/>
      <c r="U699" s="385"/>
      <c r="V699" s="385"/>
      <c r="W699" s="385"/>
      <c r="X699" s="378"/>
      <c r="Y699" s="385"/>
      <c r="Z699" s="385"/>
      <c r="AA699" s="385"/>
      <c r="AB699" s="385"/>
    </row>
    <row r="700" spans="1:28" x14ac:dyDescent="0.2">
      <c r="A700" s="385"/>
      <c r="B700" s="385"/>
      <c r="C700" s="385"/>
      <c r="D700" s="385"/>
      <c r="E700" s="385"/>
      <c r="F700" s="385"/>
      <c r="G700" s="385"/>
      <c r="H700" s="385"/>
      <c r="I700" s="385"/>
      <c r="J700" s="385"/>
      <c r="K700" s="385"/>
      <c r="L700" s="385"/>
      <c r="M700" s="385"/>
      <c r="N700" s="385"/>
      <c r="O700" s="385"/>
      <c r="P700" s="385"/>
      <c r="Q700" s="385"/>
      <c r="R700" s="385"/>
      <c r="S700" s="385"/>
      <c r="T700" s="385"/>
      <c r="U700" s="385"/>
      <c r="V700" s="385"/>
      <c r="W700" s="385"/>
      <c r="X700" s="378"/>
      <c r="Y700" s="385"/>
      <c r="Z700" s="385"/>
      <c r="AA700" s="385"/>
      <c r="AB700" s="385"/>
    </row>
    <row r="701" spans="1:28" x14ac:dyDescent="0.2">
      <c r="A701" s="385"/>
      <c r="B701" s="385"/>
      <c r="C701" s="385"/>
      <c r="D701" s="385"/>
      <c r="E701" s="385"/>
      <c r="F701" s="385"/>
      <c r="G701" s="385"/>
      <c r="H701" s="385"/>
      <c r="I701" s="385"/>
      <c r="J701" s="385"/>
      <c r="K701" s="385"/>
      <c r="L701" s="385"/>
      <c r="M701" s="385"/>
      <c r="N701" s="385"/>
      <c r="O701" s="385"/>
      <c r="P701" s="385"/>
      <c r="Q701" s="385"/>
      <c r="R701" s="385"/>
      <c r="S701" s="385"/>
      <c r="T701" s="385"/>
      <c r="U701" s="385"/>
      <c r="V701" s="385"/>
      <c r="W701" s="385"/>
      <c r="X701" s="378"/>
      <c r="Y701" s="385"/>
      <c r="Z701" s="385"/>
      <c r="AA701" s="385"/>
      <c r="AB701" s="385"/>
    </row>
    <row r="702" spans="1:28" x14ac:dyDescent="0.2">
      <c r="A702" s="385"/>
      <c r="B702" s="385"/>
      <c r="C702" s="385"/>
      <c r="D702" s="385"/>
      <c r="E702" s="385"/>
      <c r="F702" s="385"/>
      <c r="G702" s="385"/>
      <c r="H702" s="385"/>
      <c r="I702" s="385"/>
      <c r="J702" s="385"/>
      <c r="K702" s="385"/>
      <c r="L702" s="385"/>
      <c r="M702" s="385"/>
      <c r="N702" s="385"/>
      <c r="O702" s="385"/>
      <c r="P702" s="385"/>
      <c r="Q702" s="385"/>
      <c r="R702" s="385"/>
      <c r="S702" s="385"/>
      <c r="T702" s="385"/>
      <c r="U702" s="385"/>
      <c r="V702" s="385"/>
      <c r="W702" s="385"/>
      <c r="X702" s="378"/>
      <c r="Y702" s="385"/>
      <c r="Z702" s="385"/>
      <c r="AA702" s="385"/>
      <c r="AB702" s="385"/>
    </row>
    <row r="703" spans="1:28" x14ac:dyDescent="0.2">
      <c r="A703" s="385"/>
      <c r="B703" s="385"/>
      <c r="C703" s="385"/>
      <c r="D703" s="385"/>
      <c r="E703" s="385"/>
      <c r="F703" s="385"/>
      <c r="G703" s="385"/>
      <c r="H703" s="385"/>
      <c r="I703" s="385"/>
      <c r="J703" s="385"/>
      <c r="K703" s="385"/>
      <c r="L703" s="385"/>
      <c r="M703" s="385"/>
      <c r="N703" s="385"/>
      <c r="O703" s="385"/>
      <c r="P703" s="385"/>
      <c r="Q703" s="385"/>
      <c r="R703" s="385"/>
      <c r="S703" s="385"/>
      <c r="T703" s="385"/>
      <c r="U703" s="385"/>
      <c r="V703" s="385"/>
      <c r="W703" s="385"/>
      <c r="X703" s="378"/>
      <c r="Y703" s="385"/>
      <c r="Z703" s="385"/>
      <c r="AA703" s="385"/>
      <c r="AB703" s="385"/>
    </row>
    <row r="704" spans="1:28" x14ac:dyDescent="0.2">
      <c r="A704" s="385"/>
      <c r="B704" s="385"/>
      <c r="C704" s="385"/>
      <c r="D704" s="385"/>
      <c r="E704" s="385"/>
      <c r="F704" s="385"/>
      <c r="G704" s="385"/>
      <c r="H704" s="385"/>
      <c r="I704" s="385"/>
      <c r="J704" s="385"/>
      <c r="K704" s="385"/>
      <c r="L704" s="385"/>
      <c r="M704" s="385"/>
      <c r="N704" s="385"/>
      <c r="O704" s="385"/>
      <c r="P704" s="385"/>
      <c r="Q704" s="385"/>
      <c r="R704" s="385"/>
      <c r="S704" s="385"/>
      <c r="T704" s="385"/>
      <c r="U704" s="385"/>
      <c r="V704" s="385"/>
      <c r="W704" s="385"/>
      <c r="X704" s="378"/>
      <c r="Y704" s="385"/>
      <c r="Z704" s="385"/>
      <c r="AA704" s="385"/>
      <c r="AB704" s="385"/>
    </row>
    <row r="705" spans="1:28" x14ac:dyDescent="0.2">
      <c r="A705" s="385"/>
      <c r="B705" s="385"/>
      <c r="C705" s="385"/>
      <c r="D705" s="385"/>
      <c r="E705" s="385"/>
      <c r="F705" s="385"/>
      <c r="G705" s="385"/>
      <c r="H705" s="385"/>
      <c r="I705" s="385"/>
      <c r="J705" s="385"/>
      <c r="K705" s="385"/>
      <c r="L705" s="385"/>
      <c r="M705" s="385"/>
      <c r="N705" s="385"/>
      <c r="O705" s="385"/>
      <c r="P705" s="385"/>
      <c r="Q705" s="385"/>
      <c r="R705" s="385"/>
      <c r="S705" s="385"/>
      <c r="T705" s="385"/>
      <c r="U705" s="385"/>
      <c r="V705" s="385"/>
      <c r="W705" s="385"/>
      <c r="X705" s="378"/>
      <c r="Y705" s="385"/>
      <c r="Z705" s="385"/>
      <c r="AA705" s="385"/>
      <c r="AB705" s="385"/>
    </row>
    <row r="706" spans="1:28" x14ac:dyDescent="0.2">
      <c r="A706" s="385"/>
      <c r="B706" s="385"/>
      <c r="C706" s="385"/>
      <c r="D706" s="385"/>
      <c r="E706" s="385"/>
      <c r="F706" s="385"/>
      <c r="G706" s="385"/>
      <c r="H706" s="385"/>
      <c r="I706" s="385"/>
      <c r="J706" s="385"/>
      <c r="K706" s="385"/>
      <c r="L706" s="385"/>
      <c r="M706" s="385"/>
      <c r="N706" s="385"/>
      <c r="O706" s="385"/>
      <c r="P706" s="385"/>
      <c r="Q706" s="385"/>
      <c r="R706" s="385"/>
      <c r="S706" s="385"/>
      <c r="T706" s="385"/>
      <c r="U706" s="385"/>
      <c r="V706" s="385"/>
      <c r="W706" s="385"/>
      <c r="X706" s="378"/>
      <c r="Y706" s="385"/>
      <c r="Z706" s="385"/>
      <c r="AA706" s="385"/>
      <c r="AB706" s="385"/>
    </row>
    <row r="707" spans="1:28" x14ac:dyDescent="0.2">
      <c r="A707" s="385"/>
      <c r="B707" s="385"/>
      <c r="C707" s="385"/>
      <c r="D707" s="385"/>
      <c r="E707" s="385"/>
      <c r="F707" s="385"/>
      <c r="G707" s="385"/>
      <c r="H707" s="385"/>
      <c r="I707" s="385"/>
      <c r="J707" s="385"/>
      <c r="K707" s="385"/>
      <c r="L707" s="385"/>
      <c r="M707" s="385"/>
      <c r="N707" s="385"/>
      <c r="O707" s="385"/>
      <c r="P707" s="385"/>
      <c r="Q707" s="385"/>
      <c r="R707" s="385"/>
      <c r="S707" s="385"/>
      <c r="T707" s="385"/>
      <c r="U707" s="385"/>
      <c r="V707" s="385"/>
      <c r="W707" s="385"/>
      <c r="X707" s="378"/>
      <c r="Y707" s="385"/>
      <c r="Z707" s="385"/>
      <c r="AA707" s="385"/>
      <c r="AB707" s="385"/>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99"/>
  </sheetPr>
  <dimension ref="A1:AP707"/>
  <sheetViews>
    <sheetView workbookViewId="0">
      <selection sqref="A1:XFD1048576"/>
    </sheetView>
  </sheetViews>
  <sheetFormatPr defaultRowHeight="12.75" x14ac:dyDescent="0.2"/>
  <cols>
    <col min="1" max="1" width="11.125" style="433" customWidth="1"/>
    <col min="2" max="2" width="47.125" style="401" customWidth="1"/>
    <col min="3" max="3" width="6.5" style="378" customWidth="1"/>
    <col min="4" max="4" width="8" style="378" customWidth="1"/>
    <col min="5" max="22" width="12.5" style="378" customWidth="1"/>
    <col min="23" max="25" width="2.375" style="378" customWidth="1"/>
    <col min="26" max="26" width="6.5" style="378" customWidth="1"/>
    <col min="27" max="27" width="5.375" style="378" customWidth="1"/>
    <col min="28" max="28" width="5.5" style="378" customWidth="1"/>
    <col min="29" max="29" width="6" style="378" customWidth="1"/>
    <col min="30" max="30" width="5.125" style="378" customWidth="1"/>
    <col min="31" max="32" width="5.625" style="378" customWidth="1"/>
    <col min="33" max="35" width="6" style="378" customWidth="1"/>
    <col min="36" max="36" width="5.25" style="378" bestFit="1" customWidth="1"/>
    <col min="37" max="37" width="5.625" style="378" customWidth="1"/>
    <col min="38" max="38" width="5" style="378" customWidth="1"/>
    <col min="39" max="39" width="5.625" style="378" customWidth="1"/>
    <col min="40" max="40" width="5.25" style="378" customWidth="1"/>
    <col min="41" max="41" width="5" style="378" bestFit="1" customWidth="1"/>
    <col min="42" max="16384" width="9" style="378"/>
  </cols>
  <sheetData>
    <row r="1" spans="1:42" x14ac:dyDescent="0.2">
      <c r="A1" s="443"/>
      <c r="B1" s="436"/>
      <c r="C1" s="379"/>
      <c r="D1" s="379"/>
      <c r="E1" s="379"/>
      <c r="F1" s="379"/>
      <c r="G1" s="379"/>
      <c r="H1" s="379"/>
      <c r="I1" s="379"/>
      <c r="J1" s="379"/>
      <c r="K1" s="379"/>
      <c r="L1" s="379"/>
      <c r="M1" s="379"/>
      <c r="N1" s="379"/>
      <c r="O1" s="379"/>
      <c r="P1" s="379"/>
      <c r="Q1" s="379"/>
      <c r="R1" s="379"/>
      <c r="S1" s="379"/>
      <c r="T1" s="379"/>
      <c r="U1" s="379"/>
      <c r="V1" s="379"/>
      <c r="W1" s="379"/>
      <c r="X1" s="379"/>
      <c r="Y1" s="379"/>
      <c r="Z1" s="461"/>
      <c r="AA1" s="461"/>
      <c r="AB1" s="461"/>
      <c r="AC1" s="461"/>
      <c r="AD1" s="461"/>
      <c r="AE1" s="461"/>
      <c r="AF1" s="461"/>
      <c r="AG1" s="461"/>
      <c r="AH1" s="461"/>
      <c r="AI1" s="461"/>
      <c r="AJ1" s="461"/>
      <c r="AK1" s="461"/>
      <c r="AL1" s="461"/>
      <c r="AM1" s="461"/>
      <c r="AN1" s="461"/>
      <c r="AO1" s="461"/>
    </row>
    <row r="2" spans="1:42" x14ac:dyDescent="0.2">
      <c r="C2" s="799"/>
      <c r="D2" s="800"/>
      <c r="E2" s="783"/>
      <c r="F2" s="784"/>
      <c r="G2" s="784"/>
      <c r="H2" s="784"/>
      <c r="I2" s="784"/>
      <c r="J2" s="784"/>
      <c r="K2" s="784"/>
      <c r="L2" s="784"/>
      <c r="M2" s="784"/>
      <c r="N2" s="784"/>
      <c r="O2" s="784"/>
      <c r="P2" s="784"/>
      <c r="Q2" s="784"/>
      <c r="R2" s="784"/>
      <c r="S2" s="784"/>
      <c r="T2" s="784"/>
      <c r="U2" s="785"/>
      <c r="V2" s="388"/>
      <c r="W2" s="379"/>
      <c r="X2" s="379"/>
      <c r="Y2" s="379"/>
      <c r="Z2" s="462"/>
      <c r="AA2" s="463"/>
      <c r="AB2" s="463"/>
      <c r="AC2" s="463"/>
      <c r="AD2" s="463"/>
      <c r="AE2" s="463"/>
      <c r="AF2" s="463"/>
      <c r="AG2" s="463"/>
      <c r="AH2" s="463"/>
      <c r="AI2" s="463"/>
      <c r="AJ2" s="463"/>
      <c r="AK2" s="463"/>
      <c r="AL2" s="463"/>
      <c r="AM2" s="463"/>
      <c r="AN2" s="463"/>
      <c r="AO2" s="463"/>
    </row>
    <row r="3" spans="1:42" x14ac:dyDescent="0.2">
      <c r="C3" s="783"/>
      <c r="D3" s="783"/>
      <c r="E3" s="801"/>
      <c r="F3" s="802"/>
      <c r="G3" s="802"/>
      <c r="H3" s="802"/>
      <c r="I3" s="802"/>
      <c r="J3" s="802"/>
      <c r="K3" s="802"/>
      <c r="L3" s="802"/>
      <c r="M3" s="802"/>
      <c r="N3" s="802"/>
      <c r="O3" s="802"/>
      <c r="P3" s="802"/>
      <c r="Q3" s="802"/>
      <c r="R3" s="802"/>
      <c r="S3" s="802"/>
      <c r="T3" s="802"/>
      <c r="U3" s="803"/>
      <c r="V3" s="741"/>
      <c r="W3" s="452"/>
      <c r="X3" s="452"/>
      <c r="Y3" s="452"/>
      <c r="Z3" s="464"/>
      <c r="AA3" s="465"/>
      <c r="AB3" s="465"/>
      <c r="AC3" s="465"/>
      <c r="AD3" s="465"/>
      <c r="AE3" s="465"/>
      <c r="AF3" s="465"/>
      <c r="AG3" s="465"/>
      <c r="AH3" s="465"/>
      <c r="AI3" s="465"/>
      <c r="AJ3" s="465"/>
      <c r="AK3" s="465"/>
      <c r="AL3" s="465"/>
      <c r="AM3" s="465"/>
      <c r="AN3" s="465"/>
      <c r="AO3" s="465"/>
    </row>
    <row r="4" spans="1:42" ht="12.75" customHeight="1" x14ac:dyDescent="0.2">
      <c r="A4" s="1605"/>
      <c r="B4" s="435"/>
      <c r="C4" s="804"/>
      <c r="D4" s="805"/>
      <c r="E4" s="810"/>
      <c r="F4" s="813"/>
      <c r="G4" s="813"/>
      <c r="H4" s="813"/>
      <c r="I4" s="813"/>
      <c r="J4" s="813"/>
      <c r="K4" s="813"/>
      <c r="L4" s="813"/>
      <c r="M4" s="813"/>
      <c r="N4" s="813"/>
      <c r="O4" s="813"/>
      <c r="P4" s="813"/>
      <c r="Q4" s="813"/>
      <c r="R4" s="813"/>
      <c r="S4" s="813"/>
      <c r="T4" s="813"/>
      <c r="U4" s="817"/>
      <c r="V4" s="438"/>
      <c r="W4" s="406"/>
      <c r="X4" s="406"/>
      <c r="Y4" s="406"/>
      <c r="Z4" s="438"/>
      <c r="AA4" s="446"/>
      <c r="AB4" s="704"/>
      <c r="AC4" s="704"/>
      <c r="AD4" s="704"/>
      <c r="AE4" s="704"/>
      <c r="AF4" s="704"/>
      <c r="AG4" s="704"/>
      <c r="AH4" s="704"/>
      <c r="AI4" s="704"/>
      <c r="AJ4" s="704"/>
      <c r="AK4" s="704"/>
      <c r="AL4" s="704"/>
      <c r="AM4" s="704"/>
      <c r="AN4" s="704"/>
      <c r="AO4" s="704"/>
    </row>
    <row r="5" spans="1:42" x14ac:dyDescent="0.2">
      <c r="A5" s="1606"/>
      <c r="B5" s="439"/>
      <c r="C5" s="806"/>
      <c r="D5" s="807"/>
      <c r="E5" s="798"/>
      <c r="F5" s="814"/>
      <c r="G5" s="814"/>
      <c r="H5" s="814"/>
      <c r="I5" s="814"/>
      <c r="J5" s="814"/>
      <c r="K5" s="814"/>
      <c r="L5" s="814"/>
      <c r="M5" s="814"/>
      <c r="N5" s="814"/>
      <c r="O5" s="814"/>
      <c r="P5" s="814"/>
      <c r="Q5" s="814"/>
      <c r="R5" s="814"/>
      <c r="S5" s="814"/>
      <c r="T5" s="814"/>
      <c r="U5" s="818"/>
      <c r="V5" s="742"/>
      <c r="W5" s="379"/>
      <c r="X5" s="379"/>
      <c r="Y5" s="379"/>
      <c r="Z5" s="714"/>
      <c r="AA5" s="715"/>
      <c r="AB5" s="716"/>
      <c r="AC5" s="716"/>
      <c r="AD5" s="716"/>
      <c r="AE5" s="716"/>
      <c r="AF5" s="716"/>
      <c r="AG5" s="716"/>
      <c r="AH5" s="716"/>
      <c r="AI5" s="716"/>
      <c r="AJ5" s="716"/>
      <c r="AK5" s="716"/>
      <c r="AL5" s="716"/>
      <c r="AM5" s="716"/>
      <c r="AN5" s="716"/>
      <c r="AO5" s="716"/>
      <c r="AP5" s="713"/>
    </row>
    <row r="6" spans="1:42" x14ac:dyDescent="0.2">
      <c r="A6" s="1606"/>
      <c r="B6" s="435"/>
      <c r="C6" s="783"/>
      <c r="D6" s="783"/>
      <c r="E6" s="783"/>
      <c r="F6" s="788"/>
      <c r="G6" s="788"/>
      <c r="H6" s="788"/>
      <c r="I6" s="788"/>
      <c r="J6" s="788"/>
      <c r="K6" s="788"/>
      <c r="L6" s="788"/>
      <c r="M6" s="788"/>
      <c r="N6" s="788"/>
      <c r="O6" s="788"/>
      <c r="P6" s="788"/>
      <c r="Q6" s="788"/>
      <c r="R6" s="788"/>
      <c r="S6" s="788"/>
      <c r="T6" s="788"/>
      <c r="U6" s="787"/>
      <c r="V6" s="709"/>
      <c r="W6" s="379"/>
      <c r="X6" s="379"/>
      <c r="Z6" s="709"/>
      <c r="AA6" s="642"/>
      <c r="AB6" s="705"/>
      <c r="AC6" s="705"/>
      <c r="AD6" s="705"/>
      <c r="AE6" s="705"/>
      <c r="AF6" s="705"/>
      <c r="AG6" s="705"/>
      <c r="AH6" s="705"/>
      <c r="AI6" s="705"/>
      <c r="AJ6" s="705"/>
      <c r="AK6" s="705"/>
      <c r="AL6" s="705"/>
      <c r="AM6" s="705"/>
      <c r="AN6" s="705"/>
      <c r="AO6" s="705"/>
    </row>
    <row r="7" spans="1:42" x14ac:dyDescent="0.2">
      <c r="A7" s="1606"/>
      <c r="B7" s="378"/>
      <c r="C7" s="786"/>
      <c r="D7" s="789"/>
      <c r="E7" s="789"/>
      <c r="F7" s="792"/>
      <c r="G7" s="792"/>
      <c r="H7" s="792"/>
      <c r="I7" s="792"/>
      <c r="J7" s="792"/>
      <c r="K7" s="792"/>
      <c r="L7" s="792"/>
      <c r="M7" s="792"/>
      <c r="N7" s="808"/>
      <c r="O7" s="792"/>
      <c r="P7" s="792"/>
      <c r="Q7" s="792"/>
      <c r="R7" s="792"/>
      <c r="S7" s="792"/>
      <c r="T7" s="792"/>
      <c r="U7" s="793"/>
      <c r="V7" s="740"/>
      <c r="W7" s="379"/>
      <c r="X7" s="379"/>
      <c r="Y7" s="453"/>
      <c r="Z7" s="714"/>
      <c r="AA7" s="715"/>
      <c r="AB7" s="716"/>
      <c r="AC7" s="716"/>
      <c r="AD7" s="716"/>
      <c r="AE7" s="716"/>
      <c r="AF7" s="716"/>
      <c r="AG7" s="716"/>
      <c r="AH7" s="716"/>
      <c r="AI7" s="716"/>
      <c r="AJ7" s="716"/>
      <c r="AK7" s="716"/>
      <c r="AL7" s="716"/>
      <c r="AM7" s="716"/>
      <c r="AN7" s="716"/>
      <c r="AO7" s="716"/>
    </row>
    <row r="8" spans="1:42" x14ac:dyDescent="0.2">
      <c r="A8" s="1606"/>
      <c r="B8" s="440"/>
      <c r="C8" s="783"/>
      <c r="D8" s="783"/>
      <c r="E8" s="783"/>
      <c r="F8" s="788"/>
      <c r="G8" s="788"/>
      <c r="H8" s="788"/>
      <c r="I8" s="788"/>
      <c r="J8" s="788"/>
      <c r="K8" s="788"/>
      <c r="L8" s="788"/>
      <c r="M8" s="788"/>
      <c r="N8" s="788"/>
      <c r="O8" s="788"/>
      <c r="P8" s="788"/>
      <c r="Q8" s="788"/>
      <c r="R8" s="788"/>
      <c r="S8" s="788"/>
      <c r="T8" s="788"/>
      <c r="U8" s="787"/>
      <c r="V8" s="708"/>
      <c r="W8" s="710"/>
      <c r="X8" s="710"/>
      <c r="Y8" s="379"/>
      <c r="Z8" s="708"/>
      <c r="AA8" s="706"/>
      <c r="AB8" s="707"/>
      <c r="AC8" s="707"/>
      <c r="AD8" s="707"/>
      <c r="AE8" s="707"/>
      <c r="AF8" s="707"/>
      <c r="AG8" s="707"/>
      <c r="AH8" s="707"/>
      <c r="AI8" s="707"/>
      <c r="AJ8" s="707"/>
      <c r="AK8" s="707"/>
      <c r="AL8" s="707"/>
      <c r="AM8" s="707"/>
      <c r="AN8" s="707"/>
      <c r="AO8" s="707"/>
    </row>
    <row r="9" spans="1:42" x14ac:dyDescent="0.2">
      <c r="A9" s="1606"/>
      <c r="B9" s="441"/>
      <c r="C9" s="786"/>
      <c r="D9" s="789"/>
      <c r="E9" s="789"/>
      <c r="F9" s="792"/>
      <c r="G9" s="792"/>
      <c r="H9" s="792"/>
      <c r="I9" s="792"/>
      <c r="J9" s="792"/>
      <c r="K9" s="792"/>
      <c r="L9" s="792"/>
      <c r="M9" s="792"/>
      <c r="N9" s="808"/>
      <c r="O9" s="792"/>
      <c r="P9" s="792"/>
      <c r="Q9" s="792"/>
      <c r="R9" s="792"/>
      <c r="S9" s="792"/>
      <c r="T9" s="792"/>
      <c r="U9" s="793"/>
      <c r="V9" s="740"/>
      <c r="W9" s="379"/>
      <c r="X9" s="379"/>
      <c r="Y9" s="445"/>
      <c r="Z9" s="1530"/>
      <c r="AA9" s="715"/>
      <c r="AB9" s="716"/>
      <c r="AC9" s="716"/>
      <c r="AD9" s="716"/>
      <c r="AE9" s="716"/>
      <c r="AF9" s="716"/>
      <c r="AG9" s="716"/>
      <c r="AH9" s="716"/>
      <c r="AI9" s="716"/>
      <c r="AJ9" s="716"/>
      <c r="AK9" s="717"/>
      <c r="AL9" s="716"/>
      <c r="AM9" s="717"/>
      <c r="AN9" s="716"/>
      <c r="AO9" s="716"/>
    </row>
    <row r="10" spans="1:42" x14ac:dyDescent="0.2">
      <c r="A10" s="1606"/>
      <c r="B10" s="440"/>
      <c r="C10" s="783"/>
      <c r="D10" s="783"/>
      <c r="E10" s="783"/>
      <c r="F10" s="788"/>
      <c r="G10" s="788"/>
      <c r="H10" s="788"/>
      <c r="I10" s="788"/>
      <c r="J10" s="788"/>
      <c r="K10" s="788"/>
      <c r="L10" s="788"/>
      <c r="M10" s="788"/>
      <c r="N10" s="788"/>
      <c r="O10" s="788"/>
      <c r="P10" s="788"/>
      <c r="Q10" s="788"/>
      <c r="R10" s="788"/>
      <c r="S10" s="788"/>
      <c r="T10" s="788"/>
      <c r="U10" s="787"/>
      <c r="V10" s="708"/>
      <c r="W10" s="710"/>
      <c r="X10" s="710"/>
      <c r="Y10" s="406"/>
      <c r="Z10" s="708"/>
      <c r="AA10" s="706"/>
      <c r="AB10" s="707"/>
      <c r="AC10" s="707"/>
      <c r="AD10" s="707"/>
      <c r="AE10" s="707"/>
      <c r="AF10" s="707"/>
      <c r="AG10" s="707"/>
      <c r="AH10" s="707"/>
      <c r="AI10" s="707"/>
      <c r="AJ10" s="707"/>
      <c r="AK10" s="707"/>
      <c r="AL10" s="707"/>
      <c r="AM10" s="707"/>
      <c r="AN10" s="707"/>
      <c r="AO10" s="707"/>
    </row>
    <row r="11" spans="1:42" x14ac:dyDescent="0.2">
      <c r="A11" s="1606"/>
      <c r="B11" s="378"/>
      <c r="C11" s="786"/>
      <c r="D11" s="789"/>
      <c r="E11" s="789"/>
      <c r="F11" s="792"/>
      <c r="G11" s="792"/>
      <c r="H11" s="792"/>
      <c r="I11" s="792"/>
      <c r="J11" s="792"/>
      <c r="K11" s="792"/>
      <c r="L11" s="792"/>
      <c r="M11" s="792"/>
      <c r="N11" s="808"/>
      <c r="O11" s="792"/>
      <c r="P11" s="792"/>
      <c r="Q11" s="792"/>
      <c r="R11" s="792"/>
      <c r="S11" s="792"/>
      <c r="T11" s="792"/>
      <c r="U11" s="793"/>
      <c r="V11" s="740"/>
      <c r="W11" s="379"/>
      <c r="X11" s="379"/>
      <c r="Y11" s="379"/>
      <c r="Z11" s="714"/>
      <c r="AA11" s="715"/>
      <c r="AB11" s="716"/>
      <c r="AC11" s="716"/>
      <c r="AD11" s="716"/>
      <c r="AE11" s="716"/>
      <c r="AF11" s="716"/>
      <c r="AG11" s="716"/>
      <c r="AH11" s="716"/>
      <c r="AI11" s="716"/>
      <c r="AJ11" s="716"/>
      <c r="AK11" s="716"/>
      <c r="AL11" s="716"/>
      <c r="AM11" s="716"/>
      <c r="AN11" s="716"/>
      <c r="AO11" s="716"/>
    </row>
    <row r="12" spans="1:42" x14ac:dyDescent="0.2">
      <c r="A12" s="1606"/>
      <c r="B12" s="440"/>
      <c r="C12" s="783"/>
      <c r="D12" s="794"/>
      <c r="E12" s="795"/>
      <c r="F12" s="796"/>
      <c r="G12" s="796"/>
      <c r="H12" s="796"/>
      <c r="I12" s="796"/>
      <c r="J12" s="796"/>
      <c r="K12" s="796"/>
      <c r="L12" s="796"/>
      <c r="M12" s="796"/>
      <c r="N12" s="796"/>
      <c r="O12" s="796"/>
      <c r="P12" s="796"/>
      <c r="Q12" s="796"/>
      <c r="R12" s="796"/>
      <c r="S12" s="796"/>
      <c r="T12" s="796"/>
      <c r="U12" s="797"/>
      <c r="V12" s="708"/>
      <c r="W12" s="710"/>
      <c r="X12" s="710"/>
      <c r="Y12" s="711"/>
      <c r="Z12" s="708"/>
      <c r="AA12" s="706"/>
      <c r="AB12" s="707"/>
      <c r="AC12" s="707"/>
      <c r="AD12" s="707"/>
      <c r="AE12" s="707"/>
      <c r="AF12" s="707"/>
      <c r="AG12" s="707"/>
      <c r="AH12" s="707"/>
      <c r="AI12" s="707"/>
      <c r="AJ12" s="707"/>
      <c r="AK12" s="707"/>
      <c r="AL12" s="707"/>
      <c r="AM12" s="707"/>
      <c r="AN12" s="707"/>
      <c r="AO12" s="707"/>
    </row>
    <row r="13" spans="1:42" x14ac:dyDescent="0.2">
      <c r="A13" s="1606"/>
      <c r="B13" s="441"/>
      <c r="C13" s="786"/>
      <c r="D13" s="798"/>
      <c r="E13" s="789"/>
      <c r="F13" s="792"/>
      <c r="G13" s="792"/>
      <c r="H13" s="792"/>
      <c r="I13" s="792"/>
      <c r="J13" s="792"/>
      <c r="K13" s="792"/>
      <c r="L13" s="792"/>
      <c r="M13" s="792"/>
      <c r="N13" s="808"/>
      <c r="O13" s="792"/>
      <c r="P13" s="792"/>
      <c r="Q13" s="792"/>
      <c r="R13" s="792"/>
      <c r="S13" s="792"/>
      <c r="T13" s="792"/>
      <c r="U13" s="793"/>
      <c r="V13" s="740"/>
      <c r="W13" s="379"/>
      <c r="X13" s="379"/>
      <c r="Y13" s="453"/>
      <c r="Z13" s="714"/>
      <c r="AA13" s="715"/>
      <c r="AB13" s="717"/>
      <c r="AC13" s="716"/>
      <c r="AD13" s="716"/>
      <c r="AE13" s="716"/>
      <c r="AF13" s="716"/>
      <c r="AG13" s="716"/>
      <c r="AH13" s="716"/>
      <c r="AI13" s="716"/>
      <c r="AJ13" s="717"/>
      <c r="AK13" s="716"/>
      <c r="AL13" s="716"/>
      <c r="AM13" s="716"/>
      <c r="AN13" s="716"/>
      <c r="AO13" s="716"/>
    </row>
    <row r="14" spans="1:42" x14ac:dyDescent="0.2">
      <c r="A14" s="1606"/>
      <c r="B14" s="440"/>
      <c r="C14" s="783"/>
      <c r="D14" s="794"/>
      <c r="E14" s="795"/>
      <c r="F14" s="796"/>
      <c r="G14" s="796"/>
      <c r="H14" s="796"/>
      <c r="I14" s="796"/>
      <c r="J14" s="796"/>
      <c r="K14" s="796"/>
      <c r="L14" s="796"/>
      <c r="M14" s="796"/>
      <c r="N14" s="796"/>
      <c r="O14" s="796"/>
      <c r="P14" s="796"/>
      <c r="Q14" s="796"/>
      <c r="R14" s="796"/>
      <c r="S14" s="796"/>
      <c r="T14" s="796"/>
      <c r="U14" s="797"/>
      <c r="V14" s="708"/>
      <c r="W14" s="710"/>
      <c r="X14" s="710"/>
      <c r="Y14" s="379"/>
      <c r="Z14" s="708"/>
      <c r="AA14" s="706"/>
      <c r="AB14" s="707"/>
      <c r="AC14" s="707"/>
      <c r="AD14" s="707"/>
      <c r="AE14" s="707"/>
      <c r="AF14" s="707"/>
      <c r="AG14" s="707"/>
      <c r="AH14" s="707"/>
      <c r="AI14" s="707"/>
      <c r="AJ14" s="707"/>
      <c r="AK14" s="707"/>
      <c r="AL14" s="707"/>
      <c r="AM14" s="707"/>
      <c r="AN14" s="707"/>
      <c r="AO14" s="707"/>
    </row>
    <row r="15" spans="1:42" x14ac:dyDescent="0.2">
      <c r="A15" s="1606"/>
      <c r="B15" s="441"/>
      <c r="C15" s="790"/>
      <c r="D15" s="798"/>
      <c r="E15" s="789"/>
      <c r="F15" s="792"/>
      <c r="G15" s="792"/>
      <c r="H15" s="792"/>
      <c r="I15" s="792"/>
      <c r="J15" s="792"/>
      <c r="K15" s="792"/>
      <c r="L15" s="792"/>
      <c r="M15" s="792"/>
      <c r="N15" s="808"/>
      <c r="O15" s="792"/>
      <c r="P15" s="792"/>
      <c r="Q15" s="792"/>
      <c r="R15" s="792"/>
      <c r="S15" s="792"/>
      <c r="T15" s="792"/>
      <c r="U15" s="793"/>
      <c r="V15" s="740"/>
      <c r="W15" s="379"/>
      <c r="X15" s="379"/>
      <c r="Y15" s="445"/>
      <c r="Z15" s="714"/>
      <c r="AA15" s="715"/>
      <c r="AB15" s="717"/>
      <c r="AC15" s="716"/>
      <c r="AD15" s="716"/>
      <c r="AE15" s="716"/>
      <c r="AF15" s="716"/>
      <c r="AG15" s="716"/>
      <c r="AH15" s="716"/>
      <c r="AI15" s="716"/>
      <c r="AJ15" s="717"/>
      <c r="AK15" s="716"/>
      <c r="AL15" s="716"/>
      <c r="AM15" s="716"/>
      <c r="AN15" s="716"/>
      <c r="AO15" s="716"/>
    </row>
    <row r="16" spans="1:42" x14ac:dyDescent="0.2">
      <c r="A16" s="1606"/>
      <c r="B16" s="440"/>
      <c r="C16" s="783"/>
      <c r="D16" s="783"/>
      <c r="E16" s="783"/>
      <c r="F16" s="788"/>
      <c r="G16" s="788"/>
      <c r="H16" s="788"/>
      <c r="I16" s="788"/>
      <c r="J16" s="788"/>
      <c r="K16" s="788"/>
      <c r="L16" s="788"/>
      <c r="M16" s="788"/>
      <c r="N16" s="788"/>
      <c r="O16" s="788"/>
      <c r="P16" s="788"/>
      <c r="Q16" s="788"/>
      <c r="R16" s="788"/>
      <c r="S16" s="788"/>
      <c r="T16" s="788"/>
      <c r="U16" s="787"/>
      <c r="V16" s="708"/>
      <c r="W16" s="710"/>
      <c r="X16" s="710"/>
      <c r="Y16" s="406"/>
      <c r="Z16" s="708"/>
      <c r="AA16" s="706"/>
      <c r="AB16" s="707"/>
      <c r="AC16" s="707"/>
      <c r="AD16" s="707"/>
      <c r="AE16" s="707"/>
      <c r="AF16" s="707"/>
      <c r="AG16" s="707"/>
      <c r="AH16" s="707"/>
      <c r="AI16" s="707"/>
      <c r="AJ16" s="707"/>
      <c r="AK16" s="707"/>
      <c r="AL16" s="707"/>
      <c r="AM16" s="707"/>
      <c r="AN16" s="707"/>
      <c r="AO16" s="707"/>
    </row>
    <row r="17" spans="1:41" x14ac:dyDescent="0.2">
      <c r="A17" s="1606"/>
      <c r="B17" s="378"/>
      <c r="C17" s="786"/>
      <c r="D17" s="789"/>
      <c r="E17" s="789"/>
      <c r="F17" s="792"/>
      <c r="G17" s="792"/>
      <c r="H17" s="792"/>
      <c r="I17" s="792"/>
      <c r="J17" s="792"/>
      <c r="K17" s="792"/>
      <c r="L17" s="792"/>
      <c r="M17" s="792"/>
      <c r="N17" s="808"/>
      <c r="O17" s="792"/>
      <c r="P17" s="792"/>
      <c r="Q17" s="792"/>
      <c r="R17" s="792"/>
      <c r="S17" s="792"/>
      <c r="T17" s="792"/>
      <c r="U17" s="793"/>
      <c r="V17" s="740"/>
      <c r="W17" s="379"/>
      <c r="X17" s="379"/>
      <c r="Y17" s="379"/>
      <c r="Z17" s="714"/>
      <c r="AA17" s="715"/>
      <c r="AB17" s="716"/>
      <c r="AC17" s="716"/>
      <c r="AD17" s="716"/>
      <c r="AE17" s="716"/>
      <c r="AF17" s="716"/>
      <c r="AG17" s="716"/>
      <c r="AH17" s="716"/>
      <c r="AI17" s="716"/>
      <c r="AJ17" s="716"/>
      <c r="AK17" s="716"/>
      <c r="AL17" s="716"/>
      <c r="AM17" s="717"/>
      <c r="AN17" s="716"/>
      <c r="AO17" s="716"/>
    </row>
    <row r="18" spans="1:41" x14ac:dyDescent="0.2">
      <c r="A18" s="1606"/>
      <c r="B18" s="440"/>
      <c r="C18" s="783"/>
      <c r="D18" s="783"/>
      <c r="E18" s="783"/>
      <c r="F18" s="788"/>
      <c r="G18" s="788"/>
      <c r="H18" s="788"/>
      <c r="I18" s="788"/>
      <c r="J18" s="788"/>
      <c r="K18" s="788"/>
      <c r="L18" s="788"/>
      <c r="M18" s="788"/>
      <c r="N18" s="788"/>
      <c r="O18" s="788"/>
      <c r="P18" s="788"/>
      <c r="Q18" s="788"/>
      <c r="R18" s="788"/>
      <c r="S18" s="788"/>
      <c r="T18" s="788"/>
      <c r="U18" s="787"/>
      <c r="V18" s="708"/>
      <c r="W18" s="710"/>
      <c r="X18" s="710"/>
      <c r="Y18" s="445"/>
      <c r="Z18" s="708"/>
      <c r="AA18" s="706"/>
      <c r="AB18" s="707"/>
      <c r="AC18" s="707"/>
      <c r="AD18" s="707"/>
      <c r="AE18" s="707"/>
      <c r="AF18" s="707"/>
      <c r="AG18" s="707"/>
      <c r="AH18" s="707"/>
      <c r="AI18" s="707"/>
      <c r="AJ18" s="707"/>
      <c r="AK18" s="707"/>
      <c r="AL18" s="707"/>
      <c r="AM18" s="707"/>
      <c r="AN18" s="707"/>
      <c r="AO18" s="707"/>
    </row>
    <row r="19" spans="1:41" x14ac:dyDescent="0.2">
      <c r="A19" s="1606"/>
      <c r="B19" s="441"/>
      <c r="C19" s="786"/>
      <c r="D19" s="789"/>
      <c r="E19" s="789"/>
      <c r="F19" s="792"/>
      <c r="G19" s="792"/>
      <c r="H19" s="792"/>
      <c r="I19" s="792"/>
      <c r="J19" s="792"/>
      <c r="K19" s="792"/>
      <c r="L19" s="792"/>
      <c r="M19" s="792"/>
      <c r="N19" s="808"/>
      <c r="O19" s="792"/>
      <c r="P19" s="792"/>
      <c r="Q19" s="792"/>
      <c r="R19" s="792"/>
      <c r="S19" s="792"/>
      <c r="T19" s="792"/>
      <c r="U19" s="793"/>
      <c r="V19" s="743"/>
      <c r="W19" s="379"/>
      <c r="X19" s="379"/>
      <c r="Y19" s="406"/>
      <c r="Z19" s="714"/>
      <c r="AA19" s="715"/>
      <c r="AB19" s="716"/>
      <c r="AC19" s="716"/>
      <c r="AD19" s="716"/>
      <c r="AE19" s="716"/>
      <c r="AF19" s="716"/>
      <c r="AG19" s="716"/>
      <c r="AH19" s="716"/>
      <c r="AI19" s="716"/>
      <c r="AJ19" s="716"/>
      <c r="AK19" s="716"/>
      <c r="AL19" s="716"/>
      <c r="AM19" s="716"/>
      <c r="AN19" s="716"/>
      <c r="AO19" s="716"/>
    </row>
    <row r="20" spans="1:41" x14ac:dyDescent="0.2">
      <c r="A20" s="1606"/>
      <c r="B20" s="440"/>
      <c r="C20" s="783"/>
      <c r="D20" s="783"/>
      <c r="E20" s="783"/>
      <c r="F20" s="788"/>
      <c r="G20" s="788"/>
      <c r="H20" s="788"/>
      <c r="I20" s="788"/>
      <c r="J20" s="788"/>
      <c r="K20" s="788"/>
      <c r="L20" s="788"/>
      <c r="M20" s="788"/>
      <c r="N20" s="788"/>
      <c r="O20" s="788"/>
      <c r="P20" s="788"/>
      <c r="Q20" s="788"/>
      <c r="R20" s="788"/>
      <c r="S20" s="788"/>
      <c r="T20" s="788"/>
      <c r="U20" s="787"/>
      <c r="V20" s="708"/>
      <c r="W20" s="710"/>
      <c r="X20" s="710"/>
      <c r="Y20" s="379"/>
      <c r="Z20" s="708"/>
      <c r="AA20" s="706"/>
      <c r="AB20" s="707"/>
      <c r="AC20" s="707"/>
      <c r="AD20" s="707"/>
      <c r="AE20" s="707"/>
      <c r="AF20" s="707"/>
      <c r="AG20" s="707"/>
      <c r="AH20" s="707"/>
      <c r="AI20" s="707"/>
      <c r="AJ20" s="707"/>
      <c r="AK20" s="707"/>
      <c r="AL20" s="707"/>
      <c r="AM20" s="707"/>
      <c r="AN20" s="707"/>
      <c r="AO20" s="707"/>
    </row>
    <row r="21" spans="1:41" x14ac:dyDescent="0.2">
      <c r="A21" s="1606"/>
      <c r="B21" s="441"/>
      <c r="C21" s="786"/>
      <c r="D21" s="789"/>
      <c r="E21" s="789"/>
      <c r="F21" s="792"/>
      <c r="G21" s="792"/>
      <c r="H21" s="792"/>
      <c r="I21" s="792"/>
      <c r="J21" s="792"/>
      <c r="K21" s="792"/>
      <c r="L21" s="792"/>
      <c r="M21" s="792"/>
      <c r="N21" s="808"/>
      <c r="O21" s="792"/>
      <c r="P21" s="792"/>
      <c r="Q21" s="792"/>
      <c r="R21" s="792"/>
      <c r="S21" s="792"/>
      <c r="T21" s="792"/>
      <c r="U21" s="793"/>
      <c r="V21" s="740"/>
      <c r="W21" s="379"/>
      <c r="X21" s="379"/>
      <c r="Y21" s="445"/>
      <c r="Z21" s="714"/>
      <c r="AA21" s="715"/>
      <c r="AB21" s="716"/>
      <c r="AC21" s="716"/>
      <c r="AD21" s="716"/>
      <c r="AE21" s="716"/>
      <c r="AF21" s="716"/>
      <c r="AG21" s="716"/>
      <c r="AH21" s="716"/>
      <c r="AI21" s="716"/>
      <c r="AJ21" s="716"/>
      <c r="AK21" s="717"/>
      <c r="AL21" s="716"/>
      <c r="AM21" s="716"/>
      <c r="AN21" s="716"/>
      <c r="AO21" s="716"/>
    </row>
    <row r="22" spans="1:41" x14ac:dyDescent="0.2">
      <c r="A22" s="1606"/>
      <c r="B22" s="435"/>
      <c r="C22" s="783"/>
      <c r="D22" s="794"/>
      <c r="E22" s="795"/>
      <c r="F22" s="796"/>
      <c r="G22" s="796"/>
      <c r="H22" s="796"/>
      <c r="I22" s="796"/>
      <c r="J22" s="796"/>
      <c r="K22" s="796"/>
      <c r="L22" s="796"/>
      <c r="M22" s="796"/>
      <c r="N22" s="796"/>
      <c r="O22" s="796"/>
      <c r="P22" s="796"/>
      <c r="Q22" s="796"/>
      <c r="R22" s="796"/>
      <c r="S22" s="796"/>
      <c r="T22" s="796"/>
      <c r="U22" s="797"/>
      <c r="V22" s="708"/>
      <c r="W22" s="710"/>
      <c r="X22" s="710"/>
      <c r="Y22" s="406"/>
      <c r="Z22" s="708"/>
      <c r="AA22" s="706"/>
      <c r="AB22" s="707"/>
      <c r="AC22" s="707"/>
      <c r="AD22" s="707"/>
      <c r="AE22" s="707"/>
      <c r="AF22" s="707"/>
      <c r="AG22" s="707"/>
      <c r="AH22" s="707"/>
      <c r="AI22" s="707"/>
      <c r="AJ22" s="707"/>
      <c r="AK22" s="707"/>
      <c r="AL22" s="707"/>
      <c r="AM22" s="707"/>
      <c r="AN22" s="707"/>
      <c r="AO22" s="707"/>
    </row>
    <row r="23" spans="1:41" x14ac:dyDescent="0.2">
      <c r="A23" s="1606"/>
      <c r="B23" s="378"/>
      <c r="C23" s="786"/>
      <c r="D23" s="798"/>
      <c r="E23" s="789"/>
      <c r="F23" s="792"/>
      <c r="G23" s="792"/>
      <c r="H23" s="792"/>
      <c r="I23" s="792"/>
      <c r="J23" s="792"/>
      <c r="K23" s="792"/>
      <c r="L23" s="792"/>
      <c r="M23" s="792"/>
      <c r="N23" s="808"/>
      <c r="O23" s="792"/>
      <c r="P23" s="792"/>
      <c r="Q23" s="792"/>
      <c r="R23" s="792"/>
      <c r="S23" s="792"/>
      <c r="T23" s="792"/>
      <c r="U23" s="793"/>
      <c r="V23" s="740"/>
      <c r="W23" s="379"/>
      <c r="X23" s="379"/>
      <c r="Y23" s="379"/>
      <c r="Z23" s="714"/>
      <c r="AA23" s="715"/>
      <c r="AB23" s="716"/>
      <c r="AC23" s="716"/>
      <c r="AD23" s="716"/>
      <c r="AE23" s="716"/>
      <c r="AF23" s="716"/>
      <c r="AG23" s="716"/>
      <c r="AH23" s="716"/>
      <c r="AI23" s="716"/>
      <c r="AJ23" s="716"/>
      <c r="AK23" s="716"/>
      <c r="AL23" s="716"/>
      <c r="AM23" s="716"/>
      <c r="AN23" s="716"/>
      <c r="AO23" s="716"/>
    </row>
    <row r="24" spans="1:41" x14ac:dyDescent="0.2">
      <c r="A24" s="1606"/>
      <c r="B24" s="440"/>
      <c r="C24" s="783"/>
      <c r="D24" s="794"/>
      <c r="E24" s="795"/>
      <c r="F24" s="796"/>
      <c r="G24" s="796"/>
      <c r="H24" s="796"/>
      <c r="I24" s="796"/>
      <c r="J24" s="796"/>
      <c r="K24" s="796"/>
      <c r="L24" s="796"/>
      <c r="M24" s="796"/>
      <c r="N24" s="796"/>
      <c r="O24" s="796"/>
      <c r="P24" s="796"/>
      <c r="Q24" s="796"/>
      <c r="R24" s="796"/>
      <c r="S24" s="796"/>
      <c r="T24" s="796"/>
      <c r="U24" s="797"/>
      <c r="V24" s="708"/>
      <c r="W24" s="710"/>
      <c r="X24" s="710"/>
      <c r="Y24" s="445"/>
      <c r="Z24" s="708"/>
      <c r="AA24" s="706"/>
      <c r="AB24" s="707"/>
      <c r="AC24" s="707"/>
      <c r="AD24" s="707"/>
      <c r="AE24" s="707"/>
      <c r="AF24" s="707"/>
      <c r="AG24" s="707"/>
      <c r="AH24" s="707"/>
      <c r="AI24" s="707"/>
      <c r="AJ24" s="707"/>
      <c r="AK24" s="707"/>
      <c r="AL24" s="707"/>
      <c r="AM24" s="707"/>
      <c r="AN24" s="707"/>
      <c r="AO24" s="707"/>
    </row>
    <row r="25" spans="1:41" x14ac:dyDescent="0.2">
      <c r="A25" s="1606"/>
      <c r="B25" s="441"/>
      <c r="C25" s="790"/>
      <c r="D25" s="798"/>
      <c r="E25" s="789"/>
      <c r="F25" s="792"/>
      <c r="G25" s="792"/>
      <c r="H25" s="792"/>
      <c r="I25" s="792"/>
      <c r="J25" s="792"/>
      <c r="K25" s="792"/>
      <c r="L25" s="792"/>
      <c r="M25" s="792"/>
      <c r="N25" s="808"/>
      <c r="O25" s="792"/>
      <c r="P25" s="792"/>
      <c r="Q25" s="792"/>
      <c r="R25" s="792"/>
      <c r="S25" s="792"/>
      <c r="T25" s="792"/>
      <c r="U25" s="793"/>
      <c r="V25" s="740"/>
      <c r="W25" s="379"/>
      <c r="X25" s="379"/>
      <c r="Y25" s="406"/>
      <c r="Z25" s="714"/>
      <c r="AA25" s="715"/>
      <c r="AB25" s="716"/>
      <c r="AC25" s="716"/>
      <c r="AD25" s="716"/>
      <c r="AE25" s="716"/>
      <c r="AF25" s="716"/>
      <c r="AG25" s="716"/>
      <c r="AH25" s="716"/>
      <c r="AI25" s="716"/>
      <c r="AJ25" s="717"/>
      <c r="AK25" s="716"/>
      <c r="AL25" s="716"/>
      <c r="AM25" s="717"/>
      <c r="AN25" s="716"/>
      <c r="AO25" s="716"/>
    </row>
    <row r="26" spans="1:41" x14ac:dyDescent="0.2">
      <c r="A26" s="1606"/>
      <c r="B26" s="440"/>
      <c r="C26" s="783"/>
      <c r="D26" s="783"/>
      <c r="E26" s="783"/>
      <c r="F26" s="788"/>
      <c r="G26" s="788"/>
      <c r="H26" s="788"/>
      <c r="I26" s="788"/>
      <c r="J26" s="788"/>
      <c r="K26" s="788"/>
      <c r="L26" s="788"/>
      <c r="M26" s="788"/>
      <c r="N26" s="788"/>
      <c r="O26" s="788"/>
      <c r="P26" s="788"/>
      <c r="Q26" s="788"/>
      <c r="R26" s="788"/>
      <c r="S26" s="788"/>
      <c r="T26" s="788"/>
      <c r="U26" s="787"/>
      <c r="V26" s="708"/>
      <c r="W26" s="710"/>
      <c r="X26" s="710"/>
      <c r="Y26" s="379"/>
      <c r="Z26" s="708"/>
      <c r="AA26" s="706"/>
      <c r="AB26" s="707"/>
      <c r="AC26" s="707"/>
      <c r="AD26" s="707"/>
      <c r="AE26" s="707"/>
      <c r="AF26" s="707"/>
      <c r="AG26" s="707"/>
      <c r="AH26" s="707"/>
      <c r="AI26" s="707"/>
      <c r="AJ26" s="707"/>
      <c r="AK26" s="707"/>
      <c r="AL26" s="707"/>
      <c r="AM26" s="707"/>
      <c r="AN26" s="707"/>
      <c r="AO26" s="707"/>
    </row>
    <row r="27" spans="1:41" x14ac:dyDescent="0.2">
      <c r="A27" s="1606"/>
      <c r="B27" s="378"/>
      <c r="C27" s="786"/>
      <c r="D27" s="789"/>
      <c r="E27" s="789"/>
      <c r="F27" s="792"/>
      <c r="G27" s="792"/>
      <c r="H27" s="792"/>
      <c r="I27" s="792"/>
      <c r="J27" s="792"/>
      <c r="K27" s="792"/>
      <c r="L27" s="792"/>
      <c r="M27" s="792"/>
      <c r="N27" s="808"/>
      <c r="O27" s="792"/>
      <c r="P27" s="792"/>
      <c r="Q27" s="792"/>
      <c r="R27" s="792"/>
      <c r="S27" s="792"/>
      <c r="T27" s="792"/>
      <c r="U27" s="793"/>
      <c r="V27" s="740"/>
      <c r="W27" s="379"/>
      <c r="X27" s="379"/>
      <c r="Y27" s="445"/>
      <c r="Z27" s="714"/>
      <c r="AA27" s="715"/>
      <c r="AB27" s="716"/>
      <c r="AC27" s="716"/>
      <c r="AD27" s="716"/>
      <c r="AE27" s="716"/>
      <c r="AF27" s="716"/>
      <c r="AG27" s="716"/>
      <c r="AH27" s="716"/>
      <c r="AI27" s="716"/>
      <c r="AJ27" s="716"/>
      <c r="AK27" s="716"/>
      <c r="AL27" s="716"/>
      <c r="AM27" s="716"/>
      <c r="AN27" s="716"/>
      <c r="AO27" s="716"/>
    </row>
    <row r="28" spans="1:41" x14ac:dyDescent="0.2">
      <c r="A28" s="1606"/>
      <c r="B28" s="440"/>
      <c r="C28" s="783"/>
      <c r="D28" s="783"/>
      <c r="E28" s="783"/>
      <c r="F28" s="788"/>
      <c r="G28" s="788"/>
      <c r="H28" s="788"/>
      <c r="I28" s="788"/>
      <c r="J28" s="788"/>
      <c r="K28" s="788"/>
      <c r="L28" s="788"/>
      <c r="M28" s="788"/>
      <c r="N28" s="788"/>
      <c r="O28" s="788"/>
      <c r="P28" s="788"/>
      <c r="Q28" s="788"/>
      <c r="R28" s="788"/>
      <c r="S28" s="788"/>
      <c r="T28" s="788"/>
      <c r="U28" s="787"/>
      <c r="V28" s="708"/>
      <c r="W28" s="710"/>
      <c r="X28" s="710"/>
      <c r="Y28" s="406"/>
      <c r="Z28" s="708"/>
      <c r="AA28" s="706"/>
      <c r="AB28" s="707"/>
      <c r="AC28" s="707"/>
      <c r="AD28" s="707"/>
      <c r="AE28" s="707"/>
      <c r="AF28" s="707"/>
      <c r="AG28" s="707"/>
      <c r="AH28" s="707"/>
      <c r="AI28" s="707"/>
      <c r="AJ28" s="707"/>
      <c r="AK28" s="707"/>
      <c r="AL28" s="707"/>
      <c r="AM28" s="707"/>
      <c r="AN28" s="707"/>
      <c r="AO28" s="707"/>
    </row>
    <row r="29" spans="1:41" x14ac:dyDescent="0.2">
      <c r="A29" s="1606"/>
      <c r="B29" s="441"/>
      <c r="C29" s="786"/>
      <c r="D29" s="789"/>
      <c r="E29" s="789"/>
      <c r="F29" s="792"/>
      <c r="G29" s="792"/>
      <c r="H29" s="792"/>
      <c r="I29" s="792"/>
      <c r="J29" s="792"/>
      <c r="K29" s="792"/>
      <c r="L29" s="792"/>
      <c r="M29" s="792"/>
      <c r="N29" s="808"/>
      <c r="O29" s="792"/>
      <c r="P29" s="792"/>
      <c r="Q29" s="792"/>
      <c r="R29" s="792"/>
      <c r="S29" s="792"/>
      <c r="T29" s="792"/>
      <c r="U29" s="793"/>
      <c r="V29" s="740"/>
      <c r="W29" s="379"/>
      <c r="X29" s="379"/>
      <c r="Y29" s="379"/>
      <c r="Z29" s="714"/>
      <c r="AA29" s="715"/>
      <c r="AB29" s="716"/>
      <c r="AC29" s="716"/>
      <c r="AD29" s="716"/>
      <c r="AE29" s="716"/>
      <c r="AF29" s="716"/>
      <c r="AG29" s="716"/>
      <c r="AH29" s="716"/>
      <c r="AI29" s="716"/>
      <c r="AJ29" s="716"/>
      <c r="AK29" s="716"/>
      <c r="AL29" s="716"/>
      <c r="AM29" s="716"/>
      <c r="AN29" s="716"/>
      <c r="AO29" s="716"/>
    </row>
    <row r="30" spans="1:41" x14ac:dyDescent="0.2">
      <c r="A30" s="1606"/>
      <c r="B30" s="440"/>
      <c r="C30" s="783"/>
      <c r="D30" s="783"/>
      <c r="E30" s="783"/>
      <c r="F30" s="788"/>
      <c r="G30" s="788"/>
      <c r="H30" s="788"/>
      <c r="I30" s="788"/>
      <c r="J30" s="788"/>
      <c r="K30" s="788"/>
      <c r="L30" s="788"/>
      <c r="M30" s="788"/>
      <c r="N30" s="788"/>
      <c r="O30" s="788"/>
      <c r="P30" s="788"/>
      <c r="Q30" s="788"/>
      <c r="R30" s="788"/>
      <c r="S30" s="788"/>
      <c r="T30" s="788"/>
      <c r="U30" s="787"/>
      <c r="V30" s="708"/>
      <c r="W30" s="710"/>
      <c r="X30" s="710"/>
      <c r="Y30" s="445"/>
      <c r="Z30" s="708"/>
      <c r="AA30" s="706"/>
      <c r="AB30" s="707"/>
      <c r="AC30" s="707"/>
      <c r="AD30" s="707"/>
      <c r="AE30" s="707"/>
      <c r="AF30" s="707"/>
      <c r="AG30" s="707"/>
      <c r="AH30" s="707"/>
      <c r="AI30" s="707"/>
      <c r="AJ30" s="707"/>
      <c r="AK30" s="707"/>
      <c r="AL30" s="707"/>
      <c r="AM30" s="707"/>
      <c r="AN30" s="707"/>
      <c r="AO30" s="707"/>
    </row>
    <row r="31" spans="1:41" x14ac:dyDescent="0.2">
      <c r="A31" s="1606"/>
      <c r="B31" s="378"/>
      <c r="C31" s="786"/>
      <c r="D31" s="789"/>
      <c r="E31" s="789"/>
      <c r="F31" s="792"/>
      <c r="G31" s="792"/>
      <c r="H31" s="792"/>
      <c r="I31" s="792"/>
      <c r="J31" s="792"/>
      <c r="K31" s="792"/>
      <c r="L31" s="792"/>
      <c r="M31" s="792"/>
      <c r="N31" s="808"/>
      <c r="O31" s="792"/>
      <c r="P31" s="792"/>
      <c r="Q31" s="792"/>
      <c r="R31" s="792"/>
      <c r="S31" s="792"/>
      <c r="T31" s="792"/>
      <c r="U31" s="793"/>
      <c r="V31" s="740"/>
      <c r="W31" s="379"/>
      <c r="X31" s="379"/>
      <c r="Y31" s="406"/>
      <c r="Z31" s="714"/>
      <c r="AA31" s="715"/>
      <c r="AB31" s="716"/>
      <c r="AC31" s="716"/>
      <c r="AD31" s="716"/>
      <c r="AE31" s="716"/>
      <c r="AF31" s="716"/>
      <c r="AG31" s="716"/>
      <c r="AH31" s="716"/>
      <c r="AI31" s="716"/>
      <c r="AJ31" s="716"/>
      <c r="AK31" s="716"/>
      <c r="AL31" s="716"/>
      <c r="AM31" s="716"/>
      <c r="AN31" s="716"/>
      <c r="AO31" s="716"/>
    </row>
    <row r="32" spans="1:41" x14ac:dyDescent="0.2">
      <c r="A32" s="1606"/>
      <c r="B32" s="440"/>
      <c r="C32" s="783"/>
      <c r="D32" s="794"/>
      <c r="E32" s="795"/>
      <c r="F32" s="796"/>
      <c r="G32" s="796"/>
      <c r="H32" s="796"/>
      <c r="I32" s="796"/>
      <c r="J32" s="796"/>
      <c r="K32" s="796"/>
      <c r="L32" s="796"/>
      <c r="M32" s="796"/>
      <c r="N32" s="796"/>
      <c r="O32" s="796"/>
      <c r="P32" s="796"/>
      <c r="Q32" s="796"/>
      <c r="R32" s="796"/>
      <c r="S32" s="796"/>
      <c r="T32" s="796"/>
      <c r="U32" s="797"/>
      <c r="V32" s="708"/>
      <c r="W32" s="710"/>
      <c r="X32" s="710"/>
      <c r="Y32" s="379"/>
      <c r="Z32" s="708"/>
      <c r="AA32" s="706"/>
      <c r="AB32" s="707"/>
      <c r="AC32" s="707"/>
      <c r="AD32" s="707"/>
      <c r="AE32" s="707"/>
      <c r="AF32" s="707"/>
      <c r="AG32" s="707"/>
      <c r="AH32" s="707"/>
      <c r="AI32" s="707"/>
      <c r="AJ32" s="707"/>
      <c r="AK32" s="707"/>
      <c r="AL32" s="707"/>
      <c r="AM32" s="707"/>
      <c r="AN32" s="707"/>
      <c r="AO32" s="707"/>
    </row>
    <row r="33" spans="1:41" x14ac:dyDescent="0.2">
      <c r="A33" s="1606"/>
      <c r="B33" s="439"/>
      <c r="C33" s="790"/>
      <c r="D33" s="798"/>
      <c r="E33" s="789"/>
      <c r="F33" s="792"/>
      <c r="G33" s="792"/>
      <c r="H33" s="792"/>
      <c r="I33" s="792"/>
      <c r="J33" s="792"/>
      <c r="K33" s="792"/>
      <c r="L33" s="792"/>
      <c r="M33" s="792"/>
      <c r="N33" s="808"/>
      <c r="O33" s="792"/>
      <c r="P33" s="792"/>
      <c r="Q33" s="792"/>
      <c r="R33" s="792"/>
      <c r="S33" s="792"/>
      <c r="T33" s="792"/>
      <c r="U33" s="793"/>
      <c r="V33" s="740"/>
      <c r="W33" s="379"/>
      <c r="X33" s="379"/>
      <c r="Y33" s="445"/>
      <c r="Z33" s="714"/>
      <c r="AA33" s="715"/>
      <c r="AB33" s="716"/>
      <c r="AC33" s="716"/>
      <c r="AD33" s="716"/>
      <c r="AE33" s="716"/>
      <c r="AF33" s="716"/>
      <c r="AG33" s="716"/>
      <c r="AH33" s="716"/>
      <c r="AI33" s="716"/>
      <c r="AJ33" s="716"/>
      <c r="AK33" s="716"/>
      <c r="AL33" s="716"/>
      <c r="AM33" s="716"/>
      <c r="AN33" s="716"/>
      <c r="AO33" s="716"/>
    </row>
    <row r="34" spans="1:41" x14ac:dyDescent="0.2">
      <c r="A34" s="1606"/>
      <c r="B34" s="440"/>
      <c r="C34" s="783"/>
      <c r="D34" s="783"/>
      <c r="E34" s="783"/>
      <c r="F34" s="788"/>
      <c r="G34" s="788"/>
      <c r="H34" s="788"/>
      <c r="I34" s="788"/>
      <c r="J34" s="788"/>
      <c r="K34" s="788"/>
      <c r="L34" s="788"/>
      <c r="M34" s="788"/>
      <c r="N34" s="788"/>
      <c r="O34" s="788"/>
      <c r="P34" s="788"/>
      <c r="Q34" s="788"/>
      <c r="R34" s="788"/>
      <c r="S34" s="788"/>
      <c r="T34" s="788"/>
      <c r="U34" s="787"/>
      <c r="V34" s="708"/>
      <c r="W34" s="710"/>
      <c r="X34" s="710"/>
      <c r="Y34" s="406"/>
      <c r="Z34" s="708"/>
      <c r="AA34" s="706"/>
      <c r="AB34" s="707"/>
      <c r="AC34" s="707"/>
      <c r="AD34" s="707"/>
      <c r="AE34" s="707"/>
      <c r="AF34" s="707"/>
      <c r="AG34" s="707"/>
      <c r="AH34" s="707"/>
      <c r="AI34" s="707"/>
      <c r="AJ34" s="707"/>
      <c r="AK34" s="707"/>
      <c r="AL34" s="707"/>
      <c r="AM34" s="707"/>
      <c r="AN34" s="707"/>
      <c r="AO34" s="707"/>
    </row>
    <row r="35" spans="1:41" x14ac:dyDescent="0.2">
      <c r="A35" s="1606"/>
      <c r="B35" s="441"/>
      <c r="C35" s="786"/>
      <c r="D35" s="789"/>
      <c r="E35" s="789"/>
      <c r="F35" s="792"/>
      <c r="G35" s="792"/>
      <c r="H35" s="792"/>
      <c r="I35" s="792"/>
      <c r="J35" s="792"/>
      <c r="K35" s="792"/>
      <c r="L35" s="792"/>
      <c r="M35" s="792"/>
      <c r="N35" s="808"/>
      <c r="O35" s="792"/>
      <c r="P35" s="792"/>
      <c r="Q35" s="792"/>
      <c r="R35" s="792"/>
      <c r="S35" s="792"/>
      <c r="T35" s="792"/>
      <c r="U35" s="793"/>
      <c r="V35" s="740"/>
      <c r="W35" s="379"/>
      <c r="X35" s="379"/>
      <c r="Y35" s="379"/>
      <c r="Z35" s="714"/>
      <c r="AA35" s="715"/>
      <c r="AB35" s="716"/>
      <c r="AC35" s="716"/>
      <c r="AD35" s="716"/>
      <c r="AE35" s="716"/>
      <c r="AF35" s="716"/>
      <c r="AG35" s="716"/>
      <c r="AH35" s="716"/>
      <c r="AI35" s="716"/>
      <c r="AJ35" s="716"/>
      <c r="AK35" s="716"/>
      <c r="AL35" s="716"/>
      <c r="AM35" s="716"/>
      <c r="AN35" s="716"/>
      <c r="AO35" s="716"/>
    </row>
    <row r="36" spans="1:41" x14ac:dyDescent="0.2">
      <c r="A36" s="1606"/>
      <c r="B36" s="435"/>
      <c r="C36" s="809"/>
      <c r="D36" s="810"/>
      <c r="E36" s="795"/>
      <c r="F36" s="796"/>
      <c r="G36" s="796"/>
      <c r="H36" s="796"/>
      <c r="I36" s="796"/>
      <c r="J36" s="796"/>
      <c r="K36" s="796"/>
      <c r="L36" s="796"/>
      <c r="M36" s="796"/>
      <c r="N36" s="796"/>
      <c r="O36" s="796"/>
      <c r="P36" s="796"/>
      <c r="Q36" s="796"/>
      <c r="R36" s="796"/>
      <c r="S36" s="796"/>
      <c r="T36" s="796"/>
      <c r="U36" s="797"/>
      <c r="V36" s="708"/>
      <c r="W36" s="710"/>
      <c r="X36" s="710"/>
      <c r="Y36" s="445"/>
      <c r="Z36" s="708"/>
      <c r="AA36" s="706"/>
      <c r="AB36" s="707"/>
      <c r="AC36" s="707"/>
      <c r="AD36" s="707"/>
      <c r="AE36" s="707"/>
      <c r="AF36" s="707"/>
      <c r="AG36" s="707"/>
      <c r="AH36" s="707"/>
      <c r="AI36" s="707"/>
      <c r="AJ36" s="707"/>
      <c r="AK36" s="707"/>
      <c r="AL36" s="707"/>
      <c r="AM36" s="707"/>
      <c r="AN36" s="707"/>
      <c r="AO36" s="707"/>
    </row>
    <row r="37" spans="1:41" x14ac:dyDescent="0.2">
      <c r="A37" s="1606"/>
      <c r="B37" s="378"/>
      <c r="C37" s="790"/>
      <c r="D37" s="798"/>
      <c r="E37" s="789"/>
      <c r="F37" s="792"/>
      <c r="G37" s="792"/>
      <c r="H37" s="792"/>
      <c r="I37" s="792"/>
      <c r="J37" s="792"/>
      <c r="K37" s="792"/>
      <c r="L37" s="792"/>
      <c r="M37" s="792"/>
      <c r="N37" s="808"/>
      <c r="O37" s="792"/>
      <c r="P37" s="792"/>
      <c r="Q37" s="792"/>
      <c r="R37" s="792"/>
      <c r="S37" s="792"/>
      <c r="T37" s="792"/>
      <c r="U37" s="793"/>
      <c r="V37" s="742"/>
      <c r="W37" s="379"/>
      <c r="X37" s="379"/>
      <c r="Y37" s="406"/>
      <c r="Z37" s="714"/>
      <c r="AA37" s="715"/>
      <c r="AB37" s="716"/>
      <c r="AC37" s="716"/>
      <c r="AD37" s="716"/>
      <c r="AE37" s="716"/>
      <c r="AF37" s="716"/>
      <c r="AG37" s="716"/>
      <c r="AH37" s="716"/>
      <c r="AI37" s="716"/>
      <c r="AJ37" s="716"/>
      <c r="AK37" s="717"/>
      <c r="AL37" s="716"/>
      <c r="AM37" s="716"/>
      <c r="AN37" s="716"/>
      <c r="AO37" s="716"/>
    </row>
    <row r="38" spans="1:41" x14ac:dyDescent="0.2">
      <c r="A38" s="1606"/>
      <c r="B38" s="454"/>
      <c r="C38" s="783"/>
      <c r="D38" s="783"/>
      <c r="E38" s="783"/>
      <c r="F38" s="788"/>
      <c r="G38" s="788"/>
      <c r="H38" s="788"/>
      <c r="I38" s="788"/>
      <c r="J38" s="788"/>
      <c r="K38" s="788"/>
      <c r="L38" s="788"/>
      <c r="M38" s="788"/>
      <c r="N38" s="788"/>
      <c r="O38" s="788"/>
      <c r="P38" s="788"/>
      <c r="Q38" s="788"/>
      <c r="R38" s="788"/>
      <c r="S38" s="788"/>
      <c r="T38" s="788"/>
      <c r="U38" s="787"/>
      <c r="V38" s="438"/>
      <c r="W38" s="710"/>
      <c r="X38" s="710"/>
      <c r="Y38" s="379"/>
      <c r="Z38" s="438"/>
      <c r="AA38" s="706"/>
      <c r="AB38" s="707"/>
      <c r="AC38" s="707"/>
      <c r="AD38" s="707"/>
      <c r="AE38" s="707"/>
      <c r="AF38" s="707"/>
      <c r="AG38" s="707"/>
      <c r="AH38" s="707"/>
      <c r="AI38" s="707"/>
      <c r="AJ38" s="707"/>
      <c r="AK38" s="707"/>
      <c r="AL38" s="707"/>
      <c r="AM38" s="707"/>
      <c r="AN38" s="707"/>
      <c r="AO38" s="707"/>
    </row>
    <row r="39" spans="1:41" x14ac:dyDescent="0.2">
      <c r="A39" s="1607"/>
      <c r="B39" s="441"/>
      <c r="C39" s="786"/>
      <c r="D39" s="789"/>
      <c r="E39" s="789"/>
      <c r="F39" s="792"/>
      <c r="G39" s="792"/>
      <c r="H39" s="792"/>
      <c r="I39" s="792"/>
      <c r="J39" s="792"/>
      <c r="K39" s="792"/>
      <c r="L39" s="792"/>
      <c r="M39" s="792"/>
      <c r="N39" s="808"/>
      <c r="O39" s="792"/>
      <c r="P39" s="792"/>
      <c r="Q39" s="792"/>
      <c r="R39" s="792"/>
      <c r="S39" s="792"/>
      <c r="T39" s="792"/>
      <c r="U39" s="793"/>
      <c r="V39" s="740"/>
      <c r="W39" s="379"/>
      <c r="X39" s="379"/>
      <c r="Y39" s="445"/>
      <c r="Z39" s="714"/>
      <c r="AA39" s="715"/>
      <c r="AB39" s="716"/>
      <c r="AC39" s="716"/>
      <c r="AD39" s="716"/>
      <c r="AE39" s="716"/>
      <c r="AF39" s="716"/>
      <c r="AG39" s="716"/>
      <c r="AH39" s="716"/>
      <c r="AI39" s="716"/>
      <c r="AJ39" s="716"/>
      <c r="AK39" s="717"/>
      <c r="AL39" s="716"/>
      <c r="AM39" s="716"/>
      <c r="AN39" s="716"/>
      <c r="AO39" s="716"/>
    </row>
    <row r="40" spans="1:41" x14ac:dyDescent="0.2">
      <c r="A40" s="1605"/>
      <c r="B40" s="456"/>
      <c r="C40" s="809"/>
      <c r="D40" s="810"/>
      <c r="E40" s="795"/>
      <c r="F40" s="796"/>
      <c r="G40" s="796"/>
      <c r="H40" s="796"/>
      <c r="I40" s="796"/>
      <c r="J40" s="796"/>
      <c r="K40" s="796"/>
      <c r="L40" s="796"/>
      <c r="M40" s="796"/>
      <c r="N40" s="796"/>
      <c r="O40" s="796"/>
      <c r="P40" s="796"/>
      <c r="Q40" s="796"/>
      <c r="R40" s="796"/>
      <c r="S40" s="796"/>
      <c r="T40" s="796"/>
      <c r="U40" s="797"/>
      <c r="V40" s="708"/>
      <c r="W40" s="710"/>
      <c r="X40" s="710"/>
      <c r="Y40" s="406"/>
      <c r="Z40" s="708"/>
      <c r="AA40" s="706"/>
      <c r="AB40" s="707"/>
      <c r="AC40" s="707"/>
      <c r="AD40" s="707"/>
      <c r="AE40" s="707"/>
      <c r="AF40" s="707"/>
      <c r="AG40" s="707"/>
      <c r="AH40" s="707"/>
      <c r="AI40" s="707"/>
      <c r="AJ40" s="707"/>
      <c r="AK40" s="707"/>
      <c r="AL40" s="707"/>
      <c r="AM40" s="707"/>
      <c r="AN40" s="707"/>
      <c r="AO40" s="707"/>
    </row>
    <row r="41" spans="1:41" x14ac:dyDescent="0.2">
      <c r="A41" s="1608"/>
      <c r="B41" s="455"/>
      <c r="C41" s="790"/>
      <c r="D41" s="798"/>
      <c r="E41" s="789"/>
      <c r="F41" s="792"/>
      <c r="G41" s="792"/>
      <c r="H41" s="792"/>
      <c r="I41" s="792"/>
      <c r="J41" s="792"/>
      <c r="K41" s="792"/>
      <c r="L41" s="792"/>
      <c r="M41" s="792"/>
      <c r="N41" s="808"/>
      <c r="O41" s="792"/>
      <c r="P41" s="792"/>
      <c r="Q41" s="792"/>
      <c r="R41" s="792"/>
      <c r="S41" s="792"/>
      <c r="T41" s="792"/>
      <c r="U41" s="793"/>
      <c r="V41" s="740"/>
      <c r="W41" s="379"/>
      <c r="X41" s="379"/>
      <c r="Y41" s="379"/>
      <c r="Z41" s="714"/>
      <c r="AA41" s="715"/>
      <c r="AB41" s="716"/>
      <c r="AC41" s="716"/>
      <c r="AD41" s="716"/>
      <c r="AE41" s="716"/>
      <c r="AF41" s="716"/>
      <c r="AG41" s="716"/>
      <c r="AH41" s="716"/>
      <c r="AI41" s="716"/>
      <c r="AJ41" s="716"/>
      <c r="AK41" s="716"/>
      <c r="AL41" s="716"/>
      <c r="AM41" s="716"/>
      <c r="AN41" s="716"/>
      <c r="AO41" s="716"/>
    </row>
    <row r="42" spans="1:41" x14ac:dyDescent="0.2">
      <c r="A42" s="1608"/>
      <c r="B42" s="456"/>
      <c r="C42" s="783"/>
      <c r="D42" s="794"/>
      <c r="E42" s="795"/>
      <c r="F42" s="796"/>
      <c r="G42" s="796"/>
      <c r="H42" s="796"/>
      <c r="I42" s="796"/>
      <c r="J42" s="796"/>
      <c r="K42" s="796"/>
      <c r="L42" s="796"/>
      <c r="M42" s="796"/>
      <c r="N42" s="1529"/>
      <c r="O42" s="796"/>
      <c r="P42" s="796"/>
      <c r="Q42" s="796"/>
      <c r="R42" s="796"/>
      <c r="S42" s="796"/>
      <c r="T42" s="796"/>
      <c r="U42" s="797"/>
      <c r="V42" s="708"/>
      <c r="W42" s="710"/>
      <c r="X42" s="710"/>
      <c r="Y42" s="445"/>
      <c r="Z42" s="708"/>
      <c r="AA42" s="706"/>
      <c r="AB42" s="707"/>
      <c r="AC42" s="707"/>
      <c r="AD42" s="707"/>
      <c r="AE42" s="707"/>
      <c r="AF42" s="707"/>
      <c r="AG42" s="707"/>
      <c r="AH42" s="707"/>
      <c r="AI42" s="707"/>
      <c r="AJ42" s="707"/>
      <c r="AK42" s="707"/>
      <c r="AL42" s="707"/>
      <c r="AM42" s="707"/>
      <c r="AN42" s="707"/>
      <c r="AO42" s="707"/>
    </row>
    <row r="43" spans="1:41" x14ac:dyDescent="0.2">
      <c r="A43" s="1608"/>
      <c r="B43" s="712"/>
      <c r="C43" s="790"/>
      <c r="D43" s="798"/>
      <c r="E43" s="789"/>
      <c r="F43" s="792"/>
      <c r="G43" s="792"/>
      <c r="H43" s="792"/>
      <c r="I43" s="792"/>
      <c r="J43" s="792"/>
      <c r="K43" s="792"/>
      <c r="L43" s="792"/>
      <c r="M43" s="792"/>
      <c r="N43" s="814"/>
      <c r="O43" s="792"/>
      <c r="P43" s="792"/>
      <c r="Q43" s="792"/>
      <c r="R43" s="792"/>
      <c r="S43" s="792"/>
      <c r="T43" s="792"/>
      <c r="U43" s="793"/>
      <c r="V43" s="742"/>
      <c r="W43" s="379"/>
      <c r="X43" s="379"/>
      <c r="Y43" s="406"/>
      <c r="Z43" s="717"/>
      <c r="AA43" s="715"/>
      <c r="AB43" s="716"/>
      <c r="AC43" s="716"/>
      <c r="AD43" s="716"/>
      <c r="AE43" s="716"/>
      <c r="AF43" s="716"/>
      <c r="AG43" s="716"/>
      <c r="AH43" s="716"/>
      <c r="AI43" s="716"/>
      <c r="AJ43" s="716"/>
      <c r="AK43" s="717"/>
      <c r="AL43" s="716"/>
      <c r="AM43" s="717"/>
      <c r="AN43" s="716"/>
      <c r="AO43" s="716"/>
    </row>
    <row r="44" spans="1:41" x14ac:dyDescent="0.2">
      <c r="A44" s="1608"/>
      <c r="B44" s="456"/>
      <c r="C44" s="783"/>
      <c r="D44" s="794"/>
      <c r="E44" s="795"/>
      <c r="F44" s="796"/>
      <c r="G44" s="796"/>
      <c r="H44" s="796"/>
      <c r="I44" s="796"/>
      <c r="J44" s="796"/>
      <c r="K44" s="796"/>
      <c r="L44" s="796"/>
      <c r="M44" s="796"/>
      <c r="N44" s="1528"/>
      <c r="O44" s="796"/>
      <c r="P44" s="796"/>
      <c r="Q44" s="796"/>
      <c r="R44" s="796"/>
      <c r="S44" s="796"/>
      <c r="T44" s="796"/>
      <c r="U44" s="797"/>
      <c r="V44" s="708"/>
      <c r="W44" s="710"/>
      <c r="X44" s="710"/>
      <c r="Y44" s="379"/>
      <c r="Z44" s="708"/>
      <c r="AA44" s="706"/>
      <c r="AB44" s="707"/>
      <c r="AC44" s="707"/>
      <c r="AD44" s="707"/>
      <c r="AE44" s="707"/>
      <c r="AF44" s="707"/>
      <c r="AG44" s="707"/>
      <c r="AH44" s="707"/>
      <c r="AI44" s="707"/>
      <c r="AJ44" s="707"/>
      <c r="AK44" s="707"/>
      <c r="AL44" s="707"/>
      <c r="AM44" s="707"/>
      <c r="AN44" s="707"/>
      <c r="AO44" s="707"/>
    </row>
    <row r="45" spans="1:41" x14ac:dyDescent="0.2">
      <c r="A45" s="1608"/>
      <c r="B45" s="455"/>
      <c r="C45" s="786"/>
      <c r="D45" s="798"/>
      <c r="E45" s="789"/>
      <c r="F45" s="792"/>
      <c r="G45" s="792"/>
      <c r="H45" s="792"/>
      <c r="I45" s="792"/>
      <c r="J45" s="792"/>
      <c r="K45" s="792"/>
      <c r="L45" s="792"/>
      <c r="M45" s="792"/>
      <c r="N45" s="808"/>
      <c r="O45" s="792"/>
      <c r="P45" s="792"/>
      <c r="Q45" s="792"/>
      <c r="R45" s="792"/>
      <c r="S45" s="792"/>
      <c r="T45" s="792"/>
      <c r="U45" s="793"/>
      <c r="V45" s="740"/>
      <c r="W45" s="379"/>
      <c r="X45" s="379"/>
      <c r="Y45" s="445"/>
      <c r="Z45" s="714"/>
      <c r="AA45" s="715"/>
      <c r="AB45" s="716"/>
      <c r="AC45" s="716"/>
      <c r="AD45" s="716"/>
      <c r="AE45" s="716"/>
      <c r="AF45" s="716"/>
      <c r="AG45" s="716"/>
      <c r="AH45" s="716"/>
      <c r="AI45" s="716"/>
      <c r="AJ45" s="716"/>
      <c r="AK45" s="716"/>
      <c r="AL45" s="716"/>
      <c r="AM45" s="716"/>
      <c r="AN45" s="716"/>
      <c r="AO45" s="716"/>
    </row>
    <row r="46" spans="1:41" x14ac:dyDescent="0.2">
      <c r="A46" s="1608"/>
      <c r="B46" s="457"/>
      <c r="C46" s="783"/>
      <c r="D46" s="794"/>
      <c r="E46" s="795"/>
      <c r="F46" s="796"/>
      <c r="G46" s="796"/>
      <c r="H46" s="796"/>
      <c r="I46" s="796"/>
      <c r="J46" s="796"/>
      <c r="K46" s="796"/>
      <c r="L46" s="796"/>
      <c r="M46" s="796"/>
      <c r="N46" s="796"/>
      <c r="O46" s="796"/>
      <c r="P46" s="796"/>
      <c r="Q46" s="796"/>
      <c r="R46" s="796"/>
      <c r="S46" s="796"/>
      <c r="T46" s="796"/>
      <c r="U46" s="797"/>
      <c r="V46" s="708"/>
      <c r="W46" s="710"/>
      <c r="X46" s="710"/>
      <c r="Y46" s="406"/>
      <c r="Z46" s="708"/>
      <c r="AA46" s="706"/>
      <c r="AB46" s="707"/>
      <c r="AC46" s="707"/>
      <c r="AD46" s="707"/>
      <c r="AE46" s="707"/>
      <c r="AF46" s="707"/>
      <c r="AG46" s="707"/>
      <c r="AH46" s="707"/>
      <c r="AI46" s="707"/>
      <c r="AJ46" s="707"/>
      <c r="AK46" s="707"/>
      <c r="AL46" s="707"/>
      <c r="AM46" s="707"/>
      <c r="AN46" s="707"/>
      <c r="AO46" s="707"/>
    </row>
    <row r="47" spans="1:41" x14ac:dyDescent="0.2">
      <c r="A47" s="1608"/>
      <c r="B47" s="455"/>
      <c r="C47" s="790"/>
      <c r="D47" s="798"/>
      <c r="E47" s="789"/>
      <c r="F47" s="792"/>
      <c r="G47" s="792"/>
      <c r="H47" s="792"/>
      <c r="I47" s="792"/>
      <c r="J47" s="792"/>
      <c r="K47" s="792"/>
      <c r="L47" s="792"/>
      <c r="M47" s="792"/>
      <c r="N47" s="808"/>
      <c r="O47" s="792"/>
      <c r="P47" s="792"/>
      <c r="Q47" s="792"/>
      <c r="R47" s="792"/>
      <c r="S47" s="792"/>
      <c r="T47" s="792"/>
      <c r="U47" s="793"/>
      <c r="V47" s="740"/>
      <c r="W47" s="379"/>
      <c r="X47" s="379"/>
      <c r="Y47" s="379"/>
      <c r="Z47" s="716"/>
      <c r="AA47" s="715"/>
      <c r="AB47" s="716"/>
      <c r="AC47" s="716"/>
      <c r="AD47" s="716"/>
      <c r="AE47" s="716"/>
      <c r="AF47" s="717"/>
      <c r="AG47" s="717"/>
      <c r="AH47" s="716"/>
      <c r="AI47" s="717"/>
      <c r="AJ47" s="716"/>
      <c r="AK47" s="716"/>
      <c r="AL47" s="717"/>
      <c r="AM47" s="717"/>
      <c r="AN47" s="716"/>
      <c r="AO47" s="716"/>
    </row>
    <row r="48" spans="1:41" x14ac:dyDescent="0.2">
      <c r="A48" s="1608"/>
      <c r="B48" s="457"/>
      <c r="C48" s="783"/>
      <c r="D48" s="783"/>
      <c r="E48" s="783"/>
      <c r="F48" s="788"/>
      <c r="G48" s="788"/>
      <c r="H48" s="788"/>
      <c r="I48" s="788"/>
      <c r="J48" s="788"/>
      <c r="K48" s="788"/>
      <c r="L48" s="788"/>
      <c r="M48" s="788"/>
      <c r="N48" s="788"/>
      <c r="O48" s="788"/>
      <c r="P48" s="788"/>
      <c r="Q48" s="788"/>
      <c r="R48" s="788"/>
      <c r="S48" s="788"/>
      <c r="T48" s="788"/>
      <c r="U48" s="787"/>
      <c r="V48" s="708"/>
      <c r="W48" s="710"/>
      <c r="X48" s="710"/>
      <c r="Y48" s="445"/>
      <c r="Z48" s="708"/>
      <c r="AA48" s="706"/>
      <c r="AB48" s="707"/>
      <c r="AC48" s="707"/>
      <c r="AD48" s="707"/>
      <c r="AE48" s="707"/>
      <c r="AF48" s="707"/>
      <c r="AG48" s="707"/>
      <c r="AH48" s="707"/>
      <c r="AI48" s="707"/>
      <c r="AJ48" s="707"/>
      <c r="AK48" s="707"/>
      <c r="AL48" s="707"/>
      <c r="AM48" s="707"/>
      <c r="AN48" s="707"/>
      <c r="AO48" s="707"/>
    </row>
    <row r="49" spans="1:41" x14ac:dyDescent="0.2">
      <c r="A49" s="1608"/>
      <c r="B49" s="712"/>
      <c r="C49" s="786"/>
      <c r="D49" s="789"/>
      <c r="E49" s="789"/>
      <c r="F49" s="792"/>
      <c r="G49" s="792"/>
      <c r="H49" s="792"/>
      <c r="I49" s="792"/>
      <c r="J49" s="792"/>
      <c r="K49" s="792"/>
      <c r="L49" s="792"/>
      <c r="M49" s="792"/>
      <c r="N49" s="808"/>
      <c r="O49" s="792"/>
      <c r="P49" s="792"/>
      <c r="Q49" s="792"/>
      <c r="R49" s="792"/>
      <c r="S49" s="792"/>
      <c r="T49" s="792"/>
      <c r="U49" s="793"/>
      <c r="V49" s="740"/>
      <c r="W49" s="379"/>
      <c r="X49" s="379"/>
      <c r="Y49" s="406"/>
      <c r="Z49" s="714"/>
      <c r="AA49" s="715"/>
      <c r="AB49" s="716"/>
      <c r="AC49" s="717"/>
      <c r="AD49" s="717"/>
      <c r="AE49" s="716"/>
      <c r="AF49" s="716"/>
      <c r="AG49" s="716"/>
      <c r="AH49" s="717"/>
      <c r="AI49" s="716"/>
      <c r="AJ49" s="716"/>
      <c r="AK49" s="716"/>
      <c r="AL49" s="716"/>
      <c r="AM49" s="717"/>
      <c r="AN49" s="716"/>
      <c r="AO49" s="716"/>
    </row>
    <row r="50" spans="1:41" x14ac:dyDescent="0.2">
      <c r="A50" s="1608"/>
      <c r="B50" s="457"/>
      <c r="C50" s="783"/>
      <c r="D50" s="794"/>
      <c r="E50" s="795"/>
      <c r="F50" s="796"/>
      <c r="G50" s="796"/>
      <c r="H50" s="796"/>
      <c r="I50" s="796"/>
      <c r="J50" s="796"/>
      <c r="K50" s="796"/>
      <c r="L50" s="796"/>
      <c r="M50" s="796"/>
      <c r="N50" s="796"/>
      <c r="O50" s="796"/>
      <c r="P50" s="796"/>
      <c r="Q50" s="796"/>
      <c r="R50" s="796"/>
      <c r="S50" s="796"/>
      <c r="T50" s="796"/>
      <c r="U50" s="797"/>
      <c r="V50" s="708"/>
      <c r="W50" s="710"/>
      <c r="X50" s="710"/>
      <c r="Y50" s="379"/>
      <c r="Z50" s="708"/>
      <c r="AA50" s="706"/>
      <c r="AB50" s="707"/>
      <c r="AC50" s="707"/>
      <c r="AD50" s="707"/>
      <c r="AE50" s="707"/>
      <c r="AF50" s="707"/>
      <c r="AG50" s="707"/>
      <c r="AH50" s="707"/>
      <c r="AI50" s="707"/>
      <c r="AJ50" s="707"/>
      <c r="AK50" s="707"/>
      <c r="AL50" s="707"/>
      <c r="AM50" s="707"/>
      <c r="AN50" s="707"/>
      <c r="AO50" s="707"/>
    </row>
    <row r="51" spans="1:41" x14ac:dyDescent="0.2">
      <c r="A51" s="1608"/>
      <c r="B51" s="712"/>
      <c r="C51" s="786"/>
      <c r="D51" s="798"/>
      <c r="E51" s="789"/>
      <c r="F51" s="808"/>
      <c r="G51" s="808"/>
      <c r="H51" s="808"/>
      <c r="I51" s="808"/>
      <c r="J51" s="808"/>
      <c r="K51" s="808"/>
      <c r="L51" s="808"/>
      <c r="M51" s="808"/>
      <c r="N51" s="808"/>
      <c r="O51" s="808"/>
      <c r="P51" s="808"/>
      <c r="Q51" s="808"/>
      <c r="R51" s="808"/>
      <c r="S51" s="808"/>
      <c r="T51" s="808"/>
      <c r="U51" s="793"/>
      <c r="V51" s="740"/>
      <c r="W51" s="379"/>
      <c r="X51" s="379"/>
      <c r="Y51" s="445"/>
      <c r="Z51" s="714"/>
      <c r="AA51" s="715"/>
      <c r="AB51" s="716"/>
      <c r="AC51" s="716"/>
      <c r="AD51" s="716"/>
      <c r="AE51" s="716"/>
      <c r="AF51" s="716"/>
      <c r="AG51" s="716"/>
      <c r="AH51" s="716"/>
      <c r="AI51" s="716"/>
      <c r="AJ51" s="716"/>
      <c r="AK51" s="716"/>
      <c r="AL51" s="716"/>
      <c r="AM51" s="716"/>
      <c r="AN51" s="716"/>
      <c r="AO51" s="716"/>
    </row>
    <row r="52" spans="1:41" x14ac:dyDescent="0.2">
      <c r="A52" s="1608"/>
      <c r="B52" s="457"/>
      <c r="C52" s="783"/>
      <c r="D52" s="794"/>
      <c r="E52" s="795"/>
      <c r="F52" s="796"/>
      <c r="G52" s="796"/>
      <c r="H52" s="796"/>
      <c r="I52" s="796"/>
      <c r="J52" s="796"/>
      <c r="K52" s="796"/>
      <c r="L52" s="796"/>
      <c r="M52" s="796"/>
      <c r="N52" s="796"/>
      <c r="O52" s="796"/>
      <c r="P52" s="796"/>
      <c r="Q52" s="796"/>
      <c r="R52" s="796"/>
      <c r="S52" s="796"/>
      <c r="T52" s="796"/>
      <c r="U52" s="797"/>
      <c r="V52" s="708"/>
      <c r="W52" s="710"/>
      <c r="X52" s="710"/>
      <c r="Y52" s="406"/>
      <c r="Z52" s="708"/>
      <c r="AA52" s="706"/>
      <c r="AB52" s="707"/>
      <c r="AC52" s="707"/>
      <c r="AD52" s="707"/>
      <c r="AE52" s="707"/>
      <c r="AF52" s="707"/>
      <c r="AG52" s="707"/>
      <c r="AH52" s="707"/>
      <c r="AI52" s="707"/>
      <c r="AJ52" s="707"/>
      <c r="AK52" s="707"/>
      <c r="AL52" s="707"/>
      <c r="AM52" s="707"/>
      <c r="AN52" s="707"/>
      <c r="AO52" s="707"/>
    </row>
    <row r="53" spans="1:41" x14ac:dyDescent="0.2">
      <c r="A53" s="1608"/>
      <c r="B53" s="455"/>
      <c r="C53" s="786"/>
      <c r="D53" s="798"/>
      <c r="E53" s="789"/>
      <c r="F53" s="792"/>
      <c r="G53" s="792"/>
      <c r="H53" s="792"/>
      <c r="I53" s="792"/>
      <c r="J53" s="792"/>
      <c r="K53" s="792"/>
      <c r="L53" s="792"/>
      <c r="M53" s="792"/>
      <c r="N53" s="808"/>
      <c r="O53" s="792"/>
      <c r="P53" s="792"/>
      <c r="Q53" s="792"/>
      <c r="R53" s="792"/>
      <c r="S53" s="792"/>
      <c r="T53" s="792"/>
      <c r="U53" s="793"/>
      <c r="V53" s="740"/>
      <c r="W53" s="379"/>
      <c r="X53" s="379"/>
      <c r="Y53" s="379"/>
      <c r="Z53" s="1530"/>
      <c r="AA53" s="715"/>
      <c r="AB53" s="716"/>
      <c r="AC53" s="716"/>
      <c r="AD53" s="716"/>
      <c r="AE53" s="716"/>
      <c r="AF53" s="716"/>
      <c r="AG53" s="716"/>
      <c r="AH53" s="716"/>
      <c r="AI53" s="716"/>
      <c r="AJ53" s="716"/>
      <c r="AK53" s="716"/>
      <c r="AL53" s="716"/>
      <c r="AM53" s="716"/>
      <c r="AN53" s="716"/>
      <c r="AO53" s="716"/>
    </row>
    <row r="54" spans="1:41" x14ac:dyDescent="0.2">
      <c r="A54" s="1608"/>
      <c r="B54" s="456"/>
      <c r="C54" s="783"/>
      <c r="D54" s="794"/>
      <c r="E54" s="795"/>
      <c r="F54" s="796"/>
      <c r="G54" s="796"/>
      <c r="H54" s="796"/>
      <c r="I54" s="796"/>
      <c r="J54" s="796"/>
      <c r="K54" s="796"/>
      <c r="L54" s="796"/>
      <c r="M54" s="796"/>
      <c r="N54" s="796"/>
      <c r="O54" s="796"/>
      <c r="P54" s="796"/>
      <c r="Q54" s="796"/>
      <c r="R54" s="796"/>
      <c r="S54" s="796"/>
      <c r="T54" s="796"/>
      <c r="U54" s="797"/>
      <c r="V54" s="708"/>
      <c r="W54" s="710"/>
      <c r="X54" s="710"/>
      <c r="Y54" s="445"/>
      <c r="Z54" s="708"/>
      <c r="AA54" s="706"/>
      <c r="AB54" s="707"/>
      <c r="AC54" s="707"/>
      <c r="AD54" s="707"/>
      <c r="AE54" s="707"/>
      <c r="AF54" s="707"/>
      <c r="AG54" s="707"/>
      <c r="AH54" s="707"/>
      <c r="AI54" s="707"/>
      <c r="AJ54" s="707"/>
      <c r="AK54" s="707"/>
      <c r="AL54" s="707"/>
      <c r="AM54" s="707"/>
      <c r="AN54" s="707"/>
      <c r="AO54" s="707"/>
    </row>
    <row r="55" spans="1:41" x14ac:dyDescent="0.2">
      <c r="A55" s="1608"/>
      <c r="B55" s="455"/>
      <c r="C55" s="786"/>
      <c r="D55" s="798"/>
      <c r="E55" s="789"/>
      <c r="F55" s="792"/>
      <c r="G55" s="792"/>
      <c r="H55" s="792"/>
      <c r="I55" s="792"/>
      <c r="J55" s="792"/>
      <c r="K55" s="792"/>
      <c r="L55" s="792"/>
      <c r="M55" s="792"/>
      <c r="N55" s="808"/>
      <c r="O55" s="792"/>
      <c r="P55" s="792"/>
      <c r="Q55" s="792"/>
      <c r="R55" s="792"/>
      <c r="S55" s="792"/>
      <c r="T55" s="792"/>
      <c r="U55" s="793"/>
      <c r="V55" s="740"/>
      <c r="W55" s="379"/>
      <c r="X55" s="379"/>
      <c r="Y55" s="406"/>
      <c r="Z55" s="714"/>
      <c r="AA55" s="715"/>
      <c r="AB55" s="716"/>
      <c r="AC55" s="716"/>
      <c r="AD55" s="716"/>
      <c r="AE55" s="716"/>
      <c r="AF55" s="716"/>
      <c r="AG55" s="716"/>
      <c r="AH55" s="716"/>
      <c r="AI55" s="716"/>
      <c r="AJ55" s="716"/>
      <c r="AK55" s="716"/>
      <c r="AL55" s="716"/>
      <c r="AM55" s="716"/>
      <c r="AN55" s="716"/>
      <c r="AO55" s="716"/>
    </row>
    <row r="56" spans="1:41" x14ac:dyDescent="0.2">
      <c r="A56" s="1608"/>
      <c r="B56" s="456"/>
      <c r="C56" s="783"/>
      <c r="D56" s="794"/>
      <c r="E56" s="795"/>
      <c r="F56" s="796"/>
      <c r="G56" s="796"/>
      <c r="H56" s="796"/>
      <c r="I56" s="796"/>
      <c r="J56" s="796"/>
      <c r="K56" s="796"/>
      <c r="L56" s="796"/>
      <c r="M56" s="796"/>
      <c r="N56" s="796"/>
      <c r="O56" s="796"/>
      <c r="P56" s="796"/>
      <c r="Q56" s="796"/>
      <c r="R56" s="796"/>
      <c r="S56" s="796"/>
      <c r="T56" s="796"/>
      <c r="U56" s="797"/>
      <c r="V56" s="708"/>
      <c r="W56" s="710"/>
      <c r="X56" s="710"/>
      <c r="Y56" s="379"/>
      <c r="Z56" s="708"/>
      <c r="AA56" s="706"/>
      <c r="AB56" s="707"/>
      <c r="AC56" s="707"/>
      <c r="AD56" s="707"/>
      <c r="AE56" s="707"/>
      <c r="AF56" s="707"/>
      <c r="AG56" s="707"/>
      <c r="AH56" s="707"/>
      <c r="AI56" s="707"/>
      <c r="AJ56" s="707"/>
      <c r="AK56" s="707"/>
      <c r="AL56" s="707"/>
      <c r="AM56" s="707"/>
      <c r="AN56" s="707"/>
      <c r="AO56" s="707"/>
    </row>
    <row r="57" spans="1:41" x14ac:dyDescent="0.2">
      <c r="A57" s="1608"/>
      <c r="B57" s="712"/>
      <c r="C57" s="786"/>
      <c r="D57" s="798"/>
      <c r="E57" s="789"/>
      <c r="F57" s="792"/>
      <c r="G57" s="792"/>
      <c r="H57" s="792"/>
      <c r="I57" s="792"/>
      <c r="J57" s="792"/>
      <c r="K57" s="792"/>
      <c r="L57" s="792"/>
      <c r="M57" s="792"/>
      <c r="N57" s="808"/>
      <c r="O57" s="792"/>
      <c r="P57" s="792"/>
      <c r="Q57" s="792"/>
      <c r="R57" s="792"/>
      <c r="S57" s="792"/>
      <c r="T57" s="792"/>
      <c r="U57" s="793"/>
      <c r="V57" s="740"/>
      <c r="W57" s="379"/>
      <c r="X57" s="379"/>
      <c r="Y57" s="445"/>
      <c r="Z57" s="714"/>
      <c r="AA57" s="715"/>
      <c r="AB57" s="716"/>
      <c r="AC57" s="716"/>
      <c r="AD57" s="716"/>
      <c r="AE57" s="716"/>
      <c r="AF57" s="716"/>
      <c r="AG57" s="716"/>
      <c r="AH57" s="716"/>
      <c r="AI57" s="716"/>
      <c r="AJ57" s="716"/>
      <c r="AK57" s="716"/>
      <c r="AL57" s="716"/>
      <c r="AM57" s="716"/>
      <c r="AN57" s="716"/>
      <c r="AO57" s="716"/>
    </row>
    <row r="58" spans="1:41" x14ac:dyDescent="0.2">
      <c r="A58" s="1608"/>
      <c r="B58" s="760"/>
      <c r="C58" s="783"/>
      <c r="D58" s="794"/>
      <c r="E58" s="795"/>
      <c r="F58" s="796"/>
      <c r="G58" s="796"/>
      <c r="H58" s="796"/>
      <c r="I58" s="796"/>
      <c r="J58" s="796"/>
      <c r="K58" s="796"/>
      <c r="L58" s="796"/>
      <c r="M58" s="796"/>
      <c r="N58" s="796"/>
      <c r="O58" s="796"/>
      <c r="P58" s="796"/>
      <c r="Q58" s="796"/>
      <c r="R58" s="796"/>
      <c r="S58" s="796"/>
      <c r="T58" s="796"/>
      <c r="U58" s="797"/>
      <c r="V58" s="708"/>
      <c r="W58" s="710"/>
      <c r="X58" s="710"/>
      <c r="Y58" s="406"/>
      <c r="Z58" s="708"/>
      <c r="AA58" s="706"/>
      <c r="AB58" s="707"/>
      <c r="AC58" s="707"/>
      <c r="AD58" s="707"/>
      <c r="AE58" s="707"/>
      <c r="AF58" s="707"/>
      <c r="AG58" s="707"/>
      <c r="AH58" s="707"/>
      <c r="AI58" s="707"/>
      <c r="AJ58" s="707"/>
      <c r="AK58" s="707"/>
      <c r="AL58" s="707"/>
      <c r="AM58" s="707"/>
      <c r="AN58" s="707"/>
      <c r="AO58" s="707"/>
    </row>
    <row r="59" spans="1:41" x14ac:dyDescent="0.2">
      <c r="A59" s="1608"/>
      <c r="B59" s="759"/>
      <c r="C59" s="786"/>
      <c r="D59" s="798"/>
      <c r="E59" s="789"/>
      <c r="F59" s="792"/>
      <c r="G59" s="792"/>
      <c r="H59" s="792"/>
      <c r="I59" s="792"/>
      <c r="J59" s="792"/>
      <c r="K59" s="792"/>
      <c r="L59" s="792"/>
      <c r="M59" s="792"/>
      <c r="N59" s="808"/>
      <c r="O59" s="792"/>
      <c r="P59" s="792"/>
      <c r="Q59" s="792"/>
      <c r="R59" s="792"/>
      <c r="S59" s="792"/>
      <c r="T59" s="792"/>
      <c r="U59" s="793"/>
      <c r="V59" s="740"/>
      <c r="W59" s="379"/>
      <c r="X59" s="379"/>
      <c r="Y59" s="379"/>
      <c r="Z59" s="714"/>
      <c r="AA59" s="715"/>
      <c r="AB59" s="716"/>
      <c r="AC59" s="716"/>
      <c r="AD59" s="716"/>
      <c r="AE59" s="716"/>
      <c r="AF59" s="716"/>
      <c r="AG59" s="716"/>
      <c r="AH59" s="716"/>
      <c r="AI59" s="716"/>
      <c r="AJ59" s="716"/>
      <c r="AK59" s="716"/>
      <c r="AL59" s="716"/>
      <c r="AM59" s="716"/>
      <c r="AN59" s="716"/>
      <c r="AO59" s="716"/>
    </row>
    <row r="60" spans="1:41" x14ac:dyDescent="0.2">
      <c r="A60" s="1608"/>
      <c r="B60" s="457"/>
      <c r="C60" s="783"/>
      <c r="D60" s="794"/>
      <c r="E60" s="795"/>
      <c r="F60" s="796"/>
      <c r="G60" s="796"/>
      <c r="H60" s="796"/>
      <c r="I60" s="796"/>
      <c r="J60" s="796"/>
      <c r="K60" s="796"/>
      <c r="L60" s="796"/>
      <c r="M60" s="796"/>
      <c r="N60" s="796"/>
      <c r="O60" s="796"/>
      <c r="P60" s="796"/>
      <c r="Q60" s="796"/>
      <c r="R60" s="796"/>
      <c r="S60" s="796"/>
      <c r="T60" s="796"/>
      <c r="U60" s="797"/>
      <c r="V60" s="708"/>
      <c r="W60" s="710"/>
      <c r="X60" s="710"/>
      <c r="Y60" s="445"/>
      <c r="Z60" s="708"/>
      <c r="AA60" s="706"/>
      <c r="AB60" s="707"/>
      <c r="AC60" s="707"/>
      <c r="AD60" s="707"/>
      <c r="AE60" s="707"/>
      <c r="AF60" s="707"/>
      <c r="AG60" s="707"/>
      <c r="AH60" s="707"/>
      <c r="AI60" s="707"/>
      <c r="AJ60" s="707"/>
      <c r="AK60" s="707"/>
      <c r="AL60" s="707"/>
      <c r="AM60" s="707"/>
      <c r="AN60" s="707"/>
      <c r="AO60" s="707"/>
    </row>
    <row r="61" spans="1:41" x14ac:dyDescent="0.2">
      <c r="A61" s="1608"/>
      <c r="B61" s="458"/>
      <c r="C61" s="786"/>
      <c r="D61" s="798"/>
      <c r="E61" s="789"/>
      <c r="F61" s="792"/>
      <c r="G61" s="792"/>
      <c r="H61" s="792"/>
      <c r="I61" s="792"/>
      <c r="J61" s="792"/>
      <c r="K61" s="792"/>
      <c r="L61" s="792"/>
      <c r="M61" s="792"/>
      <c r="N61" s="808"/>
      <c r="O61" s="792"/>
      <c r="P61" s="792"/>
      <c r="Q61" s="792"/>
      <c r="R61" s="792"/>
      <c r="S61" s="792"/>
      <c r="T61" s="792"/>
      <c r="U61" s="793"/>
      <c r="V61" s="740"/>
      <c r="W61" s="379"/>
      <c r="X61" s="379"/>
      <c r="Y61" s="406"/>
      <c r="Z61" s="714"/>
      <c r="AA61" s="715"/>
      <c r="AB61" s="716"/>
      <c r="AC61" s="716"/>
      <c r="AD61" s="716"/>
      <c r="AE61" s="716"/>
      <c r="AF61" s="717"/>
      <c r="AG61" s="716"/>
      <c r="AH61" s="717"/>
      <c r="AI61" s="716"/>
      <c r="AJ61" s="716"/>
      <c r="AK61" s="716"/>
      <c r="AL61" s="716"/>
      <c r="AM61" s="716"/>
      <c r="AN61" s="716"/>
      <c r="AO61" s="717"/>
    </row>
    <row r="62" spans="1:41" x14ac:dyDescent="0.2">
      <c r="A62" s="1608"/>
      <c r="B62" s="457"/>
      <c r="C62" s="783"/>
      <c r="D62" s="794"/>
      <c r="E62" s="795"/>
      <c r="F62" s="796"/>
      <c r="G62" s="796"/>
      <c r="H62" s="796"/>
      <c r="I62" s="796"/>
      <c r="J62" s="796"/>
      <c r="K62" s="796"/>
      <c r="L62" s="796"/>
      <c r="M62" s="796"/>
      <c r="N62" s="796"/>
      <c r="O62" s="796"/>
      <c r="P62" s="796"/>
      <c r="Q62" s="796"/>
      <c r="R62" s="796"/>
      <c r="S62" s="796"/>
      <c r="T62" s="796"/>
      <c r="U62" s="797"/>
      <c r="V62" s="708"/>
      <c r="W62" s="710"/>
      <c r="X62" s="710"/>
      <c r="Y62" s="379"/>
      <c r="Z62" s="708"/>
      <c r="AA62" s="706"/>
      <c r="AB62" s="707"/>
      <c r="AC62" s="707"/>
      <c r="AD62" s="707"/>
      <c r="AE62" s="707"/>
      <c r="AF62" s="707"/>
      <c r="AG62" s="707"/>
      <c r="AH62" s="707"/>
      <c r="AI62" s="707"/>
      <c r="AJ62" s="707"/>
      <c r="AK62" s="707"/>
      <c r="AL62" s="707"/>
      <c r="AM62" s="707"/>
      <c r="AN62" s="707"/>
      <c r="AO62" s="707"/>
    </row>
    <row r="63" spans="1:41" x14ac:dyDescent="0.2">
      <c r="A63" s="1608"/>
      <c r="B63" s="712"/>
      <c r="C63" s="790"/>
      <c r="D63" s="798"/>
      <c r="E63" s="789"/>
      <c r="F63" s="792"/>
      <c r="G63" s="792"/>
      <c r="H63" s="792"/>
      <c r="I63" s="792"/>
      <c r="J63" s="792"/>
      <c r="K63" s="792"/>
      <c r="L63" s="792"/>
      <c r="M63" s="792"/>
      <c r="N63" s="808"/>
      <c r="O63" s="792"/>
      <c r="P63" s="792"/>
      <c r="Q63" s="792"/>
      <c r="R63" s="792"/>
      <c r="S63" s="792"/>
      <c r="T63" s="792"/>
      <c r="U63" s="793"/>
      <c r="V63" s="742"/>
      <c r="W63" s="379"/>
      <c r="X63" s="379"/>
      <c r="Y63" s="445"/>
      <c r="Z63" s="714"/>
      <c r="AA63" s="715"/>
      <c r="AB63" s="716"/>
      <c r="AC63" s="716"/>
      <c r="AD63" s="717"/>
      <c r="AE63" s="716"/>
      <c r="AF63" s="716"/>
      <c r="AG63" s="716"/>
      <c r="AH63" s="716"/>
      <c r="AI63" s="716"/>
      <c r="AJ63" s="716"/>
      <c r="AK63" s="716"/>
      <c r="AL63" s="716"/>
      <c r="AM63" s="716"/>
      <c r="AN63" s="716"/>
      <c r="AO63" s="717"/>
    </row>
    <row r="64" spans="1:41" x14ac:dyDescent="0.2">
      <c r="A64" s="1608"/>
      <c r="B64" s="761"/>
      <c r="C64" s="783"/>
      <c r="D64" s="794"/>
      <c r="E64" s="795"/>
      <c r="F64" s="796"/>
      <c r="G64" s="796"/>
      <c r="H64" s="796"/>
      <c r="I64" s="796"/>
      <c r="J64" s="796"/>
      <c r="K64" s="796"/>
      <c r="L64" s="796"/>
      <c r="M64" s="796"/>
      <c r="N64" s="796"/>
      <c r="O64" s="796"/>
      <c r="P64" s="796"/>
      <c r="Q64" s="796"/>
      <c r="R64" s="796"/>
      <c r="S64" s="796"/>
      <c r="T64" s="796"/>
      <c r="U64" s="797"/>
      <c r="V64" s="708"/>
      <c r="W64" s="710"/>
      <c r="X64" s="710"/>
      <c r="Y64" s="406"/>
      <c r="Z64" s="708"/>
      <c r="AA64" s="706"/>
      <c r="AB64" s="707"/>
      <c r="AC64" s="707"/>
      <c r="AD64" s="707"/>
      <c r="AE64" s="707"/>
      <c r="AF64" s="707"/>
      <c r="AG64" s="707"/>
      <c r="AH64" s="707"/>
      <c r="AI64" s="707"/>
      <c r="AJ64" s="707"/>
      <c r="AK64" s="707"/>
      <c r="AL64" s="707"/>
      <c r="AM64" s="707"/>
      <c r="AN64" s="707"/>
      <c r="AO64" s="707"/>
    </row>
    <row r="65" spans="1:41" x14ac:dyDescent="0.2">
      <c r="A65" s="1608"/>
      <c r="B65" s="455"/>
      <c r="C65" s="786"/>
      <c r="D65" s="798"/>
      <c r="E65" s="789"/>
      <c r="F65" s="792"/>
      <c r="G65" s="792"/>
      <c r="H65" s="792"/>
      <c r="I65" s="792"/>
      <c r="J65" s="792"/>
      <c r="K65" s="792"/>
      <c r="L65" s="792"/>
      <c r="M65" s="792"/>
      <c r="N65" s="808"/>
      <c r="O65" s="792"/>
      <c r="P65" s="792"/>
      <c r="Q65" s="792"/>
      <c r="R65" s="792"/>
      <c r="S65" s="792"/>
      <c r="T65" s="792"/>
      <c r="U65" s="793"/>
      <c r="V65" s="740"/>
      <c r="W65" s="379"/>
      <c r="X65" s="379"/>
      <c r="Y65" s="379"/>
      <c r="Z65" s="714"/>
      <c r="AA65" s="715"/>
      <c r="AB65" s="716"/>
      <c r="AC65" s="716"/>
      <c r="AD65" s="716"/>
      <c r="AE65" s="716"/>
      <c r="AF65" s="716"/>
      <c r="AG65" s="716"/>
      <c r="AH65" s="716"/>
      <c r="AI65" s="716"/>
      <c r="AJ65" s="716"/>
      <c r="AK65" s="716"/>
      <c r="AL65" s="716"/>
      <c r="AM65" s="716"/>
      <c r="AN65" s="716"/>
      <c r="AO65" s="716"/>
    </row>
    <row r="66" spans="1:41" x14ac:dyDescent="0.2">
      <c r="A66" s="1608"/>
      <c r="B66" s="762"/>
      <c r="C66" s="783"/>
      <c r="D66" s="794"/>
      <c r="E66" s="795"/>
      <c r="F66" s="796"/>
      <c r="G66" s="796"/>
      <c r="H66" s="796"/>
      <c r="I66" s="796"/>
      <c r="J66" s="796"/>
      <c r="K66" s="796"/>
      <c r="L66" s="796"/>
      <c r="M66" s="796"/>
      <c r="N66" s="796"/>
      <c r="O66" s="796"/>
      <c r="P66" s="796"/>
      <c r="Q66" s="796"/>
      <c r="R66" s="796"/>
      <c r="S66" s="796"/>
      <c r="T66" s="796"/>
      <c r="U66" s="797"/>
      <c r="V66" s="708"/>
      <c r="W66" s="710"/>
      <c r="X66" s="710"/>
      <c r="Y66" s="445"/>
      <c r="Z66" s="708"/>
      <c r="AA66" s="706"/>
      <c r="AB66" s="707"/>
      <c r="AC66" s="707"/>
      <c r="AD66" s="707"/>
      <c r="AE66" s="707"/>
      <c r="AF66" s="707"/>
      <c r="AG66" s="707"/>
      <c r="AH66" s="707"/>
      <c r="AI66" s="707"/>
      <c r="AJ66" s="707"/>
      <c r="AK66" s="707"/>
      <c r="AL66" s="707"/>
      <c r="AM66" s="707"/>
      <c r="AN66" s="707"/>
      <c r="AO66" s="707"/>
    </row>
    <row r="67" spans="1:41" x14ac:dyDescent="0.2">
      <c r="A67" s="1608"/>
      <c r="B67" s="455"/>
      <c r="C67" s="786"/>
      <c r="D67" s="798"/>
      <c r="E67" s="789"/>
      <c r="F67" s="792"/>
      <c r="G67" s="792"/>
      <c r="H67" s="792"/>
      <c r="I67" s="792"/>
      <c r="J67" s="792"/>
      <c r="K67" s="792"/>
      <c r="L67" s="792"/>
      <c r="M67" s="792"/>
      <c r="N67" s="808"/>
      <c r="O67" s="792"/>
      <c r="P67" s="792"/>
      <c r="Q67" s="792"/>
      <c r="R67" s="792"/>
      <c r="S67" s="792"/>
      <c r="T67" s="792"/>
      <c r="U67" s="793"/>
      <c r="V67" s="740"/>
      <c r="W67" s="379"/>
      <c r="X67" s="379"/>
      <c r="Y67" s="406"/>
      <c r="Z67" s="714"/>
      <c r="AA67" s="715"/>
      <c r="AB67" s="716"/>
      <c r="AC67" s="716"/>
      <c r="AD67" s="716"/>
      <c r="AE67" s="716"/>
      <c r="AF67" s="716"/>
      <c r="AG67" s="716"/>
      <c r="AH67" s="716"/>
      <c r="AI67" s="716"/>
      <c r="AJ67" s="716"/>
      <c r="AK67" s="716"/>
      <c r="AL67" s="716"/>
      <c r="AM67" s="717"/>
      <c r="AN67" s="716"/>
      <c r="AO67" s="716"/>
    </row>
    <row r="68" spans="1:41" x14ac:dyDescent="0.2">
      <c r="A68" s="1608"/>
      <c r="B68" s="457"/>
      <c r="C68" s="783"/>
      <c r="D68" s="794"/>
      <c r="E68" s="795"/>
      <c r="F68" s="796"/>
      <c r="G68" s="796"/>
      <c r="H68" s="796"/>
      <c r="I68" s="796"/>
      <c r="J68" s="796"/>
      <c r="K68" s="796"/>
      <c r="L68" s="796"/>
      <c r="M68" s="796"/>
      <c r="N68" s="796"/>
      <c r="O68" s="796"/>
      <c r="P68" s="796"/>
      <c r="Q68" s="796"/>
      <c r="R68" s="796"/>
      <c r="S68" s="796"/>
      <c r="T68" s="796"/>
      <c r="U68" s="797"/>
      <c r="V68" s="708"/>
      <c r="W68" s="710"/>
      <c r="X68" s="710"/>
      <c r="Y68" s="379"/>
      <c r="Z68" s="708"/>
      <c r="AA68" s="706"/>
      <c r="AB68" s="707"/>
      <c r="AC68" s="707"/>
      <c r="AD68" s="707"/>
      <c r="AE68" s="707"/>
      <c r="AF68" s="707"/>
      <c r="AG68" s="707"/>
      <c r="AH68" s="707"/>
      <c r="AI68" s="707"/>
      <c r="AJ68" s="707"/>
      <c r="AK68" s="707"/>
      <c r="AL68" s="707"/>
      <c r="AM68" s="707"/>
      <c r="AN68" s="707"/>
      <c r="AO68" s="707"/>
    </row>
    <row r="69" spans="1:41" x14ac:dyDescent="0.2">
      <c r="A69" s="1608"/>
      <c r="B69" s="712"/>
      <c r="C69" s="786"/>
      <c r="D69" s="798"/>
      <c r="E69" s="789"/>
      <c r="F69" s="792"/>
      <c r="G69" s="792"/>
      <c r="H69" s="792"/>
      <c r="I69" s="792"/>
      <c r="J69" s="792"/>
      <c r="K69" s="792"/>
      <c r="L69" s="792"/>
      <c r="M69" s="792"/>
      <c r="N69" s="808"/>
      <c r="O69" s="792"/>
      <c r="P69" s="792"/>
      <c r="Q69" s="792"/>
      <c r="R69" s="792"/>
      <c r="S69" s="792"/>
      <c r="T69" s="792"/>
      <c r="U69" s="793"/>
      <c r="V69" s="740"/>
      <c r="W69" s="379"/>
      <c r="X69" s="379"/>
      <c r="Y69" s="445"/>
      <c r="Z69" s="714"/>
      <c r="AA69" s="715"/>
      <c r="AB69" s="716"/>
      <c r="AC69" s="716"/>
      <c r="AD69" s="716"/>
      <c r="AE69" s="716"/>
      <c r="AF69" s="716"/>
      <c r="AG69" s="716"/>
      <c r="AH69" s="716"/>
      <c r="AI69" s="716"/>
      <c r="AJ69" s="716"/>
      <c r="AK69" s="716"/>
      <c r="AL69" s="716"/>
      <c r="AM69" s="716"/>
      <c r="AN69" s="716"/>
      <c r="AO69" s="716"/>
    </row>
    <row r="70" spans="1:41" x14ac:dyDescent="0.2">
      <c r="A70" s="1608"/>
      <c r="B70" s="457"/>
      <c r="C70" s="783"/>
      <c r="D70" s="794"/>
      <c r="E70" s="795"/>
      <c r="F70" s="796"/>
      <c r="G70" s="796"/>
      <c r="H70" s="796"/>
      <c r="I70" s="796"/>
      <c r="J70" s="796"/>
      <c r="K70" s="796"/>
      <c r="L70" s="796"/>
      <c r="M70" s="796"/>
      <c r="N70" s="796"/>
      <c r="O70" s="796"/>
      <c r="P70" s="796"/>
      <c r="Q70" s="796"/>
      <c r="R70" s="796"/>
      <c r="S70" s="796"/>
      <c r="T70" s="796"/>
      <c r="U70" s="797"/>
      <c r="V70" s="708"/>
      <c r="W70" s="710"/>
      <c r="X70" s="710"/>
      <c r="Y70" s="406"/>
      <c r="Z70" s="708"/>
      <c r="AA70" s="706"/>
      <c r="AB70" s="707"/>
      <c r="AC70" s="707"/>
      <c r="AD70" s="707"/>
      <c r="AE70" s="707"/>
      <c r="AF70" s="707"/>
      <c r="AG70" s="707"/>
      <c r="AH70" s="707"/>
      <c r="AI70" s="707"/>
      <c r="AJ70" s="707"/>
      <c r="AK70" s="707"/>
      <c r="AL70" s="707"/>
      <c r="AM70" s="707"/>
      <c r="AN70" s="707"/>
      <c r="AO70" s="707"/>
    </row>
    <row r="71" spans="1:41" x14ac:dyDescent="0.2">
      <c r="A71" s="1608"/>
      <c r="B71" s="460"/>
      <c r="C71" s="786"/>
      <c r="D71" s="798"/>
      <c r="E71" s="789"/>
      <c r="F71" s="792"/>
      <c r="G71" s="792"/>
      <c r="H71" s="792"/>
      <c r="I71" s="792"/>
      <c r="J71" s="792"/>
      <c r="K71" s="792"/>
      <c r="L71" s="792"/>
      <c r="M71" s="792"/>
      <c r="N71" s="808"/>
      <c r="O71" s="792"/>
      <c r="P71" s="792"/>
      <c r="Q71" s="792"/>
      <c r="R71" s="792"/>
      <c r="S71" s="792"/>
      <c r="T71" s="792"/>
      <c r="U71" s="793"/>
      <c r="V71" s="740"/>
      <c r="W71" s="379"/>
      <c r="X71" s="379"/>
      <c r="Y71" s="379"/>
      <c r="Z71" s="714"/>
      <c r="AA71" s="715"/>
      <c r="AB71" s="716"/>
      <c r="AC71" s="716"/>
      <c r="AD71" s="716"/>
      <c r="AE71" s="716"/>
      <c r="AF71" s="716"/>
      <c r="AG71" s="716"/>
      <c r="AH71" s="716"/>
      <c r="AI71" s="716"/>
      <c r="AJ71" s="716"/>
      <c r="AK71" s="717"/>
      <c r="AL71" s="716"/>
      <c r="AM71" s="716"/>
      <c r="AN71" s="716"/>
      <c r="AO71" s="716"/>
    </row>
    <row r="72" spans="1:41" x14ac:dyDescent="0.2">
      <c r="A72" s="1608"/>
      <c r="B72" s="457"/>
      <c r="C72" s="783"/>
      <c r="D72" s="794"/>
      <c r="E72" s="795"/>
      <c r="F72" s="796"/>
      <c r="G72" s="796"/>
      <c r="H72" s="796"/>
      <c r="I72" s="796"/>
      <c r="J72" s="796"/>
      <c r="K72" s="796"/>
      <c r="L72" s="796"/>
      <c r="M72" s="796"/>
      <c r="N72" s="796"/>
      <c r="O72" s="796"/>
      <c r="P72" s="796"/>
      <c r="Q72" s="796"/>
      <c r="R72" s="796"/>
      <c r="S72" s="796"/>
      <c r="T72" s="796"/>
      <c r="U72" s="797"/>
      <c r="V72" s="708"/>
      <c r="W72" s="710"/>
      <c r="X72" s="710"/>
      <c r="Y72" s="445"/>
      <c r="Z72" s="708"/>
      <c r="AA72" s="706"/>
      <c r="AB72" s="707"/>
      <c r="AC72" s="707"/>
      <c r="AD72" s="707"/>
      <c r="AE72" s="707"/>
      <c r="AF72" s="707"/>
      <c r="AG72" s="707"/>
      <c r="AH72" s="707"/>
      <c r="AI72" s="707"/>
      <c r="AJ72" s="707"/>
      <c r="AK72" s="707"/>
      <c r="AL72" s="707"/>
      <c r="AM72" s="707"/>
      <c r="AN72" s="707"/>
      <c r="AO72" s="707"/>
    </row>
    <row r="73" spans="1:41" x14ac:dyDescent="0.2">
      <c r="A73" s="1608"/>
      <c r="B73" s="458"/>
      <c r="C73" s="786"/>
      <c r="D73" s="798"/>
      <c r="E73" s="789"/>
      <c r="F73" s="792"/>
      <c r="G73" s="792"/>
      <c r="H73" s="792"/>
      <c r="I73" s="792"/>
      <c r="J73" s="792"/>
      <c r="K73" s="792"/>
      <c r="L73" s="792"/>
      <c r="M73" s="792"/>
      <c r="N73" s="808"/>
      <c r="O73" s="792"/>
      <c r="P73" s="792"/>
      <c r="Q73" s="792"/>
      <c r="R73" s="792"/>
      <c r="S73" s="792"/>
      <c r="T73" s="792"/>
      <c r="U73" s="793"/>
      <c r="V73" s="740"/>
      <c r="W73" s="379"/>
      <c r="X73" s="379"/>
      <c r="Y73" s="406"/>
      <c r="Z73" s="714"/>
      <c r="AA73" s="715"/>
      <c r="AB73" s="716"/>
      <c r="AC73" s="716"/>
      <c r="AD73" s="716"/>
      <c r="AE73" s="716"/>
      <c r="AF73" s="716"/>
      <c r="AG73" s="716"/>
      <c r="AH73" s="716"/>
      <c r="AI73" s="716"/>
      <c r="AJ73" s="716"/>
      <c r="AK73" s="716"/>
      <c r="AL73" s="716"/>
      <c r="AM73" s="716"/>
      <c r="AN73" s="716"/>
      <c r="AO73" s="716"/>
    </row>
    <row r="74" spans="1:41" x14ac:dyDescent="0.2">
      <c r="A74" s="1608"/>
      <c r="B74" s="457"/>
      <c r="C74" s="783"/>
      <c r="D74" s="794"/>
      <c r="E74" s="795"/>
      <c r="F74" s="796"/>
      <c r="G74" s="796"/>
      <c r="H74" s="796"/>
      <c r="I74" s="796"/>
      <c r="J74" s="796"/>
      <c r="K74" s="796"/>
      <c r="L74" s="796"/>
      <c r="M74" s="796"/>
      <c r="N74" s="796"/>
      <c r="O74" s="796"/>
      <c r="P74" s="796"/>
      <c r="Q74" s="796"/>
      <c r="R74" s="796"/>
      <c r="S74" s="796"/>
      <c r="T74" s="796"/>
      <c r="U74" s="797"/>
      <c r="V74" s="708"/>
      <c r="W74" s="710"/>
      <c r="X74" s="710"/>
      <c r="Y74" s="379"/>
      <c r="Z74" s="708"/>
      <c r="AA74" s="706"/>
      <c r="AB74" s="707"/>
      <c r="AC74" s="707"/>
      <c r="AD74" s="707"/>
      <c r="AE74" s="707"/>
      <c r="AF74" s="707"/>
      <c r="AG74" s="707"/>
      <c r="AH74" s="707"/>
      <c r="AI74" s="707"/>
      <c r="AJ74" s="707"/>
      <c r="AK74" s="707"/>
      <c r="AL74" s="707"/>
      <c r="AM74" s="707"/>
      <c r="AN74" s="707"/>
      <c r="AO74" s="707"/>
    </row>
    <row r="75" spans="1:41" x14ac:dyDescent="0.2">
      <c r="A75" s="1608"/>
      <c r="B75" s="712"/>
      <c r="C75" s="790"/>
      <c r="D75" s="798"/>
      <c r="E75" s="789"/>
      <c r="F75" s="792"/>
      <c r="G75" s="792"/>
      <c r="H75" s="792"/>
      <c r="I75" s="792"/>
      <c r="J75" s="792"/>
      <c r="K75" s="792"/>
      <c r="L75" s="792"/>
      <c r="M75" s="792"/>
      <c r="N75" s="808"/>
      <c r="O75" s="792"/>
      <c r="P75" s="792"/>
      <c r="Q75" s="792"/>
      <c r="R75" s="792"/>
      <c r="S75" s="792"/>
      <c r="T75" s="792"/>
      <c r="U75" s="793"/>
      <c r="V75" s="740"/>
      <c r="W75" s="379"/>
      <c r="X75" s="379"/>
      <c r="Y75" s="445"/>
      <c r="Z75" s="714"/>
      <c r="AA75" s="715"/>
      <c r="AB75" s="716"/>
      <c r="AC75" s="716"/>
      <c r="AD75" s="716"/>
      <c r="AE75" s="716"/>
      <c r="AF75" s="716"/>
      <c r="AG75" s="716"/>
      <c r="AH75" s="716"/>
      <c r="AI75" s="716"/>
      <c r="AJ75" s="716"/>
      <c r="AK75" s="716"/>
      <c r="AL75" s="716"/>
      <c r="AM75" s="716"/>
      <c r="AN75" s="716"/>
      <c r="AO75" s="716"/>
    </row>
    <row r="76" spans="1:41" x14ac:dyDescent="0.2">
      <c r="A76" s="1608"/>
      <c r="B76" s="457"/>
      <c r="C76" s="783"/>
      <c r="D76" s="783"/>
      <c r="E76" s="783"/>
      <c r="F76" s="788"/>
      <c r="G76" s="788"/>
      <c r="H76" s="788"/>
      <c r="I76" s="788"/>
      <c r="J76" s="788"/>
      <c r="K76" s="788"/>
      <c r="L76" s="788"/>
      <c r="M76" s="788"/>
      <c r="N76" s="788"/>
      <c r="O76" s="788"/>
      <c r="P76" s="788"/>
      <c r="Q76" s="788"/>
      <c r="R76" s="788"/>
      <c r="S76" s="788"/>
      <c r="T76" s="788"/>
      <c r="U76" s="787"/>
      <c r="V76" s="708"/>
      <c r="W76" s="710"/>
      <c r="X76" s="710"/>
      <c r="Y76" s="406"/>
      <c r="Z76" s="708"/>
      <c r="AA76" s="706"/>
      <c r="AB76" s="707"/>
      <c r="AC76" s="707"/>
      <c r="AD76" s="707"/>
      <c r="AE76" s="707"/>
      <c r="AF76" s="707"/>
      <c r="AG76" s="707"/>
      <c r="AH76" s="707"/>
      <c r="AI76" s="707"/>
      <c r="AJ76" s="707"/>
      <c r="AK76" s="707"/>
      <c r="AL76" s="707"/>
      <c r="AM76" s="707"/>
      <c r="AN76" s="707"/>
      <c r="AO76" s="707"/>
    </row>
    <row r="77" spans="1:41" x14ac:dyDescent="0.2">
      <c r="A77" s="1608"/>
      <c r="B77" s="455"/>
      <c r="C77" s="786"/>
      <c r="D77" s="789"/>
      <c r="E77" s="789"/>
      <c r="F77" s="792"/>
      <c r="G77" s="792"/>
      <c r="H77" s="792"/>
      <c r="I77" s="792"/>
      <c r="J77" s="792"/>
      <c r="K77" s="792"/>
      <c r="L77" s="792"/>
      <c r="M77" s="792"/>
      <c r="N77" s="808"/>
      <c r="O77" s="792"/>
      <c r="P77" s="792"/>
      <c r="Q77" s="792"/>
      <c r="R77" s="792"/>
      <c r="S77" s="792"/>
      <c r="T77" s="792"/>
      <c r="U77" s="793"/>
      <c r="V77" s="740"/>
      <c r="W77" s="379"/>
      <c r="X77" s="379"/>
      <c r="Y77" s="379"/>
      <c r="Z77" s="714"/>
      <c r="AA77" s="715"/>
      <c r="AB77" s="716"/>
      <c r="AC77" s="716"/>
      <c r="AD77" s="716"/>
      <c r="AE77" s="716"/>
      <c r="AF77" s="716"/>
      <c r="AG77" s="716"/>
      <c r="AH77" s="716"/>
      <c r="AI77" s="716"/>
      <c r="AJ77" s="716"/>
      <c r="AK77" s="716"/>
      <c r="AL77" s="716"/>
      <c r="AM77" s="716"/>
      <c r="AN77" s="716"/>
      <c r="AO77" s="716"/>
    </row>
    <row r="78" spans="1:41" x14ac:dyDescent="0.2">
      <c r="A78" s="1608"/>
      <c r="B78" s="457"/>
      <c r="C78" s="783"/>
      <c r="D78" s="794"/>
      <c r="E78" s="795"/>
      <c r="F78" s="796"/>
      <c r="G78" s="796"/>
      <c r="H78" s="796"/>
      <c r="I78" s="796"/>
      <c r="J78" s="796"/>
      <c r="K78" s="796"/>
      <c r="L78" s="796"/>
      <c r="M78" s="796"/>
      <c r="N78" s="796"/>
      <c r="O78" s="796"/>
      <c r="P78" s="796"/>
      <c r="Q78" s="796"/>
      <c r="R78" s="796"/>
      <c r="S78" s="796"/>
      <c r="T78" s="796"/>
      <c r="U78" s="797"/>
      <c r="V78" s="708"/>
      <c r="W78" s="710"/>
      <c r="X78" s="710"/>
      <c r="Y78" s="445"/>
      <c r="Z78" s="708"/>
      <c r="AA78" s="706"/>
      <c r="AB78" s="707"/>
      <c r="AC78" s="707"/>
      <c r="AD78" s="707"/>
      <c r="AE78" s="707"/>
      <c r="AF78" s="707"/>
      <c r="AG78" s="707"/>
      <c r="AH78" s="707"/>
      <c r="AI78" s="707"/>
      <c r="AJ78" s="707"/>
      <c r="AK78" s="707"/>
      <c r="AL78" s="707"/>
      <c r="AM78" s="707"/>
      <c r="AN78" s="707"/>
      <c r="AO78" s="707"/>
    </row>
    <row r="79" spans="1:41" x14ac:dyDescent="0.2">
      <c r="A79" s="1608"/>
      <c r="B79" s="455"/>
      <c r="C79" s="786"/>
      <c r="D79" s="798"/>
      <c r="E79" s="789"/>
      <c r="F79" s="792"/>
      <c r="G79" s="792"/>
      <c r="H79" s="792"/>
      <c r="I79" s="792"/>
      <c r="J79" s="792"/>
      <c r="K79" s="792"/>
      <c r="L79" s="792"/>
      <c r="M79" s="792"/>
      <c r="N79" s="808"/>
      <c r="O79" s="792"/>
      <c r="P79" s="792"/>
      <c r="Q79" s="792"/>
      <c r="R79" s="792"/>
      <c r="S79" s="792"/>
      <c r="T79" s="792"/>
      <c r="U79" s="793"/>
      <c r="V79" s="740"/>
      <c r="W79" s="379"/>
      <c r="X79" s="379"/>
      <c r="Y79" s="406"/>
      <c r="Z79" s="714"/>
      <c r="AA79" s="715"/>
      <c r="AB79" s="716"/>
      <c r="AC79" s="716"/>
      <c r="AD79" s="716"/>
      <c r="AE79" s="716"/>
      <c r="AF79" s="716"/>
      <c r="AG79" s="716"/>
      <c r="AH79" s="716"/>
      <c r="AI79" s="716"/>
      <c r="AJ79" s="716"/>
      <c r="AK79" s="716"/>
      <c r="AL79" s="716"/>
      <c r="AM79" s="716"/>
      <c r="AN79" s="716"/>
      <c r="AO79" s="716"/>
    </row>
    <row r="80" spans="1:41" x14ac:dyDescent="0.2">
      <c r="A80" s="1608"/>
      <c r="B80" s="457"/>
      <c r="C80" s="783"/>
      <c r="D80" s="794"/>
      <c r="E80" s="795"/>
      <c r="F80" s="796"/>
      <c r="G80" s="796"/>
      <c r="H80" s="796"/>
      <c r="I80" s="796"/>
      <c r="J80" s="796"/>
      <c r="K80" s="796"/>
      <c r="L80" s="796"/>
      <c r="M80" s="796"/>
      <c r="N80" s="796"/>
      <c r="O80" s="796"/>
      <c r="P80" s="796"/>
      <c r="Q80" s="796"/>
      <c r="R80" s="796"/>
      <c r="S80" s="796"/>
      <c r="T80" s="796"/>
      <c r="U80" s="797"/>
      <c r="V80" s="708"/>
      <c r="W80" s="710"/>
      <c r="X80" s="710"/>
      <c r="Y80" s="379"/>
      <c r="Z80" s="708"/>
      <c r="AA80" s="706"/>
      <c r="AB80" s="707"/>
      <c r="AC80" s="707"/>
      <c r="AD80" s="707"/>
      <c r="AE80" s="707"/>
      <c r="AF80" s="707"/>
      <c r="AG80" s="707"/>
      <c r="AH80" s="707"/>
      <c r="AI80" s="707"/>
      <c r="AJ80" s="707"/>
      <c r="AK80" s="707"/>
      <c r="AL80" s="707"/>
      <c r="AM80" s="707"/>
      <c r="AN80" s="707"/>
      <c r="AO80" s="707"/>
    </row>
    <row r="81" spans="1:41" x14ac:dyDescent="0.2">
      <c r="A81" s="1608"/>
      <c r="B81" s="712"/>
      <c r="C81" s="790"/>
      <c r="D81" s="798"/>
      <c r="E81" s="789"/>
      <c r="F81" s="792"/>
      <c r="G81" s="792"/>
      <c r="H81" s="792"/>
      <c r="I81" s="792"/>
      <c r="J81" s="792"/>
      <c r="K81" s="792"/>
      <c r="L81" s="792"/>
      <c r="M81" s="792"/>
      <c r="N81" s="808"/>
      <c r="O81" s="792"/>
      <c r="P81" s="792"/>
      <c r="Q81" s="792"/>
      <c r="R81" s="792"/>
      <c r="S81" s="792"/>
      <c r="T81" s="792"/>
      <c r="U81" s="793"/>
      <c r="V81" s="740"/>
      <c r="W81" s="379"/>
      <c r="X81" s="379"/>
      <c r="Y81" s="445"/>
      <c r="Z81" s="1530"/>
      <c r="AA81" s="717"/>
      <c r="AB81" s="716"/>
      <c r="AC81" s="716"/>
      <c r="AD81" s="716"/>
      <c r="AE81" s="716"/>
      <c r="AF81" s="716"/>
      <c r="AG81" s="716"/>
      <c r="AH81" s="717"/>
      <c r="AI81" s="716"/>
      <c r="AJ81" s="716"/>
      <c r="AK81" s="716"/>
      <c r="AL81" s="716"/>
      <c r="AM81" s="716"/>
      <c r="AN81" s="716"/>
      <c r="AO81" s="716"/>
    </row>
    <row r="82" spans="1:41" x14ac:dyDescent="0.2">
      <c r="A82" s="1608"/>
      <c r="B82" s="457"/>
      <c r="C82" s="783"/>
      <c r="D82" s="783"/>
      <c r="E82" s="783"/>
      <c r="F82" s="788"/>
      <c r="G82" s="788"/>
      <c r="H82" s="788"/>
      <c r="I82" s="788"/>
      <c r="J82" s="788"/>
      <c r="K82" s="788"/>
      <c r="L82" s="788"/>
      <c r="M82" s="788"/>
      <c r="N82" s="788"/>
      <c r="O82" s="788"/>
      <c r="P82" s="788"/>
      <c r="Q82" s="788"/>
      <c r="R82" s="788"/>
      <c r="S82" s="788"/>
      <c r="T82" s="788"/>
      <c r="U82" s="787"/>
      <c r="V82" s="708"/>
      <c r="W82" s="710"/>
      <c r="X82" s="710"/>
      <c r="Y82" s="406"/>
      <c r="Z82" s="708"/>
      <c r="AA82" s="706"/>
      <c r="AB82" s="707"/>
      <c r="AC82" s="707"/>
      <c r="AD82" s="707"/>
      <c r="AE82" s="707"/>
      <c r="AF82" s="707"/>
      <c r="AG82" s="707"/>
      <c r="AH82" s="707"/>
      <c r="AI82" s="707"/>
      <c r="AJ82" s="707"/>
      <c r="AK82" s="707"/>
      <c r="AL82" s="707"/>
      <c r="AM82" s="707"/>
      <c r="AN82" s="707"/>
      <c r="AO82" s="707"/>
    </row>
    <row r="83" spans="1:41" x14ac:dyDescent="0.2">
      <c r="A83" s="1608"/>
      <c r="B83" s="455"/>
      <c r="C83" s="786"/>
      <c r="D83" s="789"/>
      <c r="E83" s="789"/>
      <c r="F83" s="792"/>
      <c r="G83" s="792"/>
      <c r="H83" s="792"/>
      <c r="I83" s="792"/>
      <c r="J83" s="792"/>
      <c r="K83" s="792"/>
      <c r="L83" s="792"/>
      <c r="M83" s="792"/>
      <c r="N83" s="808"/>
      <c r="O83" s="792"/>
      <c r="P83" s="792"/>
      <c r="Q83" s="792"/>
      <c r="R83" s="792"/>
      <c r="S83" s="792"/>
      <c r="T83" s="792"/>
      <c r="U83" s="793"/>
      <c r="V83" s="740"/>
      <c r="W83" s="379"/>
      <c r="X83" s="379"/>
      <c r="Y83" s="379"/>
      <c r="Z83" s="1530"/>
      <c r="AA83" s="715"/>
      <c r="AB83" s="716"/>
      <c r="AC83" s="716"/>
      <c r="AD83" s="716"/>
      <c r="AE83" s="716"/>
      <c r="AF83" s="716"/>
      <c r="AG83" s="716"/>
      <c r="AH83" s="716"/>
      <c r="AI83" s="716"/>
      <c r="AJ83" s="716"/>
      <c r="AK83" s="716"/>
      <c r="AL83" s="716"/>
      <c r="AM83" s="716"/>
      <c r="AN83" s="716"/>
      <c r="AO83" s="716"/>
    </row>
    <row r="84" spans="1:41" x14ac:dyDescent="0.2">
      <c r="A84" s="1608"/>
      <c r="B84" s="459"/>
      <c r="C84" s="783"/>
      <c r="D84" s="794"/>
      <c r="E84" s="795"/>
      <c r="F84" s="796"/>
      <c r="G84" s="796"/>
      <c r="H84" s="796"/>
      <c r="I84" s="796"/>
      <c r="J84" s="796"/>
      <c r="K84" s="796"/>
      <c r="L84" s="796"/>
      <c r="M84" s="796"/>
      <c r="N84" s="796"/>
      <c r="O84" s="796"/>
      <c r="P84" s="796"/>
      <c r="Q84" s="796"/>
      <c r="R84" s="796"/>
      <c r="S84" s="796"/>
      <c r="T84" s="796"/>
      <c r="U84" s="797"/>
      <c r="V84" s="708"/>
      <c r="W84" s="710"/>
      <c r="X84" s="710"/>
      <c r="Y84" s="445"/>
      <c r="Z84" s="708"/>
      <c r="AA84" s="706"/>
      <c r="AB84" s="707"/>
      <c r="AC84" s="707"/>
      <c r="AD84" s="707"/>
      <c r="AE84" s="707"/>
      <c r="AF84" s="707"/>
      <c r="AG84" s="707"/>
      <c r="AH84" s="707"/>
      <c r="AI84" s="707"/>
      <c r="AJ84" s="707"/>
      <c r="AK84" s="707"/>
      <c r="AL84" s="707"/>
      <c r="AM84" s="707"/>
      <c r="AN84" s="707"/>
      <c r="AO84" s="707"/>
    </row>
    <row r="85" spans="1:41" x14ac:dyDescent="0.2">
      <c r="A85" s="1608"/>
      <c r="B85" s="712"/>
      <c r="C85" s="786"/>
      <c r="D85" s="798"/>
      <c r="E85" s="789"/>
      <c r="F85" s="792"/>
      <c r="G85" s="792"/>
      <c r="H85" s="792"/>
      <c r="I85" s="792"/>
      <c r="J85" s="792"/>
      <c r="K85" s="792"/>
      <c r="L85" s="792"/>
      <c r="M85" s="792"/>
      <c r="N85" s="808"/>
      <c r="O85" s="792"/>
      <c r="P85" s="792"/>
      <c r="Q85" s="792"/>
      <c r="R85" s="792"/>
      <c r="S85" s="792"/>
      <c r="T85" s="792"/>
      <c r="U85" s="793"/>
      <c r="V85" s="740"/>
      <c r="W85" s="379"/>
      <c r="X85" s="379"/>
      <c r="Y85" s="406"/>
      <c r="Z85" s="714"/>
      <c r="AA85" s="715"/>
      <c r="AB85" s="716"/>
      <c r="AC85" s="716"/>
      <c r="AD85" s="716"/>
      <c r="AE85" s="716"/>
      <c r="AF85" s="716"/>
      <c r="AG85" s="716"/>
      <c r="AH85" s="716"/>
      <c r="AI85" s="716"/>
      <c r="AJ85" s="716"/>
      <c r="AK85" s="716"/>
      <c r="AL85" s="716"/>
      <c r="AM85" s="716"/>
      <c r="AN85" s="716"/>
      <c r="AO85" s="716"/>
    </row>
    <row r="86" spans="1:41" x14ac:dyDescent="0.2">
      <c r="A86" s="1608"/>
      <c r="B86" s="457"/>
      <c r="C86" s="783"/>
      <c r="D86" s="794"/>
      <c r="E86" s="795"/>
      <c r="F86" s="796"/>
      <c r="G86" s="796"/>
      <c r="H86" s="796"/>
      <c r="I86" s="796"/>
      <c r="J86" s="796"/>
      <c r="K86" s="796"/>
      <c r="L86" s="796"/>
      <c r="M86" s="796"/>
      <c r="N86" s="796"/>
      <c r="O86" s="796"/>
      <c r="P86" s="796"/>
      <c r="Q86" s="796"/>
      <c r="R86" s="796"/>
      <c r="S86" s="796"/>
      <c r="T86" s="796"/>
      <c r="U86" s="797"/>
      <c r="V86" s="708"/>
      <c r="W86" s="710"/>
      <c r="X86" s="710"/>
      <c r="Y86" s="379"/>
      <c r="Z86" s="708"/>
      <c r="AA86" s="706"/>
      <c r="AB86" s="707"/>
      <c r="AC86" s="707"/>
      <c r="AD86" s="707"/>
      <c r="AE86" s="707"/>
      <c r="AF86" s="707"/>
      <c r="AG86" s="707"/>
      <c r="AH86" s="707"/>
      <c r="AI86" s="707"/>
      <c r="AJ86" s="707"/>
      <c r="AK86" s="707"/>
      <c r="AL86" s="707"/>
      <c r="AM86" s="707"/>
      <c r="AN86" s="707"/>
      <c r="AO86" s="707"/>
    </row>
    <row r="87" spans="1:41" x14ac:dyDescent="0.2">
      <c r="A87" s="1608"/>
      <c r="B87" s="455"/>
      <c r="C87" s="786"/>
      <c r="D87" s="798"/>
      <c r="E87" s="789"/>
      <c r="F87" s="792"/>
      <c r="G87" s="792"/>
      <c r="H87" s="792"/>
      <c r="I87" s="792"/>
      <c r="J87" s="792"/>
      <c r="K87" s="792"/>
      <c r="L87" s="792"/>
      <c r="M87" s="792"/>
      <c r="N87" s="808"/>
      <c r="O87" s="792"/>
      <c r="P87" s="792"/>
      <c r="Q87" s="792"/>
      <c r="R87" s="792"/>
      <c r="S87" s="792"/>
      <c r="T87" s="792"/>
      <c r="U87" s="793"/>
      <c r="V87" s="740"/>
      <c r="W87" s="379"/>
      <c r="X87" s="379"/>
      <c r="Y87" s="445"/>
      <c r="Z87" s="714"/>
      <c r="AA87" s="715"/>
      <c r="AB87" s="716"/>
      <c r="AC87" s="716"/>
      <c r="AD87" s="716"/>
      <c r="AE87" s="716"/>
      <c r="AF87" s="716"/>
      <c r="AG87" s="716"/>
      <c r="AH87" s="716"/>
      <c r="AI87" s="716"/>
      <c r="AJ87" s="716"/>
      <c r="AK87" s="716"/>
      <c r="AL87" s="716"/>
      <c r="AM87" s="716"/>
      <c r="AN87" s="716"/>
      <c r="AO87" s="716"/>
    </row>
    <row r="88" spans="1:41" x14ac:dyDescent="0.2">
      <c r="A88" s="1608"/>
      <c r="B88" s="457"/>
      <c r="C88" s="783"/>
      <c r="D88" s="794"/>
      <c r="E88" s="795"/>
      <c r="F88" s="796"/>
      <c r="G88" s="796"/>
      <c r="H88" s="796"/>
      <c r="I88" s="796"/>
      <c r="J88" s="796"/>
      <c r="K88" s="796"/>
      <c r="L88" s="796"/>
      <c r="M88" s="796"/>
      <c r="N88" s="796"/>
      <c r="O88" s="796"/>
      <c r="P88" s="796"/>
      <c r="Q88" s="796"/>
      <c r="R88" s="796"/>
      <c r="S88" s="796"/>
      <c r="T88" s="796"/>
      <c r="U88" s="797"/>
      <c r="V88" s="708"/>
      <c r="W88" s="710"/>
      <c r="X88" s="710"/>
      <c r="Y88" s="406"/>
      <c r="Z88" s="708"/>
      <c r="AA88" s="706"/>
      <c r="AB88" s="707"/>
      <c r="AC88" s="707"/>
      <c r="AD88" s="707"/>
      <c r="AE88" s="707"/>
      <c r="AF88" s="707"/>
      <c r="AG88" s="707"/>
      <c r="AH88" s="707"/>
      <c r="AI88" s="707"/>
      <c r="AJ88" s="707"/>
      <c r="AK88" s="707"/>
      <c r="AL88" s="707"/>
      <c r="AM88" s="707"/>
      <c r="AN88" s="707"/>
      <c r="AO88" s="707"/>
    </row>
    <row r="89" spans="1:41" x14ac:dyDescent="0.2">
      <c r="A89" s="1608"/>
      <c r="B89" s="455"/>
      <c r="C89" s="786"/>
      <c r="D89" s="798"/>
      <c r="E89" s="789"/>
      <c r="F89" s="792"/>
      <c r="G89" s="792"/>
      <c r="H89" s="792"/>
      <c r="I89" s="792"/>
      <c r="J89" s="792"/>
      <c r="K89" s="792"/>
      <c r="L89" s="792"/>
      <c r="M89" s="792"/>
      <c r="N89" s="808"/>
      <c r="O89" s="792"/>
      <c r="P89" s="792"/>
      <c r="Q89" s="792"/>
      <c r="R89" s="792"/>
      <c r="S89" s="792"/>
      <c r="T89" s="792"/>
      <c r="U89" s="793"/>
      <c r="V89" s="740"/>
      <c r="W89" s="379"/>
      <c r="X89" s="379"/>
      <c r="Y89" s="379"/>
      <c r="Z89" s="1530"/>
      <c r="AA89" s="715"/>
      <c r="AB89" s="716"/>
      <c r="AC89" s="716"/>
      <c r="AD89" s="716"/>
      <c r="AE89" s="716"/>
      <c r="AF89" s="716"/>
      <c r="AG89" s="716"/>
      <c r="AH89" s="716"/>
      <c r="AI89" s="716"/>
      <c r="AJ89" s="716"/>
      <c r="AK89" s="716"/>
      <c r="AL89" s="716"/>
      <c r="AM89" s="716"/>
      <c r="AN89" s="716"/>
      <c r="AO89" s="716"/>
    </row>
    <row r="90" spans="1:41" x14ac:dyDescent="0.2">
      <c r="A90" s="1608"/>
      <c r="B90" s="459"/>
      <c r="C90" s="783"/>
      <c r="D90" s="794"/>
      <c r="E90" s="795"/>
      <c r="F90" s="796"/>
      <c r="G90" s="796"/>
      <c r="H90" s="796"/>
      <c r="I90" s="796"/>
      <c r="J90" s="796"/>
      <c r="K90" s="796"/>
      <c r="L90" s="796"/>
      <c r="M90" s="796"/>
      <c r="N90" s="796"/>
      <c r="O90" s="796"/>
      <c r="P90" s="796"/>
      <c r="Q90" s="796"/>
      <c r="R90" s="796"/>
      <c r="S90" s="796"/>
      <c r="T90" s="796"/>
      <c r="U90" s="797"/>
      <c r="V90" s="708"/>
      <c r="W90" s="710"/>
      <c r="X90" s="710"/>
      <c r="Y90" s="445"/>
      <c r="Z90" s="708"/>
      <c r="AA90" s="706"/>
      <c r="AB90" s="707"/>
      <c r="AC90" s="707"/>
      <c r="AD90" s="707"/>
      <c r="AE90" s="707"/>
      <c r="AF90" s="707"/>
      <c r="AG90" s="707"/>
      <c r="AH90" s="707"/>
      <c r="AI90" s="707"/>
      <c r="AJ90" s="707"/>
      <c r="AK90" s="707"/>
      <c r="AL90" s="707"/>
      <c r="AM90" s="707"/>
      <c r="AN90" s="707"/>
      <c r="AO90" s="707"/>
    </row>
    <row r="91" spans="1:41" x14ac:dyDescent="0.2">
      <c r="A91" s="1608"/>
      <c r="B91" s="712"/>
      <c r="C91" s="786"/>
      <c r="D91" s="798"/>
      <c r="E91" s="789"/>
      <c r="F91" s="792"/>
      <c r="G91" s="792"/>
      <c r="H91" s="792"/>
      <c r="I91" s="792"/>
      <c r="J91" s="792"/>
      <c r="K91" s="792"/>
      <c r="L91" s="792"/>
      <c r="M91" s="792"/>
      <c r="N91" s="808"/>
      <c r="O91" s="792"/>
      <c r="P91" s="792"/>
      <c r="Q91" s="792"/>
      <c r="R91" s="792"/>
      <c r="S91" s="792"/>
      <c r="T91" s="792"/>
      <c r="U91" s="793"/>
      <c r="V91" s="740"/>
      <c r="W91" s="379"/>
      <c r="X91" s="379"/>
      <c r="Y91" s="406"/>
      <c r="Z91" s="714"/>
      <c r="AA91" s="715"/>
      <c r="AB91" s="716"/>
      <c r="AC91" s="716"/>
      <c r="AD91" s="716"/>
      <c r="AE91" s="716"/>
      <c r="AF91" s="716"/>
      <c r="AG91" s="716"/>
      <c r="AH91" s="716"/>
      <c r="AI91" s="716"/>
      <c r="AJ91" s="716"/>
      <c r="AK91" s="716"/>
      <c r="AL91" s="716"/>
      <c r="AM91" s="716"/>
      <c r="AN91" s="716"/>
      <c r="AO91" s="716"/>
    </row>
    <row r="92" spans="1:41" x14ac:dyDescent="0.2">
      <c r="A92" s="1608"/>
      <c r="B92" s="457"/>
      <c r="C92" s="783"/>
      <c r="D92" s="794"/>
      <c r="E92" s="795"/>
      <c r="F92" s="796"/>
      <c r="G92" s="796"/>
      <c r="H92" s="796"/>
      <c r="I92" s="796"/>
      <c r="J92" s="796"/>
      <c r="K92" s="796"/>
      <c r="L92" s="796"/>
      <c r="M92" s="796"/>
      <c r="N92" s="796"/>
      <c r="O92" s="796"/>
      <c r="P92" s="796"/>
      <c r="Q92" s="796"/>
      <c r="R92" s="796"/>
      <c r="S92" s="796"/>
      <c r="T92" s="796"/>
      <c r="U92" s="797"/>
      <c r="V92" s="708"/>
      <c r="W92" s="710"/>
      <c r="X92" s="710"/>
      <c r="Y92" s="379"/>
      <c r="Z92" s="708"/>
      <c r="AA92" s="706"/>
      <c r="AB92" s="707"/>
      <c r="AC92" s="707"/>
      <c r="AD92" s="707"/>
      <c r="AE92" s="707"/>
      <c r="AF92" s="707"/>
      <c r="AG92" s="707"/>
      <c r="AH92" s="707"/>
      <c r="AI92" s="707"/>
      <c r="AJ92" s="707"/>
      <c r="AK92" s="707"/>
      <c r="AL92" s="707"/>
      <c r="AM92" s="707"/>
      <c r="AN92" s="707"/>
      <c r="AO92" s="707"/>
    </row>
    <row r="93" spans="1:41" x14ac:dyDescent="0.2">
      <c r="A93" s="1608"/>
      <c r="B93" s="455"/>
      <c r="C93" s="786"/>
      <c r="D93" s="798"/>
      <c r="E93" s="789"/>
      <c r="F93" s="792"/>
      <c r="G93" s="792"/>
      <c r="H93" s="792"/>
      <c r="I93" s="792"/>
      <c r="J93" s="792"/>
      <c r="K93" s="792"/>
      <c r="L93" s="792"/>
      <c r="M93" s="792"/>
      <c r="N93" s="808"/>
      <c r="O93" s="792"/>
      <c r="P93" s="792"/>
      <c r="Q93" s="792"/>
      <c r="R93" s="792"/>
      <c r="S93" s="792"/>
      <c r="T93" s="792"/>
      <c r="U93" s="793"/>
      <c r="V93" s="740"/>
      <c r="W93" s="379"/>
      <c r="X93" s="379"/>
      <c r="Y93" s="445"/>
      <c r="Z93" s="714"/>
      <c r="AA93" s="715"/>
      <c r="AB93" s="716"/>
      <c r="AC93" s="717"/>
      <c r="AD93" s="716"/>
      <c r="AE93" s="716"/>
      <c r="AF93" s="716"/>
      <c r="AG93" s="716"/>
      <c r="AH93" s="716"/>
      <c r="AI93" s="716"/>
      <c r="AJ93" s="716"/>
      <c r="AK93" s="716"/>
      <c r="AL93" s="716"/>
      <c r="AM93" s="716"/>
      <c r="AN93" s="716"/>
      <c r="AO93" s="716"/>
    </row>
    <row r="94" spans="1:41" x14ac:dyDescent="0.2">
      <c r="A94" s="1608"/>
      <c r="B94" s="457"/>
      <c r="C94" s="783"/>
      <c r="D94" s="794"/>
      <c r="E94" s="795"/>
      <c r="F94" s="796"/>
      <c r="G94" s="796"/>
      <c r="H94" s="796"/>
      <c r="I94" s="796"/>
      <c r="J94" s="796"/>
      <c r="K94" s="796"/>
      <c r="L94" s="796"/>
      <c r="M94" s="796"/>
      <c r="N94" s="796"/>
      <c r="O94" s="796"/>
      <c r="P94" s="796"/>
      <c r="Q94" s="796"/>
      <c r="R94" s="796"/>
      <c r="S94" s="796"/>
      <c r="T94" s="796"/>
      <c r="U94" s="797"/>
      <c r="V94" s="708"/>
      <c r="W94" s="710"/>
      <c r="X94" s="710"/>
      <c r="Y94" s="406"/>
      <c r="Z94" s="708"/>
      <c r="AA94" s="706"/>
      <c r="AB94" s="707"/>
      <c r="AC94" s="707"/>
      <c r="AD94" s="707"/>
      <c r="AE94" s="707"/>
      <c r="AF94" s="707"/>
      <c r="AG94" s="707"/>
      <c r="AH94" s="707"/>
      <c r="AI94" s="707"/>
      <c r="AJ94" s="707"/>
      <c r="AK94" s="707"/>
      <c r="AL94" s="707"/>
      <c r="AM94" s="707"/>
      <c r="AN94" s="707"/>
      <c r="AO94" s="707"/>
    </row>
    <row r="95" spans="1:41" x14ac:dyDescent="0.2">
      <c r="A95" s="1609"/>
      <c r="B95" s="460"/>
      <c r="C95" s="790"/>
      <c r="D95" s="798"/>
      <c r="E95" s="789"/>
      <c r="F95" s="792"/>
      <c r="G95" s="792"/>
      <c r="H95" s="792"/>
      <c r="I95" s="792"/>
      <c r="J95" s="792"/>
      <c r="K95" s="792"/>
      <c r="L95" s="792"/>
      <c r="M95" s="792"/>
      <c r="N95" s="808"/>
      <c r="O95" s="792"/>
      <c r="P95" s="792"/>
      <c r="Q95" s="792"/>
      <c r="R95" s="792"/>
      <c r="S95" s="792"/>
      <c r="T95" s="792"/>
      <c r="U95" s="793"/>
      <c r="V95" s="742"/>
      <c r="W95" s="379"/>
      <c r="X95" s="379"/>
      <c r="Y95" s="379"/>
      <c r="Z95" s="1530"/>
      <c r="AA95" s="715"/>
      <c r="AB95" s="716"/>
      <c r="AC95" s="716"/>
      <c r="AD95" s="716"/>
      <c r="AE95" s="716"/>
      <c r="AF95" s="716"/>
      <c r="AG95" s="716"/>
      <c r="AH95" s="716"/>
      <c r="AI95" s="716"/>
      <c r="AJ95" s="716"/>
      <c r="AK95" s="716"/>
      <c r="AL95" s="716"/>
      <c r="AM95" s="716"/>
      <c r="AN95" s="716"/>
      <c r="AO95" s="716"/>
    </row>
    <row r="96" spans="1:41" x14ac:dyDescent="0.2">
      <c r="A96" s="1522"/>
      <c r="B96" s="378"/>
      <c r="C96" s="815"/>
      <c r="D96" s="816"/>
      <c r="E96" s="791"/>
      <c r="F96" s="788"/>
      <c r="G96" s="788"/>
      <c r="H96" s="788"/>
      <c r="I96" s="788"/>
      <c r="J96" s="788"/>
      <c r="K96" s="788"/>
      <c r="L96" s="788"/>
      <c r="M96" s="788"/>
      <c r="N96" s="788"/>
      <c r="O96" s="788"/>
      <c r="P96" s="788"/>
      <c r="Q96" s="788"/>
      <c r="R96" s="788"/>
      <c r="S96" s="788"/>
      <c r="T96" s="788"/>
      <c r="U96" s="787"/>
      <c r="Y96" s="445"/>
    </row>
    <row r="97" spans="1:25" x14ac:dyDescent="0.2">
      <c r="A97" s="1522"/>
      <c r="B97" s="378"/>
      <c r="C97" s="815"/>
      <c r="D97" s="816"/>
      <c r="E97" s="811"/>
      <c r="F97" s="812"/>
      <c r="G97" s="812"/>
      <c r="H97" s="812"/>
      <c r="I97" s="812"/>
      <c r="J97" s="812"/>
      <c r="K97" s="812"/>
      <c r="L97" s="812"/>
      <c r="M97" s="812"/>
      <c r="N97" s="812"/>
      <c r="O97" s="812"/>
      <c r="P97" s="812"/>
      <c r="Q97" s="812"/>
      <c r="R97" s="812"/>
      <c r="S97" s="812"/>
      <c r="T97" s="812"/>
      <c r="U97" s="819"/>
      <c r="Y97" s="445"/>
    </row>
    <row r="98" spans="1:25" x14ac:dyDescent="0.2">
      <c r="A98" s="1522"/>
      <c r="B98" s="378"/>
      <c r="Y98" s="445"/>
    </row>
    <row r="99" spans="1:25" x14ac:dyDescent="0.2">
      <c r="A99" s="1522"/>
      <c r="B99" s="378"/>
      <c r="Y99" s="445"/>
    </row>
    <row r="100" spans="1:25" x14ac:dyDescent="0.2">
      <c r="A100" s="1522"/>
      <c r="B100" s="378"/>
      <c r="Y100" s="445"/>
    </row>
    <row r="101" spans="1:25" x14ac:dyDescent="0.2">
      <c r="A101" s="1522"/>
      <c r="B101" s="378"/>
      <c r="Y101" s="445"/>
    </row>
    <row r="102" spans="1:25" x14ac:dyDescent="0.2">
      <c r="A102" s="1522"/>
      <c r="B102" s="378"/>
      <c r="Y102" s="445"/>
    </row>
    <row r="103" spans="1:25" x14ac:dyDescent="0.2">
      <c r="A103" s="1522"/>
      <c r="B103" s="378"/>
      <c r="Y103" s="445"/>
    </row>
    <row r="104" spans="1:25" x14ac:dyDescent="0.2">
      <c r="A104" s="1522"/>
      <c r="B104" s="378"/>
      <c r="Y104" s="379"/>
    </row>
    <row r="105" spans="1:25" x14ac:dyDescent="0.2">
      <c r="A105" s="1522"/>
      <c r="B105" s="378"/>
      <c r="Y105" s="445"/>
    </row>
    <row r="106" spans="1:25" x14ac:dyDescent="0.2">
      <c r="A106" s="1522"/>
      <c r="B106" s="378"/>
      <c r="Y106" s="406"/>
    </row>
    <row r="107" spans="1:25" x14ac:dyDescent="0.2">
      <c r="A107" s="1522"/>
      <c r="B107" s="378"/>
      <c r="Y107" s="379"/>
    </row>
    <row r="108" spans="1:25" x14ac:dyDescent="0.2">
      <c r="A108" s="1522"/>
      <c r="B108" s="378"/>
      <c r="Y108" s="445"/>
    </row>
    <row r="109" spans="1:25" x14ac:dyDescent="0.2">
      <c r="A109" s="1522"/>
      <c r="B109" s="378"/>
      <c r="Y109" s="406"/>
    </row>
    <row r="110" spans="1:25" x14ac:dyDescent="0.2">
      <c r="A110" s="1522"/>
      <c r="B110" s="378"/>
      <c r="Y110" s="379"/>
    </row>
    <row r="111" spans="1:25" x14ac:dyDescent="0.2">
      <c r="A111" s="1522"/>
      <c r="B111" s="378"/>
      <c r="Y111" s="445"/>
    </row>
    <row r="112" spans="1:25" x14ac:dyDescent="0.2">
      <c r="A112" s="1522"/>
      <c r="B112" s="378"/>
      <c r="Y112" s="406"/>
    </row>
    <row r="113" spans="1:25" x14ac:dyDescent="0.2">
      <c r="A113" s="1522"/>
      <c r="B113" s="378"/>
      <c r="Y113" s="379"/>
    </row>
    <row r="114" spans="1:25" x14ac:dyDescent="0.2">
      <c r="A114" s="1522"/>
      <c r="B114" s="378"/>
      <c r="Y114" s="445"/>
    </row>
    <row r="115" spans="1:25" x14ac:dyDescent="0.2">
      <c r="A115" s="1522"/>
      <c r="B115" s="378"/>
      <c r="Y115" s="406"/>
    </row>
    <row r="116" spans="1:25" x14ac:dyDescent="0.2">
      <c r="A116" s="1522"/>
      <c r="B116" s="378"/>
      <c r="Y116" s="379"/>
    </row>
    <row r="117" spans="1:25" x14ac:dyDescent="0.2">
      <c r="A117" s="1522"/>
      <c r="B117" s="378"/>
      <c r="Y117" s="445"/>
    </row>
    <row r="118" spans="1:25" x14ac:dyDescent="0.2">
      <c r="A118" s="1522"/>
      <c r="B118" s="378"/>
      <c r="Y118" s="406"/>
    </row>
    <row r="119" spans="1:25" x14ac:dyDescent="0.2">
      <c r="A119" s="1522"/>
      <c r="B119" s="378"/>
      <c r="Y119" s="379"/>
    </row>
    <row r="120" spans="1:25" x14ac:dyDescent="0.2">
      <c r="A120" s="1522"/>
      <c r="B120" s="378"/>
      <c r="Y120" s="445"/>
    </row>
    <row r="121" spans="1:25" x14ac:dyDescent="0.2">
      <c r="A121" s="1522"/>
      <c r="B121" s="378"/>
      <c r="Y121" s="406"/>
    </row>
    <row r="122" spans="1:25" x14ac:dyDescent="0.2">
      <c r="A122" s="1522"/>
      <c r="B122" s="378"/>
      <c r="Y122" s="379"/>
    </row>
    <row r="123" spans="1:25" x14ac:dyDescent="0.2">
      <c r="A123" s="1522"/>
      <c r="B123" s="378"/>
      <c r="Y123" s="445"/>
    </row>
    <row r="124" spans="1:25" x14ac:dyDescent="0.2">
      <c r="A124" s="1522"/>
      <c r="B124" s="378"/>
      <c r="Y124" s="406"/>
    </row>
    <row r="125" spans="1:25" x14ac:dyDescent="0.2">
      <c r="A125" s="1522"/>
      <c r="B125" s="378"/>
      <c r="Y125" s="379"/>
    </row>
    <row r="126" spans="1:25" x14ac:dyDescent="0.2">
      <c r="A126" s="1522"/>
      <c r="B126" s="378"/>
      <c r="Y126" s="445"/>
    </row>
    <row r="127" spans="1:25" x14ac:dyDescent="0.2">
      <c r="A127" s="1522"/>
      <c r="B127" s="378"/>
      <c r="Y127" s="406"/>
    </row>
    <row r="128" spans="1:25" x14ac:dyDescent="0.2">
      <c r="A128" s="1522"/>
      <c r="B128" s="378"/>
      <c r="Y128" s="379"/>
    </row>
    <row r="129" spans="1:25" x14ac:dyDescent="0.2">
      <c r="A129" s="1522"/>
      <c r="B129" s="378"/>
      <c r="Y129" s="445"/>
    </row>
    <row r="130" spans="1:25" x14ac:dyDescent="0.2">
      <c r="A130" s="1522"/>
      <c r="B130" s="378"/>
      <c r="Y130" s="406"/>
    </row>
    <row r="131" spans="1:25" x14ac:dyDescent="0.2">
      <c r="A131" s="1522"/>
      <c r="B131" s="378"/>
      <c r="Y131" s="379"/>
    </row>
    <row r="132" spans="1:25" x14ac:dyDescent="0.2">
      <c r="A132" s="1522"/>
      <c r="B132" s="378"/>
      <c r="Y132" s="445"/>
    </row>
    <row r="133" spans="1:25" x14ac:dyDescent="0.2">
      <c r="A133" s="1522"/>
      <c r="B133" s="378"/>
      <c r="Y133" s="406"/>
    </row>
    <row r="134" spans="1:25" x14ac:dyDescent="0.2">
      <c r="A134" s="1522"/>
      <c r="B134" s="378"/>
      <c r="Y134" s="379"/>
    </row>
    <row r="135" spans="1:25" x14ac:dyDescent="0.2">
      <c r="A135" s="1522"/>
      <c r="B135" s="378"/>
      <c r="Y135" s="445"/>
    </row>
    <row r="136" spans="1:25" x14ac:dyDescent="0.2">
      <c r="A136" s="1522"/>
      <c r="B136" s="378"/>
      <c r="Y136" s="406"/>
    </row>
    <row r="137" spans="1:25" x14ac:dyDescent="0.2">
      <c r="A137" s="1522"/>
      <c r="B137" s="378"/>
      <c r="Y137" s="379"/>
    </row>
    <row r="138" spans="1:25" x14ac:dyDescent="0.2">
      <c r="A138" s="1522"/>
      <c r="B138" s="378"/>
      <c r="Y138" s="445"/>
    </row>
    <row r="139" spans="1:25" x14ac:dyDescent="0.2">
      <c r="A139" s="1522"/>
      <c r="B139" s="378"/>
      <c r="Y139" s="406"/>
    </row>
    <row r="140" spans="1:25" x14ac:dyDescent="0.2">
      <c r="A140" s="1522"/>
      <c r="B140" s="378"/>
      <c r="Y140" s="379"/>
    </row>
    <row r="141" spans="1:25" x14ac:dyDescent="0.2">
      <c r="A141" s="1523"/>
      <c r="B141" s="442"/>
      <c r="Y141" s="445"/>
    </row>
    <row r="142" spans="1:25" x14ac:dyDescent="0.2">
      <c r="B142" s="398"/>
      <c r="Y142" s="406"/>
    </row>
    <row r="143" spans="1:25" x14ac:dyDescent="0.2">
      <c r="A143" s="434"/>
      <c r="B143" s="399"/>
      <c r="Y143" s="379"/>
    </row>
    <row r="144" spans="1:25" x14ac:dyDescent="0.2">
      <c r="A144" s="443"/>
      <c r="B144" s="400"/>
      <c r="Y144" s="445"/>
    </row>
    <row r="145" spans="1:25" x14ac:dyDescent="0.2">
      <c r="B145" s="398"/>
      <c r="C145" s="448"/>
      <c r="D145" s="437"/>
      <c r="E145" s="446"/>
      <c r="F145" s="446"/>
      <c r="G145" s="446"/>
      <c r="H145" s="446"/>
      <c r="I145" s="446"/>
      <c r="J145" s="446"/>
      <c r="K145" s="446"/>
      <c r="L145" s="446"/>
      <c r="M145" s="446"/>
      <c r="N145" s="446"/>
      <c r="O145" s="446"/>
      <c r="P145" s="446"/>
      <c r="Q145" s="446"/>
      <c r="R145" s="446"/>
      <c r="S145" s="446"/>
      <c r="T145" s="446"/>
      <c r="U145" s="446"/>
      <c r="V145" s="446"/>
      <c r="W145" s="406"/>
      <c r="X145" s="406"/>
      <c r="Y145" s="406"/>
    </row>
    <row r="146" spans="1:25" x14ac:dyDescent="0.2">
      <c r="B146" s="398"/>
      <c r="C146" s="449"/>
      <c r="D146" s="405"/>
      <c r="E146" s="379"/>
      <c r="F146" s="379"/>
      <c r="G146" s="379"/>
      <c r="H146" s="379"/>
      <c r="I146" s="379"/>
      <c r="J146" s="379"/>
      <c r="K146" s="379"/>
      <c r="L146" s="379"/>
      <c r="M146" s="379"/>
      <c r="N146" s="379"/>
      <c r="O146" s="379"/>
      <c r="P146" s="379"/>
      <c r="Q146" s="379"/>
      <c r="R146" s="379"/>
      <c r="S146" s="379"/>
      <c r="T146" s="379"/>
      <c r="U146" s="379"/>
      <c r="V146" s="379"/>
      <c r="W146" s="379"/>
      <c r="X146" s="379"/>
      <c r="Y146" s="379"/>
    </row>
    <row r="147" spans="1:25" x14ac:dyDescent="0.2">
      <c r="A147" s="443"/>
      <c r="B147" s="451"/>
      <c r="C147" s="450"/>
      <c r="D147" s="444"/>
      <c r="E147" s="447"/>
      <c r="F147" s="447"/>
      <c r="G147" s="447"/>
      <c r="H147" s="447"/>
      <c r="I147" s="447"/>
      <c r="J147" s="447"/>
      <c r="K147" s="447"/>
      <c r="L147" s="447"/>
      <c r="M147" s="447"/>
      <c r="N147" s="447"/>
      <c r="O147" s="447"/>
      <c r="P147" s="447"/>
      <c r="Q147" s="447"/>
      <c r="R147" s="447"/>
      <c r="S147" s="447"/>
      <c r="T147" s="447"/>
      <c r="U147" s="447"/>
      <c r="V147" s="447"/>
      <c r="W147" s="445"/>
      <c r="X147" s="445"/>
      <c r="Y147" s="445"/>
    </row>
    <row r="148" spans="1:25" x14ac:dyDescent="0.2">
      <c r="B148" s="398"/>
    </row>
    <row r="149" spans="1:25" x14ac:dyDescent="0.2">
      <c r="B149" s="398"/>
    </row>
    <row r="150" spans="1:25" x14ac:dyDescent="0.2">
      <c r="B150" s="398"/>
    </row>
    <row r="161" s="378" customFormat="1" x14ac:dyDescent="0.2"/>
    <row r="162" s="378" customFormat="1" x14ac:dyDescent="0.2"/>
    <row r="163" s="378" customFormat="1" x14ac:dyDescent="0.2"/>
    <row r="164" s="378" customFormat="1" x14ac:dyDescent="0.2"/>
    <row r="165" s="378" customFormat="1" x14ac:dyDescent="0.2"/>
    <row r="166" s="378" customFormat="1" x14ac:dyDescent="0.2"/>
    <row r="167" s="378" customFormat="1" x14ac:dyDescent="0.2"/>
    <row r="168" s="378" customFormat="1" x14ac:dyDescent="0.2"/>
    <row r="169" s="378" customFormat="1" x14ac:dyDescent="0.2"/>
    <row r="170" s="378" customFormat="1" x14ac:dyDescent="0.2"/>
    <row r="171" s="378" customFormat="1" x14ac:dyDescent="0.2"/>
    <row r="172" s="378" customFormat="1" x14ac:dyDescent="0.2"/>
    <row r="173" s="378" customFormat="1" x14ac:dyDescent="0.2"/>
    <row r="174" s="378" customFormat="1" x14ac:dyDescent="0.2"/>
    <row r="175" s="378" customFormat="1" x14ac:dyDescent="0.2"/>
    <row r="176" s="378" customFormat="1" x14ac:dyDescent="0.2"/>
    <row r="177" s="378" customFormat="1" x14ac:dyDescent="0.2"/>
    <row r="178" s="378" customFormat="1" x14ac:dyDescent="0.2"/>
    <row r="179" s="378" customFormat="1" x14ac:dyDescent="0.2"/>
    <row r="180" s="378" customFormat="1" x14ac:dyDescent="0.2"/>
    <row r="181" s="378" customFormat="1" x14ac:dyDescent="0.2"/>
    <row r="182" s="378" customFormat="1" x14ac:dyDescent="0.2"/>
    <row r="183" s="378" customFormat="1" x14ac:dyDescent="0.2"/>
    <row r="184" s="378" customFormat="1" x14ac:dyDescent="0.2"/>
    <row r="185" s="378" customFormat="1" x14ac:dyDescent="0.2"/>
    <row r="186" s="378" customFormat="1" x14ac:dyDescent="0.2"/>
    <row r="187" s="378" customFormat="1" x14ac:dyDescent="0.2"/>
    <row r="188" s="378" customFormat="1" x14ac:dyDescent="0.2"/>
    <row r="189" s="378" customFormat="1" x14ac:dyDescent="0.2"/>
    <row r="190" s="378" customFormat="1" x14ac:dyDescent="0.2"/>
    <row r="191" s="378" customFormat="1" x14ac:dyDescent="0.2"/>
    <row r="192" s="378" customFormat="1" x14ac:dyDescent="0.2"/>
    <row r="193" s="378" customFormat="1" x14ac:dyDescent="0.2"/>
    <row r="194" s="378" customFormat="1" x14ac:dyDescent="0.2"/>
    <row r="195" s="378" customFormat="1" x14ac:dyDescent="0.2"/>
    <row r="196" s="378" customFormat="1" x14ac:dyDescent="0.2"/>
    <row r="197" s="378" customFormat="1" x14ac:dyDescent="0.2"/>
    <row r="198" s="378" customFormat="1" x14ac:dyDescent="0.2"/>
    <row r="199" s="378" customFormat="1" x14ac:dyDescent="0.2"/>
    <row r="200" s="378" customFormat="1" x14ac:dyDescent="0.2"/>
    <row r="201" s="378" customFormat="1" x14ac:dyDescent="0.2"/>
    <row r="202" s="378" customFormat="1" x14ac:dyDescent="0.2"/>
    <row r="203" s="378" customFormat="1" x14ac:dyDescent="0.2"/>
    <row r="204" s="378" customFormat="1" x14ac:dyDescent="0.2"/>
    <row r="205" s="378" customFormat="1" x14ac:dyDescent="0.2"/>
    <row r="206" s="378" customFormat="1" x14ac:dyDescent="0.2"/>
    <row r="207" s="378" customFormat="1" x14ac:dyDescent="0.2"/>
    <row r="208" s="378" customFormat="1" x14ac:dyDescent="0.2"/>
    <row r="209" s="378" customFormat="1" x14ac:dyDescent="0.2"/>
    <row r="210" s="378" customFormat="1" x14ac:dyDescent="0.2"/>
    <row r="211" s="378" customFormat="1" x14ac:dyDescent="0.2"/>
    <row r="212" s="378" customFormat="1" x14ac:dyDescent="0.2"/>
    <row r="213" s="378" customFormat="1" x14ac:dyDescent="0.2"/>
    <row r="214" s="378" customFormat="1" x14ac:dyDescent="0.2"/>
    <row r="215" s="378" customFormat="1" x14ac:dyDescent="0.2"/>
    <row r="216" s="378" customFormat="1" x14ac:dyDescent="0.2"/>
    <row r="217" s="378" customFormat="1" x14ac:dyDescent="0.2"/>
    <row r="218" s="378" customFormat="1" x14ac:dyDescent="0.2"/>
    <row r="219" s="378" customFormat="1" x14ac:dyDescent="0.2"/>
    <row r="220" s="378" customFormat="1" x14ac:dyDescent="0.2"/>
    <row r="221" s="378" customFormat="1" x14ac:dyDescent="0.2"/>
    <row r="222" s="378" customFormat="1" x14ac:dyDescent="0.2"/>
    <row r="223" s="378" customFormat="1" x14ac:dyDescent="0.2"/>
    <row r="224" s="378" customFormat="1" x14ac:dyDescent="0.2"/>
    <row r="225" s="378" customFormat="1" x14ac:dyDescent="0.2"/>
    <row r="226" s="378" customFormat="1" x14ac:dyDescent="0.2"/>
    <row r="227" s="378" customFormat="1" x14ac:dyDescent="0.2"/>
    <row r="228" s="378" customFormat="1" x14ac:dyDescent="0.2"/>
    <row r="229" s="378" customFormat="1" x14ac:dyDescent="0.2"/>
    <row r="230" s="378" customFormat="1" x14ac:dyDescent="0.2"/>
    <row r="231" s="378" customFormat="1" x14ac:dyDescent="0.2"/>
    <row r="232" s="378" customFormat="1" x14ac:dyDescent="0.2"/>
    <row r="233" s="378" customFormat="1" x14ac:dyDescent="0.2"/>
    <row r="234" s="378" customFormat="1" x14ac:dyDescent="0.2"/>
    <row r="235" s="378" customFormat="1" x14ac:dyDescent="0.2"/>
    <row r="236" s="378" customFormat="1" x14ac:dyDescent="0.2"/>
    <row r="237" s="378" customFormat="1" x14ac:dyDescent="0.2"/>
    <row r="238" s="378" customFormat="1" x14ac:dyDescent="0.2"/>
    <row r="239" s="378" customFormat="1" x14ac:dyDescent="0.2"/>
    <row r="240" s="378" customFormat="1" x14ac:dyDescent="0.2"/>
    <row r="241" s="378" customFormat="1" x14ac:dyDescent="0.2"/>
    <row r="242" s="378" customFormat="1" x14ac:dyDescent="0.2"/>
    <row r="243" s="378" customFormat="1" x14ac:dyDescent="0.2"/>
    <row r="244" s="378" customFormat="1" x14ac:dyDescent="0.2"/>
    <row r="245" s="378" customFormat="1" x14ac:dyDescent="0.2"/>
    <row r="246" s="378" customFormat="1" x14ac:dyDescent="0.2"/>
    <row r="247" s="378" customFormat="1" x14ac:dyDescent="0.2"/>
    <row r="248" s="378" customFormat="1" x14ac:dyDescent="0.2"/>
    <row r="249" s="378" customFormat="1" x14ac:dyDescent="0.2"/>
    <row r="250" s="378" customFormat="1" x14ac:dyDescent="0.2"/>
    <row r="251" s="378" customFormat="1" x14ac:dyDescent="0.2"/>
    <row r="252" s="378" customFormat="1" x14ac:dyDescent="0.2"/>
    <row r="253" s="378" customFormat="1" x14ac:dyDescent="0.2"/>
    <row r="254" s="378" customFormat="1" x14ac:dyDescent="0.2"/>
    <row r="255" s="378" customFormat="1" x14ac:dyDescent="0.2"/>
    <row r="256" s="378" customFormat="1" x14ac:dyDescent="0.2"/>
    <row r="257" s="378" customFormat="1" x14ac:dyDescent="0.2"/>
    <row r="258" s="378" customFormat="1" x14ac:dyDescent="0.2"/>
    <row r="259" s="378" customFormat="1" x14ac:dyDescent="0.2"/>
    <row r="260" s="378" customFormat="1" x14ac:dyDescent="0.2"/>
    <row r="261" s="378" customFormat="1" x14ac:dyDescent="0.2"/>
    <row r="262" s="378" customFormat="1" x14ac:dyDescent="0.2"/>
    <row r="263" s="378" customFormat="1" x14ac:dyDescent="0.2"/>
    <row r="264" s="378" customFormat="1" x14ac:dyDescent="0.2"/>
    <row r="265" s="378" customFormat="1" x14ac:dyDescent="0.2"/>
    <row r="266" s="378" customFormat="1" x14ac:dyDescent="0.2"/>
    <row r="267" s="378" customFormat="1" x14ac:dyDescent="0.2"/>
    <row r="268" s="378" customFormat="1" x14ac:dyDescent="0.2"/>
    <row r="269" s="378" customFormat="1" x14ac:dyDescent="0.2"/>
    <row r="270" s="378" customFormat="1" x14ac:dyDescent="0.2"/>
    <row r="271" s="378" customFormat="1" x14ac:dyDescent="0.2"/>
    <row r="272" s="378" customFormat="1" x14ac:dyDescent="0.2"/>
    <row r="273" s="378" customFormat="1" x14ac:dyDescent="0.2"/>
    <row r="274" s="378" customFormat="1" x14ac:dyDescent="0.2"/>
    <row r="275" s="378" customFormat="1" x14ac:dyDescent="0.2"/>
    <row r="276" s="378" customFormat="1" x14ac:dyDescent="0.2"/>
    <row r="277" s="378" customFormat="1" x14ac:dyDescent="0.2"/>
    <row r="278" s="378" customFormat="1" x14ac:dyDescent="0.2"/>
    <row r="279" s="378" customFormat="1" x14ac:dyDescent="0.2"/>
    <row r="280" s="378" customFormat="1" x14ac:dyDescent="0.2"/>
    <row r="281" s="378" customFormat="1" x14ac:dyDescent="0.2"/>
    <row r="282" s="378" customFormat="1" x14ac:dyDescent="0.2"/>
    <row r="283" s="378" customFormat="1" x14ac:dyDescent="0.2"/>
    <row r="284" s="378" customFormat="1" x14ac:dyDescent="0.2"/>
    <row r="285" s="378" customFormat="1" x14ac:dyDescent="0.2"/>
    <row r="286" s="378" customFormat="1" x14ac:dyDescent="0.2"/>
    <row r="287" s="378" customFormat="1" x14ac:dyDescent="0.2"/>
    <row r="288" s="378" customFormat="1" x14ac:dyDescent="0.2"/>
    <row r="289" s="378" customFormat="1" x14ac:dyDescent="0.2"/>
    <row r="290" s="378" customFormat="1" x14ac:dyDescent="0.2"/>
    <row r="291" s="378" customFormat="1" x14ac:dyDescent="0.2"/>
    <row r="292" s="378" customFormat="1" x14ac:dyDescent="0.2"/>
    <row r="293" s="378" customFormat="1" x14ac:dyDescent="0.2"/>
    <row r="294" s="378" customFormat="1" x14ac:dyDescent="0.2"/>
    <row r="295" s="378" customFormat="1" x14ac:dyDescent="0.2"/>
    <row r="296" s="378" customFormat="1" x14ac:dyDescent="0.2"/>
    <row r="297" s="378" customFormat="1" x14ac:dyDescent="0.2"/>
    <row r="298" s="378" customFormat="1" x14ac:dyDescent="0.2"/>
    <row r="299" s="378" customFormat="1" x14ac:dyDescent="0.2"/>
    <row r="300" s="378" customFormat="1" x14ac:dyDescent="0.2"/>
    <row r="301" s="378" customFormat="1" x14ac:dyDescent="0.2"/>
    <row r="302" s="378" customFormat="1" x14ac:dyDescent="0.2"/>
    <row r="303" s="378" customFormat="1" x14ac:dyDescent="0.2"/>
    <row r="304" s="378" customFormat="1" x14ac:dyDescent="0.2"/>
    <row r="305" s="378" customFormat="1" x14ac:dyDescent="0.2"/>
    <row r="306" s="378" customFormat="1" x14ac:dyDescent="0.2"/>
    <row r="307" s="378" customFormat="1" x14ac:dyDescent="0.2"/>
    <row r="308" s="378" customFormat="1" x14ac:dyDescent="0.2"/>
    <row r="309" s="378" customFormat="1" x14ac:dyDescent="0.2"/>
    <row r="310" s="378" customFormat="1" x14ac:dyDescent="0.2"/>
    <row r="311" s="378" customFormat="1" x14ac:dyDescent="0.2"/>
    <row r="312" s="378" customFormat="1" x14ac:dyDescent="0.2"/>
    <row r="313" s="378" customFormat="1" x14ac:dyDescent="0.2"/>
    <row r="314" s="378" customFormat="1" x14ac:dyDescent="0.2"/>
    <row r="315" s="378" customFormat="1" x14ac:dyDescent="0.2"/>
    <row r="316" s="378" customFormat="1" x14ac:dyDescent="0.2"/>
    <row r="317" s="378" customFormat="1" x14ac:dyDescent="0.2"/>
    <row r="318" s="378" customFormat="1" x14ac:dyDescent="0.2"/>
    <row r="319" s="378" customFormat="1" x14ac:dyDescent="0.2"/>
    <row r="320" s="378" customFormat="1" x14ac:dyDescent="0.2"/>
    <row r="321" s="378" customFormat="1" x14ac:dyDescent="0.2"/>
    <row r="322" s="378" customFormat="1" x14ac:dyDescent="0.2"/>
    <row r="323" s="378" customFormat="1" x14ac:dyDescent="0.2"/>
    <row r="324" s="378" customFormat="1" x14ac:dyDescent="0.2"/>
    <row r="325" s="378" customFormat="1" x14ac:dyDescent="0.2"/>
    <row r="326" s="378" customFormat="1" x14ac:dyDescent="0.2"/>
    <row r="327" s="378" customFormat="1" x14ac:dyDescent="0.2"/>
    <row r="328" s="378" customFormat="1" x14ac:dyDescent="0.2"/>
    <row r="329" s="378" customFormat="1" x14ac:dyDescent="0.2"/>
    <row r="330" s="378" customFormat="1" x14ac:dyDescent="0.2"/>
    <row r="331" s="378" customFormat="1" x14ac:dyDescent="0.2"/>
    <row r="332" s="378" customFormat="1" x14ac:dyDescent="0.2"/>
    <row r="333" s="378" customFormat="1" x14ac:dyDescent="0.2"/>
    <row r="334" s="378" customFormat="1" x14ac:dyDescent="0.2"/>
    <row r="335" s="378" customFormat="1" x14ac:dyDescent="0.2"/>
    <row r="336" s="378" customFormat="1" x14ac:dyDescent="0.2"/>
    <row r="337" s="378" customFormat="1" x14ac:dyDescent="0.2"/>
    <row r="338" s="378" customFormat="1" x14ac:dyDescent="0.2"/>
    <row r="339" s="378" customFormat="1" x14ac:dyDescent="0.2"/>
    <row r="340" s="378" customFormat="1" x14ac:dyDescent="0.2"/>
    <row r="341" s="378" customFormat="1" x14ac:dyDescent="0.2"/>
    <row r="342" s="378" customFormat="1" x14ac:dyDescent="0.2"/>
    <row r="343" s="378" customFormat="1" x14ac:dyDescent="0.2"/>
    <row r="344" s="378" customFormat="1" x14ac:dyDescent="0.2"/>
    <row r="345" s="378" customFormat="1" x14ac:dyDescent="0.2"/>
    <row r="346" s="378" customFormat="1" x14ac:dyDescent="0.2"/>
    <row r="347" s="378" customFormat="1" x14ac:dyDescent="0.2"/>
    <row r="348" s="378" customFormat="1" x14ac:dyDescent="0.2"/>
    <row r="349" s="378" customFormat="1" x14ac:dyDescent="0.2"/>
    <row r="350" s="378" customFormat="1" x14ac:dyDescent="0.2"/>
    <row r="351" s="378" customFormat="1" x14ac:dyDescent="0.2"/>
    <row r="352" s="378" customFormat="1" x14ac:dyDescent="0.2"/>
    <row r="353" s="378" customFormat="1" x14ac:dyDescent="0.2"/>
    <row r="354" s="378" customFormat="1" x14ac:dyDescent="0.2"/>
    <row r="355" s="378" customFormat="1" x14ac:dyDescent="0.2"/>
    <row r="356" s="378" customFormat="1" x14ac:dyDescent="0.2"/>
    <row r="357" s="378" customFormat="1" x14ac:dyDescent="0.2"/>
    <row r="358" s="378" customFormat="1" x14ac:dyDescent="0.2"/>
    <row r="359" s="378" customFormat="1" x14ac:dyDescent="0.2"/>
    <row r="360" s="378" customFormat="1" x14ac:dyDescent="0.2"/>
    <row r="361" s="378" customFormat="1" x14ac:dyDescent="0.2"/>
    <row r="362" s="378" customFormat="1" x14ac:dyDescent="0.2"/>
    <row r="363" s="378" customFormat="1" x14ac:dyDescent="0.2"/>
    <row r="364" s="378" customFormat="1" x14ac:dyDescent="0.2"/>
    <row r="365" s="378" customFormat="1" x14ac:dyDescent="0.2"/>
    <row r="366" s="378" customFormat="1" x14ac:dyDescent="0.2"/>
    <row r="367" s="378" customFormat="1" x14ac:dyDescent="0.2"/>
    <row r="368" s="378" customFormat="1" x14ac:dyDescent="0.2"/>
    <row r="369" s="378" customFormat="1" x14ac:dyDescent="0.2"/>
    <row r="370" s="378" customFormat="1" x14ac:dyDescent="0.2"/>
    <row r="371" s="378" customFormat="1" x14ac:dyDescent="0.2"/>
    <row r="372" s="378" customFormat="1" x14ac:dyDescent="0.2"/>
    <row r="373" s="378" customFormat="1" x14ac:dyDescent="0.2"/>
    <row r="374" s="378" customFormat="1" x14ac:dyDescent="0.2"/>
    <row r="375" s="378" customFormat="1" x14ac:dyDescent="0.2"/>
    <row r="376" s="378" customFormat="1" x14ac:dyDescent="0.2"/>
    <row r="377" s="378" customFormat="1" x14ac:dyDescent="0.2"/>
    <row r="378" s="378" customFormat="1" x14ac:dyDescent="0.2"/>
    <row r="379" s="378" customFormat="1" x14ac:dyDescent="0.2"/>
    <row r="380" s="378" customFormat="1" x14ac:dyDescent="0.2"/>
    <row r="381" s="378" customFormat="1" x14ac:dyDescent="0.2"/>
    <row r="382" s="378" customFormat="1" x14ac:dyDescent="0.2"/>
    <row r="383" s="378" customFormat="1" x14ac:dyDescent="0.2"/>
    <row r="384" s="378" customFormat="1" x14ac:dyDescent="0.2"/>
    <row r="385" s="378" customFormat="1" x14ac:dyDescent="0.2"/>
    <row r="386" s="378" customFormat="1" x14ac:dyDescent="0.2"/>
    <row r="387" s="378" customFormat="1" x14ac:dyDescent="0.2"/>
    <row r="388" s="378" customFormat="1" x14ac:dyDescent="0.2"/>
    <row r="389" s="378" customFormat="1" x14ac:dyDescent="0.2"/>
    <row r="390" s="378" customFormat="1" x14ac:dyDescent="0.2"/>
    <row r="391" s="378" customFormat="1" x14ac:dyDescent="0.2"/>
    <row r="392" s="378" customFormat="1" x14ac:dyDescent="0.2"/>
    <row r="393" s="378" customFormat="1" x14ac:dyDescent="0.2"/>
    <row r="394" s="378" customFormat="1" x14ac:dyDescent="0.2"/>
    <row r="395" s="378" customFormat="1" x14ac:dyDescent="0.2"/>
    <row r="396" s="378" customFormat="1" x14ac:dyDescent="0.2"/>
    <row r="397" s="378" customFormat="1" x14ac:dyDescent="0.2"/>
    <row r="398" s="378" customFormat="1" x14ac:dyDescent="0.2"/>
    <row r="399" s="378" customFormat="1" x14ac:dyDescent="0.2"/>
    <row r="400" s="378" customFormat="1" x14ac:dyDescent="0.2"/>
    <row r="401" s="378" customFormat="1" x14ac:dyDescent="0.2"/>
    <row r="402" s="378" customFormat="1" x14ac:dyDescent="0.2"/>
    <row r="403" s="378" customFormat="1" x14ac:dyDescent="0.2"/>
    <row r="404" s="378" customFormat="1" x14ac:dyDescent="0.2"/>
    <row r="405" s="378" customFormat="1" x14ac:dyDescent="0.2"/>
    <row r="406" s="378" customFormat="1" x14ac:dyDescent="0.2"/>
    <row r="407" s="378" customFormat="1" x14ac:dyDescent="0.2"/>
    <row r="408" s="378" customFormat="1" x14ac:dyDescent="0.2"/>
    <row r="409" s="378" customFormat="1" x14ac:dyDescent="0.2"/>
    <row r="410" s="378" customFormat="1" x14ac:dyDescent="0.2"/>
    <row r="411" s="378" customFormat="1" x14ac:dyDescent="0.2"/>
    <row r="412" s="378" customFormat="1" x14ac:dyDescent="0.2"/>
    <row r="413" s="378" customFormat="1" x14ac:dyDescent="0.2"/>
    <row r="414" s="378" customFormat="1" x14ac:dyDescent="0.2"/>
    <row r="415" s="378" customFormat="1" x14ac:dyDescent="0.2"/>
    <row r="416" s="378" customFormat="1" x14ac:dyDescent="0.2"/>
    <row r="417" s="378" customFormat="1" x14ac:dyDescent="0.2"/>
    <row r="418" s="378" customFormat="1" x14ac:dyDescent="0.2"/>
    <row r="419" s="378" customFormat="1" x14ac:dyDescent="0.2"/>
    <row r="420" s="378" customFormat="1" x14ac:dyDescent="0.2"/>
    <row r="421" s="378" customFormat="1" x14ac:dyDescent="0.2"/>
    <row r="422" s="378" customFormat="1" x14ac:dyDescent="0.2"/>
    <row r="423" s="378" customFormat="1" x14ac:dyDescent="0.2"/>
    <row r="424" s="378" customFormat="1" x14ac:dyDescent="0.2"/>
    <row r="425" s="378" customFormat="1" x14ac:dyDescent="0.2"/>
    <row r="426" s="378" customFormat="1" x14ac:dyDescent="0.2"/>
    <row r="427" s="378" customFormat="1" x14ac:dyDescent="0.2"/>
    <row r="428" s="378" customFormat="1" x14ac:dyDescent="0.2"/>
    <row r="429" s="378" customFormat="1" x14ac:dyDescent="0.2"/>
    <row r="430" s="378" customFormat="1" x14ac:dyDescent="0.2"/>
    <row r="431" s="378" customFormat="1" x14ac:dyDescent="0.2"/>
    <row r="432" s="378" customFormat="1" x14ac:dyDescent="0.2"/>
    <row r="433" s="378" customFormat="1" x14ac:dyDescent="0.2"/>
    <row r="434" s="378" customFormat="1" x14ac:dyDescent="0.2"/>
    <row r="435" s="378" customFormat="1" x14ac:dyDescent="0.2"/>
    <row r="436" s="378" customFormat="1" x14ac:dyDescent="0.2"/>
    <row r="437" s="378" customFormat="1" x14ac:dyDescent="0.2"/>
    <row r="438" s="378" customFormat="1" x14ac:dyDescent="0.2"/>
    <row r="439" s="378" customFormat="1" x14ac:dyDescent="0.2"/>
    <row r="440" s="378" customFormat="1" x14ac:dyDescent="0.2"/>
    <row r="441" s="378" customFormat="1" x14ac:dyDescent="0.2"/>
    <row r="442" s="378" customFormat="1" x14ac:dyDescent="0.2"/>
    <row r="443" s="378" customFormat="1" x14ac:dyDescent="0.2"/>
    <row r="444" s="378" customFormat="1" x14ac:dyDescent="0.2"/>
    <row r="445" s="378" customFormat="1" x14ac:dyDescent="0.2"/>
    <row r="446" s="378" customFormat="1" x14ac:dyDescent="0.2"/>
    <row r="447" s="378" customFormat="1" x14ac:dyDescent="0.2"/>
    <row r="448" s="378" customFormat="1" x14ac:dyDescent="0.2"/>
    <row r="449" s="378" customFormat="1" x14ac:dyDescent="0.2"/>
    <row r="450" s="378" customFormat="1" x14ac:dyDescent="0.2"/>
    <row r="451" s="378" customFormat="1" x14ac:dyDescent="0.2"/>
    <row r="452" s="378" customFormat="1" x14ac:dyDescent="0.2"/>
    <row r="453" s="378" customFormat="1" x14ac:dyDescent="0.2"/>
    <row r="454" s="378" customFormat="1" x14ac:dyDescent="0.2"/>
    <row r="455" s="378" customFormat="1" x14ac:dyDescent="0.2"/>
    <row r="456" s="378" customFormat="1" x14ac:dyDescent="0.2"/>
    <row r="457" s="378" customFormat="1" x14ac:dyDescent="0.2"/>
    <row r="458" s="378" customFormat="1" x14ac:dyDescent="0.2"/>
    <row r="459" s="378" customFormat="1" x14ac:dyDescent="0.2"/>
    <row r="460" s="378" customFormat="1" x14ac:dyDescent="0.2"/>
    <row r="461" s="378" customFormat="1" x14ac:dyDescent="0.2"/>
    <row r="462" s="378" customFormat="1" x14ac:dyDescent="0.2"/>
    <row r="463" s="378" customFormat="1" x14ac:dyDescent="0.2"/>
    <row r="464" s="378" customFormat="1" x14ac:dyDescent="0.2"/>
    <row r="465" s="378" customFormat="1" x14ac:dyDescent="0.2"/>
    <row r="466" s="378" customFormat="1" x14ac:dyDescent="0.2"/>
    <row r="467" s="378" customFormat="1" x14ac:dyDescent="0.2"/>
    <row r="468" s="378" customFormat="1" x14ac:dyDescent="0.2"/>
    <row r="469" s="378" customFormat="1" x14ac:dyDescent="0.2"/>
    <row r="470" s="378" customFormat="1" x14ac:dyDescent="0.2"/>
    <row r="471" s="378" customFormat="1" x14ac:dyDescent="0.2"/>
    <row r="472" s="378" customFormat="1" x14ac:dyDescent="0.2"/>
    <row r="473" s="378" customFormat="1" x14ac:dyDescent="0.2"/>
    <row r="474" s="378" customFormat="1" x14ac:dyDescent="0.2"/>
    <row r="475" s="378" customFormat="1" x14ac:dyDescent="0.2"/>
    <row r="476" s="378" customFormat="1" x14ac:dyDescent="0.2"/>
    <row r="477" s="378" customFormat="1" x14ac:dyDescent="0.2"/>
    <row r="478" s="378" customFormat="1" x14ac:dyDescent="0.2"/>
    <row r="479" s="378" customFormat="1" x14ac:dyDescent="0.2"/>
    <row r="480" s="378" customFormat="1" x14ac:dyDescent="0.2"/>
    <row r="481" s="378" customFormat="1" x14ac:dyDescent="0.2"/>
    <row r="482" s="378" customFormat="1" x14ac:dyDescent="0.2"/>
    <row r="483" s="378" customFormat="1" x14ac:dyDescent="0.2"/>
    <row r="484" s="378" customFormat="1" x14ac:dyDescent="0.2"/>
    <row r="485" s="378" customFormat="1" x14ac:dyDescent="0.2"/>
    <row r="486" s="378" customFormat="1" x14ac:dyDescent="0.2"/>
    <row r="487" s="378" customFormat="1" x14ac:dyDescent="0.2"/>
    <row r="488" s="378" customFormat="1" x14ac:dyDescent="0.2"/>
    <row r="489" s="378" customFormat="1" x14ac:dyDescent="0.2"/>
    <row r="490" s="378" customFormat="1" x14ac:dyDescent="0.2"/>
    <row r="491" s="378" customFormat="1" x14ac:dyDescent="0.2"/>
    <row r="492" s="378" customFormat="1" x14ac:dyDescent="0.2"/>
    <row r="493" s="378" customFormat="1" x14ac:dyDescent="0.2"/>
    <row r="494" s="378" customFormat="1" x14ac:dyDescent="0.2"/>
    <row r="495" s="378" customFormat="1" x14ac:dyDescent="0.2"/>
    <row r="496" s="378" customFormat="1" x14ac:dyDescent="0.2"/>
    <row r="497" s="378" customFormat="1" x14ac:dyDescent="0.2"/>
    <row r="498" s="378" customFormat="1" x14ac:dyDescent="0.2"/>
    <row r="499" s="378" customFormat="1" x14ac:dyDescent="0.2"/>
    <row r="500" s="378" customFormat="1" x14ac:dyDescent="0.2"/>
    <row r="501" s="378" customFormat="1" x14ac:dyDescent="0.2"/>
    <row r="502" s="378" customFormat="1" x14ac:dyDescent="0.2"/>
    <row r="503" s="378" customFormat="1" x14ac:dyDescent="0.2"/>
    <row r="504" s="378" customFormat="1" x14ac:dyDescent="0.2"/>
    <row r="505" s="378" customFormat="1" x14ac:dyDescent="0.2"/>
    <row r="506" s="378" customFormat="1" x14ac:dyDescent="0.2"/>
    <row r="507" s="378" customFormat="1" x14ac:dyDescent="0.2"/>
    <row r="508" s="378" customFormat="1" x14ac:dyDescent="0.2"/>
    <row r="509" s="378" customFormat="1" x14ac:dyDescent="0.2"/>
    <row r="510" s="378" customFormat="1" x14ac:dyDescent="0.2"/>
    <row r="511" s="378" customFormat="1" x14ac:dyDescent="0.2"/>
    <row r="512" s="378" customFormat="1" x14ac:dyDescent="0.2"/>
    <row r="513" s="378" customFormat="1" x14ac:dyDescent="0.2"/>
    <row r="514" s="378" customFormat="1" x14ac:dyDescent="0.2"/>
    <row r="515" s="378" customFormat="1" x14ac:dyDescent="0.2"/>
    <row r="516" s="378" customFormat="1" x14ac:dyDescent="0.2"/>
    <row r="517" s="378" customFormat="1" x14ac:dyDescent="0.2"/>
    <row r="518" s="378" customFormat="1" x14ac:dyDescent="0.2"/>
    <row r="519" s="378" customFormat="1" x14ac:dyDescent="0.2"/>
    <row r="520" s="378" customFormat="1" x14ac:dyDescent="0.2"/>
    <row r="521" s="378" customFormat="1" x14ac:dyDescent="0.2"/>
    <row r="522" s="378" customFormat="1" x14ac:dyDescent="0.2"/>
    <row r="523" s="378" customFormat="1" x14ac:dyDescent="0.2"/>
    <row r="524" s="378" customFormat="1" x14ac:dyDescent="0.2"/>
    <row r="525" s="378" customFormat="1" x14ac:dyDescent="0.2"/>
    <row r="526" s="378" customFormat="1" x14ac:dyDescent="0.2"/>
    <row r="527" s="378" customFormat="1" x14ac:dyDescent="0.2"/>
    <row r="528" s="378" customFormat="1" x14ac:dyDescent="0.2"/>
    <row r="529" s="378" customFormat="1" x14ac:dyDescent="0.2"/>
    <row r="530" s="378" customFormat="1" x14ac:dyDescent="0.2"/>
    <row r="531" s="378" customFormat="1" x14ac:dyDescent="0.2"/>
    <row r="532" s="378" customFormat="1" x14ac:dyDescent="0.2"/>
    <row r="533" s="378" customFormat="1" x14ac:dyDescent="0.2"/>
    <row r="534" s="378" customFormat="1" x14ac:dyDescent="0.2"/>
    <row r="535" s="378" customFormat="1" x14ac:dyDescent="0.2"/>
    <row r="536" s="378" customFormat="1" x14ac:dyDescent="0.2"/>
    <row r="537" s="378" customFormat="1" x14ac:dyDescent="0.2"/>
    <row r="538" s="378" customFormat="1" x14ac:dyDescent="0.2"/>
    <row r="539" s="378" customFormat="1" x14ac:dyDescent="0.2"/>
    <row r="540" s="378" customFormat="1" x14ac:dyDescent="0.2"/>
    <row r="541" s="378" customFormat="1" x14ac:dyDescent="0.2"/>
    <row r="542" s="378" customFormat="1" x14ac:dyDescent="0.2"/>
    <row r="543" s="378" customFormat="1" x14ac:dyDescent="0.2"/>
    <row r="544" s="378" customFormat="1" x14ac:dyDescent="0.2"/>
    <row r="545" s="378" customFormat="1" x14ac:dyDescent="0.2"/>
    <row r="546" s="378" customFormat="1" x14ac:dyDescent="0.2"/>
    <row r="547" s="378" customFormat="1" x14ac:dyDescent="0.2"/>
    <row r="548" s="378" customFormat="1" x14ac:dyDescent="0.2"/>
    <row r="549" s="378" customFormat="1" x14ac:dyDescent="0.2"/>
    <row r="550" s="378" customFormat="1" x14ac:dyDescent="0.2"/>
    <row r="551" s="378" customFormat="1" x14ac:dyDescent="0.2"/>
    <row r="552" s="378" customFormat="1" x14ac:dyDescent="0.2"/>
    <row r="553" s="378" customFormat="1" x14ac:dyDescent="0.2"/>
    <row r="554" s="378" customFormat="1" x14ac:dyDescent="0.2"/>
    <row r="555" s="378" customFormat="1" x14ac:dyDescent="0.2"/>
    <row r="556" s="378" customFormat="1" x14ac:dyDescent="0.2"/>
    <row r="557" s="378" customFormat="1" x14ac:dyDescent="0.2"/>
    <row r="558" s="378" customFormat="1" x14ac:dyDescent="0.2"/>
    <row r="559" s="378" customFormat="1" x14ac:dyDescent="0.2"/>
    <row r="560" s="378" customFormat="1" x14ac:dyDescent="0.2"/>
    <row r="561" s="378" customFormat="1" x14ac:dyDescent="0.2"/>
    <row r="562" s="378" customFormat="1" x14ac:dyDescent="0.2"/>
    <row r="563" s="378" customFormat="1" x14ac:dyDescent="0.2"/>
    <row r="564" s="378" customFormat="1" x14ac:dyDescent="0.2"/>
    <row r="565" s="378" customFormat="1" x14ac:dyDescent="0.2"/>
    <row r="566" s="378" customFormat="1" x14ac:dyDescent="0.2"/>
    <row r="567" s="378" customFormat="1" x14ac:dyDescent="0.2"/>
    <row r="568" s="378" customFormat="1" x14ac:dyDescent="0.2"/>
    <row r="569" s="378" customFormat="1" x14ac:dyDescent="0.2"/>
    <row r="570" s="378" customFormat="1" x14ac:dyDescent="0.2"/>
    <row r="571" s="378" customFormat="1" x14ac:dyDescent="0.2"/>
    <row r="572" s="378" customFormat="1" x14ac:dyDescent="0.2"/>
    <row r="573" s="378" customFormat="1" x14ac:dyDescent="0.2"/>
    <row r="574" s="378" customFormat="1" x14ac:dyDescent="0.2"/>
    <row r="575" s="378" customFormat="1" x14ac:dyDescent="0.2"/>
    <row r="576" s="378" customFormat="1" x14ac:dyDescent="0.2"/>
    <row r="577" s="378" customFormat="1" x14ac:dyDescent="0.2"/>
    <row r="578" s="378" customFormat="1" x14ac:dyDescent="0.2"/>
    <row r="579" s="378" customFormat="1" x14ac:dyDescent="0.2"/>
    <row r="580" s="378" customFormat="1" x14ac:dyDescent="0.2"/>
    <row r="581" s="378" customFormat="1" x14ac:dyDescent="0.2"/>
    <row r="582" s="378" customFormat="1" x14ac:dyDescent="0.2"/>
    <row r="583" s="378" customFormat="1" x14ac:dyDescent="0.2"/>
    <row r="584" s="378" customFormat="1" x14ac:dyDescent="0.2"/>
    <row r="585" s="378" customFormat="1" x14ac:dyDescent="0.2"/>
    <row r="586" s="378" customFormat="1" x14ac:dyDescent="0.2"/>
    <row r="587" s="378" customFormat="1" x14ac:dyDescent="0.2"/>
    <row r="588" s="378" customFormat="1" x14ac:dyDescent="0.2"/>
    <row r="589" s="378" customFormat="1" x14ac:dyDescent="0.2"/>
    <row r="590" s="378" customFormat="1" x14ac:dyDescent="0.2"/>
    <row r="591" s="378" customFormat="1" x14ac:dyDescent="0.2"/>
    <row r="592" s="378" customFormat="1" x14ac:dyDescent="0.2"/>
    <row r="593" s="378" customFormat="1" x14ac:dyDescent="0.2"/>
    <row r="594" s="378" customFormat="1" x14ac:dyDescent="0.2"/>
    <row r="595" s="378" customFormat="1" x14ac:dyDescent="0.2"/>
    <row r="596" s="378" customFormat="1" x14ac:dyDescent="0.2"/>
    <row r="597" s="378" customFormat="1" x14ac:dyDescent="0.2"/>
    <row r="598" s="378" customFormat="1" x14ac:dyDescent="0.2"/>
    <row r="599" s="378" customFormat="1" x14ac:dyDescent="0.2"/>
    <row r="600" s="378" customFormat="1" x14ac:dyDescent="0.2"/>
    <row r="601" s="378" customFormat="1" x14ac:dyDescent="0.2"/>
    <row r="602" s="378" customFormat="1" x14ac:dyDescent="0.2"/>
    <row r="603" s="378" customFormat="1" x14ac:dyDescent="0.2"/>
    <row r="604" s="378" customFormat="1" x14ac:dyDescent="0.2"/>
    <row r="605" s="378" customFormat="1" x14ac:dyDescent="0.2"/>
    <row r="606" s="378" customFormat="1" x14ac:dyDescent="0.2"/>
    <row r="607" s="378" customFormat="1" x14ac:dyDescent="0.2"/>
    <row r="608" s="378" customFormat="1" x14ac:dyDescent="0.2"/>
    <row r="609" s="378" customFormat="1" x14ac:dyDescent="0.2"/>
    <row r="610" s="378" customFormat="1" x14ac:dyDescent="0.2"/>
    <row r="611" s="378" customFormat="1" x14ac:dyDescent="0.2"/>
    <row r="612" s="378" customFormat="1" x14ac:dyDescent="0.2"/>
    <row r="613" s="378" customFormat="1" x14ac:dyDescent="0.2"/>
    <row r="614" s="378" customFormat="1" x14ac:dyDescent="0.2"/>
    <row r="615" s="378" customFormat="1" x14ac:dyDescent="0.2"/>
    <row r="616" s="378" customFormat="1" x14ac:dyDescent="0.2"/>
    <row r="617" s="378" customFormat="1" x14ac:dyDescent="0.2"/>
    <row r="618" s="378" customFormat="1" x14ac:dyDescent="0.2"/>
    <row r="619" s="378" customFormat="1" x14ac:dyDescent="0.2"/>
    <row r="620" s="378" customFormat="1" x14ac:dyDescent="0.2"/>
    <row r="621" s="378" customFormat="1" x14ac:dyDescent="0.2"/>
    <row r="622" s="378" customFormat="1" x14ac:dyDescent="0.2"/>
    <row r="623" s="378" customFormat="1" x14ac:dyDescent="0.2"/>
    <row r="624" s="378" customFormat="1" x14ac:dyDescent="0.2"/>
    <row r="625" s="378" customFormat="1" x14ac:dyDescent="0.2"/>
    <row r="626" s="378" customFormat="1" x14ac:dyDescent="0.2"/>
    <row r="627" s="378" customFormat="1" x14ac:dyDescent="0.2"/>
    <row r="628" s="378" customFormat="1" x14ac:dyDescent="0.2"/>
    <row r="629" s="378" customFormat="1" x14ac:dyDescent="0.2"/>
    <row r="630" s="378" customFormat="1" x14ac:dyDescent="0.2"/>
    <row r="631" s="378" customFormat="1" x14ac:dyDescent="0.2"/>
    <row r="632" s="378" customFormat="1" x14ac:dyDescent="0.2"/>
    <row r="633" s="378" customFormat="1" x14ac:dyDescent="0.2"/>
    <row r="634" s="378" customFormat="1" x14ac:dyDescent="0.2"/>
    <row r="635" s="378" customFormat="1" x14ac:dyDescent="0.2"/>
    <row r="636" s="378" customFormat="1" x14ac:dyDescent="0.2"/>
    <row r="637" s="378" customFormat="1" x14ac:dyDescent="0.2"/>
    <row r="638" s="378" customFormat="1" x14ac:dyDescent="0.2"/>
    <row r="639" s="378" customFormat="1" x14ac:dyDescent="0.2"/>
    <row r="640" s="378" customFormat="1" x14ac:dyDescent="0.2"/>
    <row r="641" s="378" customFormat="1" x14ac:dyDescent="0.2"/>
    <row r="642" s="378" customFormat="1" x14ac:dyDescent="0.2"/>
    <row r="643" s="378" customFormat="1" x14ac:dyDescent="0.2"/>
    <row r="644" s="378" customFormat="1" x14ac:dyDescent="0.2"/>
    <row r="645" s="378" customFormat="1" x14ac:dyDescent="0.2"/>
    <row r="646" s="378" customFormat="1" x14ac:dyDescent="0.2"/>
    <row r="647" s="378" customFormat="1" x14ac:dyDescent="0.2"/>
    <row r="648" s="378" customFormat="1" x14ac:dyDescent="0.2"/>
    <row r="649" s="378" customFormat="1" x14ac:dyDescent="0.2"/>
    <row r="650" s="378" customFormat="1" x14ac:dyDescent="0.2"/>
    <row r="651" s="378" customFormat="1" x14ac:dyDescent="0.2"/>
    <row r="652" s="378" customFormat="1" x14ac:dyDescent="0.2"/>
    <row r="653" s="378" customFormat="1" x14ac:dyDescent="0.2"/>
    <row r="654" s="378" customFormat="1" x14ac:dyDescent="0.2"/>
    <row r="655" s="378" customFormat="1" x14ac:dyDescent="0.2"/>
    <row r="656" s="378" customFormat="1" x14ac:dyDescent="0.2"/>
    <row r="657" s="378" customFormat="1" x14ac:dyDescent="0.2"/>
    <row r="658" s="378" customFormat="1" x14ac:dyDescent="0.2"/>
    <row r="659" s="378" customFormat="1" x14ac:dyDescent="0.2"/>
    <row r="660" s="378" customFormat="1" x14ac:dyDescent="0.2"/>
    <row r="661" s="378" customFormat="1" x14ac:dyDescent="0.2"/>
    <row r="662" s="378" customFormat="1" x14ac:dyDescent="0.2"/>
    <row r="663" s="378" customFormat="1" x14ac:dyDescent="0.2"/>
    <row r="664" s="378" customFormat="1" x14ac:dyDescent="0.2"/>
    <row r="665" s="378" customFormat="1" x14ac:dyDescent="0.2"/>
    <row r="666" s="378" customFormat="1" x14ac:dyDescent="0.2"/>
    <row r="667" s="378" customFormat="1" x14ac:dyDescent="0.2"/>
    <row r="668" s="378" customFormat="1" x14ac:dyDescent="0.2"/>
    <row r="669" s="378" customFormat="1" x14ac:dyDescent="0.2"/>
    <row r="670" s="378" customFormat="1" x14ac:dyDescent="0.2"/>
    <row r="671" s="378" customFormat="1" x14ac:dyDescent="0.2"/>
    <row r="672" s="378" customFormat="1" x14ac:dyDescent="0.2"/>
    <row r="673" s="378" customFormat="1" x14ac:dyDescent="0.2"/>
    <row r="674" s="378" customFormat="1" x14ac:dyDescent="0.2"/>
    <row r="675" s="378" customFormat="1" x14ac:dyDescent="0.2"/>
    <row r="676" s="378" customFormat="1" x14ac:dyDescent="0.2"/>
    <row r="677" s="378" customFormat="1" x14ac:dyDescent="0.2"/>
    <row r="678" s="378" customFormat="1" x14ac:dyDescent="0.2"/>
    <row r="679" s="378" customFormat="1" x14ac:dyDescent="0.2"/>
    <row r="680" s="378" customFormat="1" x14ac:dyDescent="0.2"/>
    <row r="681" s="378" customFormat="1" x14ac:dyDescent="0.2"/>
    <row r="682" s="378" customFormat="1" x14ac:dyDescent="0.2"/>
    <row r="683" s="378" customFormat="1" x14ac:dyDescent="0.2"/>
    <row r="684" s="378" customFormat="1" x14ac:dyDescent="0.2"/>
    <row r="685" s="378" customFormat="1" x14ac:dyDescent="0.2"/>
    <row r="686" s="378" customFormat="1" x14ac:dyDescent="0.2"/>
    <row r="687" s="378" customFormat="1" x14ac:dyDescent="0.2"/>
    <row r="688" s="378" customFormat="1" x14ac:dyDescent="0.2"/>
    <row r="689" s="378" customFormat="1" x14ac:dyDescent="0.2"/>
    <row r="690" s="378" customFormat="1" x14ac:dyDescent="0.2"/>
    <row r="691" s="378" customFormat="1" x14ac:dyDescent="0.2"/>
    <row r="692" s="378" customFormat="1" x14ac:dyDescent="0.2"/>
    <row r="693" s="378" customFormat="1" x14ac:dyDescent="0.2"/>
    <row r="694" s="378" customFormat="1" x14ac:dyDescent="0.2"/>
    <row r="695" s="378" customFormat="1" x14ac:dyDescent="0.2"/>
    <row r="696" s="378" customFormat="1" x14ac:dyDescent="0.2"/>
    <row r="697" s="378" customFormat="1" x14ac:dyDescent="0.2"/>
    <row r="698" s="378" customFormat="1" x14ac:dyDescent="0.2"/>
    <row r="699" s="378" customFormat="1" x14ac:dyDescent="0.2"/>
    <row r="700" s="378" customFormat="1" x14ac:dyDescent="0.2"/>
    <row r="701" s="378" customFormat="1" x14ac:dyDescent="0.2"/>
    <row r="702" s="378" customFormat="1" x14ac:dyDescent="0.2"/>
    <row r="703" s="378" customFormat="1" x14ac:dyDescent="0.2"/>
    <row r="704" s="378" customFormat="1" x14ac:dyDescent="0.2"/>
    <row r="705" s="378" customFormat="1" x14ac:dyDescent="0.2"/>
    <row r="706" s="378" customFormat="1" x14ac:dyDescent="0.2"/>
    <row r="707" s="378" customFormat="1" x14ac:dyDescent="0.2"/>
  </sheetData>
  <mergeCells count="2">
    <mergeCell ref="A4:A39"/>
    <mergeCell ref="A40:A95"/>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pageSetUpPr fitToPage="1"/>
  </sheetPr>
  <dimension ref="A1:T24"/>
  <sheetViews>
    <sheetView view="pageBreakPreview" zoomScaleNormal="100" zoomScaleSheetLayoutView="100" workbookViewId="0"/>
  </sheetViews>
  <sheetFormatPr defaultRowHeight="12.75" x14ac:dyDescent="0.2"/>
  <cols>
    <col min="1" max="1" width="12.625" style="48" customWidth="1"/>
    <col min="2" max="2" width="19.375" style="10" customWidth="1"/>
    <col min="3" max="3" width="3.375" style="2" hidden="1" customWidth="1"/>
    <col min="4" max="4" width="7.5" style="10" customWidth="1"/>
    <col min="5" max="5" width="6.625" style="10" customWidth="1"/>
    <col min="6" max="6" width="6.25" style="10" customWidth="1"/>
    <col min="7" max="7" width="6.375" style="10" customWidth="1"/>
    <col min="8" max="8" width="6" style="10" customWidth="1"/>
    <col min="9" max="9" width="5.75" style="10" customWidth="1"/>
    <col min="10" max="10" width="5.25" style="10" customWidth="1"/>
    <col min="11" max="11" width="7.5" style="6" customWidth="1"/>
    <col min="12" max="12" width="5.375" style="6" customWidth="1"/>
    <col min="13" max="13" width="6.375" style="186" customWidth="1"/>
    <col min="14" max="14" width="5.375" style="10" customWidth="1"/>
    <col min="15" max="15" width="6.375" style="10" customWidth="1"/>
    <col min="16" max="16" width="6.875" style="10" customWidth="1"/>
    <col min="17" max="17" width="6" style="10" customWidth="1"/>
    <col min="18" max="18" width="5.875" style="10" customWidth="1"/>
    <col min="19" max="19" width="5.125" style="10" customWidth="1"/>
    <col min="20" max="20" width="6" style="48" customWidth="1"/>
    <col min="21" max="16384" width="9" style="10"/>
  </cols>
  <sheetData>
    <row r="1" spans="1:20" ht="18" x14ac:dyDescent="0.25">
      <c r="A1" s="62" t="s">
        <v>355</v>
      </c>
      <c r="B1" s="42"/>
      <c r="C1" s="207"/>
      <c r="D1" s="42"/>
      <c r="E1" s="42"/>
      <c r="F1" s="42"/>
      <c r="G1" s="42"/>
      <c r="H1" s="42"/>
      <c r="I1" s="42"/>
      <c r="J1" s="42"/>
      <c r="K1" s="181"/>
      <c r="L1" s="181"/>
      <c r="M1" s="182"/>
      <c r="N1" s="42"/>
      <c r="O1" s="42"/>
      <c r="P1" s="42"/>
      <c r="Q1" s="42"/>
      <c r="R1" s="42"/>
      <c r="S1" s="42"/>
      <c r="T1" s="43"/>
    </row>
    <row r="2" spans="1:20" s="69" customFormat="1" ht="15.75" x14ac:dyDescent="0.15">
      <c r="A2" s="1533" t="s">
        <v>340</v>
      </c>
      <c r="B2" s="1533"/>
      <c r="C2" s="1533"/>
      <c r="D2" s="1533"/>
      <c r="E2" s="1533"/>
      <c r="F2" s="1533"/>
      <c r="G2" s="1533"/>
      <c r="H2" s="1533"/>
      <c r="I2" s="1533"/>
      <c r="J2" s="1533"/>
      <c r="K2" s="1533"/>
      <c r="L2" s="1533"/>
      <c r="M2" s="1533"/>
      <c r="N2" s="1533"/>
      <c r="O2" s="1533"/>
      <c r="P2" s="1533"/>
      <c r="Q2" s="1533"/>
      <c r="R2" s="1533"/>
      <c r="S2" s="1533"/>
      <c r="T2" s="1533"/>
    </row>
    <row r="3" spans="1:20" s="69" customFormat="1" ht="15.75" x14ac:dyDescent="0.15">
      <c r="A3" s="1533" t="s">
        <v>432</v>
      </c>
      <c r="B3" s="1533"/>
      <c r="C3" s="1533"/>
      <c r="D3" s="1533"/>
      <c r="E3" s="1533"/>
      <c r="F3" s="1533"/>
      <c r="G3" s="1533"/>
      <c r="H3" s="1533"/>
      <c r="I3" s="1533"/>
      <c r="J3" s="1533"/>
      <c r="K3" s="1533"/>
      <c r="L3" s="1533"/>
      <c r="M3" s="1533"/>
      <c r="N3" s="1533"/>
      <c r="O3" s="1533"/>
      <c r="P3" s="1533"/>
      <c r="Q3" s="1533"/>
      <c r="R3" s="1533"/>
      <c r="S3" s="1533"/>
      <c r="T3" s="1533"/>
    </row>
    <row r="4" spans="1:20" ht="29.25" customHeight="1" x14ac:dyDescent="0.2">
      <c r="A4" s="44"/>
      <c r="B4" s="41"/>
      <c r="C4" s="208" t="s">
        <v>263</v>
      </c>
      <c r="D4" s="11" t="s">
        <v>169</v>
      </c>
      <c r="E4" s="12" t="s">
        <v>142</v>
      </c>
      <c r="F4" s="13" t="s">
        <v>143</v>
      </c>
      <c r="G4" s="13" t="s">
        <v>148</v>
      </c>
      <c r="H4" s="13" t="s">
        <v>149</v>
      </c>
      <c r="I4" s="13" t="s">
        <v>144</v>
      </c>
      <c r="J4" s="14" t="s">
        <v>150</v>
      </c>
      <c r="K4" s="14" t="s">
        <v>145</v>
      </c>
      <c r="L4" s="14" t="s">
        <v>151</v>
      </c>
      <c r="M4" s="183" t="s">
        <v>152</v>
      </c>
      <c r="N4" s="14" t="s">
        <v>153</v>
      </c>
      <c r="O4" s="14" t="s">
        <v>154</v>
      </c>
      <c r="P4" s="14" t="s">
        <v>146</v>
      </c>
      <c r="Q4" s="14" t="s">
        <v>155</v>
      </c>
      <c r="R4" s="14" t="s">
        <v>147</v>
      </c>
      <c r="S4" s="14" t="s">
        <v>156</v>
      </c>
      <c r="T4" s="14" t="s">
        <v>157</v>
      </c>
    </row>
    <row r="5" spans="1:20" ht="33" customHeight="1" x14ac:dyDescent="0.2">
      <c r="A5" s="1534" t="s">
        <v>337</v>
      </c>
      <c r="B5" s="393" t="s">
        <v>345</v>
      </c>
      <c r="C5" s="362" t="s">
        <v>264</v>
      </c>
      <c r="D5" s="427">
        <f>IF('OLD Distrib by purpose'!D5&gt;0.0005=0,,IF('OLD Distrib by purpose'!D5&gt;0.0005,'OLD Distrib by purpose'!D5,"*"))</f>
        <v>0.79505454008682364</v>
      </c>
      <c r="E5" s="414">
        <f>IF('OLD Distrib by purpose'!E5&gt;0.0005=0,,IF('OLD Distrib by purpose'!E5&gt;0.0005,'OLD Distrib by purpose'!E5,"*"))</f>
        <v>0.79646430407126423</v>
      </c>
      <c r="F5" s="415">
        <f>IF('OLD Distrib by purpose'!F5&gt;0.0005=0,,IF('OLD Distrib by purpose'!F5&gt;0.0005,'OLD Distrib by purpose'!F5,"*"))</f>
        <v>0.76508645396042319</v>
      </c>
      <c r="G5" s="415">
        <f>IF('OLD Distrib by purpose'!G5&gt;0.0005=0,,IF('OLD Distrib by purpose'!G5&gt;0.0005,'OLD Distrib by purpose'!G5,"*"))</f>
        <v>0.96124615540955594</v>
      </c>
      <c r="H5" s="415">
        <f>IF('OLD Distrib by purpose'!H5&gt;0.0005=0,,IF('OLD Distrib by purpose'!H5&gt;0.0005,'OLD Distrib by purpose'!H5,"*"))</f>
        <v>0.8077876021074798</v>
      </c>
      <c r="I5" s="415">
        <f>IF('OLD Distrib by purpose'!I5&gt;0.0005=0,,IF('OLD Distrib by purpose'!I5&gt;0.0005,'OLD Distrib by purpose'!I5,"*"))</f>
        <v>0.79145330546938719</v>
      </c>
      <c r="J5" s="415">
        <f>IF('OLD Distrib by purpose'!J5&gt;0.0005=0,,IF('OLD Distrib by purpose'!J5&gt;0.0005,'OLD Distrib by purpose'!J5,"*"))</f>
        <v>0.81104159419073718</v>
      </c>
      <c r="K5" s="415">
        <f>IF('OLD Distrib by purpose'!K5&gt;0.0005=0,,IF('OLD Distrib by purpose'!K5&gt;0.0005,'OLD Distrib by purpose'!K5,"*"))</f>
        <v>0.71694240589287994</v>
      </c>
      <c r="L5" s="415">
        <f>IF('OLD Distrib by purpose'!L5&gt;0.0005=0,,IF('OLD Distrib by purpose'!L5&gt;0.0005,'OLD Distrib by purpose'!L5,"*"))</f>
        <v>0.76924797747286688</v>
      </c>
      <c r="M5" s="415">
        <f>IF('OLD Distrib by purpose'!M5&gt;0.0005=0,,IF('OLD Distrib by purpose'!M5&gt;0.0005,'OLD Distrib by purpose'!M5,"*"))</f>
        <v>0.78643475311097766</v>
      </c>
      <c r="N5" s="415">
        <f>IF('OLD Distrib by purpose'!N5&gt;0.0005=0,,IF('OLD Distrib by purpose'!N5&gt;0.0005,'OLD Distrib by purpose'!N5,"*"))</f>
        <v>0.80129561010716654</v>
      </c>
      <c r="O5" s="415">
        <f>IF('OLD Distrib by purpose'!O5&gt;0.0005=0,,IF('OLD Distrib by purpose'!O5&gt;0.0005,'OLD Distrib by purpose'!O5,"*"))</f>
        <v>0.86096323330272295</v>
      </c>
      <c r="P5" s="415">
        <f>IF('OLD Distrib by purpose'!P5&gt;0.0005=0,,IF('OLD Distrib by purpose'!P5&gt;0.0005,'OLD Distrib by purpose'!P5,"*"))</f>
        <v>0.77002913626384939</v>
      </c>
      <c r="Q5" s="415">
        <f>IF('OLD Distrib by purpose'!Q5&gt;0.0005=0,,IF('OLD Distrib by purpose'!Q5&gt;0.0005,'OLD Distrib by purpose'!Q5,"*"))</f>
        <v>0.74249550349959659</v>
      </c>
      <c r="R5" s="415">
        <f>IF('OLD Distrib by purpose'!R5&gt;0.0005=0,,IF('OLD Distrib by purpose'!R5&gt;0.0005,'OLD Distrib by purpose'!R5,"*"))</f>
        <v>0.79358794953303513</v>
      </c>
      <c r="S5" s="415">
        <f>IF('OLD Distrib by purpose'!S5&gt;0.0005=0,,IF('OLD Distrib by purpose'!S5&gt;0.0005,'OLD Distrib by purpose'!S5,"*"))</f>
        <v>0.8555496339524532</v>
      </c>
      <c r="T5" s="415">
        <f>IF('OLD Distrib by purpose'!T5&gt;0.0005=0,,IF('OLD Distrib by purpose'!T5&gt;0.0005,'OLD Distrib by purpose'!T5,"*"))</f>
        <v>0.70551099095234726</v>
      </c>
    </row>
    <row r="6" spans="1:20" ht="37.5" customHeight="1" x14ac:dyDescent="0.2">
      <c r="A6" s="1535"/>
      <c r="B6" s="393" t="s">
        <v>346</v>
      </c>
      <c r="C6" s="362" t="s">
        <v>265</v>
      </c>
      <c r="D6" s="427">
        <f>IF('OLD Distrib by purpose'!D6&gt;0.0005=0,,IF('OLD Distrib by purpose'!D6&gt;0.0005,'OLD Distrib by purpose'!D6,"*"))</f>
        <v>2.5667641710606214E-2</v>
      </c>
      <c r="E6" s="416">
        <f>IF('OLD Distrib by purpose'!E6&gt;0.0005=0,,IF('OLD Distrib by purpose'!E6&gt;0.0005,'OLD Distrib by purpose'!E6,"*"))</f>
        <v>2.8743654162948808E-2</v>
      </c>
      <c r="F6" s="417">
        <f>IF('OLD Distrib by purpose'!F6&gt;0.0005=0,,IF('OLD Distrib by purpose'!F6&gt;0.0005,'OLD Distrib by purpose'!F6,"*"))</f>
        <v>1.5315280566379638E-2</v>
      </c>
      <c r="G6" s="417">
        <f>IF('OLD Distrib by purpose'!G6&gt;0.0005=0,,IF('OLD Distrib by purpose'!G6&gt;0.0005,'OLD Distrib by purpose'!G6,"*"))</f>
        <v>1.0703198735972506E-2</v>
      </c>
      <c r="H6" s="417">
        <f>IF('OLD Distrib by purpose'!H6&gt;0.0005=0,,IF('OLD Distrib by purpose'!H6&gt;0.0005,'OLD Distrib by purpose'!H6,"*"))</f>
        <v>3.1055025707560305E-2</v>
      </c>
      <c r="I6" s="417">
        <f>IF('OLD Distrib by purpose'!I6&gt;0.0005=0,,IF('OLD Distrib by purpose'!I6&gt;0.0005,'OLD Distrib by purpose'!I6,"*"))</f>
        <v>1.8465256306632215E-2</v>
      </c>
      <c r="J6" s="417">
        <f>IF('OLD Distrib by purpose'!J6&gt;0.0005=0,,IF('OLD Distrib by purpose'!J6&gt;0.0005,'OLD Distrib by purpose'!J6,"*"))</f>
        <v>3.2766059501187508E-2</v>
      </c>
      <c r="K6" s="417">
        <f>IF('OLD Distrib by purpose'!K6&gt;0.0005=0,,IF('OLD Distrib by purpose'!K6&gt;0.0005,'OLD Distrib by purpose'!K6,"*"))</f>
        <v>3.4584443219401934E-2</v>
      </c>
      <c r="L6" s="417">
        <f>IF('OLD Distrib by purpose'!L6&gt;0.0005=0,,IF('OLD Distrib by purpose'!L6&gt;0.0005,'OLD Distrib by purpose'!L6,"*"))</f>
        <v>1.4552135888868868E-2</v>
      </c>
      <c r="M6" s="417">
        <f>IF('OLD Distrib by purpose'!M6&gt;0.0005=0,,IF('OLD Distrib by purpose'!M6&gt;0.0005,'OLD Distrib by purpose'!M6,"*"))</f>
        <v>5.8217417477092498E-2</v>
      </c>
      <c r="N6" s="417">
        <f>IF('OLD Distrib by purpose'!N6&gt;0.0005=0,,IF('OLD Distrib by purpose'!N6&gt;0.0005,'OLD Distrib by purpose'!N6,"*"))</f>
        <v>1.8716215710022847E-2</v>
      </c>
      <c r="O6" s="417">
        <f>IF('OLD Distrib by purpose'!O6&gt;0.0005=0,,IF('OLD Distrib by purpose'!O6&gt;0.0005,'OLD Distrib by purpose'!O6,"*"))</f>
        <v>2.7580352296772418E-2</v>
      </c>
      <c r="P6" s="417">
        <f>IF('OLD Distrib by purpose'!P6&gt;0.0005=0,,IF('OLD Distrib by purpose'!P6&gt;0.0005,'OLD Distrib by purpose'!P6,"*"))</f>
        <v>3.553239299342266E-2</v>
      </c>
      <c r="Q6" s="417">
        <f>IF('OLD Distrib by purpose'!Q6&gt;0.0005=0,,IF('OLD Distrib by purpose'!Q6&gt;0.0005,'OLD Distrib by purpose'!Q6,"*"))</f>
        <v>2.4434154562189503E-2</v>
      </c>
      <c r="R6" s="417">
        <f>IF('OLD Distrib by purpose'!R6&gt;0.0005=0,,IF('OLD Distrib by purpose'!R6&gt;0.0005,'OLD Distrib by purpose'!R6,"*"))</f>
        <v>2.7924915715614517E-2</v>
      </c>
      <c r="S6" s="417">
        <f>IF('OLD Distrib by purpose'!S6&gt;0.0005=0,,IF('OLD Distrib by purpose'!S6&gt;0.0005,'OLD Distrib by purpose'!S6,"*"))</f>
        <v>1.8407342554636573E-2</v>
      </c>
      <c r="T6" s="417">
        <f>IF('OLD Distrib by purpose'!T6&gt;0.0005=0,,IF('OLD Distrib by purpose'!T6&gt;0.0005,'OLD Distrib by purpose'!T6,"*"))</f>
        <v>3.6623952844447243E-2</v>
      </c>
    </row>
    <row r="7" spans="1:20" ht="22.5" x14ac:dyDescent="0.2">
      <c r="A7" s="1535"/>
      <c r="B7" s="404" t="s">
        <v>348</v>
      </c>
      <c r="C7" s="403">
        <f>+D6+D5</f>
        <v>0.82072218179742984</v>
      </c>
      <c r="D7" s="428">
        <f>+D6+D5</f>
        <v>0.82072218179742984</v>
      </c>
      <c r="E7" s="429">
        <f t="shared" ref="E7:T7" si="0">+E6+E5</f>
        <v>0.825207958234213</v>
      </c>
      <c r="F7" s="430">
        <f t="shared" si="0"/>
        <v>0.78040173452680284</v>
      </c>
      <c r="G7" s="430">
        <f t="shared" si="0"/>
        <v>0.97194935414552841</v>
      </c>
      <c r="H7" s="430">
        <f t="shared" si="0"/>
        <v>0.83884262781504015</v>
      </c>
      <c r="I7" s="430">
        <f t="shared" si="0"/>
        <v>0.8099185617760194</v>
      </c>
      <c r="J7" s="430">
        <f t="shared" si="0"/>
        <v>0.84380765369192468</v>
      </c>
      <c r="K7" s="430">
        <f t="shared" si="0"/>
        <v>0.75152684911228185</v>
      </c>
      <c r="L7" s="430">
        <f t="shared" si="0"/>
        <v>0.78380011336173572</v>
      </c>
      <c r="M7" s="430">
        <f t="shared" si="0"/>
        <v>0.84465217058807018</v>
      </c>
      <c r="N7" s="430">
        <f t="shared" si="0"/>
        <v>0.82001182581718934</v>
      </c>
      <c r="O7" s="430">
        <f t="shared" si="0"/>
        <v>0.88854358559949542</v>
      </c>
      <c r="P7" s="430">
        <f t="shared" si="0"/>
        <v>0.80556152925727209</v>
      </c>
      <c r="Q7" s="430">
        <f t="shared" si="0"/>
        <v>0.76692965806178615</v>
      </c>
      <c r="R7" s="430">
        <f t="shared" si="0"/>
        <v>0.82151286524864964</v>
      </c>
      <c r="S7" s="430">
        <f t="shared" si="0"/>
        <v>0.87395697650708981</v>
      </c>
      <c r="T7" s="430">
        <f t="shared" si="0"/>
        <v>0.74213494379679446</v>
      </c>
    </row>
    <row r="8" spans="1:20" ht="35.25" customHeight="1" x14ac:dyDescent="0.2">
      <c r="A8" s="1535"/>
      <c r="B8" s="393" t="s">
        <v>12</v>
      </c>
      <c r="C8" s="209" t="s">
        <v>273</v>
      </c>
      <c r="D8" s="409">
        <f>IF('OLD Distrib by purpose'!D15&gt;0.0005=0,,IF('OLD Distrib by purpose'!D15&gt;0.0005,'OLD Distrib by purpose'!D15,"*"))</f>
        <v>8.1947972149586847E-3</v>
      </c>
      <c r="E8" s="333">
        <f>IF('OLD Distrib by purpose'!E15&gt;0.0005=0,,IF('OLD Distrib by purpose'!E15&gt;0.0005,'OLD Distrib by purpose'!E15,"*"))</f>
        <v>6.6354952010824362E-3</v>
      </c>
      <c r="F8" s="316">
        <f>IF('OLD Distrib by purpose'!F15&gt;0.0005=0,,IF('OLD Distrib by purpose'!F15&gt;0.0005,'OLD Distrib by purpose'!F15,"*"))</f>
        <v>4.0855003725267271E-2</v>
      </c>
      <c r="G8" s="316" t="str">
        <f>IF('OLD Distrib by purpose'!G15&gt;0.0005=0,,IF('OLD Distrib by purpose'!G15&gt;0.0005,'OLD Distrib by purpose'!G15,"*"))</f>
        <v>*</v>
      </c>
      <c r="H8" s="316">
        <f>IF('OLD Distrib by purpose'!H15&gt;0.0005=0,,IF('OLD Distrib by purpose'!H15&gt;0.0005,'OLD Distrib by purpose'!H15,"*"))</f>
        <v>2.2206217709882002E-3</v>
      </c>
      <c r="I8" s="316" t="str">
        <f>IF('OLD Distrib by purpose'!I15&gt;0.0005=0,,IF('OLD Distrib by purpose'!I15&gt;0.0005,'OLD Distrib by purpose'!I15,"*"))</f>
        <v>*</v>
      </c>
      <c r="J8" s="316">
        <f>IF('OLD Distrib by purpose'!J15&gt;0.0005=0,,IF('OLD Distrib by purpose'!J15&gt;0.0005,'OLD Distrib by purpose'!J15,"*"))</f>
        <v>3.7503404605352254E-3</v>
      </c>
      <c r="K8" s="316">
        <f>IF('OLD Distrib by purpose'!K15&gt;0.0005=0,,IF('OLD Distrib by purpose'!K15&gt;0.0005,'OLD Distrib by purpose'!K15,"*"))</f>
        <v>1.788982642483912E-2</v>
      </c>
      <c r="L8" s="316" t="str">
        <f>IF('OLD Distrib by purpose'!L15&gt;0.0005=0,,IF('OLD Distrib by purpose'!L15&gt;0.0005,'OLD Distrib by purpose'!L15,"*"))</f>
        <v>*</v>
      </c>
      <c r="M8" s="316" t="str">
        <f>IF('OLD Distrib by purpose'!M15&gt;0.0005=0,,IF('OLD Distrib by purpose'!M15&gt;0.0005,'OLD Distrib by purpose'!M15,"*"))</f>
        <v>*</v>
      </c>
      <c r="N8" s="316">
        <f>IF('OLD Distrib by purpose'!N15&gt;0.0005=0,,IF('OLD Distrib by purpose'!N15&gt;0.0005,'OLD Distrib by purpose'!N15,"*"))</f>
        <v>4.3330103979571752E-2</v>
      </c>
      <c r="O8" s="316" t="str">
        <f>IF('OLD Distrib by purpose'!O15&gt;0.0005=0,,IF('OLD Distrib by purpose'!O15&gt;0.0005,'OLD Distrib by purpose'!O15,"*"))</f>
        <v>*</v>
      </c>
      <c r="P8" s="316" t="str">
        <f>IF('OLD Distrib by purpose'!P15&gt;0.0005=0,,IF('OLD Distrib by purpose'!P15&gt;0.0005,'OLD Distrib by purpose'!P15,"*"))</f>
        <v>*</v>
      </c>
      <c r="Q8" s="316" t="str">
        <f>IF('OLD Distrib by purpose'!Q15&gt;0.0005=0,,IF('OLD Distrib by purpose'!Q15&gt;0.0005,'OLD Distrib by purpose'!Q15,"*"))</f>
        <v>*</v>
      </c>
      <c r="R8" s="316">
        <f>IF('OLD Distrib by purpose'!R15&gt;0.0005=0,,IF('OLD Distrib by purpose'!R15&gt;0.0005,'OLD Distrib by purpose'!R15,"*"))</f>
        <v>5.8567361135772201E-3</v>
      </c>
      <c r="S8" s="316">
        <f>IF('OLD Distrib by purpose'!S15&gt;0.0005=0,,IF('OLD Distrib by purpose'!S15&gt;0.0005,'OLD Distrib by purpose'!S15,"*"))</f>
        <v>2.0241067975000338E-3</v>
      </c>
      <c r="T8" s="316">
        <f>IF('OLD Distrib by purpose'!T15&gt;0.0005=0,,IF('OLD Distrib by purpose'!T15&gt;0.0005,'OLD Distrib by purpose'!T15,"*"))</f>
        <v>4.514158645896155E-3</v>
      </c>
    </row>
    <row r="9" spans="1:20" ht="33" customHeight="1" x14ac:dyDescent="0.2">
      <c r="A9" s="1536"/>
      <c r="B9" s="394" t="s">
        <v>86</v>
      </c>
      <c r="C9" s="210" t="s">
        <v>303</v>
      </c>
      <c r="D9" s="410">
        <f>IF('OLD Distrib by purpose'!D22&gt;0.0005=0,,IF('OLD Distrib by purpose'!D22&gt;0.0005,'OLD Distrib by purpose'!D22,"*"))</f>
        <v>3.9729499587220557E-3</v>
      </c>
      <c r="E9" s="319">
        <f>IF('OLD Distrib by purpose'!E22&gt;0.0005=0,,IF('OLD Distrib by purpose'!E22&gt;0.0005,'OLD Distrib by purpose'!E22,"*"))</f>
        <v>6.6500471532067484E-4</v>
      </c>
      <c r="F9" s="320" t="str">
        <f>IF('OLD Distrib by purpose'!F22&gt;0.0005=0,,IF('OLD Distrib by purpose'!F22&gt;0.0005,'OLD Distrib by purpose'!F22,"*"))</f>
        <v>*</v>
      </c>
      <c r="G9" s="320">
        <f>IF('OLD Distrib by purpose'!G22&gt;0.0005=0,,IF('OLD Distrib by purpose'!G22&gt;0.0005,'OLD Distrib by purpose'!G22,"*"))</f>
        <v>2.3699489933844296E-3</v>
      </c>
      <c r="H9" s="320" t="str">
        <f>IF('OLD Distrib by purpose'!H22&gt;0.0005=0,,IF('OLD Distrib by purpose'!H22&gt;0.0005,'OLD Distrib by purpose'!H22,"*"))</f>
        <v>*</v>
      </c>
      <c r="I9" s="320">
        <f>IF('OLD Distrib by purpose'!I22&gt;0.0005=0,,IF('OLD Distrib by purpose'!I22&gt;0.0005,'OLD Distrib by purpose'!I22,"*"))</f>
        <v>1.1880454551223498E-2</v>
      </c>
      <c r="J9" s="320">
        <f>IF('OLD Distrib by purpose'!J22&gt;0.0005=0,,IF('OLD Distrib by purpose'!J22&gt;0.0005,'OLD Distrib by purpose'!J22,"*"))</f>
        <v>1.3239187984396899E-2</v>
      </c>
      <c r="K9" s="320">
        <f>IF('OLD Distrib by purpose'!K22&gt;0.0005=0,,IF('OLD Distrib by purpose'!K22&gt;0.0005,'OLD Distrib by purpose'!K22,"*"))</f>
        <v>5.0088098400822472E-3</v>
      </c>
      <c r="L9" s="320">
        <f>IF('OLD Distrib by purpose'!L22&gt;0.0005=0,,IF('OLD Distrib by purpose'!L22&gt;0.0005,'OLD Distrib by purpose'!L22,"*"))</f>
        <v>1.5317511339077525E-3</v>
      </c>
      <c r="M9" s="320">
        <f>IF('OLD Distrib by purpose'!M22&gt;0.0005=0,,IF('OLD Distrib by purpose'!M22&gt;0.0005,'OLD Distrib by purpose'!M22,"*"))</f>
        <v>3.8647585919123341E-3</v>
      </c>
      <c r="N9" s="320" t="str">
        <f>IF('OLD Distrib by purpose'!N22&gt;0.0005=0,,IF('OLD Distrib by purpose'!N22&gt;0.0005,'OLD Distrib by purpose'!N22,"*"))</f>
        <v>*</v>
      </c>
      <c r="O9" s="320">
        <f>IF('OLD Distrib by purpose'!O22&gt;0.0005=0,,IF('OLD Distrib by purpose'!O22&gt;0.0005,'OLD Distrib by purpose'!O22,"*"))</f>
        <v>7.7989958636416985E-3</v>
      </c>
      <c r="P9" s="320">
        <f>IF('OLD Distrib by purpose'!P22&gt;0.0005=0,,IF('OLD Distrib by purpose'!P22&gt;0.0005,'OLD Distrib by purpose'!P22,"*"))</f>
        <v>1.1210886394230222E-3</v>
      </c>
      <c r="Q9" s="320" t="str">
        <f>IF('OLD Distrib by purpose'!Q22&gt;0.0005=0,,IF('OLD Distrib by purpose'!Q22&gt;0.0005,'OLD Distrib by purpose'!Q22,"*"))</f>
        <v>*</v>
      </c>
      <c r="R9" s="320" t="str">
        <f>IF('OLD Distrib by purpose'!R22&gt;0.0005=0,,IF('OLD Distrib by purpose'!R22&gt;0.0005,'OLD Distrib by purpose'!R22,"*"))</f>
        <v>*</v>
      </c>
      <c r="S9" s="320">
        <f>IF('OLD Distrib by purpose'!S22&gt;0.0005=0,,IF('OLD Distrib by purpose'!S22&gt;0.0005,'OLD Distrib by purpose'!S22,"*"))</f>
        <v>1.8438160929295094E-2</v>
      </c>
      <c r="T9" s="320">
        <f>IF('OLD Distrib by purpose'!T22&gt;0.0005=0,,IF('OLD Distrib by purpose'!T22&gt;0.0005,'OLD Distrib by purpose'!T22,"*"))</f>
        <v>7.8018407085956422E-3</v>
      </c>
    </row>
    <row r="10" spans="1:20" ht="24.75" customHeight="1" x14ac:dyDescent="0.2">
      <c r="A10" s="1534" t="s">
        <v>338</v>
      </c>
      <c r="B10" s="395" t="s">
        <v>120</v>
      </c>
      <c r="C10" s="211" t="s">
        <v>281</v>
      </c>
      <c r="D10" s="411">
        <f>IF('OLD Distrib by purpose'!D26&gt;0.0005=0,,IF('OLD Distrib by purpose'!D26&gt;0.0005,'OLD Distrib by purpose'!D26,"*"))</f>
        <v>7.1846860513494967E-3</v>
      </c>
      <c r="E10" s="317">
        <f>IF('OLD Distrib by purpose'!E26&gt;0.0005=0,,IF('OLD Distrib by purpose'!E26&gt;0.0005,'OLD Distrib by purpose'!E26,"*"))</f>
        <v>2.6676661968995422E-3</v>
      </c>
      <c r="F10" s="26">
        <f>IF('OLD Distrib by purpose'!F26&gt;0.0005=0,,IF('OLD Distrib by purpose'!F26&gt;0.0005,'OLD Distrib by purpose'!F26,"*"))</f>
        <v>5.2468402099171392E-3</v>
      </c>
      <c r="G10" s="26">
        <f>IF('OLD Distrib by purpose'!G26&gt;0.0005=0,,IF('OLD Distrib by purpose'!G26&gt;0.0005,'OLD Distrib by purpose'!G26,"*"))</f>
        <v>1.5406645473885868E-2</v>
      </c>
      <c r="H10" s="26">
        <f>IF('OLD Distrib by purpose'!H26&gt;0.0005=0,,IF('OLD Distrib by purpose'!H26&gt;0.0005,'OLD Distrib by purpose'!H26,"*"))</f>
        <v>1.0540942487671603E-3</v>
      </c>
      <c r="I10" s="26">
        <f>IF('OLD Distrib by purpose'!I26&gt;0.0005=0,,IF('OLD Distrib by purpose'!I26&gt;0.0005,'OLD Distrib by purpose'!I26,"*"))</f>
        <v>4.8099626985187638E-3</v>
      </c>
      <c r="J10" s="26">
        <f>IF('OLD Distrib by purpose'!J26&gt;0.0005=0,,IF('OLD Distrib by purpose'!J26&gt;0.0005,'OLD Distrib by purpose'!J26,"*"))</f>
        <v>1.0825370734731148E-2</v>
      </c>
      <c r="K10" s="26">
        <f>IF('OLD Distrib by purpose'!K26&gt;0.0005=0,,IF('OLD Distrib by purpose'!K26&gt;0.0005,'OLD Distrib by purpose'!K26,"*"))</f>
        <v>1.5246400453625878E-2</v>
      </c>
      <c r="L10" s="26">
        <f>IF('OLD Distrib by purpose'!L26&gt;0.0005=0,,IF('OLD Distrib by purpose'!L26&gt;0.0005,'OLD Distrib by purpose'!L26,"*"))</f>
        <v>3.2827507428266696E-3</v>
      </c>
      <c r="M10" s="26">
        <f>IF('OLD Distrib by purpose'!M26&gt;0.0005=0,,IF('OLD Distrib by purpose'!M26&gt;0.0005,'OLD Distrib by purpose'!M26,"*"))</f>
        <v>5.8636346761016533E-3</v>
      </c>
      <c r="N10" s="26">
        <f>IF('OLD Distrib by purpose'!N26&gt;0.0005=0,,IF('OLD Distrib by purpose'!N26&gt;0.0005,'OLD Distrib by purpose'!N26,"*"))</f>
        <v>7.6481631110882301E-3</v>
      </c>
      <c r="O10" s="26">
        <f>IF('OLD Distrib by purpose'!O26&gt;0.0005=0,,IF('OLD Distrib by purpose'!O26&gt;0.0005,'OLD Distrib by purpose'!O26,"*"))</f>
        <v>5.0522801480294265E-3</v>
      </c>
      <c r="P10" s="26">
        <f>IF('OLD Distrib by purpose'!P26&gt;0.0005=0,,IF('OLD Distrib by purpose'!P26&gt;0.0005,'OLD Distrib by purpose'!P26,"*"))</f>
        <v>1.1553540478899543E-2</v>
      </c>
      <c r="Q10" s="26">
        <f>IF('OLD Distrib by purpose'!Q26&gt;0.0005=0,,IF('OLD Distrib by purpose'!Q26&gt;0.0005,'OLD Distrib by purpose'!Q26,"*"))</f>
        <v>4.2978226051263646E-3</v>
      </c>
      <c r="R10" s="26">
        <f>IF('OLD Distrib by purpose'!R26&gt;0.0005=0,,IF('OLD Distrib by purpose'!R26&gt;0.0005,'OLD Distrib by purpose'!R26,"*"))</f>
        <v>1.1811020470730202E-2</v>
      </c>
      <c r="S10" s="26">
        <f>IF('OLD Distrib by purpose'!S26&gt;0.0005=0,,IF('OLD Distrib by purpose'!S26&gt;0.0005,'OLD Distrib by purpose'!S26,"*"))</f>
        <v>7.177537625116269E-3</v>
      </c>
      <c r="T10" s="26">
        <f>IF('OLD Distrib by purpose'!T26&gt;0.0005=0,,IF('OLD Distrib by purpose'!T26&gt;0.0005,'OLD Distrib by purpose'!T26,"*"))</f>
        <v>6.3179104713188376E-3</v>
      </c>
    </row>
    <row r="11" spans="1:20" ht="39" customHeight="1" x14ac:dyDescent="0.2">
      <c r="A11" s="1535"/>
      <c r="B11" s="396" t="s">
        <v>187</v>
      </c>
      <c r="C11" s="209" t="s">
        <v>286</v>
      </c>
      <c r="D11" s="409">
        <f>IF('OLD Distrib by purpose'!D31&gt;0.0005=0,,IF('OLD Distrib by purpose'!D31&gt;0.0005,'OLD Distrib by purpose'!D31,"*"))</f>
        <v>2.4702945968417878E-3</v>
      </c>
      <c r="E11" s="333">
        <f>IF('OLD Distrib by purpose'!E31&gt;0.0005=0,,IF('OLD Distrib by purpose'!E31&gt;0.0005,'OLD Distrib by purpose'!E31,"*"))</f>
        <v>3.6651714276669718E-3</v>
      </c>
      <c r="F11" s="316" t="str">
        <f>IF('OLD Distrib by purpose'!F31&gt;0.0005=0,,IF('OLD Distrib by purpose'!F31&gt;0.0005,'OLD Distrib by purpose'!F31,"*"))</f>
        <v>*</v>
      </c>
      <c r="G11" s="316" t="str">
        <f>IF('OLD Distrib by purpose'!G31&gt;0.0005=0,,IF('OLD Distrib by purpose'!G31&gt;0.0005,'OLD Distrib by purpose'!G31,"*"))</f>
        <v>*</v>
      </c>
      <c r="H11" s="316">
        <f>IF('OLD Distrib by purpose'!H31&gt;0.0005=0,,IF('OLD Distrib by purpose'!H31&gt;0.0005,'OLD Distrib by purpose'!H31,"*"))</f>
        <v>1.734650294520928E-3</v>
      </c>
      <c r="I11" s="316">
        <f>IF('OLD Distrib by purpose'!I31&gt;0.0005=0,,IF('OLD Distrib by purpose'!I31&gt;0.0005,'OLD Distrib by purpose'!I31,"*"))</f>
        <v>7.3594112172646548E-3</v>
      </c>
      <c r="J11" s="316" t="str">
        <f>IF('OLD Distrib by purpose'!J31&gt;0.0005=0,,IF('OLD Distrib by purpose'!J31&gt;0.0005,'OLD Distrib by purpose'!J31,"*"))</f>
        <v>*</v>
      </c>
      <c r="K11" s="316" t="str">
        <f>IF('OLD Distrib by purpose'!K31&gt;0.0005=0,,IF('OLD Distrib by purpose'!K31&gt;0.0005,'OLD Distrib by purpose'!K31,"*"))</f>
        <v>*</v>
      </c>
      <c r="L11" s="316">
        <f>IF('OLD Distrib by purpose'!L31&gt;0.0005=0,,IF('OLD Distrib by purpose'!L31&gt;0.0005,'OLD Distrib by purpose'!L31,"*"))</f>
        <v>9.7154315347403111E-3</v>
      </c>
      <c r="M11" s="316" t="str">
        <f>IF('OLD Distrib by purpose'!M31&gt;0.0005=0,,IF('OLD Distrib by purpose'!M31&gt;0.0005,'OLD Distrib by purpose'!M31,"*"))</f>
        <v>*</v>
      </c>
      <c r="N11" s="316" t="str">
        <f>IF('OLD Distrib by purpose'!N31&gt;0.0005=0,,IF('OLD Distrib by purpose'!N31&gt;0.0005,'OLD Distrib by purpose'!N31,"*"))</f>
        <v>*</v>
      </c>
      <c r="O11" s="316" t="str">
        <f>IF('OLD Distrib by purpose'!O31&gt;0.0005=0,,IF('OLD Distrib by purpose'!O31&gt;0.0005,'OLD Distrib by purpose'!O31,"*"))</f>
        <v>*</v>
      </c>
      <c r="P11" s="316">
        <f>IF('OLD Distrib by purpose'!P31&gt;0.0005=0,,IF('OLD Distrib by purpose'!P31&gt;0.0005,'OLD Distrib by purpose'!P31,"*"))</f>
        <v>1.0583746495631573E-3</v>
      </c>
      <c r="Q11" s="316" t="str">
        <f>IF('OLD Distrib by purpose'!Q31&gt;0.0005=0,,IF('OLD Distrib by purpose'!Q31&gt;0.0005,'OLD Distrib by purpose'!Q31,"*"))</f>
        <v>*</v>
      </c>
      <c r="R11" s="316">
        <f>IF('OLD Distrib by purpose'!R31&gt;0.0005=0,,IF('OLD Distrib by purpose'!R31&gt;0.0005,'OLD Distrib by purpose'!R31,"*"))</f>
        <v>3.8118181648392167E-3</v>
      </c>
      <c r="S11" s="316" t="str">
        <f>IF('OLD Distrib by purpose'!S31&gt;0.0005=0,,IF('OLD Distrib by purpose'!S31&gt;0.0005,'OLD Distrib by purpose'!S31,"*"))</f>
        <v>*</v>
      </c>
      <c r="T11" s="316" t="str">
        <f>IF('OLD Distrib by purpose'!T31&gt;0.0005=0,,IF('OLD Distrib by purpose'!T31&gt;0.0005,'OLD Distrib by purpose'!T31,"*"))</f>
        <v>*</v>
      </c>
    </row>
    <row r="12" spans="1:20" ht="25.5" customHeight="1" x14ac:dyDescent="0.2">
      <c r="A12" s="1535"/>
      <c r="B12" s="396" t="s">
        <v>188</v>
      </c>
      <c r="C12" s="209" t="s">
        <v>287</v>
      </c>
      <c r="D12" s="412" t="str">
        <f>IF('OLD Distrib by purpose'!D32&gt;0.0005=0,,IF('OLD Distrib by purpose'!D32&gt;0.0005,'OLD Distrib by purpose'!D32,"*"))</f>
        <v>*</v>
      </c>
      <c r="E12" s="359" t="str">
        <f>IF('OLD Distrib by purpose'!E32&gt;0.0005=0,,IF('OLD Distrib by purpose'!E32&gt;0.0005,'OLD Distrib by purpose'!E32,"*"))</f>
        <v>*</v>
      </c>
      <c r="F12" s="360">
        <f>IF('OLD Distrib by purpose'!F32&gt;0.0005=0,,IF('OLD Distrib by purpose'!F32&gt;0.0005,'OLD Distrib by purpose'!F32,"*"))</f>
        <v>1.6367516153415551E-3</v>
      </c>
      <c r="G12" s="360">
        <f>IF('OLD Distrib by purpose'!G32&gt;0.0005=0,,IF('OLD Distrib by purpose'!G32&gt;0.0005,'OLD Distrib by purpose'!G32,"*"))</f>
        <v>3.650808809099914E-3</v>
      </c>
      <c r="H12" s="360" t="str">
        <f>IF('OLD Distrib by purpose'!H32&gt;0.0005=0,,IF('OLD Distrib by purpose'!H32&gt;0.0005,'OLD Distrib by purpose'!H32,"*"))</f>
        <v>*</v>
      </c>
      <c r="I12" s="360">
        <f>IF('OLD Distrib by purpose'!I32&gt;0.0005=0,,IF('OLD Distrib by purpose'!I32&gt;0.0005,'OLD Distrib by purpose'!I32,"*"))</f>
        <v>5.7450269030664101E-4</v>
      </c>
      <c r="J12" s="360">
        <f>IF('OLD Distrib by purpose'!J32&gt;0.0005=0,,IF('OLD Distrib by purpose'!J32&gt;0.0005,'OLD Distrib by purpose'!J32,"*"))</f>
        <v>1.5329705953857501E-3</v>
      </c>
      <c r="K12" s="360" t="str">
        <f>IF('OLD Distrib by purpose'!K32&gt;0.0005=0,,IF('OLD Distrib by purpose'!K32&gt;0.0005,'OLD Distrib by purpose'!K32,"*"))</f>
        <v>*</v>
      </c>
      <c r="L12" s="360" t="str">
        <f>IF('OLD Distrib by purpose'!L32&gt;0.0005=0,,IF('OLD Distrib by purpose'!L32&gt;0.0005,'OLD Distrib by purpose'!L32,"*"))</f>
        <v>*</v>
      </c>
      <c r="M12" s="360" t="str">
        <f>IF('OLD Distrib by purpose'!M32&gt;0.0005=0,,IF('OLD Distrib by purpose'!M32&gt;0.0005,'OLD Distrib by purpose'!M32,"*"))</f>
        <v>*</v>
      </c>
      <c r="N12" s="360" t="str">
        <f>IF('OLD Distrib by purpose'!N32&gt;0.0005=0,,IF('OLD Distrib by purpose'!N32&gt;0.0005,'OLD Distrib by purpose'!N32,"*"))</f>
        <v>*</v>
      </c>
      <c r="O12" s="360" t="str">
        <f>IF('OLD Distrib by purpose'!O32&gt;0.0005=0,,IF('OLD Distrib by purpose'!O32&gt;0.0005,'OLD Distrib by purpose'!O32,"*"))</f>
        <v>*</v>
      </c>
      <c r="P12" s="360">
        <f>IF('OLD Distrib by purpose'!P32&gt;0.0005=0,,IF('OLD Distrib by purpose'!P32&gt;0.0005,'OLD Distrib by purpose'!P32,"*"))</f>
        <v>8.1276117255453398E-4</v>
      </c>
      <c r="Q12" s="360">
        <f>IF('OLD Distrib by purpose'!Q32&gt;0.0005=0,,IF('OLD Distrib by purpose'!Q32&gt;0.0005,'OLD Distrib by purpose'!Q32,"*"))</f>
        <v>6.9187503822933474E-4</v>
      </c>
      <c r="R12" s="360" t="str">
        <f>IF('OLD Distrib by purpose'!R32&gt;0.0005=0,,IF('OLD Distrib by purpose'!R32&gt;0.0005,'OLD Distrib by purpose'!R32,"*"))</f>
        <v>*</v>
      </c>
      <c r="S12" s="360" t="str">
        <f>IF('OLD Distrib by purpose'!S32&gt;0.0005=0,,IF('OLD Distrib by purpose'!S32&gt;0.0005,'OLD Distrib by purpose'!S32,"*"))</f>
        <v>*</v>
      </c>
      <c r="T12" s="360">
        <f>IF('OLD Distrib by purpose'!T32&gt;0.0005=0,,IF('OLD Distrib by purpose'!T32&gt;0.0005,'OLD Distrib by purpose'!T32,"*"))</f>
        <v>9.5516160204434564E-4</v>
      </c>
    </row>
    <row r="13" spans="1:20" ht="42" customHeight="1" x14ac:dyDescent="0.2">
      <c r="A13" s="1535"/>
      <c r="B13" s="396" t="s">
        <v>259</v>
      </c>
      <c r="C13" s="209" t="s">
        <v>291</v>
      </c>
      <c r="D13" s="409">
        <f>IF('OLD Distrib by purpose'!D36&gt;0.0005=0,,IF('OLD Distrib by purpose'!D36&gt;0.0005,'OLD Distrib by purpose'!D36,"*"))</f>
        <v>5.9793375505000898E-2</v>
      </c>
      <c r="E13" s="333">
        <f>IF('OLD Distrib by purpose'!E36&gt;0.0005=0,,IF('OLD Distrib by purpose'!E36&gt;0.0005,'OLD Distrib by purpose'!E36,"*"))</f>
        <v>1.5047771628637368E-2</v>
      </c>
      <c r="F13" s="316">
        <f>IF('OLD Distrib by purpose'!F36&gt;0.0005=0,,IF('OLD Distrib by purpose'!F36&gt;0.0005,'OLD Distrib by purpose'!F36,"*"))</f>
        <v>8.9756461851252828E-2</v>
      </c>
      <c r="G13" s="316">
        <f>IF('OLD Distrib by purpose'!G36&gt;0.0005=0,,IF('OLD Distrib by purpose'!G36&gt;0.0005,'OLD Distrib by purpose'!G36,"*"))</f>
        <v>5.4749256814021615E-3</v>
      </c>
      <c r="H13" s="316">
        <f>IF('OLD Distrib by purpose'!H36&gt;0.0005=0,,IF('OLD Distrib by purpose'!H36&gt;0.0005,'OLD Distrib by purpose'!H36,"*"))</f>
        <v>9.1599022540691591E-2</v>
      </c>
      <c r="I13" s="316">
        <f>IF('OLD Distrib by purpose'!I36&gt;0.0005=0,,IF('OLD Distrib by purpose'!I36&gt;0.0005,'OLD Distrib by purpose'!I36,"*"))</f>
        <v>8.7198958719203593E-2</v>
      </c>
      <c r="J13" s="316">
        <f>IF('OLD Distrib by purpose'!J36&gt;0.0005=0,,IF('OLD Distrib by purpose'!J36&gt;0.0005,'OLD Distrib by purpose'!J36,"*"))</f>
        <v>7.0569462921796597E-2</v>
      </c>
      <c r="K13" s="316">
        <f>IF('OLD Distrib by purpose'!K36&gt;0.0005=0,,IF('OLD Distrib by purpose'!K36&gt;0.0005,'OLD Distrib by purpose'!K36,"*"))</f>
        <v>0.10136485798889688</v>
      </c>
      <c r="L13" s="316">
        <f>IF('OLD Distrib by purpose'!L36&gt;0.0005=0,,IF('OLD Distrib by purpose'!L36&gt;0.0005,'OLD Distrib by purpose'!L36,"*"))</f>
        <v>2.6922079118786676E-2</v>
      </c>
      <c r="M13" s="316">
        <f>IF('OLD Distrib by purpose'!M36&gt;0.0005=0,,IF('OLD Distrib by purpose'!M36&gt;0.0005,'OLD Distrib by purpose'!M36,"*"))</f>
        <v>1.7060948190383181E-2</v>
      </c>
      <c r="N13" s="316">
        <f>IF('OLD Distrib by purpose'!N36&gt;0.0005=0,,IF('OLD Distrib by purpose'!N36&gt;0.0005,'OLD Distrib by purpose'!N36,"*"))</f>
        <v>4.6631818415133322E-2</v>
      </c>
      <c r="O13" s="316">
        <f>IF('OLD Distrib by purpose'!O36&gt;0.0005=0,,IF('OLD Distrib by purpose'!O36&gt;0.0005,'OLD Distrib by purpose'!O36,"*"))</f>
        <v>4.0179086597890469E-2</v>
      </c>
      <c r="P13" s="316">
        <f>IF('OLD Distrib by purpose'!P36&gt;0.0005=0,,IF('OLD Distrib by purpose'!P36&gt;0.0005,'OLD Distrib by purpose'!P36,"*"))</f>
        <v>0.11918115019564979</v>
      </c>
      <c r="Q13" s="316">
        <f>IF('OLD Distrib by purpose'!Q36&gt;0.0005=0,,IF('OLD Distrib by purpose'!Q36&gt;0.0005,'OLD Distrib by purpose'!Q36,"*"))</f>
        <v>0.13214027798605926</v>
      </c>
      <c r="R13" s="316">
        <f>IF('OLD Distrib by purpose'!R36&gt;0.0005=0,,IF('OLD Distrib by purpose'!R36&gt;0.0005,'OLD Distrib by purpose'!R36,"*"))</f>
        <v>3.1079711404291225E-2</v>
      </c>
      <c r="S13" s="316">
        <f>IF('OLD Distrib by purpose'!S36&gt;0.0005=0,,IF('OLD Distrib by purpose'!S36&gt;0.0005,'OLD Distrib by purpose'!S36,"*"))</f>
        <v>5.2356546932178033E-2</v>
      </c>
      <c r="T13" s="316">
        <f>IF('OLD Distrib by purpose'!T36&gt;0.0005=0,,IF('OLD Distrib by purpose'!T36&gt;0.0005,'OLD Distrib by purpose'!T36,"*"))</f>
        <v>7.6988575548037785E-2</v>
      </c>
    </row>
    <row r="14" spans="1:20" ht="36" customHeight="1" x14ac:dyDescent="0.2">
      <c r="A14" s="1537"/>
      <c r="B14" s="393" t="s">
        <v>192</v>
      </c>
      <c r="C14" s="209" t="s">
        <v>280</v>
      </c>
      <c r="D14" s="409">
        <f>IF('OLD Distrib by purpose'!D52&gt;0.0005=0,,IF('OLD Distrib by purpose'!D52&gt;0.0005,'OLD Distrib by purpose'!D52,"*"))</f>
        <v>6.3540473430678035E-2</v>
      </c>
      <c r="E14" s="333">
        <f>IF('OLD Distrib by purpose'!E52&gt;0.0005=0,,IF('OLD Distrib by purpose'!E52&gt;0.0005,'OLD Distrib by purpose'!E52,"*"))</f>
        <v>0.14185434950842443</v>
      </c>
      <c r="F14" s="316" t="str">
        <f>IF('OLD Distrib by purpose'!F52&gt;0.0005=0,,IF('OLD Distrib by purpose'!F52&gt;0.0005,'OLD Distrib by purpose'!F52,"*"))</f>
        <v>*</v>
      </c>
      <c r="G14" s="316" t="str">
        <f>IF('OLD Distrib by purpose'!G52&gt;0.0005=0,,IF('OLD Distrib by purpose'!G52&gt;0.0005,'OLD Distrib by purpose'!G52,"*"))</f>
        <v>*</v>
      </c>
      <c r="H14" s="316">
        <f>IF('OLD Distrib by purpose'!H52&gt;0.0005=0,,IF('OLD Distrib by purpose'!H52&gt;0.0005,'OLD Distrib by purpose'!H52,"*"))</f>
        <v>6.3639495234917548E-2</v>
      </c>
      <c r="I14" s="316">
        <f>IF('OLD Distrib by purpose'!I52&gt;0.0005=0,,IF('OLD Distrib by purpose'!I52&gt;0.0005,'OLD Distrib by purpose'!I52,"*"))</f>
        <v>5.0701985313893028E-2</v>
      </c>
      <c r="J14" s="316">
        <f>IF('OLD Distrib by purpose'!J52&gt;0.0005=0,,IF('OLD Distrib by purpose'!J52&gt;0.0005,'OLD Distrib by purpose'!J52,"*"))</f>
        <v>5.5672442331311918E-2</v>
      </c>
      <c r="K14" s="316">
        <f>IF('OLD Distrib by purpose'!K52&gt;0.0005=0,,IF('OLD Distrib by purpose'!K52&gt;0.0005,'OLD Distrib by purpose'!K52,"*"))</f>
        <v>1.4401022175039144E-2</v>
      </c>
      <c r="L14" s="316" t="str">
        <f>IF('OLD Distrib by purpose'!L52&gt;0.0005=0,,IF('OLD Distrib by purpose'!L52&gt;0.0005,'OLD Distrib by purpose'!L52,"*"))</f>
        <v>*</v>
      </c>
      <c r="M14" s="316">
        <f>IF('OLD Distrib by purpose'!M52&gt;0.0005=0,,IF('OLD Distrib by purpose'!M52&gt;0.0005,'OLD Distrib by purpose'!M52,"*"))</f>
        <v>1.4449205612059934E-2</v>
      </c>
      <c r="N14" s="316">
        <f>IF('OLD Distrib by purpose'!N52&gt;0.0005=0,,IF('OLD Distrib by purpose'!N52&gt;0.0005,'OLD Distrib by purpose'!N52,"*"))</f>
        <v>7.0565264237614625E-2</v>
      </c>
      <c r="O14" s="316">
        <f>IF('OLD Distrib by purpose'!O52&gt;0.0005=0,,IF('OLD Distrib by purpose'!O52&gt;0.0005,'OLD Distrib by purpose'!O52,"*"))</f>
        <v>5.8379298002046547E-2</v>
      </c>
      <c r="P14" s="316">
        <f>IF('OLD Distrib by purpose'!P52&gt;0.0005=0,,IF('OLD Distrib by purpose'!P52&gt;0.0005,'OLD Distrib by purpose'!P52,"*"))</f>
        <v>9.9232226382533033E-3</v>
      </c>
      <c r="Q14" s="316">
        <f>IF('OLD Distrib by purpose'!Q52&gt;0.0005=0,,IF('OLD Distrib by purpose'!Q52&gt;0.0005,'OLD Distrib by purpose'!Q52,"*"))</f>
        <v>1.4831085956030866E-2</v>
      </c>
      <c r="R14" s="316">
        <f>IF('OLD Distrib by purpose'!R52&gt;0.0005=0,,IF('OLD Distrib by purpose'!R52&gt;0.0005,'OLD Distrib by purpose'!R52,"*"))</f>
        <v>0.12545256834361912</v>
      </c>
      <c r="S14" s="316">
        <f>IF('OLD Distrib by purpose'!S52&gt;0.0005=0,,IF('OLD Distrib by purpose'!S52&gt;0.0005,'OLD Distrib by purpose'!S52,"*"))</f>
        <v>3.6585342808893889E-2</v>
      </c>
      <c r="T14" s="316">
        <f>IF('OLD Distrib by purpose'!T52&gt;0.0005=0,,IF('OLD Distrib by purpose'!T52&gt;0.0005,'OLD Distrib by purpose'!T52,"*"))</f>
        <v>0.12669308954465938</v>
      </c>
    </row>
    <row r="15" spans="1:20" ht="37.5" customHeight="1" x14ac:dyDescent="0.2">
      <c r="A15" s="1537"/>
      <c r="B15" s="393" t="s">
        <v>304</v>
      </c>
      <c r="C15" s="209" t="s">
        <v>301</v>
      </c>
      <c r="D15" s="409">
        <f>IF('OLD Distrib by purpose'!D53&gt;0.0005=0,,IF('OLD Distrib by purpose'!D53&gt;0.0005,'OLD Distrib by purpose'!D53,"*"))</f>
        <v>2.1589377664204604E-2</v>
      </c>
      <c r="E15" s="333" t="str">
        <f>IF('OLD Distrib by purpose'!E53&gt;0.0005=0,,IF('OLD Distrib by purpose'!E53&gt;0.0005,'OLD Distrib by purpose'!E53,"*"))</f>
        <v>*</v>
      </c>
      <c r="F15" s="316">
        <f>IF('OLD Distrib by purpose'!F53&gt;0.0005=0,,IF('OLD Distrib by purpose'!F53&gt;0.0005,'OLD Distrib by purpose'!F53,"*"))</f>
        <v>8.1177962475805873E-2</v>
      </c>
      <c r="G15" s="316" t="str">
        <f>IF('OLD Distrib by purpose'!G53&gt;0.0005=0,,IF('OLD Distrib by purpose'!G53&gt;0.0005,'OLD Distrib by purpose'!G53,"*"))</f>
        <v>*</v>
      </c>
      <c r="H15" s="316" t="str">
        <f>IF('OLD Distrib by purpose'!H53&gt;0.0005=0,,IF('OLD Distrib by purpose'!H53&gt;0.0005,'OLD Distrib by purpose'!H53,"*"))</f>
        <v>*</v>
      </c>
      <c r="I15" s="316" t="str">
        <f>IF('OLD Distrib by purpose'!I53&gt;0.0005=0,,IF('OLD Distrib by purpose'!I53&gt;0.0005,'OLD Distrib by purpose'!I53,"*"))</f>
        <v>*</v>
      </c>
      <c r="J15" s="316" t="str">
        <f>IF('OLD Distrib by purpose'!J53&gt;0.0005=0,,IF('OLD Distrib by purpose'!J53&gt;0.0005,'OLD Distrib by purpose'!J53,"*"))</f>
        <v>*</v>
      </c>
      <c r="K15" s="316">
        <f>IF('OLD Distrib by purpose'!K53&gt;0.0005=0,,IF('OLD Distrib by purpose'!K53&gt;0.0005,'OLD Distrib by purpose'!K53,"*"))</f>
        <v>9.4239518182821294E-2</v>
      </c>
      <c r="L15" s="316">
        <f>IF('OLD Distrib by purpose'!L53&gt;0.0005=0,,IF('OLD Distrib by purpose'!L53&gt;0.0005,'OLD Distrib by purpose'!L53,"*"))</f>
        <v>7.6642323946596785E-2</v>
      </c>
      <c r="M15" s="316">
        <f>IF('OLD Distrib by purpose'!M53&gt;0.0005=0,,IF('OLD Distrib by purpose'!M53&gt;0.0005,'OLD Distrib by purpose'!M53,"*"))</f>
        <v>0.11219907525080268</v>
      </c>
      <c r="N15" s="316" t="str">
        <f>IF('OLD Distrib by purpose'!N53&gt;0.0005=0,,IF('OLD Distrib by purpose'!N53&gt;0.0005,'OLD Distrib by purpose'!N53,"*"))</f>
        <v>*</v>
      </c>
      <c r="O15" s="316" t="str">
        <f>IF('OLD Distrib by purpose'!O53&gt;0.0005=0,,IF('OLD Distrib by purpose'!O53&gt;0.0005,'OLD Distrib by purpose'!O53,"*"))</f>
        <v>*</v>
      </c>
      <c r="P15" s="316">
        <f>IF('OLD Distrib by purpose'!P53&gt;0.0005=0,,IF('OLD Distrib by purpose'!P53&gt;0.0005,'OLD Distrib by purpose'!P53,"*"))</f>
        <v>5.0467512447152654E-2</v>
      </c>
      <c r="Q15" s="316">
        <f>IF('OLD Distrib by purpose'!Q53&gt;0.0005=0,,IF('OLD Distrib by purpose'!Q53&gt;0.0005,'OLD Distrib by purpose'!Q53,"*"))</f>
        <v>7.6886172378293607E-2</v>
      </c>
      <c r="R15" s="316" t="str">
        <f>IF('OLD Distrib by purpose'!R53&gt;0.0005=0,,IF('OLD Distrib by purpose'!R53&gt;0.0005,'OLD Distrib by purpose'!R53,"*"))</f>
        <v>*</v>
      </c>
      <c r="S15" s="316" t="str">
        <f>IF('OLD Distrib by purpose'!S53&gt;0.0005=0,,IF('OLD Distrib by purpose'!S53&gt;0.0005,'OLD Distrib by purpose'!S53,"*"))</f>
        <v>*</v>
      </c>
      <c r="T15" s="316">
        <f>IF('OLD Distrib by purpose'!T53&gt;0.0005=0,,IF('OLD Distrib by purpose'!T53&gt;0.0005,'OLD Distrib by purpose'!T53,"*"))</f>
        <v>3.4099393397513091E-2</v>
      </c>
    </row>
    <row r="16" spans="1:20" ht="45.75" customHeight="1" x14ac:dyDescent="0.2">
      <c r="A16" s="1536"/>
      <c r="B16" s="397" t="s">
        <v>305</v>
      </c>
      <c r="C16" s="402" t="s">
        <v>302</v>
      </c>
      <c r="D16" s="413">
        <f>IF('OLD Distrib by purpose'!D54&gt;0.0005=0,,IF('OLD Distrib by purpose'!D54&gt;0.0005,'OLD Distrib by purpose'!D54,"*"))</f>
        <v>1.0906024705677576E-2</v>
      </c>
      <c r="E16" s="318">
        <f>IF('OLD Distrib by purpose'!E54&gt;0.0005=0,,IF('OLD Distrib by purpose'!E54&gt;0.0005,'OLD Distrib by purpose'!E54,"*"))</f>
        <v>3.0267854704720365E-3</v>
      </c>
      <c r="F16" s="15" t="str">
        <f>IF('OLD Distrib by purpose'!F54&gt;0.0005=0,,IF('OLD Distrib by purpose'!F54&gt;0.0005,'OLD Distrib by purpose'!F54,"*"))</f>
        <v>*</v>
      </c>
      <c r="G16" s="15" t="str">
        <f>IF('OLD Distrib by purpose'!G54&gt;0.0005=0,,IF('OLD Distrib by purpose'!G54&gt;0.0005,'OLD Distrib by purpose'!G54,"*"))</f>
        <v>*</v>
      </c>
      <c r="H16" s="15" t="str">
        <f>IF('OLD Distrib by purpose'!H54&gt;0.0005=0,,IF('OLD Distrib by purpose'!H54&gt;0.0005,'OLD Distrib by purpose'!H54,"*"))</f>
        <v>*</v>
      </c>
      <c r="I16" s="15">
        <f>IF('OLD Distrib by purpose'!I54&gt;0.0005=0,,IF('OLD Distrib by purpose'!I54&gt;0.0005,'OLD Distrib by purpose'!I54,"*"))</f>
        <v>2.6821522016431343E-2</v>
      </c>
      <c r="J16" s="15" t="str">
        <f>IF('OLD Distrib by purpose'!J54&gt;0.0005=0,,IF('OLD Distrib by purpose'!J54&gt;0.0005,'OLD Distrib by purpose'!J54,"*"))</f>
        <v>*</v>
      </c>
      <c r="K16" s="15" t="str">
        <f>IF('OLD Distrib by purpose'!K54&gt;0.0005=0,,IF('OLD Distrib by purpose'!K54&gt;0.0005,'OLD Distrib by purpose'!K54,"*"))</f>
        <v>*</v>
      </c>
      <c r="L16" s="15">
        <f>IF('OLD Distrib by purpose'!L54&gt;0.0005=0,,IF('OLD Distrib by purpose'!L54&gt;0.0005,'OLD Distrib by purpose'!L54,"*"))</f>
        <v>9.8105550161405999E-2</v>
      </c>
      <c r="M16" s="15" t="str">
        <f>IF('OLD Distrib by purpose'!M54&gt;0.0005=0,,IF('OLD Distrib by purpose'!M54&gt;0.0005,'OLD Distrib by purpose'!M54,"*"))</f>
        <v>*</v>
      </c>
      <c r="N16" s="15">
        <f>IF('OLD Distrib by purpose'!N54&gt;0.0005=0,,IF('OLD Distrib by purpose'!N54&gt;0.0005,'OLD Distrib by purpose'!N54,"*"))</f>
        <v>1.1777933939280363E-2</v>
      </c>
      <c r="O16" s="15" t="str">
        <f>IF('OLD Distrib by purpose'!O54&gt;0.0005=0,,IF('OLD Distrib by purpose'!O54&gt;0.0005,'OLD Distrib by purpose'!O54,"*"))</f>
        <v>*</v>
      </c>
      <c r="P16" s="15" t="str">
        <f>IF('OLD Distrib by purpose'!P54&gt;0.0005=0,,IF('OLD Distrib by purpose'!P54&gt;0.0005,'OLD Distrib by purpose'!P54,"*"))</f>
        <v>*</v>
      </c>
      <c r="Q16" s="15">
        <f>IF('OLD Distrib by purpose'!Q54&gt;0.0005=0,,IF('OLD Distrib by purpose'!Q54&gt;0.0005,'OLD Distrib by purpose'!Q54,"*"))</f>
        <v>3.643754110586853E-3</v>
      </c>
      <c r="R16" s="15" t="str">
        <f>IF('OLD Distrib by purpose'!R54&gt;0.0005=0,,IF('OLD Distrib by purpose'!R54&gt;0.0005,'OLD Distrib by purpose'!R54,"*"))</f>
        <v>*</v>
      </c>
      <c r="S16" s="15">
        <f>IF('OLD Distrib by purpose'!S54&gt;0.0005=0,,IF('OLD Distrib by purpose'!S54&gt;0.0005,'OLD Distrib by purpose'!S54,"*"))</f>
        <v>8.2156256345559068E-3</v>
      </c>
      <c r="T16" s="15" t="str">
        <f>IF('OLD Distrib by purpose'!T54&gt;0.0005=0,,IF('OLD Distrib by purpose'!T54&gt;0.0005,'OLD Distrib by purpose'!T54,"*"))</f>
        <v>*</v>
      </c>
    </row>
    <row r="17" spans="1:20" s="122" customFormat="1" ht="16.5" customHeight="1" x14ac:dyDescent="0.15">
      <c r="A17" s="73"/>
      <c r="B17" s="322" t="s">
        <v>3</v>
      </c>
      <c r="C17" s="323"/>
      <c r="D17" s="324">
        <f>SUM(D7:D16)</f>
        <v>0.99837416092486297</v>
      </c>
      <c r="E17" s="324">
        <f t="shared" ref="E17:T17" si="1">SUM(E7:E16)</f>
        <v>0.99877020238271652</v>
      </c>
      <c r="F17" s="324">
        <f t="shared" si="1"/>
        <v>0.99907475440438764</v>
      </c>
      <c r="G17" s="324">
        <f t="shared" si="1"/>
        <v>0.99885168310330075</v>
      </c>
      <c r="H17" s="324">
        <f t="shared" si="1"/>
        <v>0.99909051190492559</v>
      </c>
      <c r="I17" s="324">
        <f t="shared" si="1"/>
        <v>0.99926535898286106</v>
      </c>
      <c r="J17" s="324">
        <f t="shared" si="1"/>
        <v>0.99939742872008219</v>
      </c>
      <c r="K17" s="324">
        <f t="shared" si="1"/>
        <v>0.99967728417758639</v>
      </c>
      <c r="L17" s="324">
        <f t="shared" si="1"/>
        <v>0.99999999999999989</v>
      </c>
      <c r="M17" s="324">
        <f t="shared" si="1"/>
        <v>0.99808979290932998</v>
      </c>
      <c r="N17" s="324">
        <f t="shared" si="1"/>
        <v>0.9999651094998776</v>
      </c>
      <c r="O17" s="324">
        <f t="shared" si="1"/>
        <v>0.9999532462111036</v>
      </c>
      <c r="P17" s="324">
        <f t="shared" si="1"/>
        <v>0.99967917947876817</v>
      </c>
      <c r="Q17" s="324">
        <f t="shared" si="1"/>
        <v>0.99942064613611237</v>
      </c>
      <c r="R17" s="324">
        <f t="shared" si="1"/>
        <v>0.99952471974570667</v>
      </c>
      <c r="S17" s="324">
        <f t="shared" si="1"/>
        <v>0.99875429723462905</v>
      </c>
      <c r="T17" s="324">
        <f t="shared" si="1"/>
        <v>0.99950507371485964</v>
      </c>
    </row>
    <row r="18" spans="1:20" ht="39.75" customHeight="1" x14ac:dyDescent="0.2">
      <c r="A18" s="1531" t="s">
        <v>339</v>
      </c>
      <c r="B18" s="1532"/>
      <c r="C18" s="1532"/>
      <c r="D18" s="1532"/>
      <c r="E18" s="1532"/>
      <c r="F18" s="1532"/>
      <c r="G18" s="1532"/>
      <c r="H18" s="1532"/>
      <c r="I18" s="1532"/>
      <c r="J18" s="1532"/>
      <c r="K18" s="1532"/>
      <c r="L18" s="1532"/>
      <c r="M18" s="1532"/>
      <c r="N18" s="1532"/>
      <c r="O18" s="1532"/>
      <c r="P18" s="1532"/>
      <c r="Q18" s="1532"/>
      <c r="R18" s="1532"/>
      <c r="S18" s="1532"/>
      <c r="T18" s="1532"/>
    </row>
    <row r="19" spans="1:20" ht="14.25" customHeight="1" x14ac:dyDescent="0.2">
      <c r="A19" s="70" t="s">
        <v>83</v>
      </c>
      <c r="B19" s="71"/>
      <c r="C19" s="71"/>
      <c r="D19" s="71"/>
      <c r="E19" s="71"/>
      <c r="F19" s="71"/>
      <c r="G19" s="71"/>
      <c r="H19" s="71"/>
      <c r="I19" s="71"/>
      <c r="J19" s="71"/>
      <c r="K19" s="184"/>
      <c r="L19" s="184"/>
      <c r="M19" s="185"/>
      <c r="N19" s="71"/>
      <c r="O19" s="71"/>
      <c r="P19" s="71"/>
      <c r="Q19" s="71"/>
      <c r="R19" s="71"/>
      <c r="S19" s="71"/>
      <c r="T19" s="72"/>
    </row>
    <row r="20" spans="1:20" ht="15" customHeight="1" x14ac:dyDescent="0.2">
      <c r="A20" s="70" t="s">
        <v>232</v>
      </c>
      <c r="B20" s="71"/>
      <c r="C20" s="71"/>
      <c r="D20" s="71"/>
      <c r="E20" s="71"/>
      <c r="F20" s="71"/>
      <c r="G20" s="71"/>
      <c r="H20" s="71"/>
      <c r="I20" s="71"/>
      <c r="J20" s="71"/>
      <c r="K20" s="184"/>
      <c r="L20" s="184"/>
      <c r="M20" s="185"/>
      <c r="N20" s="71"/>
      <c r="O20" s="71"/>
      <c r="P20" s="71"/>
      <c r="Q20" s="71"/>
      <c r="R20" s="71"/>
      <c r="S20" s="71"/>
      <c r="T20" s="72"/>
    </row>
    <row r="21" spans="1:20" ht="12" customHeight="1" x14ac:dyDescent="0.2">
      <c r="A21" s="72" t="s">
        <v>0</v>
      </c>
      <c r="B21" s="71"/>
      <c r="C21" s="71"/>
      <c r="D21" s="71"/>
      <c r="E21" s="71"/>
      <c r="F21" s="71"/>
      <c r="G21" s="71"/>
      <c r="H21" s="71"/>
      <c r="I21" s="71"/>
      <c r="J21" s="71"/>
      <c r="K21" s="184"/>
      <c r="L21" s="184"/>
      <c r="M21" s="185"/>
      <c r="N21" s="71"/>
      <c r="O21" s="71"/>
      <c r="P21" s="71"/>
      <c r="Q21" s="71"/>
      <c r="R21" s="71"/>
      <c r="S21" s="71"/>
      <c r="T21" s="72"/>
    </row>
    <row r="22" spans="1:20" x14ac:dyDescent="0.2">
      <c r="T22" s="535" t="s">
        <v>1898</v>
      </c>
    </row>
    <row r="24" spans="1:20" x14ac:dyDescent="0.2">
      <c r="H24" s="220"/>
    </row>
  </sheetData>
  <mergeCells count="5">
    <mergeCell ref="A2:T2"/>
    <mergeCell ref="A3:T3"/>
    <mergeCell ref="A5:A9"/>
    <mergeCell ref="A10:A16"/>
    <mergeCell ref="A18:T18"/>
  </mergeCells>
  <printOptions horizontalCentered="1"/>
  <pageMargins left="0.5513541666666667" right="0.3" top="0.75" bottom="0.5" header="0.75" footer="0.5"/>
  <pageSetup scale="84" firstPageNumber="113" orientation="landscape" useFirstPageNumber="1" r:id="rId1"/>
  <headerFooter alignWithMargins="0">
    <oddHeader>&amp;R&amp;"Arial,Regular"&amp;8SREB-State Data Exchange</oddHeader>
    <oddFooter>&amp;C&amp;"Arial,Regular"C-&amp;P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indexed="16"/>
  </sheetPr>
  <dimension ref="A1:AX65"/>
  <sheetViews>
    <sheetView view="pageBreakPreview" zoomScaleNormal="100" zoomScaleSheetLayoutView="100" workbookViewId="0">
      <pane xSplit="3" ySplit="6" topLeftCell="D7" activePane="bottomRight" state="frozen"/>
      <selection pane="topRight" activeCell="D1" sqref="D1"/>
      <selection pane="bottomLeft" activeCell="A7" sqref="A7"/>
      <selection pane="bottomRight"/>
    </sheetView>
  </sheetViews>
  <sheetFormatPr defaultColWidth="8.875" defaultRowHeight="12.75" x14ac:dyDescent="0.2"/>
  <cols>
    <col min="1" max="1" width="10" style="7" customWidth="1"/>
    <col min="2" max="2" width="29.625" style="61" customWidth="1"/>
    <col min="3" max="3" width="3.875" style="312" hidden="1" customWidth="1"/>
    <col min="4" max="4" width="5.875" style="18" customWidth="1"/>
    <col min="5" max="5" width="5.875" style="6" customWidth="1"/>
    <col min="6" max="6" width="6.125" style="6" customWidth="1"/>
    <col min="7" max="7" width="7.5" style="6" customWidth="1"/>
    <col min="8" max="8" width="5.875" style="46" customWidth="1"/>
    <col min="9" max="14" width="5.875" style="6" customWidth="1"/>
    <col min="15" max="15" width="5.5" style="6" customWidth="1"/>
    <col min="16" max="16" width="6.75" style="6" customWidth="1"/>
    <col min="17" max="17" width="5.625" style="6" customWidth="1"/>
    <col min="18" max="19" width="5.875" style="6" customWidth="1"/>
    <col min="20" max="20" width="5.875" style="7" customWidth="1"/>
    <col min="21" max="16384" width="8.875" style="6"/>
  </cols>
  <sheetData>
    <row r="1" spans="1:50" s="61" customFormat="1" ht="18" x14ac:dyDescent="0.15">
      <c r="A1" s="135" t="s">
        <v>356</v>
      </c>
      <c r="B1" s="123"/>
      <c r="C1" s="308"/>
      <c r="D1" s="123"/>
      <c r="E1" s="123"/>
      <c r="F1" s="123"/>
      <c r="G1" s="123"/>
      <c r="H1" s="136"/>
      <c r="I1" s="123"/>
      <c r="J1" s="123"/>
      <c r="K1" s="123"/>
      <c r="L1" s="123"/>
      <c r="M1" s="123"/>
      <c r="N1" s="123"/>
      <c r="O1" s="123"/>
      <c r="P1" s="123"/>
      <c r="Q1" s="123"/>
      <c r="R1" s="123"/>
      <c r="S1" s="123"/>
      <c r="T1" s="101"/>
    </row>
    <row r="2" spans="1:50" s="61" customFormat="1" ht="18" x14ac:dyDescent="0.15">
      <c r="A2" s="135"/>
      <c r="B2" s="123"/>
      <c r="C2" s="308"/>
      <c r="D2" s="123"/>
      <c r="E2" s="123"/>
      <c r="F2" s="123"/>
      <c r="G2" s="123"/>
      <c r="H2" s="136"/>
      <c r="I2" s="123"/>
      <c r="J2" s="123"/>
      <c r="K2" s="123"/>
      <c r="L2" s="123"/>
      <c r="M2" s="123"/>
      <c r="N2" s="123"/>
      <c r="O2" s="123"/>
      <c r="P2" s="123"/>
      <c r="Q2" s="123"/>
      <c r="R2" s="123"/>
      <c r="S2" s="123"/>
      <c r="T2" s="101"/>
    </row>
    <row r="3" spans="1:50" s="139" customFormat="1" ht="18.75" x14ac:dyDescent="0.15">
      <c r="A3" s="137" t="s">
        <v>25</v>
      </c>
      <c r="B3" s="124"/>
      <c r="C3" s="309"/>
      <c r="D3" s="315"/>
      <c r="E3" s="138"/>
      <c r="F3" s="138"/>
      <c r="G3" s="138"/>
      <c r="H3" s="101"/>
      <c r="I3" s="138"/>
      <c r="J3" s="138"/>
      <c r="K3" s="101"/>
      <c r="L3" s="101"/>
      <c r="M3" s="101"/>
      <c r="N3" s="138"/>
      <c r="O3" s="138"/>
      <c r="P3" s="138"/>
      <c r="Q3" s="138"/>
      <c r="R3" s="138"/>
      <c r="S3" s="138"/>
      <c r="T3" s="101"/>
    </row>
    <row r="4" spans="1:50" s="139" customFormat="1" ht="15.75" x14ac:dyDescent="0.15">
      <c r="A4" s="137" t="s">
        <v>1899</v>
      </c>
      <c r="B4" s="124"/>
      <c r="C4" s="309"/>
      <c r="D4" s="313"/>
      <c r="E4" s="138"/>
      <c r="F4" s="138"/>
      <c r="G4" s="138"/>
      <c r="H4" s="101"/>
      <c r="I4" s="138"/>
      <c r="J4" s="138"/>
      <c r="K4" s="101"/>
      <c r="L4" s="101"/>
      <c r="M4" s="101"/>
      <c r="N4" s="138"/>
      <c r="O4" s="138"/>
      <c r="P4" s="138"/>
      <c r="Q4" s="138"/>
      <c r="R4" s="138"/>
      <c r="S4" s="138"/>
      <c r="T4" s="101"/>
    </row>
    <row r="5" spans="1:50" s="139" customFormat="1" ht="15.75" x14ac:dyDescent="0.15">
      <c r="A5" s="137"/>
      <c r="B5" s="124"/>
      <c r="C5" s="309"/>
      <c r="D5" s="313"/>
      <c r="E5" s="138"/>
      <c r="F5" s="138"/>
      <c r="G5" s="138"/>
      <c r="H5" s="101"/>
      <c r="I5" s="138"/>
      <c r="J5" s="138"/>
      <c r="K5" s="101"/>
      <c r="L5" s="101"/>
      <c r="M5" s="101"/>
      <c r="N5" s="138"/>
      <c r="O5" s="138"/>
      <c r="P5" s="138"/>
      <c r="Q5" s="138"/>
      <c r="R5" s="138"/>
      <c r="S5" s="138"/>
      <c r="T5" s="101"/>
    </row>
    <row r="6" spans="1:50" s="84" customFormat="1" ht="12.75" customHeight="1" x14ac:dyDescent="0.2">
      <c r="A6" s="80"/>
      <c r="B6" s="125"/>
      <c r="C6" s="310" t="s">
        <v>263</v>
      </c>
      <c r="D6" s="516" t="s">
        <v>394</v>
      </c>
      <c r="E6" s="517" t="s">
        <v>142</v>
      </c>
      <c r="F6" s="518" t="s">
        <v>143</v>
      </c>
      <c r="G6" s="518" t="s">
        <v>148</v>
      </c>
      <c r="H6" s="518" t="s">
        <v>149</v>
      </c>
      <c r="I6" s="518" t="s">
        <v>144</v>
      </c>
      <c r="J6" s="519" t="s">
        <v>150</v>
      </c>
      <c r="K6" s="519" t="s">
        <v>145</v>
      </c>
      <c r="L6" s="519" t="s">
        <v>151</v>
      </c>
      <c r="M6" s="519" t="s">
        <v>152</v>
      </c>
      <c r="N6" s="519" t="s">
        <v>153</v>
      </c>
      <c r="O6" s="519" t="s">
        <v>154</v>
      </c>
      <c r="P6" s="519" t="s">
        <v>146</v>
      </c>
      <c r="Q6" s="519" t="s">
        <v>155</v>
      </c>
      <c r="R6" s="519" t="s">
        <v>147</v>
      </c>
      <c r="S6" s="519" t="s">
        <v>156</v>
      </c>
      <c r="T6" s="519" t="s">
        <v>157</v>
      </c>
    </row>
    <row r="7" spans="1:50" ht="27" x14ac:dyDescent="0.2">
      <c r="A7" s="1538" t="s">
        <v>337</v>
      </c>
      <c r="B7" s="361" t="s">
        <v>341</v>
      </c>
      <c r="C7" s="369" t="s">
        <v>264</v>
      </c>
      <c r="D7" s="363">
        <f>IF(GETPIVOTDATA("Total-New",'Distrib pivot table'!$C$2,"group","1A")/GETPIVOTDATA("Total-New",'Distrib pivot table'!$C$2)=0,,IF(GETPIVOTDATA("Total-New",'Distrib pivot table'!$C$2,"group","1A")/GETPIVOTDATA("Total-New",'Distrib pivot table'!$C$2)&gt;0.0005,GETPIVOTDATA("Total-New",'Distrib pivot table'!$C$2,"group","1A")/GETPIVOTDATA("Total-New",'Distrib pivot table'!$C$2),"*"))</f>
        <v>0.79515209000155262</v>
      </c>
      <c r="E7" s="364">
        <f>IF((GETPIVOTDATA("Total-New",'Distrib pivot table'!$C$2,"state","AL","group","1A")/GETPIVOTDATA("Total-New",'Distrib pivot table'!$C$2,"state","AL"))=0,,IF(GETPIVOTDATA("Total-New",'Distrib pivot table'!$C$2,"state","AL","group","1A")/GETPIVOTDATA("Total-New",'Distrib pivot table'!$C$2,"state","AL")&gt;0.0005,GETPIVOTDATA("Total-New",'Distrib pivot table'!$C$2,"state","AL","group","1A")/GETPIVOTDATA("Total-New",'Distrib pivot table'!$C$2,"state","AL"),"*"))</f>
        <v>0.78389321860433137</v>
      </c>
      <c r="F7" s="364">
        <f>IF((GETPIVOTDATA("Total-New",'Distrib pivot table'!$C$2,"state","AR","group","1A")/GETPIVOTDATA("Total-New",'Distrib pivot table'!$C$2,"state","AR"))=0,,IF(GETPIVOTDATA("Total-New",'Distrib pivot table'!$C$2,"state","AR","group","1A")/GETPIVOTDATA("Total-New",'Distrib pivot table'!$C$2,"state","AR")&gt;0.0005,GETPIVOTDATA("Total-New",'Distrib pivot table'!$C$2,"state","AR","group","1A")/GETPIVOTDATA("Total-New",'Distrib pivot table'!$C$2,"state","AR"),"*"))</f>
        <v>0.78101359291193706</v>
      </c>
      <c r="G7" s="364">
        <f>IF((GETPIVOTDATA("Total-New",'Distrib pivot table'!$C$2,"state","DE","group","1A")/GETPIVOTDATA("Total-New",'Distrib pivot table'!$C$2,"state","DE"))=0,,IF(GETPIVOTDATA("Total-New",'Distrib pivot table'!$C$2,"state","DE","group","1A")/GETPIVOTDATA("Total-New",'Distrib pivot table'!$C$2,"state","DE")&gt;0.0005,GETPIVOTDATA("Total-New",'Distrib pivot table'!$C$2,"state","DE","group","1A")/GETPIVOTDATA("Total-New",'Distrib pivot table'!$C$2,"state","DE"),"*"))</f>
        <v>0.96384516445450474</v>
      </c>
      <c r="H7" s="364">
        <f>IF((GETPIVOTDATA("Total-New",'Distrib pivot table'!$C$2,"state","FL","group","1A")/GETPIVOTDATA("Total-New",'Distrib pivot table'!$C$2,"state","FL"))=0,,IF(GETPIVOTDATA("Total-New",'Distrib pivot table'!$C$2,"state","FL","group","1A")/GETPIVOTDATA("Total-New",'Distrib pivot table'!$C$2,"state","FL")&gt;0.0005,GETPIVOTDATA("Total-New",'Distrib pivot table'!$C$2,"state","FL","group","1A")/GETPIVOTDATA("Total-New",'Distrib pivot table'!$C$2,"state","FL"),"*"))</f>
        <v>0.81883982068040462</v>
      </c>
      <c r="I7" s="364">
        <f>IF((GETPIVOTDATA("Total-New",'Distrib pivot table'!$C$2,"state","GA","group","1A")/GETPIVOTDATA("Total-New",'Distrib pivot table'!$C$2,"state","GA"))=0,,IF(GETPIVOTDATA("Total-New",'Distrib pivot table'!$C$2,"state","GA","group","1A")/GETPIVOTDATA("Total-New",'Distrib pivot table'!$C$2,"state","GA")&gt;0.0005,GETPIVOTDATA("Total-New",'Distrib pivot table'!$C$2,"state","GA","group","1A")/GETPIVOTDATA("Total-New",'Distrib pivot table'!$C$2,"state","GA"),"*"))</f>
        <v>0.78258427454253121</v>
      </c>
      <c r="J7" s="364">
        <f>IF((GETPIVOTDATA("Total-New",'Distrib pivot table'!$C$2,"state","KY","group","1A")/GETPIVOTDATA("Total-New",'Distrib pivot table'!$C$2,"state","KY"))=0,,IF(GETPIVOTDATA("Total-New",'Distrib pivot table'!$C$2,"state","KY","group","1A")/GETPIVOTDATA("Total-New",'Distrib pivot table'!$C$2,"state","KY")&gt;0.0005,GETPIVOTDATA("Total-New",'Distrib pivot table'!$C$2,"state","KY","group","1A")/GETPIVOTDATA("Total-New",'Distrib pivot table'!$C$2,"state","KY"),"*"))</f>
        <v>0.80716186439508286</v>
      </c>
      <c r="K7" s="364">
        <f>IF((GETPIVOTDATA("Total-New",'Distrib pivot table'!$C$2,"state","LA","group","1A")/GETPIVOTDATA("Total-New",'Distrib pivot table'!$C$2,"state","LA"))=0,,IF(GETPIVOTDATA("Total-New",'Distrib pivot table'!$C$2,"state","LA","group","1A")/GETPIVOTDATA("Total-New",'Distrib pivot table'!$C$2,"state","LA")&gt;0.0005,GETPIVOTDATA("Total-New",'Distrib pivot table'!$C$2,"state","LA","group","1A")/GETPIVOTDATA("Total-New",'Distrib pivot table'!$C$2,"state","LA"),"*"))</f>
        <v>0.6968990630266011</v>
      </c>
      <c r="L7" s="364">
        <f>IF((GETPIVOTDATA("Total-New",'Distrib pivot table'!$C$2,"state","MD","group","1A")/GETPIVOTDATA("Total-New",'Distrib pivot table'!$C$2,"state","MD"))=0,,IF(GETPIVOTDATA("Total-New",'Distrib pivot table'!$C$2,"state","MD","group","1A")/GETPIVOTDATA("Total-New",'Distrib pivot table'!$C$2,"state","MD")&gt;0.0005,GETPIVOTDATA("Total-New",'Distrib pivot table'!$C$2,"state","MD","group","1A")/GETPIVOTDATA("Total-New",'Distrib pivot table'!$C$2,"state","MD"),"*"))</f>
        <v>0.77110121002487242</v>
      </c>
      <c r="M7" s="364">
        <f>IF((GETPIVOTDATA("Total-New",'Distrib pivot table'!$C$2,"state","MS","group","1A")/GETPIVOTDATA("Total-New",'Distrib pivot table'!$C$2,"state","MS"))=0,,IF(GETPIVOTDATA("Total-New",'Distrib pivot table'!$C$2,"state","MS","group","1A")/GETPIVOTDATA("Total-New",'Distrib pivot table'!$C$2,"state","MS")&gt;0.0005,GETPIVOTDATA("Total-New",'Distrib pivot table'!$C$2,"state","MS","group","1A")/GETPIVOTDATA("Total-New",'Distrib pivot table'!$C$2,"state","MS"),"*"))</f>
        <v>0.78425316543828461</v>
      </c>
      <c r="N7" s="364">
        <f>IF((GETPIVOTDATA("Total-New",'Distrib pivot table'!$C$2,"state","NC","group","1A")/GETPIVOTDATA("Total-New",'Distrib pivot table'!$C$2,"state","NC"))=0,,IF(GETPIVOTDATA("Total-New",'Distrib pivot table'!$C$2,"state","NC","group","1A")/GETPIVOTDATA("Total-New",'Distrib pivot table'!$C$2,"state","NC")&gt;0.0005,GETPIVOTDATA("Total-New",'Distrib pivot table'!$C$2,"state","NC","group","1A")/GETPIVOTDATA("Total-New",'Distrib pivot table'!$C$2,"state","NC"),"*"))</f>
        <v>0.80231264386700207</v>
      </c>
      <c r="O7" s="364">
        <f>IF((GETPIVOTDATA("Total-New",'Distrib pivot table'!$C$2,"state","OK","group","1A")/GETPIVOTDATA("Total-New",'Distrib pivot table'!$C$2,"state","OK"))=0,,IF(GETPIVOTDATA("Total-New",'Distrib pivot table'!$C$2,"state","OK","group","1A")/GETPIVOTDATA("Total-New",'Distrib pivot table'!$C$2,"state","OK")&gt;0.0005,GETPIVOTDATA("Total-New",'Distrib pivot table'!$C$2,"state","OK","group","1A")/GETPIVOTDATA("Total-New",'Distrib pivot table'!$C$2,"state","OK"),"*"))</f>
        <v>0.8884673507488845</v>
      </c>
      <c r="P7" s="364">
        <f>IF((GETPIVOTDATA("Total-New",'Distrib pivot table'!$C$2,"state","SC","group","1A")/GETPIVOTDATA("Total-New",'Distrib pivot table'!$C$2,"state","SC"))=0,,IF(GETPIVOTDATA("Total-New",'Distrib pivot table'!$C$2,"state","SC","group","1A")/GETPIVOTDATA("Total-New",'Distrib pivot table'!$C$2,"state","SC")&gt;0.0005,GETPIVOTDATA("Total-New",'Distrib pivot table'!$C$2,"state","SC","group","1A")/GETPIVOTDATA("Total-New",'Distrib pivot table'!$C$2,"state","SC"),"*"))</f>
        <v>0.79987054760360921</v>
      </c>
      <c r="Q7" s="364">
        <f>IF((GETPIVOTDATA("Total-New",'Distrib pivot table'!$C$2,"state","TN","group","1A")/GETPIVOTDATA("Total-New",'Distrib pivot table'!$C$2,"state","TN"))=0,,IF(GETPIVOTDATA("Total-New",'Distrib pivot table'!$C$2,"state","TN","group","1A")/GETPIVOTDATA("Total-New",'Distrib pivot table'!$C$2,"state","TN")&gt;0.0005,GETPIVOTDATA("Total-New",'Distrib pivot table'!$C$2,"state","TN","group","1A")/GETPIVOTDATA("Total-New",'Distrib pivot table'!$C$2,"state","TN"),"*"))</f>
        <v>0.74525278353152014</v>
      </c>
      <c r="R7" s="364">
        <f>IF((GETPIVOTDATA("Total-New",'Distrib pivot table'!$C$2,"state","TX","group","1A")/GETPIVOTDATA("Total-New",'Distrib pivot table'!$C$2,"state","TX"))=0,,IF(GETPIVOTDATA("Total-New",'Distrib pivot table'!$C$2,"state","TX","group","1A")/GETPIVOTDATA("Total-New",'Distrib pivot table'!$C$2,"state","TX")&gt;0.0005,GETPIVOTDATA("Total-New",'Distrib pivot table'!$C$2,"state","TX","group","1A")/GETPIVOTDATA("Total-New",'Distrib pivot table'!$C$2,"state","TX"),"*"))</f>
        <v>0.78524825978621438</v>
      </c>
      <c r="S7" s="364">
        <f>IF((GETPIVOTDATA("Total-New",'Distrib pivot table'!$C$2,"state","VA","group","1A")/GETPIVOTDATA("Total-New",'Distrib pivot table'!$C$2,"state","VA"))=0,,IF(GETPIVOTDATA("Total-New",'Distrib pivot table'!$C$2,"state","VA","group","1A")/GETPIVOTDATA("Total-New",'Distrib pivot table'!$C$2,"state","VA")&gt;0.0005,GETPIVOTDATA("Total-New",'Distrib pivot table'!$C$2,"state","VA","group","1A")/GETPIVOTDATA("Total-New",'Distrib pivot table'!$C$2,"state","VA"),"*"))</f>
        <v>0.85158598454491108</v>
      </c>
      <c r="T7" s="365">
        <f>IF((GETPIVOTDATA("Total-New",'Distrib pivot table'!$C$2,"state","WV","group","1A")/GETPIVOTDATA("Total-New",'Distrib pivot table'!$C$2,"state","WV"))=0,,IF(GETPIVOTDATA("Total-New",'Distrib pivot table'!$C$2,"state","WV","group","1A")/GETPIVOTDATA("Total-New",'Distrib pivot table'!$C$2,"state","WV")&gt;0.0005,GETPIVOTDATA("Total-New",'Distrib pivot table'!$C$2,"state","WV","group","1A")/GETPIVOTDATA("Total-New",'Distrib pivot table'!$C$2,"state","WV"),"*"))</f>
        <v>0.708625632632925</v>
      </c>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row>
    <row r="8" spans="1:50" s="45" customFormat="1" ht="27" x14ac:dyDescent="0.2">
      <c r="A8" s="1539"/>
      <c r="B8" s="361" t="s">
        <v>342</v>
      </c>
      <c r="C8" s="370" t="s">
        <v>265</v>
      </c>
      <c r="D8" s="366">
        <f>SUM(D10:D16)</f>
        <v>2.2301729784092051E-2</v>
      </c>
      <c r="E8" s="366">
        <f>SUM(E10:E16)</f>
        <v>2.9190247160988114E-2</v>
      </c>
      <c r="F8" s="366">
        <f>SUM(F10:F16)</f>
        <v>1.5599355665420409E-2</v>
      </c>
      <c r="G8" s="366">
        <f t="shared" ref="G8:T8" si="0">SUM(G10:G16)</f>
        <v>7.3322693029313941E-3</v>
      </c>
      <c r="H8" s="366">
        <f t="shared" si="0"/>
        <v>2.9490702210105683E-2</v>
      </c>
      <c r="I8" s="366">
        <f t="shared" si="0"/>
        <v>1.8167049893754436E-2</v>
      </c>
      <c r="J8" s="366">
        <f t="shared" si="0"/>
        <v>3.3569641887325322E-2</v>
      </c>
      <c r="K8" s="366">
        <f t="shared" si="0"/>
        <v>3.4562342842772903E-2</v>
      </c>
      <c r="L8" s="366">
        <f t="shared" si="0"/>
        <v>1.4868716838063754E-2</v>
      </c>
      <c r="M8" s="366">
        <f t="shared" si="0"/>
        <v>5.8271654342830784E-2</v>
      </c>
      <c r="N8" s="366">
        <f t="shared" si="0"/>
        <v>1.8038856487154687E-2</v>
      </c>
      <c r="O8" s="366">
        <f t="shared" si="0"/>
        <v>0</v>
      </c>
      <c r="P8" s="366">
        <f t="shared" si="0"/>
        <v>3.2535485983834794E-2</v>
      </c>
      <c r="Q8" s="366">
        <f t="shared" si="0"/>
        <v>2.4594190023227519E-2</v>
      </c>
      <c r="R8" s="366">
        <f t="shared" si="0"/>
        <v>1.5850124366517733E-2</v>
      </c>
      <c r="S8" s="366">
        <f t="shared" si="0"/>
        <v>1.8471025125456224E-2</v>
      </c>
      <c r="T8" s="367">
        <f t="shared" si="0"/>
        <v>3.6249896851424344E-2</v>
      </c>
      <c r="U8" s="28"/>
      <c r="V8" s="28"/>
      <c r="W8" s="28"/>
      <c r="X8" s="28"/>
      <c r="Y8" s="28"/>
      <c r="Z8" s="28"/>
      <c r="AA8" s="28"/>
      <c r="AB8" s="28"/>
      <c r="AC8" s="28"/>
      <c r="AD8" s="28"/>
      <c r="AE8" s="28"/>
      <c r="AF8" s="28"/>
      <c r="AG8" s="28"/>
      <c r="AH8" s="28"/>
      <c r="AI8" s="28"/>
      <c r="AJ8" s="28"/>
      <c r="AK8" s="28"/>
      <c r="AL8" s="28"/>
      <c r="AM8" s="28"/>
      <c r="AN8" s="28"/>
      <c r="AO8" s="28"/>
      <c r="AP8" s="28"/>
      <c r="AQ8" s="28"/>
      <c r="AR8" s="28"/>
      <c r="AS8" s="28"/>
      <c r="AT8" s="28"/>
      <c r="AU8" s="28"/>
      <c r="AV8" s="28"/>
      <c r="AW8" s="28"/>
      <c r="AX8" s="28"/>
    </row>
    <row r="9" spans="1:50" s="45" customFormat="1" ht="25.5" x14ac:dyDescent="0.2">
      <c r="A9" s="1539"/>
      <c r="B9" s="377" t="s">
        <v>348</v>
      </c>
      <c r="C9" s="370"/>
      <c r="D9" s="366">
        <f>+D8+D7</f>
        <v>0.81745381978564469</v>
      </c>
      <c r="E9" s="366">
        <f t="shared" ref="E9:T9" si="1">+E8+E7</f>
        <v>0.81308346576531942</v>
      </c>
      <c r="F9" s="366">
        <f t="shared" si="1"/>
        <v>0.79661294857735743</v>
      </c>
      <c r="G9" s="366">
        <f t="shared" si="1"/>
        <v>0.97117743375743615</v>
      </c>
      <c r="H9" s="366">
        <f t="shared" si="1"/>
        <v>0.84833052289051025</v>
      </c>
      <c r="I9" s="366">
        <f t="shared" si="1"/>
        <v>0.80075132443628561</v>
      </c>
      <c r="J9" s="366">
        <f t="shared" si="1"/>
        <v>0.84073150628240823</v>
      </c>
      <c r="K9" s="366">
        <f t="shared" si="1"/>
        <v>0.73146140586937403</v>
      </c>
      <c r="L9" s="366">
        <f t="shared" si="1"/>
        <v>0.78596992686293621</v>
      </c>
      <c r="M9" s="366">
        <f t="shared" si="1"/>
        <v>0.84252481978111537</v>
      </c>
      <c r="N9" s="366">
        <f t="shared" si="1"/>
        <v>0.82035150035415672</v>
      </c>
      <c r="O9" s="366">
        <f t="shared" si="1"/>
        <v>0.8884673507488845</v>
      </c>
      <c r="P9" s="366">
        <f t="shared" si="1"/>
        <v>0.83240603358744403</v>
      </c>
      <c r="Q9" s="366">
        <f t="shared" si="1"/>
        <v>0.76984697355474763</v>
      </c>
      <c r="R9" s="366">
        <f t="shared" si="1"/>
        <v>0.80109838415273216</v>
      </c>
      <c r="S9" s="366">
        <f t="shared" si="1"/>
        <v>0.87005700967036725</v>
      </c>
      <c r="T9" s="367">
        <f t="shared" si="1"/>
        <v>0.74487552948434932</v>
      </c>
      <c r="U9" s="28"/>
      <c r="V9" s="28"/>
      <c r="W9" s="28"/>
      <c r="X9" s="28"/>
      <c r="Y9" s="28"/>
      <c r="Z9" s="28"/>
      <c r="AA9" s="28"/>
      <c r="AB9" s="28"/>
      <c r="AC9" s="28"/>
      <c r="AD9" s="28"/>
      <c r="AE9" s="28"/>
      <c r="AF9" s="28"/>
      <c r="AG9" s="28"/>
      <c r="AH9" s="28"/>
      <c r="AI9" s="28"/>
      <c r="AJ9" s="28"/>
      <c r="AK9" s="28"/>
      <c r="AL9" s="28"/>
      <c r="AM9" s="28"/>
      <c r="AN9" s="28"/>
      <c r="AO9" s="28"/>
      <c r="AP9" s="28"/>
      <c r="AQ9" s="28"/>
      <c r="AR9" s="28"/>
      <c r="AS9" s="28"/>
      <c r="AT9" s="28"/>
      <c r="AU9" s="28"/>
      <c r="AV9" s="28"/>
      <c r="AW9" s="28"/>
      <c r="AX9" s="28"/>
    </row>
    <row r="10" spans="1:50" ht="12.6" customHeight="1" x14ac:dyDescent="0.2">
      <c r="A10" s="1539"/>
      <c r="B10" s="127" t="s">
        <v>319</v>
      </c>
      <c r="C10" s="371" t="s">
        <v>266</v>
      </c>
      <c r="D10" s="418">
        <f>IF(GETPIVOTDATA("Total-New",'Distrib pivot table'!$C$2,"group","1b1")/GETPIVOTDATA("Total-New",'Distrib pivot table'!$C$2)=0,,IF(GETPIVOTDATA("Total-New",'Distrib pivot table'!$C$2,"group","1b1")/GETPIVOTDATA("Total-New",'Distrib pivot table'!$C$2)&gt;0.0005,GETPIVOTDATA("Total-New",'Distrib pivot table'!$C$2,"group","1b1")/GETPIVOTDATA("Total-New",'Distrib pivot table'!$C$2),"*"))</f>
        <v>3.0536730723855544E-3</v>
      </c>
      <c r="E10" s="418">
        <f>IF((GETPIVOTDATA("Total-New",'Distrib pivot table'!$C$2,"state","AL","group","1b1")/GETPIVOTDATA("Total-New",'Distrib pivot table'!$C$2,"state","AL"))=0,,IF(GETPIVOTDATA("Total-New",'Distrib pivot table'!$C$2,"state","AL","group","1b1")/GETPIVOTDATA("Total-New",'Distrib pivot table'!$C$2,"state","AL")&gt;0.0005,GETPIVOTDATA("Total-New",'Distrib pivot table'!$C$2,"state","AL","group","1b1")/GETPIVOTDATA("Total-New",'Distrib pivot table'!$C$2,"state","AL"),"*"))</f>
        <v>1.6639581028510052E-3</v>
      </c>
      <c r="F10" s="418">
        <f>IF((GETPIVOTDATA("Total-New",'Distrib pivot table'!$C$2,"state","AR","group","1b1")/GETPIVOTDATA("Total-New",'Distrib pivot table'!$C$2,"state","AR"))=0,,IF(GETPIVOTDATA("Total-New",'Distrib pivot table'!$C$2,"state","AR","group","1b1")/GETPIVOTDATA("Total-New",'Distrib pivot table'!$C$2,"state","AR")&gt;0.0005,GETPIVOTDATA("Total-New",'Distrib pivot table'!$C$2,"state","AR","group","1b1")/GETPIVOTDATA("Total-New",'Distrib pivot table'!$C$2,"state","AR"),"*"))</f>
        <v>1.5599355665420409E-2</v>
      </c>
      <c r="G10" s="418" t="str">
        <f>IF((GETPIVOTDATA("Total-New",'Distrib pivot table'!$C$2,"state","DE","group","1b1")/GETPIVOTDATA("Total-New",'Distrib pivot table'!$C$2,"state","DE"))=0,,IF(GETPIVOTDATA("Total-New",'Distrib pivot table'!$C$2,"state","DE","group","1b1")/GETPIVOTDATA("Total-New",'Distrib pivot table'!$C$2,"state","DE")&gt;0.0005,GETPIVOTDATA("Total-New",'Distrib pivot table'!$C$2,"state","DE","group","1b1")/GETPIVOTDATA("Total-New",'Distrib pivot table'!$C$2,"state","DE"),"*"))</f>
        <v>*</v>
      </c>
      <c r="H10" s="418">
        <f>IF((GETPIVOTDATA("Total-New",'Distrib pivot table'!$C$2,"state","FL","group","1b1")/GETPIVOTDATA("Total-New",'Distrib pivot table'!$C$2,"state","FL"))=0,,IF(GETPIVOTDATA("Total-New",'Distrib pivot table'!$C$2,"state","FL","group","1b1")/GETPIVOTDATA("Total-New",'Distrib pivot table'!$C$2,"state","FL")&gt;0.0005,GETPIVOTDATA("Total-New",'Distrib pivot table'!$C$2,"state","FL","group","1b1")/GETPIVOTDATA("Total-New",'Distrib pivot table'!$C$2,"state","FL"),"*"))</f>
        <v>6.7362556768018811E-3</v>
      </c>
      <c r="I10" s="418">
        <f>IF((GETPIVOTDATA("Total-New",'Distrib pivot table'!$C$2,"state","GA","group","1b1")/GETPIVOTDATA("Total-New",'Distrib pivot table'!$C$2,"state","GA"))=0,,IF(GETPIVOTDATA("Total-New",'Distrib pivot table'!$C$2,"state","GA","group","1b1")/GETPIVOTDATA("Total-New",'Distrib pivot table'!$C$2,"state","GA")&gt;0.0005,GETPIVOTDATA("Total-New",'Distrib pivot table'!$C$2,"state","GA","group","1b1")/GETPIVOTDATA("Total-New",'Distrib pivot table'!$C$2,"state","GA"),"*"))</f>
        <v>1.4889287210336885E-3</v>
      </c>
      <c r="J10" s="418">
        <f>IF((GETPIVOTDATA("Total-New",'Distrib pivot table'!$C$2,"state","KY","group","1b1")/GETPIVOTDATA("Total-New",'Distrib pivot table'!$C$2,"state","KY"))=0,,IF(GETPIVOTDATA("Total-New",'Distrib pivot table'!$C$2,"state","KY","group","1b1")/GETPIVOTDATA("Total-New",'Distrib pivot table'!$C$2,"state","KY")&gt;0.0005,GETPIVOTDATA("Total-New",'Distrib pivot table'!$C$2,"state","KY","group","1b1")/GETPIVOTDATA("Total-New",'Distrib pivot table'!$C$2,"state","KY"),"*"))</f>
        <v>8.0288392647151815E-3</v>
      </c>
      <c r="K10" s="418">
        <f>IF((GETPIVOTDATA("Total-New",'Distrib pivot table'!$C$2,"state","LA","group","1b1")/GETPIVOTDATA("Total-New",'Distrib pivot table'!$C$2,"state","LA"))=0,,IF(GETPIVOTDATA("Total-New",'Distrib pivot table'!$C$2,"state","LA","group","1b1")/GETPIVOTDATA("Total-New",'Distrib pivot table'!$C$2,"state","LA")&gt;0.0005,GETPIVOTDATA("Total-New",'Distrib pivot table'!$C$2,"state","LA","group","1b1")/GETPIVOTDATA("Total-New",'Distrib pivot table'!$C$2,"state","LA"),"*"))</f>
        <v>0</v>
      </c>
      <c r="L10" s="418">
        <f>IF((GETPIVOTDATA("Total-New",'Distrib pivot table'!$C$2,"state","MD","group","1b1")/GETPIVOTDATA("Total-New",'Distrib pivot table'!$C$2,"state","MD"))=0,,IF(GETPIVOTDATA("Total-New",'Distrib pivot table'!$C$2,"state","MD","group","1b1")/GETPIVOTDATA("Total-New",'Distrib pivot table'!$C$2,"state","MD")&gt;0.0005,GETPIVOTDATA("Total-New",'Distrib pivot table'!$C$2,"state","MD","group","1b1")/GETPIVOTDATA("Total-New",'Distrib pivot table'!$C$2,"state","MD"),"*"))</f>
        <v>0</v>
      </c>
      <c r="M10" s="418" t="str">
        <f>IF((GETPIVOTDATA("Total-New",'Distrib pivot table'!$C$2,"state","MS","group","1b1")/GETPIVOTDATA("Total-New",'Distrib pivot table'!$C$2,"state","MS"))=0,,IF(GETPIVOTDATA("Total-New",'Distrib pivot table'!$C$2,"state","MS","group","1b1")/GETPIVOTDATA("Total-New",'Distrib pivot table'!$C$2,"state","MS")&gt;0.0005,GETPIVOTDATA("Total-New",'Distrib pivot table'!$C$2,"state","MS","group","1b1")/GETPIVOTDATA("Total-New",'Distrib pivot table'!$C$2,"state","MS"),"*"))</f>
        <v>*</v>
      </c>
      <c r="N10" s="418">
        <f>IF((GETPIVOTDATA("Total-New",'Distrib pivot table'!$C$2,"state","NC","group","1b1")/GETPIVOTDATA("Total-New",'Distrib pivot table'!$C$2,"state","NC"))=0,,IF(GETPIVOTDATA("Total-New",'Distrib pivot table'!$C$2,"state","NC","group","1b1")/GETPIVOTDATA("Total-New",'Distrib pivot table'!$C$2,"state","NC")&gt;0.0005,GETPIVOTDATA("Total-New",'Distrib pivot table'!$C$2,"state","NC","group","1b1")/GETPIVOTDATA("Total-New",'Distrib pivot table'!$C$2,"state","NC"),"*"))</f>
        <v>1.6257589822366793E-3</v>
      </c>
      <c r="O10" s="418">
        <f>IF((GETPIVOTDATA("Total-New",'Distrib pivot table'!$C$2,"state","OK","group","1b1")/GETPIVOTDATA("Total-New",'Distrib pivot table'!$C$2,"state","OK"))=0,,IF(GETPIVOTDATA("Total-New",'Distrib pivot table'!$C$2,"state","OK","group","1b1")/GETPIVOTDATA("Total-New",'Distrib pivot table'!$C$2,"state","OK")&gt;0.0005,GETPIVOTDATA("Total-New",'Distrib pivot table'!$C$2,"state","OK","group","1b1")/GETPIVOTDATA("Total-New",'Distrib pivot table'!$C$2,"state","OK"),"*"))</f>
        <v>0</v>
      </c>
      <c r="P10" s="418">
        <f>IF((GETPIVOTDATA("Total-New",'Distrib pivot table'!$C$2,"state","SC","group","1b1")/GETPIVOTDATA("Total-New",'Distrib pivot table'!$C$2,"state","SC"))=0,,IF(GETPIVOTDATA("Total-New",'Distrib pivot table'!$C$2,"state","SC","group","1b1")/GETPIVOTDATA("Total-New",'Distrib pivot table'!$C$2,"state","SC")&gt;0.0005,GETPIVOTDATA("Total-New",'Distrib pivot table'!$C$2,"state","SC","group","1b1")/GETPIVOTDATA("Total-New",'Distrib pivot table'!$C$2,"state","SC"),"*"))</f>
        <v>1.459613617304535E-3</v>
      </c>
      <c r="Q10" s="418">
        <f>IF((GETPIVOTDATA("Total-New",'Distrib pivot table'!$C$2,"state","TN","group","1b1")/GETPIVOTDATA("Total-New",'Distrib pivot table'!$C$2,"state","TN"))=0,,IF(GETPIVOTDATA("Total-New",'Distrib pivot table'!$C$2,"state","TN","group","1b1")/GETPIVOTDATA("Total-New",'Distrib pivot table'!$C$2,"state","TN")&gt;0.0005,GETPIVOTDATA("Total-New",'Distrib pivot table'!$C$2,"state","TN","group","1b1")/GETPIVOTDATA("Total-New",'Distrib pivot table'!$C$2,"state","TN"),"*"))</f>
        <v>3.3538116538588932E-3</v>
      </c>
      <c r="R10" s="418">
        <f>IF((GETPIVOTDATA("Total-New",'Distrib pivot table'!$C$2,"state","TX","group","1b1")/GETPIVOTDATA("Total-New",'Distrib pivot table'!$C$2,"state","TX"))=0,,IF(GETPIVOTDATA("Total-New",'Distrib pivot table'!$C$2,"state","TX","group","1b1")/GETPIVOTDATA("Total-New",'Distrib pivot table'!$C$2,"state","TX")&gt;0.0005,GETPIVOTDATA("Total-New",'Distrib pivot table'!$C$2,"state","TX","group","1b1")/GETPIVOTDATA("Total-New",'Distrib pivot table'!$C$2,"state","TX"),"*"))</f>
        <v>4.1481617440439307E-3</v>
      </c>
      <c r="S10" s="418">
        <f>IF((GETPIVOTDATA("Total-New",'Distrib pivot table'!$C$2,"state","VA","group","1b1")/GETPIVOTDATA("Total-New",'Distrib pivot table'!$C$2,"state","VA"))=0,,IF(GETPIVOTDATA("Total-New",'Distrib pivot table'!$C$2,"state","VA","group","1b1")/GETPIVOTDATA("Total-New",'Distrib pivot table'!$C$2,"state","VA")&gt;0.0005,GETPIVOTDATA("Total-New",'Distrib pivot table'!$C$2,"state","VA","group","1b1")/GETPIVOTDATA("Total-New",'Distrib pivot table'!$C$2,"state","VA"),"*"))</f>
        <v>0</v>
      </c>
      <c r="T10" s="418">
        <f>IF((GETPIVOTDATA("Total-New",'Distrib pivot table'!$C$2,"state","WV","group","1b1")/GETPIVOTDATA("Total-New",'Distrib pivot table'!$C$2,"state","WV"))=0,,IF(GETPIVOTDATA("Total-New",'Distrib pivot table'!$C$2,"state","WV","group","1b1")/GETPIVOTDATA("Total-New",'Distrib pivot table'!$C$2,"state","WV")&gt;0.0005,GETPIVOTDATA("Total-New",'Distrib pivot table'!$C$2,"state","WV","group","1b1")/GETPIVOTDATA("Total-New",'Distrib pivot table'!$C$2,"state","WV"),"*"))</f>
        <v>0</v>
      </c>
      <c r="U10" s="3"/>
      <c r="V10" s="3"/>
      <c r="W10" s="3"/>
      <c r="X10" s="3"/>
      <c r="Y10" s="3"/>
      <c r="Z10" s="3"/>
      <c r="AA10" s="3"/>
      <c r="AB10" s="3"/>
      <c r="AC10" s="3"/>
      <c r="AD10" s="3"/>
      <c r="AE10" s="3"/>
      <c r="AF10" s="3"/>
      <c r="AG10" s="3"/>
      <c r="AH10" s="3"/>
      <c r="AI10" s="3"/>
      <c r="AJ10" s="3"/>
      <c r="AK10" s="3"/>
      <c r="AL10" s="3"/>
      <c r="AM10" s="3"/>
      <c r="AN10" s="3"/>
      <c r="AO10" s="3"/>
      <c r="AP10" s="3"/>
      <c r="AQ10" s="3"/>
      <c r="AR10" s="3"/>
      <c r="AS10" s="3"/>
      <c r="AT10" s="3"/>
      <c r="AU10" s="3"/>
      <c r="AV10" s="3"/>
      <c r="AW10" s="3"/>
      <c r="AX10" s="3"/>
    </row>
    <row r="11" spans="1:50" ht="12.6" customHeight="1" x14ac:dyDescent="0.2">
      <c r="A11" s="1539"/>
      <c r="B11" s="127" t="s">
        <v>258</v>
      </c>
      <c r="C11" s="371" t="s">
        <v>267</v>
      </c>
      <c r="D11" s="418" t="str">
        <f>IF(GETPIVOTDATA("Total-New",'Distrib pivot table'!$C$2,"group","1b2")/GETPIVOTDATA("Total-New",'Distrib pivot table'!$C$2)=0,,IF(GETPIVOTDATA("Total-New",'Distrib pivot table'!$C$2,"group","1b2")/GETPIVOTDATA("Total-New",'Distrib pivot table'!$C$2)&gt;0.0005,GETPIVOTDATA("Total-New",'Distrib pivot table'!$C$2,"group","1b2")/GETPIVOTDATA("Total-New",'Distrib pivot table'!$C$2),"*"))</f>
        <v>*</v>
      </c>
      <c r="E11" s="418">
        <f>IF((GETPIVOTDATA("Total-New",'Distrib pivot table'!$C$2,"state","AL","group","1b2")/GETPIVOTDATA("Total-New",'Distrib pivot table'!$C$2,"state","AL"))=0,,IF(GETPIVOTDATA("Total-New",'Distrib pivot table'!$C$2,"state","AL","group","1b2")/GETPIVOTDATA("Total-New",'Distrib pivot table'!$C$2,"state","AL")&gt;0.0005,GETPIVOTDATA("Total-New",'Distrib pivot table'!$C$2,"state","AL","group","1b2")/GETPIVOTDATA("Total-New",'Distrib pivot table'!$C$2,"state","AL"),"*"))</f>
        <v>7.9215925983386467E-4</v>
      </c>
      <c r="F11" s="418">
        <f>IF((GETPIVOTDATA("Total-New",'Distrib pivot table'!$C$2,"state","AR","group","1b2")/GETPIVOTDATA("Total-New",'Distrib pivot table'!$C$2,"state","AR"))=0,,IF(GETPIVOTDATA("Total-New",'Distrib pivot table'!$C$2,"state","AR","group","1b2")/GETPIVOTDATA("Total-New",'Distrib pivot table'!$C$2,"state","AR")&gt;0.0005,GETPIVOTDATA("Total-New",'Distrib pivot table'!$C$2,"state","AR","group","1b2")/GETPIVOTDATA("Total-New",'Distrib pivot table'!$C$2,"state","AR"),"*"))</f>
        <v>0</v>
      </c>
      <c r="G11" s="418">
        <f>IF((GETPIVOTDATA("Total-New",'Distrib pivot table'!$C$2,"state","DE","group","1b2")/GETPIVOTDATA("Total-New",'Distrib pivot table'!$C$2,"state","DE"))=0,,IF(GETPIVOTDATA("Total-New",'Distrib pivot table'!$C$2,"state","DE","group","1b2")/GETPIVOTDATA("Total-New",'Distrib pivot table'!$C$2,"state","DE")&gt;0.0005,GETPIVOTDATA("Total-New",'Distrib pivot table'!$C$2,"state","DE","group","1b2")/GETPIVOTDATA("Total-New",'Distrib pivot table'!$C$2,"state","DE"),"*"))</f>
        <v>0</v>
      </c>
      <c r="H11" s="418">
        <f>IF((GETPIVOTDATA("Total-New",'Distrib pivot table'!$C$2,"state","FL","group","1b2")/GETPIVOTDATA("Total-New",'Distrib pivot table'!$C$2,"state","FL"))=0,,IF(GETPIVOTDATA("Total-New",'Distrib pivot table'!$C$2,"state","FL","group","1b2")/GETPIVOTDATA("Total-New",'Distrib pivot table'!$C$2,"state","FL")&gt;0.0005,GETPIVOTDATA("Total-New",'Distrib pivot table'!$C$2,"state","FL","group","1b2")/GETPIVOTDATA("Total-New",'Distrib pivot table'!$C$2,"state","FL"),"*"))</f>
        <v>0</v>
      </c>
      <c r="I11" s="418">
        <f>IF((GETPIVOTDATA("Total-New",'Distrib pivot table'!$C$2,"state","GA","group","1b2")/GETPIVOTDATA("Total-New",'Distrib pivot table'!$C$2,"state","GA"))=0,,IF(GETPIVOTDATA("Total-New",'Distrib pivot table'!$C$2,"state","GA","group","1b2")/GETPIVOTDATA("Total-New",'Distrib pivot table'!$C$2,"state","GA")&gt;0.0005,GETPIVOTDATA("Total-New",'Distrib pivot table'!$C$2,"state","GA","group","1b2")/GETPIVOTDATA("Total-New",'Distrib pivot table'!$C$2,"state","GA"),"*"))</f>
        <v>0</v>
      </c>
      <c r="J11" s="418">
        <f>IF((GETPIVOTDATA("Total-New",'Distrib pivot table'!$C$2,"state","KY","group","1b2")/GETPIVOTDATA("Total-New",'Distrib pivot table'!$C$2,"state","KY"))=0,,IF(GETPIVOTDATA("Total-New",'Distrib pivot table'!$C$2,"state","KY","group","1b2")/GETPIVOTDATA("Total-New",'Distrib pivot table'!$C$2,"state","KY")&gt;0.0005,GETPIVOTDATA("Total-New",'Distrib pivot table'!$C$2,"state","KY","group","1b2")/GETPIVOTDATA("Total-New",'Distrib pivot table'!$C$2,"state","KY"),"*"))</f>
        <v>0</v>
      </c>
      <c r="K11" s="418">
        <f>IF((GETPIVOTDATA("Total-New",'Distrib pivot table'!$C$2,"state","LA","group","1b2")/GETPIVOTDATA("Total-New",'Distrib pivot table'!$C$2,"state","LA"))=0,,IF(GETPIVOTDATA("Total-New",'Distrib pivot table'!$C$2,"state","LA","group","1b2")/GETPIVOTDATA("Total-New",'Distrib pivot table'!$C$2,"state","LA")&gt;0.0005,GETPIVOTDATA("Total-New",'Distrib pivot table'!$C$2,"state","LA","group","1b2")/GETPIVOTDATA("Total-New",'Distrib pivot table'!$C$2,"state","LA"),"*"))</f>
        <v>0</v>
      </c>
      <c r="L11" s="418">
        <f>IF((GETPIVOTDATA("Total-New",'Distrib pivot table'!$C$2,"state","MD","group","1b2")/GETPIVOTDATA("Total-New",'Distrib pivot table'!$C$2,"state","MD"))=0,,IF(GETPIVOTDATA("Total-New",'Distrib pivot table'!$C$2,"state","MD","group","1b2")/GETPIVOTDATA("Total-New",'Distrib pivot table'!$C$2,"state","MD")&gt;0.0005,GETPIVOTDATA("Total-New",'Distrib pivot table'!$C$2,"state","MD","group","1b2")/GETPIVOTDATA("Total-New",'Distrib pivot table'!$C$2,"state","MD"),"*"))</f>
        <v>0</v>
      </c>
      <c r="M11" s="418">
        <f>IF((GETPIVOTDATA("Total-New",'Distrib pivot table'!$C$2,"state","MS","group","1b2")/GETPIVOTDATA("Total-New",'Distrib pivot table'!$C$2,"state","MS"))=0,,IF(GETPIVOTDATA("Total-New",'Distrib pivot table'!$C$2,"state","MS","group","1b2")/GETPIVOTDATA("Total-New",'Distrib pivot table'!$C$2,"state","MS")&gt;0.0005,GETPIVOTDATA("Total-New",'Distrib pivot table'!$C$2,"state","MS","group","1b2")/GETPIVOTDATA("Total-New",'Distrib pivot table'!$C$2,"state","MS"),"*"))</f>
        <v>0</v>
      </c>
      <c r="N11" s="418">
        <f>IF((GETPIVOTDATA("Total-New",'Distrib pivot table'!$C$2,"state","NC","group","1b2")/GETPIVOTDATA("Total-New",'Distrib pivot table'!$C$2,"state","NC"))=0,,IF(GETPIVOTDATA("Total-New",'Distrib pivot table'!$C$2,"state","NC","group","1b2")/GETPIVOTDATA("Total-New",'Distrib pivot table'!$C$2,"state","NC")&gt;0.0005,GETPIVOTDATA("Total-New",'Distrib pivot table'!$C$2,"state","NC","group","1b2")/GETPIVOTDATA("Total-New",'Distrib pivot table'!$C$2,"state","NC"),"*"))</f>
        <v>0</v>
      </c>
      <c r="O11" s="418">
        <f>IF((GETPIVOTDATA("Total-New",'Distrib pivot table'!$C$2,"state","OK","group","1b2")/GETPIVOTDATA("Total-New",'Distrib pivot table'!$C$2,"state","OK"))=0,,IF(GETPIVOTDATA("Total-New",'Distrib pivot table'!$C$2,"state","OK","group","1b2")/GETPIVOTDATA("Total-New",'Distrib pivot table'!$C$2,"state","OK")&gt;0.0005,GETPIVOTDATA("Total-New",'Distrib pivot table'!$C$2,"state","OK","group","1b2")/GETPIVOTDATA("Total-New",'Distrib pivot table'!$C$2,"state","OK"),"*"))</f>
        <v>0</v>
      </c>
      <c r="P11" s="418">
        <f>IF((GETPIVOTDATA("Total-New",'Distrib pivot table'!$C$2,"state","SC","group","1b2")/GETPIVOTDATA("Total-New",'Distrib pivot table'!$C$2,"state","SC"))=0,,IF(GETPIVOTDATA("Total-New",'Distrib pivot table'!$C$2,"state","SC","group","1b2")/GETPIVOTDATA("Total-New",'Distrib pivot table'!$C$2,"state","SC")&gt;0.0005,GETPIVOTDATA("Total-New",'Distrib pivot table'!$C$2,"state","SC","group","1b2")/GETPIVOTDATA("Total-New",'Distrib pivot table'!$C$2,"state","SC"),"*"))</f>
        <v>0</v>
      </c>
      <c r="Q11" s="418">
        <f>IF((GETPIVOTDATA("Total-New",'Distrib pivot table'!$C$2,"state","TN","group","1b2")/GETPIVOTDATA("Total-New",'Distrib pivot table'!$C$2,"state","TN"))=0,,IF(GETPIVOTDATA("Total-New",'Distrib pivot table'!$C$2,"state","TN","group","1b2")/GETPIVOTDATA("Total-New",'Distrib pivot table'!$C$2,"state","TN")&gt;0.0005,GETPIVOTDATA("Total-New",'Distrib pivot table'!$C$2,"state","TN","group","1b2")/GETPIVOTDATA("Total-New",'Distrib pivot table'!$C$2,"state","TN"),"*"))</f>
        <v>0</v>
      </c>
      <c r="R11" s="418">
        <f>IF((GETPIVOTDATA("Total-New",'Distrib pivot table'!$C$2,"state","TX","group","1b2")/GETPIVOTDATA("Total-New",'Distrib pivot table'!$C$2,"state","TX"))=0,,IF(GETPIVOTDATA("Total-New",'Distrib pivot table'!$C$2,"state","TX","group","1b2")/GETPIVOTDATA("Total-New",'Distrib pivot table'!$C$2,"state","TX")&gt;0.0005,GETPIVOTDATA("Total-New",'Distrib pivot table'!$C$2,"state","TX","group","1b2")/GETPIVOTDATA("Total-New",'Distrib pivot table'!$C$2,"state","TX"),"*"))</f>
        <v>0</v>
      </c>
      <c r="S11" s="418">
        <f>IF((GETPIVOTDATA("Total-New",'Distrib pivot table'!$C$2,"state","VA","group","1b2")/GETPIVOTDATA("Total-New",'Distrib pivot table'!$C$2,"state","VA"))=0,,IF(GETPIVOTDATA("Total-New",'Distrib pivot table'!$C$2,"state","VA","group","1b2")/GETPIVOTDATA("Total-New",'Distrib pivot table'!$C$2,"state","VA")&gt;0.0005,GETPIVOTDATA("Total-New",'Distrib pivot table'!$C$2,"state","VA","group","1b2")/GETPIVOTDATA("Total-New",'Distrib pivot table'!$C$2,"state","VA"),"*"))</f>
        <v>0</v>
      </c>
      <c r="T11" s="418">
        <f>IF((GETPIVOTDATA("Total-New",'Distrib pivot table'!$C$2,"state","WV","group","1b2")/GETPIVOTDATA("Total-New",'Distrib pivot table'!$C$2,"state","WV"))=0,,IF(GETPIVOTDATA("Total-New",'Distrib pivot table'!$C$2,"state","WV","group","1b2")/GETPIVOTDATA("Total-New",'Distrib pivot table'!$C$2,"state","WV")&gt;0.0005,GETPIVOTDATA("Total-New",'Distrib pivot table'!$C$2,"state","WV","group","1b2")/GETPIVOTDATA("Total-New",'Distrib pivot table'!$C$2,"state","WV"),"*"))</f>
        <v>0</v>
      </c>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row>
    <row r="12" spans="1:50" ht="12.6" customHeight="1" x14ac:dyDescent="0.2">
      <c r="A12" s="1539"/>
      <c r="B12" s="127" t="s">
        <v>257</v>
      </c>
      <c r="C12" s="371" t="s">
        <v>268</v>
      </c>
      <c r="D12" s="418">
        <f>IF(GETPIVOTDATA("Total-New",'Distrib pivot table'!$C$2,"group","1b3")/GETPIVOTDATA("Total-New",'Distrib pivot table'!$C$2)=0,,IF(GETPIVOTDATA("Total-New",'Distrib pivot table'!$C$2,"group","1b3")/GETPIVOTDATA("Total-New",'Distrib pivot table'!$C$2)&gt;0.0005,GETPIVOTDATA("Total-New",'Distrib pivot table'!$C$2,"group","1b3")/GETPIVOTDATA("Total-New",'Distrib pivot table'!$C$2),"*"))</f>
        <v>9.9366131436534177E-3</v>
      </c>
      <c r="E12" s="418">
        <f>IF((GETPIVOTDATA("Total-New",'Distrib pivot table'!$C$2,"state","AL","group","1b3")/GETPIVOTDATA("Total-New",'Distrib pivot table'!$C$2,"state","AL"))=0,,IF(GETPIVOTDATA("Total-New",'Distrib pivot table'!$C$2,"state","AL","group","1b3")/GETPIVOTDATA("Total-New",'Distrib pivot table'!$C$2,"state","AL")&gt;0.0005,GETPIVOTDATA("Total-New",'Distrib pivot table'!$C$2,"state","AL","group","1b3")/GETPIVOTDATA("Total-New",'Distrib pivot table'!$C$2,"state","AL"),"*"))</f>
        <v>1.1952692388055476E-2</v>
      </c>
      <c r="F12" s="418">
        <f>IF((GETPIVOTDATA("Total-New",'Distrib pivot table'!$C$2,"state","AR","group","1b3")/GETPIVOTDATA("Total-New",'Distrib pivot table'!$C$2,"state","AR"))=0,,IF(GETPIVOTDATA("Total-New",'Distrib pivot table'!$C$2,"state","AR","group","1b3")/GETPIVOTDATA("Total-New",'Distrib pivot table'!$C$2,"state","AR")&gt;0.0005,GETPIVOTDATA("Total-New",'Distrib pivot table'!$C$2,"state","AR","group","1b3")/GETPIVOTDATA("Total-New",'Distrib pivot table'!$C$2,"state","AR"),"*"))</f>
        <v>0</v>
      </c>
      <c r="G12" s="418">
        <f>IF((GETPIVOTDATA("Total-New",'Distrib pivot table'!$C$2,"state","DE","group","1b3")/GETPIVOTDATA("Total-New",'Distrib pivot table'!$C$2,"state","DE"))=0,,IF(GETPIVOTDATA("Total-New",'Distrib pivot table'!$C$2,"state","DE","group","1b3")/GETPIVOTDATA("Total-New",'Distrib pivot table'!$C$2,"state","DE")&gt;0.0005,GETPIVOTDATA("Total-New",'Distrib pivot table'!$C$2,"state","DE","group","1b3")/GETPIVOTDATA("Total-New",'Distrib pivot table'!$C$2,"state","DE"),"*"))</f>
        <v>2.0825039817822309E-3</v>
      </c>
      <c r="H12" s="418">
        <f>IF((GETPIVOTDATA("Total-New",'Distrib pivot table'!$C$2,"state","FL","group","1b3")/GETPIVOTDATA("Total-New",'Distrib pivot table'!$C$2,"state","FL"))=0,,IF(GETPIVOTDATA("Total-New",'Distrib pivot table'!$C$2,"state","FL","group","1b3")/GETPIVOTDATA("Total-New",'Distrib pivot table'!$C$2,"state","FL")&gt;0.0005,GETPIVOTDATA("Total-New",'Distrib pivot table'!$C$2,"state","FL","group","1b3")/GETPIVOTDATA("Total-New",'Distrib pivot table'!$C$2,"state","FL"),"*"))</f>
        <v>2.1322573447038119E-2</v>
      </c>
      <c r="I12" s="418">
        <f>IF((GETPIVOTDATA("Total-New",'Distrib pivot table'!$C$2,"state","GA","group","1b3")/GETPIVOTDATA("Total-New",'Distrib pivot table'!$C$2,"state","GA"))=0,,IF(GETPIVOTDATA("Total-New",'Distrib pivot table'!$C$2,"state","GA","group","1b3")/GETPIVOTDATA("Total-New",'Distrib pivot table'!$C$2,"state","GA")&gt;0.0005,GETPIVOTDATA("Total-New",'Distrib pivot table'!$C$2,"state","GA","group","1b3")/GETPIVOTDATA("Total-New",'Distrib pivot table'!$C$2,"state","GA"),"*"))</f>
        <v>6.0831001508961724E-3</v>
      </c>
      <c r="J12" s="418">
        <f>IF((GETPIVOTDATA("Total-New",'Distrib pivot table'!$C$2,"state","KY","group","1b3")/GETPIVOTDATA("Total-New",'Distrib pivot table'!$C$2,"state","KY"))=0,,IF(GETPIVOTDATA("Total-New",'Distrib pivot table'!$C$2,"state","KY","group","1b3")/GETPIVOTDATA("Total-New",'Distrib pivot table'!$C$2,"state","KY")&gt;0.0005,GETPIVOTDATA("Total-New",'Distrib pivot table'!$C$2,"state","KY","group","1b3")/GETPIVOTDATA("Total-New",'Distrib pivot table'!$C$2,"state","KY"),"*"))</f>
        <v>2.3341752287196756E-2</v>
      </c>
      <c r="K12" s="418">
        <f>IF((GETPIVOTDATA("Total-New",'Distrib pivot table'!$C$2,"state","LA","group","1b3")/GETPIVOTDATA("Total-New",'Distrib pivot table'!$C$2,"state","LA"))=0,,IF(GETPIVOTDATA("Total-New",'Distrib pivot table'!$C$2,"state","LA","group","1b3")/GETPIVOTDATA("Total-New",'Distrib pivot table'!$C$2,"state","LA")&gt;0.0005,GETPIVOTDATA("Total-New",'Distrib pivot table'!$C$2,"state","LA","group","1b3")/GETPIVOTDATA("Total-New",'Distrib pivot table'!$C$2,"state","LA"),"*"))</f>
        <v>2.0499533751387924E-2</v>
      </c>
      <c r="L12" s="418">
        <f>IF((GETPIVOTDATA("Total-New",'Distrib pivot table'!$C$2,"state","MD","group","1b3")/GETPIVOTDATA("Total-New",'Distrib pivot table'!$C$2,"state","MD"))=0,,IF(GETPIVOTDATA("Total-New",'Distrib pivot table'!$C$2,"state","MD","group","1b3")/GETPIVOTDATA("Total-New",'Distrib pivot table'!$C$2,"state","MD")&gt;0.0005,GETPIVOTDATA("Total-New",'Distrib pivot table'!$C$2,"state","MD","group","1b3")/GETPIVOTDATA("Total-New",'Distrib pivot table'!$C$2,"state","MD"),"*"))</f>
        <v>5.0299535516582184E-3</v>
      </c>
      <c r="M12" s="418">
        <f>IF((GETPIVOTDATA("Total-New",'Distrib pivot table'!$C$2,"state","MS","group","1b3")/GETPIVOTDATA("Total-New",'Distrib pivot table'!$C$2,"state","MS"))=0,,IF(GETPIVOTDATA("Total-New",'Distrib pivot table'!$C$2,"state","MS","group","1b3")/GETPIVOTDATA("Total-New",'Distrib pivot table'!$C$2,"state","MS")&gt;0.0005,GETPIVOTDATA("Total-New",'Distrib pivot table'!$C$2,"state","MS","group","1b3")/GETPIVOTDATA("Total-New",'Distrib pivot table'!$C$2,"state","MS"),"*"))</f>
        <v>1.871826522175387E-2</v>
      </c>
      <c r="N12" s="418">
        <f>IF((GETPIVOTDATA("Total-New",'Distrib pivot table'!$C$2,"state","NC","group","1b3")/GETPIVOTDATA("Total-New",'Distrib pivot table'!$C$2,"state","NC"))=0,,IF(GETPIVOTDATA("Total-New",'Distrib pivot table'!$C$2,"state","NC","group","1b3")/GETPIVOTDATA("Total-New",'Distrib pivot table'!$C$2,"state","NC")&gt;0.0005,GETPIVOTDATA("Total-New",'Distrib pivot table'!$C$2,"state","NC","group","1b3")/GETPIVOTDATA("Total-New",'Distrib pivot table'!$C$2,"state","NC"),"*"))</f>
        <v>6.893555667367407E-3</v>
      </c>
      <c r="O12" s="418">
        <f>IF((GETPIVOTDATA("Total-New",'Distrib pivot table'!$C$2,"state","OK","group","1b3")/GETPIVOTDATA("Total-New",'Distrib pivot table'!$C$2,"state","OK"))=0,,IF(GETPIVOTDATA("Total-New",'Distrib pivot table'!$C$2,"state","OK","group","1b3")/GETPIVOTDATA("Total-New",'Distrib pivot table'!$C$2,"state","OK")&gt;0.0005,GETPIVOTDATA("Total-New",'Distrib pivot table'!$C$2,"state","OK","group","1b3")/GETPIVOTDATA("Total-New",'Distrib pivot table'!$C$2,"state","OK"),"*"))</f>
        <v>0</v>
      </c>
      <c r="P12" s="418">
        <f>IF((GETPIVOTDATA("Total-New",'Distrib pivot table'!$C$2,"state","SC","group","1b3")/GETPIVOTDATA("Total-New",'Distrib pivot table'!$C$2,"state","SC"))=0,,IF(GETPIVOTDATA("Total-New",'Distrib pivot table'!$C$2,"state","SC","group","1b3")/GETPIVOTDATA("Total-New",'Distrib pivot table'!$C$2,"state","SC")&gt;0.0005,GETPIVOTDATA("Total-New",'Distrib pivot table'!$C$2,"state","SC","group","1b3")/GETPIVOTDATA("Total-New",'Distrib pivot table'!$C$2,"state","SC"),"*"))</f>
        <v>1.1436542626421095E-2</v>
      </c>
      <c r="Q12" s="418">
        <f>IF((GETPIVOTDATA("Total-New",'Distrib pivot table'!$C$2,"state","TN","group","1b3")/GETPIVOTDATA("Total-New",'Distrib pivot table'!$C$2,"state","TN"))=0,,IF(GETPIVOTDATA("Total-New",'Distrib pivot table'!$C$2,"state","TN","group","1b3")/GETPIVOTDATA("Total-New",'Distrib pivot table'!$C$2,"state","TN")&gt;0.0005,GETPIVOTDATA("Total-New",'Distrib pivot table'!$C$2,"state","TN","group","1b3")/GETPIVOTDATA("Total-New",'Distrib pivot table'!$C$2,"state","TN"),"*"))</f>
        <v>1.2574778689358919E-2</v>
      </c>
      <c r="R12" s="418">
        <f>IF((GETPIVOTDATA("Total-New",'Distrib pivot table'!$C$2,"state","TX","group","1b3")/GETPIVOTDATA("Total-New",'Distrib pivot table'!$C$2,"state","TX"))=0,,IF(GETPIVOTDATA("Total-New",'Distrib pivot table'!$C$2,"state","TX","group","1b3")/GETPIVOTDATA("Total-New",'Distrib pivot table'!$C$2,"state","TX")&gt;0.0005,GETPIVOTDATA("Total-New",'Distrib pivot table'!$C$2,"state","TX","group","1b3")/GETPIVOTDATA("Total-New",'Distrib pivot table'!$C$2,"state","TX"),"*"))</f>
        <v>4.754449466263494E-3</v>
      </c>
      <c r="S12" s="418">
        <f>IF((GETPIVOTDATA("Total-New",'Distrib pivot table'!$C$2,"state","VA","group","1b3")/GETPIVOTDATA("Total-New",'Distrib pivot table'!$C$2,"state","VA"))=0,,IF(GETPIVOTDATA("Total-New",'Distrib pivot table'!$C$2,"state","VA","group","1b3")/GETPIVOTDATA("Total-New",'Distrib pivot table'!$C$2,"state","VA")&gt;0.0005,GETPIVOTDATA("Total-New",'Distrib pivot table'!$C$2,"state","VA","group","1b3")/GETPIVOTDATA("Total-New",'Distrib pivot table'!$C$2,"state","VA"),"*"))</f>
        <v>7.8914787611951802E-3</v>
      </c>
      <c r="T12" s="418">
        <f>IF((GETPIVOTDATA("Total-New",'Distrib pivot table'!$C$2,"state","WV","group","1b3")/GETPIVOTDATA("Total-New",'Distrib pivot table'!$C$2,"state","WV"))=0,,IF(GETPIVOTDATA("Total-New",'Distrib pivot table'!$C$2,"state","WV","group","1b3")/GETPIVOTDATA("Total-New",'Distrib pivot table'!$C$2,"state","WV")&gt;0.0005,GETPIVOTDATA("Total-New",'Distrib pivot table'!$C$2,"state","WV","group","1b3")/GETPIVOTDATA("Total-New",'Distrib pivot table'!$C$2,"state","WV"),"*"))</f>
        <v>1.5056655261193659E-2</v>
      </c>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row>
    <row r="13" spans="1:50" ht="12.6" customHeight="1" x14ac:dyDescent="0.2">
      <c r="A13" s="1539"/>
      <c r="B13" s="127" t="s">
        <v>256</v>
      </c>
      <c r="C13" s="371" t="s">
        <v>269</v>
      </c>
      <c r="D13" s="418">
        <f>IF(GETPIVOTDATA("Total-New",'Distrib pivot table'!$C$2,"group","1b4")/GETPIVOTDATA("Total-New",'Distrib pivot table'!$C$2)=0,,IF(GETPIVOTDATA("Total-New",'Distrib pivot table'!$C$2,"group","1b4")/GETPIVOTDATA("Total-New",'Distrib pivot table'!$C$2)&gt;0.0005,GETPIVOTDATA("Total-New",'Distrib pivot table'!$C$2,"group","1b4")/GETPIVOTDATA("Total-New",'Distrib pivot table'!$C$2),"*"))</f>
        <v>5.4181448562386969E-3</v>
      </c>
      <c r="E13" s="418">
        <f>IF((GETPIVOTDATA("Total-New",'Distrib pivot table'!$C$2,"state","AL","group","1b4")/GETPIVOTDATA("Total-New",'Distrib pivot table'!$C$2,"state","AL"))=0,,IF(GETPIVOTDATA("Total-New",'Distrib pivot table'!$C$2,"state","AL","group","1b4")/GETPIVOTDATA("Total-New",'Distrib pivot table'!$C$2,"state","AL")&gt;0.0005,GETPIVOTDATA("Total-New",'Distrib pivot table'!$C$2,"state","AL","group","1b4")/GETPIVOTDATA("Total-New",'Distrib pivot table'!$C$2,"state","AL"),"*"))</f>
        <v>9.387579554257796E-3</v>
      </c>
      <c r="F13" s="418">
        <f>IF((GETPIVOTDATA("Total-New",'Distrib pivot table'!$C$2,"state","AR","group","1b4")/GETPIVOTDATA("Total-New",'Distrib pivot table'!$C$2,"state","AR"))=0,,IF(GETPIVOTDATA("Total-New",'Distrib pivot table'!$C$2,"state","AR","group","1b4")/GETPIVOTDATA("Total-New",'Distrib pivot table'!$C$2,"state","AR")&gt;0.0005,GETPIVOTDATA("Total-New",'Distrib pivot table'!$C$2,"state","AR","group","1b4")/GETPIVOTDATA("Total-New",'Distrib pivot table'!$C$2,"state","AR"),"*"))</f>
        <v>0</v>
      </c>
      <c r="G13" s="418">
        <f>IF((GETPIVOTDATA("Total-New",'Distrib pivot table'!$C$2,"state","DE","group","1b4")/GETPIVOTDATA("Total-New",'Distrib pivot table'!$C$2,"state","DE"))=0,,IF(GETPIVOTDATA("Total-New",'Distrib pivot table'!$C$2,"state","DE","group","1b4")/GETPIVOTDATA("Total-New",'Distrib pivot table'!$C$2,"state","DE")&gt;0.0005,GETPIVOTDATA("Total-New",'Distrib pivot table'!$C$2,"state","DE","group","1b4")/GETPIVOTDATA("Total-New",'Distrib pivot table'!$C$2,"state","DE"),"*"))</f>
        <v>7.6675810478073387E-4</v>
      </c>
      <c r="H13" s="418">
        <f>IF((GETPIVOTDATA("Total-New",'Distrib pivot table'!$C$2,"state","FL","group","1b4")/GETPIVOTDATA("Total-New",'Distrib pivot table'!$C$2,"state","FL"))=0,,IF(GETPIVOTDATA("Total-New",'Distrib pivot table'!$C$2,"state","FL","group","1b4")/GETPIVOTDATA("Total-New",'Distrib pivot table'!$C$2,"state","FL")&gt;0.0005,GETPIVOTDATA("Total-New",'Distrib pivot table'!$C$2,"state","FL","group","1b4")/GETPIVOTDATA("Total-New",'Distrib pivot table'!$C$2,"state","FL"),"*"))</f>
        <v>0</v>
      </c>
      <c r="I13" s="418">
        <f>IF((GETPIVOTDATA("Total-New",'Distrib pivot table'!$C$2,"state","GA","group","1b4")/GETPIVOTDATA("Total-New",'Distrib pivot table'!$C$2,"state","GA"))=0,,IF(GETPIVOTDATA("Total-New",'Distrib pivot table'!$C$2,"state","GA","group","1b4")/GETPIVOTDATA("Total-New",'Distrib pivot table'!$C$2,"state","GA")&gt;0.0005,GETPIVOTDATA("Total-New",'Distrib pivot table'!$C$2,"state","GA","group","1b4")/GETPIVOTDATA("Total-New",'Distrib pivot table'!$C$2,"state","GA"),"*"))</f>
        <v>7.2985945581446818E-3</v>
      </c>
      <c r="J13" s="418">
        <f>IF((GETPIVOTDATA("Total-New",'Distrib pivot table'!$C$2,"state","KY","group","1b4")/GETPIVOTDATA("Total-New",'Distrib pivot table'!$C$2,"state","KY"))=0,,IF(GETPIVOTDATA("Total-New",'Distrib pivot table'!$C$2,"state","KY","group","1b4")/GETPIVOTDATA("Total-New",'Distrib pivot table'!$C$2,"state","KY")&gt;0.0005,GETPIVOTDATA("Total-New",'Distrib pivot table'!$C$2,"state","KY","group","1b4")/GETPIVOTDATA("Total-New",'Distrib pivot table'!$C$2,"state","KY"),"*"))</f>
        <v>0</v>
      </c>
      <c r="K13" s="418">
        <f>IF((GETPIVOTDATA("Total-New",'Distrib pivot table'!$C$2,"state","LA","group","1b4")/GETPIVOTDATA("Total-New",'Distrib pivot table'!$C$2,"state","LA"))=0,,IF(GETPIVOTDATA("Total-New",'Distrib pivot table'!$C$2,"state","LA","group","1b4")/GETPIVOTDATA("Total-New",'Distrib pivot table'!$C$2,"state","LA")&gt;0.0005,GETPIVOTDATA("Total-New",'Distrib pivot table'!$C$2,"state","LA","group","1b4")/GETPIVOTDATA("Total-New",'Distrib pivot table'!$C$2,"state","LA"),"*"))</f>
        <v>1.4062809091384982E-2</v>
      </c>
      <c r="L13" s="418">
        <f>IF((GETPIVOTDATA("Total-New",'Distrib pivot table'!$C$2,"state","MD","group","1b4")/GETPIVOTDATA("Total-New",'Distrib pivot table'!$C$2,"state","MD"))=0,,IF(GETPIVOTDATA("Total-New",'Distrib pivot table'!$C$2,"state","MD","group","1b4")/GETPIVOTDATA("Total-New",'Distrib pivot table'!$C$2,"state","MD")&gt;0.0005,GETPIVOTDATA("Total-New",'Distrib pivot table'!$C$2,"state","MD","group","1b4")/GETPIVOTDATA("Total-New",'Distrib pivot table'!$C$2,"state","MD"),"*"))</f>
        <v>4.655429914199264E-3</v>
      </c>
      <c r="M13" s="418">
        <f>IF((GETPIVOTDATA("Total-New",'Distrib pivot table'!$C$2,"state","MS","group","1b4")/GETPIVOTDATA("Total-New",'Distrib pivot table'!$C$2,"state","MS"))=0,,IF(GETPIVOTDATA("Total-New",'Distrib pivot table'!$C$2,"state","MS","group","1b4")/GETPIVOTDATA("Total-New",'Distrib pivot table'!$C$2,"state","MS")&gt;0.0005,GETPIVOTDATA("Total-New",'Distrib pivot table'!$C$2,"state","MS","group","1b4")/GETPIVOTDATA("Total-New",'Distrib pivot table'!$C$2,"state","MS"),"*"))</f>
        <v>1.2127961790605398E-2</v>
      </c>
      <c r="N13" s="418">
        <f>IF((GETPIVOTDATA("Total-New",'Distrib pivot table'!$C$2,"state","NC","group","1b4")/GETPIVOTDATA("Total-New",'Distrib pivot table'!$C$2,"state","NC"))=0,,IF(GETPIVOTDATA("Total-New",'Distrib pivot table'!$C$2,"state","NC","group","1b4")/GETPIVOTDATA("Total-New",'Distrib pivot table'!$C$2,"state","NC")&gt;0.0005,GETPIVOTDATA("Total-New",'Distrib pivot table'!$C$2,"state","NC","group","1b4")/GETPIVOTDATA("Total-New",'Distrib pivot table'!$C$2,"state","NC"),"*"))</f>
        <v>9.5195418375506012E-3</v>
      </c>
      <c r="O13" s="418">
        <f>IF((GETPIVOTDATA("Total-New",'Distrib pivot table'!$C$2,"state","OK","group","1b4")/GETPIVOTDATA("Total-New",'Distrib pivot table'!$C$2,"state","OK"))=0,,IF(GETPIVOTDATA("Total-New",'Distrib pivot table'!$C$2,"state","OK","group","1b4")/GETPIVOTDATA("Total-New",'Distrib pivot table'!$C$2,"state","OK")&gt;0.0005,GETPIVOTDATA("Total-New",'Distrib pivot table'!$C$2,"state","OK","group","1b4")/GETPIVOTDATA("Total-New",'Distrib pivot table'!$C$2,"state","OK"),"*"))</f>
        <v>0</v>
      </c>
      <c r="P13" s="418">
        <f>IF((GETPIVOTDATA("Total-New",'Distrib pivot table'!$C$2,"state","SC","group","1b4")/GETPIVOTDATA("Total-New",'Distrib pivot table'!$C$2,"state","SC"))=0,,IF(GETPIVOTDATA("Total-New",'Distrib pivot table'!$C$2,"state","SC","group","1b4")/GETPIVOTDATA("Total-New",'Distrib pivot table'!$C$2,"state","SC")&gt;0.0005,GETPIVOTDATA("Total-New",'Distrib pivot table'!$C$2,"state","SC","group","1b4")/GETPIVOTDATA("Total-New",'Distrib pivot table'!$C$2,"state","SC"),"*"))</f>
        <v>0</v>
      </c>
      <c r="Q13" s="418">
        <f>IF((GETPIVOTDATA("Total-New",'Distrib pivot table'!$C$2,"state","TN","group","1b4")/GETPIVOTDATA("Total-New",'Distrib pivot table'!$C$2,"state","TN"))=0,,IF(GETPIVOTDATA("Total-New",'Distrib pivot table'!$C$2,"state","TN","group","1b4")/GETPIVOTDATA("Total-New",'Distrib pivot table'!$C$2,"state","TN")&gt;0.0005,GETPIVOTDATA("Total-New",'Distrib pivot table'!$C$2,"state","TN","group","1b4")/GETPIVOTDATA("Total-New",'Distrib pivot table'!$C$2,"state","TN"),"*"))</f>
        <v>8.6655996800097061E-3</v>
      </c>
      <c r="R13" s="418">
        <f>IF((GETPIVOTDATA("Total-New",'Distrib pivot table'!$C$2,"state","TX","group","1b4")/GETPIVOTDATA("Total-New",'Distrib pivot table'!$C$2,"state","TX"))=0,,IF(GETPIVOTDATA("Total-New",'Distrib pivot table'!$C$2,"state","TX","group","1b4")/GETPIVOTDATA("Total-New",'Distrib pivot table'!$C$2,"state","TX")&gt;0.0005,GETPIVOTDATA("Total-New",'Distrib pivot table'!$C$2,"state","TX","group","1b4")/GETPIVOTDATA("Total-New",'Distrib pivot table'!$C$2,"state","TX"),"*"))</f>
        <v>5.2827391602672273E-3</v>
      </c>
      <c r="S13" s="418">
        <f>IF((GETPIVOTDATA("Total-New",'Distrib pivot table'!$C$2,"state","VA","group","1b4")/GETPIVOTDATA("Total-New",'Distrib pivot table'!$C$2,"state","VA"))=0,,IF(GETPIVOTDATA("Total-New",'Distrib pivot table'!$C$2,"state","VA","group","1b4")/GETPIVOTDATA("Total-New",'Distrib pivot table'!$C$2,"state","VA")&gt;0.0005,GETPIVOTDATA("Total-New",'Distrib pivot table'!$C$2,"state","VA","group","1b4")/GETPIVOTDATA("Total-New",'Distrib pivot table'!$C$2,"state","VA"),"*"))</f>
        <v>6.7654489543003092E-3</v>
      </c>
      <c r="T13" s="418">
        <f>IF((GETPIVOTDATA("Total-New",'Distrib pivot table'!$C$2,"state","WV","group","1b4")/GETPIVOTDATA("Total-New",'Distrib pivot table'!$C$2,"state","WV"))=0,,IF(GETPIVOTDATA("Total-New",'Distrib pivot table'!$C$2,"state","WV","group","1b4")/GETPIVOTDATA("Total-New",'Distrib pivot table'!$C$2,"state","WV")&gt;0.0005,GETPIVOTDATA("Total-New",'Distrib pivot table'!$C$2,"state","WV","group","1b4")/GETPIVOTDATA("Total-New",'Distrib pivot table'!$C$2,"state","WV"),"*"))</f>
        <v>7.6563927743314442E-3</v>
      </c>
      <c r="U13" s="3"/>
      <c r="V13" s="3"/>
      <c r="W13" s="3"/>
      <c r="X13" s="3"/>
      <c r="Y13" s="3"/>
      <c r="Z13" s="3"/>
      <c r="AA13" s="3"/>
      <c r="AB13" s="3"/>
      <c r="AC13" s="3"/>
      <c r="AD13" s="3"/>
      <c r="AE13" s="3"/>
      <c r="AF13" s="3"/>
      <c r="AG13" s="3"/>
      <c r="AH13" s="3"/>
      <c r="AI13" s="3"/>
      <c r="AJ13" s="3"/>
      <c r="AK13" s="3"/>
      <c r="AL13" s="3"/>
      <c r="AM13" s="3"/>
      <c r="AN13" s="3"/>
      <c r="AO13" s="3"/>
      <c r="AP13" s="3"/>
      <c r="AQ13" s="3"/>
      <c r="AR13" s="3"/>
      <c r="AS13" s="3"/>
      <c r="AT13" s="3"/>
      <c r="AU13" s="3"/>
      <c r="AV13" s="3"/>
      <c r="AW13" s="3"/>
      <c r="AX13" s="3"/>
    </row>
    <row r="14" spans="1:50" ht="12.6" customHeight="1" x14ac:dyDescent="0.2">
      <c r="A14" s="1539"/>
      <c r="B14" s="127" t="s">
        <v>308</v>
      </c>
      <c r="C14" s="371" t="s">
        <v>270</v>
      </c>
      <c r="D14" s="418">
        <f>IF(GETPIVOTDATA("Total-New",'Distrib pivot table'!$C$2,"group","1b5")/GETPIVOTDATA("Total-New",'Distrib pivot table'!$C$2)=0,,IF(GETPIVOTDATA("Total-New",'Distrib pivot table'!$C$2,"group","1b5")/GETPIVOTDATA("Total-New",'Distrib pivot table'!$C$2)&gt;0.0005,GETPIVOTDATA("Total-New",'Distrib pivot table'!$C$2,"group","1b5")/GETPIVOTDATA("Total-New",'Distrib pivot table'!$C$2),"*"))</f>
        <v>5.0748373998731771E-4</v>
      </c>
      <c r="E14" s="418">
        <f>IF((GETPIVOTDATA("Total-New",'Distrib pivot table'!$C$2,"state","AL","group","1b5")/GETPIVOTDATA("Total-New",'Distrib pivot table'!$C$2,"state","AL"))=0,,IF(GETPIVOTDATA("Total-New",'Distrib pivot table'!$C$2,"state","AL","group","1b5")/GETPIVOTDATA("Total-New",'Distrib pivot table'!$C$2,"state","AL")&gt;0.0005,GETPIVOTDATA("Total-New",'Distrib pivot table'!$C$2,"state","AL","group","1b5")/GETPIVOTDATA("Total-New",'Distrib pivot table'!$C$2,"state","AL"),"*"))</f>
        <v>0</v>
      </c>
      <c r="F14" s="418">
        <f>IF((GETPIVOTDATA("Total-New",'Distrib pivot table'!$C$2,"state","AR","group","1b5")/GETPIVOTDATA("Total-New",'Distrib pivot table'!$C$2,"state","AR"))=0,,IF(GETPIVOTDATA("Total-New",'Distrib pivot table'!$C$2,"state","AR","group","1b5")/GETPIVOTDATA("Total-New",'Distrib pivot table'!$C$2,"state","AR")&gt;0.0005,GETPIVOTDATA("Total-New",'Distrib pivot table'!$C$2,"state","AR","group","1b5")/GETPIVOTDATA("Total-New",'Distrib pivot table'!$C$2,"state","AR"),"*"))</f>
        <v>0</v>
      </c>
      <c r="G14" s="418">
        <f>IF((GETPIVOTDATA("Total-New",'Distrib pivot table'!$C$2,"state","DE","group","1b5")/GETPIVOTDATA("Total-New",'Distrib pivot table'!$C$2,"state","DE"))=0,,IF(GETPIVOTDATA("Total-New",'Distrib pivot table'!$C$2,"state","DE","group","1b5")/GETPIVOTDATA("Total-New",'Distrib pivot table'!$C$2,"state","DE")&gt;0.0005,GETPIVOTDATA("Total-New",'Distrib pivot table'!$C$2,"state","DE","group","1b5")/GETPIVOTDATA("Total-New",'Distrib pivot table'!$C$2,"state","DE"),"*"))</f>
        <v>0</v>
      </c>
      <c r="H14" s="418">
        <f>IF((GETPIVOTDATA("Total-New",'Distrib pivot table'!$C$2,"state","FL","group","1b5")/GETPIVOTDATA("Total-New",'Distrib pivot table'!$C$2,"state","FL"))=0,,IF(GETPIVOTDATA("Total-New",'Distrib pivot table'!$C$2,"state","FL","group","1b5")/GETPIVOTDATA("Total-New",'Distrib pivot table'!$C$2,"state","FL")&gt;0.0005,GETPIVOTDATA("Total-New",'Distrib pivot table'!$C$2,"state","FL","group","1b5")/GETPIVOTDATA("Total-New",'Distrib pivot table'!$C$2,"state","FL"),"*"))</f>
        <v>0</v>
      </c>
      <c r="I14" s="418">
        <f>IF((GETPIVOTDATA("Total-New",'Distrib pivot table'!$C$2,"state","GA","group","1b5")/GETPIVOTDATA("Total-New",'Distrib pivot table'!$C$2,"state","GA"))=0,,IF(GETPIVOTDATA("Total-New",'Distrib pivot table'!$C$2,"state","GA","group","1b5")/GETPIVOTDATA("Total-New",'Distrib pivot table'!$C$2,"state","GA")&gt;0.0005,GETPIVOTDATA("Total-New",'Distrib pivot table'!$C$2,"state","GA","group","1b5")/GETPIVOTDATA("Total-New",'Distrib pivot table'!$C$2,"state","GA"),"*"))</f>
        <v>1.1576734993585058E-3</v>
      </c>
      <c r="J14" s="418">
        <f>IF((GETPIVOTDATA("Total-New",'Distrib pivot table'!$C$2,"state","KY","group","1b5")/GETPIVOTDATA("Total-New",'Distrib pivot table'!$C$2,"state","KY"))=0,,IF(GETPIVOTDATA("Total-New",'Distrib pivot table'!$C$2,"state","KY","group","1b5")/GETPIVOTDATA("Total-New",'Distrib pivot table'!$C$2,"state","KY")&gt;0.0005,GETPIVOTDATA("Total-New",'Distrib pivot table'!$C$2,"state","KY","group","1b5")/GETPIVOTDATA("Total-New",'Distrib pivot table'!$C$2,"state","KY"),"*"))</f>
        <v>0</v>
      </c>
      <c r="K14" s="418">
        <f>IF((GETPIVOTDATA("Total-New",'Distrib pivot table'!$C$2,"state","LA","group","1b5")/GETPIVOTDATA("Total-New",'Distrib pivot table'!$C$2,"state","LA"))=0,,IF(GETPIVOTDATA("Total-New",'Distrib pivot table'!$C$2,"state","LA","group","1b5")/GETPIVOTDATA("Total-New",'Distrib pivot table'!$C$2,"state","LA")&gt;0.0005,GETPIVOTDATA("Total-New",'Distrib pivot table'!$C$2,"state","LA","group","1b5")/GETPIVOTDATA("Total-New",'Distrib pivot table'!$C$2,"state","LA"),"*"))</f>
        <v>0</v>
      </c>
      <c r="L14" s="418">
        <f>IF((GETPIVOTDATA("Total-New",'Distrib pivot table'!$C$2,"state","MD","group","1b5")/GETPIVOTDATA("Total-New",'Distrib pivot table'!$C$2,"state","MD"))=0,,IF(GETPIVOTDATA("Total-New",'Distrib pivot table'!$C$2,"state","MD","group","1b5")/GETPIVOTDATA("Total-New",'Distrib pivot table'!$C$2,"state","MD")&gt;0.0005,GETPIVOTDATA("Total-New",'Distrib pivot table'!$C$2,"state","MD","group","1b5")/GETPIVOTDATA("Total-New",'Distrib pivot table'!$C$2,"state","MD"),"*"))</f>
        <v>0</v>
      </c>
      <c r="M14" s="418">
        <f>IF((GETPIVOTDATA("Total-New",'Distrib pivot table'!$C$2,"state","MS","group","1b5")/GETPIVOTDATA("Total-New",'Distrib pivot table'!$C$2,"state","MS"))=0,,IF(GETPIVOTDATA("Total-New",'Distrib pivot table'!$C$2,"state","MS","group","1b5")/GETPIVOTDATA("Total-New",'Distrib pivot table'!$C$2,"state","MS")&gt;0.0005,GETPIVOTDATA("Total-New",'Distrib pivot table'!$C$2,"state","MS","group","1b5")/GETPIVOTDATA("Total-New",'Distrib pivot table'!$C$2,"state","MS"),"*"))</f>
        <v>0</v>
      </c>
      <c r="N14" s="418">
        <f>IF((GETPIVOTDATA("Total-New",'Distrib pivot table'!$C$2,"state","NC","group","1b5")/GETPIVOTDATA("Total-New",'Distrib pivot table'!$C$2,"state","NC"))=0,,IF(GETPIVOTDATA("Total-New",'Distrib pivot table'!$C$2,"state","NC","group","1b5")/GETPIVOTDATA("Total-New",'Distrib pivot table'!$C$2,"state","NC")&gt;0.0005,GETPIVOTDATA("Total-New",'Distrib pivot table'!$C$2,"state","NC","group","1b5")/GETPIVOTDATA("Total-New",'Distrib pivot table'!$C$2,"state","NC"),"*"))</f>
        <v>0</v>
      </c>
      <c r="O14" s="418">
        <f>IF((GETPIVOTDATA("Total-New",'Distrib pivot table'!$C$2,"state","OK","group","1b5")/GETPIVOTDATA("Total-New",'Distrib pivot table'!$C$2,"state","OK"))=0,,IF(GETPIVOTDATA("Total-New",'Distrib pivot table'!$C$2,"state","OK","group","1b5")/GETPIVOTDATA("Total-New",'Distrib pivot table'!$C$2,"state","OK")&gt;0.0005,GETPIVOTDATA("Total-New",'Distrib pivot table'!$C$2,"state","OK","group","1b5")/GETPIVOTDATA("Total-New",'Distrib pivot table'!$C$2,"state","OK"),"*"))</f>
        <v>0</v>
      </c>
      <c r="P14" s="418">
        <f>IF((GETPIVOTDATA("Total-New",'Distrib pivot table'!$C$2,"state","SC","group","1b5")/GETPIVOTDATA("Total-New",'Distrib pivot table'!$C$2,"state","SC"))=0,,IF(GETPIVOTDATA("Total-New",'Distrib pivot table'!$C$2,"state","SC","group","1b5")/GETPIVOTDATA("Total-New",'Distrib pivot table'!$C$2,"state","SC")&gt;0.0005,GETPIVOTDATA("Total-New",'Distrib pivot table'!$C$2,"state","SC","group","1b5")/GETPIVOTDATA("Total-New",'Distrib pivot table'!$C$2,"state","SC"),"*"))</f>
        <v>0</v>
      </c>
      <c r="Q14" s="418">
        <f>IF((GETPIVOTDATA("Total-New",'Distrib pivot table'!$C$2,"state","TN","group","1b5")/GETPIVOTDATA("Total-New",'Distrib pivot table'!$C$2,"state","TN"))=0,,IF(GETPIVOTDATA("Total-New",'Distrib pivot table'!$C$2,"state","TN","group","1b5")/GETPIVOTDATA("Total-New",'Distrib pivot table'!$C$2,"state","TN")&gt;0.0005,GETPIVOTDATA("Total-New",'Distrib pivot table'!$C$2,"state","TN","group","1b5")/GETPIVOTDATA("Total-New",'Distrib pivot table'!$C$2,"state","TN"),"*"))</f>
        <v>0</v>
      </c>
      <c r="R14" s="418">
        <f>IF((GETPIVOTDATA("Total-New",'Distrib pivot table'!$C$2,"state","TX","group","1b5")/GETPIVOTDATA("Total-New",'Distrib pivot table'!$C$2,"state","TX"))=0,,IF(GETPIVOTDATA("Total-New",'Distrib pivot table'!$C$2,"state","TX","group","1b5")/GETPIVOTDATA("Total-New",'Distrib pivot table'!$C$2,"state","TX")&gt;0.0005,GETPIVOTDATA("Total-New",'Distrib pivot table'!$C$2,"state","TX","group","1b5")/GETPIVOTDATA("Total-New",'Distrib pivot table'!$C$2,"state","TX"),"*"))</f>
        <v>1.6647739959430809E-3</v>
      </c>
      <c r="S14" s="418">
        <f>IF((GETPIVOTDATA("Total-New",'Distrib pivot table'!$C$2,"state","VA","group","1b5")/GETPIVOTDATA("Total-New",'Distrib pivot table'!$C$2,"state","VA"))=0,,IF(GETPIVOTDATA("Total-New",'Distrib pivot table'!$C$2,"state","VA","group","1b5")/GETPIVOTDATA("Total-New",'Distrib pivot table'!$C$2,"state","VA")&gt;0.0005,GETPIVOTDATA("Total-New",'Distrib pivot table'!$C$2,"state","VA","group","1b5")/GETPIVOTDATA("Total-New",'Distrib pivot table'!$C$2,"state","VA"),"*"))</f>
        <v>0</v>
      </c>
      <c r="T14" s="418">
        <f>IF((GETPIVOTDATA("Total-New",'Distrib pivot table'!$C$2,"state","WV","group","1b5")/GETPIVOTDATA("Total-New",'Distrib pivot table'!$C$2,"state","WV"))=0,,IF(GETPIVOTDATA("Total-New",'Distrib pivot table'!$C$2,"state","WV","group","1b5")/GETPIVOTDATA("Total-New",'Distrib pivot table'!$C$2,"state","WV")&gt;0.0005,GETPIVOTDATA("Total-New",'Distrib pivot table'!$C$2,"state","WV","group","1b5")/GETPIVOTDATA("Total-New",'Distrib pivot table'!$C$2,"state","WV"),"*"))</f>
        <v>3.1190949665921806E-3</v>
      </c>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row>
    <row r="15" spans="1:50" ht="12.6" customHeight="1" x14ac:dyDescent="0.2">
      <c r="A15" s="1539"/>
      <c r="B15" s="127" t="s">
        <v>309</v>
      </c>
      <c r="C15" s="371" t="s">
        <v>271</v>
      </c>
      <c r="D15" s="418">
        <f>IF(GETPIVOTDATA("Total-New",'Distrib pivot table'!$C$2,"group","1b6")/GETPIVOTDATA("Total-New",'Distrib pivot table'!$C$2)=0,,IF(GETPIVOTDATA("Total-New",'Distrib pivot table'!$C$2,"group","1b6")/GETPIVOTDATA("Total-New",'Distrib pivot table'!$C$2)&gt;0.0005,GETPIVOTDATA("Total-New",'Distrib pivot table'!$C$2,"group","1b6")/GETPIVOTDATA("Total-New",'Distrib pivot table'!$C$2),"*"))</f>
        <v>1.6481734660902276E-3</v>
      </c>
      <c r="E15" s="418">
        <f>IF((GETPIVOTDATA("Total-New",'Distrib pivot table'!$C$2,"state","AL","group","1b6")/GETPIVOTDATA("Total-New",'Distrib pivot table'!$C$2,"state","AL"))=0,,IF(GETPIVOTDATA("Total-New",'Distrib pivot table'!$C$2,"state","AL","group","1b6")/GETPIVOTDATA("Total-New",'Distrib pivot table'!$C$2,"state","AL")&gt;0.0005,GETPIVOTDATA("Total-New",'Distrib pivot table'!$C$2,"state","AL","group","1b6")/GETPIVOTDATA("Total-New",'Distrib pivot table'!$C$2,"state","AL"),"*"))</f>
        <v>0</v>
      </c>
      <c r="F15" s="418">
        <f>IF((GETPIVOTDATA("Total-New",'Distrib pivot table'!$C$2,"state","AR","group","1b6")/GETPIVOTDATA("Total-New",'Distrib pivot table'!$C$2,"state","AR"))=0,,IF(GETPIVOTDATA("Total-New",'Distrib pivot table'!$C$2,"state","AR","group","1b6")/GETPIVOTDATA("Total-New",'Distrib pivot table'!$C$2,"state","AR")&gt;0.0005,GETPIVOTDATA("Total-New",'Distrib pivot table'!$C$2,"state","AR","group","1b6")/GETPIVOTDATA("Total-New",'Distrib pivot table'!$C$2,"state","AR"),"*"))</f>
        <v>0</v>
      </c>
      <c r="G15" s="418">
        <f>IF((GETPIVOTDATA("Total-New",'Distrib pivot table'!$C$2,"state","DE","group","1b6")/GETPIVOTDATA("Total-New",'Distrib pivot table'!$C$2,"state","DE"))=0,,IF(GETPIVOTDATA("Total-New",'Distrib pivot table'!$C$2,"state","DE","group","1b6")/GETPIVOTDATA("Total-New",'Distrib pivot table'!$C$2,"state","DE")&gt;0.0005,GETPIVOTDATA("Total-New",'Distrib pivot table'!$C$2,"state","DE","group","1b6")/GETPIVOTDATA("Total-New",'Distrib pivot table'!$C$2,"state","DE"),"*"))</f>
        <v>4.483007216368429E-3</v>
      </c>
      <c r="H15" s="418">
        <f>IF((GETPIVOTDATA("Total-New",'Distrib pivot table'!$C$2,"state","FL","group","1b6")/GETPIVOTDATA("Total-New",'Distrib pivot table'!$C$2,"state","FL"))=0,,IF(GETPIVOTDATA("Total-New",'Distrib pivot table'!$C$2,"state","FL","group","1b6")/GETPIVOTDATA("Total-New",'Distrib pivot table'!$C$2,"state","FL")&gt;0.0005,GETPIVOTDATA("Total-New",'Distrib pivot table'!$C$2,"state","FL","group","1b6")/GETPIVOTDATA("Total-New",'Distrib pivot table'!$C$2,"state","FL"),"*"))</f>
        <v>8.2131081755093245E-4</v>
      </c>
      <c r="I15" s="418">
        <f>IF((GETPIVOTDATA("Total-New",'Distrib pivot table'!$C$2,"state","GA","group","1b6")/GETPIVOTDATA("Total-New",'Distrib pivot table'!$C$2,"state","GA"))=0,,IF(GETPIVOTDATA("Total-New",'Distrib pivot table'!$C$2,"state","GA","group","1b6")/GETPIVOTDATA("Total-New",'Distrib pivot table'!$C$2,"state","GA")&gt;0.0005,GETPIVOTDATA("Total-New",'Distrib pivot table'!$C$2,"state","GA","group","1b6")/GETPIVOTDATA("Total-New",'Distrib pivot table'!$C$2,"state","GA"),"*"))</f>
        <v>2.1387529643213869E-3</v>
      </c>
      <c r="J15" s="418">
        <f>IF((GETPIVOTDATA("Total-New",'Distrib pivot table'!$C$2,"state","KY","group","1b6")/GETPIVOTDATA("Total-New",'Distrib pivot table'!$C$2,"state","KY"))=0,,IF(GETPIVOTDATA("Total-New",'Distrib pivot table'!$C$2,"state","KY","group","1b6")/GETPIVOTDATA("Total-New",'Distrib pivot table'!$C$2,"state","KY")&gt;0.0005,GETPIVOTDATA("Total-New",'Distrib pivot table'!$C$2,"state","KY","group","1b6")/GETPIVOTDATA("Total-New",'Distrib pivot table'!$C$2,"state","KY"),"*"))</f>
        <v>2.1990503354133851E-3</v>
      </c>
      <c r="K15" s="418">
        <f>IF((GETPIVOTDATA("Total-New",'Distrib pivot table'!$C$2,"state","LA","group","1b6")/GETPIVOTDATA("Total-New",'Distrib pivot table'!$C$2,"state","LA"))=0,,IF(GETPIVOTDATA("Total-New",'Distrib pivot table'!$C$2,"state","LA","group","1b6")/GETPIVOTDATA("Total-New",'Distrib pivot table'!$C$2,"state","LA")&gt;0.0005,GETPIVOTDATA("Total-New",'Distrib pivot table'!$C$2,"state","LA","group","1b6")/GETPIVOTDATA("Total-New",'Distrib pivot table'!$C$2,"state","LA"),"*"))</f>
        <v>0</v>
      </c>
      <c r="L15" s="418">
        <f>IF((GETPIVOTDATA("Total-New",'Distrib pivot table'!$C$2,"state","MD","group","1b6")/GETPIVOTDATA("Total-New",'Distrib pivot table'!$C$2,"state","MD"))=0,,IF(GETPIVOTDATA("Total-New",'Distrib pivot table'!$C$2,"state","MD","group","1b6")/GETPIVOTDATA("Total-New",'Distrib pivot table'!$C$2,"state","MD")&gt;0.0005,GETPIVOTDATA("Total-New",'Distrib pivot table'!$C$2,"state","MD","group","1b6")/GETPIVOTDATA("Total-New",'Distrib pivot table'!$C$2,"state","MD"),"*"))</f>
        <v>5.1833333722062719E-3</v>
      </c>
      <c r="M15" s="418">
        <f>IF((GETPIVOTDATA("Total-New",'Distrib pivot table'!$C$2,"state","MS","group","1b6")/GETPIVOTDATA("Total-New",'Distrib pivot table'!$C$2,"state","MS"))=0,,IF(GETPIVOTDATA("Total-New",'Distrib pivot table'!$C$2,"state","MS","group","1b6")/GETPIVOTDATA("Total-New",'Distrib pivot table'!$C$2,"state","MS")&gt;0.0005,GETPIVOTDATA("Total-New",'Distrib pivot table'!$C$2,"state","MS","group","1b6")/GETPIVOTDATA("Total-New",'Distrib pivot table'!$C$2,"state","MS"),"*"))</f>
        <v>1.3095961976523358E-2</v>
      </c>
      <c r="N15" s="418">
        <f>IF((GETPIVOTDATA("Total-New",'Distrib pivot table'!$C$2,"state","NC","group","1b6")/GETPIVOTDATA("Total-New",'Distrib pivot table'!$C$2,"state","NC"))=0,,IF(GETPIVOTDATA("Total-New",'Distrib pivot table'!$C$2,"state","NC","group","1b6")/GETPIVOTDATA("Total-New",'Distrib pivot table'!$C$2,"state","NC")&gt;0.0005,GETPIVOTDATA("Total-New",'Distrib pivot table'!$C$2,"state","NC","group","1b6")/GETPIVOTDATA("Total-New",'Distrib pivot table'!$C$2,"state","NC"),"*"))</f>
        <v>0</v>
      </c>
      <c r="O15" s="418">
        <f>IF((GETPIVOTDATA("Total-New",'Distrib pivot table'!$C$2,"state","OK","group","1b6")/GETPIVOTDATA("Total-New",'Distrib pivot table'!$C$2,"state","OK"))=0,,IF(GETPIVOTDATA("Total-New",'Distrib pivot table'!$C$2,"state","OK","group","1b6")/GETPIVOTDATA("Total-New",'Distrib pivot table'!$C$2,"state","OK")&gt;0.0005,GETPIVOTDATA("Total-New",'Distrib pivot table'!$C$2,"state","OK","group","1b6")/GETPIVOTDATA("Total-New",'Distrib pivot table'!$C$2,"state","OK"),"*"))</f>
        <v>0</v>
      </c>
      <c r="P15" s="418">
        <f>IF((GETPIVOTDATA("Total-New",'Distrib pivot table'!$C$2,"state","SC","group","1b6")/GETPIVOTDATA("Total-New",'Distrib pivot table'!$C$2,"state","SC"))=0,,IF(GETPIVOTDATA("Total-New",'Distrib pivot table'!$C$2,"state","SC","group","1b6")/GETPIVOTDATA("Total-New",'Distrib pivot table'!$C$2,"state","SC")&gt;0.0005,GETPIVOTDATA("Total-New",'Distrib pivot table'!$C$2,"state","SC","group","1b6")/GETPIVOTDATA("Total-New",'Distrib pivot table'!$C$2,"state","SC"),"*"))</f>
        <v>1.0967784629649375E-3</v>
      </c>
      <c r="Q15" s="418">
        <f>IF((GETPIVOTDATA("Total-New",'Distrib pivot table'!$C$2,"state","TN","group","1b6")/GETPIVOTDATA("Total-New",'Distrib pivot table'!$C$2,"state","TN"))=0,,IF(GETPIVOTDATA("Total-New",'Distrib pivot table'!$C$2,"state","TN","group","1b6")/GETPIVOTDATA("Total-New",'Distrib pivot table'!$C$2,"state","TN")&gt;0.0005,GETPIVOTDATA("Total-New",'Distrib pivot table'!$C$2,"state","TN","group","1b6")/GETPIVOTDATA("Total-New",'Distrib pivot table'!$C$2,"state","TN"),"*"))</f>
        <v>0</v>
      </c>
      <c r="R15" s="418">
        <f>IF((GETPIVOTDATA("Total-New",'Distrib pivot table'!$C$2,"state","TX","group","1b6")/GETPIVOTDATA("Total-New",'Distrib pivot table'!$C$2,"state","TX"))=0,,IF(GETPIVOTDATA("Total-New",'Distrib pivot table'!$C$2,"state","TX","group","1b6")/GETPIVOTDATA("Total-New",'Distrib pivot table'!$C$2,"state","TX")&gt;0.0005,GETPIVOTDATA("Total-New",'Distrib pivot table'!$C$2,"state","TX","group","1b6")/GETPIVOTDATA("Total-New",'Distrib pivot table'!$C$2,"state","TX"),"*"))</f>
        <v>0</v>
      </c>
      <c r="S15" s="418">
        <f>IF((GETPIVOTDATA("Total-New",'Distrib pivot table'!$C$2,"state","VA","group","1b6")/GETPIVOTDATA("Total-New",'Distrib pivot table'!$C$2,"state","VA"))=0,,IF(GETPIVOTDATA("Total-New",'Distrib pivot table'!$C$2,"state","VA","group","1b6")/GETPIVOTDATA("Total-New",'Distrib pivot table'!$C$2,"state","VA")&gt;0.0005,GETPIVOTDATA("Total-New",'Distrib pivot table'!$C$2,"state","VA","group","1b6")/GETPIVOTDATA("Total-New",'Distrib pivot table'!$C$2,"state","VA"),"*"))</f>
        <v>3.814097409960734E-3</v>
      </c>
      <c r="T15" s="418">
        <f>IF((GETPIVOTDATA("Total-New",'Distrib pivot table'!$C$2,"state","WV","group","1b6")/GETPIVOTDATA("Total-New",'Distrib pivot table'!$C$2,"state","WV"))=0,,IF(GETPIVOTDATA("Total-New",'Distrib pivot table'!$C$2,"state","WV","group","1b6")/GETPIVOTDATA("Total-New",'Distrib pivot table'!$C$2,"state","WV")&gt;0.0005,GETPIVOTDATA("Total-New",'Distrib pivot table'!$C$2,"state","WV","group","1b6")/GETPIVOTDATA("Total-New",'Distrib pivot table'!$C$2,"state","WV"),"*"))</f>
        <v>6.0680641847216067E-3</v>
      </c>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row>
    <row r="16" spans="1:50" ht="12.6" customHeight="1" x14ac:dyDescent="0.2">
      <c r="A16" s="1539"/>
      <c r="B16" s="127" t="s">
        <v>295</v>
      </c>
      <c r="C16" s="371" t="s">
        <v>272</v>
      </c>
      <c r="D16" s="418">
        <f>IF(GETPIVOTDATA("Total-New",'Distrib pivot table'!$C$2,"group","1b7")/GETPIVOTDATA("Total-New",'Distrib pivot table'!$C$2)=0,,IF(GETPIVOTDATA("Total-New",'Distrib pivot table'!$C$2,"group","1b7")/GETPIVOTDATA("Total-New",'Distrib pivot table'!$C$2)&gt;0.0005,GETPIVOTDATA("Total-New",'Distrib pivot table'!$C$2,"group","1b7")/GETPIVOTDATA("Total-New",'Distrib pivot table'!$C$2),"*"))</f>
        <v>1.7376415057368353E-3</v>
      </c>
      <c r="E16" s="418">
        <f>IF((GETPIVOTDATA("Total-New",'Distrib pivot table'!$C$2,"state","AL","group","1b7")/GETPIVOTDATA("Total-New",'Distrib pivot table'!$C$2,"state","AL"))=0,,IF(GETPIVOTDATA("Total-New",'Distrib pivot table'!$C$2,"state","AL","group","1b7")/GETPIVOTDATA("Total-New",'Distrib pivot table'!$C$2,"state","AL")&gt;0.0005,GETPIVOTDATA("Total-New",'Distrib pivot table'!$C$2,"state","AL","group","1b7")/GETPIVOTDATA("Total-New",'Distrib pivot table'!$C$2,"state","AL"),"*"))</f>
        <v>5.3938578559899709E-3</v>
      </c>
      <c r="F16" s="418">
        <f>IF((GETPIVOTDATA("Total-New",'Distrib pivot table'!$C$2,"state","AR","group","1b7")/GETPIVOTDATA("Total-New",'Distrib pivot table'!$C$2,"state","AR"))=0,,IF(GETPIVOTDATA("Total-New",'Distrib pivot table'!$C$2,"state","AR","group","1b7")/GETPIVOTDATA("Total-New",'Distrib pivot table'!$C$2,"state","AR")&gt;0.0005,GETPIVOTDATA("Total-New",'Distrib pivot table'!$C$2,"state","AR","group","1b7")/GETPIVOTDATA("Total-New",'Distrib pivot table'!$C$2,"state","AR"),"*"))</f>
        <v>0</v>
      </c>
      <c r="G16" s="418">
        <f>IF((GETPIVOTDATA("Total-New",'Distrib pivot table'!$C$2,"state","DE","group","1b7")/GETPIVOTDATA("Total-New",'Distrib pivot table'!$C$2,"state","DE"))=0,,IF(GETPIVOTDATA("Total-New",'Distrib pivot table'!$C$2,"state","DE","group","1b7")/GETPIVOTDATA("Total-New",'Distrib pivot table'!$C$2,"state","DE")&gt;0.0005,GETPIVOTDATA("Total-New",'Distrib pivot table'!$C$2,"state","DE","group","1b7")/GETPIVOTDATA("Total-New",'Distrib pivot table'!$C$2,"state","DE"),"*"))</f>
        <v>0</v>
      </c>
      <c r="H16" s="418">
        <f>IF((GETPIVOTDATA("Total-New",'Distrib pivot table'!$C$2,"state","FL","group","1b7")/GETPIVOTDATA("Total-New",'Distrib pivot table'!$C$2,"state","FL"))=0,,IF(GETPIVOTDATA("Total-New",'Distrib pivot table'!$C$2,"state","FL","group","1b7")/GETPIVOTDATA("Total-New",'Distrib pivot table'!$C$2,"state","FL")&gt;0.0005,GETPIVOTDATA("Total-New",'Distrib pivot table'!$C$2,"state","FL","group","1b7")/GETPIVOTDATA("Total-New",'Distrib pivot table'!$C$2,"state","FL"),"*"))</f>
        <v>6.1056226871474895E-4</v>
      </c>
      <c r="I16" s="418">
        <f>IF((GETPIVOTDATA("Total-New",'Distrib pivot table'!$C$2,"state","GA","group","1b7")/GETPIVOTDATA("Total-New",'Distrib pivot table'!$C$2,"state","GA"))=0,,IF(GETPIVOTDATA("Total-New",'Distrib pivot table'!$C$2,"state","GA","group","1b7")/GETPIVOTDATA("Total-New",'Distrib pivot table'!$C$2,"state","GA")&gt;0.0005,GETPIVOTDATA("Total-New",'Distrib pivot table'!$C$2,"state","GA","group","1b7")/GETPIVOTDATA("Total-New",'Distrib pivot table'!$C$2,"state","GA"),"*"))</f>
        <v>0</v>
      </c>
      <c r="J16" s="418">
        <f>IF((GETPIVOTDATA("Total-New",'Distrib pivot table'!$C$2,"state","KY","group","1b7")/GETPIVOTDATA("Total-New",'Distrib pivot table'!$C$2,"state","KY"))=0,,IF(GETPIVOTDATA("Total-New",'Distrib pivot table'!$C$2,"state","KY","group","1b7")/GETPIVOTDATA("Total-New",'Distrib pivot table'!$C$2,"state","KY")&gt;0.0005,GETPIVOTDATA("Total-New",'Distrib pivot table'!$C$2,"state","KY","group","1b7")/GETPIVOTDATA("Total-New",'Distrib pivot table'!$C$2,"state","KY"),"*"))</f>
        <v>0</v>
      </c>
      <c r="K16" s="418">
        <f>IF((GETPIVOTDATA("Total-New",'Distrib pivot table'!$C$2,"state","LA","group","1b7")/GETPIVOTDATA("Total-New",'Distrib pivot table'!$C$2,"state","LA"))=0,,IF(GETPIVOTDATA("Total-New",'Distrib pivot table'!$C$2,"state","LA","group","1b7")/GETPIVOTDATA("Total-New",'Distrib pivot table'!$C$2,"state","LA")&gt;0.0005,GETPIVOTDATA("Total-New",'Distrib pivot table'!$C$2,"state","LA","group","1b7")/GETPIVOTDATA("Total-New",'Distrib pivot table'!$C$2,"state","LA"),"*"))</f>
        <v>0</v>
      </c>
      <c r="L16" s="418">
        <f>IF((GETPIVOTDATA("Total-New",'Distrib pivot table'!$C$2,"state","MD","group","1b7")/GETPIVOTDATA("Total-New",'Distrib pivot table'!$C$2,"state","MD"))=0,,IF(GETPIVOTDATA("Total-New",'Distrib pivot table'!$C$2,"state","MD","group","1b7")/GETPIVOTDATA("Total-New",'Distrib pivot table'!$C$2,"state","MD")&gt;0.0005,GETPIVOTDATA("Total-New",'Distrib pivot table'!$C$2,"state","MD","group","1b7")/GETPIVOTDATA("Total-New",'Distrib pivot table'!$C$2,"state","MD"),"*"))</f>
        <v>0</v>
      </c>
      <c r="M16" s="418">
        <f>IF((GETPIVOTDATA("Total-New",'Distrib pivot table'!$C$2,"state","MS","group","1b7")/GETPIVOTDATA("Total-New",'Distrib pivot table'!$C$2,"state","MS"))=0,,IF(GETPIVOTDATA("Total-New",'Distrib pivot table'!$C$2,"state","MS","group","1b7")/GETPIVOTDATA("Total-New",'Distrib pivot table'!$C$2,"state","MS")&gt;0.0005,GETPIVOTDATA("Total-New",'Distrib pivot table'!$C$2,"state","MS","group","1b7")/GETPIVOTDATA("Total-New",'Distrib pivot table'!$C$2,"state","MS"),"*"))</f>
        <v>1.4329465353948152E-2</v>
      </c>
      <c r="N16" s="418">
        <f>IF((GETPIVOTDATA("Total-New",'Distrib pivot table'!$C$2,"state","NC","group","1b7")/GETPIVOTDATA("Total-New",'Distrib pivot table'!$C$2,"state","NC"))=0,,IF(GETPIVOTDATA("Total-New",'Distrib pivot table'!$C$2,"state","NC","group","1b7")/GETPIVOTDATA("Total-New",'Distrib pivot table'!$C$2,"state","NC")&gt;0.0005,GETPIVOTDATA("Total-New",'Distrib pivot table'!$C$2,"state","NC","group","1b7")/GETPIVOTDATA("Total-New",'Distrib pivot table'!$C$2,"state","NC"),"*"))</f>
        <v>0</v>
      </c>
      <c r="O16" s="418">
        <f>IF((GETPIVOTDATA("Total-New",'Distrib pivot table'!$C$2,"state","OK","group","1b7")/GETPIVOTDATA("Total-New",'Distrib pivot table'!$C$2,"state","OK"))=0,,IF(GETPIVOTDATA("Total-New",'Distrib pivot table'!$C$2,"state","OK","group","1b7")/GETPIVOTDATA("Total-New",'Distrib pivot table'!$C$2,"state","OK")&gt;0.0005,GETPIVOTDATA("Total-New",'Distrib pivot table'!$C$2,"state","OK","group","1b7")/GETPIVOTDATA("Total-New",'Distrib pivot table'!$C$2,"state","OK"),"*"))</f>
        <v>0</v>
      </c>
      <c r="P16" s="418">
        <f>IF((GETPIVOTDATA("Total-New",'Distrib pivot table'!$C$2,"state","SC","group","1b7")/GETPIVOTDATA("Total-New",'Distrib pivot table'!$C$2,"state","SC"))=0,,IF(GETPIVOTDATA("Total-New",'Distrib pivot table'!$C$2,"state","SC","group","1b7")/GETPIVOTDATA("Total-New",'Distrib pivot table'!$C$2,"state","SC")&gt;0.0005,GETPIVOTDATA("Total-New",'Distrib pivot table'!$C$2,"state","SC","group","1b7")/GETPIVOTDATA("Total-New",'Distrib pivot table'!$C$2,"state","SC"),"*"))</f>
        <v>1.8542551277144232E-2</v>
      </c>
      <c r="Q16" s="418">
        <f>IF((GETPIVOTDATA("Total-New",'Distrib pivot table'!$C$2,"state","TN","group","1b7")/GETPIVOTDATA("Total-New",'Distrib pivot table'!$C$2,"state","TN"))=0,,IF(GETPIVOTDATA("Total-New",'Distrib pivot table'!$C$2,"state","TN","group","1b7")/GETPIVOTDATA("Total-New",'Distrib pivot table'!$C$2,"state","TN")&gt;0.0005,GETPIVOTDATA("Total-New",'Distrib pivot table'!$C$2,"state","TN","group","1b7")/GETPIVOTDATA("Total-New",'Distrib pivot table'!$C$2,"state","TN"),"*"))</f>
        <v>0</v>
      </c>
      <c r="R16" s="418">
        <f>IF((GETPIVOTDATA("Total-New",'Distrib pivot table'!$C$2,"state","TX","group","1b7")/GETPIVOTDATA("Total-New",'Distrib pivot table'!$C$2,"state","TX"))=0,,IF(GETPIVOTDATA("Total-New",'Distrib pivot table'!$C$2,"state","TX","group","1b7")/GETPIVOTDATA("Total-New",'Distrib pivot table'!$C$2,"state","TX")&gt;0.0005,GETPIVOTDATA("Total-New",'Distrib pivot table'!$C$2,"state","TX","group","1b7")/GETPIVOTDATA("Total-New",'Distrib pivot table'!$C$2,"state","TX"),"*"))</f>
        <v>0</v>
      </c>
      <c r="S16" s="418">
        <f>IF((GETPIVOTDATA("Total-New",'Distrib pivot table'!$C$2,"state","VA","group","1b7")/GETPIVOTDATA("Total-New",'Distrib pivot table'!$C$2,"state","VA"))=0,,IF(GETPIVOTDATA("Total-New",'Distrib pivot table'!$C$2,"state","VA","group","1b7")/GETPIVOTDATA("Total-New",'Distrib pivot table'!$C$2,"state","VA")&gt;0.0005,GETPIVOTDATA("Total-New",'Distrib pivot table'!$C$2,"state","VA","group","1b7")/GETPIVOTDATA("Total-New",'Distrib pivot table'!$C$2,"state","VA"),"*"))</f>
        <v>0</v>
      </c>
      <c r="T16" s="418">
        <f>IF((GETPIVOTDATA("Total-New",'Distrib pivot table'!$C$2,"state","WV","group","1b7")/GETPIVOTDATA("Total-New",'Distrib pivot table'!$C$2,"state","WV"))=0,,IF(GETPIVOTDATA("Total-New",'Distrib pivot table'!$C$2,"state","WV","group","1b7")/GETPIVOTDATA("Total-New",'Distrib pivot table'!$C$2,"state","WV")&gt;0.0005,GETPIVOTDATA("Total-New",'Distrib pivot table'!$C$2,"state","WV","group","1b7")/GETPIVOTDATA("Total-New",'Distrib pivot table'!$C$2,"state","WV"),"*"))</f>
        <v>4.3496896645854538E-3</v>
      </c>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row>
    <row r="17" spans="1:50" s="45" customFormat="1" ht="26.25" customHeight="1" x14ac:dyDescent="0.2">
      <c r="A17" s="1539"/>
      <c r="B17" s="126" t="s">
        <v>12</v>
      </c>
      <c r="C17" s="370" t="s">
        <v>273</v>
      </c>
      <c r="D17" s="419">
        <f>SUM(D18:D23)</f>
        <v>8.5257235619860955E-3</v>
      </c>
      <c r="E17" s="419">
        <f>SUM(E18:E23)</f>
        <v>6.4862784850022335E-3</v>
      </c>
      <c r="F17" s="419">
        <f>SUM(F18:F23)</f>
        <v>4.0070561086635675E-2</v>
      </c>
      <c r="G17" s="419">
        <f t="shared" ref="G17:T17" si="2">SUM(G18:G23)</f>
        <v>0</v>
      </c>
      <c r="H17" s="419">
        <f t="shared" si="2"/>
        <v>2.0156112739689687E-3</v>
      </c>
      <c r="I17" s="419">
        <f t="shared" si="2"/>
        <v>7.384774999043278E-3</v>
      </c>
      <c r="J17" s="419">
        <f t="shared" si="2"/>
        <v>3.6956914002477105E-3</v>
      </c>
      <c r="K17" s="419">
        <f t="shared" si="2"/>
        <v>1.7914283008907891E-2</v>
      </c>
      <c r="L17" s="419">
        <f t="shared" si="2"/>
        <v>0</v>
      </c>
      <c r="M17" s="419">
        <f t="shared" si="2"/>
        <v>0</v>
      </c>
      <c r="N17" s="419">
        <f t="shared" si="2"/>
        <v>4.1577492347192449E-2</v>
      </c>
      <c r="O17" s="419">
        <f t="shared" si="2"/>
        <v>0</v>
      </c>
      <c r="P17" s="419">
        <f t="shared" si="2"/>
        <v>0</v>
      </c>
      <c r="Q17" s="419">
        <f t="shared" si="2"/>
        <v>0</v>
      </c>
      <c r="R17" s="419">
        <f t="shared" si="2"/>
        <v>6.2897083727037548E-3</v>
      </c>
      <c r="S17" s="419">
        <f t="shared" si="2"/>
        <v>1.9937569899622955E-3</v>
      </c>
      <c r="T17" s="419">
        <f t="shared" si="2"/>
        <v>4.2545891163715101E-3</v>
      </c>
      <c r="U17" s="27"/>
      <c r="V17" s="27"/>
      <c r="W17" s="27"/>
      <c r="X17" s="27"/>
      <c r="Y17" s="27"/>
      <c r="Z17" s="27"/>
      <c r="AA17" s="27"/>
      <c r="AB17" s="27"/>
      <c r="AC17" s="27"/>
      <c r="AD17" s="27"/>
      <c r="AE17" s="27"/>
      <c r="AF17" s="27"/>
      <c r="AG17" s="27"/>
      <c r="AH17" s="27"/>
      <c r="AI17" s="27"/>
      <c r="AJ17" s="27"/>
      <c r="AK17" s="27"/>
      <c r="AL17" s="27"/>
      <c r="AM17" s="27"/>
      <c r="AN17" s="27"/>
      <c r="AO17" s="27"/>
      <c r="AP17" s="27"/>
      <c r="AQ17" s="27"/>
      <c r="AR17" s="27"/>
      <c r="AS17" s="27"/>
      <c r="AT17" s="27"/>
      <c r="AU17" s="27"/>
      <c r="AV17" s="27"/>
      <c r="AW17" s="27"/>
      <c r="AX17" s="27"/>
    </row>
    <row r="18" spans="1:50" ht="12.6" customHeight="1" x14ac:dyDescent="0.2">
      <c r="A18" s="1539"/>
      <c r="B18" s="127" t="s">
        <v>319</v>
      </c>
      <c r="C18" s="371" t="s">
        <v>274</v>
      </c>
      <c r="D18" s="418">
        <f>IF(GETPIVOTDATA("Total-New",'Distrib pivot table'!$C$2,"group","1c1")/GETPIVOTDATA("Total-New",'Distrib pivot table'!$C$2)=0,,IF(GETPIVOTDATA("Total-New",'Distrib pivot table'!$C$2,"group","1c1")/GETPIVOTDATA("Total-New",'Distrib pivot table'!$C$2)&gt;0.0005,GETPIVOTDATA("Total-New",'Distrib pivot table'!$C$2,"group","1c1")/GETPIVOTDATA("Total-New",'Distrib pivot table'!$C$2),"*"))</f>
        <v>1.9023415481240014E-3</v>
      </c>
      <c r="E18" s="418">
        <f>IF((GETPIVOTDATA("Total-New",'Distrib pivot table'!$C$2,"state","AL","group","1c1")/GETPIVOTDATA("Total-New",'Distrib pivot table'!$C$2,"state","AL"))=0,,IF(GETPIVOTDATA("Total-New",'Distrib pivot table'!$C$2,"state","AL","group","1c1")/GETPIVOTDATA("Total-New",'Distrib pivot table'!$C$2,"state","AL")&gt;0.0005,GETPIVOTDATA("Total-New",'Distrib pivot table'!$C$2,"state","AL","group","1c1")/GETPIVOTDATA("Total-New",'Distrib pivot table'!$C$2,"state","AL"),"*"))</f>
        <v>0</v>
      </c>
      <c r="F18" s="418">
        <f>IF((GETPIVOTDATA("Total-New",'Distrib pivot table'!$C$2,"state","AR","group","1c1")/GETPIVOTDATA("Total-New",'Distrib pivot table'!$C$2,"state","AR"))=0,,IF(GETPIVOTDATA("Total-New",'Distrib pivot table'!$C$2,"state","AR","group","1c1")/GETPIVOTDATA("Total-New",'Distrib pivot table'!$C$2,"state","AR")&gt;0.0005,GETPIVOTDATA("Total-New",'Distrib pivot table'!$C$2,"state","AR","group","1c1")/GETPIVOTDATA("Total-New",'Distrib pivot table'!$C$2,"state","AR"),"*"))</f>
        <v>0</v>
      </c>
      <c r="G18" s="418">
        <f>IF((GETPIVOTDATA("Total-New",'Distrib pivot table'!$C$2,"state","DE","group","1c1")/GETPIVOTDATA("Total-New",'Distrib pivot table'!$C$2,"state","DE"))=0,,IF(GETPIVOTDATA("Total-New",'Distrib pivot table'!$C$2,"state","DE","group","1c1")/GETPIVOTDATA("Total-New",'Distrib pivot table'!$C$2,"state","DE")&gt;0.0005,GETPIVOTDATA("Total-New",'Distrib pivot table'!$C$2,"state","DE","group","1c1")/GETPIVOTDATA("Total-New",'Distrib pivot table'!$C$2,"state","DE"),"*"))</f>
        <v>0</v>
      </c>
      <c r="H18" s="418">
        <f>IF((GETPIVOTDATA("Total-New",'Distrib pivot table'!$C$2,"state","FL","group","1c1")/GETPIVOTDATA("Total-New",'Distrib pivot table'!$C$2,"state","FL"))=0,,IF(GETPIVOTDATA("Total-New",'Distrib pivot table'!$C$2,"state","FL","group","1c1")/GETPIVOTDATA("Total-New",'Distrib pivot table'!$C$2,"state","FL")&gt;0.0005,GETPIVOTDATA("Total-New",'Distrib pivot table'!$C$2,"state","FL","group","1c1")/GETPIVOTDATA("Total-New",'Distrib pivot table'!$C$2,"state","FL"),"*"))</f>
        <v>0</v>
      </c>
      <c r="I18" s="418">
        <f>IF((GETPIVOTDATA("Total-New",'Distrib pivot table'!$C$2,"state","GA","group","1c1")/GETPIVOTDATA("Total-New",'Distrib pivot table'!$C$2,"state","GA"))=0,,IF(GETPIVOTDATA("Total-New",'Distrib pivot table'!$C$2,"state","GA","group","1c1")/GETPIVOTDATA("Total-New",'Distrib pivot table'!$C$2,"state","GA")&gt;0.0005,GETPIVOTDATA("Total-New",'Distrib pivot table'!$C$2,"state","GA","group","1c1")/GETPIVOTDATA("Total-New",'Distrib pivot table'!$C$2,"state","GA"),"*"))</f>
        <v>0</v>
      </c>
      <c r="J18" s="418">
        <f>IF((GETPIVOTDATA("Total-New",'Distrib pivot table'!$C$2,"state","KY","group","1c1")/GETPIVOTDATA("Total-New",'Distrib pivot table'!$C$2,"state","KY"))=0,,IF(GETPIVOTDATA("Total-New",'Distrib pivot table'!$C$2,"state","KY","group","1c1")/GETPIVOTDATA("Total-New",'Distrib pivot table'!$C$2,"state","KY")&gt;0.0005,GETPIVOTDATA("Total-New",'Distrib pivot table'!$C$2,"state","KY","group","1c1")/GETPIVOTDATA("Total-New",'Distrib pivot table'!$C$2,"state","KY"),"*"))</f>
        <v>3.6956914002477105E-3</v>
      </c>
      <c r="K18" s="418" t="str">
        <f>IF((GETPIVOTDATA("Total-New",'Distrib pivot table'!$C$2,"state","LA","group","1c1")/GETPIVOTDATA("Total-New",'Distrib pivot table'!$C$2,"state","LA"))=0,,IF(GETPIVOTDATA("Total-New",'Distrib pivot table'!$C$2,"state","LA","group","1c1")/GETPIVOTDATA("Total-New",'Distrib pivot table'!$C$2,"state","LA")&gt;0.0005,GETPIVOTDATA("Total-New",'Distrib pivot table'!$C$2,"state","LA","group","1c1")/GETPIVOTDATA("Total-New",'Distrib pivot table'!$C$2,"state","LA"),"*"))</f>
        <v>*</v>
      </c>
      <c r="L18" s="418">
        <f>IF((GETPIVOTDATA("Total-New",'Distrib pivot table'!$C$2,"state","MD","group","1c1")/GETPIVOTDATA("Total-New",'Distrib pivot table'!$C$2,"state","MD"))=0,,IF(GETPIVOTDATA("Total-New",'Distrib pivot table'!$C$2,"state","MD","group","1c1")/GETPIVOTDATA("Total-New",'Distrib pivot table'!$C$2,"state","MD")&gt;0.0005,GETPIVOTDATA("Total-New",'Distrib pivot table'!$C$2,"state","MD","group","1c1")/GETPIVOTDATA("Total-New",'Distrib pivot table'!$C$2,"state","MD"),"*"))</f>
        <v>0</v>
      </c>
      <c r="M18" s="418" t="str">
        <f>IF((GETPIVOTDATA("Total-New",'Distrib pivot table'!$C$2,"state","MS","group","1c1")/GETPIVOTDATA("Total-New",'Distrib pivot table'!$C$2,"state","MS"))=0,,IF(GETPIVOTDATA("Total-New",'Distrib pivot table'!$C$2,"state","MS","group","1c1")/GETPIVOTDATA("Total-New",'Distrib pivot table'!$C$2,"state","MS")&gt;0.0005,GETPIVOTDATA("Total-New",'Distrib pivot table'!$C$2,"state","MS","group","1c1")/GETPIVOTDATA("Total-New",'Distrib pivot table'!$C$2,"state","MS"),"*"))</f>
        <v>*</v>
      </c>
      <c r="N18" s="418">
        <f>IF((GETPIVOTDATA("Total-New",'Distrib pivot table'!$C$2,"state","NC","group","1c1")/GETPIVOTDATA("Total-New",'Distrib pivot table'!$C$2,"state","NC"))=0,,IF(GETPIVOTDATA("Total-New",'Distrib pivot table'!$C$2,"state","NC","group","1c1")/GETPIVOTDATA("Total-New",'Distrib pivot table'!$C$2,"state","NC")&gt;0.0005,GETPIVOTDATA("Total-New",'Distrib pivot table'!$C$2,"state","NC","group","1c1")/GETPIVOTDATA("Total-New",'Distrib pivot table'!$C$2,"state","NC"),"*"))</f>
        <v>9.3196618332856973E-3</v>
      </c>
      <c r="O18" s="418">
        <f>IF((GETPIVOTDATA("Total-New",'Distrib pivot table'!$C$2,"state","OK","group","1c1")/GETPIVOTDATA("Total-New",'Distrib pivot table'!$C$2,"state","OK"))=0,,IF(GETPIVOTDATA("Total-New",'Distrib pivot table'!$C$2,"state","OK","group","1c1")/GETPIVOTDATA("Total-New",'Distrib pivot table'!$C$2,"state","OK")&gt;0.0005,GETPIVOTDATA("Total-New",'Distrib pivot table'!$C$2,"state","OK","group","1c1")/GETPIVOTDATA("Total-New",'Distrib pivot table'!$C$2,"state","OK"),"*"))</f>
        <v>0</v>
      </c>
      <c r="P18" s="418">
        <f>IF((GETPIVOTDATA("Total-New",'Distrib pivot table'!$C$2,"state","SC","group","1c1")/GETPIVOTDATA("Total-New",'Distrib pivot table'!$C$2,"state","SC"))=0,,IF(GETPIVOTDATA("Total-New",'Distrib pivot table'!$C$2,"state","SC","group","1c1")/GETPIVOTDATA("Total-New",'Distrib pivot table'!$C$2,"state","SC")&gt;0.0005,GETPIVOTDATA("Total-New",'Distrib pivot table'!$C$2,"state","SC","group","1c1")/GETPIVOTDATA("Total-New",'Distrib pivot table'!$C$2,"state","SC"),"*"))</f>
        <v>0</v>
      </c>
      <c r="Q18" s="418">
        <f>IF((GETPIVOTDATA("Total-New",'Distrib pivot table'!$C$2,"state","TN","group","1c1")/GETPIVOTDATA("Total-New",'Distrib pivot table'!$C$2,"state","TN"))=0,,IF(GETPIVOTDATA("Total-New",'Distrib pivot table'!$C$2,"state","TN","group","1c1")/GETPIVOTDATA("Total-New",'Distrib pivot table'!$C$2,"state","TN")&gt;0.0005,GETPIVOTDATA("Total-New",'Distrib pivot table'!$C$2,"state","TN","group","1c1")/GETPIVOTDATA("Total-New",'Distrib pivot table'!$C$2,"state","TN"),"*"))</f>
        <v>0</v>
      </c>
      <c r="R18" s="418">
        <f>IF((GETPIVOTDATA("Total-New",'Distrib pivot table'!$C$2,"state","TX","group","1c1")/GETPIVOTDATA("Total-New",'Distrib pivot table'!$C$2,"state","TX"))=0,,IF(GETPIVOTDATA("Total-New",'Distrib pivot table'!$C$2,"state","TX","group","1c1")/GETPIVOTDATA("Total-New",'Distrib pivot table'!$C$2,"state","TX")&gt;0.0005,GETPIVOTDATA("Total-New",'Distrib pivot table'!$C$2,"state","TX","group","1c1")/GETPIVOTDATA("Total-New",'Distrib pivot table'!$C$2,"state","TX"),"*"))</f>
        <v>3.6305661520653221E-3</v>
      </c>
      <c r="S18" s="418">
        <f>IF((GETPIVOTDATA("Total-New",'Distrib pivot table'!$C$2,"state","VA","group","1c1")/GETPIVOTDATA("Total-New",'Distrib pivot table'!$C$2,"state","VA"))=0,,IF(GETPIVOTDATA("Total-New",'Distrib pivot table'!$C$2,"state","VA","group","1c1")/GETPIVOTDATA("Total-New",'Distrib pivot table'!$C$2,"state","VA")&gt;0.0005,GETPIVOTDATA("Total-New",'Distrib pivot table'!$C$2,"state","VA","group","1c1")/GETPIVOTDATA("Total-New",'Distrib pivot table'!$C$2,"state","VA"),"*"))</f>
        <v>0</v>
      </c>
      <c r="T18" s="418">
        <f>IF((GETPIVOTDATA("Total-New",'Distrib pivot table'!$C$2,"state","WV","group","1c1")/GETPIVOTDATA("Total-New",'Distrib pivot table'!$C$2,"state","WV"))=0,,IF(GETPIVOTDATA("Total-New",'Distrib pivot table'!$C$2,"state","WV","group","1c1")/GETPIVOTDATA("Total-New",'Distrib pivot table'!$C$2,"state","WV")&gt;0.0005,GETPIVOTDATA("Total-New",'Distrib pivot table'!$C$2,"state","WV","group","1c1")/GETPIVOTDATA("Total-New",'Distrib pivot table'!$C$2,"state","WV"),"*"))</f>
        <v>4.2545891163715101E-3</v>
      </c>
      <c r="U18" s="3"/>
      <c r="V18" s="3"/>
      <c r="W18" s="3"/>
      <c r="X18" s="3"/>
      <c r="Y18" s="3"/>
      <c r="Z18" s="3"/>
      <c r="AA18" s="3"/>
      <c r="AB18" s="3"/>
      <c r="AC18" s="3"/>
      <c r="AD18" s="3"/>
      <c r="AE18" s="3"/>
      <c r="AF18" s="3"/>
      <c r="AG18" s="3"/>
      <c r="AH18" s="3"/>
      <c r="AI18" s="3"/>
      <c r="AJ18" s="3"/>
      <c r="AK18" s="3"/>
      <c r="AL18" s="3"/>
      <c r="AM18" s="3"/>
      <c r="AN18" s="3"/>
      <c r="AO18" s="3"/>
      <c r="AP18" s="3"/>
      <c r="AQ18" s="3"/>
      <c r="AR18" s="3"/>
      <c r="AS18" s="3"/>
      <c r="AT18" s="3"/>
      <c r="AU18" s="3"/>
      <c r="AV18" s="3"/>
      <c r="AW18" s="3"/>
      <c r="AX18" s="3"/>
    </row>
    <row r="19" spans="1:50" ht="12.6" customHeight="1" x14ac:dyDescent="0.2">
      <c r="A19" s="1539"/>
      <c r="B19" s="127" t="s">
        <v>258</v>
      </c>
      <c r="C19" s="371" t="s">
        <v>275</v>
      </c>
      <c r="D19" s="418">
        <f>IF(GETPIVOTDATA("Total-New",'Distrib pivot table'!$C$2,"group","1c2")/GETPIVOTDATA("Total-New",'Distrib pivot table'!$C$2)=0,,IF(GETPIVOTDATA("Total-New",'Distrib pivot table'!$C$2,"group","1c2")/GETPIVOTDATA("Total-New",'Distrib pivot table'!$C$2)&gt;0.0005,GETPIVOTDATA("Total-New",'Distrib pivot table'!$C$2,"group","1c2")/GETPIVOTDATA("Total-New",'Distrib pivot table'!$C$2),"*"))</f>
        <v>2.5782951935488991E-3</v>
      </c>
      <c r="E19" s="418">
        <f>IF((GETPIVOTDATA("Total-New",'Distrib pivot table'!$C$2,"state","AL","group","1c2")/GETPIVOTDATA("Total-New",'Distrib pivot table'!$C$2,"state","AL"))=0,,IF(GETPIVOTDATA("Total-New",'Distrib pivot table'!$C$2,"state","AL","group","1c2")/GETPIVOTDATA("Total-New",'Distrib pivot table'!$C$2,"state","AL")&gt;0.0005,GETPIVOTDATA("Total-New",'Distrib pivot table'!$C$2,"state","AL","group","1c2")/GETPIVOTDATA("Total-New",'Distrib pivot table'!$C$2,"state","AL"),"*"))</f>
        <v>0</v>
      </c>
      <c r="F19" s="418">
        <f>IF((GETPIVOTDATA("Total-New",'Distrib pivot table'!$C$2,"state","AR","group","1c2")/GETPIVOTDATA("Total-New",'Distrib pivot table'!$C$2,"state","AR"))=0,,IF(GETPIVOTDATA("Total-New",'Distrib pivot table'!$C$2,"state","AR","group","1c2")/GETPIVOTDATA("Total-New",'Distrib pivot table'!$C$2,"state","AR")&gt;0.0005,GETPIVOTDATA("Total-New",'Distrib pivot table'!$C$2,"state","AR","group","1c2")/GETPIVOTDATA("Total-New",'Distrib pivot table'!$C$2,"state","AR"),"*"))</f>
        <v>0</v>
      </c>
      <c r="G19" s="418">
        <f>IF((GETPIVOTDATA("Total-New",'Distrib pivot table'!$C$2,"state","DE","group","1c2")/GETPIVOTDATA("Total-New",'Distrib pivot table'!$C$2,"state","DE"))=0,,IF(GETPIVOTDATA("Total-New",'Distrib pivot table'!$C$2,"state","DE","group","1c2")/GETPIVOTDATA("Total-New",'Distrib pivot table'!$C$2,"state","DE")&gt;0.0005,GETPIVOTDATA("Total-New",'Distrib pivot table'!$C$2,"state","DE","group","1c2")/GETPIVOTDATA("Total-New",'Distrib pivot table'!$C$2,"state","DE"),"*"))</f>
        <v>0</v>
      </c>
      <c r="H19" s="418">
        <f>IF((GETPIVOTDATA("Total-New",'Distrib pivot table'!$C$2,"state","FL","group","1c2")/GETPIVOTDATA("Total-New",'Distrib pivot table'!$C$2,"state","FL"))=0,,IF(GETPIVOTDATA("Total-New",'Distrib pivot table'!$C$2,"state","FL","group","1c2")/GETPIVOTDATA("Total-New",'Distrib pivot table'!$C$2,"state","FL")&gt;0.0005,GETPIVOTDATA("Total-New",'Distrib pivot table'!$C$2,"state","FL","group","1c2")/GETPIVOTDATA("Total-New",'Distrib pivot table'!$C$2,"state","FL"),"*"))</f>
        <v>0</v>
      </c>
      <c r="I19" s="418">
        <f>IF((GETPIVOTDATA("Total-New",'Distrib pivot table'!$C$2,"state","GA","group","1c2")/GETPIVOTDATA("Total-New",'Distrib pivot table'!$C$2,"state","GA"))=0,,IF(GETPIVOTDATA("Total-New",'Distrib pivot table'!$C$2,"state","GA","group","1c2")/GETPIVOTDATA("Total-New",'Distrib pivot table'!$C$2,"state","GA")&gt;0.0005,GETPIVOTDATA("Total-New",'Distrib pivot table'!$C$2,"state","GA","group","1c2")/GETPIVOTDATA("Total-New",'Distrib pivot table'!$C$2,"state","GA"),"*"))</f>
        <v>0</v>
      </c>
      <c r="J19" s="418">
        <f>IF((GETPIVOTDATA("Total-New",'Distrib pivot table'!$C$2,"state","KY","group","1c2")/GETPIVOTDATA("Total-New",'Distrib pivot table'!$C$2,"state","KY"))=0,,IF(GETPIVOTDATA("Total-New",'Distrib pivot table'!$C$2,"state","KY","group","1c2")/GETPIVOTDATA("Total-New",'Distrib pivot table'!$C$2,"state","KY")&gt;0.0005,GETPIVOTDATA("Total-New",'Distrib pivot table'!$C$2,"state","KY","group","1c2")/GETPIVOTDATA("Total-New",'Distrib pivot table'!$C$2,"state","KY"),"*"))</f>
        <v>0</v>
      </c>
      <c r="K19" s="418">
        <f>IF((GETPIVOTDATA("Total-New",'Distrib pivot table'!$C$2,"state","LA","group","1c2")/GETPIVOTDATA("Total-New",'Distrib pivot table'!$C$2,"state","LA"))=0,,IF(GETPIVOTDATA("Total-New",'Distrib pivot table'!$C$2,"state","LA","group","1c2")/GETPIVOTDATA("Total-New",'Distrib pivot table'!$C$2,"state","LA")&gt;0.0005,GETPIVOTDATA("Total-New",'Distrib pivot table'!$C$2,"state","LA","group","1c2")/GETPIVOTDATA("Total-New",'Distrib pivot table'!$C$2,"state","LA"),"*"))</f>
        <v>0</v>
      </c>
      <c r="L19" s="418">
        <f>IF((GETPIVOTDATA("Total-New",'Distrib pivot table'!$C$2,"state","MD","group","1c2")/GETPIVOTDATA("Total-New",'Distrib pivot table'!$C$2,"state","MD"))=0,,IF(GETPIVOTDATA("Total-New",'Distrib pivot table'!$C$2,"state","MD","group","1c2")/GETPIVOTDATA("Total-New",'Distrib pivot table'!$C$2,"state","MD")&gt;0.0005,GETPIVOTDATA("Total-New",'Distrib pivot table'!$C$2,"state","MD","group","1c2")/GETPIVOTDATA("Total-New",'Distrib pivot table'!$C$2,"state","MD"),"*"))</f>
        <v>0</v>
      </c>
      <c r="M19" s="418">
        <f>IF((GETPIVOTDATA("Total-New",'Distrib pivot table'!$C$2,"state","MS","group","1c2")/GETPIVOTDATA("Total-New",'Distrib pivot table'!$C$2,"state","MS"))=0,,IF(GETPIVOTDATA("Total-New",'Distrib pivot table'!$C$2,"state","MS","group","1c2")/GETPIVOTDATA("Total-New",'Distrib pivot table'!$C$2,"state","MS")&gt;0.0005,GETPIVOTDATA("Total-New",'Distrib pivot table'!$C$2,"state","MS","group","1c2")/GETPIVOTDATA("Total-New",'Distrib pivot table'!$C$2,"state","MS"),"*"))</f>
        <v>0</v>
      </c>
      <c r="N19" s="418">
        <f>IF((GETPIVOTDATA("Total-New",'Distrib pivot table'!$C$2,"state","NC","group","1c2")/GETPIVOTDATA("Total-New",'Distrib pivot table'!$C$2,"state","NC"))=0,,IF(GETPIVOTDATA("Total-New",'Distrib pivot table'!$C$2,"state","NC","group","1c2")/GETPIVOTDATA("Total-New",'Distrib pivot table'!$C$2,"state","NC")&gt;0.0005,GETPIVOTDATA("Total-New",'Distrib pivot table'!$C$2,"state","NC","group","1c2")/GETPIVOTDATA("Total-New",'Distrib pivot table'!$C$2,"state","NC"),"*"))</f>
        <v>2.7619284475509823E-2</v>
      </c>
      <c r="O19" s="418">
        <f>IF((GETPIVOTDATA("Total-New",'Distrib pivot table'!$C$2,"state","OK","group","1c2")/GETPIVOTDATA("Total-New",'Distrib pivot table'!$C$2,"state","OK"))=0,,IF(GETPIVOTDATA("Total-New",'Distrib pivot table'!$C$2,"state","OK","group","1c2")/GETPIVOTDATA("Total-New",'Distrib pivot table'!$C$2,"state","OK")&gt;0.0005,GETPIVOTDATA("Total-New",'Distrib pivot table'!$C$2,"state","OK","group","1c2")/GETPIVOTDATA("Total-New",'Distrib pivot table'!$C$2,"state","OK"),"*"))</f>
        <v>0</v>
      </c>
      <c r="P19" s="418">
        <f>IF((GETPIVOTDATA("Total-New",'Distrib pivot table'!$C$2,"state","SC","group","1c2")/GETPIVOTDATA("Total-New",'Distrib pivot table'!$C$2,"state","SC"))=0,,IF(GETPIVOTDATA("Total-New",'Distrib pivot table'!$C$2,"state","SC","group","1c2")/GETPIVOTDATA("Total-New",'Distrib pivot table'!$C$2,"state","SC")&gt;0.0005,GETPIVOTDATA("Total-New",'Distrib pivot table'!$C$2,"state","SC","group","1c2")/GETPIVOTDATA("Total-New",'Distrib pivot table'!$C$2,"state","SC"),"*"))</f>
        <v>0</v>
      </c>
      <c r="Q19" s="418">
        <f>IF((GETPIVOTDATA("Total-New",'Distrib pivot table'!$C$2,"state","TN","group","1c2")/GETPIVOTDATA("Total-New",'Distrib pivot table'!$C$2,"state","TN"))=0,,IF(GETPIVOTDATA("Total-New",'Distrib pivot table'!$C$2,"state","TN","group","1c2")/GETPIVOTDATA("Total-New",'Distrib pivot table'!$C$2,"state","TN")&gt;0.0005,GETPIVOTDATA("Total-New",'Distrib pivot table'!$C$2,"state","TN","group","1c2")/GETPIVOTDATA("Total-New",'Distrib pivot table'!$C$2,"state","TN"),"*"))</f>
        <v>0</v>
      </c>
      <c r="R19" s="418">
        <f>IF((GETPIVOTDATA("Total-New",'Distrib pivot table'!$C$2,"state","TX","group","1c2")/GETPIVOTDATA("Total-New",'Distrib pivot table'!$C$2,"state","TX"))=0,,IF(GETPIVOTDATA("Total-New",'Distrib pivot table'!$C$2,"state","TX","group","1c2")/GETPIVOTDATA("Total-New",'Distrib pivot table'!$C$2,"state","TX")&gt;0.0005,GETPIVOTDATA("Total-New",'Distrib pivot table'!$C$2,"state","TX","group","1c2")/GETPIVOTDATA("Total-New",'Distrib pivot table'!$C$2,"state","TX"),"*"))</f>
        <v>0</v>
      </c>
      <c r="S19" s="418">
        <f>IF((GETPIVOTDATA("Total-New",'Distrib pivot table'!$C$2,"state","VA","group","1c2")/GETPIVOTDATA("Total-New",'Distrib pivot table'!$C$2,"state","VA"))=0,,IF(GETPIVOTDATA("Total-New",'Distrib pivot table'!$C$2,"state","VA","group","1c2")/GETPIVOTDATA("Total-New",'Distrib pivot table'!$C$2,"state","VA")&gt;0.0005,GETPIVOTDATA("Total-New",'Distrib pivot table'!$C$2,"state","VA","group","1c2")/GETPIVOTDATA("Total-New",'Distrib pivot table'!$C$2,"state","VA"),"*"))</f>
        <v>0</v>
      </c>
      <c r="T19" s="418" t="str">
        <f>IF((GETPIVOTDATA("Total-New",'Distrib pivot table'!$C$2,"state","WV","group","1c2")/GETPIVOTDATA("Total-New",'Distrib pivot table'!$C$2,"state","WV"))=0,,IF(GETPIVOTDATA("Total-New",'Distrib pivot table'!$C$2,"state","WV","group","1c2")/GETPIVOTDATA("Total-New",'Distrib pivot table'!$C$2,"state","WV")&gt;0.0005,GETPIVOTDATA("Total-New",'Distrib pivot table'!$C$2,"state","WV","group","1c2")/GETPIVOTDATA("Total-New",'Distrib pivot table'!$C$2,"state","WV"),"*"))</f>
        <v>*</v>
      </c>
      <c r="U19" s="3"/>
      <c r="V19" s="3"/>
      <c r="W19" s="3"/>
      <c r="X19" s="3"/>
      <c r="Y19" s="3"/>
      <c r="Z19" s="3"/>
      <c r="AA19" s="3"/>
      <c r="AB19" s="3"/>
      <c r="AC19" s="3"/>
      <c r="AD19" s="3"/>
      <c r="AE19" s="3"/>
      <c r="AF19" s="3"/>
      <c r="AG19" s="3"/>
      <c r="AH19" s="3"/>
      <c r="AI19" s="3"/>
      <c r="AJ19" s="3"/>
      <c r="AK19" s="3"/>
      <c r="AL19" s="3"/>
      <c r="AM19" s="3"/>
      <c r="AN19" s="3"/>
      <c r="AO19" s="3"/>
      <c r="AP19" s="3"/>
      <c r="AQ19" s="3"/>
      <c r="AR19" s="3"/>
      <c r="AS19" s="3"/>
      <c r="AT19" s="3"/>
      <c r="AU19" s="3"/>
      <c r="AV19" s="3"/>
      <c r="AW19" s="3"/>
      <c r="AX19" s="3"/>
    </row>
    <row r="20" spans="1:50" ht="12.6" customHeight="1" x14ac:dyDescent="0.2">
      <c r="A20" s="1539"/>
      <c r="B20" s="127" t="s">
        <v>257</v>
      </c>
      <c r="C20" s="371" t="s">
        <v>276</v>
      </c>
      <c r="D20" s="418">
        <f>IF(GETPIVOTDATA("Total-New",'Distrib pivot table'!$C$2,"group","1c3")/GETPIVOTDATA("Total-New",'Distrib pivot table'!$C$2)=0,,IF(GETPIVOTDATA("Total-New",'Distrib pivot table'!$C$2,"group","1c3")/GETPIVOTDATA("Total-New",'Distrib pivot table'!$C$2)&gt;0.0005,GETPIVOTDATA("Total-New",'Distrib pivot table'!$C$2,"group","1c3")/GETPIVOTDATA("Total-New",'Distrib pivot table'!$C$2),"*"))</f>
        <v>1.1365149600478157E-3</v>
      </c>
      <c r="E20" s="418">
        <f>IF((GETPIVOTDATA("Total-New",'Distrib pivot table'!$C$2,"state","AL","group","1c3")/GETPIVOTDATA("Total-New",'Distrib pivot table'!$C$2,"state","AL"))=0,,IF(GETPIVOTDATA("Total-New",'Distrib pivot table'!$C$2,"state","AL","group","1c3")/GETPIVOTDATA("Total-New",'Distrib pivot table'!$C$2,"state","AL")&gt;0.0005,GETPIVOTDATA("Total-New",'Distrib pivot table'!$C$2,"state","AL","group","1c3")/GETPIVOTDATA("Total-New",'Distrib pivot table'!$C$2,"state","AL"),"*"))</f>
        <v>0</v>
      </c>
      <c r="F20" s="418">
        <f>IF((GETPIVOTDATA("Total-New",'Distrib pivot table'!$C$2,"state","AR","group","1c3")/GETPIVOTDATA("Total-New",'Distrib pivot table'!$C$2,"state","AR"))=0,,IF(GETPIVOTDATA("Total-New",'Distrib pivot table'!$C$2,"state","AR","group","1c3")/GETPIVOTDATA("Total-New",'Distrib pivot table'!$C$2,"state","AR")&gt;0.0005,GETPIVOTDATA("Total-New",'Distrib pivot table'!$C$2,"state","AR","group","1c3")/GETPIVOTDATA("Total-New",'Distrib pivot table'!$C$2,"state","AR"),"*"))</f>
        <v>3.7702686008109297E-2</v>
      </c>
      <c r="G20" s="418">
        <f>IF((GETPIVOTDATA("Total-New",'Distrib pivot table'!$C$2,"state","DE","group","1c3")/GETPIVOTDATA("Total-New",'Distrib pivot table'!$C$2,"state","DE"))=0,,IF(GETPIVOTDATA("Total-New",'Distrib pivot table'!$C$2,"state","DE","group","1c3")/GETPIVOTDATA("Total-New",'Distrib pivot table'!$C$2,"state","DE")&gt;0.0005,GETPIVOTDATA("Total-New",'Distrib pivot table'!$C$2,"state","DE","group","1c3")/GETPIVOTDATA("Total-New",'Distrib pivot table'!$C$2,"state","DE"),"*"))</f>
        <v>0</v>
      </c>
      <c r="H20" s="418">
        <f>IF((GETPIVOTDATA("Total-New",'Distrib pivot table'!$C$2,"state","FL","group","1c3")/GETPIVOTDATA("Total-New",'Distrib pivot table'!$C$2,"state","FL"))=0,,IF(GETPIVOTDATA("Total-New",'Distrib pivot table'!$C$2,"state","FL","group","1c3")/GETPIVOTDATA("Total-New",'Distrib pivot table'!$C$2,"state","FL")&gt;0.0005,GETPIVOTDATA("Total-New",'Distrib pivot table'!$C$2,"state","FL","group","1c3")/GETPIVOTDATA("Total-New",'Distrib pivot table'!$C$2,"state","FL"),"*"))</f>
        <v>0</v>
      </c>
      <c r="I20" s="418">
        <f>IF((GETPIVOTDATA("Total-New",'Distrib pivot table'!$C$2,"state","GA","group","1c3")/GETPIVOTDATA("Total-New",'Distrib pivot table'!$C$2,"state","GA"))=0,,IF(GETPIVOTDATA("Total-New",'Distrib pivot table'!$C$2,"state","GA","group","1c3")/GETPIVOTDATA("Total-New",'Distrib pivot table'!$C$2,"state","GA")&gt;0.0005,GETPIVOTDATA("Total-New",'Distrib pivot table'!$C$2,"state","GA","group","1c3")/GETPIVOTDATA("Total-New",'Distrib pivot table'!$C$2,"state","GA"),"*"))</f>
        <v>0</v>
      </c>
      <c r="J20" s="418">
        <f>IF((GETPIVOTDATA("Total-New",'Distrib pivot table'!$C$2,"state","KY","group","1c3")/GETPIVOTDATA("Total-New",'Distrib pivot table'!$C$2,"state","KY"))=0,,IF(GETPIVOTDATA("Total-New",'Distrib pivot table'!$C$2,"state","KY","group","1c3")/GETPIVOTDATA("Total-New",'Distrib pivot table'!$C$2,"state","KY")&gt;0.0005,GETPIVOTDATA("Total-New",'Distrib pivot table'!$C$2,"state","KY","group","1c3")/GETPIVOTDATA("Total-New",'Distrib pivot table'!$C$2,"state","KY"),"*"))</f>
        <v>0</v>
      </c>
      <c r="K20" s="418">
        <f>IF((GETPIVOTDATA("Total-New",'Distrib pivot table'!$C$2,"state","LA","group","1c3")/GETPIVOTDATA("Total-New",'Distrib pivot table'!$C$2,"state","LA"))=0,,IF(GETPIVOTDATA("Total-New",'Distrib pivot table'!$C$2,"state","LA","group","1c3")/GETPIVOTDATA("Total-New",'Distrib pivot table'!$C$2,"state","LA")&gt;0.0005,GETPIVOTDATA("Total-New",'Distrib pivot table'!$C$2,"state","LA","group","1c3")/GETPIVOTDATA("Total-New",'Distrib pivot table'!$C$2,"state","LA"),"*"))</f>
        <v>0</v>
      </c>
      <c r="L20" s="418">
        <f>IF((GETPIVOTDATA("Total-New",'Distrib pivot table'!$C$2,"state","MD","group","1c3")/GETPIVOTDATA("Total-New",'Distrib pivot table'!$C$2,"state","MD"))=0,,IF(GETPIVOTDATA("Total-New",'Distrib pivot table'!$C$2,"state","MD","group","1c3")/GETPIVOTDATA("Total-New",'Distrib pivot table'!$C$2,"state","MD")&gt;0.0005,GETPIVOTDATA("Total-New",'Distrib pivot table'!$C$2,"state","MD","group","1c3")/GETPIVOTDATA("Total-New",'Distrib pivot table'!$C$2,"state","MD"),"*"))</f>
        <v>0</v>
      </c>
      <c r="M20" s="418">
        <f>IF((GETPIVOTDATA("Total-New",'Distrib pivot table'!$C$2,"state","MS","group","1c3")/GETPIVOTDATA("Total-New",'Distrib pivot table'!$C$2,"state","MS"))=0,,IF(GETPIVOTDATA("Total-New",'Distrib pivot table'!$C$2,"state","MS","group","1c3")/GETPIVOTDATA("Total-New",'Distrib pivot table'!$C$2,"state","MS")&gt;0.0005,GETPIVOTDATA("Total-New",'Distrib pivot table'!$C$2,"state","MS","group","1c3")/GETPIVOTDATA("Total-New",'Distrib pivot table'!$C$2,"state","MS"),"*"))</f>
        <v>0</v>
      </c>
      <c r="N20" s="418">
        <f>IF((GETPIVOTDATA("Total-New",'Distrib pivot table'!$C$2,"state","NC","group","1c3")/GETPIVOTDATA("Total-New",'Distrib pivot table'!$C$2,"state","NC"))=0,,IF(GETPIVOTDATA("Total-New",'Distrib pivot table'!$C$2,"state","NC","group","1c3")/GETPIVOTDATA("Total-New",'Distrib pivot table'!$C$2,"state","NC")&gt;0.0005,GETPIVOTDATA("Total-New",'Distrib pivot table'!$C$2,"state","NC","group","1c3")/GETPIVOTDATA("Total-New",'Distrib pivot table'!$C$2,"state","NC"),"*"))</f>
        <v>0</v>
      </c>
      <c r="O20" s="418">
        <f>IF((GETPIVOTDATA("Total-New",'Distrib pivot table'!$C$2,"state","OK","group","1c3")/GETPIVOTDATA("Total-New",'Distrib pivot table'!$C$2,"state","OK"))=0,,IF(GETPIVOTDATA("Total-New",'Distrib pivot table'!$C$2,"state","OK","group","1c3")/GETPIVOTDATA("Total-New",'Distrib pivot table'!$C$2,"state","OK")&gt;0.0005,GETPIVOTDATA("Total-New",'Distrib pivot table'!$C$2,"state","OK","group","1c3")/GETPIVOTDATA("Total-New",'Distrib pivot table'!$C$2,"state","OK"),"*"))</f>
        <v>0</v>
      </c>
      <c r="P20" s="418">
        <f>IF((GETPIVOTDATA("Total-New",'Distrib pivot table'!$C$2,"state","SC","group","1c3")/GETPIVOTDATA("Total-New",'Distrib pivot table'!$C$2,"state","SC"))=0,,IF(GETPIVOTDATA("Total-New",'Distrib pivot table'!$C$2,"state","SC","group","1c3")/GETPIVOTDATA("Total-New",'Distrib pivot table'!$C$2,"state","SC")&gt;0.0005,GETPIVOTDATA("Total-New",'Distrib pivot table'!$C$2,"state","SC","group","1c3")/GETPIVOTDATA("Total-New",'Distrib pivot table'!$C$2,"state","SC"),"*"))</f>
        <v>0</v>
      </c>
      <c r="Q20" s="418">
        <f>IF((GETPIVOTDATA("Total-New",'Distrib pivot table'!$C$2,"state","TN","group","1c3")/GETPIVOTDATA("Total-New",'Distrib pivot table'!$C$2,"state","TN"))=0,,IF(GETPIVOTDATA("Total-New",'Distrib pivot table'!$C$2,"state","TN","group","1c3")/GETPIVOTDATA("Total-New",'Distrib pivot table'!$C$2,"state","TN")&gt;0.0005,GETPIVOTDATA("Total-New",'Distrib pivot table'!$C$2,"state","TN","group","1c3")/GETPIVOTDATA("Total-New",'Distrib pivot table'!$C$2,"state","TN"),"*"))</f>
        <v>0</v>
      </c>
      <c r="R20" s="418">
        <f>IF((GETPIVOTDATA("Total-New",'Distrib pivot table'!$C$2,"state","TX","group","1c3")/GETPIVOTDATA("Total-New",'Distrib pivot table'!$C$2,"state","TX"))=0,,IF(GETPIVOTDATA("Total-New",'Distrib pivot table'!$C$2,"state","TX","group","1c3")/GETPIVOTDATA("Total-New",'Distrib pivot table'!$C$2,"state","TX")&gt;0.0005,GETPIVOTDATA("Total-New",'Distrib pivot table'!$C$2,"state","TX","group","1c3")/GETPIVOTDATA("Total-New",'Distrib pivot table'!$C$2,"state","TX"),"*"))</f>
        <v>0</v>
      </c>
      <c r="S20" s="418">
        <f>IF((GETPIVOTDATA("Total-New",'Distrib pivot table'!$C$2,"state","VA","group","1c3")/GETPIVOTDATA("Total-New",'Distrib pivot table'!$C$2,"state","VA"))=0,,IF(GETPIVOTDATA("Total-New",'Distrib pivot table'!$C$2,"state","VA","group","1c3")/GETPIVOTDATA("Total-New",'Distrib pivot table'!$C$2,"state","VA")&gt;0.0005,GETPIVOTDATA("Total-New",'Distrib pivot table'!$C$2,"state","VA","group","1c3")/GETPIVOTDATA("Total-New",'Distrib pivot table'!$C$2,"state","VA"),"*"))</f>
        <v>0</v>
      </c>
      <c r="T20" s="418">
        <f>IF((GETPIVOTDATA("Total-New",'Distrib pivot table'!$C$2,"state","WV","group","1c3")/GETPIVOTDATA("Total-New",'Distrib pivot table'!$C$2,"state","WV"))=0,,IF(GETPIVOTDATA("Total-New",'Distrib pivot table'!$C$2,"state","WV","group","1c3")/GETPIVOTDATA("Total-New",'Distrib pivot table'!$C$2,"state","WV")&gt;0.0005,GETPIVOTDATA("Total-New",'Distrib pivot table'!$C$2,"state","WV","group","1c3")/GETPIVOTDATA("Total-New",'Distrib pivot table'!$C$2,"state","WV"),"*"))</f>
        <v>0</v>
      </c>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row>
    <row r="21" spans="1:50" ht="12.6" customHeight="1" x14ac:dyDescent="0.2">
      <c r="A21" s="1539"/>
      <c r="B21" s="127" t="s">
        <v>308</v>
      </c>
      <c r="C21" s="371" t="s">
        <v>277</v>
      </c>
      <c r="D21" s="418" t="str">
        <f>IF(GETPIVOTDATA("Total-New",'Distrib pivot table'!$C$2,"group","1c5")/GETPIVOTDATA("Total-New",'Distrib pivot table'!$C$2)=0,,IF(GETPIVOTDATA("Total-New",'Distrib pivot table'!$C$2,"group","1c5")/GETPIVOTDATA("Total-New",'Distrib pivot table'!$C$2)&gt;0.0005,GETPIVOTDATA("Total-New",'Distrib pivot table'!$C$2,"group","1c5")/GETPIVOTDATA("Total-New",'Distrib pivot table'!$C$2),"*"))</f>
        <v>*</v>
      </c>
      <c r="E21" s="418">
        <f>IF((GETPIVOTDATA("Total-New",'Distrib pivot table'!$C$2,"state","AL","group","1c5")/GETPIVOTDATA("Total-New",'Distrib pivot table'!$C$2,"state","AL"))=0,,IF(GETPIVOTDATA("Total-New",'Distrib pivot table'!$C$2,"state","AL","group","1c5")/GETPIVOTDATA("Total-New",'Distrib pivot table'!$C$2,"state","AL")&gt;0.0005,GETPIVOTDATA("Total-New",'Distrib pivot table'!$C$2,"state","AL","group","1c5")/GETPIVOTDATA("Total-New",'Distrib pivot table'!$C$2,"state","AL"),"*"))</f>
        <v>0</v>
      </c>
      <c r="F21" s="418">
        <f>IF((GETPIVOTDATA("Total-New",'Distrib pivot table'!$C$2,"state","AR","group","1c5")/GETPIVOTDATA("Total-New",'Distrib pivot table'!$C$2,"state","AR"))=0,,IF(GETPIVOTDATA("Total-New",'Distrib pivot table'!$C$2,"state","AR","group","1c5")/GETPIVOTDATA("Total-New",'Distrib pivot table'!$C$2,"state","AR")&gt;0.0005,GETPIVOTDATA("Total-New",'Distrib pivot table'!$C$2,"state","AR","group","1c5")/GETPIVOTDATA("Total-New",'Distrib pivot table'!$C$2,"state","AR"),"*"))</f>
        <v>0</v>
      </c>
      <c r="G21" s="418">
        <f>IF((GETPIVOTDATA("Total-New",'Distrib pivot table'!$C$2,"state","DE","group","1c5")/GETPIVOTDATA("Total-New",'Distrib pivot table'!$C$2,"state","DE"))=0,,IF(GETPIVOTDATA("Total-New",'Distrib pivot table'!$C$2,"state","DE","group","1c5")/GETPIVOTDATA("Total-New",'Distrib pivot table'!$C$2,"state","DE")&gt;0.0005,GETPIVOTDATA("Total-New",'Distrib pivot table'!$C$2,"state","DE","group","1c5")/GETPIVOTDATA("Total-New",'Distrib pivot table'!$C$2,"state","DE"),"*"))</f>
        <v>0</v>
      </c>
      <c r="H21" s="418">
        <f>IF((GETPIVOTDATA("Total-New",'Distrib pivot table'!$C$2,"state","FL","group","1c5")/GETPIVOTDATA("Total-New",'Distrib pivot table'!$C$2,"state","FL"))=0,,IF(GETPIVOTDATA("Total-New",'Distrib pivot table'!$C$2,"state","FL","group","1c5")/GETPIVOTDATA("Total-New",'Distrib pivot table'!$C$2,"state","FL")&gt;0.0005,GETPIVOTDATA("Total-New",'Distrib pivot table'!$C$2,"state","FL","group","1c5")/GETPIVOTDATA("Total-New",'Distrib pivot table'!$C$2,"state","FL"),"*"))</f>
        <v>0</v>
      </c>
      <c r="I21" s="418">
        <f>IF((GETPIVOTDATA("Total-New",'Distrib pivot table'!$C$2,"state","GA","group","1c5")/GETPIVOTDATA("Total-New",'Distrib pivot table'!$C$2,"state","GA"))=0,,IF(GETPIVOTDATA("Total-New",'Distrib pivot table'!$C$2,"state","GA","group","1c5")/GETPIVOTDATA("Total-New",'Distrib pivot table'!$C$2,"state","GA")&gt;0.0005,GETPIVOTDATA("Total-New",'Distrib pivot table'!$C$2,"state","GA","group","1c5")/GETPIVOTDATA("Total-New",'Distrib pivot table'!$C$2,"state","GA"),"*"))</f>
        <v>0</v>
      </c>
      <c r="J21" s="418">
        <f>IF((GETPIVOTDATA("Total-New",'Distrib pivot table'!$C$2,"state","KY","group","1c5")/GETPIVOTDATA("Total-New",'Distrib pivot table'!$C$2,"state","KY"))=0,,IF(GETPIVOTDATA("Total-New",'Distrib pivot table'!$C$2,"state","KY","group","1c5")/GETPIVOTDATA("Total-New",'Distrib pivot table'!$C$2,"state","KY")&gt;0.0005,GETPIVOTDATA("Total-New",'Distrib pivot table'!$C$2,"state","KY","group","1c5")/GETPIVOTDATA("Total-New",'Distrib pivot table'!$C$2,"state","KY"),"*"))</f>
        <v>0</v>
      </c>
      <c r="K21" s="418">
        <f>IF((GETPIVOTDATA("Total-New",'Distrib pivot table'!$C$2,"state","LA","group","1c5")/GETPIVOTDATA("Total-New",'Distrib pivot table'!$C$2,"state","LA"))=0,,IF(GETPIVOTDATA("Total-New",'Distrib pivot table'!$C$2,"state","LA","group","1c5")/GETPIVOTDATA("Total-New",'Distrib pivot table'!$C$2,"state","LA")&gt;0.0005,GETPIVOTDATA("Total-New",'Distrib pivot table'!$C$2,"state","LA","group","1c5")/GETPIVOTDATA("Total-New",'Distrib pivot table'!$C$2,"state","LA"),"*"))</f>
        <v>0</v>
      </c>
      <c r="L21" s="418">
        <f>IF((GETPIVOTDATA("Total-New",'Distrib pivot table'!$C$2,"state","MD","group","1c5")/GETPIVOTDATA("Total-New",'Distrib pivot table'!$C$2,"state","MD"))=0,,IF(GETPIVOTDATA("Total-New",'Distrib pivot table'!$C$2,"state","MD","group","1c5")/GETPIVOTDATA("Total-New",'Distrib pivot table'!$C$2,"state","MD")&gt;0.0005,GETPIVOTDATA("Total-New",'Distrib pivot table'!$C$2,"state","MD","group","1c5")/GETPIVOTDATA("Total-New",'Distrib pivot table'!$C$2,"state","MD"),"*"))</f>
        <v>0</v>
      </c>
      <c r="M21" s="418">
        <f>IF((GETPIVOTDATA("Total-New",'Distrib pivot table'!$C$2,"state","MS","group","1c5")/GETPIVOTDATA("Total-New",'Distrib pivot table'!$C$2,"state","MS"))=0,,IF(GETPIVOTDATA("Total-New",'Distrib pivot table'!$C$2,"state","MS","group","1c5")/GETPIVOTDATA("Total-New",'Distrib pivot table'!$C$2,"state","MS")&gt;0.0005,GETPIVOTDATA("Total-New",'Distrib pivot table'!$C$2,"state","MS","group","1c5")/GETPIVOTDATA("Total-New",'Distrib pivot table'!$C$2,"state","MS"),"*"))</f>
        <v>0</v>
      </c>
      <c r="N21" s="418">
        <f>IF((GETPIVOTDATA("Total-New",'Distrib pivot table'!$C$2,"state","NC","group","1c5")/GETPIVOTDATA("Total-New",'Distrib pivot table'!$C$2,"state","NC"))=0,,IF(GETPIVOTDATA("Total-New",'Distrib pivot table'!$C$2,"state","NC","group","1c5")/GETPIVOTDATA("Total-New",'Distrib pivot table'!$C$2,"state","NC")&gt;0.0005,GETPIVOTDATA("Total-New",'Distrib pivot table'!$C$2,"state","NC","group","1c5")/GETPIVOTDATA("Total-New",'Distrib pivot table'!$C$2,"state","NC"),"*"))</f>
        <v>0</v>
      </c>
      <c r="O21" s="418">
        <f>IF((GETPIVOTDATA("Total-New",'Distrib pivot table'!$C$2,"state","OK","group","1c5")/GETPIVOTDATA("Total-New",'Distrib pivot table'!$C$2,"state","OK"))=0,,IF(GETPIVOTDATA("Total-New",'Distrib pivot table'!$C$2,"state","OK","group","1c5")/GETPIVOTDATA("Total-New",'Distrib pivot table'!$C$2,"state","OK")&gt;0.0005,GETPIVOTDATA("Total-New",'Distrib pivot table'!$C$2,"state","OK","group","1c5")/GETPIVOTDATA("Total-New",'Distrib pivot table'!$C$2,"state","OK"),"*"))</f>
        <v>0</v>
      </c>
      <c r="P21" s="418">
        <f>IF((GETPIVOTDATA("Total-New",'Distrib pivot table'!$C$2,"state","SC","group","1c5")/GETPIVOTDATA("Total-New",'Distrib pivot table'!$C$2,"state","SC"))=0,,IF(GETPIVOTDATA("Total-New",'Distrib pivot table'!$C$2,"state","SC","group","1c5")/GETPIVOTDATA("Total-New",'Distrib pivot table'!$C$2,"state","SC")&gt;0.0005,GETPIVOTDATA("Total-New",'Distrib pivot table'!$C$2,"state","SC","group","1c5")/GETPIVOTDATA("Total-New",'Distrib pivot table'!$C$2,"state","SC"),"*"))</f>
        <v>0</v>
      </c>
      <c r="Q21" s="418">
        <f>IF((GETPIVOTDATA("Total-New",'Distrib pivot table'!$C$2,"state","TN","group","1c5")/GETPIVOTDATA("Total-New",'Distrib pivot table'!$C$2,"state","TN"))=0,,IF(GETPIVOTDATA("Total-New",'Distrib pivot table'!$C$2,"state","TN","group","1c5")/GETPIVOTDATA("Total-New",'Distrib pivot table'!$C$2,"state","TN")&gt;0.0005,GETPIVOTDATA("Total-New",'Distrib pivot table'!$C$2,"state","TN","group","1c5")/GETPIVOTDATA("Total-New",'Distrib pivot table'!$C$2,"state","TN"),"*"))</f>
        <v>0</v>
      </c>
      <c r="R21" s="418">
        <f>IF((GETPIVOTDATA("Total-New",'Distrib pivot table'!$C$2,"state","TX","group","1c5")/GETPIVOTDATA("Total-New",'Distrib pivot table'!$C$2,"state","TX"))=0,,IF(GETPIVOTDATA("Total-New",'Distrib pivot table'!$C$2,"state","TX","group","1c5")/GETPIVOTDATA("Total-New",'Distrib pivot table'!$C$2,"state","TX")&gt;0.0005,GETPIVOTDATA("Total-New",'Distrib pivot table'!$C$2,"state","TX","group","1c5")/GETPIVOTDATA("Total-New",'Distrib pivot table'!$C$2,"state","TX"),"*"))</f>
        <v>7.4667207603465826E-4</v>
      </c>
      <c r="S21" s="418">
        <f>IF((GETPIVOTDATA("Total-New",'Distrib pivot table'!$C$2,"state","VA","group","1c5")/GETPIVOTDATA("Total-New",'Distrib pivot table'!$C$2,"state","VA"))=0,,IF(GETPIVOTDATA("Total-New",'Distrib pivot table'!$C$2,"state","VA","group","1c5")/GETPIVOTDATA("Total-New",'Distrib pivot table'!$C$2,"state","VA")&gt;0.0005,GETPIVOTDATA("Total-New",'Distrib pivot table'!$C$2,"state","VA","group","1c5")/GETPIVOTDATA("Total-New",'Distrib pivot table'!$C$2,"state","VA"),"*"))</f>
        <v>0</v>
      </c>
      <c r="T21" s="418">
        <f>IF((GETPIVOTDATA("Total-New",'Distrib pivot table'!$C$2,"state","WV","group","1c5")/GETPIVOTDATA("Total-New",'Distrib pivot table'!$C$2,"state","WV"))=0,,IF(GETPIVOTDATA("Total-New",'Distrib pivot table'!$C$2,"state","WV","group","1c5")/GETPIVOTDATA("Total-New",'Distrib pivot table'!$C$2,"state","WV")&gt;0.0005,GETPIVOTDATA("Total-New",'Distrib pivot table'!$C$2,"state","WV","group","1c5")/GETPIVOTDATA("Total-New",'Distrib pivot table'!$C$2,"state","WV"),"*"))</f>
        <v>0</v>
      </c>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row>
    <row r="22" spans="1:50" ht="12.6" customHeight="1" x14ac:dyDescent="0.2">
      <c r="A22" s="1539"/>
      <c r="B22" s="127" t="s">
        <v>309</v>
      </c>
      <c r="C22" s="371" t="s">
        <v>278</v>
      </c>
      <c r="D22" s="418">
        <f>IF(GETPIVOTDATA("Total-New",'Distrib pivot table'!$C$2,"group","1c6")/GETPIVOTDATA("Total-New",'Distrib pivot table'!$C$2)=0,,IF(GETPIVOTDATA("Total-New",'Distrib pivot table'!$C$2,"group","1c6")/GETPIVOTDATA("Total-New",'Distrib pivot table'!$C$2)&gt;0.0005,GETPIVOTDATA("Total-New",'Distrib pivot table'!$C$2,"group","1c6")/GETPIVOTDATA("Total-New",'Distrib pivot table'!$C$2),"*"))</f>
        <v>1.4505354502350124E-3</v>
      </c>
      <c r="E22" s="418">
        <f>IF((GETPIVOTDATA("Total-New",'Distrib pivot table'!$C$2,"state","AL","group","1c6")/GETPIVOTDATA("Total-New",'Distrib pivot table'!$C$2,"state","AL"))=0,,IF(GETPIVOTDATA("Total-New",'Distrib pivot table'!$C$2,"state","AL","group","1c6")/GETPIVOTDATA("Total-New",'Distrib pivot table'!$C$2,"state","AL")&gt;0.0005,GETPIVOTDATA("Total-New",'Distrib pivot table'!$C$2,"state","AL","group","1c6")/GETPIVOTDATA("Total-New",'Distrib pivot table'!$C$2,"state","AL"),"*"))</f>
        <v>1.201558647591027E-3</v>
      </c>
      <c r="F22" s="418">
        <f>IF((GETPIVOTDATA("Total-New",'Distrib pivot table'!$C$2,"state","AR","group","1c6")/GETPIVOTDATA("Total-New",'Distrib pivot table'!$C$2,"state","AR"))=0,,IF(GETPIVOTDATA("Total-New",'Distrib pivot table'!$C$2,"state","AR","group","1c6")/GETPIVOTDATA("Total-New",'Distrib pivot table'!$C$2,"state","AR")&gt;0.0005,GETPIVOTDATA("Total-New",'Distrib pivot table'!$C$2,"state","AR","group","1c6")/GETPIVOTDATA("Total-New",'Distrib pivot table'!$C$2,"state","AR"),"*"))</f>
        <v>2.3678750785263792E-3</v>
      </c>
      <c r="G22" s="418">
        <f>IF((GETPIVOTDATA("Total-New",'Distrib pivot table'!$C$2,"state","DE","group","1c6")/GETPIVOTDATA("Total-New",'Distrib pivot table'!$C$2,"state","DE"))=0,,IF(GETPIVOTDATA("Total-New",'Distrib pivot table'!$C$2,"state","DE","group","1c6")/GETPIVOTDATA("Total-New",'Distrib pivot table'!$C$2,"state","DE")&gt;0.0005,GETPIVOTDATA("Total-New",'Distrib pivot table'!$C$2,"state","DE","group","1c6")/GETPIVOTDATA("Total-New",'Distrib pivot table'!$C$2,"state","DE"),"*"))</f>
        <v>0</v>
      </c>
      <c r="H22" s="418">
        <f>IF((GETPIVOTDATA("Total-New",'Distrib pivot table'!$C$2,"state","FL","group","1c6")/GETPIVOTDATA("Total-New",'Distrib pivot table'!$C$2,"state","FL"))=0,,IF(GETPIVOTDATA("Total-New",'Distrib pivot table'!$C$2,"state","FL","group","1c6")/GETPIVOTDATA("Total-New",'Distrib pivot table'!$C$2,"state","FL")&gt;0.0005,GETPIVOTDATA("Total-New",'Distrib pivot table'!$C$2,"state","FL","group","1c6")/GETPIVOTDATA("Total-New",'Distrib pivot table'!$C$2,"state","FL"),"*"))</f>
        <v>2.0156112739689687E-3</v>
      </c>
      <c r="I22" s="418">
        <f>IF((GETPIVOTDATA("Total-New",'Distrib pivot table'!$C$2,"state","GA","group","1c6")/GETPIVOTDATA("Total-New",'Distrib pivot table'!$C$2,"state","GA"))=0,,IF(GETPIVOTDATA("Total-New",'Distrib pivot table'!$C$2,"state","GA","group","1c6")/GETPIVOTDATA("Total-New",'Distrib pivot table'!$C$2,"state","GA")&gt;0.0005,GETPIVOTDATA("Total-New",'Distrib pivot table'!$C$2,"state","GA","group","1c6")/GETPIVOTDATA("Total-New",'Distrib pivot table'!$C$2,"state","GA"),"*"))</f>
        <v>7.384774999043278E-3</v>
      </c>
      <c r="J22" s="418">
        <f>IF((GETPIVOTDATA("Total-New",'Distrib pivot table'!$C$2,"state","KY","group","1c6")/GETPIVOTDATA("Total-New",'Distrib pivot table'!$C$2,"state","KY"))=0,,IF(GETPIVOTDATA("Total-New",'Distrib pivot table'!$C$2,"state","KY","group","1c6")/GETPIVOTDATA("Total-New",'Distrib pivot table'!$C$2,"state","KY")&gt;0.0005,GETPIVOTDATA("Total-New",'Distrib pivot table'!$C$2,"state","KY","group","1c6")/GETPIVOTDATA("Total-New",'Distrib pivot table'!$C$2,"state","KY"),"*"))</f>
        <v>0</v>
      </c>
      <c r="K22" s="418">
        <f>IF((GETPIVOTDATA("Total-New",'Distrib pivot table'!$C$2,"state","LA","group","1c6")/GETPIVOTDATA("Total-New",'Distrib pivot table'!$C$2,"state","LA"))=0,,IF(GETPIVOTDATA("Total-New",'Distrib pivot table'!$C$2,"state","LA","group","1c6")/GETPIVOTDATA("Total-New",'Distrib pivot table'!$C$2,"state","LA")&gt;0.0005,GETPIVOTDATA("Total-New",'Distrib pivot table'!$C$2,"state","LA","group","1c6")/GETPIVOTDATA("Total-New",'Distrib pivot table'!$C$2,"state","LA"),"*"))</f>
        <v>7.223836696492944E-3</v>
      </c>
      <c r="L22" s="418">
        <f>IF((GETPIVOTDATA("Total-New",'Distrib pivot table'!$C$2,"state","MD","group","1c6")/GETPIVOTDATA("Total-New",'Distrib pivot table'!$C$2,"state","MD"))=0,,IF(GETPIVOTDATA("Total-New",'Distrib pivot table'!$C$2,"state","MD","group","1c6")/GETPIVOTDATA("Total-New",'Distrib pivot table'!$C$2,"state","MD")&gt;0.0005,GETPIVOTDATA("Total-New",'Distrib pivot table'!$C$2,"state","MD","group","1c6")/GETPIVOTDATA("Total-New",'Distrib pivot table'!$C$2,"state","MD"),"*"))</f>
        <v>0</v>
      </c>
      <c r="M22" s="418">
        <f>IF((GETPIVOTDATA("Total-New",'Distrib pivot table'!$C$2,"state","MS","group","1c6")/GETPIVOTDATA("Total-New",'Distrib pivot table'!$C$2,"state","MS"))=0,,IF(GETPIVOTDATA("Total-New",'Distrib pivot table'!$C$2,"state","MS","group","1c6")/GETPIVOTDATA("Total-New",'Distrib pivot table'!$C$2,"state","MS")&gt;0.0005,GETPIVOTDATA("Total-New",'Distrib pivot table'!$C$2,"state","MS","group","1c6")/GETPIVOTDATA("Total-New",'Distrib pivot table'!$C$2,"state","MS"),"*"))</f>
        <v>0</v>
      </c>
      <c r="N22" s="418">
        <f>IF((GETPIVOTDATA("Total-New",'Distrib pivot table'!$C$2,"state","NC","group","1c6")/GETPIVOTDATA("Total-New",'Distrib pivot table'!$C$2,"state","NC"))=0,,IF(GETPIVOTDATA("Total-New",'Distrib pivot table'!$C$2,"state","NC","group","1c6")/GETPIVOTDATA("Total-New",'Distrib pivot table'!$C$2,"state","NC")&gt;0.0005,GETPIVOTDATA("Total-New",'Distrib pivot table'!$C$2,"state","NC","group","1c6")/GETPIVOTDATA("Total-New",'Distrib pivot table'!$C$2,"state","NC"),"*"))</f>
        <v>8.7616006220716418E-4</v>
      </c>
      <c r="O22" s="418">
        <f>IF((GETPIVOTDATA("Total-New",'Distrib pivot table'!$C$2,"state","OK","group","1c6")/GETPIVOTDATA("Total-New",'Distrib pivot table'!$C$2,"state","OK"))=0,,IF(GETPIVOTDATA("Total-New",'Distrib pivot table'!$C$2,"state","OK","group","1c6")/GETPIVOTDATA("Total-New",'Distrib pivot table'!$C$2,"state","OK")&gt;0.0005,GETPIVOTDATA("Total-New",'Distrib pivot table'!$C$2,"state","OK","group","1c6")/GETPIVOTDATA("Total-New",'Distrib pivot table'!$C$2,"state","OK"),"*"))</f>
        <v>0</v>
      </c>
      <c r="P22" s="418">
        <f>IF((GETPIVOTDATA("Total-New",'Distrib pivot table'!$C$2,"state","SC","group","1c6")/GETPIVOTDATA("Total-New",'Distrib pivot table'!$C$2,"state","SC"))=0,,IF(GETPIVOTDATA("Total-New",'Distrib pivot table'!$C$2,"state","SC","group","1c6")/GETPIVOTDATA("Total-New",'Distrib pivot table'!$C$2,"state","SC")&gt;0.0005,GETPIVOTDATA("Total-New",'Distrib pivot table'!$C$2,"state","SC","group","1c6")/GETPIVOTDATA("Total-New",'Distrib pivot table'!$C$2,"state","SC"),"*"))</f>
        <v>0</v>
      </c>
      <c r="Q22" s="418">
        <f>IF((GETPIVOTDATA("Total-New",'Distrib pivot table'!$C$2,"state","TN","group","1c6")/GETPIVOTDATA("Total-New",'Distrib pivot table'!$C$2,"state","TN"))=0,,IF(GETPIVOTDATA("Total-New",'Distrib pivot table'!$C$2,"state","TN","group","1c6")/GETPIVOTDATA("Total-New",'Distrib pivot table'!$C$2,"state","TN")&gt;0.0005,GETPIVOTDATA("Total-New",'Distrib pivot table'!$C$2,"state","TN","group","1c6")/GETPIVOTDATA("Total-New",'Distrib pivot table'!$C$2,"state","TN"),"*"))</f>
        <v>0</v>
      </c>
      <c r="R22" s="418">
        <f>IF((GETPIVOTDATA("Total-New",'Distrib pivot table'!$C$2,"state","TX","group","1c6")/GETPIVOTDATA("Total-New",'Distrib pivot table'!$C$2,"state","TX"))=0,,IF(GETPIVOTDATA("Total-New",'Distrib pivot table'!$C$2,"state","TX","group","1c6")/GETPIVOTDATA("Total-New",'Distrib pivot table'!$C$2,"state","TX")&gt;0.0005,GETPIVOTDATA("Total-New",'Distrib pivot table'!$C$2,"state","TX","group","1c6")/GETPIVOTDATA("Total-New",'Distrib pivot table'!$C$2,"state","TX"),"*"))</f>
        <v>0</v>
      </c>
      <c r="S22" s="418">
        <f>IF((GETPIVOTDATA("Total-New",'Distrib pivot table'!$C$2,"state","VA","group","1c6")/GETPIVOTDATA("Total-New",'Distrib pivot table'!$C$2,"state","VA"))=0,,IF(GETPIVOTDATA("Total-New",'Distrib pivot table'!$C$2,"state","VA","group","1c6")/GETPIVOTDATA("Total-New",'Distrib pivot table'!$C$2,"state","VA")&gt;0.0005,GETPIVOTDATA("Total-New",'Distrib pivot table'!$C$2,"state","VA","group","1c6")/GETPIVOTDATA("Total-New",'Distrib pivot table'!$C$2,"state","VA"),"*"))</f>
        <v>1.9937569899622955E-3</v>
      </c>
      <c r="T22" s="418">
        <f>IF((GETPIVOTDATA("Total-New",'Distrib pivot table'!$C$2,"state","WV","group","1c6")/GETPIVOTDATA("Total-New",'Distrib pivot table'!$C$2,"state","WV"))=0,,IF(GETPIVOTDATA("Total-New",'Distrib pivot table'!$C$2,"state","WV","group","1c6")/GETPIVOTDATA("Total-New",'Distrib pivot table'!$C$2,"state","WV")&gt;0.0005,GETPIVOTDATA("Total-New",'Distrib pivot table'!$C$2,"state","WV","group","1c6")/GETPIVOTDATA("Total-New",'Distrib pivot table'!$C$2,"state","WV"),"*"))</f>
        <v>0</v>
      </c>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row>
    <row r="23" spans="1:50" ht="12.6" customHeight="1" x14ac:dyDescent="0.2">
      <c r="A23" s="1539"/>
      <c r="B23" s="127" t="s">
        <v>295</v>
      </c>
      <c r="C23" s="371" t="s">
        <v>279</v>
      </c>
      <c r="D23" s="418">
        <f>IF(GETPIVOTDATA("Total-New",'Distrib pivot table'!$C$2,"group","1c7")/GETPIVOTDATA("Total-New",'Distrib pivot table'!$C$2)=0,,IF(GETPIVOTDATA("Total-New",'Distrib pivot table'!$C$2,"group","1c7")/GETPIVOTDATA("Total-New",'Distrib pivot table'!$C$2)&gt;0.0005,GETPIVOTDATA("Total-New",'Distrib pivot table'!$C$2,"group","1c7")/GETPIVOTDATA("Total-New",'Distrib pivot table'!$C$2),"*"))</f>
        <v>1.4580364100303664E-3</v>
      </c>
      <c r="E23" s="420">
        <f>IF((GETPIVOTDATA("Total-New",'Distrib pivot table'!$C$2,"state","AL","group","1c7")/GETPIVOTDATA("Total-New",'Distrib pivot table'!$C$2,"state","AL"))=0,,IF(GETPIVOTDATA("Total-New",'Distrib pivot table'!$C$2,"state","AL","group","1c7")/GETPIVOTDATA("Total-New",'Distrib pivot table'!$C$2,"state","AL")&gt;0.0005,GETPIVOTDATA("Total-New",'Distrib pivot table'!$C$2,"state","AL","group","1c7")/GETPIVOTDATA("Total-New",'Distrib pivot table'!$C$2,"state","AL"),"*"))</f>
        <v>5.2847198374112066E-3</v>
      </c>
      <c r="F23" s="420">
        <f>IF((GETPIVOTDATA("Total-New",'Distrib pivot table'!$C$2,"state","AR","group","1c7")/GETPIVOTDATA("Total-New",'Distrib pivot table'!$C$2,"state","AR"))=0,,IF(GETPIVOTDATA("Total-New",'Distrib pivot table'!$C$2,"state","AR","group","1c7")/GETPIVOTDATA("Total-New",'Distrib pivot table'!$C$2,"state","AR")&gt;0.0005,GETPIVOTDATA("Total-New",'Distrib pivot table'!$C$2,"state","AR","group","1c7")/GETPIVOTDATA("Total-New",'Distrib pivot table'!$C$2,"state","AR"),"*"))</f>
        <v>0</v>
      </c>
      <c r="G23" s="420">
        <f>IF((GETPIVOTDATA("Total-New",'Distrib pivot table'!$C$2,"state","DE","group","1c7")/GETPIVOTDATA("Total-New",'Distrib pivot table'!$C$2,"state","DE"))=0,,IF(GETPIVOTDATA("Total-New",'Distrib pivot table'!$C$2,"state","DE","group","1c7")/GETPIVOTDATA("Total-New",'Distrib pivot table'!$C$2,"state","DE")&gt;0.0005,GETPIVOTDATA("Total-New",'Distrib pivot table'!$C$2,"state","DE","group","1c7")/GETPIVOTDATA("Total-New",'Distrib pivot table'!$C$2,"state","DE"),"*"))</f>
        <v>0</v>
      </c>
      <c r="H23" s="420">
        <f>IF((GETPIVOTDATA("Total-New",'Distrib pivot table'!$C$2,"state","FL","group","1c7")/GETPIVOTDATA("Total-New",'Distrib pivot table'!$C$2,"state","FL"))=0,,IF(GETPIVOTDATA("Total-New",'Distrib pivot table'!$C$2,"state","FL","group","1c7")/GETPIVOTDATA("Total-New",'Distrib pivot table'!$C$2,"state","FL")&gt;0.0005,GETPIVOTDATA("Total-New",'Distrib pivot table'!$C$2,"state","FL","group","1c7")/GETPIVOTDATA("Total-New",'Distrib pivot table'!$C$2,"state","FL"),"*"))</f>
        <v>0</v>
      </c>
      <c r="I23" s="420">
        <f>IF((GETPIVOTDATA("Total-New",'Distrib pivot table'!$C$2,"state","GA","group","1c7")/GETPIVOTDATA("Total-New",'Distrib pivot table'!$C$2,"state","GA"))=0,,IF(GETPIVOTDATA("Total-New",'Distrib pivot table'!$C$2,"state","GA","group","1c7")/GETPIVOTDATA("Total-New",'Distrib pivot table'!$C$2,"state","GA")&gt;0.0005,GETPIVOTDATA("Total-New",'Distrib pivot table'!$C$2,"state","GA","group","1c7")/GETPIVOTDATA("Total-New",'Distrib pivot table'!$C$2,"state","GA"),"*"))</f>
        <v>0</v>
      </c>
      <c r="J23" s="420">
        <f>IF((GETPIVOTDATA("Total-New",'Distrib pivot table'!$C$2,"state","KY","group","1c7")/GETPIVOTDATA("Total-New",'Distrib pivot table'!$C$2,"state","KY"))=0,,IF(GETPIVOTDATA("Total-New",'Distrib pivot table'!$C$2,"state","KY","group","1c7")/GETPIVOTDATA("Total-New",'Distrib pivot table'!$C$2,"state","KY")&gt;0.0005,GETPIVOTDATA("Total-New",'Distrib pivot table'!$C$2,"state","KY","group","1c7")/GETPIVOTDATA("Total-New",'Distrib pivot table'!$C$2,"state","KY"),"*"))</f>
        <v>0</v>
      </c>
      <c r="K23" s="420">
        <f>IF((GETPIVOTDATA("Total-New",'Distrib pivot table'!$C$2,"state","LA","group","1c7")/GETPIVOTDATA("Total-New",'Distrib pivot table'!$C$2,"state","LA"))=0,,IF(GETPIVOTDATA("Total-New",'Distrib pivot table'!$C$2,"state","LA","group","1c7")/GETPIVOTDATA("Total-New",'Distrib pivot table'!$C$2,"state","LA")&gt;0.0005,GETPIVOTDATA("Total-New",'Distrib pivot table'!$C$2,"state","LA","group","1c7")/GETPIVOTDATA("Total-New",'Distrib pivot table'!$C$2,"state","LA"),"*"))</f>
        <v>1.0690446312414946E-2</v>
      </c>
      <c r="L23" s="420">
        <f>IF((GETPIVOTDATA("Total-New",'Distrib pivot table'!$C$2,"state","MD","group","1c7")/GETPIVOTDATA("Total-New",'Distrib pivot table'!$C$2,"state","MD"))=0,,IF(GETPIVOTDATA("Total-New",'Distrib pivot table'!$C$2,"state","MD","group","1c7")/GETPIVOTDATA("Total-New",'Distrib pivot table'!$C$2,"state","MD")&gt;0.0005,GETPIVOTDATA("Total-New",'Distrib pivot table'!$C$2,"state","MD","group","1c7")/GETPIVOTDATA("Total-New",'Distrib pivot table'!$C$2,"state","MD"),"*"))</f>
        <v>0</v>
      </c>
      <c r="M23" s="420">
        <f>IF((GETPIVOTDATA("Total-New",'Distrib pivot table'!$C$2,"state","MS","group","1c7")/GETPIVOTDATA("Total-New",'Distrib pivot table'!$C$2,"state","MS"))=0,,IF(GETPIVOTDATA("Total-New",'Distrib pivot table'!$C$2,"state","MS","group","1c7")/GETPIVOTDATA("Total-New",'Distrib pivot table'!$C$2,"state","MS")&gt;0.0005,GETPIVOTDATA("Total-New",'Distrib pivot table'!$C$2,"state","MS","group","1c7")/GETPIVOTDATA("Total-New",'Distrib pivot table'!$C$2,"state","MS"),"*"))</f>
        <v>0</v>
      </c>
      <c r="N23" s="420">
        <f>IF((GETPIVOTDATA("Total-New",'Distrib pivot table'!$C$2,"state","NC","group","1c7")/GETPIVOTDATA("Total-New",'Distrib pivot table'!$C$2,"state","NC"))=0,,IF(GETPIVOTDATA("Total-New",'Distrib pivot table'!$C$2,"state","NC","group","1c7")/GETPIVOTDATA("Total-New",'Distrib pivot table'!$C$2,"state","NC")&gt;0.0005,GETPIVOTDATA("Total-New",'Distrib pivot table'!$C$2,"state","NC","group","1c7")/GETPIVOTDATA("Total-New",'Distrib pivot table'!$C$2,"state","NC"),"*"))</f>
        <v>3.7623859761897688E-3</v>
      </c>
      <c r="O23" s="420">
        <f>IF((GETPIVOTDATA("Total-New",'Distrib pivot table'!$C$2,"state","OK","group","1c7")/GETPIVOTDATA("Total-New",'Distrib pivot table'!$C$2,"state","OK"))=0,,IF(GETPIVOTDATA("Total-New",'Distrib pivot table'!$C$2,"state","OK","group","1c7")/GETPIVOTDATA("Total-New",'Distrib pivot table'!$C$2,"state","OK")&gt;0.0005,GETPIVOTDATA("Total-New",'Distrib pivot table'!$C$2,"state","OK","group","1c7")/GETPIVOTDATA("Total-New",'Distrib pivot table'!$C$2,"state","OK"),"*"))</f>
        <v>0</v>
      </c>
      <c r="P23" s="420">
        <f>IF((GETPIVOTDATA("Total-New",'Distrib pivot table'!$C$2,"state","SC","group","1c7")/GETPIVOTDATA("Total-New",'Distrib pivot table'!$C$2,"state","SC"))=0,,IF(GETPIVOTDATA("Total-New",'Distrib pivot table'!$C$2,"state","SC","group","1c7")/GETPIVOTDATA("Total-New",'Distrib pivot table'!$C$2,"state","SC")&gt;0.0005,GETPIVOTDATA("Total-New",'Distrib pivot table'!$C$2,"state","SC","group","1c7")/GETPIVOTDATA("Total-New",'Distrib pivot table'!$C$2,"state","SC"),"*"))</f>
        <v>0</v>
      </c>
      <c r="Q23" s="420">
        <f>IF((GETPIVOTDATA("Total-New",'Distrib pivot table'!$C$2,"state","TN","group","1c7")/GETPIVOTDATA("Total-New",'Distrib pivot table'!$C$2,"state","TN"))=0,,IF(GETPIVOTDATA("Total-New",'Distrib pivot table'!$C$2,"state","TN","group","1c7")/GETPIVOTDATA("Total-New",'Distrib pivot table'!$C$2,"state","TN")&gt;0.0005,GETPIVOTDATA("Total-New",'Distrib pivot table'!$C$2,"state","TN","group","1c7")/GETPIVOTDATA("Total-New",'Distrib pivot table'!$C$2,"state","TN"),"*"))</f>
        <v>0</v>
      </c>
      <c r="R23" s="420">
        <f>IF((GETPIVOTDATA("Total-New",'Distrib pivot table'!$C$2,"state","TX","group","1c7")/GETPIVOTDATA("Total-New",'Distrib pivot table'!$C$2,"state","TX"))=0,,IF(GETPIVOTDATA("Total-New",'Distrib pivot table'!$C$2,"state","TX","group","1c7")/GETPIVOTDATA("Total-New",'Distrib pivot table'!$C$2,"state","TX")&gt;0.0005,GETPIVOTDATA("Total-New",'Distrib pivot table'!$C$2,"state","TX","group","1c7")/GETPIVOTDATA("Total-New",'Distrib pivot table'!$C$2,"state","TX"),"*"))</f>
        <v>1.9124701446037741E-3</v>
      </c>
      <c r="S23" s="420" t="str">
        <f>IF((GETPIVOTDATA("Total-New",'Distrib pivot table'!$C$2,"state","VA","group","1c7")/GETPIVOTDATA("Total-New",'Distrib pivot table'!$C$2,"state","VA"))=0,,IF(GETPIVOTDATA("Total-New",'Distrib pivot table'!$C$2,"state","VA","group","1c7")/GETPIVOTDATA("Total-New",'Distrib pivot table'!$C$2,"state","VA")&gt;0.0005,GETPIVOTDATA("Total-New",'Distrib pivot table'!$C$2,"state","VA","group","1c7")/GETPIVOTDATA("Total-New",'Distrib pivot table'!$C$2,"state","VA"),"*"))</f>
        <v>*</v>
      </c>
      <c r="T23" s="421">
        <f>IF((GETPIVOTDATA("Total-New",'Distrib pivot table'!$C$2,"state","WV","group","1c7")/GETPIVOTDATA("Total-New",'Distrib pivot table'!$C$2,"state","WV"))=0,,IF(GETPIVOTDATA("Total-New",'Distrib pivot table'!$C$2,"state","WV","group","1c7")/GETPIVOTDATA("Total-New",'Distrib pivot table'!$C$2,"state","WV")&gt;0.0005,GETPIVOTDATA("Total-New",'Distrib pivot table'!$C$2,"state","WV","group","1c7")/GETPIVOTDATA("Total-New",'Distrib pivot table'!$C$2,"state","WV"),"*"))</f>
        <v>0</v>
      </c>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row>
    <row r="24" spans="1:50" ht="25.5" customHeight="1" x14ac:dyDescent="0.2">
      <c r="A24" s="1540"/>
      <c r="B24" s="129" t="s">
        <v>86</v>
      </c>
      <c r="C24" s="372" t="s">
        <v>303</v>
      </c>
      <c r="D24" s="422">
        <f>IF(GETPIVOTDATA("Total-New",'Distrib pivot table'!$C$2,"group","1g")/GETPIVOTDATA("Total-New",'Distrib pivot table'!$C$2)=0,,IF(GETPIVOTDATA("Total-New",'Distrib pivot table'!$C$2,"group","1g")/GETPIVOTDATA("Total-New",'Distrib pivot table'!$C$2)&gt;0.0005,GETPIVOTDATA("Total-New",'Distrib pivot table'!$C$2,"group","1g")/GETPIVOTDATA("Total-New",'Distrib pivot table'!$C$2),"*"))</f>
        <v>4.4852284646651561E-3</v>
      </c>
      <c r="E24" s="422">
        <f>IF((GETPIVOTDATA("Total-New",'Distrib pivot table'!$C$2,"state","AL","group","1g")/GETPIVOTDATA("Total-New",'Distrib pivot table'!$C$2,"state","AL"))=0,,IF(GETPIVOTDATA("Total-New",'Distrib pivot table'!$C$2,"state","AL","group","1g")/GETPIVOTDATA("Total-New",'Distrib pivot table'!$C$2,"state","AL")&gt;0.0005,GETPIVOTDATA("Total-New",'Distrib pivot table'!$C$2,"state","AL","group","1g")/GETPIVOTDATA("Total-New",'Distrib pivot table'!$C$2,"state","AL"),"*"))</f>
        <v>1.2859093478856643E-3</v>
      </c>
      <c r="F24" s="422" t="str">
        <f>IF((GETPIVOTDATA("Total-New",'Distrib pivot table'!$C$2,"state","AR","group","1g")/GETPIVOTDATA("Total-New",'Distrib pivot table'!$C$2,"state","AR"))=0,,IF(GETPIVOTDATA("Total-New",'Distrib pivot table'!$C$2,"state","AR","group","1g")/GETPIVOTDATA("Total-New",'Distrib pivot table'!$C$2,"state","AR")&gt;0.0005,GETPIVOTDATA("Total-New",'Distrib pivot table'!$C$2,"state","AR","group","1g")/GETPIVOTDATA("Total-New",'Distrib pivot table'!$C$2,"state","AR"),"*"))</f>
        <v>*</v>
      </c>
      <c r="G24" s="422">
        <f>IF((GETPIVOTDATA("Total-New",'Distrib pivot table'!$C$2,"state","DE","group","1g")/GETPIVOTDATA("Total-New",'Distrib pivot table'!$C$2,"state","DE"))=0,,IF(GETPIVOTDATA("Total-New",'Distrib pivot table'!$C$2,"state","DE","group","1g")/GETPIVOTDATA("Total-New",'Distrib pivot table'!$C$2,"state","DE")&gt;0.0005,GETPIVOTDATA("Total-New",'Distrib pivot table'!$C$2,"state","DE","group","1g")/GETPIVOTDATA("Total-New",'Distrib pivot table'!$C$2,"state","DE"),"*"))</f>
        <v>2.2507530532131122E-3</v>
      </c>
      <c r="H24" s="422">
        <f>IF((GETPIVOTDATA("Total-New",'Distrib pivot table'!$C$2,"state","FL","group","1g")/GETPIVOTDATA("Total-New",'Distrib pivot table'!$C$2,"state","FL"))=0,,IF(GETPIVOTDATA("Total-New",'Distrib pivot table'!$C$2,"state","FL","group","1g")/GETPIVOTDATA("Total-New",'Distrib pivot table'!$C$2,"state","FL")&gt;0.0005,GETPIVOTDATA("Total-New",'Distrib pivot table'!$C$2,"state","FL","group","1g")/GETPIVOTDATA("Total-New",'Distrib pivot table'!$C$2,"state","FL"),"*"))</f>
        <v>0</v>
      </c>
      <c r="I24" s="422">
        <f>IF((GETPIVOTDATA("Total-New",'Distrib pivot table'!$C$2,"state","GA","group","1g")/GETPIVOTDATA("Total-New",'Distrib pivot table'!$C$2,"state","GA"))=0,,IF(GETPIVOTDATA("Total-New",'Distrib pivot table'!$C$2,"state","GA","group","1g")/GETPIVOTDATA("Total-New",'Distrib pivot table'!$C$2,"state","GA")&gt;0.0005,GETPIVOTDATA("Total-New",'Distrib pivot table'!$C$2,"state","GA","group","1g")/GETPIVOTDATA("Total-New",'Distrib pivot table'!$C$2,"state","GA"),"*"))</f>
        <v>1.2932587980429927E-2</v>
      </c>
      <c r="J24" s="422">
        <f>IF((GETPIVOTDATA("Total-New",'Distrib pivot table'!$C$2,"state","KY","group","1g")/GETPIVOTDATA("Total-New",'Distrib pivot table'!$C$2,"state","KY"))=0,,IF(GETPIVOTDATA("Total-New",'Distrib pivot table'!$C$2,"state","KY","group","1g")/GETPIVOTDATA("Total-New",'Distrib pivot table'!$C$2,"state","KY")&gt;0.0005,GETPIVOTDATA("Total-New",'Distrib pivot table'!$C$2,"state","KY","group","1g")/GETPIVOTDATA("Total-New",'Distrib pivot table'!$C$2,"state","KY"),"*"))</f>
        <v>1.3022331703126401E-2</v>
      </c>
      <c r="K24" s="422">
        <f>IF((GETPIVOTDATA("Total-New",'Distrib pivot table'!$C$2,"state","LA","group","1g")/GETPIVOTDATA("Total-New",'Distrib pivot table'!$C$2,"state","LA"))=0,,IF(GETPIVOTDATA("Total-New",'Distrib pivot table'!$C$2,"state","LA","group","1g")/GETPIVOTDATA("Total-New",'Distrib pivot table'!$C$2,"state","LA")&gt;0.0005,GETPIVOTDATA("Total-New",'Distrib pivot table'!$C$2,"state","LA","group","1g")/GETPIVOTDATA("Total-New",'Distrib pivot table'!$C$2,"state","LA"),"*"))</f>
        <v>4.9964923318137821E-3</v>
      </c>
      <c r="L24" s="422">
        <f>IF((GETPIVOTDATA("Total-New",'Distrib pivot table'!$C$2,"state","MD","group","1g")/GETPIVOTDATA("Total-New",'Distrib pivot table'!$C$2,"state","MD"))=0,,IF(GETPIVOTDATA("Total-New",'Distrib pivot table'!$C$2,"state","MD","group","1g")/GETPIVOTDATA("Total-New",'Distrib pivot table'!$C$2,"state","MD")&gt;0.0005,GETPIVOTDATA("Total-New",'Distrib pivot table'!$C$2,"state","MD","group","1g")/GETPIVOTDATA("Total-New",'Distrib pivot table'!$C$2,"state","MD"),"*"))</f>
        <v>1.4658277717064998E-3</v>
      </c>
      <c r="M24" s="422">
        <f>IF((GETPIVOTDATA("Total-New",'Distrib pivot table'!$C$2,"state","MS","group","1g")/GETPIVOTDATA("Total-New",'Distrib pivot table'!$C$2,"state","MS"))=0,,IF(GETPIVOTDATA("Total-New",'Distrib pivot table'!$C$2,"state","MS","group","1g")/GETPIVOTDATA("Total-New",'Distrib pivot table'!$C$2,"state","MS")&gt;0.0005,GETPIVOTDATA("Total-New",'Distrib pivot table'!$C$2,"state","MS","group","1g")/GETPIVOTDATA("Total-New",'Distrib pivot table'!$C$2,"state","MS"),"*"))</f>
        <v>3.7169832765544465E-3</v>
      </c>
      <c r="N24" s="422">
        <f>IF((GETPIVOTDATA("Total-New",'Distrib pivot table'!$C$2,"state","NC","group","1g")/GETPIVOTDATA("Total-New",'Distrib pivot table'!$C$2,"state","NC"))=0,,IF(GETPIVOTDATA("Total-New",'Distrib pivot table'!$C$2,"state","NC","group","1g")/GETPIVOTDATA("Total-New",'Distrib pivot table'!$C$2,"state","NC")&gt;0.0005,GETPIVOTDATA("Total-New",'Distrib pivot table'!$C$2,"state","NC","group","1g")/GETPIVOTDATA("Total-New",'Distrib pivot table'!$C$2,"state","NC"),"*"))</f>
        <v>3.4366044531083349E-3</v>
      </c>
      <c r="O24" s="422">
        <f>IF((GETPIVOTDATA("Total-New",'Distrib pivot table'!$C$2,"state","OK","group","1g")/GETPIVOTDATA("Total-New",'Distrib pivot table'!$C$2,"state","OK"))=0,,IF(GETPIVOTDATA("Total-New",'Distrib pivot table'!$C$2,"state","OK","group","1g")/GETPIVOTDATA("Total-New",'Distrib pivot table'!$C$2,"state","OK")&gt;0.0005,GETPIVOTDATA("Total-New",'Distrib pivot table'!$C$2,"state","OK","group","1g")/GETPIVOTDATA("Total-New",'Distrib pivot table'!$C$2,"state","OK"),"*"))</f>
        <v>7.7618051219211417E-3</v>
      </c>
      <c r="P24" s="422">
        <f>IF((GETPIVOTDATA("Total-New",'Distrib pivot table'!$C$2,"state","SC","group","1g")/GETPIVOTDATA("Total-New",'Distrib pivot table'!$C$2,"state","SC"))=0,,IF(GETPIVOTDATA("Total-New",'Distrib pivot table'!$C$2,"state","SC","group","1g")/GETPIVOTDATA("Total-New",'Distrib pivot table'!$C$2,"state","SC")&gt;0.0005,GETPIVOTDATA("Total-New",'Distrib pivot table'!$C$2,"state","SC","group","1g")/GETPIVOTDATA("Total-New",'Distrib pivot table'!$C$2,"state","SC"),"*"))</f>
        <v>1.6436183120720578E-3</v>
      </c>
      <c r="Q24" s="422" t="str">
        <f>IF((GETPIVOTDATA("Total-New",'Distrib pivot table'!$C$2,"state","TN","group","1g")/GETPIVOTDATA("Total-New",'Distrib pivot table'!$C$2,"state","TN"))=0,,IF(GETPIVOTDATA("Total-New",'Distrib pivot table'!$C$2,"state","TN","group","1g")/GETPIVOTDATA("Total-New",'Distrib pivot table'!$C$2,"state","TN")&gt;0.0005,GETPIVOTDATA("Total-New",'Distrib pivot table'!$C$2,"state","TN","group","1g")/GETPIVOTDATA("Total-New",'Distrib pivot table'!$C$2,"state","TN"),"*"))</f>
        <v>*</v>
      </c>
      <c r="R24" s="422">
        <f>IF((GETPIVOTDATA("Total-New",'Distrib pivot table'!$C$2,"state","TX","group","1g")/GETPIVOTDATA("Total-New",'Distrib pivot table'!$C$2,"state","TX"))=0,,IF(GETPIVOTDATA("Total-New",'Distrib pivot table'!$C$2,"state","TX","group","1g")/GETPIVOTDATA("Total-New",'Distrib pivot table'!$C$2,"state","TX")&gt;0.0005,GETPIVOTDATA("Total-New",'Distrib pivot table'!$C$2,"state","TX","group","1g")/GETPIVOTDATA("Total-New",'Distrib pivot table'!$C$2,"state","TX"),"*"))</f>
        <v>0</v>
      </c>
      <c r="S24" s="422">
        <f>IF((GETPIVOTDATA("Total-New",'Distrib pivot table'!$C$2,"state","VA","group","1g")/GETPIVOTDATA("Total-New",'Distrib pivot table'!$C$2,"state","VA"))=0,,IF(GETPIVOTDATA("Total-New",'Distrib pivot table'!$C$2,"state","VA","group","1g")/GETPIVOTDATA("Total-New",'Distrib pivot table'!$C$2,"state","VA")&gt;0.0005,GETPIVOTDATA("Total-New",'Distrib pivot table'!$C$2,"state","VA","group","1g")/GETPIVOTDATA("Total-New",'Distrib pivot table'!$C$2,"state","VA"),"*"))</f>
        <v>2.0156761604312661E-2</v>
      </c>
      <c r="T24" s="422">
        <f>IF((GETPIVOTDATA("Total-New",'Distrib pivot table'!$C$2,"state","WV","group","1g")/GETPIVOTDATA("Total-New",'Distrib pivot table'!$C$2,"state","WV"))=0,,IF(GETPIVOTDATA("Total-New",'Distrib pivot table'!$C$2,"state","WV","group","1g")/GETPIVOTDATA("Total-New",'Distrib pivot table'!$C$2,"state","WV")&gt;0.0005,GETPIVOTDATA("Total-New",'Distrib pivot table'!$C$2,"state","WV","group","1g")/GETPIVOTDATA("Total-New",'Distrib pivot table'!$C$2,"state","WV"),"*"))</f>
        <v>7.4082885758771921E-3</v>
      </c>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row>
    <row r="25" spans="1:50" s="10" customFormat="1" ht="39.75" customHeight="1" x14ac:dyDescent="0.2">
      <c r="A25" s="1531" t="s">
        <v>339</v>
      </c>
      <c r="B25" s="1532"/>
      <c r="C25" s="1532"/>
      <c r="D25" s="1532"/>
      <c r="E25" s="1532"/>
      <c r="F25" s="1532"/>
      <c r="G25" s="1532"/>
      <c r="H25" s="1532"/>
      <c r="I25" s="1532"/>
      <c r="J25" s="1532"/>
      <c r="K25" s="1532"/>
      <c r="L25" s="1532"/>
      <c r="M25" s="1532"/>
      <c r="N25" s="1532"/>
      <c r="O25" s="1532"/>
      <c r="P25" s="1532"/>
      <c r="Q25" s="1532"/>
      <c r="R25" s="1532"/>
      <c r="S25" s="1532"/>
      <c r="T25" s="1532"/>
    </row>
    <row r="26" spans="1:50" s="10" customFormat="1" ht="15.75" customHeight="1" x14ac:dyDescent="0.2">
      <c r="A26" s="55" t="s">
        <v>83</v>
      </c>
      <c r="B26" s="335"/>
      <c r="C26" s="47"/>
      <c r="D26" s="47"/>
      <c r="E26" s="47"/>
      <c r="F26" s="47"/>
      <c r="G26" s="47"/>
      <c r="H26" s="336"/>
      <c r="I26" s="47"/>
      <c r="J26" s="47"/>
      <c r="K26" s="336"/>
      <c r="L26" s="336"/>
      <c r="M26" s="336"/>
      <c r="N26" s="47"/>
      <c r="O26" s="47"/>
      <c r="P26" s="47"/>
      <c r="Q26" s="47"/>
      <c r="R26" s="47"/>
      <c r="S26" s="47"/>
      <c r="T26" s="47"/>
    </row>
    <row r="27" spans="1:50" s="10" customFormat="1" ht="15.75" customHeight="1" x14ac:dyDescent="0.2">
      <c r="A27" s="47" t="s">
        <v>0</v>
      </c>
      <c r="B27" s="335"/>
      <c r="C27" s="47"/>
      <c r="D27" s="47"/>
      <c r="E27" s="47"/>
      <c r="F27" s="47"/>
      <c r="G27" s="47"/>
      <c r="H27" s="336"/>
      <c r="I27" s="47"/>
      <c r="J27" s="47"/>
      <c r="K27" s="336"/>
      <c r="L27" s="336"/>
      <c r="M27" s="336"/>
      <c r="N27" s="47"/>
      <c r="O27" s="47"/>
      <c r="P27" s="47"/>
      <c r="Q27" s="47"/>
      <c r="R27" s="47"/>
      <c r="S27" s="47"/>
      <c r="T27" s="535" t="s">
        <v>1900</v>
      </c>
    </row>
    <row r="28" spans="1:50" s="10" customFormat="1" ht="14.25" customHeight="1" x14ac:dyDescent="0.2">
      <c r="B28" s="335"/>
      <c r="C28" s="47"/>
      <c r="D28" s="47"/>
      <c r="E28" s="47"/>
      <c r="F28" s="47"/>
      <c r="G28" s="47"/>
      <c r="H28" s="336"/>
      <c r="I28" s="47"/>
      <c r="J28" s="47"/>
      <c r="K28" s="336"/>
      <c r="L28" s="336"/>
      <c r="M28" s="336"/>
      <c r="N28" s="47"/>
      <c r="O28" s="47"/>
      <c r="P28" s="47"/>
      <c r="Q28" s="47"/>
      <c r="R28" s="47"/>
      <c r="S28" s="47"/>
    </row>
    <row r="29" spans="1:50" s="45" customFormat="1" ht="12.6" customHeight="1" x14ac:dyDescent="0.2">
      <c r="A29" s="1538" t="s">
        <v>338</v>
      </c>
      <c r="B29" s="216" t="s">
        <v>120</v>
      </c>
      <c r="C29" s="373" t="s">
        <v>281</v>
      </c>
      <c r="D29" s="423">
        <f>SUM(D30:D33)</f>
        <v>7.4935560796357478E-3</v>
      </c>
      <c r="E29" s="423">
        <f>SUM(E30:E33)</f>
        <v>2.7554452758765361E-3</v>
      </c>
      <c r="F29" s="423">
        <f t="shared" ref="F29:T29" si="3">SUM(F30:F33)</f>
        <v>5.2683569364613426E-3</v>
      </c>
      <c r="G29" s="423">
        <f t="shared" si="3"/>
        <v>1.6983562937037233E-2</v>
      </c>
      <c r="H29" s="423">
        <f t="shared" si="3"/>
        <v>9.9149591518650645E-4</v>
      </c>
      <c r="I29" s="423">
        <f t="shared" si="3"/>
        <v>5.2822483748299733E-3</v>
      </c>
      <c r="J29" s="423">
        <f t="shared" si="3"/>
        <v>1.1492367202956046E-2</v>
      </c>
      <c r="K29" s="423">
        <f t="shared" si="3"/>
        <v>3.2866563455612556E-2</v>
      </c>
      <c r="L29" s="423">
        <f t="shared" si="3"/>
        <v>4.1733262449192262E-3</v>
      </c>
      <c r="M29" s="423">
        <f t="shared" si="3"/>
        <v>4.5619269198657044E-3</v>
      </c>
      <c r="N29" s="423">
        <f t="shared" si="3"/>
        <v>8.315500150235345E-3</v>
      </c>
      <c r="O29" s="423">
        <f t="shared" si="3"/>
        <v>5.028187553371026E-3</v>
      </c>
      <c r="P29" s="423">
        <f t="shared" si="3"/>
        <v>1.1230184124207062E-2</v>
      </c>
      <c r="Q29" s="423">
        <f t="shared" si="3"/>
        <v>6.326102960810473E-3</v>
      </c>
      <c r="R29" s="423">
        <f t="shared" si="3"/>
        <v>9.3708970847020331E-3</v>
      </c>
      <c r="S29" s="423">
        <f t="shared" si="3"/>
        <v>7.2638473722136535E-3</v>
      </c>
      <c r="T29" s="423">
        <f t="shared" si="3"/>
        <v>5.9074082425051811E-3</v>
      </c>
      <c r="U29" s="28"/>
      <c r="V29" s="28"/>
      <c r="W29" s="28"/>
      <c r="X29" s="28"/>
      <c r="Y29" s="28"/>
      <c r="Z29" s="28"/>
      <c r="AA29" s="28"/>
      <c r="AB29" s="28"/>
      <c r="AC29" s="28"/>
      <c r="AD29" s="28"/>
      <c r="AE29" s="28"/>
      <c r="AF29" s="28"/>
      <c r="AG29" s="28"/>
      <c r="AH29" s="28"/>
      <c r="AI29" s="28"/>
      <c r="AJ29" s="28"/>
      <c r="AK29" s="28"/>
      <c r="AL29" s="28"/>
      <c r="AM29" s="28"/>
      <c r="AN29" s="28"/>
      <c r="AO29" s="28"/>
      <c r="AP29" s="28"/>
      <c r="AQ29" s="28"/>
      <c r="AR29" s="28"/>
      <c r="AS29" s="28"/>
      <c r="AT29" s="28"/>
      <c r="AU29" s="28"/>
      <c r="AV29" s="28"/>
      <c r="AW29" s="28"/>
      <c r="AX29" s="28"/>
    </row>
    <row r="30" spans="1:50" ht="12.6" customHeight="1" x14ac:dyDescent="0.2">
      <c r="A30" s="1541"/>
      <c r="B30" s="127" t="s">
        <v>140</v>
      </c>
      <c r="C30" s="374" t="s">
        <v>282</v>
      </c>
      <c r="D30" s="418">
        <f>IF(GETPIVOTDATA("Total-New",'Distrib pivot table'!$C$2,"group","2a1")/GETPIVOTDATA("Total-New",'Distrib pivot table'!$C$2)=0,,IF(GETPIVOTDATA("Total-New",'Distrib pivot table'!$C$2,"group","2a1")/GETPIVOTDATA("Total-New",'Distrib pivot table'!$C$2)&gt;0.0005,GETPIVOTDATA("Total-New",'Distrib pivot table'!$C$2,"group","2a1")/GETPIVOTDATA("Total-New",'Distrib pivot table'!$C$2),"*"))</f>
        <v>4.5289393163079773E-3</v>
      </c>
      <c r="E30" s="418">
        <f>IF((GETPIVOTDATA("Total-New",'Distrib pivot table'!$C$2,"state","AL","group","2a1")/GETPIVOTDATA("Total-New",'Distrib pivot table'!$C$2,"state","AL"))=0,,IF(GETPIVOTDATA("Total-New",'Distrib pivot table'!$C$2,"state","AL","group","2a1")/GETPIVOTDATA("Total-New",'Distrib pivot table'!$C$2,"state","AL")&gt;0.0005,GETPIVOTDATA("Total-New",'Distrib pivot table'!$C$2,"state","AL","group","2a1")/GETPIVOTDATA("Total-New",'Distrib pivot table'!$C$2,"state","AL"),"*"))</f>
        <v>9.205476239439311E-4</v>
      </c>
      <c r="F30" s="418">
        <f>IF((GETPIVOTDATA("Total-New",'Distrib pivot table'!$C$2,"state","AR","group","2a1")/GETPIVOTDATA("Total-New",'Distrib pivot table'!$C$2,"state","AR"))=0,,IF(GETPIVOTDATA("Total-New",'Distrib pivot table'!$C$2,"state","AR","group","2a1")/GETPIVOTDATA("Total-New",'Distrib pivot table'!$C$2,"state","AR")&gt;0.0005,GETPIVOTDATA("Total-New",'Distrib pivot table'!$C$2,"state","AR","group","2a1")/GETPIVOTDATA("Total-New",'Distrib pivot table'!$C$2,"state","AR"),"*"))</f>
        <v>5.2683569364613426E-3</v>
      </c>
      <c r="G30" s="418">
        <f>IF((GETPIVOTDATA("Total-New",'Distrib pivot table'!$C$2,"state","DE","group","2a1")/GETPIVOTDATA("Total-New",'Distrib pivot table'!$C$2,"state","DE"))=0,,IF(GETPIVOTDATA("Total-New",'Distrib pivot table'!$C$2,"state","DE","group","2a1")/GETPIVOTDATA("Total-New",'Distrib pivot table'!$C$2,"state","DE")&gt;0.0005,GETPIVOTDATA("Total-New",'Distrib pivot table'!$C$2,"state","DE","group","2a1")/GETPIVOTDATA("Total-New",'Distrib pivot table'!$C$2,"state","DE"),"*"))</f>
        <v>1.0573141297940637E-3</v>
      </c>
      <c r="H30" s="418">
        <f>IF((GETPIVOTDATA("Total-New",'Distrib pivot table'!$C$2,"state","FL","group","2a1")/GETPIVOTDATA("Total-New",'Distrib pivot table'!$C$2,"state","FL"))=0,,IF(GETPIVOTDATA("Total-New",'Distrib pivot table'!$C$2,"state","FL","group","2a1")/GETPIVOTDATA("Total-New",'Distrib pivot table'!$C$2,"state","FL")&gt;0.0005,GETPIVOTDATA("Total-New",'Distrib pivot table'!$C$2,"state","FL","group","2a1")/GETPIVOTDATA("Total-New",'Distrib pivot table'!$C$2,"state","FL"),"*"))</f>
        <v>9.9149591518650645E-4</v>
      </c>
      <c r="I30" s="418">
        <f>IF((GETPIVOTDATA("Total-New",'Distrib pivot table'!$C$2,"state","GA","group","2a1")/GETPIVOTDATA("Total-New",'Distrib pivot table'!$C$2,"state","GA"))=0,,IF(GETPIVOTDATA("Total-New",'Distrib pivot table'!$C$2,"state","GA","group","2a1")/GETPIVOTDATA("Total-New",'Distrib pivot table'!$C$2,"state","GA")&gt;0.0005,GETPIVOTDATA("Total-New",'Distrib pivot table'!$C$2,"state","GA","group","2a1")/GETPIVOTDATA("Total-New",'Distrib pivot table'!$C$2,"state","GA"),"*"))</f>
        <v>1.4894312719612049E-3</v>
      </c>
      <c r="J30" s="418">
        <f>IF((GETPIVOTDATA("Total-New",'Distrib pivot table'!$C$2,"state","KY","group","2a1")/GETPIVOTDATA("Total-New",'Distrib pivot table'!$C$2,"state","KY"))=0,,IF(GETPIVOTDATA("Total-New",'Distrib pivot table'!$C$2,"state","KY","group","2a1")/GETPIVOTDATA("Total-New",'Distrib pivot table'!$C$2,"state","KY")&gt;0.0005,GETPIVOTDATA("Total-New",'Distrib pivot table'!$C$2,"state","KY","group","2a1")/GETPIVOTDATA("Total-New",'Distrib pivot table'!$C$2,"state","KY"),"*"))</f>
        <v>2.4389440594160122E-3</v>
      </c>
      <c r="K30" s="418">
        <f>IF((GETPIVOTDATA("Total-New",'Distrib pivot table'!$C$2,"state","LA","group","2a1")/GETPIVOTDATA("Total-New",'Distrib pivot table'!$C$2,"state","LA"))=0,,IF(GETPIVOTDATA("Total-New",'Distrib pivot table'!$C$2,"state","LA","group","2a1")/GETPIVOTDATA("Total-New",'Distrib pivot table'!$C$2,"state","LA")&gt;0.0005,GETPIVOTDATA("Total-New",'Distrib pivot table'!$C$2,"state","LA","group","2a1")/GETPIVOTDATA("Total-New",'Distrib pivot table'!$C$2,"state","LA"),"*"))</f>
        <v>2.0470966842125734E-2</v>
      </c>
      <c r="L30" s="418">
        <f>IF((GETPIVOTDATA("Total-New",'Distrib pivot table'!$C$2,"state","MD","group","2a1")/GETPIVOTDATA("Total-New",'Distrib pivot table'!$C$2,"state","MD"))=0,,IF(GETPIVOTDATA("Total-New",'Distrib pivot table'!$C$2,"state","MD","group","2a1")/GETPIVOTDATA("Total-New",'Distrib pivot table'!$C$2,"state","MD")&gt;0.0005,GETPIVOTDATA("Total-New",'Distrib pivot table'!$C$2,"state","MD","group","2a1")/GETPIVOTDATA("Total-New",'Distrib pivot table'!$C$2,"state","MD"),"*"))</f>
        <v>4.1733262449192262E-3</v>
      </c>
      <c r="M30" s="418">
        <f>IF((GETPIVOTDATA("Total-New",'Distrib pivot table'!$C$2,"state","MS","group","2a1")/GETPIVOTDATA("Total-New",'Distrib pivot table'!$C$2,"state","MS"))=0,,IF(GETPIVOTDATA("Total-New",'Distrib pivot table'!$C$2,"state","MS","group","2a1")/GETPIVOTDATA("Total-New",'Distrib pivot table'!$C$2,"state","MS")&gt;0.0005,GETPIVOTDATA("Total-New",'Distrib pivot table'!$C$2,"state","MS","group","2a1")/GETPIVOTDATA("Total-New",'Distrib pivot table'!$C$2,"state","MS"),"*"))</f>
        <v>3.9691996133517397E-3</v>
      </c>
      <c r="N30" s="418">
        <f>IF((GETPIVOTDATA("Total-New",'Distrib pivot table'!$C$2,"state","NC","group","2a1")/GETPIVOTDATA("Total-New",'Distrib pivot table'!$C$2,"state","NC"))=0,,IF(GETPIVOTDATA("Total-New",'Distrib pivot table'!$C$2,"state","NC","group","2a1")/GETPIVOTDATA("Total-New",'Distrib pivot table'!$C$2,"state","NC")&gt;0.0005,GETPIVOTDATA("Total-New",'Distrib pivot table'!$C$2,"state","NC","group","2a1")/GETPIVOTDATA("Total-New",'Distrib pivot table'!$C$2,"state","NC"),"*"))</f>
        <v>3.9247636476695668E-3</v>
      </c>
      <c r="O30" s="418">
        <f>IF((GETPIVOTDATA("Total-New",'Distrib pivot table'!$C$2,"state","OK","group","2a1")/GETPIVOTDATA("Total-New",'Distrib pivot table'!$C$2,"state","OK"))=0,,IF(GETPIVOTDATA("Total-New",'Distrib pivot table'!$C$2,"state","OK","group","2a1")/GETPIVOTDATA("Total-New",'Distrib pivot table'!$C$2,"state","OK")&gt;0.0005,GETPIVOTDATA("Total-New",'Distrib pivot table'!$C$2,"state","OK","group","2a1")/GETPIVOTDATA("Total-New",'Distrib pivot table'!$C$2,"state","OK"),"*"))</f>
        <v>5.028187553371026E-3</v>
      </c>
      <c r="P30" s="418">
        <f>IF((GETPIVOTDATA("Total-New",'Distrib pivot table'!$C$2,"state","SC","group","2a1")/GETPIVOTDATA("Total-New",'Distrib pivot table'!$C$2,"state","SC"))=0,,IF(GETPIVOTDATA("Total-New",'Distrib pivot table'!$C$2,"state","SC","group","2a1")/GETPIVOTDATA("Total-New",'Distrib pivot table'!$C$2,"state","SC")&gt;0.0005,GETPIVOTDATA("Total-New",'Distrib pivot table'!$C$2,"state","SC","group","2a1")/GETPIVOTDATA("Total-New",'Distrib pivot table'!$C$2,"state","SC"),"*"))</f>
        <v>1.2436827982585661E-3</v>
      </c>
      <c r="Q30" s="418">
        <f>IF((GETPIVOTDATA("Total-New",'Distrib pivot table'!$C$2,"state","TN","group","2a1")/GETPIVOTDATA("Total-New",'Distrib pivot table'!$C$2,"state","TN"))=0,,IF(GETPIVOTDATA("Total-New",'Distrib pivot table'!$C$2,"state","TN","group","2a1")/GETPIVOTDATA("Total-New",'Distrib pivot table'!$C$2,"state","TN")&gt;0.0005,GETPIVOTDATA("Total-New",'Distrib pivot table'!$C$2,"state","TN","group","2a1")/GETPIVOTDATA("Total-New",'Distrib pivot table'!$C$2,"state","TN"),"*"))</f>
        <v>6.326102960810473E-3</v>
      </c>
      <c r="R30" s="418">
        <f>IF((GETPIVOTDATA("Total-New",'Distrib pivot table'!$C$2,"state","TX","group","2a1")/GETPIVOTDATA("Total-New",'Distrib pivot table'!$C$2,"state","TX"))=0,,IF(GETPIVOTDATA("Total-New",'Distrib pivot table'!$C$2,"state","TX","group","2a1")/GETPIVOTDATA("Total-New",'Distrib pivot table'!$C$2,"state","TX")&gt;0.0005,GETPIVOTDATA("Total-New",'Distrib pivot table'!$C$2,"state","TX","group","2a1")/GETPIVOTDATA("Total-New",'Distrib pivot table'!$C$2,"state","TX"),"*"))</f>
        <v>8.3393883987789592E-3</v>
      </c>
      <c r="S30" s="418">
        <f>IF((GETPIVOTDATA("Total-New",'Distrib pivot table'!$C$2,"state","VA","group","2a1")/GETPIVOTDATA("Total-New",'Distrib pivot table'!$C$2,"state","VA"))=0,,IF(GETPIVOTDATA("Total-New",'Distrib pivot table'!$C$2,"state","VA","group","2a1")/GETPIVOTDATA("Total-New",'Distrib pivot table'!$C$2,"state","VA")&gt;0.0005,GETPIVOTDATA("Total-New",'Distrib pivot table'!$C$2,"state","VA","group","2a1")/GETPIVOTDATA("Total-New",'Distrib pivot table'!$C$2,"state","VA"),"*"))</f>
        <v>8.4368515804552713E-4</v>
      </c>
      <c r="T30" s="418">
        <f>IF((GETPIVOTDATA("Total-New",'Distrib pivot table'!$C$2,"state","WV","group","2a1")/GETPIVOTDATA("Total-New",'Distrib pivot table'!$C$2,"state","WV"))=0,,IF(GETPIVOTDATA("Total-New",'Distrib pivot table'!$C$2,"state","WV","group","2a1")/GETPIVOTDATA("Total-New",'Distrib pivot table'!$C$2,"state","WV")&gt;0.0005,GETPIVOTDATA("Total-New",'Distrib pivot table'!$C$2,"state","WV","group","2a1")/GETPIVOTDATA("Total-New",'Distrib pivot table'!$C$2,"state","WV"),"*"))</f>
        <v>3.8450822254087543E-3</v>
      </c>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row>
    <row r="31" spans="1:50" ht="12.6" customHeight="1" x14ac:dyDescent="0.2">
      <c r="A31" s="1541"/>
      <c r="B31" s="127" t="s">
        <v>139</v>
      </c>
      <c r="C31" s="374" t="s">
        <v>283</v>
      </c>
      <c r="D31" s="418">
        <f>IF(GETPIVOTDATA("Total-New",'Distrib pivot table'!$C$2,"group","2a2")/GETPIVOTDATA("Total-New",'Distrib pivot table'!$C$2)=0,,IF(GETPIVOTDATA("Total-New",'Distrib pivot table'!$C$2,"group","2a2")/GETPIVOTDATA("Total-New",'Distrib pivot table'!$C$2)&gt;0.0005,GETPIVOTDATA("Total-New",'Distrib pivot table'!$C$2,"group","2a2")/GETPIVOTDATA("Total-New",'Distrib pivot table'!$C$2),"*"))</f>
        <v>2.9646167633277701E-3</v>
      </c>
      <c r="E31" s="418">
        <f>IF((GETPIVOTDATA("Total-New",'Distrib pivot table'!$C$2,"state","AL","group","2a2")/GETPIVOTDATA("Total-New",'Distrib pivot table'!$C$2,"state","AL"))=0,,IF(GETPIVOTDATA("Total-New",'Distrib pivot table'!$C$2,"state","AL","group","2a2")/GETPIVOTDATA("Total-New",'Distrib pivot table'!$C$2,"state","AL")&gt;0.0005,GETPIVOTDATA("Total-New",'Distrib pivot table'!$C$2,"state","AL","group","2a2")/GETPIVOTDATA("Total-New",'Distrib pivot table'!$C$2,"state","AL"),"*"))</f>
        <v>1.834897651932605E-3</v>
      </c>
      <c r="F31" s="418">
        <f>IF((GETPIVOTDATA("Total-New",'Distrib pivot table'!$C$2,"state","AR","group","2a2")/GETPIVOTDATA("Total-New",'Distrib pivot table'!$C$2,"state","AR"))=0,,IF(GETPIVOTDATA("Total-New",'Distrib pivot table'!$C$2,"state","AR","group","2a2")/GETPIVOTDATA("Total-New",'Distrib pivot table'!$C$2,"state","AR")&gt;0.0005,GETPIVOTDATA("Total-New",'Distrib pivot table'!$C$2,"state","AR","group","2a2")/GETPIVOTDATA("Total-New",'Distrib pivot table'!$C$2,"state","AR"),"*"))</f>
        <v>0</v>
      </c>
      <c r="G31" s="418">
        <f>IF((GETPIVOTDATA("Total-New",'Distrib pivot table'!$C$2,"state","DE","group","2a2")/GETPIVOTDATA("Total-New",'Distrib pivot table'!$C$2,"state","DE"))=0,,IF(GETPIVOTDATA("Total-New",'Distrib pivot table'!$C$2,"state","DE","group","2a2")/GETPIVOTDATA("Total-New",'Distrib pivot table'!$C$2,"state","DE")&gt;0.0005,GETPIVOTDATA("Total-New",'Distrib pivot table'!$C$2,"state","DE","group","2a2")/GETPIVOTDATA("Total-New",'Distrib pivot table'!$C$2,"state","DE"),"*"))</f>
        <v>1.5926248807243169E-2</v>
      </c>
      <c r="H31" s="418" t="str">
        <f>IF((GETPIVOTDATA("Total-New",'Distrib pivot table'!$C$2,"state","FL","group","2a2")/GETPIVOTDATA("Total-New",'Distrib pivot table'!$C$2,"state","FL"))=0,,IF(GETPIVOTDATA("Total-New",'Distrib pivot table'!$C$2,"state","FL","group","2a2")/GETPIVOTDATA("Total-New",'Distrib pivot table'!$C$2,"state","FL")&gt;0.0005,GETPIVOTDATA("Total-New",'Distrib pivot table'!$C$2,"state","FL","group","2a2")/GETPIVOTDATA("Total-New",'Distrib pivot table'!$C$2,"state","FL"),"*"))</f>
        <v>*</v>
      </c>
      <c r="I31" s="418">
        <f>IF((GETPIVOTDATA("Total-New",'Distrib pivot table'!$C$2,"state","GA","group","2a2")/GETPIVOTDATA("Total-New",'Distrib pivot table'!$C$2,"state","GA"))=0,,IF(GETPIVOTDATA("Total-New",'Distrib pivot table'!$C$2,"state","GA","group","2a2")/GETPIVOTDATA("Total-New",'Distrib pivot table'!$C$2,"state","GA")&gt;0.0005,GETPIVOTDATA("Total-New",'Distrib pivot table'!$C$2,"state","GA","group","2a2")/GETPIVOTDATA("Total-New",'Distrib pivot table'!$C$2,"state","GA"),"*"))</f>
        <v>3.7928171028687682E-3</v>
      </c>
      <c r="J31" s="418">
        <f>IF((GETPIVOTDATA("Total-New",'Distrib pivot table'!$C$2,"state","KY","group","2a2")/GETPIVOTDATA("Total-New",'Distrib pivot table'!$C$2,"state","KY"))=0,,IF(GETPIVOTDATA("Total-New",'Distrib pivot table'!$C$2,"state","KY","group","2a2")/GETPIVOTDATA("Total-New",'Distrib pivot table'!$C$2,"state","KY")&gt;0.0005,GETPIVOTDATA("Total-New",'Distrib pivot table'!$C$2,"state","KY","group","2a2")/GETPIVOTDATA("Total-New",'Distrib pivot table'!$C$2,"state","KY"),"*"))</f>
        <v>9.0534231435400337E-3</v>
      </c>
      <c r="K31" s="418">
        <f>IF((GETPIVOTDATA("Total-New",'Distrib pivot table'!$C$2,"state","LA","group","2a2")/GETPIVOTDATA("Total-New",'Distrib pivot table'!$C$2,"state","LA"))=0,,IF(GETPIVOTDATA("Total-New",'Distrib pivot table'!$C$2,"state","LA","group","2a2")/GETPIVOTDATA("Total-New",'Distrib pivot table'!$C$2,"state","LA")&gt;0.0005,GETPIVOTDATA("Total-New",'Distrib pivot table'!$C$2,"state","LA","group","2a2")/GETPIVOTDATA("Total-New",'Distrib pivot table'!$C$2,"state","LA"),"*"))</f>
        <v>1.2395596613486822E-2</v>
      </c>
      <c r="L31" s="418">
        <f>IF((GETPIVOTDATA("Total-New",'Distrib pivot table'!$C$2,"state","MD","group","2a2")/GETPIVOTDATA("Total-New",'Distrib pivot table'!$C$2,"state","MD"))=0,,IF(GETPIVOTDATA("Total-New",'Distrib pivot table'!$C$2,"state","MD","group","2a2")/GETPIVOTDATA("Total-New",'Distrib pivot table'!$C$2,"state","MD")&gt;0.0005,GETPIVOTDATA("Total-New",'Distrib pivot table'!$C$2,"state","MD","group","2a2")/GETPIVOTDATA("Total-New",'Distrib pivot table'!$C$2,"state","MD"),"*"))</f>
        <v>0</v>
      </c>
      <c r="M31" s="418">
        <f>IF((GETPIVOTDATA("Total-New",'Distrib pivot table'!$C$2,"state","MS","group","2a2")/GETPIVOTDATA("Total-New",'Distrib pivot table'!$C$2,"state","MS"))=0,,IF(GETPIVOTDATA("Total-New",'Distrib pivot table'!$C$2,"state","MS","group","2a2")/GETPIVOTDATA("Total-New",'Distrib pivot table'!$C$2,"state","MS")&gt;0.0005,GETPIVOTDATA("Total-New",'Distrib pivot table'!$C$2,"state","MS","group","2a2")/GETPIVOTDATA("Total-New",'Distrib pivot table'!$C$2,"state","MS"),"*"))</f>
        <v>0</v>
      </c>
      <c r="N31" s="418">
        <f>IF((GETPIVOTDATA("Total-New",'Distrib pivot table'!$C$2,"state","NC","group","2a2")/GETPIVOTDATA("Total-New",'Distrib pivot table'!$C$2,"state","NC"))=0,,IF(GETPIVOTDATA("Total-New",'Distrib pivot table'!$C$2,"state","NC","group","2a2")/GETPIVOTDATA("Total-New",'Distrib pivot table'!$C$2,"state","NC")&gt;0.0005,GETPIVOTDATA("Total-New",'Distrib pivot table'!$C$2,"state","NC","group","2a2")/GETPIVOTDATA("Total-New",'Distrib pivot table'!$C$2,"state","NC"),"*"))</f>
        <v>4.3907365025657782E-3</v>
      </c>
      <c r="O31" s="418">
        <f>IF((GETPIVOTDATA("Total-New",'Distrib pivot table'!$C$2,"state","OK","group","2a2")/GETPIVOTDATA("Total-New",'Distrib pivot table'!$C$2,"state","OK"))=0,,IF(GETPIVOTDATA("Total-New",'Distrib pivot table'!$C$2,"state","OK","group","2a2")/GETPIVOTDATA("Total-New",'Distrib pivot table'!$C$2,"state","OK")&gt;0.0005,GETPIVOTDATA("Total-New",'Distrib pivot table'!$C$2,"state","OK","group","2a2")/GETPIVOTDATA("Total-New",'Distrib pivot table'!$C$2,"state","OK"),"*"))</f>
        <v>0</v>
      </c>
      <c r="P31" s="418">
        <f>IF((GETPIVOTDATA("Total-New",'Distrib pivot table'!$C$2,"state","SC","group","2a2")/GETPIVOTDATA("Total-New",'Distrib pivot table'!$C$2,"state","SC"))=0,,IF(GETPIVOTDATA("Total-New",'Distrib pivot table'!$C$2,"state","SC","group","2a2")/GETPIVOTDATA("Total-New",'Distrib pivot table'!$C$2,"state","SC")&gt;0.0005,GETPIVOTDATA("Total-New",'Distrib pivot table'!$C$2,"state","SC","group","2a2")/GETPIVOTDATA("Total-New",'Distrib pivot table'!$C$2,"state","SC"),"*"))</f>
        <v>6.6239814625136473E-3</v>
      </c>
      <c r="Q31" s="418">
        <f>IF((GETPIVOTDATA("Total-New",'Distrib pivot table'!$C$2,"state","TN","group","2a2")/GETPIVOTDATA("Total-New",'Distrib pivot table'!$C$2,"state","TN"))=0,,IF(GETPIVOTDATA("Total-New",'Distrib pivot table'!$C$2,"state","TN","group","2a2")/GETPIVOTDATA("Total-New",'Distrib pivot table'!$C$2,"state","TN")&gt;0.0005,GETPIVOTDATA("Total-New",'Distrib pivot table'!$C$2,"state","TN","group","2a2")/GETPIVOTDATA("Total-New",'Distrib pivot table'!$C$2,"state","TN"),"*"))</f>
        <v>0</v>
      </c>
      <c r="R31" s="418">
        <f>IF((GETPIVOTDATA("Total-New",'Distrib pivot table'!$C$2,"state","TX","group","2a2")/GETPIVOTDATA("Total-New",'Distrib pivot table'!$C$2,"state","TX"))=0,,IF(GETPIVOTDATA("Total-New",'Distrib pivot table'!$C$2,"state","TX","group","2a2")/GETPIVOTDATA("Total-New",'Distrib pivot table'!$C$2,"state","TX")&gt;0.0005,GETPIVOTDATA("Total-New",'Distrib pivot table'!$C$2,"state","TX","group","2a2")/GETPIVOTDATA("Total-New",'Distrib pivot table'!$C$2,"state","TX"),"*"))</f>
        <v>1.0315086859230731E-3</v>
      </c>
      <c r="S31" s="418">
        <f>IF((GETPIVOTDATA("Total-New",'Distrib pivot table'!$C$2,"state","VA","group","2a2")/GETPIVOTDATA("Total-New",'Distrib pivot table'!$C$2,"state","VA"))=0,,IF(GETPIVOTDATA("Total-New",'Distrib pivot table'!$C$2,"state","VA","group","2a2")/GETPIVOTDATA("Total-New",'Distrib pivot table'!$C$2,"state","VA")&gt;0.0005,GETPIVOTDATA("Total-New",'Distrib pivot table'!$C$2,"state","VA","group","2a2")/GETPIVOTDATA("Total-New",'Distrib pivot table'!$C$2,"state","VA"),"*"))</f>
        <v>6.420162214168126E-3</v>
      </c>
      <c r="T31" s="418">
        <f>IF((GETPIVOTDATA("Total-New",'Distrib pivot table'!$C$2,"state","WV","group","2a2")/GETPIVOTDATA("Total-New",'Distrib pivot table'!$C$2,"state","WV"))=0,,IF(GETPIVOTDATA("Total-New",'Distrib pivot table'!$C$2,"state","WV","group","2a2")/GETPIVOTDATA("Total-New",'Distrib pivot table'!$C$2,"state","WV")&gt;0.0005,GETPIVOTDATA("Total-New",'Distrib pivot table'!$C$2,"state","WV","group","2a2")/GETPIVOTDATA("Total-New",'Distrib pivot table'!$C$2,"state","WV"),"*"))</f>
        <v>6.6744541106014839E-4</v>
      </c>
      <c r="U31" s="3"/>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row>
    <row r="32" spans="1:50" ht="24" x14ac:dyDescent="0.2">
      <c r="A32" s="1541"/>
      <c r="B32" s="130" t="s">
        <v>138</v>
      </c>
      <c r="C32" s="374" t="s">
        <v>284</v>
      </c>
      <c r="D32" s="418" t="str">
        <f>IF(GETPIVOTDATA("Total-New",'Distrib pivot table'!$C$2,"group","2a3")/GETPIVOTDATA("Total-New",'Distrib pivot table'!$C$2)=0,,IF(GETPIVOTDATA("Total-New",'Distrib pivot table'!$C$2,"group","2a3")/GETPIVOTDATA("Total-New",'Distrib pivot table'!$C$2)&gt;0.0005,GETPIVOTDATA("Total-New",'Distrib pivot table'!$C$2,"group","2a3")/GETPIVOTDATA("Total-New",'Distrib pivot table'!$C$2),"*"))</f>
        <v>*</v>
      </c>
      <c r="E32" s="418" t="str">
        <f>IF((GETPIVOTDATA("Total-New",'Distrib pivot table'!$C$2,"state","AL","group","2a3")/GETPIVOTDATA("Total-New",'Distrib pivot table'!$C$2,"state","AL"))=0,,IF(GETPIVOTDATA("Total-New",'Distrib pivot table'!$C$2,"state","AL","group","2a3")/GETPIVOTDATA("Total-New",'Distrib pivot table'!$C$2,"state","AL")&gt;0.0005,GETPIVOTDATA("Total-New",'Distrib pivot table'!$C$2,"state","AL","group","2a3")/GETPIVOTDATA("Total-New",'Distrib pivot table'!$C$2,"state","AL"),"*"))</f>
        <v>*</v>
      </c>
      <c r="F32" s="418">
        <f>IF((GETPIVOTDATA("Total-New",'Distrib pivot table'!$C$2,"state","AR","group","2a3")/GETPIVOTDATA("Total-New",'Distrib pivot table'!$C$2,"state","AR"))=0,,IF(GETPIVOTDATA("Total-New",'Distrib pivot table'!$C$2,"state","AR","group","2a3")/GETPIVOTDATA("Total-New",'Distrib pivot table'!$C$2,"state","AR")&gt;0.0005,GETPIVOTDATA("Total-New",'Distrib pivot table'!$C$2,"state","AR","group","2a3")/GETPIVOTDATA("Total-New",'Distrib pivot table'!$C$2,"state","AR"),"*"))</f>
        <v>0</v>
      </c>
      <c r="G32" s="418" t="str">
        <f>IF((GETPIVOTDATA("Total-New",'Distrib pivot table'!$C$2,"state","DE","group","2a3")/GETPIVOTDATA("Total-New",'Distrib pivot table'!$C$2,"state","DE"))=0,,IF(GETPIVOTDATA("Total-New",'Distrib pivot table'!$C$2,"state","DE","group","2a3")/GETPIVOTDATA("Total-New",'Distrib pivot table'!$C$2,"state","DE")&gt;0.0005,GETPIVOTDATA("Total-New",'Distrib pivot table'!$C$2,"state","DE","group","2a3")/GETPIVOTDATA("Total-New",'Distrib pivot table'!$C$2,"state","DE"),"*"))</f>
        <v>*</v>
      </c>
      <c r="H32" s="418" t="str">
        <f>IF((GETPIVOTDATA("Total-New",'Distrib pivot table'!$C$2,"state","FL","group","2a3")/GETPIVOTDATA("Total-New",'Distrib pivot table'!$C$2,"state","FL"))=0,,IF(GETPIVOTDATA("Total-New",'Distrib pivot table'!$C$2,"state","FL","group","2a3")/GETPIVOTDATA("Total-New",'Distrib pivot table'!$C$2,"state","FL")&gt;0.0005,GETPIVOTDATA("Total-New",'Distrib pivot table'!$C$2,"state","FL","group","2a3")/GETPIVOTDATA("Total-New",'Distrib pivot table'!$C$2,"state","FL"),"*"))</f>
        <v>*</v>
      </c>
      <c r="I32" s="418" t="str">
        <f>IF((GETPIVOTDATA("Total-New",'Distrib pivot table'!$C$2,"state","GA","group","2a3")/GETPIVOTDATA("Total-New",'Distrib pivot table'!$C$2,"state","GA"))=0,,IF(GETPIVOTDATA("Total-New",'Distrib pivot table'!$C$2,"state","GA","group","2a3")/GETPIVOTDATA("Total-New",'Distrib pivot table'!$C$2,"state","GA")&gt;0.0005,GETPIVOTDATA("Total-New",'Distrib pivot table'!$C$2,"state","GA","group","2a3")/GETPIVOTDATA("Total-New",'Distrib pivot table'!$C$2,"state","GA"),"*"))</f>
        <v>*</v>
      </c>
      <c r="J32" s="418" t="str">
        <f>IF((GETPIVOTDATA("Total-New",'Distrib pivot table'!$C$2,"state","KY","group","2a3")/GETPIVOTDATA("Total-New",'Distrib pivot table'!$C$2,"state","KY"))=0,,IF(GETPIVOTDATA("Total-New",'Distrib pivot table'!$C$2,"state","KY","group","2a3")/GETPIVOTDATA("Total-New",'Distrib pivot table'!$C$2,"state","KY")&gt;0.0005,GETPIVOTDATA("Total-New",'Distrib pivot table'!$C$2,"state","KY","group","2a3")/GETPIVOTDATA("Total-New",'Distrib pivot table'!$C$2,"state","KY"),"*"))</f>
        <v>*</v>
      </c>
      <c r="K32" s="418">
        <f>IF((GETPIVOTDATA("Total-New",'Distrib pivot table'!$C$2,"state","LA","group","2a3")/GETPIVOTDATA("Total-New",'Distrib pivot table'!$C$2,"state","LA"))=0,,IF(GETPIVOTDATA("Total-New",'Distrib pivot table'!$C$2,"state","LA","group","2a3")/GETPIVOTDATA("Total-New",'Distrib pivot table'!$C$2,"state","LA")&gt;0.0005,GETPIVOTDATA("Total-New",'Distrib pivot table'!$C$2,"state","LA","group","2a3")/GETPIVOTDATA("Total-New",'Distrib pivot table'!$C$2,"state","LA"),"*"))</f>
        <v>0</v>
      </c>
      <c r="L32" s="418">
        <f>IF((GETPIVOTDATA("Total-New",'Distrib pivot table'!$C$2,"state","MD","group","2a3")/GETPIVOTDATA("Total-New",'Distrib pivot table'!$C$2,"state","MD"))=0,,IF(GETPIVOTDATA("Total-New",'Distrib pivot table'!$C$2,"state","MD","group","2a3")/GETPIVOTDATA("Total-New",'Distrib pivot table'!$C$2,"state","MD")&gt;0.0005,GETPIVOTDATA("Total-New",'Distrib pivot table'!$C$2,"state","MD","group","2a3")/GETPIVOTDATA("Total-New",'Distrib pivot table'!$C$2,"state","MD"),"*"))</f>
        <v>0</v>
      </c>
      <c r="M32" s="418">
        <f>IF((GETPIVOTDATA("Total-New",'Distrib pivot table'!$C$2,"state","MS","group","2a3")/GETPIVOTDATA("Total-New",'Distrib pivot table'!$C$2,"state","MS"))=0,,IF(GETPIVOTDATA("Total-New",'Distrib pivot table'!$C$2,"state","MS","group","2a3")/GETPIVOTDATA("Total-New",'Distrib pivot table'!$C$2,"state","MS")&gt;0.0005,GETPIVOTDATA("Total-New",'Distrib pivot table'!$C$2,"state","MS","group","2a3")/GETPIVOTDATA("Total-New",'Distrib pivot table'!$C$2,"state","MS"),"*"))</f>
        <v>0</v>
      </c>
      <c r="N32" s="418" t="str">
        <f>IF((GETPIVOTDATA("Total-New",'Distrib pivot table'!$C$2,"state","NC","group","2a3")/GETPIVOTDATA("Total-New",'Distrib pivot table'!$C$2,"state","NC"))=0,,IF(GETPIVOTDATA("Total-New",'Distrib pivot table'!$C$2,"state","NC","group","2a3")/GETPIVOTDATA("Total-New",'Distrib pivot table'!$C$2,"state","NC")&gt;0.0005,GETPIVOTDATA("Total-New",'Distrib pivot table'!$C$2,"state","NC","group","2a3")/GETPIVOTDATA("Total-New",'Distrib pivot table'!$C$2,"state","NC"),"*"))</f>
        <v>*</v>
      </c>
      <c r="O32" s="418">
        <f>IF((GETPIVOTDATA("Total-New",'Distrib pivot table'!$C$2,"state","OK","group","2a3")/GETPIVOTDATA("Total-New",'Distrib pivot table'!$C$2,"state","OK"))=0,,IF(GETPIVOTDATA("Total-New",'Distrib pivot table'!$C$2,"state","OK","group","2a3")/GETPIVOTDATA("Total-New",'Distrib pivot table'!$C$2,"state","OK")&gt;0.0005,GETPIVOTDATA("Total-New",'Distrib pivot table'!$C$2,"state","OK","group","2a3")/GETPIVOTDATA("Total-New",'Distrib pivot table'!$C$2,"state","OK"),"*"))</f>
        <v>0</v>
      </c>
      <c r="P32" s="418">
        <f>IF((GETPIVOTDATA("Total-New",'Distrib pivot table'!$C$2,"state","SC","group","2a3")/GETPIVOTDATA("Total-New",'Distrib pivot table'!$C$2,"state","SC"))=0,,IF(GETPIVOTDATA("Total-New",'Distrib pivot table'!$C$2,"state","SC","group","2a3")/GETPIVOTDATA("Total-New",'Distrib pivot table'!$C$2,"state","SC")&gt;0.0005,GETPIVOTDATA("Total-New",'Distrib pivot table'!$C$2,"state","SC","group","2a3")/GETPIVOTDATA("Total-New",'Distrib pivot table'!$C$2,"state","SC"),"*"))</f>
        <v>3.3625198634348497E-3</v>
      </c>
      <c r="Q32" s="418">
        <f>IF((GETPIVOTDATA("Total-New",'Distrib pivot table'!$C$2,"state","TN","group","2a3")/GETPIVOTDATA("Total-New",'Distrib pivot table'!$C$2,"state","TN"))=0,,IF(GETPIVOTDATA("Total-New",'Distrib pivot table'!$C$2,"state","TN","group","2a3")/GETPIVOTDATA("Total-New",'Distrib pivot table'!$C$2,"state","TN")&gt;0.0005,GETPIVOTDATA("Total-New",'Distrib pivot table'!$C$2,"state","TN","group","2a3")/GETPIVOTDATA("Total-New",'Distrib pivot table'!$C$2,"state","TN"),"*"))</f>
        <v>0</v>
      </c>
      <c r="R32" s="418">
        <f>IF((GETPIVOTDATA("Total-New",'Distrib pivot table'!$C$2,"state","TX","group","2a3")/GETPIVOTDATA("Total-New",'Distrib pivot table'!$C$2,"state","TX"))=0,,IF(GETPIVOTDATA("Total-New",'Distrib pivot table'!$C$2,"state","TX","group","2a3")/GETPIVOTDATA("Total-New",'Distrib pivot table'!$C$2,"state","TX")&gt;0.0005,GETPIVOTDATA("Total-New",'Distrib pivot table'!$C$2,"state","TX","group","2a3")/GETPIVOTDATA("Total-New",'Distrib pivot table'!$C$2,"state","TX"),"*"))</f>
        <v>0</v>
      </c>
      <c r="S32" s="418">
        <f>IF((GETPIVOTDATA("Total-New",'Distrib pivot table'!$C$2,"state","VA","group","2a3")/GETPIVOTDATA("Total-New",'Distrib pivot table'!$C$2,"state","VA"))=0,,IF(GETPIVOTDATA("Total-New",'Distrib pivot table'!$C$2,"state","VA","group","2a3")/GETPIVOTDATA("Total-New",'Distrib pivot table'!$C$2,"state","VA")&gt;0.0005,GETPIVOTDATA("Total-New",'Distrib pivot table'!$C$2,"state","VA","group","2a3")/GETPIVOTDATA("Total-New",'Distrib pivot table'!$C$2,"state","VA"),"*"))</f>
        <v>0</v>
      </c>
      <c r="T32" s="418">
        <f>IF((GETPIVOTDATA("Total-New",'Distrib pivot table'!$C$2,"state","WV","group","2a3")/GETPIVOTDATA("Total-New",'Distrib pivot table'!$C$2,"state","WV"))=0,,IF(GETPIVOTDATA("Total-New",'Distrib pivot table'!$C$2,"state","WV","group","2a3")/GETPIVOTDATA("Total-New",'Distrib pivot table'!$C$2,"state","WV")&gt;0.0005,GETPIVOTDATA("Total-New",'Distrib pivot table'!$C$2,"state","WV","group","2a3")/GETPIVOTDATA("Total-New",'Distrib pivot table'!$C$2,"state","WV"),"*"))</f>
        <v>0</v>
      </c>
      <c r="U32" s="3"/>
      <c r="V32" s="3"/>
      <c r="W32" s="3"/>
      <c r="X32" s="3"/>
      <c r="Y32" s="3"/>
      <c r="Z32" s="3"/>
      <c r="AA32" s="3"/>
      <c r="AB32" s="3"/>
      <c r="AC32" s="3"/>
      <c r="AD32" s="3"/>
      <c r="AE32" s="3"/>
      <c r="AF32" s="3"/>
      <c r="AG32" s="3"/>
      <c r="AH32" s="3"/>
      <c r="AI32" s="3"/>
      <c r="AJ32" s="3"/>
      <c r="AK32" s="3"/>
      <c r="AL32" s="3"/>
      <c r="AM32" s="3"/>
      <c r="AN32" s="3"/>
      <c r="AO32" s="3"/>
      <c r="AP32" s="3"/>
      <c r="AQ32" s="3"/>
      <c r="AR32" s="3"/>
      <c r="AS32" s="3"/>
      <c r="AT32" s="3"/>
      <c r="AU32" s="3"/>
      <c r="AV32" s="3"/>
      <c r="AW32" s="3"/>
      <c r="AX32" s="3"/>
    </row>
    <row r="33" spans="1:50" ht="36" x14ac:dyDescent="0.2">
      <c r="A33" s="1541"/>
      <c r="B33" s="130" t="s">
        <v>141</v>
      </c>
      <c r="C33" s="374" t="s">
        <v>285</v>
      </c>
      <c r="D33" s="418" t="str">
        <f>IF(GETPIVOTDATA("Total-New",'Distrib pivot table'!$C$2,"group","2a4")/GETPIVOTDATA("Total-New",'Distrib pivot table'!$C$2)=0,,IF(GETPIVOTDATA("Total-New",'Distrib pivot table'!$C$2,"group","2a4")/GETPIVOTDATA("Total-New",'Distrib pivot table'!$C$2)&gt;0.0005,GETPIVOTDATA("Total-New",'Distrib pivot table'!$C$2,"group","2a4")/GETPIVOTDATA("Total-New",'Distrib pivot table'!$C$2),"*"))</f>
        <v>*</v>
      </c>
      <c r="E33" s="418" t="str">
        <f>IF((GETPIVOTDATA("Total-New",'Distrib pivot table'!$C$2,"state","AL","group","2a4")/GETPIVOTDATA("Total-New",'Distrib pivot table'!$C$2,"state","AL"))=0,,IF(GETPIVOTDATA("Total-New",'Distrib pivot table'!$C$2,"state","AL","group","2a4")/GETPIVOTDATA("Total-New",'Distrib pivot table'!$C$2,"state","AL")&gt;0.0005,GETPIVOTDATA("Total-New",'Distrib pivot table'!$C$2,"state","AL","group","2a4")/GETPIVOTDATA("Total-New",'Distrib pivot table'!$C$2,"state","AL"),"*"))</f>
        <v>*</v>
      </c>
      <c r="F33" s="418">
        <f>IF((GETPIVOTDATA("Total-New",'Distrib pivot table'!$C$2,"state","AR","group","2a4")/GETPIVOTDATA("Total-New",'Distrib pivot table'!$C$2,"state","AR"))=0,,IF(GETPIVOTDATA("Total-New",'Distrib pivot table'!$C$2,"state","AR","group","2a4")/GETPIVOTDATA("Total-New",'Distrib pivot table'!$C$2,"state","AR")&gt;0.0005,GETPIVOTDATA("Total-New",'Distrib pivot table'!$C$2,"state","AR","group","2a4")/GETPIVOTDATA("Total-New",'Distrib pivot table'!$C$2,"state","AR"),"*"))</f>
        <v>0</v>
      </c>
      <c r="G33" s="418">
        <f>IF((GETPIVOTDATA("Total-New",'Distrib pivot table'!$C$2,"state","DE","group","2a4")/GETPIVOTDATA("Total-New",'Distrib pivot table'!$C$2,"state","DE"))=0,,IF(GETPIVOTDATA("Total-New",'Distrib pivot table'!$C$2,"state","DE","group","2a4")/GETPIVOTDATA("Total-New",'Distrib pivot table'!$C$2,"state","DE")&gt;0.0005,GETPIVOTDATA("Total-New",'Distrib pivot table'!$C$2,"state","DE","group","2a4")/GETPIVOTDATA("Total-New",'Distrib pivot table'!$C$2,"state","DE"),"*"))</f>
        <v>0</v>
      </c>
      <c r="H33" s="418">
        <f>IF((GETPIVOTDATA("Total-New",'Distrib pivot table'!$C$2,"state","FL","group","2a4")/GETPIVOTDATA("Total-New",'Distrib pivot table'!$C$2,"state","FL"))=0,,IF(GETPIVOTDATA("Total-New",'Distrib pivot table'!$C$2,"state","FL","group","2a4")/GETPIVOTDATA("Total-New",'Distrib pivot table'!$C$2,"state","FL")&gt;0.0005,GETPIVOTDATA("Total-New",'Distrib pivot table'!$C$2,"state","FL","group","2a4")/GETPIVOTDATA("Total-New",'Distrib pivot table'!$C$2,"state","FL"),"*"))</f>
        <v>0</v>
      </c>
      <c r="I33" s="418">
        <f>IF((GETPIVOTDATA("Total-New",'Distrib pivot table'!$C$2,"state","GA","group","2a4")/GETPIVOTDATA("Total-New",'Distrib pivot table'!$C$2,"state","GA"))=0,,IF(GETPIVOTDATA("Total-New",'Distrib pivot table'!$C$2,"state","GA","group","2a4")/GETPIVOTDATA("Total-New",'Distrib pivot table'!$C$2,"state","GA")&gt;0.0005,GETPIVOTDATA("Total-New",'Distrib pivot table'!$C$2,"state","GA","group","2a4")/GETPIVOTDATA("Total-New",'Distrib pivot table'!$C$2,"state","GA"),"*"))</f>
        <v>0</v>
      </c>
      <c r="J33" s="418">
        <f>IF((GETPIVOTDATA("Total-New",'Distrib pivot table'!$C$2,"state","KY","group","2a4")/GETPIVOTDATA("Total-New",'Distrib pivot table'!$C$2,"state","KY"))=0,,IF(GETPIVOTDATA("Total-New",'Distrib pivot table'!$C$2,"state","KY","group","2a4")/GETPIVOTDATA("Total-New",'Distrib pivot table'!$C$2,"state","KY")&gt;0.0005,GETPIVOTDATA("Total-New",'Distrib pivot table'!$C$2,"state","KY","group","2a4")/GETPIVOTDATA("Total-New",'Distrib pivot table'!$C$2,"state","KY"),"*"))</f>
        <v>0</v>
      </c>
      <c r="K33" s="418" t="str">
        <f>IF((GETPIVOTDATA("Total-New",'Distrib pivot table'!$C$2,"state","LA","group","2a4")/GETPIVOTDATA("Total-New",'Distrib pivot table'!$C$2,"state","LA"))=0,,IF(GETPIVOTDATA("Total-New",'Distrib pivot table'!$C$2,"state","LA","group","2a4")/GETPIVOTDATA("Total-New",'Distrib pivot table'!$C$2,"state","LA")&gt;0.0005,GETPIVOTDATA("Total-New",'Distrib pivot table'!$C$2,"state","LA","group","2a4")/GETPIVOTDATA("Total-New",'Distrib pivot table'!$C$2,"state","LA"),"*"))</f>
        <v>*</v>
      </c>
      <c r="L33" s="418">
        <f>IF((GETPIVOTDATA("Total-New",'Distrib pivot table'!$C$2,"state","MD","group","2a4")/GETPIVOTDATA("Total-New",'Distrib pivot table'!$C$2,"state","MD"))=0,,IF(GETPIVOTDATA("Total-New",'Distrib pivot table'!$C$2,"state","MD","group","2a4")/GETPIVOTDATA("Total-New",'Distrib pivot table'!$C$2,"state","MD")&gt;0.0005,GETPIVOTDATA("Total-New",'Distrib pivot table'!$C$2,"state","MD","group","2a4")/GETPIVOTDATA("Total-New",'Distrib pivot table'!$C$2,"state","MD"),"*"))</f>
        <v>0</v>
      </c>
      <c r="M33" s="418">
        <f>IF((GETPIVOTDATA("Total-New",'Distrib pivot table'!$C$2,"state","MS","group","2a4")/GETPIVOTDATA("Total-New",'Distrib pivot table'!$C$2,"state","MS"))=0,,IF(GETPIVOTDATA("Total-New",'Distrib pivot table'!$C$2,"state","MS","group","2a4")/GETPIVOTDATA("Total-New",'Distrib pivot table'!$C$2,"state","MS")&gt;0.0005,GETPIVOTDATA("Total-New",'Distrib pivot table'!$C$2,"state","MS","group","2a4")/GETPIVOTDATA("Total-New",'Distrib pivot table'!$C$2,"state","MS"),"*"))</f>
        <v>5.9272730651396452E-4</v>
      </c>
      <c r="N33" s="418">
        <f>IF((GETPIVOTDATA("Total-New",'Distrib pivot table'!$C$2,"state","NC","group","2a4")/GETPIVOTDATA("Total-New",'Distrib pivot table'!$C$2,"state","NC"))=0,,IF(GETPIVOTDATA("Total-New",'Distrib pivot table'!$C$2,"state","NC","group","2a4")/GETPIVOTDATA("Total-New",'Distrib pivot table'!$C$2,"state","NC")&gt;0.0005,GETPIVOTDATA("Total-New",'Distrib pivot table'!$C$2,"state","NC","group","2a4")/GETPIVOTDATA("Total-New",'Distrib pivot table'!$C$2,"state","NC"),"*"))</f>
        <v>0</v>
      </c>
      <c r="O33" s="418">
        <f>IF((GETPIVOTDATA("Total-New",'Distrib pivot table'!$C$2,"state","OK","group","2a4")/GETPIVOTDATA("Total-New",'Distrib pivot table'!$C$2,"state","OK"))=0,,IF(GETPIVOTDATA("Total-New",'Distrib pivot table'!$C$2,"state","OK","group","2a4")/GETPIVOTDATA("Total-New",'Distrib pivot table'!$C$2,"state","OK")&gt;0.0005,GETPIVOTDATA("Total-New",'Distrib pivot table'!$C$2,"state","OK","group","2a4")/GETPIVOTDATA("Total-New",'Distrib pivot table'!$C$2,"state","OK"),"*"))</f>
        <v>0</v>
      </c>
      <c r="P33" s="418" t="str">
        <f>IF((GETPIVOTDATA("Total-New",'Distrib pivot table'!$C$2,"state","SC","group","2a4")/GETPIVOTDATA("Total-New",'Distrib pivot table'!$C$2,"state","SC"))=0,,IF(GETPIVOTDATA("Total-New",'Distrib pivot table'!$C$2,"state","SC","group","2a4")/GETPIVOTDATA("Total-New",'Distrib pivot table'!$C$2,"state","SC")&gt;0.0005,GETPIVOTDATA("Total-New",'Distrib pivot table'!$C$2,"state","SC","group","2a4")/GETPIVOTDATA("Total-New",'Distrib pivot table'!$C$2,"state","SC"),"*"))</f>
        <v>*</v>
      </c>
      <c r="Q33" s="418" t="str">
        <f>IF((GETPIVOTDATA("Total-New",'Distrib pivot table'!$C$2,"state","TN","group","2a4")/GETPIVOTDATA("Total-New",'Distrib pivot table'!$C$2,"state","TN"))=0,,IF(GETPIVOTDATA("Total-New",'Distrib pivot table'!$C$2,"state","TN","group","2a4")/GETPIVOTDATA("Total-New",'Distrib pivot table'!$C$2,"state","TN")&gt;0.0005,GETPIVOTDATA("Total-New",'Distrib pivot table'!$C$2,"state","TN","group","2a4")/GETPIVOTDATA("Total-New",'Distrib pivot table'!$C$2,"state","TN"),"*"))</f>
        <v>*</v>
      </c>
      <c r="R33" s="418">
        <f>IF((GETPIVOTDATA("Total-New",'Distrib pivot table'!$C$2,"state","TX","group","2a4")/GETPIVOTDATA("Total-New",'Distrib pivot table'!$C$2,"state","TX"))=0,,IF(GETPIVOTDATA("Total-New",'Distrib pivot table'!$C$2,"state","TX","group","2a4")/GETPIVOTDATA("Total-New",'Distrib pivot table'!$C$2,"state","TX")&gt;0.0005,GETPIVOTDATA("Total-New",'Distrib pivot table'!$C$2,"state","TX","group","2a4")/GETPIVOTDATA("Total-New",'Distrib pivot table'!$C$2,"state","TX"),"*"))</f>
        <v>0</v>
      </c>
      <c r="S33" s="418">
        <f>IF((GETPIVOTDATA("Total-New",'Distrib pivot table'!$C$2,"state","VA","group","2a4")/GETPIVOTDATA("Total-New",'Distrib pivot table'!$C$2,"state","VA"))=0,,IF(GETPIVOTDATA("Total-New",'Distrib pivot table'!$C$2,"state","VA","group","2a4")/GETPIVOTDATA("Total-New",'Distrib pivot table'!$C$2,"state","VA")&gt;0.0005,GETPIVOTDATA("Total-New",'Distrib pivot table'!$C$2,"state","VA","group","2a4")/GETPIVOTDATA("Total-New",'Distrib pivot table'!$C$2,"state","VA"),"*"))</f>
        <v>0</v>
      </c>
      <c r="T33" s="418">
        <f>IF((GETPIVOTDATA("Total-New",'Distrib pivot table'!$C$2,"state","WV","group","2a4")/GETPIVOTDATA("Total-New",'Distrib pivot table'!$C$2,"state","WV"))=0,,IF(GETPIVOTDATA("Total-New",'Distrib pivot table'!$C$2,"state","WV","group","2a4")/GETPIVOTDATA("Total-New",'Distrib pivot table'!$C$2,"state","WV")&gt;0.0005,GETPIVOTDATA("Total-New",'Distrib pivot table'!$C$2,"state","WV","group","2a4")/GETPIVOTDATA("Total-New",'Distrib pivot table'!$C$2,"state","WV"),"*"))</f>
        <v>1.3948806060362785E-3</v>
      </c>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row>
    <row r="34" spans="1:50" ht="26.25" customHeight="1" x14ac:dyDescent="0.2">
      <c r="A34" s="1541"/>
      <c r="B34" s="131" t="s">
        <v>300</v>
      </c>
      <c r="C34" s="374" t="s">
        <v>286</v>
      </c>
      <c r="D34" s="424">
        <f>IF(GETPIVOTDATA("Total-New",'Distrib pivot table'!$C$2,"group","2b")/GETPIVOTDATA("Total-New",'Distrib pivot table'!$C$2)=0,,IF(GETPIVOTDATA("Total-New",'Distrib pivot table'!$C$2,"group","2b")/GETPIVOTDATA("Total-New",'Distrib pivot table'!$C$2)&gt;0.0005,GETPIVOTDATA("Total-New",'Distrib pivot table'!$C$2,"group","2b")/GETPIVOTDATA("Total-New",'Distrib pivot table'!$C$2),"*"))</f>
        <v>2.5038934752370607E-3</v>
      </c>
      <c r="E34" s="424">
        <f>IF((GETPIVOTDATA("Total-New",'Distrib pivot table'!$C$2,"state","AL","group","2b")/GETPIVOTDATA("Total-New",'Distrib pivot table'!$C$2,"state","AL"))=0,,IF(GETPIVOTDATA("Total-New",'Distrib pivot table'!$C$2,"state","AL","group","2b")/GETPIVOTDATA("Total-New",'Distrib pivot table'!$C$2,"state","AL")&gt;0.0005,GETPIVOTDATA("Total-New",'Distrib pivot table'!$C$2,"state","AL","group","2b")/GETPIVOTDATA("Total-New",'Distrib pivot table'!$C$2,"state","AL"),"*"))</f>
        <v>3.7745643192509024E-3</v>
      </c>
      <c r="F34" s="424">
        <f>IF((GETPIVOTDATA("Total-New",'Distrib pivot table'!$C$2,"state","AR","group","2b")/GETPIVOTDATA("Total-New",'Distrib pivot table'!$C$2,"state","AR"))=0,,IF(GETPIVOTDATA("Total-New",'Distrib pivot table'!$C$2,"state","AR","group","2b")/GETPIVOTDATA("Total-New",'Distrib pivot table'!$C$2,"state","AR")&gt;0.0005,GETPIVOTDATA("Total-New",'Distrib pivot table'!$C$2,"state","AR","group","2b")/GETPIVOTDATA("Total-New",'Distrib pivot table'!$C$2,"state","AR"),"*"))</f>
        <v>0</v>
      </c>
      <c r="G34" s="424">
        <f>IF((GETPIVOTDATA("Total-New",'Distrib pivot table'!$C$2,"state","DE","group","2b")/GETPIVOTDATA("Total-New",'Distrib pivot table'!$C$2,"state","DE"))=0,,IF(GETPIVOTDATA("Total-New",'Distrib pivot table'!$C$2,"state","DE","group","2b")/GETPIVOTDATA("Total-New",'Distrib pivot table'!$C$2,"state","DE")&gt;0.0005,GETPIVOTDATA("Total-New",'Distrib pivot table'!$C$2,"state","DE","group","2b")/GETPIVOTDATA("Total-New",'Distrib pivot table'!$C$2,"state","DE"),"*"))</f>
        <v>0</v>
      </c>
      <c r="H34" s="424">
        <f>IF((GETPIVOTDATA("Total-New",'Distrib pivot table'!$C$2,"state","FL","group","2b")/GETPIVOTDATA("Total-New",'Distrib pivot table'!$C$2,"state","FL"))=0,,IF(GETPIVOTDATA("Total-New",'Distrib pivot table'!$C$2,"state","FL","group","2b")/GETPIVOTDATA("Total-New",'Distrib pivot table'!$C$2,"state","FL")&gt;0.0005,GETPIVOTDATA("Total-New",'Distrib pivot table'!$C$2,"state","FL","group","2b")/GETPIVOTDATA("Total-New",'Distrib pivot table'!$C$2,"state","FL"),"*"))</f>
        <v>1.8719912695583474E-3</v>
      </c>
      <c r="I34" s="424">
        <f>IF((GETPIVOTDATA("Total-New",'Distrib pivot table'!$C$2,"state","GA","group","2b")/GETPIVOTDATA("Total-New",'Distrib pivot table'!$C$2,"state","GA"))=0,,IF(GETPIVOTDATA("Total-New",'Distrib pivot table'!$C$2,"state","GA","group","2b")/GETPIVOTDATA("Total-New",'Distrib pivot table'!$C$2,"state","GA")&gt;0.0005,GETPIVOTDATA("Total-New",'Distrib pivot table'!$C$2,"state","GA","group","2b")/GETPIVOTDATA("Total-New",'Distrib pivot table'!$C$2,"state","GA"),"*"))</f>
        <v>7.0829152778905009E-3</v>
      </c>
      <c r="J34" s="424">
        <f>IF((GETPIVOTDATA("Total-New",'Distrib pivot table'!$C$2,"state","KY","group","2b")/GETPIVOTDATA("Total-New",'Distrib pivot table'!$C$2,"state","KY"))=0,,IF(GETPIVOTDATA("Total-New",'Distrib pivot table'!$C$2,"state","KY","group","2b")/GETPIVOTDATA("Total-New",'Distrib pivot table'!$C$2,"state","KY")&gt;0.0005,GETPIVOTDATA("Total-New",'Distrib pivot table'!$C$2,"state","KY","group","2b")/GETPIVOTDATA("Total-New",'Distrib pivot table'!$C$2,"state","KY"),"*"))</f>
        <v>0</v>
      </c>
      <c r="K34" s="424">
        <f>IF((GETPIVOTDATA("Total-New",'Distrib pivot table'!$C$2,"state","LA","group","2b")/GETPIVOTDATA("Total-New",'Distrib pivot table'!$C$2,"state","LA"))=0,,IF(GETPIVOTDATA("Total-New",'Distrib pivot table'!$C$2,"state","LA","group","2b")/GETPIVOTDATA("Total-New",'Distrib pivot table'!$C$2,"state","LA")&gt;0.0005,GETPIVOTDATA("Total-New",'Distrib pivot table'!$C$2,"state","LA","group","2b")/GETPIVOTDATA("Total-New",'Distrib pivot table'!$C$2,"state","LA"),"*"))</f>
        <v>0</v>
      </c>
      <c r="L34" s="424">
        <f>IF((GETPIVOTDATA("Total-New",'Distrib pivot table'!$C$2,"state","MD","group","2b")/GETPIVOTDATA("Total-New",'Distrib pivot table'!$C$2,"state","MD"))=0,,IF(GETPIVOTDATA("Total-New",'Distrib pivot table'!$C$2,"state","MD","group","2b")/GETPIVOTDATA("Total-New",'Distrib pivot table'!$C$2,"state","MD")&gt;0.0005,GETPIVOTDATA("Total-New",'Distrib pivot table'!$C$2,"state","MD","group","2b")/GETPIVOTDATA("Total-New",'Distrib pivot table'!$C$2,"state","MD"),"*"))</f>
        <v>1.0087820617268416E-2</v>
      </c>
      <c r="M34" s="424">
        <f>IF((GETPIVOTDATA("Total-New",'Distrib pivot table'!$C$2,"state","MS","group","2b")/GETPIVOTDATA("Total-New",'Distrib pivot table'!$C$2,"state","MS"))=0,,IF(GETPIVOTDATA("Total-New",'Distrib pivot table'!$C$2,"state","MS","group","2b")/GETPIVOTDATA("Total-New",'Distrib pivot table'!$C$2,"state","MS")&gt;0.0005,GETPIVOTDATA("Total-New",'Distrib pivot table'!$C$2,"state","MS","group","2b")/GETPIVOTDATA("Total-New",'Distrib pivot table'!$C$2,"state","MS"),"*"))</f>
        <v>0</v>
      </c>
      <c r="N34" s="424">
        <f>IF((GETPIVOTDATA("Total-New",'Distrib pivot table'!$C$2,"state","NC","group","2b")/GETPIVOTDATA("Total-New",'Distrib pivot table'!$C$2,"state","NC"))=0,,IF(GETPIVOTDATA("Total-New",'Distrib pivot table'!$C$2,"state","NC","group","2b")/GETPIVOTDATA("Total-New",'Distrib pivot table'!$C$2,"state","NC")&gt;0.0005,GETPIVOTDATA("Total-New",'Distrib pivot table'!$C$2,"state","NC","group","2b")/GETPIVOTDATA("Total-New",'Distrib pivot table'!$C$2,"state","NC"),"*"))</f>
        <v>0</v>
      </c>
      <c r="O34" s="424">
        <f>IF((GETPIVOTDATA("Total-New",'Distrib pivot table'!$C$2,"state","OK","group","2b")/GETPIVOTDATA("Total-New",'Distrib pivot table'!$C$2,"state","OK"))=0,,IF(GETPIVOTDATA("Total-New",'Distrib pivot table'!$C$2,"state","OK","group","2b")/GETPIVOTDATA("Total-New",'Distrib pivot table'!$C$2,"state","OK")&gt;0.0005,GETPIVOTDATA("Total-New",'Distrib pivot table'!$C$2,"state","OK","group","2b")/GETPIVOTDATA("Total-New",'Distrib pivot table'!$C$2,"state","OK"),"*"))</f>
        <v>0</v>
      </c>
      <c r="P34" s="424">
        <f>IF((GETPIVOTDATA("Total-New",'Distrib pivot table'!$C$2,"state","SC","group","2b")/GETPIVOTDATA("Total-New",'Distrib pivot table'!$C$2,"state","SC"))=0,,IF(GETPIVOTDATA("Total-New",'Distrib pivot table'!$C$2,"state","SC","group","2b")/GETPIVOTDATA("Total-New",'Distrib pivot table'!$C$2,"state","SC")&gt;0.0005,GETPIVOTDATA("Total-New",'Distrib pivot table'!$C$2,"state","SC","group","2b")/GETPIVOTDATA("Total-New",'Distrib pivot table'!$C$2,"state","SC"),"*"))</f>
        <v>1.272554394517655E-3</v>
      </c>
      <c r="Q34" s="424">
        <f>IF((GETPIVOTDATA("Total-New",'Distrib pivot table'!$C$2,"state","TN","group","2b")/GETPIVOTDATA("Total-New",'Distrib pivot table'!$C$2,"state","TN"))=0,,IF(GETPIVOTDATA("Total-New",'Distrib pivot table'!$C$2,"state","TN","group","2b")/GETPIVOTDATA("Total-New",'Distrib pivot table'!$C$2,"state","TN")&gt;0.0005,GETPIVOTDATA("Total-New",'Distrib pivot table'!$C$2,"state","TN","group","2b")/GETPIVOTDATA("Total-New",'Distrib pivot table'!$C$2,"state","TN"),"*"))</f>
        <v>0</v>
      </c>
      <c r="R34" s="424">
        <f>IF((GETPIVOTDATA("Total-New",'Distrib pivot table'!$C$2,"state","TX","group","2b")/GETPIVOTDATA("Total-New",'Distrib pivot table'!$C$2,"state","TX"))=0,,IF(GETPIVOTDATA("Total-New",'Distrib pivot table'!$C$2,"state","TX","group","2b")/GETPIVOTDATA("Total-New",'Distrib pivot table'!$C$2,"state","TX")&gt;0.0005,GETPIVOTDATA("Total-New",'Distrib pivot table'!$C$2,"state","TX","group","2b")/GETPIVOTDATA("Total-New",'Distrib pivot table'!$C$2,"state","TX"),"*"))</f>
        <v>3.6651104832472717E-3</v>
      </c>
      <c r="S34" s="424">
        <f>IF((GETPIVOTDATA("Total-New",'Distrib pivot table'!$C$2,"state","VA","group","2b")/GETPIVOTDATA("Total-New",'Distrib pivot table'!$C$2,"state","VA"))=0,,IF(GETPIVOTDATA("Total-New",'Distrib pivot table'!$C$2,"state","VA","group","2b")/GETPIVOTDATA("Total-New",'Distrib pivot table'!$C$2,"state","VA")&gt;0.0005,GETPIVOTDATA("Total-New",'Distrib pivot table'!$C$2,"state","VA","group","2b")/GETPIVOTDATA("Total-New",'Distrib pivot table'!$C$2,"state","VA"),"*"))</f>
        <v>0</v>
      </c>
      <c r="T34" s="424">
        <f>IF((GETPIVOTDATA("Total-New",'Distrib pivot table'!$C$2,"state","WV","group","2b")/GETPIVOTDATA("Total-New",'Distrib pivot table'!$C$2,"state","WV"))=0,,IF(GETPIVOTDATA("Total-New",'Distrib pivot table'!$C$2,"state","WV","group","2b")/GETPIVOTDATA("Total-New",'Distrib pivot table'!$C$2,"state","WV")&gt;0.0005,GETPIVOTDATA("Total-New",'Distrib pivot table'!$C$2,"state","WV","group","2b")/GETPIVOTDATA("Total-New",'Distrib pivot table'!$C$2,"state","WV"),"*"))</f>
        <v>0</v>
      </c>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row>
    <row r="35" spans="1:50" s="45" customFormat="1" ht="12.6" customHeight="1" x14ac:dyDescent="0.2">
      <c r="A35" s="1541"/>
      <c r="B35" s="126" t="s">
        <v>188</v>
      </c>
      <c r="C35" s="375" t="s">
        <v>287</v>
      </c>
      <c r="D35" s="419">
        <f>SUM(D36:D38)</f>
        <v>0</v>
      </c>
      <c r="E35" s="419">
        <f>SUM(E36:E38)</f>
        <v>0</v>
      </c>
      <c r="F35" s="419">
        <f t="shared" ref="F35:T35" si="4">SUM(F36:F38)</f>
        <v>1.6439453479565988E-3</v>
      </c>
      <c r="G35" s="419">
        <f t="shared" si="4"/>
        <v>3.4472430495927206E-3</v>
      </c>
      <c r="H35" s="419">
        <f t="shared" si="4"/>
        <v>0</v>
      </c>
      <c r="I35" s="419">
        <f t="shared" si="4"/>
        <v>0</v>
      </c>
      <c r="J35" s="419">
        <f t="shared" si="4"/>
        <v>1.5576399906833478E-3</v>
      </c>
      <c r="K35" s="419">
        <f t="shared" si="4"/>
        <v>0</v>
      </c>
      <c r="L35" s="419">
        <f t="shared" si="4"/>
        <v>0</v>
      </c>
      <c r="M35" s="419">
        <f t="shared" si="4"/>
        <v>0</v>
      </c>
      <c r="N35" s="419">
        <f t="shared" si="4"/>
        <v>0</v>
      </c>
      <c r="O35" s="419">
        <f t="shared" si="4"/>
        <v>0</v>
      </c>
      <c r="P35" s="419">
        <f t="shared" si="4"/>
        <v>8.9213788141672952E-4</v>
      </c>
      <c r="Q35" s="419">
        <f t="shared" si="4"/>
        <v>6.8462323259081963E-4</v>
      </c>
      <c r="R35" s="419">
        <f t="shared" si="4"/>
        <v>0</v>
      </c>
      <c r="S35" s="419">
        <f t="shared" si="4"/>
        <v>0</v>
      </c>
      <c r="T35" s="419">
        <f t="shared" si="4"/>
        <v>7.3747540031561835E-4</v>
      </c>
      <c r="U35" s="27"/>
      <c r="V35" s="27"/>
      <c r="W35" s="27"/>
      <c r="X35" s="27"/>
      <c r="Y35" s="27"/>
      <c r="Z35" s="27"/>
      <c r="AA35" s="27"/>
      <c r="AB35" s="27"/>
      <c r="AC35" s="27"/>
      <c r="AD35" s="27"/>
      <c r="AE35" s="27"/>
      <c r="AF35" s="27"/>
      <c r="AG35" s="27"/>
      <c r="AH35" s="27"/>
      <c r="AI35" s="27"/>
      <c r="AJ35" s="27"/>
      <c r="AK35" s="27"/>
      <c r="AL35" s="27"/>
      <c r="AM35" s="27"/>
      <c r="AN35" s="27"/>
      <c r="AO35" s="27"/>
      <c r="AP35" s="27"/>
      <c r="AQ35" s="27"/>
      <c r="AR35" s="27"/>
      <c r="AS35" s="27"/>
      <c r="AT35" s="27"/>
      <c r="AU35" s="27"/>
      <c r="AV35" s="27"/>
      <c r="AW35" s="27"/>
      <c r="AX35" s="27"/>
    </row>
    <row r="36" spans="1:50" ht="12.6" customHeight="1" x14ac:dyDescent="0.2">
      <c r="A36" s="1541"/>
      <c r="B36" s="127" t="s">
        <v>84</v>
      </c>
      <c r="C36" s="374" t="s">
        <v>288</v>
      </c>
      <c r="D36" s="418" t="str">
        <f>IF(GETPIVOTDATA("Total-New",'Distrib pivot table'!$C$2,"group","2c1")/GETPIVOTDATA("Total-New",'Distrib pivot table'!$C$2)=0,,IF(GETPIVOTDATA("Total-New",'Distrib pivot table'!$C$2,"group","2c1")/GETPIVOTDATA("Total-New",'Distrib pivot table'!$C$2)&gt;0.0005,GETPIVOTDATA("Total-New",'Distrib pivot table'!$C$2,"group","2c1")/GETPIVOTDATA("Total-New",'Distrib pivot table'!$C$2),"*"))</f>
        <v>*</v>
      </c>
      <c r="E36" s="418">
        <f>IF((GETPIVOTDATA("Total-New",'Distrib pivot table'!$C$2,"state","AL","group","2c1")/GETPIVOTDATA("Total-New",'Distrib pivot table'!$C$2,"state","AL"))=0,,IF(GETPIVOTDATA("Total-New",'Distrib pivot table'!$C$2,"state","AL","group","2c1")/GETPIVOTDATA("Total-New",'Distrib pivot table'!$C$2,"state","AL")&gt;0.0005,GETPIVOTDATA("Total-New",'Distrib pivot table'!$C$2,"state","AL","group","2c1")/GETPIVOTDATA("Total-New",'Distrib pivot table'!$C$2,"state","AL"),"*"))</f>
        <v>0</v>
      </c>
      <c r="F36" s="418" t="str">
        <f>IF((GETPIVOTDATA("Total-New",'Distrib pivot table'!$C$2,"state","AR","group","2c1")/GETPIVOTDATA("Total-New",'Distrib pivot table'!$C$2,"state","AR"))=0,,IF(GETPIVOTDATA("Total-New",'Distrib pivot table'!$C$2,"state","AR","group","2c1")/GETPIVOTDATA("Total-New",'Distrib pivot table'!$C$2,"state","AR")&gt;0.0005,GETPIVOTDATA("Total-New",'Distrib pivot table'!$C$2,"state","AR","group","2c1")/GETPIVOTDATA("Total-New",'Distrib pivot table'!$C$2,"state","AR"),"*"))</f>
        <v>*</v>
      </c>
      <c r="G36" s="418">
        <f>IF((GETPIVOTDATA("Total-New",'Distrib pivot table'!$C$2,"state","DE","group","2c1")/GETPIVOTDATA("Total-New",'Distrib pivot table'!$C$2,"state","DE"))=0,,IF(GETPIVOTDATA("Total-New",'Distrib pivot table'!$C$2,"state","DE","group","2c1")/GETPIVOTDATA("Total-New",'Distrib pivot table'!$C$2,"state","DE")&gt;0.0005,GETPIVOTDATA("Total-New",'Distrib pivot table'!$C$2,"state","DE","group","2c1")/GETPIVOTDATA("Total-New",'Distrib pivot table'!$C$2,"state","DE"),"*"))</f>
        <v>2.4995328484587742E-3</v>
      </c>
      <c r="H36" s="418">
        <f>IF((GETPIVOTDATA("Total-New",'Distrib pivot table'!$C$2,"state","FL","group","2c1")/GETPIVOTDATA("Total-New",'Distrib pivot table'!$C$2,"state","FL"))=0,,IF(GETPIVOTDATA("Total-New",'Distrib pivot table'!$C$2,"state","FL","group","2c1")/GETPIVOTDATA("Total-New",'Distrib pivot table'!$C$2,"state","FL")&gt;0.0005,GETPIVOTDATA("Total-New",'Distrib pivot table'!$C$2,"state","FL","group","2c1")/GETPIVOTDATA("Total-New",'Distrib pivot table'!$C$2,"state","FL"),"*"))</f>
        <v>0</v>
      </c>
      <c r="I36" s="418" t="str">
        <f>IF((GETPIVOTDATA("Total-New",'Distrib pivot table'!$C$2,"state","GA","group","2c1")/GETPIVOTDATA("Total-New",'Distrib pivot table'!$C$2,"state","GA"))=0,,IF(GETPIVOTDATA("Total-New",'Distrib pivot table'!$C$2,"state","GA","group","2c1")/GETPIVOTDATA("Total-New",'Distrib pivot table'!$C$2,"state","GA")&gt;0.0005,GETPIVOTDATA("Total-New",'Distrib pivot table'!$C$2,"state","GA","group","2c1")/GETPIVOTDATA("Total-New",'Distrib pivot table'!$C$2,"state","GA"),"*"))</f>
        <v>*</v>
      </c>
      <c r="J36" s="418" t="str">
        <f>IF((GETPIVOTDATA("Total-New",'Distrib pivot table'!$C$2,"state","KY","group","2c1")/GETPIVOTDATA("Total-New",'Distrib pivot table'!$C$2,"state","KY"))=0,,IF(GETPIVOTDATA("Total-New",'Distrib pivot table'!$C$2,"state","KY","group","2c1")/GETPIVOTDATA("Total-New",'Distrib pivot table'!$C$2,"state","KY")&gt;0.0005,GETPIVOTDATA("Total-New",'Distrib pivot table'!$C$2,"state","KY","group","2c1")/GETPIVOTDATA("Total-New",'Distrib pivot table'!$C$2,"state","KY"),"*"))</f>
        <v>*</v>
      </c>
      <c r="K36" s="418">
        <f>IF((GETPIVOTDATA("Total-New",'Distrib pivot table'!$C$2,"state","LA","group","2c1")/GETPIVOTDATA("Total-New",'Distrib pivot table'!$C$2,"state","LA"))=0,,IF(GETPIVOTDATA("Total-New",'Distrib pivot table'!$C$2,"state","LA","group","2c1")/GETPIVOTDATA("Total-New",'Distrib pivot table'!$C$2,"state","LA")&gt;0.0005,GETPIVOTDATA("Total-New",'Distrib pivot table'!$C$2,"state","LA","group","2c1")/GETPIVOTDATA("Total-New",'Distrib pivot table'!$C$2,"state","LA"),"*"))</f>
        <v>0</v>
      </c>
      <c r="L36" s="418">
        <f>IF((GETPIVOTDATA("Total-New",'Distrib pivot table'!$C$2,"state","MD","group","2c1")/GETPIVOTDATA("Total-New",'Distrib pivot table'!$C$2,"state","MD"))=0,,IF(GETPIVOTDATA("Total-New",'Distrib pivot table'!$C$2,"state","MD","group","2c1")/GETPIVOTDATA("Total-New",'Distrib pivot table'!$C$2,"state","MD")&gt;0.0005,GETPIVOTDATA("Total-New",'Distrib pivot table'!$C$2,"state","MD","group","2c1")/GETPIVOTDATA("Total-New",'Distrib pivot table'!$C$2,"state","MD"),"*"))</f>
        <v>0</v>
      </c>
      <c r="M36" s="418" t="str">
        <f>IF((GETPIVOTDATA("Total-New",'Distrib pivot table'!$C$2,"state","MS","group","2c1")/GETPIVOTDATA("Total-New",'Distrib pivot table'!$C$2,"state","MS"))=0,,IF(GETPIVOTDATA("Total-New",'Distrib pivot table'!$C$2,"state","MS","group","2c1")/GETPIVOTDATA("Total-New",'Distrib pivot table'!$C$2,"state","MS")&gt;0.0005,GETPIVOTDATA("Total-New",'Distrib pivot table'!$C$2,"state","MS","group","2c1")/GETPIVOTDATA("Total-New",'Distrib pivot table'!$C$2,"state","MS"),"*"))</f>
        <v>*</v>
      </c>
      <c r="N36" s="418">
        <f>IF((GETPIVOTDATA("Total-New",'Distrib pivot table'!$C$2,"state","NC","group","2c1")/GETPIVOTDATA("Total-New",'Distrib pivot table'!$C$2,"state","NC"))=0,,IF(GETPIVOTDATA("Total-New",'Distrib pivot table'!$C$2,"state","NC","group","2c1")/GETPIVOTDATA("Total-New",'Distrib pivot table'!$C$2,"state","NC")&gt;0.0005,GETPIVOTDATA("Total-New",'Distrib pivot table'!$C$2,"state","NC","group","2c1")/GETPIVOTDATA("Total-New",'Distrib pivot table'!$C$2,"state","NC"),"*"))</f>
        <v>0</v>
      </c>
      <c r="O36" s="418">
        <f>IF((GETPIVOTDATA("Total-New",'Distrib pivot table'!$C$2,"state","OK","group","2c1")/GETPIVOTDATA("Total-New",'Distrib pivot table'!$C$2,"state","OK"))=0,,IF(GETPIVOTDATA("Total-New",'Distrib pivot table'!$C$2,"state","OK","group","2c1")/GETPIVOTDATA("Total-New",'Distrib pivot table'!$C$2,"state","OK")&gt;0.0005,GETPIVOTDATA("Total-New",'Distrib pivot table'!$C$2,"state","OK","group","2c1")/GETPIVOTDATA("Total-New",'Distrib pivot table'!$C$2,"state","OK"),"*"))</f>
        <v>0</v>
      </c>
      <c r="P36" s="418" t="str">
        <f>IF((GETPIVOTDATA("Total-New",'Distrib pivot table'!$C$2,"state","SC","group","2c1")/GETPIVOTDATA("Total-New",'Distrib pivot table'!$C$2,"state","SC"))=0,,IF(GETPIVOTDATA("Total-New",'Distrib pivot table'!$C$2,"state","SC","group","2c1")/GETPIVOTDATA("Total-New",'Distrib pivot table'!$C$2,"state","SC")&gt;0.0005,GETPIVOTDATA("Total-New",'Distrib pivot table'!$C$2,"state","SC","group","2c1")/GETPIVOTDATA("Total-New",'Distrib pivot table'!$C$2,"state","SC"),"*"))</f>
        <v>*</v>
      </c>
      <c r="Q36" s="418">
        <f>IF((GETPIVOTDATA("Total-New",'Distrib pivot table'!$C$2,"state","TN","group","2c1")/GETPIVOTDATA("Total-New",'Distrib pivot table'!$C$2,"state","TN"))=0,,IF(GETPIVOTDATA("Total-New",'Distrib pivot table'!$C$2,"state","TN","group","2c1")/GETPIVOTDATA("Total-New",'Distrib pivot table'!$C$2,"state","TN")&gt;0.0005,GETPIVOTDATA("Total-New",'Distrib pivot table'!$C$2,"state","TN","group","2c1")/GETPIVOTDATA("Total-New",'Distrib pivot table'!$C$2,"state","TN"),"*"))</f>
        <v>6.8462323259081963E-4</v>
      </c>
      <c r="R36" s="418">
        <f>IF((GETPIVOTDATA("Total-New",'Distrib pivot table'!$C$2,"state","TX","group","2c1")/GETPIVOTDATA("Total-New",'Distrib pivot table'!$C$2,"state","TX"))=0,,IF(GETPIVOTDATA("Total-New",'Distrib pivot table'!$C$2,"state","TX","group","2c1")/GETPIVOTDATA("Total-New",'Distrib pivot table'!$C$2,"state","TX")&gt;0.0005,GETPIVOTDATA("Total-New",'Distrib pivot table'!$C$2,"state","TX","group","2c1")/GETPIVOTDATA("Total-New",'Distrib pivot table'!$C$2,"state","TX"),"*"))</f>
        <v>0</v>
      </c>
      <c r="S36" s="418" t="str">
        <f>IF((GETPIVOTDATA("Total-New",'Distrib pivot table'!$C$2,"state","VA","group","2c1")/GETPIVOTDATA("Total-New",'Distrib pivot table'!$C$2,"state","VA"))=0,,IF(GETPIVOTDATA("Total-New",'Distrib pivot table'!$C$2,"state","VA","group","2c1")/GETPIVOTDATA("Total-New",'Distrib pivot table'!$C$2,"state","VA")&gt;0.0005,GETPIVOTDATA("Total-New",'Distrib pivot table'!$C$2,"state","VA","group","2c1")/GETPIVOTDATA("Total-New",'Distrib pivot table'!$C$2,"state","VA"),"*"))</f>
        <v>*</v>
      </c>
      <c r="T36" s="418" t="str">
        <f>IF((GETPIVOTDATA("Total-New",'Distrib pivot table'!$C$2,"state","WV","group","2c1")/GETPIVOTDATA("Total-New",'Distrib pivot table'!$C$2,"state","WV"))=0,,IF(GETPIVOTDATA("Total-New",'Distrib pivot table'!$C$2,"state","WV","group","2c1")/GETPIVOTDATA("Total-New",'Distrib pivot table'!$C$2,"state","WV")&gt;0.0005,GETPIVOTDATA("Total-New",'Distrib pivot table'!$C$2,"state","WV","group","2c1")/GETPIVOTDATA("Total-New",'Distrib pivot table'!$C$2,"state","WV"),"*"))</f>
        <v>*</v>
      </c>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row>
    <row r="37" spans="1:50" ht="12.6" customHeight="1" x14ac:dyDescent="0.2">
      <c r="A37" s="1541"/>
      <c r="B37" s="127" t="s">
        <v>85</v>
      </c>
      <c r="C37" s="374" t="s">
        <v>289</v>
      </c>
      <c r="D37" s="418" t="str">
        <f>IF(GETPIVOTDATA("Total-New",'Distrib pivot table'!$C$2,"group","2c2")/GETPIVOTDATA("Total-New",'Distrib pivot table'!$C$2)=0,,IF(GETPIVOTDATA("Total-New",'Distrib pivot table'!$C$2,"group","2c2")/GETPIVOTDATA("Total-New",'Distrib pivot table'!$C$2)&gt;0.0005,GETPIVOTDATA("Total-New",'Distrib pivot table'!$C$2,"group","2c2")/GETPIVOTDATA("Total-New",'Distrib pivot table'!$C$2),"*"))</f>
        <v>*</v>
      </c>
      <c r="E37" s="418">
        <f>IF((GETPIVOTDATA("Total-New",'Distrib pivot table'!$C$2,"state","AL","group","2c2")/GETPIVOTDATA("Total-New",'Distrib pivot table'!$C$2,"state","AL"))=0,,IF(GETPIVOTDATA("Total-New",'Distrib pivot table'!$C$2,"state","AL","group","2c2")/GETPIVOTDATA("Total-New",'Distrib pivot table'!$C$2,"state","AL")&gt;0.0005,GETPIVOTDATA("Total-New",'Distrib pivot table'!$C$2,"state","AL","group","2c2")/GETPIVOTDATA("Total-New",'Distrib pivot table'!$C$2,"state","AL"),"*"))</f>
        <v>0</v>
      </c>
      <c r="F37" s="418">
        <f>IF((GETPIVOTDATA("Total-New",'Distrib pivot table'!$C$2,"state","AR","group","2c2")/GETPIVOTDATA("Total-New",'Distrib pivot table'!$C$2,"state","AR"))=0,,IF(GETPIVOTDATA("Total-New",'Distrib pivot table'!$C$2,"state","AR","group","2c2")/GETPIVOTDATA("Total-New",'Distrib pivot table'!$C$2,"state","AR")&gt;0.0005,GETPIVOTDATA("Total-New",'Distrib pivot table'!$C$2,"state","AR","group","2c2")/GETPIVOTDATA("Total-New",'Distrib pivot table'!$C$2,"state","AR"),"*"))</f>
        <v>1.6439453479565988E-3</v>
      </c>
      <c r="G37" s="418">
        <f>IF((GETPIVOTDATA("Total-New",'Distrib pivot table'!$C$2,"state","DE","group","2c2")/GETPIVOTDATA("Total-New",'Distrib pivot table'!$C$2,"state","DE"))=0,,IF(GETPIVOTDATA("Total-New",'Distrib pivot table'!$C$2,"state","DE","group","2c2")/GETPIVOTDATA("Total-New",'Distrib pivot table'!$C$2,"state","DE")&gt;0.0005,GETPIVOTDATA("Total-New",'Distrib pivot table'!$C$2,"state","DE","group","2c2")/GETPIVOTDATA("Total-New",'Distrib pivot table'!$C$2,"state","DE"),"*"))</f>
        <v>9.4771020113394657E-4</v>
      </c>
      <c r="H37" s="418">
        <f>IF((GETPIVOTDATA("Total-New",'Distrib pivot table'!$C$2,"state","FL","group","2c2")/GETPIVOTDATA("Total-New",'Distrib pivot table'!$C$2,"state","FL"))=0,,IF(GETPIVOTDATA("Total-New",'Distrib pivot table'!$C$2,"state","FL","group","2c2")/GETPIVOTDATA("Total-New",'Distrib pivot table'!$C$2,"state","FL")&gt;0.0005,GETPIVOTDATA("Total-New",'Distrib pivot table'!$C$2,"state","FL","group","2c2")/GETPIVOTDATA("Total-New",'Distrib pivot table'!$C$2,"state","FL"),"*"))</f>
        <v>0</v>
      </c>
      <c r="I37" s="418" t="str">
        <f>IF((GETPIVOTDATA("Total-New",'Distrib pivot table'!$C$2,"state","GA","group","2c2")/GETPIVOTDATA("Total-New",'Distrib pivot table'!$C$2,"state","GA"))=0,,IF(GETPIVOTDATA("Total-New",'Distrib pivot table'!$C$2,"state","GA","group","2c2")/GETPIVOTDATA("Total-New",'Distrib pivot table'!$C$2,"state","GA")&gt;0.0005,GETPIVOTDATA("Total-New",'Distrib pivot table'!$C$2,"state","GA","group","2c2")/GETPIVOTDATA("Total-New",'Distrib pivot table'!$C$2,"state","GA"),"*"))</f>
        <v>*</v>
      </c>
      <c r="J37" s="418">
        <f>IF((GETPIVOTDATA("Total-New",'Distrib pivot table'!$C$2,"state","KY","group","2c2")/GETPIVOTDATA("Total-New",'Distrib pivot table'!$C$2,"state","KY"))=0,,IF(GETPIVOTDATA("Total-New",'Distrib pivot table'!$C$2,"state","KY","group","2c2")/GETPIVOTDATA("Total-New",'Distrib pivot table'!$C$2,"state","KY")&gt;0.0005,GETPIVOTDATA("Total-New",'Distrib pivot table'!$C$2,"state","KY","group","2c2")/GETPIVOTDATA("Total-New",'Distrib pivot table'!$C$2,"state","KY"),"*"))</f>
        <v>1.5576399906833478E-3</v>
      </c>
      <c r="K37" s="418" t="str">
        <f>IF((GETPIVOTDATA("Total-New",'Distrib pivot table'!$C$2,"state","LA","group","2c2")/GETPIVOTDATA("Total-New",'Distrib pivot table'!$C$2,"state","LA"))=0,,IF(GETPIVOTDATA("Total-New",'Distrib pivot table'!$C$2,"state","LA","group","2c2")/GETPIVOTDATA("Total-New",'Distrib pivot table'!$C$2,"state","LA")&gt;0.0005,GETPIVOTDATA("Total-New",'Distrib pivot table'!$C$2,"state","LA","group","2c2")/GETPIVOTDATA("Total-New",'Distrib pivot table'!$C$2,"state","LA"),"*"))</f>
        <v>*</v>
      </c>
      <c r="L37" s="418">
        <f>IF((GETPIVOTDATA("Total-New",'Distrib pivot table'!$C$2,"state","MD","group","2c2")/GETPIVOTDATA("Total-New",'Distrib pivot table'!$C$2,"state","MD"))=0,,IF(GETPIVOTDATA("Total-New",'Distrib pivot table'!$C$2,"state","MD","group","2c2")/GETPIVOTDATA("Total-New",'Distrib pivot table'!$C$2,"state","MD")&gt;0.0005,GETPIVOTDATA("Total-New",'Distrib pivot table'!$C$2,"state","MD","group","2c2")/GETPIVOTDATA("Total-New",'Distrib pivot table'!$C$2,"state","MD"),"*"))</f>
        <v>0</v>
      </c>
      <c r="M37" s="418" t="str">
        <f>IF((GETPIVOTDATA("Total-New",'Distrib pivot table'!$C$2,"state","MS","group","2c2")/GETPIVOTDATA("Total-New",'Distrib pivot table'!$C$2,"state","MS"))=0,,IF(GETPIVOTDATA("Total-New",'Distrib pivot table'!$C$2,"state","MS","group","2c2")/GETPIVOTDATA("Total-New",'Distrib pivot table'!$C$2,"state","MS")&gt;0.0005,GETPIVOTDATA("Total-New",'Distrib pivot table'!$C$2,"state","MS","group","2c2")/GETPIVOTDATA("Total-New",'Distrib pivot table'!$C$2,"state","MS"),"*"))</f>
        <v>*</v>
      </c>
      <c r="N37" s="418">
        <f>IF((GETPIVOTDATA("Total-New",'Distrib pivot table'!$C$2,"state","NC","group","2c2")/GETPIVOTDATA("Total-New",'Distrib pivot table'!$C$2,"state","NC"))=0,,IF(GETPIVOTDATA("Total-New",'Distrib pivot table'!$C$2,"state","NC","group","2c2")/GETPIVOTDATA("Total-New",'Distrib pivot table'!$C$2,"state","NC")&gt;0.0005,GETPIVOTDATA("Total-New",'Distrib pivot table'!$C$2,"state","NC","group","2c2")/GETPIVOTDATA("Total-New",'Distrib pivot table'!$C$2,"state","NC"),"*"))</f>
        <v>0</v>
      </c>
      <c r="O37" s="418">
        <f>IF((GETPIVOTDATA("Total-New",'Distrib pivot table'!$C$2,"state","OK","group","2c2")/GETPIVOTDATA("Total-New",'Distrib pivot table'!$C$2,"state","OK"))=0,,IF(GETPIVOTDATA("Total-New",'Distrib pivot table'!$C$2,"state","OK","group","2c2")/GETPIVOTDATA("Total-New",'Distrib pivot table'!$C$2,"state","OK")&gt;0.0005,GETPIVOTDATA("Total-New",'Distrib pivot table'!$C$2,"state","OK","group","2c2")/GETPIVOTDATA("Total-New",'Distrib pivot table'!$C$2,"state","OK"),"*"))</f>
        <v>0</v>
      </c>
      <c r="P37" s="418">
        <f>IF((GETPIVOTDATA("Total-New",'Distrib pivot table'!$C$2,"state","SC","group","2c2")/GETPIVOTDATA("Total-New",'Distrib pivot table'!$C$2,"state","SC"))=0,,IF(GETPIVOTDATA("Total-New",'Distrib pivot table'!$C$2,"state","SC","group","2c2")/GETPIVOTDATA("Total-New",'Distrib pivot table'!$C$2,"state","SC")&gt;0.0005,GETPIVOTDATA("Total-New",'Distrib pivot table'!$C$2,"state","SC","group","2c2")/GETPIVOTDATA("Total-New",'Distrib pivot table'!$C$2,"state","SC"),"*"))</f>
        <v>8.9213788141672952E-4</v>
      </c>
      <c r="Q37" s="418">
        <f>IF((GETPIVOTDATA("Total-New",'Distrib pivot table'!$C$2,"state","TN","group","2c2")/GETPIVOTDATA("Total-New",'Distrib pivot table'!$C$2,"state","TN"))=0,,IF(GETPIVOTDATA("Total-New",'Distrib pivot table'!$C$2,"state","TN","group","2c2")/GETPIVOTDATA("Total-New",'Distrib pivot table'!$C$2,"state","TN")&gt;0.0005,GETPIVOTDATA("Total-New",'Distrib pivot table'!$C$2,"state","TN","group","2c2")/GETPIVOTDATA("Total-New",'Distrib pivot table'!$C$2,"state","TN"),"*"))</f>
        <v>0</v>
      </c>
      <c r="R37" s="418">
        <f>IF((GETPIVOTDATA("Total-New",'Distrib pivot table'!$C$2,"state","TX","group","2c2")/GETPIVOTDATA("Total-New",'Distrib pivot table'!$C$2,"state","TX"))=0,,IF(GETPIVOTDATA("Total-New",'Distrib pivot table'!$C$2,"state","TX","group","2c2")/GETPIVOTDATA("Total-New",'Distrib pivot table'!$C$2,"state","TX")&gt;0.0005,GETPIVOTDATA("Total-New",'Distrib pivot table'!$C$2,"state","TX","group","2c2")/GETPIVOTDATA("Total-New",'Distrib pivot table'!$C$2,"state","TX"),"*"))</f>
        <v>0</v>
      </c>
      <c r="S37" s="418">
        <f>IF((GETPIVOTDATA("Total-New",'Distrib pivot table'!$C$2,"state","VA","group","2c2")/GETPIVOTDATA("Total-New",'Distrib pivot table'!$C$2,"state","VA"))=0,,IF(GETPIVOTDATA("Total-New",'Distrib pivot table'!$C$2,"state","VA","group","2c2")/GETPIVOTDATA("Total-New",'Distrib pivot table'!$C$2,"state","VA")&gt;0.0005,GETPIVOTDATA("Total-New",'Distrib pivot table'!$C$2,"state","VA","group","2c2")/GETPIVOTDATA("Total-New",'Distrib pivot table'!$C$2,"state","VA"),"*"))</f>
        <v>0</v>
      </c>
      <c r="T37" s="418">
        <f>IF((GETPIVOTDATA("Total-New",'Distrib pivot table'!$C$2,"state","WV","group","2c2")/GETPIVOTDATA("Total-New",'Distrib pivot table'!$C$2,"state","WV"))=0,,IF(GETPIVOTDATA("Total-New",'Distrib pivot table'!$C$2,"state","WV","group","2c2")/GETPIVOTDATA("Total-New",'Distrib pivot table'!$C$2,"state","WV")&gt;0.0005,GETPIVOTDATA("Total-New",'Distrib pivot table'!$C$2,"state","WV","group","2c2")/GETPIVOTDATA("Total-New",'Distrib pivot table'!$C$2,"state","WV"),"*"))</f>
        <v>7.3747540031561835E-4</v>
      </c>
      <c r="U37" s="3"/>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row>
    <row r="38" spans="1:50" ht="12.6" customHeight="1" x14ac:dyDescent="0.2">
      <c r="A38" s="1541"/>
      <c r="B38" s="130" t="s">
        <v>137</v>
      </c>
      <c r="C38" s="374" t="s">
        <v>290</v>
      </c>
      <c r="D38" s="418" t="str">
        <f>IF(GETPIVOTDATA("Total-New",'Distrib pivot table'!$C$2,"group","2c3")/GETPIVOTDATA("Total-New",'Distrib pivot table'!$C$2)=0,,IF(GETPIVOTDATA("Total-New",'Distrib pivot table'!$C$2,"group","2c3")/GETPIVOTDATA("Total-New",'Distrib pivot table'!$C$2)&gt;0.0005,GETPIVOTDATA("Total-New",'Distrib pivot table'!$C$2,"group","2c3")/GETPIVOTDATA("Total-New",'Distrib pivot table'!$C$2),"*"))</f>
        <v>*</v>
      </c>
      <c r="E38" s="418">
        <f>IF((GETPIVOTDATA("Total-New",'Distrib pivot table'!$C$2,"state","AL","group","2c3")/GETPIVOTDATA("Total-New",'Distrib pivot table'!$C$2,"state","AL"))=0,,IF(GETPIVOTDATA("Total-New",'Distrib pivot table'!$C$2,"state","AL","group","2c3")/GETPIVOTDATA("Total-New",'Distrib pivot table'!$C$2,"state","AL")&gt;0.0005,GETPIVOTDATA("Total-New",'Distrib pivot table'!$C$2,"state","AL","group","2c3")/GETPIVOTDATA("Total-New",'Distrib pivot table'!$C$2,"state","AL"),"*"))</f>
        <v>0</v>
      </c>
      <c r="F38" s="418">
        <f>IF((GETPIVOTDATA("Total-New",'Distrib pivot table'!$C$2,"state","AR","group","2c3")/GETPIVOTDATA("Total-New",'Distrib pivot table'!$C$2,"state","AR"))=0,,IF(GETPIVOTDATA("Total-New",'Distrib pivot table'!$C$2,"state","AR","group","2c3")/GETPIVOTDATA("Total-New",'Distrib pivot table'!$C$2,"state","AR")&gt;0.0005,GETPIVOTDATA("Total-New",'Distrib pivot table'!$C$2,"state","AR","group","2c3")/GETPIVOTDATA("Total-New",'Distrib pivot table'!$C$2,"state","AR"),"*"))</f>
        <v>0</v>
      </c>
      <c r="G38" s="418">
        <f>IF((GETPIVOTDATA("Total-New",'Distrib pivot table'!$C$2,"state","DE","group","2c3")/GETPIVOTDATA("Total-New",'Distrib pivot table'!$C$2,"state","DE"))=0,,IF(GETPIVOTDATA("Total-New",'Distrib pivot table'!$C$2,"state","DE","group","2c3")/GETPIVOTDATA("Total-New",'Distrib pivot table'!$C$2,"state","DE")&gt;0.0005,GETPIVOTDATA("Total-New",'Distrib pivot table'!$C$2,"state","DE","group","2c3")/GETPIVOTDATA("Total-New",'Distrib pivot table'!$C$2,"state","DE"),"*"))</f>
        <v>0</v>
      </c>
      <c r="H38" s="418" t="str">
        <f>IF((GETPIVOTDATA("Total-New",'Distrib pivot table'!$C$2,"state","FL","group","2c3")/GETPIVOTDATA("Total-New",'Distrib pivot table'!$C$2,"state","FL"))=0,,IF(GETPIVOTDATA("Total-New",'Distrib pivot table'!$C$2,"state","FL","group","2c3")/GETPIVOTDATA("Total-New",'Distrib pivot table'!$C$2,"state","FL")&gt;0.0005,GETPIVOTDATA("Total-New",'Distrib pivot table'!$C$2,"state","FL","group","2c3")/GETPIVOTDATA("Total-New",'Distrib pivot table'!$C$2,"state","FL"),"*"))</f>
        <v>*</v>
      </c>
      <c r="I38" s="418" t="str">
        <f>IF((GETPIVOTDATA("Total-New",'Distrib pivot table'!$C$2,"state","GA","group","2c3")/GETPIVOTDATA("Total-New",'Distrib pivot table'!$C$2,"state","GA"))=0,,IF(GETPIVOTDATA("Total-New",'Distrib pivot table'!$C$2,"state","GA","group","2c3")/GETPIVOTDATA("Total-New",'Distrib pivot table'!$C$2,"state","GA")&gt;0.0005,GETPIVOTDATA("Total-New",'Distrib pivot table'!$C$2,"state","GA","group","2c3")/GETPIVOTDATA("Total-New",'Distrib pivot table'!$C$2,"state","GA"),"*"))</f>
        <v>*</v>
      </c>
      <c r="J38" s="418" t="str">
        <f>IF((GETPIVOTDATA("Total-New",'Distrib pivot table'!$C$2,"state","KY","group","2c3")/GETPIVOTDATA("Total-New",'Distrib pivot table'!$C$2,"state","KY"))=0,,IF(GETPIVOTDATA("Total-New",'Distrib pivot table'!$C$2,"state","KY","group","2c3")/GETPIVOTDATA("Total-New",'Distrib pivot table'!$C$2,"state","KY")&gt;0.0005,GETPIVOTDATA("Total-New",'Distrib pivot table'!$C$2,"state","KY","group","2c3")/GETPIVOTDATA("Total-New",'Distrib pivot table'!$C$2,"state","KY"),"*"))</f>
        <v>*</v>
      </c>
      <c r="K38" s="418">
        <f>IF((GETPIVOTDATA("Total-New",'Distrib pivot table'!$C$2,"state","LA","group","2c3")/GETPIVOTDATA("Total-New",'Distrib pivot table'!$C$2,"state","LA"))=0,,IF(GETPIVOTDATA("Total-New",'Distrib pivot table'!$C$2,"state","LA","group","2c3")/GETPIVOTDATA("Total-New",'Distrib pivot table'!$C$2,"state","LA")&gt;0.0005,GETPIVOTDATA("Total-New",'Distrib pivot table'!$C$2,"state","LA","group","2c3")/GETPIVOTDATA("Total-New",'Distrib pivot table'!$C$2,"state","LA"),"*"))</f>
        <v>0</v>
      </c>
      <c r="L38" s="418">
        <f>IF((GETPIVOTDATA("Total-New",'Distrib pivot table'!$C$2,"state","MD","group","2c3")/GETPIVOTDATA("Total-New",'Distrib pivot table'!$C$2,"state","MD"))=0,,IF(GETPIVOTDATA("Total-New",'Distrib pivot table'!$C$2,"state","MD","group","2c3")/GETPIVOTDATA("Total-New",'Distrib pivot table'!$C$2,"state","MD")&gt;0.0005,GETPIVOTDATA("Total-New",'Distrib pivot table'!$C$2,"state","MD","group","2c3")/GETPIVOTDATA("Total-New",'Distrib pivot table'!$C$2,"state","MD"),"*"))</f>
        <v>0</v>
      </c>
      <c r="M38" s="418">
        <f>IF((GETPIVOTDATA("Total-New",'Distrib pivot table'!$C$2,"state","MS","group","2c3")/GETPIVOTDATA("Total-New",'Distrib pivot table'!$C$2,"state","MS"))=0,,IF(GETPIVOTDATA("Total-New",'Distrib pivot table'!$C$2,"state","MS","group","2c3")/GETPIVOTDATA("Total-New",'Distrib pivot table'!$C$2,"state","MS")&gt;0.0005,GETPIVOTDATA("Total-New",'Distrib pivot table'!$C$2,"state","MS","group","2c3")/GETPIVOTDATA("Total-New",'Distrib pivot table'!$C$2,"state","MS"),"*"))</f>
        <v>0</v>
      </c>
      <c r="N38" s="418">
        <f>IF((GETPIVOTDATA("Total-New",'Distrib pivot table'!$C$2,"state","NC","group","2c3")/GETPIVOTDATA("Total-New",'Distrib pivot table'!$C$2,"state","NC"))=0,,IF(GETPIVOTDATA("Total-New",'Distrib pivot table'!$C$2,"state","NC","group","2c3")/GETPIVOTDATA("Total-New",'Distrib pivot table'!$C$2,"state","NC")&gt;0.0005,GETPIVOTDATA("Total-New",'Distrib pivot table'!$C$2,"state","NC","group","2c3")/GETPIVOTDATA("Total-New",'Distrib pivot table'!$C$2,"state","NC"),"*"))</f>
        <v>0</v>
      </c>
      <c r="O38" s="418">
        <f>IF((GETPIVOTDATA("Total-New",'Distrib pivot table'!$C$2,"state","OK","group","2c3")/GETPIVOTDATA("Total-New",'Distrib pivot table'!$C$2,"state","OK"))=0,,IF(GETPIVOTDATA("Total-New",'Distrib pivot table'!$C$2,"state","OK","group","2c3")/GETPIVOTDATA("Total-New",'Distrib pivot table'!$C$2,"state","OK")&gt;0.0005,GETPIVOTDATA("Total-New",'Distrib pivot table'!$C$2,"state","OK","group","2c3")/GETPIVOTDATA("Total-New",'Distrib pivot table'!$C$2,"state","OK"),"*"))</f>
        <v>0</v>
      </c>
      <c r="P38" s="418" t="str">
        <f>IF((GETPIVOTDATA("Total-New",'Distrib pivot table'!$C$2,"state","SC","group","2c3")/GETPIVOTDATA("Total-New",'Distrib pivot table'!$C$2,"state","SC"))=0,,IF(GETPIVOTDATA("Total-New",'Distrib pivot table'!$C$2,"state","SC","group","2c3")/GETPIVOTDATA("Total-New",'Distrib pivot table'!$C$2,"state","SC")&gt;0.0005,GETPIVOTDATA("Total-New",'Distrib pivot table'!$C$2,"state","SC","group","2c3")/GETPIVOTDATA("Total-New",'Distrib pivot table'!$C$2,"state","SC"),"*"))</f>
        <v>*</v>
      </c>
      <c r="Q38" s="418">
        <f>IF((GETPIVOTDATA("Total-New",'Distrib pivot table'!$C$2,"state","TN","group","2c3")/GETPIVOTDATA("Total-New",'Distrib pivot table'!$C$2,"state","TN"))=0,,IF(GETPIVOTDATA("Total-New",'Distrib pivot table'!$C$2,"state","TN","group","2c3")/GETPIVOTDATA("Total-New",'Distrib pivot table'!$C$2,"state","TN")&gt;0.0005,GETPIVOTDATA("Total-New",'Distrib pivot table'!$C$2,"state","TN","group","2c3")/GETPIVOTDATA("Total-New",'Distrib pivot table'!$C$2,"state","TN"),"*"))</f>
        <v>0</v>
      </c>
      <c r="R38" s="418">
        <f>IF((GETPIVOTDATA("Total-New",'Distrib pivot table'!$C$2,"state","TX","group","2c3")/GETPIVOTDATA("Total-New",'Distrib pivot table'!$C$2,"state","TX"))=0,,IF(GETPIVOTDATA("Total-New",'Distrib pivot table'!$C$2,"state","TX","group","2c3")/GETPIVOTDATA("Total-New",'Distrib pivot table'!$C$2,"state","TX")&gt;0.0005,GETPIVOTDATA("Total-New",'Distrib pivot table'!$C$2,"state","TX","group","2c3")/GETPIVOTDATA("Total-New",'Distrib pivot table'!$C$2,"state","TX"),"*"))</f>
        <v>0</v>
      </c>
      <c r="S38" s="418" t="str">
        <f>IF((GETPIVOTDATA("Total-New",'Distrib pivot table'!$C$2,"state","VA","group","2c3")/GETPIVOTDATA("Total-New",'Distrib pivot table'!$C$2,"state","VA"))=0,,IF(GETPIVOTDATA("Total-New",'Distrib pivot table'!$C$2,"state","VA","group","2c3")/GETPIVOTDATA("Total-New",'Distrib pivot table'!$C$2,"state","VA")&gt;0.0005,GETPIVOTDATA("Total-New",'Distrib pivot table'!$C$2,"state","VA","group","2c3")/GETPIVOTDATA("Total-New",'Distrib pivot table'!$C$2,"state","VA"),"*"))</f>
        <v>*</v>
      </c>
      <c r="T38" s="418" t="str">
        <f>IF((GETPIVOTDATA("Total-New",'Distrib pivot table'!$C$2,"state","WV","group","2c3")/GETPIVOTDATA("Total-New",'Distrib pivot table'!$C$2,"state","WV"))=0,,IF(GETPIVOTDATA("Total-New",'Distrib pivot table'!$C$2,"state","WV","group","2c3")/GETPIVOTDATA("Total-New",'Distrib pivot table'!$C$2,"state","WV")&gt;0.0005,GETPIVOTDATA("Total-New",'Distrib pivot table'!$C$2,"state","WV","group","2c3")/GETPIVOTDATA("Total-New",'Distrib pivot table'!$C$2,"state","WV"),"*"))</f>
        <v>*</v>
      </c>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row>
    <row r="39" spans="1:50" s="45" customFormat="1" ht="24" x14ac:dyDescent="0.2">
      <c r="A39" s="1541"/>
      <c r="B39" s="126" t="s">
        <v>94</v>
      </c>
      <c r="C39" s="375" t="s">
        <v>291</v>
      </c>
      <c r="D39" s="419">
        <f>SUM(D40:D54)</f>
        <v>6.1010797763787913E-2</v>
      </c>
      <c r="E39" s="419">
        <f>SUM(E40:E54)</f>
        <v>1.7928692329690105E-2</v>
      </c>
      <c r="F39" s="419">
        <f t="shared" ref="F39:T39" si="5">SUM(F40:F54)</f>
        <v>7.5681312126752748E-2</v>
      </c>
      <c r="G39" s="419">
        <f t="shared" si="5"/>
        <v>5.0821205968623927E-3</v>
      </c>
      <c r="H39" s="419">
        <f t="shared" si="5"/>
        <v>8.2546646049555666E-2</v>
      </c>
      <c r="I39" s="419">
        <f t="shared" si="5"/>
        <v>8.7903961884089374E-2</v>
      </c>
      <c r="J39" s="419">
        <f t="shared" si="5"/>
        <v>7.2469326230221384E-2</v>
      </c>
      <c r="K39" s="419">
        <f t="shared" si="5"/>
        <v>0.10991832659705894</v>
      </c>
      <c r="L39" s="419">
        <f t="shared" si="5"/>
        <v>2.4823957486560001E-2</v>
      </c>
      <c r="M39" s="419">
        <f t="shared" si="5"/>
        <v>1.8371922833881164E-2</v>
      </c>
      <c r="N39" s="419">
        <f t="shared" si="5"/>
        <v>4.2085290580143972E-2</v>
      </c>
      <c r="O39" s="419">
        <f t="shared" si="5"/>
        <v>3.9987486286984252E-2</v>
      </c>
      <c r="P39" s="419">
        <f t="shared" si="5"/>
        <v>0.12365159249838191</v>
      </c>
      <c r="Q39" s="419">
        <f t="shared" si="5"/>
        <v>0.12443940917596102</v>
      </c>
      <c r="R39" s="419">
        <f t="shared" si="5"/>
        <v>4.3993705926491856E-2</v>
      </c>
      <c r="S39" s="419">
        <f t="shared" si="5"/>
        <v>5.3600349863316001E-2</v>
      </c>
      <c r="T39" s="419">
        <f t="shared" si="5"/>
        <v>7.6826410049087357E-2</v>
      </c>
      <c r="U39" s="27"/>
      <c r="V39" s="27"/>
      <c r="W39" s="27"/>
      <c r="X39" s="27"/>
      <c r="Y39" s="27"/>
      <c r="Z39" s="27"/>
      <c r="AA39" s="27"/>
      <c r="AB39" s="27"/>
      <c r="AC39" s="27"/>
      <c r="AD39" s="27"/>
      <c r="AE39" s="27"/>
      <c r="AF39" s="27"/>
      <c r="AG39" s="27"/>
      <c r="AH39" s="27"/>
      <c r="AI39" s="27"/>
      <c r="AJ39" s="27"/>
      <c r="AK39" s="27"/>
      <c r="AL39" s="27"/>
      <c r="AM39" s="27"/>
      <c r="AN39" s="27"/>
      <c r="AO39" s="27"/>
      <c r="AP39" s="27"/>
      <c r="AQ39" s="27"/>
      <c r="AR39" s="27"/>
      <c r="AS39" s="27"/>
      <c r="AT39" s="27"/>
      <c r="AU39" s="27"/>
      <c r="AV39" s="27"/>
      <c r="AW39" s="27"/>
      <c r="AX39" s="27"/>
    </row>
    <row r="40" spans="1:50" ht="12.6" customHeight="1" x14ac:dyDescent="0.2">
      <c r="A40" s="1541"/>
      <c r="B40" s="127" t="s">
        <v>52</v>
      </c>
      <c r="C40" s="374" t="s">
        <v>292</v>
      </c>
      <c r="D40" s="418">
        <f>IF(GETPIVOTDATA("Total-New",'Distrib pivot table'!$C$2,"group","2d1")/GETPIVOTDATA("Total-New",'Distrib pivot table'!$C$2)=0,,IF(GETPIVOTDATA("Total-New",'Distrib pivot table'!$C$2,"group","2d1")/GETPIVOTDATA("Total-New",'Distrib pivot table'!$C$2)&gt;0.0005,GETPIVOTDATA("Total-New",'Distrib pivot table'!$C$2,"group","2d1")/GETPIVOTDATA("Total-New",'Distrib pivot table'!$C$2),"*"))</f>
        <v>1.0286894958555389E-2</v>
      </c>
      <c r="E40" s="418">
        <f>IF((GETPIVOTDATA("Total-New",'Distrib pivot table'!$C$2,"state","AL","group","2d1")/GETPIVOTDATA("Total-New",'Distrib pivot table'!$C$2,"state","AL"))=0,,IF(GETPIVOTDATA("Total-New",'Distrib pivot table'!$C$2,"state","AL","group","2d1")/GETPIVOTDATA("Total-New",'Distrib pivot table'!$C$2,"state","AL")&gt;0.0005,GETPIVOTDATA("Total-New",'Distrib pivot table'!$C$2,"state","AL","group","2d1")/GETPIVOTDATA("Total-New",'Distrib pivot table'!$C$2,"state","AL"),"*"))</f>
        <v>0</v>
      </c>
      <c r="F40" s="418">
        <f>IF((GETPIVOTDATA("Total-New",'Distrib pivot table'!$C$2,"state","AR","group","2d1")/GETPIVOTDATA("Total-New",'Distrib pivot table'!$C$2,"state","AR"))=0,,IF(GETPIVOTDATA("Total-New",'Distrib pivot table'!$C$2,"state","AR","group","2d1")/GETPIVOTDATA("Total-New",'Distrib pivot table'!$C$2,"state","AR")&gt;0.0005,GETPIVOTDATA("Total-New",'Distrib pivot table'!$C$2,"state","AR","group","2d1")/GETPIVOTDATA("Total-New",'Distrib pivot table'!$C$2,"state","AR"),"*"))</f>
        <v>0</v>
      </c>
      <c r="G40" s="418">
        <f>IF((GETPIVOTDATA("Total-New",'Distrib pivot table'!$C$2,"state","DE","group","2d1")/GETPIVOTDATA("Total-New",'Distrib pivot table'!$C$2,"state","DE"))=0,,IF(GETPIVOTDATA("Total-New",'Distrib pivot table'!$C$2,"state","DE","group","2d1")/GETPIVOTDATA("Total-New",'Distrib pivot table'!$C$2,"state","DE")&gt;0.0005,GETPIVOTDATA("Total-New",'Distrib pivot table'!$C$2,"state","DE","group","2d1")/GETPIVOTDATA("Total-New",'Distrib pivot table'!$C$2,"state","DE"),"*"))</f>
        <v>1.8188560733018401E-3</v>
      </c>
      <c r="H40" s="418">
        <f>IF((GETPIVOTDATA("Total-New",'Distrib pivot table'!$C$2,"state","FL","group","2d1")/GETPIVOTDATA("Total-New",'Distrib pivot table'!$C$2,"state","FL"))=0,,IF(GETPIVOTDATA("Total-New",'Distrib pivot table'!$C$2,"state","FL","group","2d1")/GETPIVOTDATA("Total-New",'Distrib pivot table'!$C$2,"state","FL")&gt;0.0005,GETPIVOTDATA("Total-New",'Distrib pivot table'!$C$2,"state","FL","group","2d1")/GETPIVOTDATA("Total-New",'Distrib pivot table'!$C$2,"state","FL"),"*"))</f>
        <v>0</v>
      </c>
      <c r="I40" s="418">
        <f>IF((GETPIVOTDATA("Total-New",'Distrib pivot table'!$C$2,"state","GA","group","2d1")/GETPIVOTDATA("Total-New",'Distrib pivot table'!$C$2,"state","GA"))=0,,IF(GETPIVOTDATA("Total-New",'Distrib pivot table'!$C$2,"state","GA","group","2d1")/GETPIVOTDATA("Total-New",'Distrib pivot table'!$C$2,"state","GA")&gt;0.0005,GETPIVOTDATA("Total-New",'Distrib pivot table'!$C$2,"state","GA","group","2d1")/GETPIVOTDATA("Total-New",'Distrib pivot table'!$C$2,"state","GA"),"*"))</f>
        <v>0</v>
      </c>
      <c r="J40" s="418">
        <f>IF((GETPIVOTDATA("Total-New",'Distrib pivot table'!$C$2,"state","KY","group","2d1")/GETPIVOTDATA("Total-New",'Distrib pivot table'!$C$2,"state","KY"))=0,,IF(GETPIVOTDATA("Total-New",'Distrib pivot table'!$C$2,"state","KY","group","2d1")/GETPIVOTDATA("Total-New",'Distrib pivot table'!$C$2,"state","KY")&gt;0.0005,GETPIVOTDATA("Total-New",'Distrib pivot table'!$C$2,"state","KY","group","2d1")/GETPIVOTDATA("Total-New",'Distrib pivot table'!$C$2,"state","KY"),"*"))</f>
        <v>0</v>
      </c>
      <c r="K40" s="418">
        <f>IF((GETPIVOTDATA("Total-New",'Distrib pivot table'!$C$2,"state","LA","group","2d1")/GETPIVOTDATA("Total-New",'Distrib pivot table'!$C$2,"state","LA"))=0,,IF(GETPIVOTDATA("Total-New",'Distrib pivot table'!$C$2,"state","LA","group","2d1")/GETPIVOTDATA("Total-New",'Distrib pivot table'!$C$2,"state","LA")&gt;0.0005,GETPIVOTDATA("Total-New",'Distrib pivot table'!$C$2,"state","LA","group","2d1")/GETPIVOTDATA("Total-New",'Distrib pivot table'!$C$2,"state","LA"),"*"))</f>
        <v>0</v>
      </c>
      <c r="L40" s="418">
        <f>IF((GETPIVOTDATA("Total-New",'Distrib pivot table'!$C$2,"state","MD","group","2d1")/GETPIVOTDATA("Total-New",'Distrib pivot table'!$C$2,"state","MD"))=0,,IF(GETPIVOTDATA("Total-New",'Distrib pivot table'!$C$2,"state","MD","group","2d1")/GETPIVOTDATA("Total-New",'Distrib pivot table'!$C$2,"state","MD")&gt;0.0005,GETPIVOTDATA("Total-New",'Distrib pivot table'!$C$2,"state","MD","group","2d1")/GETPIVOTDATA("Total-New",'Distrib pivot table'!$C$2,"state","MD"),"*"))</f>
        <v>0</v>
      </c>
      <c r="M40" s="418">
        <f>IF((GETPIVOTDATA("Total-New",'Distrib pivot table'!$C$2,"state","MS","group","2d1")/GETPIVOTDATA("Total-New",'Distrib pivot table'!$C$2,"state","MS"))=0,,IF(GETPIVOTDATA("Total-New",'Distrib pivot table'!$C$2,"state","MS","group","2d1")/GETPIVOTDATA("Total-New",'Distrib pivot table'!$C$2,"state","MS")&gt;0.0005,GETPIVOTDATA("Total-New",'Distrib pivot table'!$C$2,"state","MS","group","2d1")/GETPIVOTDATA("Total-New",'Distrib pivot table'!$C$2,"state","MS"),"*"))</f>
        <v>0</v>
      </c>
      <c r="N40" s="418">
        <f>IF((GETPIVOTDATA("Total-New",'Distrib pivot table'!$C$2,"state","NC","group","2d1")/GETPIVOTDATA("Total-New",'Distrib pivot table'!$C$2,"state","NC"))=0,,IF(GETPIVOTDATA("Total-New",'Distrib pivot table'!$C$2,"state","NC","group","2d1")/GETPIVOTDATA("Total-New",'Distrib pivot table'!$C$2,"state","NC")&gt;0.0005,GETPIVOTDATA("Total-New",'Distrib pivot table'!$C$2,"state","NC","group","2d1")/GETPIVOTDATA("Total-New",'Distrib pivot table'!$C$2,"state","NC"),"*"))</f>
        <v>0</v>
      </c>
      <c r="O40" s="418">
        <f>IF((GETPIVOTDATA("Total-New",'Distrib pivot table'!$C$2,"state","OK","group","2d1")/GETPIVOTDATA("Total-New",'Distrib pivot table'!$C$2,"state","OK"))=0,,IF(GETPIVOTDATA("Total-New",'Distrib pivot table'!$C$2,"state","OK","group","2d1")/GETPIVOTDATA("Total-New",'Distrib pivot table'!$C$2,"state","OK")&gt;0.0005,GETPIVOTDATA("Total-New",'Distrib pivot table'!$C$2,"state","OK","group","2d1")/GETPIVOTDATA("Total-New",'Distrib pivot table'!$C$2,"state","OK"),"*"))</f>
        <v>3.8298100814184999E-2</v>
      </c>
      <c r="P40" s="418">
        <f>IF((GETPIVOTDATA("Total-New",'Distrib pivot table'!$C$2,"state","SC","group","2d1")/GETPIVOTDATA("Total-New",'Distrib pivot table'!$C$2,"state","SC"))=0,,IF(GETPIVOTDATA("Total-New",'Distrib pivot table'!$C$2,"state","SC","group","2d1")/GETPIVOTDATA("Total-New",'Distrib pivot table'!$C$2,"state","SC")&gt;0.0005,GETPIVOTDATA("Total-New",'Distrib pivot table'!$C$2,"state","SC","group","2d1")/GETPIVOTDATA("Total-New",'Distrib pivot table'!$C$2,"state","SC"),"*"))</f>
        <v>0</v>
      </c>
      <c r="Q40" s="418">
        <f>IF((GETPIVOTDATA("Total-New",'Distrib pivot table'!$C$2,"state","TN","group","2d1")/GETPIVOTDATA("Total-New",'Distrib pivot table'!$C$2,"state","TN"))=0,,IF(GETPIVOTDATA("Total-New",'Distrib pivot table'!$C$2,"state","TN","group","2d1")/GETPIVOTDATA("Total-New",'Distrib pivot table'!$C$2,"state","TN")&gt;0.0005,GETPIVOTDATA("Total-New",'Distrib pivot table'!$C$2,"state","TN","group","2d1")/GETPIVOTDATA("Total-New",'Distrib pivot table'!$C$2,"state","TN"),"*"))</f>
        <v>0</v>
      </c>
      <c r="R40" s="418">
        <f>IF((GETPIVOTDATA("Total-New",'Distrib pivot table'!$C$2,"state","TX","group","2d1")/GETPIVOTDATA("Total-New",'Distrib pivot table'!$C$2,"state","TX"))=0,,IF(GETPIVOTDATA("Total-New",'Distrib pivot table'!$C$2,"state","TX","group","2d1")/GETPIVOTDATA("Total-New",'Distrib pivot table'!$C$2,"state","TX")&gt;0.0005,GETPIVOTDATA("Total-New",'Distrib pivot table'!$C$2,"state","TX","group","2d1")/GETPIVOTDATA("Total-New",'Distrib pivot table'!$C$2,"state","TX"),"*"))</f>
        <v>4.2352670471134543E-2</v>
      </c>
      <c r="S40" s="418">
        <f>IF((GETPIVOTDATA("Total-New",'Distrib pivot table'!$C$2,"state","VA","group","2d1")/GETPIVOTDATA("Total-New",'Distrib pivot table'!$C$2,"state","VA"))=0,,IF(GETPIVOTDATA("Total-New",'Distrib pivot table'!$C$2,"state","VA","group","2d1")/GETPIVOTDATA("Total-New",'Distrib pivot table'!$C$2,"state","VA")&gt;0.0005,GETPIVOTDATA("Total-New",'Distrib pivot table'!$C$2,"state","VA","group","2d1")/GETPIVOTDATA("Total-New",'Distrib pivot table'!$C$2,"state","VA"),"*"))</f>
        <v>0</v>
      </c>
      <c r="T40" s="418">
        <f>IF((GETPIVOTDATA("Total-New",'Distrib pivot table'!$C$2,"state","WV","group","2d1")/GETPIVOTDATA("Total-New",'Distrib pivot table'!$C$2,"state","WV"))=0,,IF(GETPIVOTDATA("Total-New",'Distrib pivot table'!$C$2,"state","WV","group","2d1")/GETPIVOTDATA("Total-New",'Distrib pivot table'!$C$2,"state","WV")&gt;0.0005,GETPIVOTDATA("Total-New",'Distrib pivot table'!$C$2,"state","WV","group","2d1")/GETPIVOTDATA("Total-New",'Distrib pivot table'!$C$2,"state","WV"),"*"))</f>
        <v>0</v>
      </c>
      <c r="U40" s="3"/>
      <c r="V40" s="3"/>
      <c r="W40" s="3"/>
      <c r="X40" s="3"/>
      <c r="Y40" s="3"/>
      <c r="Z40" s="3"/>
      <c r="AA40" s="3"/>
      <c r="AB40" s="3"/>
      <c r="AC40" s="3"/>
      <c r="AD40" s="3"/>
      <c r="AE40" s="3"/>
      <c r="AF40" s="3"/>
      <c r="AG40" s="3"/>
      <c r="AH40" s="3"/>
      <c r="AI40" s="3"/>
      <c r="AJ40" s="3"/>
      <c r="AK40" s="3"/>
      <c r="AL40" s="3"/>
      <c r="AM40" s="3"/>
      <c r="AN40" s="3"/>
      <c r="AO40" s="3"/>
      <c r="AP40" s="3"/>
      <c r="AQ40" s="3"/>
      <c r="AR40" s="3"/>
      <c r="AS40" s="3"/>
      <c r="AT40" s="3"/>
      <c r="AU40" s="3"/>
      <c r="AV40" s="3"/>
      <c r="AW40" s="3"/>
      <c r="AX40" s="3"/>
    </row>
    <row r="41" spans="1:50" ht="12.6" customHeight="1" x14ac:dyDescent="0.2">
      <c r="A41" s="1541"/>
      <c r="B41" s="127" t="s">
        <v>311</v>
      </c>
      <c r="C41" s="374" t="s">
        <v>310</v>
      </c>
      <c r="D41" s="418" t="str">
        <f>IF(GETPIVOTDATA("Total-New",'Distrib pivot table'!$C$2,"group","2d1a")/GETPIVOTDATA("Total-New",'Distrib pivot table'!$C$2)=0,,IF(GETPIVOTDATA("Total-New",'Distrib pivot table'!$C$2,"group","2d1a")/GETPIVOTDATA("Total-New",'Distrib pivot table'!$C$2)&gt;0.0005,GETPIVOTDATA("Total-New",'Distrib pivot table'!$C$2,"group","2d1a")/GETPIVOTDATA("Total-New",'Distrib pivot table'!$C$2),"*"))</f>
        <v>*</v>
      </c>
      <c r="E41" s="418" t="str">
        <f>IF((GETPIVOTDATA("Total-New",'Distrib pivot table'!$C$2,"state","AL","group","2d1a")/GETPIVOTDATA("Total-New",'Distrib pivot table'!$C$2,"state","AL"))=0,,IF(GETPIVOTDATA("Total-New",'Distrib pivot table'!$C$2,"state","AL","group","2d1a")/GETPIVOTDATA("Total-New",'Distrib pivot table'!$C$2,"state","AL")&gt;0.0005,GETPIVOTDATA("Total-New",'Distrib pivot table'!$C$2,"state","AL","group","2d1a")/GETPIVOTDATA("Total-New",'Distrib pivot table'!$C$2,"state","AL"),"*"))</f>
        <v>*</v>
      </c>
      <c r="F41" s="418">
        <f>IF((GETPIVOTDATA("Total-New",'Distrib pivot table'!$C$2,"state","AR","group","2d1a")/GETPIVOTDATA("Total-New",'Distrib pivot table'!$C$2,"state","AR"))=0,,IF(GETPIVOTDATA("Total-New",'Distrib pivot table'!$C$2,"state","AR","group","2d1a")/GETPIVOTDATA("Total-New",'Distrib pivot table'!$C$2,"state","AR")&gt;0.0005,GETPIVOTDATA("Total-New",'Distrib pivot table'!$C$2,"state","AR","group","2d1a")/GETPIVOTDATA("Total-New",'Distrib pivot table'!$C$2,"state","AR"),"*"))</f>
        <v>0</v>
      </c>
      <c r="G41" s="418" t="str">
        <f>IF((GETPIVOTDATA("Total-New",'Distrib pivot table'!$C$2,"state","DE","group","2d1a")/GETPIVOTDATA("Total-New",'Distrib pivot table'!$C$2,"state","DE"))=0,,IF(GETPIVOTDATA("Total-New",'Distrib pivot table'!$C$2,"state","DE","group","2d1a")/GETPIVOTDATA("Total-New",'Distrib pivot table'!$C$2,"state","DE")&gt;0.0005,GETPIVOTDATA("Total-New",'Distrib pivot table'!$C$2,"state","DE","group","2d1a")/GETPIVOTDATA("Total-New",'Distrib pivot table'!$C$2,"state","DE"),"*"))</f>
        <v>*</v>
      </c>
      <c r="H41" s="418">
        <f>IF((GETPIVOTDATA("Total-New",'Distrib pivot table'!$C$2,"state","FL","group","2d1a")/GETPIVOTDATA("Total-New",'Distrib pivot table'!$C$2,"state","FL"))=0,,IF(GETPIVOTDATA("Total-New",'Distrib pivot table'!$C$2,"state","FL","group","2d1a")/GETPIVOTDATA("Total-New",'Distrib pivot table'!$C$2,"state","FL")&gt;0.0005,GETPIVOTDATA("Total-New",'Distrib pivot table'!$C$2,"state","FL","group","2d1a")/GETPIVOTDATA("Total-New",'Distrib pivot table'!$C$2,"state","FL"),"*"))</f>
        <v>1.3047659372646659E-3</v>
      </c>
      <c r="I41" s="418">
        <f>IF((GETPIVOTDATA("Total-New",'Distrib pivot table'!$C$2,"state","GA","group","2d1a")/GETPIVOTDATA("Total-New",'Distrib pivot table'!$C$2,"state","GA"))=0,,IF(GETPIVOTDATA("Total-New",'Distrib pivot table'!$C$2,"state","GA","group","2d1a")/GETPIVOTDATA("Total-New",'Distrib pivot table'!$C$2,"state","GA")&gt;0.0005,GETPIVOTDATA("Total-New",'Distrib pivot table'!$C$2,"state","GA","group","2d1a")/GETPIVOTDATA("Total-New",'Distrib pivot table'!$C$2,"state","GA"),"*"))</f>
        <v>0</v>
      </c>
      <c r="J41" s="418">
        <f>IF((GETPIVOTDATA("Total-New",'Distrib pivot table'!$C$2,"state","KY","group","2d1a")/GETPIVOTDATA("Total-New",'Distrib pivot table'!$C$2,"state","KY"))=0,,IF(GETPIVOTDATA("Total-New",'Distrib pivot table'!$C$2,"state","KY","group","2d1a")/GETPIVOTDATA("Total-New",'Distrib pivot table'!$C$2,"state","KY")&gt;0.0005,GETPIVOTDATA("Total-New",'Distrib pivot table'!$C$2,"state","KY","group","2d1a")/GETPIVOTDATA("Total-New",'Distrib pivot table'!$C$2,"state","KY"),"*"))</f>
        <v>0</v>
      </c>
      <c r="K41" s="418">
        <f>IF((GETPIVOTDATA("Total-New",'Distrib pivot table'!$C$2,"state","LA","group","2d1a")/GETPIVOTDATA("Total-New",'Distrib pivot table'!$C$2,"state","LA"))=0,,IF(GETPIVOTDATA("Total-New",'Distrib pivot table'!$C$2,"state","LA","group","2d1a")/GETPIVOTDATA("Total-New",'Distrib pivot table'!$C$2,"state","LA")&gt;0.0005,GETPIVOTDATA("Total-New",'Distrib pivot table'!$C$2,"state","LA","group","2d1a")/GETPIVOTDATA("Total-New",'Distrib pivot table'!$C$2,"state","LA"),"*"))</f>
        <v>0</v>
      </c>
      <c r="L41" s="418">
        <f>IF((GETPIVOTDATA("Total-New",'Distrib pivot table'!$C$2,"state","MD","group","2d1a")/GETPIVOTDATA("Total-New",'Distrib pivot table'!$C$2,"state","MD"))=0,,IF(GETPIVOTDATA("Total-New",'Distrib pivot table'!$C$2,"state","MD","group","2d1a")/GETPIVOTDATA("Total-New",'Distrib pivot table'!$C$2,"state","MD")&gt;0.0005,GETPIVOTDATA("Total-New",'Distrib pivot table'!$C$2,"state","MD","group","2d1a")/GETPIVOTDATA("Total-New",'Distrib pivot table'!$C$2,"state","MD"),"*"))</f>
        <v>0</v>
      </c>
      <c r="M41" s="418">
        <f>IF((GETPIVOTDATA("Total-New",'Distrib pivot table'!$C$2,"state","MS","group","2d1a")/GETPIVOTDATA("Total-New",'Distrib pivot table'!$C$2,"state","MS"))=0,,IF(GETPIVOTDATA("Total-New",'Distrib pivot table'!$C$2,"state","MS","group","2d1a")/GETPIVOTDATA("Total-New",'Distrib pivot table'!$C$2,"state","MS")&gt;0.0005,GETPIVOTDATA("Total-New",'Distrib pivot table'!$C$2,"state","MS","group","2d1a")/GETPIVOTDATA("Total-New",'Distrib pivot table'!$C$2,"state","MS"),"*"))</f>
        <v>0</v>
      </c>
      <c r="N41" s="418">
        <f>IF((GETPIVOTDATA("Total-New",'Distrib pivot table'!$C$2,"state","NC","group","2d1a")/GETPIVOTDATA("Total-New",'Distrib pivot table'!$C$2,"state","NC"))=0,,IF(GETPIVOTDATA("Total-New",'Distrib pivot table'!$C$2,"state","NC","group","2d1a")/GETPIVOTDATA("Total-New",'Distrib pivot table'!$C$2,"state","NC")&gt;0.0005,GETPIVOTDATA("Total-New",'Distrib pivot table'!$C$2,"state","NC","group","2d1a")/GETPIVOTDATA("Total-New",'Distrib pivot table'!$C$2,"state","NC"),"*"))</f>
        <v>0</v>
      </c>
      <c r="O41" s="418">
        <f>IF((GETPIVOTDATA("Total-New",'Distrib pivot table'!$C$2,"state","OK","group","2d1a")/GETPIVOTDATA("Total-New",'Distrib pivot table'!$C$2,"state","OK"))=0,,IF(GETPIVOTDATA("Total-New",'Distrib pivot table'!$C$2,"state","OK","group","2d1a")/GETPIVOTDATA("Total-New",'Distrib pivot table'!$C$2,"state","OK")&gt;0.0005,GETPIVOTDATA("Total-New",'Distrib pivot table'!$C$2,"state","OK","group","2d1a")/GETPIVOTDATA("Total-New",'Distrib pivot table'!$C$2,"state","OK"),"*"))</f>
        <v>0</v>
      </c>
      <c r="P41" s="418">
        <f>IF((GETPIVOTDATA("Total-New",'Distrib pivot table'!$C$2,"state","SC","group","2d1a")/GETPIVOTDATA("Total-New",'Distrib pivot table'!$C$2,"state","SC"))=0,,IF(GETPIVOTDATA("Total-New",'Distrib pivot table'!$C$2,"state","SC","group","2d1a")/GETPIVOTDATA("Total-New",'Distrib pivot table'!$C$2,"state","SC")&gt;0.0005,GETPIVOTDATA("Total-New",'Distrib pivot table'!$C$2,"state","SC","group","2d1a")/GETPIVOTDATA("Total-New",'Distrib pivot table'!$C$2,"state","SC"),"*"))</f>
        <v>0</v>
      </c>
      <c r="Q41" s="418">
        <f>IF((GETPIVOTDATA("Total-New",'Distrib pivot table'!$C$2,"state","TN","group","2d1a")/GETPIVOTDATA("Total-New",'Distrib pivot table'!$C$2,"state","TN"))=0,,IF(GETPIVOTDATA("Total-New",'Distrib pivot table'!$C$2,"state","TN","group","2d1a")/GETPIVOTDATA("Total-New",'Distrib pivot table'!$C$2,"state","TN")&gt;0.0005,GETPIVOTDATA("Total-New",'Distrib pivot table'!$C$2,"state","TN","group","2d1a")/GETPIVOTDATA("Total-New",'Distrib pivot table'!$C$2,"state","TN"),"*"))</f>
        <v>0</v>
      </c>
      <c r="R41" s="418">
        <f>IF((GETPIVOTDATA("Total-New",'Distrib pivot table'!$C$2,"state","TX","group","2d1a")/GETPIVOTDATA("Total-New",'Distrib pivot table'!$C$2,"state","TX"))=0,,IF(GETPIVOTDATA("Total-New",'Distrib pivot table'!$C$2,"state","TX","group","2d1a")/GETPIVOTDATA("Total-New",'Distrib pivot table'!$C$2,"state","TX")&gt;0.0005,GETPIVOTDATA("Total-New",'Distrib pivot table'!$C$2,"state","TX","group","2d1a")/GETPIVOTDATA("Total-New",'Distrib pivot table'!$C$2,"state","TX"),"*"))</f>
        <v>0</v>
      </c>
      <c r="S41" s="418">
        <f>IF((GETPIVOTDATA("Total-New",'Distrib pivot table'!$C$2,"state","VA","group","2d1a")/GETPIVOTDATA("Total-New",'Distrib pivot table'!$C$2,"state","VA"))=0,,IF(GETPIVOTDATA("Total-New",'Distrib pivot table'!$C$2,"state","VA","group","2d1a")/GETPIVOTDATA("Total-New",'Distrib pivot table'!$C$2,"state","VA")&gt;0.0005,GETPIVOTDATA("Total-New",'Distrib pivot table'!$C$2,"state","VA","group","2d1a")/GETPIVOTDATA("Total-New",'Distrib pivot table'!$C$2,"state","VA"),"*"))</f>
        <v>0</v>
      </c>
      <c r="T41" s="418">
        <f>IF((GETPIVOTDATA("Total-New",'Distrib pivot table'!$C$2,"state","WV","group","2d1a")/GETPIVOTDATA("Total-New",'Distrib pivot table'!$C$2,"state","WV"))=0,,IF(GETPIVOTDATA("Total-New",'Distrib pivot table'!$C$2,"state","WV","group","2d1a")/GETPIVOTDATA("Total-New",'Distrib pivot table'!$C$2,"state","WV")&gt;0.0005,GETPIVOTDATA("Total-New",'Distrib pivot table'!$C$2,"state","WV","group","2d1a")/GETPIVOTDATA("Total-New",'Distrib pivot table'!$C$2,"state","WV"),"*"))</f>
        <v>0</v>
      </c>
      <c r="U41" s="3"/>
      <c r="V41" s="3"/>
      <c r="W41" s="3"/>
      <c r="X41" s="3"/>
      <c r="Y41" s="3"/>
      <c r="Z41" s="3"/>
      <c r="AA41" s="3"/>
      <c r="AB41" s="3"/>
      <c r="AC41" s="3"/>
      <c r="AD41" s="3"/>
      <c r="AE41" s="3"/>
      <c r="AF41" s="3"/>
      <c r="AG41" s="3"/>
      <c r="AH41" s="3"/>
      <c r="AI41" s="3"/>
      <c r="AJ41" s="3"/>
      <c r="AK41" s="3"/>
      <c r="AL41" s="3"/>
      <c r="AM41" s="3"/>
      <c r="AN41" s="3"/>
      <c r="AO41" s="3"/>
      <c r="AP41" s="3"/>
      <c r="AQ41" s="3"/>
      <c r="AR41" s="3"/>
      <c r="AS41" s="3"/>
      <c r="AT41" s="3"/>
      <c r="AU41" s="3"/>
      <c r="AV41" s="3"/>
      <c r="AW41" s="3"/>
      <c r="AX41" s="3"/>
    </row>
    <row r="42" spans="1:50" ht="12.6" customHeight="1" x14ac:dyDescent="0.2">
      <c r="A42" s="1541"/>
      <c r="B42" s="127" t="s">
        <v>249</v>
      </c>
      <c r="C42" s="374" t="s">
        <v>251</v>
      </c>
      <c r="D42" s="418">
        <f>IF(GETPIVOTDATA("Total-New",'Distrib pivot table'!$C$2,"group","2d1b")/GETPIVOTDATA("Total-New",'Distrib pivot table'!$C$2)=0,,IF(GETPIVOTDATA("Total-New",'Distrib pivot table'!$C$2,"group","2d1b")/GETPIVOTDATA("Total-New",'Distrib pivot table'!$C$2)&gt;0.0005,GETPIVOTDATA("Total-New",'Distrib pivot table'!$C$2,"group","2d1b")/GETPIVOTDATA("Total-New",'Distrib pivot table'!$C$2),"*"))</f>
        <v>6.0530253200312325E-3</v>
      </c>
      <c r="E42" s="418" t="str">
        <f>IF((GETPIVOTDATA("Total-New",'Distrib pivot table'!$C$2,"state","AL","group","2d1b")/GETPIVOTDATA("Total-New",'Distrib pivot table'!$C$2,"state","AL"))=0,,IF(GETPIVOTDATA("Total-New",'Distrib pivot table'!$C$2,"state","AL","group","2d1b")/GETPIVOTDATA("Total-New",'Distrib pivot table'!$C$2,"state","AL")&gt;0.0005,GETPIVOTDATA("Total-New",'Distrib pivot table'!$C$2,"state","AL","group","2d1b")/GETPIVOTDATA("Total-New",'Distrib pivot table'!$C$2,"state","AL"),"*"))</f>
        <v>*</v>
      </c>
      <c r="F42" s="418" t="str">
        <f>IF((GETPIVOTDATA("Total-New",'Distrib pivot table'!$C$2,"state","AR","group","2d1b")/GETPIVOTDATA("Total-New",'Distrib pivot table'!$C$2,"state","AR"))=0,,IF(GETPIVOTDATA("Total-New",'Distrib pivot table'!$C$2,"state","AR","group","2d1b")/GETPIVOTDATA("Total-New",'Distrib pivot table'!$C$2,"state","AR")&gt;0.0005,GETPIVOTDATA("Total-New",'Distrib pivot table'!$C$2,"state","AR","group","2d1b")/GETPIVOTDATA("Total-New",'Distrib pivot table'!$C$2,"state","AR"),"*"))</f>
        <v>*</v>
      </c>
      <c r="G42" s="418">
        <f>IF((GETPIVOTDATA("Total-New",'Distrib pivot table'!$C$2,"state","DE","group","2d1b")/GETPIVOTDATA("Total-New",'Distrib pivot table'!$C$2,"state","DE"))=0,,IF(GETPIVOTDATA("Total-New",'Distrib pivot table'!$C$2,"state","DE","group","2d1b")/GETPIVOTDATA("Total-New",'Distrib pivot table'!$C$2,"state","DE")&gt;0.0005,GETPIVOTDATA("Total-New",'Distrib pivot table'!$C$2,"state","DE","group","2d1b")/GETPIVOTDATA("Total-New",'Distrib pivot table'!$C$2,"state","DE"),"*"))</f>
        <v>1.6657684875057419E-3</v>
      </c>
      <c r="H42" s="418">
        <f>IF((GETPIVOTDATA("Total-New",'Distrib pivot table'!$C$2,"state","FL","group","2d1b")/GETPIVOTDATA("Total-New",'Distrib pivot table'!$C$2,"state","FL"))=0,,IF(GETPIVOTDATA("Total-New",'Distrib pivot table'!$C$2,"state","FL","group","2d1b")/GETPIVOTDATA("Total-New",'Distrib pivot table'!$C$2,"state","FL")&gt;0.0005,GETPIVOTDATA("Total-New",'Distrib pivot table'!$C$2,"state","FL","group","2d1b")/GETPIVOTDATA("Total-New",'Distrib pivot table'!$C$2,"state","FL"),"*"))</f>
        <v>4.7273177355273345E-2</v>
      </c>
      <c r="I42" s="418">
        <f>IF((GETPIVOTDATA("Total-New",'Distrib pivot table'!$C$2,"state","GA","group","2d1b")/GETPIVOTDATA("Total-New",'Distrib pivot table'!$C$2,"state","GA"))=0,,IF(GETPIVOTDATA("Total-New",'Distrib pivot table'!$C$2,"state","GA","group","2d1b")/GETPIVOTDATA("Total-New",'Distrib pivot table'!$C$2,"state","GA")&gt;0.0005,GETPIVOTDATA("Total-New",'Distrib pivot table'!$C$2,"state","GA","group","2d1b")/GETPIVOTDATA("Total-New",'Distrib pivot table'!$C$2,"state","GA"),"*"))</f>
        <v>0</v>
      </c>
      <c r="J42" s="418">
        <f>IF((GETPIVOTDATA("Total-New",'Distrib pivot table'!$C$2,"state","KY","group","2d1b")/GETPIVOTDATA("Total-New",'Distrib pivot table'!$C$2,"state","KY"))=0,,IF(GETPIVOTDATA("Total-New",'Distrib pivot table'!$C$2,"state","KY","group","2d1b")/GETPIVOTDATA("Total-New",'Distrib pivot table'!$C$2,"state","KY")&gt;0.0005,GETPIVOTDATA("Total-New",'Distrib pivot table'!$C$2,"state","KY","group","2d1b")/GETPIVOTDATA("Total-New",'Distrib pivot table'!$C$2,"state","KY"),"*"))</f>
        <v>0</v>
      </c>
      <c r="K42" s="418">
        <f>IF((GETPIVOTDATA("Total-New",'Distrib pivot table'!$C$2,"state","LA","group","2d1b")/GETPIVOTDATA("Total-New",'Distrib pivot table'!$C$2,"state","LA"))=0,,IF(GETPIVOTDATA("Total-New",'Distrib pivot table'!$C$2,"state","LA","group","2d1b")/GETPIVOTDATA("Total-New",'Distrib pivot table'!$C$2,"state","LA")&gt;0.0005,GETPIVOTDATA("Total-New",'Distrib pivot table'!$C$2,"state","LA","group","2d1b")/GETPIVOTDATA("Total-New",'Distrib pivot table'!$C$2,"state","LA"),"*"))</f>
        <v>0</v>
      </c>
      <c r="L42" s="418">
        <f>IF((GETPIVOTDATA("Total-New",'Distrib pivot table'!$C$2,"state","MD","group","2d1b")/GETPIVOTDATA("Total-New",'Distrib pivot table'!$C$2,"state","MD"))=0,,IF(GETPIVOTDATA("Total-New",'Distrib pivot table'!$C$2,"state","MD","group","2d1b")/GETPIVOTDATA("Total-New",'Distrib pivot table'!$C$2,"state","MD")&gt;0.0005,GETPIVOTDATA("Total-New",'Distrib pivot table'!$C$2,"state","MD","group","2d1b")/GETPIVOTDATA("Total-New",'Distrib pivot table'!$C$2,"state","MD"),"*"))</f>
        <v>0</v>
      </c>
      <c r="M42" s="418" t="str">
        <f>IF((GETPIVOTDATA("Total-New",'Distrib pivot table'!$C$2,"state","MS","group","2d1b")/GETPIVOTDATA("Total-New",'Distrib pivot table'!$C$2,"state","MS"))=0,,IF(GETPIVOTDATA("Total-New",'Distrib pivot table'!$C$2,"state","MS","group","2d1b")/GETPIVOTDATA("Total-New",'Distrib pivot table'!$C$2,"state","MS")&gt;0.0005,GETPIVOTDATA("Total-New",'Distrib pivot table'!$C$2,"state","MS","group","2d1b")/GETPIVOTDATA("Total-New",'Distrib pivot table'!$C$2,"state","MS"),"*"))</f>
        <v>*</v>
      </c>
      <c r="N42" s="418">
        <f>IF((GETPIVOTDATA("Total-New",'Distrib pivot table'!$C$2,"state","NC","group","2d1b")/GETPIVOTDATA("Total-New",'Distrib pivot table'!$C$2,"state","NC"))=0,,IF(GETPIVOTDATA("Total-New",'Distrib pivot table'!$C$2,"state","NC","group","2d1b")/GETPIVOTDATA("Total-New",'Distrib pivot table'!$C$2,"state","NC")&gt;0.0005,GETPIVOTDATA("Total-New",'Distrib pivot table'!$C$2,"state","NC","group","2d1b")/GETPIVOTDATA("Total-New",'Distrib pivot table'!$C$2,"state","NC"),"*"))</f>
        <v>3.9628161732121036E-3</v>
      </c>
      <c r="O42" s="418">
        <f>IF((GETPIVOTDATA("Total-New",'Distrib pivot table'!$C$2,"state","OK","group","2d1b")/GETPIVOTDATA("Total-New",'Distrib pivot table'!$C$2,"state","OK"))=0,,IF(GETPIVOTDATA("Total-New",'Distrib pivot table'!$C$2,"state","OK","group","2d1b")/GETPIVOTDATA("Total-New",'Distrib pivot table'!$C$2,"state","OK")&gt;0.0005,GETPIVOTDATA("Total-New",'Distrib pivot table'!$C$2,"state","OK","group","2d1b")/GETPIVOTDATA("Total-New",'Distrib pivot table'!$C$2,"state","OK"),"*"))</f>
        <v>0</v>
      </c>
      <c r="P42" s="418">
        <f>IF((GETPIVOTDATA("Total-New",'Distrib pivot table'!$C$2,"state","SC","group","2d1b")/GETPIVOTDATA("Total-New",'Distrib pivot table'!$C$2,"state","SC"))=0,,IF(GETPIVOTDATA("Total-New",'Distrib pivot table'!$C$2,"state","SC","group","2d1b")/GETPIVOTDATA("Total-New",'Distrib pivot table'!$C$2,"state","SC")&gt;0.0005,GETPIVOTDATA("Total-New",'Distrib pivot table'!$C$2,"state","SC","group","2d1b")/GETPIVOTDATA("Total-New",'Distrib pivot table'!$C$2,"state","SC"),"*"))</f>
        <v>1.6616193713918802E-3</v>
      </c>
      <c r="Q42" s="418">
        <f>IF((GETPIVOTDATA("Total-New",'Distrib pivot table'!$C$2,"state","TN","group","2d1b")/GETPIVOTDATA("Total-New",'Distrib pivot table'!$C$2,"state","TN"))=0,,IF(GETPIVOTDATA("Total-New",'Distrib pivot table'!$C$2,"state","TN","group","2d1b")/GETPIVOTDATA("Total-New",'Distrib pivot table'!$C$2,"state","TN")&gt;0.0005,GETPIVOTDATA("Total-New",'Distrib pivot table'!$C$2,"state","TN","group","2d1b")/GETPIVOTDATA("Total-New",'Distrib pivot table'!$C$2,"state","TN"),"*"))</f>
        <v>0</v>
      </c>
      <c r="R42" s="418">
        <f>IF((GETPIVOTDATA("Total-New",'Distrib pivot table'!$C$2,"state","TX","group","2d1b")/GETPIVOTDATA("Total-New",'Distrib pivot table'!$C$2,"state","TX"))=0,,IF(GETPIVOTDATA("Total-New",'Distrib pivot table'!$C$2,"state","TX","group","2d1b")/GETPIVOTDATA("Total-New",'Distrib pivot table'!$C$2,"state","TX")&gt;0.0005,GETPIVOTDATA("Total-New",'Distrib pivot table'!$C$2,"state","TX","group","2d1b")/GETPIVOTDATA("Total-New",'Distrib pivot table'!$C$2,"state","TX"),"*"))</f>
        <v>1.6410354553573162E-3</v>
      </c>
      <c r="S42" s="418">
        <f>IF((GETPIVOTDATA("Total-New",'Distrib pivot table'!$C$2,"state","VA","group","2d1b")/GETPIVOTDATA("Total-New",'Distrib pivot table'!$C$2,"state","VA"))=0,,IF(GETPIVOTDATA("Total-New",'Distrib pivot table'!$C$2,"state","VA","group","2d1b")/GETPIVOTDATA("Total-New",'Distrib pivot table'!$C$2,"state","VA")&gt;0.0005,GETPIVOTDATA("Total-New",'Distrib pivot table'!$C$2,"state","VA","group","2d1b")/GETPIVOTDATA("Total-New",'Distrib pivot table'!$C$2,"state","VA"),"*"))</f>
        <v>0</v>
      </c>
      <c r="T42" s="418">
        <f>IF((GETPIVOTDATA("Total-New",'Distrib pivot table'!$C$2,"state","WV","group","2d1b")/GETPIVOTDATA("Total-New",'Distrib pivot table'!$C$2,"state","WV"))=0,,IF(GETPIVOTDATA("Total-New",'Distrib pivot table'!$C$2,"state","WV","group","2d1b")/GETPIVOTDATA("Total-New",'Distrib pivot table'!$C$2,"state","WV")&gt;0.0005,GETPIVOTDATA("Total-New",'Distrib pivot table'!$C$2,"state","WV","group","2d1b")/GETPIVOTDATA("Total-New",'Distrib pivot table'!$C$2,"state","WV"),"*"))</f>
        <v>0</v>
      </c>
      <c r="U42" s="3"/>
      <c r="V42" s="3"/>
      <c r="W42" s="3"/>
      <c r="X42" s="3"/>
      <c r="Y42" s="3"/>
      <c r="Z42" s="3"/>
      <c r="AA42" s="3"/>
      <c r="AB42" s="3"/>
      <c r="AC42" s="3"/>
      <c r="AD42" s="3"/>
      <c r="AE42" s="3"/>
      <c r="AF42" s="3"/>
      <c r="AG42" s="3"/>
      <c r="AH42" s="3"/>
      <c r="AI42" s="3"/>
      <c r="AJ42" s="3"/>
      <c r="AK42" s="3"/>
      <c r="AL42" s="3"/>
      <c r="AM42" s="3"/>
      <c r="AN42" s="3"/>
      <c r="AO42" s="3"/>
      <c r="AP42" s="3"/>
      <c r="AQ42" s="3"/>
      <c r="AR42" s="3"/>
      <c r="AS42" s="3"/>
      <c r="AT42" s="3"/>
      <c r="AU42" s="3"/>
      <c r="AV42" s="3"/>
      <c r="AW42" s="3"/>
      <c r="AX42" s="3"/>
    </row>
    <row r="43" spans="1:50" ht="12.6" customHeight="1" x14ac:dyDescent="0.2">
      <c r="A43" s="1541"/>
      <c r="B43" s="127" t="s">
        <v>250</v>
      </c>
      <c r="C43" s="374" t="s">
        <v>209</v>
      </c>
      <c r="D43" s="418" t="str">
        <f>IF(GETPIVOTDATA("Total-New",'Distrib pivot table'!$C$2,"group","2d1c")/GETPIVOTDATA("Total-New",'Distrib pivot table'!$C$2)=0,,IF(GETPIVOTDATA("Total-New",'Distrib pivot table'!$C$2,"group","2d1c")/GETPIVOTDATA("Total-New",'Distrib pivot table'!$C$2)&gt;0.0005,GETPIVOTDATA("Total-New",'Distrib pivot table'!$C$2,"group","2d1c")/GETPIVOTDATA("Total-New",'Distrib pivot table'!$C$2),"*"))</f>
        <v>*</v>
      </c>
      <c r="E43" s="418">
        <f>IF((GETPIVOTDATA("Total-New",'Distrib pivot table'!$C$2,"state","AL","group","2d1c")/GETPIVOTDATA("Total-New",'Distrib pivot table'!$C$2,"state","AL"))=0,,IF(GETPIVOTDATA("Total-New",'Distrib pivot table'!$C$2,"state","AL","group","2d1c")/GETPIVOTDATA("Total-New",'Distrib pivot table'!$C$2,"state","AL")&gt;0.0005,GETPIVOTDATA("Total-New",'Distrib pivot table'!$C$2,"state","AL","group","2d1c")/GETPIVOTDATA("Total-New",'Distrib pivot table'!$C$2,"state","AL"),"*"))</f>
        <v>0</v>
      </c>
      <c r="F43" s="418">
        <f>IF((GETPIVOTDATA("Total-New",'Distrib pivot table'!$C$2,"state","AR","group","2d1c")/GETPIVOTDATA("Total-New",'Distrib pivot table'!$C$2,"state","AR"))=0,,IF(GETPIVOTDATA("Total-New",'Distrib pivot table'!$C$2,"state","AR","group","2d1c")/GETPIVOTDATA("Total-New",'Distrib pivot table'!$C$2,"state","AR")&gt;0.0005,GETPIVOTDATA("Total-New",'Distrib pivot table'!$C$2,"state","AR","group","2d1c")/GETPIVOTDATA("Total-New",'Distrib pivot table'!$C$2,"state","AR"),"*"))</f>
        <v>5.9496170662206498E-4</v>
      </c>
      <c r="G43" s="418">
        <f>IF((GETPIVOTDATA("Total-New",'Distrib pivot table'!$C$2,"state","DE","group","2d1c")/GETPIVOTDATA("Total-New",'Distrib pivot table'!$C$2,"state","DE"))=0,,IF(GETPIVOTDATA("Total-New",'Distrib pivot table'!$C$2,"state","DE","group","2d1c")/GETPIVOTDATA("Total-New",'Distrib pivot table'!$C$2,"state","DE")&gt;0.0005,GETPIVOTDATA("Total-New",'Distrib pivot table'!$C$2,"state","DE","group","2d1c")/GETPIVOTDATA("Total-New",'Distrib pivot table'!$C$2,"state","DE"),"*"))</f>
        <v>0</v>
      </c>
      <c r="H43" s="418">
        <f>IF((GETPIVOTDATA("Total-New",'Distrib pivot table'!$C$2,"state","FL","group","2d1c")/GETPIVOTDATA("Total-New",'Distrib pivot table'!$C$2,"state","FL"))=0,,IF(GETPIVOTDATA("Total-New",'Distrib pivot table'!$C$2,"state","FL","group","2d1c")/GETPIVOTDATA("Total-New",'Distrib pivot table'!$C$2,"state","FL")&gt;0.0005,GETPIVOTDATA("Total-New",'Distrib pivot table'!$C$2,"state","FL","group","2d1c")/GETPIVOTDATA("Total-New",'Distrib pivot table'!$C$2,"state","FL"),"*"))</f>
        <v>0</v>
      </c>
      <c r="I43" s="418">
        <f>IF((GETPIVOTDATA("Total-New",'Distrib pivot table'!$C$2,"state","GA","group","2d1c")/GETPIVOTDATA("Total-New",'Distrib pivot table'!$C$2,"state","GA"))=0,,IF(GETPIVOTDATA("Total-New",'Distrib pivot table'!$C$2,"state","GA","group","2d1c")/GETPIVOTDATA("Total-New",'Distrib pivot table'!$C$2,"state","GA")&gt;0.0005,GETPIVOTDATA("Total-New",'Distrib pivot table'!$C$2,"state","GA","group","2d1c")/GETPIVOTDATA("Total-New",'Distrib pivot table'!$C$2,"state","GA"),"*"))</f>
        <v>0</v>
      </c>
      <c r="J43" s="418">
        <f>IF((GETPIVOTDATA("Total-New",'Distrib pivot table'!$C$2,"state","KY","group","2d1c")/GETPIVOTDATA("Total-New",'Distrib pivot table'!$C$2,"state","KY"))=0,,IF(GETPIVOTDATA("Total-New",'Distrib pivot table'!$C$2,"state","KY","group","2d1c")/GETPIVOTDATA("Total-New",'Distrib pivot table'!$C$2,"state","KY")&gt;0.0005,GETPIVOTDATA("Total-New",'Distrib pivot table'!$C$2,"state","KY","group","2d1c")/GETPIVOTDATA("Total-New",'Distrib pivot table'!$C$2,"state","KY"),"*"))</f>
        <v>0</v>
      </c>
      <c r="K43" s="418">
        <f>IF((GETPIVOTDATA("Total-New",'Distrib pivot table'!$C$2,"state","LA","group","2d1c")/GETPIVOTDATA("Total-New",'Distrib pivot table'!$C$2,"state","LA"))=0,,IF(GETPIVOTDATA("Total-New",'Distrib pivot table'!$C$2,"state","LA","group","2d1c")/GETPIVOTDATA("Total-New",'Distrib pivot table'!$C$2,"state","LA")&gt;0.0005,GETPIVOTDATA("Total-New",'Distrib pivot table'!$C$2,"state","LA","group","2d1c")/GETPIVOTDATA("Total-New",'Distrib pivot table'!$C$2,"state","LA"),"*"))</f>
        <v>0</v>
      </c>
      <c r="L43" s="418">
        <f>IF((GETPIVOTDATA("Total-New",'Distrib pivot table'!$C$2,"state","MD","group","2d1c")/GETPIVOTDATA("Total-New",'Distrib pivot table'!$C$2,"state","MD"))=0,,IF(GETPIVOTDATA("Total-New",'Distrib pivot table'!$C$2,"state","MD","group","2d1c")/GETPIVOTDATA("Total-New",'Distrib pivot table'!$C$2,"state","MD")&gt;0.0005,GETPIVOTDATA("Total-New",'Distrib pivot table'!$C$2,"state","MD","group","2d1c")/GETPIVOTDATA("Total-New",'Distrib pivot table'!$C$2,"state","MD"),"*"))</f>
        <v>0</v>
      </c>
      <c r="M43" s="418" t="str">
        <f>IF((GETPIVOTDATA("Total-New",'Distrib pivot table'!$C$2,"state","MS","group","2d1c")/GETPIVOTDATA("Total-New",'Distrib pivot table'!$C$2,"state","MS"))=0,,IF(GETPIVOTDATA("Total-New",'Distrib pivot table'!$C$2,"state","MS","group","2d1c")/GETPIVOTDATA("Total-New",'Distrib pivot table'!$C$2,"state","MS")&gt;0.0005,GETPIVOTDATA("Total-New",'Distrib pivot table'!$C$2,"state","MS","group","2d1c")/GETPIVOTDATA("Total-New",'Distrib pivot table'!$C$2,"state","MS"),"*"))</f>
        <v>*</v>
      </c>
      <c r="N43" s="418">
        <f>IF((GETPIVOTDATA("Total-New",'Distrib pivot table'!$C$2,"state","NC","group","2d1c")/GETPIVOTDATA("Total-New",'Distrib pivot table'!$C$2,"state","NC"))=0,,IF(GETPIVOTDATA("Total-New",'Distrib pivot table'!$C$2,"state","NC","group","2d1c")/GETPIVOTDATA("Total-New",'Distrib pivot table'!$C$2,"state","NC")&gt;0.0005,GETPIVOTDATA("Total-New",'Distrib pivot table'!$C$2,"state","NC","group","2d1c")/GETPIVOTDATA("Total-New",'Distrib pivot table'!$C$2,"state","NC"),"*"))</f>
        <v>0</v>
      </c>
      <c r="O43" s="418">
        <f>IF((GETPIVOTDATA("Total-New",'Distrib pivot table'!$C$2,"state","OK","group","2d1c")/GETPIVOTDATA("Total-New",'Distrib pivot table'!$C$2,"state","OK"))=0,,IF(GETPIVOTDATA("Total-New",'Distrib pivot table'!$C$2,"state","OK","group","2d1c")/GETPIVOTDATA("Total-New",'Distrib pivot table'!$C$2,"state","OK")&gt;0.0005,GETPIVOTDATA("Total-New",'Distrib pivot table'!$C$2,"state","OK","group","2d1c")/GETPIVOTDATA("Total-New",'Distrib pivot table'!$C$2,"state","OK"),"*"))</f>
        <v>0</v>
      </c>
      <c r="P43" s="418">
        <f>IF((GETPIVOTDATA("Total-New",'Distrib pivot table'!$C$2,"state","SC","group","2d1c")/GETPIVOTDATA("Total-New",'Distrib pivot table'!$C$2,"state","SC"))=0,,IF(GETPIVOTDATA("Total-New",'Distrib pivot table'!$C$2,"state","SC","group","2d1c")/GETPIVOTDATA("Total-New",'Distrib pivot table'!$C$2,"state","SC")&gt;0.0005,GETPIVOTDATA("Total-New",'Distrib pivot table'!$C$2,"state","SC","group","2d1c")/GETPIVOTDATA("Total-New",'Distrib pivot table'!$C$2,"state","SC"),"*"))</f>
        <v>0</v>
      </c>
      <c r="Q43" s="418">
        <f>IF((GETPIVOTDATA("Total-New",'Distrib pivot table'!$C$2,"state","TN","group","2d1c")/GETPIVOTDATA("Total-New",'Distrib pivot table'!$C$2,"state","TN"))=0,,IF(GETPIVOTDATA("Total-New",'Distrib pivot table'!$C$2,"state","TN","group","2d1c")/GETPIVOTDATA("Total-New",'Distrib pivot table'!$C$2,"state","TN")&gt;0.0005,GETPIVOTDATA("Total-New",'Distrib pivot table'!$C$2,"state","TN","group","2d1c")/GETPIVOTDATA("Total-New",'Distrib pivot table'!$C$2,"state","TN"),"*"))</f>
        <v>0</v>
      </c>
      <c r="R43" s="418">
        <f>IF((GETPIVOTDATA("Total-New",'Distrib pivot table'!$C$2,"state","TX","group","2d1c")/GETPIVOTDATA("Total-New",'Distrib pivot table'!$C$2,"state","TX"))=0,,IF(GETPIVOTDATA("Total-New",'Distrib pivot table'!$C$2,"state","TX","group","2d1c")/GETPIVOTDATA("Total-New",'Distrib pivot table'!$C$2,"state","TX")&gt;0.0005,GETPIVOTDATA("Total-New",'Distrib pivot table'!$C$2,"state","TX","group","2d1c")/GETPIVOTDATA("Total-New",'Distrib pivot table'!$C$2,"state","TX"),"*"))</f>
        <v>0</v>
      </c>
      <c r="S43" s="418">
        <f>IF((GETPIVOTDATA("Total-New",'Distrib pivot table'!$C$2,"state","VA","group","2d1c")/GETPIVOTDATA("Total-New",'Distrib pivot table'!$C$2,"state","VA"))=0,,IF(GETPIVOTDATA("Total-New",'Distrib pivot table'!$C$2,"state","VA","group","2d1c")/GETPIVOTDATA("Total-New",'Distrib pivot table'!$C$2,"state","VA")&gt;0.0005,GETPIVOTDATA("Total-New",'Distrib pivot table'!$C$2,"state","VA","group","2d1c")/GETPIVOTDATA("Total-New",'Distrib pivot table'!$C$2,"state","VA"),"*"))</f>
        <v>0</v>
      </c>
      <c r="T43" s="418">
        <f>IF((GETPIVOTDATA("Total-New",'Distrib pivot table'!$C$2,"state","WV","group","2d1c")/GETPIVOTDATA("Total-New",'Distrib pivot table'!$C$2,"state","WV"))=0,,IF(GETPIVOTDATA("Total-New",'Distrib pivot table'!$C$2,"state","WV","group","2d1c")/GETPIVOTDATA("Total-New",'Distrib pivot table'!$C$2,"state","WV")&gt;0.0005,GETPIVOTDATA("Total-New",'Distrib pivot table'!$C$2,"state","WV","group","2d1c")/GETPIVOTDATA("Total-New",'Distrib pivot table'!$C$2,"state","WV"),"*"))</f>
        <v>0</v>
      </c>
      <c r="U43" s="3"/>
      <c r="V43" s="3"/>
      <c r="W43" s="3"/>
      <c r="X43" s="3"/>
      <c r="Y43" s="3"/>
      <c r="Z43" s="3"/>
      <c r="AA43" s="3"/>
      <c r="AB43" s="3"/>
      <c r="AC43" s="3"/>
      <c r="AD43" s="3"/>
      <c r="AE43" s="3"/>
      <c r="AF43" s="3"/>
      <c r="AG43" s="3"/>
      <c r="AH43" s="3"/>
      <c r="AI43" s="3"/>
      <c r="AJ43" s="3"/>
      <c r="AK43" s="3"/>
      <c r="AL43" s="3"/>
      <c r="AM43" s="3"/>
      <c r="AN43" s="3"/>
      <c r="AO43" s="3"/>
      <c r="AP43" s="3"/>
      <c r="AQ43" s="3"/>
      <c r="AR43" s="3"/>
      <c r="AS43" s="3"/>
      <c r="AT43" s="3"/>
      <c r="AU43" s="3"/>
      <c r="AV43" s="3"/>
      <c r="AW43" s="3"/>
      <c r="AX43" s="3"/>
    </row>
    <row r="44" spans="1:50" ht="12.6" customHeight="1" x14ac:dyDescent="0.2">
      <c r="A44" s="1541"/>
      <c r="B44" s="127" t="s">
        <v>311</v>
      </c>
      <c r="C44" s="374" t="s">
        <v>210</v>
      </c>
      <c r="D44" s="418">
        <f>IF(GETPIVOTDATA("Total-New",'Distrib pivot table'!$C$2,"group","2d1c1")/GETPIVOTDATA("Total-New",'Distrib pivot table'!$C$2)=0,,IF(GETPIVOTDATA("Total-New",'Distrib pivot table'!$C$2,"group","2d1c1")/GETPIVOTDATA("Total-New",'Distrib pivot table'!$C$2)&gt;0.0005,GETPIVOTDATA("Total-New",'Distrib pivot table'!$C$2,"group","2d1c1")/GETPIVOTDATA("Total-New",'Distrib pivot table'!$C$2),"*"))</f>
        <v>5.6845698241049115E-3</v>
      </c>
      <c r="E44" s="418">
        <f>IF((GETPIVOTDATA("Total-New",'Distrib pivot table'!$C$2,"state","AL","group","2d1c1")/GETPIVOTDATA("Total-New",'Distrib pivot table'!$C$2,"state","AL"))=0,,IF(GETPIVOTDATA("Total-New",'Distrib pivot table'!$C$2,"state","AL","group","2d1c1")/GETPIVOTDATA("Total-New",'Distrib pivot table'!$C$2,"state","AL")&gt;0.0005,GETPIVOTDATA("Total-New",'Distrib pivot table'!$C$2,"state","AL","group","2d1c1")/GETPIVOTDATA("Total-New",'Distrib pivot table'!$C$2,"state","AL"),"*"))</f>
        <v>7.2192259799082749E-4</v>
      </c>
      <c r="F44" s="418">
        <f>IF((GETPIVOTDATA("Total-New",'Distrib pivot table'!$C$2,"state","AR","group","2d1c1")/GETPIVOTDATA("Total-New",'Distrib pivot table'!$C$2,"state","AR"))=0,,IF(GETPIVOTDATA("Total-New",'Distrib pivot table'!$C$2,"state","AR","group","2d1c1")/GETPIVOTDATA("Total-New",'Distrib pivot table'!$C$2,"state","AR")&gt;0.0005,GETPIVOTDATA("Total-New",'Distrib pivot table'!$C$2,"state","AR","group","2d1c1")/GETPIVOTDATA("Total-New",'Distrib pivot table'!$C$2,"state","AR"),"*"))</f>
        <v>4.308616832395063E-3</v>
      </c>
      <c r="G44" s="418" t="str">
        <f>IF((GETPIVOTDATA("Total-New",'Distrib pivot table'!$C$2,"state","DE","group","2d1c1")/GETPIVOTDATA("Total-New",'Distrib pivot table'!$C$2,"state","DE"))=0,,IF(GETPIVOTDATA("Total-New",'Distrib pivot table'!$C$2,"state","DE","group","2d1c1")/GETPIVOTDATA("Total-New",'Distrib pivot table'!$C$2,"state","DE")&gt;0.0005,GETPIVOTDATA("Total-New",'Distrib pivot table'!$C$2,"state","DE","group","2d1c1")/GETPIVOTDATA("Total-New",'Distrib pivot table'!$C$2,"state","DE"),"*"))</f>
        <v>*</v>
      </c>
      <c r="H44" s="418">
        <f>IF((GETPIVOTDATA("Total-New",'Distrib pivot table'!$C$2,"state","FL","group","2d1c1")/GETPIVOTDATA("Total-New",'Distrib pivot table'!$C$2,"state","FL"))=0,,IF(GETPIVOTDATA("Total-New",'Distrib pivot table'!$C$2,"state","FL","group","2d1c1")/GETPIVOTDATA("Total-New",'Distrib pivot table'!$C$2,"state","FL")&gt;0.0005,GETPIVOTDATA("Total-New",'Distrib pivot table'!$C$2,"state","FL","group","2d1c1")/GETPIVOTDATA("Total-New",'Distrib pivot table'!$C$2,"state","FL"),"*"))</f>
        <v>0</v>
      </c>
      <c r="I44" s="418">
        <f>IF((GETPIVOTDATA("Total-New",'Distrib pivot table'!$C$2,"state","GA","group","2d1c1")/GETPIVOTDATA("Total-New",'Distrib pivot table'!$C$2,"state","GA"))=0,,IF(GETPIVOTDATA("Total-New",'Distrib pivot table'!$C$2,"state","GA","group","2d1c1")/GETPIVOTDATA("Total-New",'Distrib pivot table'!$C$2,"state","GA")&gt;0.0005,GETPIVOTDATA("Total-New",'Distrib pivot table'!$C$2,"state","GA","group","2d1c1")/GETPIVOTDATA("Total-New",'Distrib pivot table'!$C$2,"state","GA"),"*"))</f>
        <v>0</v>
      </c>
      <c r="J44" s="418">
        <f>IF((GETPIVOTDATA("Total-New",'Distrib pivot table'!$C$2,"state","KY","group","2d1c1")/GETPIVOTDATA("Total-New",'Distrib pivot table'!$C$2,"state","KY"))=0,,IF(GETPIVOTDATA("Total-New",'Distrib pivot table'!$C$2,"state","KY","group","2d1c1")/GETPIVOTDATA("Total-New",'Distrib pivot table'!$C$2,"state","KY")&gt;0.0005,GETPIVOTDATA("Total-New",'Distrib pivot table'!$C$2,"state","KY","group","2d1c1")/GETPIVOTDATA("Total-New",'Distrib pivot table'!$C$2,"state","KY"),"*"))</f>
        <v>1.7175627941869196E-2</v>
      </c>
      <c r="K44" s="418">
        <f>IF((GETPIVOTDATA("Total-New",'Distrib pivot table'!$C$2,"state","LA","group","2d1c1")/GETPIVOTDATA("Total-New",'Distrib pivot table'!$C$2,"state","LA"))=0,,IF(GETPIVOTDATA("Total-New",'Distrib pivot table'!$C$2,"state","LA","group","2d1c1")/GETPIVOTDATA("Total-New",'Distrib pivot table'!$C$2,"state","LA")&gt;0.0005,GETPIVOTDATA("Total-New",'Distrib pivot table'!$C$2,"state","LA","group","2d1c1")/GETPIVOTDATA("Total-New",'Distrib pivot table'!$C$2,"state","LA"),"*"))</f>
        <v>1.0855804829397023E-2</v>
      </c>
      <c r="L44" s="418">
        <f>IF((GETPIVOTDATA("Total-New",'Distrib pivot table'!$C$2,"state","MD","group","2d1c1")/GETPIVOTDATA("Total-New",'Distrib pivot table'!$C$2,"state","MD"))=0,,IF(GETPIVOTDATA("Total-New",'Distrib pivot table'!$C$2,"state","MD","group","2d1c1")/GETPIVOTDATA("Total-New",'Distrib pivot table'!$C$2,"state","MD")&gt;0.0005,GETPIVOTDATA("Total-New",'Distrib pivot table'!$C$2,"state","MD","group","2d1c1")/GETPIVOTDATA("Total-New",'Distrib pivot table'!$C$2,"state","MD"),"*"))</f>
        <v>1.8604331519159818E-2</v>
      </c>
      <c r="M44" s="418">
        <f>IF((GETPIVOTDATA("Total-New",'Distrib pivot table'!$C$2,"state","MS","group","2d1c1")/GETPIVOTDATA("Total-New",'Distrib pivot table'!$C$2,"state","MS"))=0,,IF(GETPIVOTDATA("Total-New",'Distrib pivot table'!$C$2,"state","MS","group","2d1c1")/GETPIVOTDATA("Total-New",'Distrib pivot table'!$C$2,"state","MS")&gt;0.0005,GETPIVOTDATA("Total-New",'Distrib pivot table'!$C$2,"state","MS","group","2d1c1")/GETPIVOTDATA("Total-New",'Distrib pivot table'!$C$2,"state","MS"),"*"))</f>
        <v>4.9028233224824493E-3</v>
      </c>
      <c r="N44" s="418">
        <f>IF((GETPIVOTDATA("Total-New",'Distrib pivot table'!$C$2,"state","NC","group","2d1c1")/GETPIVOTDATA("Total-New",'Distrib pivot table'!$C$2,"state","NC"))=0,,IF(GETPIVOTDATA("Total-New",'Distrib pivot table'!$C$2,"state","NC","group","2d1c1")/GETPIVOTDATA("Total-New",'Distrib pivot table'!$C$2,"state","NC")&gt;0.0005,GETPIVOTDATA("Total-New",'Distrib pivot table'!$C$2,"state","NC","group","2d1c1")/GETPIVOTDATA("Total-New",'Distrib pivot table'!$C$2,"state","NC"),"*"))</f>
        <v>0</v>
      </c>
      <c r="O44" s="418">
        <f>IF((GETPIVOTDATA("Total-New",'Distrib pivot table'!$C$2,"state","OK","group","2d1c1")/GETPIVOTDATA("Total-New",'Distrib pivot table'!$C$2,"state","OK"))=0,,IF(GETPIVOTDATA("Total-New",'Distrib pivot table'!$C$2,"state","OK","group","2d1c1")/GETPIVOTDATA("Total-New",'Distrib pivot table'!$C$2,"state","OK")&gt;0.0005,GETPIVOTDATA("Total-New",'Distrib pivot table'!$C$2,"state","OK","group","2d1c1")/GETPIVOTDATA("Total-New",'Distrib pivot table'!$C$2,"state","OK"),"*"))</f>
        <v>0</v>
      </c>
      <c r="P44" s="418">
        <f>IF((GETPIVOTDATA("Total-New",'Distrib pivot table'!$C$2,"state","SC","group","2d1c1")/GETPIVOTDATA("Total-New",'Distrib pivot table'!$C$2,"state","SC"))=0,,IF(GETPIVOTDATA("Total-New",'Distrib pivot table'!$C$2,"state","SC","group","2d1c1")/GETPIVOTDATA("Total-New",'Distrib pivot table'!$C$2,"state","SC")&gt;0.0005,GETPIVOTDATA("Total-New",'Distrib pivot table'!$C$2,"state","SC","group","2d1c1")/GETPIVOTDATA("Total-New",'Distrib pivot table'!$C$2,"state","SC"),"*"))</f>
        <v>7.4760154868958872E-3</v>
      </c>
      <c r="Q44" s="418">
        <f>IF((GETPIVOTDATA("Total-New",'Distrib pivot table'!$C$2,"state","TN","group","2d1c1")/GETPIVOTDATA("Total-New",'Distrib pivot table'!$C$2,"state","TN"))=0,,IF(GETPIVOTDATA("Total-New",'Distrib pivot table'!$C$2,"state","TN","group","2d1c1")/GETPIVOTDATA("Total-New",'Distrib pivot table'!$C$2,"state","TN")&gt;0.0005,GETPIVOTDATA("Total-New",'Distrib pivot table'!$C$2,"state","TN","group","2d1c1")/GETPIVOTDATA("Total-New",'Distrib pivot table'!$C$2,"state","TN"),"*"))</f>
        <v>3.8571871152895718E-2</v>
      </c>
      <c r="R44" s="418">
        <f>IF((GETPIVOTDATA("Total-New",'Distrib pivot table'!$C$2,"state","TX","group","2d1c1")/GETPIVOTDATA("Total-New",'Distrib pivot table'!$C$2,"state","TX"))=0,,IF(GETPIVOTDATA("Total-New",'Distrib pivot table'!$C$2,"state","TX","group","2d1c1")/GETPIVOTDATA("Total-New",'Distrib pivot table'!$C$2,"state","TX")&gt;0.0005,GETPIVOTDATA("Total-New",'Distrib pivot table'!$C$2,"state","TX","group","2d1c1")/GETPIVOTDATA("Total-New",'Distrib pivot table'!$C$2,"state","TX"),"*"))</f>
        <v>0</v>
      </c>
      <c r="S44" s="418">
        <f>IF((GETPIVOTDATA("Total-New",'Distrib pivot table'!$C$2,"state","VA","group","2d1c1")/GETPIVOTDATA("Total-New",'Distrib pivot table'!$C$2,"state","VA"))=0,,IF(GETPIVOTDATA("Total-New",'Distrib pivot table'!$C$2,"state","VA","group","2d1c1")/GETPIVOTDATA("Total-New",'Distrib pivot table'!$C$2,"state","VA")&gt;0.0005,GETPIVOTDATA("Total-New",'Distrib pivot table'!$C$2,"state","VA","group","2d1c1")/GETPIVOTDATA("Total-New",'Distrib pivot table'!$C$2,"state","VA"),"*"))</f>
        <v>7.3528235793999424E-4</v>
      </c>
      <c r="T44" s="418">
        <f>IF((GETPIVOTDATA("Total-New",'Distrib pivot table'!$C$2,"state","WV","group","2d1c1")/GETPIVOTDATA("Total-New",'Distrib pivot table'!$C$2,"state","WV"))=0,,IF(GETPIVOTDATA("Total-New",'Distrib pivot table'!$C$2,"state","WV","group","2d1c1")/GETPIVOTDATA("Total-New",'Distrib pivot table'!$C$2,"state","WV")&gt;0.0005,GETPIVOTDATA("Total-New",'Distrib pivot table'!$C$2,"state","WV","group","2d1c1")/GETPIVOTDATA("Total-New",'Distrib pivot table'!$C$2,"state","WV"),"*"))</f>
        <v>3.1516761459176867E-2</v>
      </c>
      <c r="U44" s="3"/>
      <c r="V44" s="3"/>
      <c r="W44" s="3"/>
      <c r="X44" s="3"/>
      <c r="Y44" s="3"/>
      <c r="Z44" s="3"/>
      <c r="AA44" s="3"/>
      <c r="AB44" s="3"/>
      <c r="AC44" s="3"/>
      <c r="AD44" s="3"/>
      <c r="AE44" s="3"/>
      <c r="AF44" s="3"/>
      <c r="AG44" s="3"/>
      <c r="AH44" s="3"/>
      <c r="AI44" s="3"/>
      <c r="AJ44" s="3"/>
      <c r="AK44" s="3"/>
      <c r="AL44" s="3"/>
      <c r="AM44" s="3"/>
      <c r="AN44" s="3"/>
      <c r="AO44" s="3"/>
      <c r="AP44" s="3"/>
      <c r="AQ44" s="3"/>
      <c r="AR44" s="3"/>
      <c r="AS44" s="3"/>
      <c r="AT44" s="3"/>
      <c r="AU44" s="3"/>
      <c r="AV44" s="3"/>
      <c r="AW44" s="3"/>
      <c r="AX44" s="3"/>
    </row>
    <row r="45" spans="1:50" ht="12.6" customHeight="1" x14ac:dyDescent="0.2">
      <c r="A45" s="1541"/>
      <c r="B45" s="127" t="s">
        <v>249</v>
      </c>
      <c r="C45" s="374" t="s">
        <v>204</v>
      </c>
      <c r="D45" s="418">
        <f>IF(GETPIVOTDATA("Total-New",'Distrib pivot table'!$C$2,"group","2d1c2")/GETPIVOTDATA("Total-New",'Distrib pivot table'!$C$2)=0,,IF(GETPIVOTDATA("Total-New",'Distrib pivot table'!$C$2,"group","2d1c2")/GETPIVOTDATA("Total-New",'Distrib pivot table'!$C$2)&gt;0.0005,GETPIVOTDATA("Total-New",'Distrib pivot table'!$C$2,"group","2d1c2")/GETPIVOTDATA("Total-New",'Distrib pivot table'!$C$2),"*"))</f>
        <v>1.5334652081963695E-2</v>
      </c>
      <c r="E45" s="418">
        <f>IF((GETPIVOTDATA("Total-New",'Distrib pivot table'!$C$2,"state","AL","group","2d1c2")/GETPIVOTDATA("Total-New",'Distrib pivot table'!$C$2,"state","AL"))=0,,IF(GETPIVOTDATA("Total-New",'Distrib pivot table'!$C$2,"state","AL","group","2d1c2")/GETPIVOTDATA("Total-New",'Distrib pivot table'!$C$2,"state","AL")&gt;0.0005,GETPIVOTDATA("Total-New",'Distrib pivot table'!$C$2,"state","AL","group","2d1c2")/GETPIVOTDATA("Total-New",'Distrib pivot table'!$C$2,"state","AL"),"*"))</f>
        <v>1.6620687511474171E-2</v>
      </c>
      <c r="F45" s="418">
        <f>IF((GETPIVOTDATA("Total-New",'Distrib pivot table'!$C$2,"state","AR","group","2d1c2")/GETPIVOTDATA("Total-New",'Distrib pivot table'!$C$2,"state","AR"))=0,,IF(GETPIVOTDATA("Total-New",'Distrib pivot table'!$C$2,"state","AR","group","2d1c2")/GETPIVOTDATA("Total-New",'Distrib pivot table'!$C$2,"state","AR")&gt;0.0005,GETPIVOTDATA("Total-New",'Distrib pivot table'!$C$2,"state","AR","group","2d1c2")/GETPIVOTDATA("Total-New",'Distrib pivot table'!$C$2,"state","AR"),"*"))</f>
        <v>6.2014382566309603E-2</v>
      </c>
      <c r="G45" s="418">
        <f>IF((GETPIVOTDATA("Total-New",'Distrib pivot table'!$C$2,"state","DE","group","2d1c2")/GETPIVOTDATA("Total-New",'Distrib pivot table'!$C$2,"state","DE"))=0,,IF(GETPIVOTDATA("Total-New",'Distrib pivot table'!$C$2,"state","DE","group","2d1c2")/GETPIVOTDATA("Total-New",'Distrib pivot table'!$C$2,"state","DE")&gt;0.0005,GETPIVOTDATA("Total-New",'Distrib pivot table'!$C$2,"state","DE","group","2d1c2")/GETPIVOTDATA("Total-New",'Distrib pivot table'!$C$2,"state","DE"),"*"))</f>
        <v>1.0301454985698771E-3</v>
      </c>
      <c r="H45" s="418">
        <f>IF((GETPIVOTDATA("Total-New",'Distrib pivot table'!$C$2,"state","FL","group","2d1c2")/GETPIVOTDATA("Total-New",'Distrib pivot table'!$C$2,"state","FL"))=0,,IF(GETPIVOTDATA("Total-New",'Distrib pivot table'!$C$2,"state","FL","group","2d1c2")/GETPIVOTDATA("Total-New",'Distrib pivot table'!$C$2,"state","FL")&gt;0.0005,GETPIVOTDATA("Total-New",'Distrib pivot table'!$C$2,"state","FL","group","2d1c2")/GETPIVOTDATA("Total-New",'Distrib pivot table'!$C$2,"state","FL"),"*"))</f>
        <v>0</v>
      </c>
      <c r="I45" s="418" t="str">
        <f>IF((GETPIVOTDATA("Total-New",'Distrib pivot table'!$C$2,"state","GA","group","2d1c2")/GETPIVOTDATA("Total-New",'Distrib pivot table'!$C$2,"state","GA"))=0,,IF(GETPIVOTDATA("Total-New",'Distrib pivot table'!$C$2,"state","GA","group","2d1c2")/GETPIVOTDATA("Total-New",'Distrib pivot table'!$C$2,"state","GA")&gt;0.0005,GETPIVOTDATA("Total-New",'Distrib pivot table'!$C$2,"state","GA","group","2d1c2")/GETPIVOTDATA("Total-New",'Distrib pivot table'!$C$2,"state","GA"),"*"))</f>
        <v>*</v>
      </c>
      <c r="J45" s="418">
        <f>IF((GETPIVOTDATA("Total-New",'Distrib pivot table'!$C$2,"state","KY","group","2d1c2")/GETPIVOTDATA("Total-New",'Distrib pivot table'!$C$2,"state","KY"))=0,,IF(GETPIVOTDATA("Total-New",'Distrib pivot table'!$C$2,"state","KY","group","2d1c2")/GETPIVOTDATA("Total-New",'Distrib pivot table'!$C$2,"state","KY")&gt;0.0005,GETPIVOTDATA("Total-New",'Distrib pivot table'!$C$2,"state","KY","group","2d1c2")/GETPIVOTDATA("Total-New",'Distrib pivot table'!$C$2,"state","KY"),"*"))</f>
        <v>3.1676182033362248E-2</v>
      </c>
      <c r="K45" s="418">
        <f>IF((GETPIVOTDATA("Total-New",'Distrib pivot table'!$C$2,"state","LA","group","2d1c2")/GETPIVOTDATA("Total-New",'Distrib pivot table'!$C$2,"state","LA"))=0,,IF(GETPIVOTDATA("Total-New",'Distrib pivot table'!$C$2,"state","LA","group","2d1c2")/GETPIVOTDATA("Total-New",'Distrib pivot table'!$C$2,"state","LA")&gt;0.0005,GETPIVOTDATA("Total-New",'Distrib pivot table'!$C$2,"state","LA","group","2d1c2")/GETPIVOTDATA("Total-New",'Distrib pivot table'!$C$2,"state","LA"),"*"))</f>
        <v>9.1210400668258904E-2</v>
      </c>
      <c r="L45" s="418">
        <f>IF((GETPIVOTDATA("Total-New",'Distrib pivot table'!$C$2,"state","MD","group","2d1c2")/GETPIVOTDATA("Total-New",'Distrib pivot table'!$C$2,"state","MD"))=0,,IF(GETPIVOTDATA("Total-New",'Distrib pivot table'!$C$2,"state","MD","group","2d1c2")/GETPIVOTDATA("Total-New",'Distrib pivot table'!$C$2,"state","MD")&gt;0.0005,GETPIVOTDATA("Total-New",'Distrib pivot table'!$C$2,"state","MD","group","2d1c2")/GETPIVOTDATA("Total-New",'Distrib pivot table'!$C$2,"state","MD"),"*"))</f>
        <v>2.1113687944855262E-3</v>
      </c>
      <c r="M45" s="418">
        <f>IF((GETPIVOTDATA("Total-New",'Distrib pivot table'!$C$2,"state","MS","group","2d1c2")/GETPIVOTDATA("Total-New",'Distrib pivot table'!$C$2,"state","MS"))=0,,IF(GETPIVOTDATA("Total-New",'Distrib pivot table'!$C$2,"state","MS","group","2d1c2")/GETPIVOTDATA("Total-New",'Distrib pivot table'!$C$2,"state","MS")&gt;0.0005,GETPIVOTDATA("Total-New",'Distrib pivot table'!$C$2,"state","MS","group","2d1c2")/GETPIVOTDATA("Total-New",'Distrib pivot table'!$C$2,"state","MS"),"*"))</f>
        <v>6.8615012888071725E-3</v>
      </c>
      <c r="N45" s="418">
        <f>IF((GETPIVOTDATA("Total-New",'Distrib pivot table'!$C$2,"state","NC","group","2d1c2")/GETPIVOTDATA("Total-New",'Distrib pivot table'!$C$2,"state","NC"))=0,,IF(GETPIVOTDATA("Total-New",'Distrib pivot table'!$C$2,"state","NC","group","2d1c2")/GETPIVOTDATA("Total-New",'Distrib pivot table'!$C$2,"state","NC")&gt;0.0005,GETPIVOTDATA("Total-New",'Distrib pivot table'!$C$2,"state","NC","group","2d1c2")/GETPIVOTDATA("Total-New",'Distrib pivot table'!$C$2,"state","NC"),"*"))</f>
        <v>0</v>
      </c>
      <c r="O45" s="418">
        <f>IF((GETPIVOTDATA("Total-New",'Distrib pivot table'!$C$2,"state","OK","group","2d1c2")/GETPIVOTDATA("Total-New",'Distrib pivot table'!$C$2,"state","OK"))=0,,IF(GETPIVOTDATA("Total-New",'Distrib pivot table'!$C$2,"state","OK","group","2d1c2")/GETPIVOTDATA("Total-New",'Distrib pivot table'!$C$2,"state","OK")&gt;0.0005,GETPIVOTDATA("Total-New",'Distrib pivot table'!$C$2,"state","OK","group","2d1c2")/GETPIVOTDATA("Total-New",'Distrib pivot table'!$C$2,"state","OK"),"*"))</f>
        <v>0</v>
      </c>
      <c r="P45" s="418">
        <f>IF((GETPIVOTDATA("Total-New",'Distrib pivot table'!$C$2,"state","SC","group","2d1c2")/GETPIVOTDATA("Total-New",'Distrib pivot table'!$C$2,"state","SC"))=0,,IF(GETPIVOTDATA("Total-New",'Distrib pivot table'!$C$2,"state","SC","group","2d1c2")/GETPIVOTDATA("Total-New",'Distrib pivot table'!$C$2,"state","SC")&gt;0.0005,GETPIVOTDATA("Total-New",'Distrib pivot table'!$C$2,"state","SC","group","2d1c2")/GETPIVOTDATA("Total-New",'Distrib pivot table'!$C$2,"state","SC"),"*"))</f>
        <v>8.5969793268688532E-2</v>
      </c>
      <c r="Q45" s="418">
        <f>IF((GETPIVOTDATA("Total-New",'Distrib pivot table'!$C$2,"state","TN","group","2d1c2")/GETPIVOTDATA("Total-New",'Distrib pivot table'!$C$2,"state","TN"))=0,,IF(GETPIVOTDATA("Total-New",'Distrib pivot table'!$C$2,"state","TN","group","2d1c2")/GETPIVOTDATA("Total-New",'Distrib pivot table'!$C$2,"state","TN")&gt;0.0005,GETPIVOTDATA("Total-New",'Distrib pivot table'!$C$2,"state","TN","group","2d1c2")/GETPIVOTDATA("Total-New",'Distrib pivot table'!$C$2,"state","TN"),"*"))</f>
        <v>5.6221341504278662E-2</v>
      </c>
      <c r="R45" s="418">
        <f>IF((GETPIVOTDATA("Total-New",'Distrib pivot table'!$C$2,"state","TX","group","2d1c2")/GETPIVOTDATA("Total-New",'Distrib pivot table'!$C$2,"state","TX"))=0,,IF(GETPIVOTDATA("Total-New",'Distrib pivot table'!$C$2,"state","TX","group","2d1c2")/GETPIVOTDATA("Total-New",'Distrib pivot table'!$C$2,"state","TX")&gt;0.0005,GETPIVOTDATA("Total-New",'Distrib pivot table'!$C$2,"state","TX","group","2d1c2")/GETPIVOTDATA("Total-New",'Distrib pivot table'!$C$2,"state","TX"),"*"))</f>
        <v>0</v>
      </c>
      <c r="S45" s="418" t="str">
        <f>IF((GETPIVOTDATA("Total-New",'Distrib pivot table'!$C$2,"state","VA","group","2d1c2")/GETPIVOTDATA("Total-New",'Distrib pivot table'!$C$2,"state","VA"))=0,,IF(GETPIVOTDATA("Total-New",'Distrib pivot table'!$C$2,"state","VA","group","2d1c2")/GETPIVOTDATA("Total-New",'Distrib pivot table'!$C$2,"state","VA")&gt;0.0005,GETPIVOTDATA("Total-New",'Distrib pivot table'!$C$2,"state","VA","group","2d1c2")/GETPIVOTDATA("Total-New",'Distrib pivot table'!$C$2,"state","VA"),"*"))</f>
        <v>*</v>
      </c>
      <c r="T45" s="418">
        <f>IF((GETPIVOTDATA("Total-New",'Distrib pivot table'!$C$2,"state","WV","group","2d1c2")/GETPIVOTDATA("Total-New",'Distrib pivot table'!$C$2,"state","WV"))=0,,IF(GETPIVOTDATA("Total-New",'Distrib pivot table'!$C$2,"state","WV","group","2d1c2")/GETPIVOTDATA("Total-New",'Distrib pivot table'!$C$2,"state","WV")&gt;0.0005,GETPIVOTDATA("Total-New",'Distrib pivot table'!$C$2,"state","WV","group","2d1c2")/GETPIVOTDATA("Total-New",'Distrib pivot table'!$C$2,"state","WV"),"*"))</f>
        <v>3.6195360454104639E-2</v>
      </c>
      <c r="U45" s="3"/>
      <c r="V45" s="3"/>
      <c r="W45" s="3"/>
      <c r="X45" s="3"/>
      <c r="Y45" s="3"/>
      <c r="Z45" s="3"/>
      <c r="AA45" s="3"/>
      <c r="AB45" s="3"/>
      <c r="AC45" s="3"/>
      <c r="AD45" s="3"/>
      <c r="AE45" s="3"/>
      <c r="AF45" s="3"/>
      <c r="AG45" s="3"/>
      <c r="AH45" s="3"/>
      <c r="AI45" s="3"/>
      <c r="AJ45" s="3"/>
      <c r="AK45" s="3"/>
      <c r="AL45" s="3"/>
      <c r="AM45" s="3"/>
      <c r="AN45" s="3"/>
      <c r="AO45" s="3"/>
      <c r="AP45" s="3"/>
      <c r="AQ45" s="3"/>
      <c r="AR45" s="3"/>
      <c r="AS45" s="3"/>
      <c r="AT45" s="3"/>
      <c r="AU45" s="3"/>
      <c r="AV45" s="3"/>
      <c r="AW45" s="3"/>
      <c r="AX45" s="3"/>
    </row>
    <row r="46" spans="1:50" ht="12.6" customHeight="1" x14ac:dyDescent="0.2">
      <c r="A46" s="1541"/>
      <c r="B46" s="127" t="s">
        <v>222</v>
      </c>
      <c r="C46" s="374" t="s">
        <v>205</v>
      </c>
      <c r="D46" s="418">
        <f>IF(GETPIVOTDATA("Total-New",'Distrib pivot table'!$C$2,"group","2d1d")/GETPIVOTDATA("Total-New",'Distrib pivot table'!$C$2)=0,,IF(GETPIVOTDATA("Total-New",'Distrib pivot table'!$C$2,"group","2d1d")/GETPIVOTDATA("Total-New",'Distrib pivot table'!$C$2)&gt;0.0005,GETPIVOTDATA("Total-New",'Distrib pivot table'!$C$2,"group","2d1d")/GETPIVOTDATA("Total-New",'Distrib pivot table'!$C$2),"*"))</f>
        <v>0</v>
      </c>
      <c r="E46" s="418">
        <f>IF((GETPIVOTDATA("Total-New",'Distrib pivot table'!$C$2,"state","AL","group","2d1d")/GETPIVOTDATA("Total-New",'Distrib pivot table'!$C$2,"state","AL"))=0,,IF(GETPIVOTDATA("Total-New",'Distrib pivot table'!$C$2,"state","AL","group","2d1d")/GETPIVOTDATA("Total-New",'Distrib pivot table'!$C$2,"state","AL")&gt;0.0005,GETPIVOTDATA("Total-New",'Distrib pivot table'!$C$2,"state","AL","group","2d1d")/GETPIVOTDATA("Total-New",'Distrib pivot table'!$C$2,"state","AL"),"*"))</f>
        <v>0</v>
      </c>
      <c r="F46" s="418">
        <f>IF((GETPIVOTDATA("Total-New",'Distrib pivot table'!$C$2,"state","AR","group","2d1d")/GETPIVOTDATA("Total-New",'Distrib pivot table'!$C$2,"state","AR"))=0,,IF(GETPIVOTDATA("Total-New",'Distrib pivot table'!$C$2,"state","AR","group","2d1d")/GETPIVOTDATA("Total-New",'Distrib pivot table'!$C$2,"state","AR")&gt;0.0005,GETPIVOTDATA("Total-New",'Distrib pivot table'!$C$2,"state","AR","group","2d1d")/GETPIVOTDATA("Total-New",'Distrib pivot table'!$C$2,"state","AR"),"*"))</f>
        <v>0</v>
      </c>
      <c r="G46" s="418">
        <f>IF((GETPIVOTDATA("Total-New",'Distrib pivot table'!$C$2,"state","DE","group","2d1d")/GETPIVOTDATA("Total-New",'Distrib pivot table'!$C$2,"state","DE"))=0,,IF(GETPIVOTDATA("Total-New",'Distrib pivot table'!$C$2,"state","DE","group","2d1d")/GETPIVOTDATA("Total-New",'Distrib pivot table'!$C$2,"state","DE")&gt;0.0005,GETPIVOTDATA("Total-New",'Distrib pivot table'!$C$2,"state","DE","group","2d1d")/GETPIVOTDATA("Total-New",'Distrib pivot table'!$C$2,"state","DE"),"*"))</f>
        <v>0</v>
      </c>
      <c r="H46" s="418">
        <f>IF((GETPIVOTDATA("Total-New",'Distrib pivot table'!$C$2,"state","FL","group","2d1d")/GETPIVOTDATA("Total-New",'Distrib pivot table'!$C$2,"state","FL"))=0,,IF(GETPIVOTDATA("Total-New",'Distrib pivot table'!$C$2,"state","FL","group","2d1d")/GETPIVOTDATA("Total-New",'Distrib pivot table'!$C$2,"state","FL")&gt;0.0005,GETPIVOTDATA("Total-New",'Distrib pivot table'!$C$2,"state","FL","group","2d1d")/GETPIVOTDATA("Total-New",'Distrib pivot table'!$C$2,"state","FL"),"*"))</f>
        <v>0</v>
      </c>
      <c r="I46" s="418">
        <f>IF((GETPIVOTDATA("Total-New",'Distrib pivot table'!$C$2,"state","GA","group","2d1d")/GETPIVOTDATA("Total-New",'Distrib pivot table'!$C$2,"state","GA"))=0,,IF(GETPIVOTDATA("Total-New",'Distrib pivot table'!$C$2,"state","GA","group","2d1d")/GETPIVOTDATA("Total-New",'Distrib pivot table'!$C$2,"state","GA")&gt;0.0005,GETPIVOTDATA("Total-New",'Distrib pivot table'!$C$2,"state","GA","group","2d1d")/GETPIVOTDATA("Total-New",'Distrib pivot table'!$C$2,"state","GA"),"*"))</f>
        <v>0</v>
      </c>
      <c r="J46" s="418">
        <f>IF((GETPIVOTDATA("Total-New",'Distrib pivot table'!$C$2,"state","KY","group","2d1d")/GETPIVOTDATA("Total-New",'Distrib pivot table'!$C$2,"state","KY"))=0,,IF(GETPIVOTDATA("Total-New",'Distrib pivot table'!$C$2,"state","KY","group","2d1d")/GETPIVOTDATA("Total-New",'Distrib pivot table'!$C$2,"state","KY")&gt;0.0005,GETPIVOTDATA("Total-New",'Distrib pivot table'!$C$2,"state","KY","group","2d1d")/GETPIVOTDATA("Total-New",'Distrib pivot table'!$C$2,"state","KY"),"*"))</f>
        <v>0</v>
      </c>
      <c r="K46" s="418">
        <f>IF((GETPIVOTDATA("Total-New",'Distrib pivot table'!$C$2,"state","LA","group","2d1d")/GETPIVOTDATA("Total-New",'Distrib pivot table'!$C$2,"state","LA"))=0,,IF(GETPIVOTDATA("Total-New",'Distrib pivot table'!$C$2,"state","LA","group","2d1d")/GETPIVOTDATA("Total-New",'Distrib pivot table'!$C$2,"state","LA")&gt;0.0005,GETPIVOTDATA("Total-New",'Distrib pivot table'!$C$2,"state","LA","group","2d1d")/GETPIVOTDATA("Total-New",'Distrib pivot table'!$C$2,"state","LA"),"*"))</f>
        <v>0</v>
      </c>
      <c r="L46" s="418">
        <f>IF((GETPIVOTDATA("Total-New",'Distrib pivot table'!$C$2,"state","MD","group","2d1d")/GETPIVOTDATA("Total-New",'Distrib pivot table'!$C$2,"state","MD"))=0,,IF(GETPIVOTDATA("Total-New",'Distrib pivot table'!$C$2,"state","MD","group","2d1d")/GETPIVOTDATA("Total-New",'Distrib pivot table'!$C$2,"state","MD")&gt;0.0005,GETPIVOTDATA("Total-New",'Distrib pivot table'!$C$2,"state","MD","group","2d1d")/GETPIVOTDATA("Total-New",'Distrib pivot table'!$C$2,"state","MD"),"*"))</f>
        <v>0</v>
      </c>
      <c r="M46" s="418">
        <f>IF((GETPIVOTDATA("Total-New",'Distrib pivot table'!$C$2,"state","MS","group","2d1d")/GETPIVOTDATA("Total-New",'Distrib pivot table'!$C$2,"state","MS"))=0,,IF(GETPIVOTDATA("Total-New",'Distrib pivot table'!$C$2,"state","MS","group","2d1d")/GETPIVOTDATA("Total-New",'Distrib pivot table'!$C$2,"state","MS")&gt;0.0005,GETPIVOTDATA("Total-New",'Distrib pivot table'!$C$2,"state","MS","group","2d1d")/GETPIVOTDATA("Total-New",'Distrib pivot table'!$C$2,"state","MS"),"*"))</f>
        <v>0</v>
      </c>
      <c r="N46" s="418">
        <f>IF((GETPIVOTDATA("Total-New",'Distrib pivot table'!$C$2,"state","NC","group","2d1d")/GETPIVOTDATA("Total-New",'Distrib pivot table'!$C$2,"state","NC"))=0,,IF(GETPIVOTDATA("Total-New",'Distrib pivot table'!$C$2,"state","NC","group","2d1d")/GETPIVOTDATA("Total-New",'Distrib pivot table'!$C$2,"state","NC")&gt;0.0005,GETPIVOTDATA("Total-New",'Distrib pivot table'!$C$2,"state","NC","group","2d1d")/GETPIVOTDATA("Total-New",'Distrib pivot table'!$C$2,"state","NC"),"*"))</f>
        <v>0</v>
      </c>
      <c r="O46" s="418">
        <f>IF((GETPIVOTDATA("Total-New",'Distrib pivot table'!$C$2,"state","OK","group","2d1d")/GETPIVOTDATA("Total-New",'Distrib pivot table'!$C$2,"state","OK"))=0,,IF(GETPIVOTDATA("Total-New",'Distrib pivot table'!$C$2,"state","OK","group","2d1d")/GETPIVOTDATA("Total-New",'Distrib pivot table'!$C$2,"state","OK")&gt;0.0005,GETPIVOTDATA("Total-New",'Distrib pivot table'!$C$2,"state","OK","group","2d1d")/GETPIVOTDATA("Total-New",'Distrib pivot table'!$C$2,"state","OK"),"*"))</f>
        <v>0</v>
      </c>
      <c r="P46" s="418">
        <f>IF((GETPIVOTDATA("Total-New",'Distrib pivot table'!$C$2,"state","SC","group","2d1d")/GETPIVOTDATA("Total-New",'Distrib pivot table'!$C$2,"state","SC"))=0,,IF(GETPIVOTDATA("Total-New",'Distrib pivot table'!$C$2,"state","SC","group","2d1d")/GETPIVOTDATA("Total-New",'Distrib pivot table'!$C$2,"state","SC")&gt;0.0005,GETPIVOTDATA("Total-New",'Distrib pivot table'!$C$2,"state","SC","group","2d1d")/GETPIVOTDATA("Total-New",'Distrib pivot table'!$C$2,"state","SC"),"*"))</f>
        <v>0</v>
      </c>
      <c r="Q46" s="418">
        <f>IF((GETPIVOTDATA("Total-New",'Distrib pivot table'!$C$2,"state","TN","group","2d1d")/GETPIVOTDATA("Total-New",'Distrib pivot table'!$C$2,"state","TN"))=0,,IF(GETPIVOTDATA("Total-New",'Distrib pivot table'!$C$2,"state","TN","group","2d1d")/GETPIVOTDATA("Total-New",'Distrib pivot table'!$C$2,"state","TN")&gt;0.0005,GETPIVOTDATA("Total-New",'Distrib pivot table'!$C$2,"state","TN","group","2d1d")/GETPIVOTDATA("Total-New",'Distrib pivot table'!$C$2,"state","TN"),"*"))</f>
        <v>0</v>
      </c>
      <c r="R46" s="418">
        <f>IF((GETPIVOTDATA("Total-New",'Distrib pivot table'!$C$2,"state","TX","group","2d1d")/GETPIVOTDATA("Total-New",'Distrib pivot table'!$C$2,"state","TX"))=0,,IF(GETPIVOTDATA("Total-New",'Distrib pivot table'!$C$2,"state","TX","group","2d1d")/GETPIVOTDATA("Total-New",'Distrib pivot table'!$C$2,"state","TX")&gt;0.0005,GETPIVOTDATA("Total-New",'Distrib pivot table'!$C$2,"state","TX","group","2d1d")/GETPIVOTDATA("Total-New",'Distrib pivot table'!$C$2,"state","TX"),"*"))</f>
        <v>0</v>
      </c>
      <c r="S46" s="418">
        <f>IF((GETPIVOTDATA("Total-New",'Distrib pivot table'!$C$2,"state","VA","group","2d1d")/GETPIVOTDATA("Total-New",'Distrib pivot table'!$C$2,"state","VA"))=0,,IF(GETPIVOTDATA("Total-New",'Distrib pivot table'!$C$2,"state","VA","group","2d1d")/GETPIVOTDATA("Total-New",'Distrib pivot table'!$C$2,"state","VA")&gt;0.0005,GETPIVOTDATA("Total-New",'Distrib pivot table'!$C$2,"state","VA","group","2d1d")/GETPIVOTDATA("Total-New",'Distrib pivot table'!$C$2,"state","VA"),"*"))</f>
        <v>0</v>
      </c>
      <c r="T46" s="418">
        <f>IF((GETPIVOTDATA("Total-New",'Distrib pivot table'!$C$2,"state","WV","group","2d1d")/GETPIVOTDATA("Total-New",'Distrib pivot table'!$C$2,"state","WV"))=0,,IF(GETPIVOTDATA("Total-New",'Distrib pivot table'!$C$2,"state","WV","group","2d1d")/GETPIVOTDATA("Total-New",'Distrib pivot table'!$C$2,"state","WV")&gt;0.0005,GETPIVOTDATA("Total-New",'Distrib pivot table'!$C$2,"state","WV","group","2d1d")/GETPIVOTDATA("Total-New",'Distrib pivot table'!$C$2,"state","WV"),"*"))</f>
        <v>0</v>
      </c>
      <c r="U46" s="3"/>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row>
    <row r="47" spans="1:50" ht="12.6" customHeight="1" x14ac:dyDescent="0.2">
      <c r="A47" s="1541"/>
      <c r="B47" s="127" t="s">
        <v>311</v>
      </c>
      <c r="C47" s="374" t="s">
        <v>218</v>
      </c>
      <c r="D47" s="418">
        <f>IF(GETPIVOTDATA("Total-New",'Distrib pivot table'!$C$2,"group","2d1d1")/GETPIVOTDATA("Total-New",'Distrib pivot table'!$C$2)=0,,IF(GETPIVOTDATA("Total-New",'Distrib pivot table'!$C$2,"group","2d1d1")/GETPIVOTDATA("Total-New",'Distrib pivot table'!$C$2)&gt;0.0005,GETPIVOTDATA("Total-New",'Distrib pivot table'!$C$2,"group","2d1d1")/GETPIVOTDATA("Total-New",'Distrib pivot table'!$C$2),"*"))</f>
        <v>1.5838079147788731E-3</v>
      </c>
      <c r="E47" s="418" t="str">
        <f>IF((GETPIVOTDATA("Total-New",'Distrib pivot table'!$C$2,"state","AL","group","2d1d1")/GETPIVOTDATA("Total-New",'Distrib pivot table'!$C$2,"state","AL"))=0,,IF(GETPIVOTDATA("Total-New",'Distrib pivot table'!$C$2,"state","AL","group","2d1d1")/GETPIVOTDATA("Total-New",'Distrib pivot table'!$C$2,"state","AL")&gt;0.0005,GETPIVOTDATA("Total-New",'Distrib pivot table'!$C$2,"state","AL","group","2d1d1")/GETPIVOTDATA("Total-New",'Distrib pivot table'!$C$2,"state","AL"),"*"))</f>
        <v>*</v>
      </c>
      <c r="F47" s="418" t="str">
        <f>IF((GETPIVOTDATA("Total-New",'Distrib pivot table'!$C$2,"state","AR","group","2d1d1")/GETPIVOTDATA("Total-New",'Distrib pivot table'!$C$2,"state","AR"))=0,,IF(GETPIVOTDATA("Total-New",'Distrib pivot table'!$C$2,"state","AR","group","2d1d1")/GETPIVOTDATA("Total-New",'Distrib pivot table'!$C$2,"state","AR")&gt;0.0005,GETPIVOTDATA("Total-New",'Distrib pivot table'!$C$2,"state","AR","group","2d1d1")/GETPIVOTDATA("Total-New",'Distrib pivot table'!$C$2,"state","AR"),"*"))</f>
        <v>*</v>
      </c>
      <c r="G47" s="418" t="str">
        <f>IF((GETPIVOTDATA("Total-New",'Distrib pivot table'!$C$2,"state","DE","group","2d1d1")/GETPIVOTDATA("Total-New",'Distrib pivot table'!$C$2,"state","DE"))=0,,IF(GETPIVOTDATA("Total-New",'Distrib pivot table'!$C$2,"state","DE","group","2d1d1")/GETPIVOTDATA("Total-New",'Distrib pivot table'!$C$2,"state","DE")&gt;0.0005,GETPIVOTDATA("Total-New",'Distrib pivot table'!$C$2,"state","DE","group","2d1d1")/GETPIVOTDATA("Total-New",'Distrib pivot table'!$C$2,"state","DE"),"*"))</f>
        <v>*</v>
      </c>
      <c r="H47" s="418">
        <f>IF((GETPIVOTDATA("Total-New",'Distrib pivot table'!$C$2,"state","FL","group","2d1d1")/GETPIVOTDATA("Total-New",'Distrib pivot table'!$C$2,"state","FL"))=0,,IF(GETPIVOTDATA("Total-New",'Distrib pivot table'!$C$2,"state","FL","group","2d1d1")/GETPIVOTDATA("Total-New",'Distrib pivot table'!$C$2,"state","FL")&gt;0.0005,GETPIVOTDATA("Total-New",'Distrib pivot table'!$C$2,"state","FL","group","2d1d1")/GETPIVOTDATA("Total-New",'Distrib pivot table'!$C$2,"state","FL"),"*"))</f>
        <v>0</v>
      </c>
      <c r="I47" s="418">
        <f>IF((GETPIVOTDATA("Total-New",'Distrib pivot table'!$C$2,"state","GA","group","2d1d1")/GETPIVOTDATA("Total-New",'Distrib pivot table'!$C$2,"state","GA"))=0,,IF(GETPIVOTDATA("Total-New",'Distrib pivot table'!$C$2,"state","GA","group","2d1d1")/GETPIVOTDATA("Total-New",'Distrib pivot table'!$C$2,"state","GA")&gt;0.0005,GETPIVOTDATA("Total-New",'Distrib pivot table'!$C$2,"state","GA","group","2d1d1")/GETPIVOTDATA("Total-New",'Distrib pivot table'!$C$2,"state","GA"),"*"))</f>
        <v>0</v>
      </c>
      <c r="J47" s="418">
        <f>IF((GETPIVOTDATA("Total-New",'Distrib pivot table'!$C$2,"state","KY","group","2d1d1")/GETPIVOTDATA("Total-New",'Distrib pivot table'!$C$2,"state","KY"))=0,,IF(GETPIVOTDATA("Total-New",'Distrib pivot table'!$C$2,"state","KY","group","2d1d1")/GETPIVOTDATA("Total-New",'Distrib pivot table'!$C$2,"state","KY")&gt;0.0005,GETPIVOTDATA("Total-New",'Distrib pivot table'!$C$2,"state","KY","group","2d1d1")/GETPIVOTDATA("Total-New",'Distrib pivot table'!$C$2,"state","KY"),"*"))</f>
        <v>5.7801555424691117E-3</v>
      </c>
      <c r="K47" s="418">
        <f>IF((GETPIVOTDATA("Total-New",'Distrib pivot table'!$C$2,"state","LA","group","2d1d1")/GETPIVOTDATA("Total-New",'Distrib pivot table'!$C$2,"state","LA"))=0,,IF(GETPIVOTDATA("Total-New",'Distrib pivot table'!$C$2,"state","LA","group","2d1d1")/GETPIVOTDATA("Total-New",'Distrib pivot table'!$C$2,"state","LA")&gt;0.0005,GETPIVOTDATA("Total-New",'Distrib pivot table'!$C$2,"state","LA","group","2d1d1")/GETPIVOTDATA("Total-New",'Distrib pivot table'!$C$2,"state","LA"),"*"))</f>
        <v>1.0661014430826288E-3</v>
      </c>
      <c r="L47" s="418">
        <f>IF((GETPIVOTDATA("Total-New",'Distrib pivot table'!$C$2,"state","MD","group","2d1d1")/GETPIVOTDATA("Total-New",'Distrib pivot table'!$C$2,"state","MD"))=0,,IF(GETPIVOTDATA("Total-New",'Distrib pivot table'!$C$2,"state","MD","group","2d1d1")/GETPIVOTDATA("Total-New",'Distrib pivot table'!$C$2,"state","MD")&gt;0.0005,GETPIVOTDATA("Total-New",'Distrib pivot table'!$C$2,"state","MD","group","2d1d1")/GETPIVOTDATA("Total-New",'Distrib pivot table'!$C$2,"state","MD"),"*"))</f>
        <v>4.1082571729146606E-3</v>
      </c>
      <c r="M47" s="418" t="str">
        <f>IF((GETPIVOTDATA("Total-New",'Distrib pivot table'!$C$2,"state","MS","group","2d1d1")/GETPIVOTDATA("Total-New",'Distrib pivot table'!$C$2,"state","MS"))=0,,IF(GETPIVOTDATA("Total-New",'Distrib pivot table'!$C$2,"state","MS","group","2d1d1")/GETPIVOTDATA("Total-New",'Distrib pivot table'!$C$2,"state","MS")&gt;0.0005,GETPIVOTDATA("Total-New",'Distrib pivot table'!$C$2,"state","MS","group","2d1d1")/GETPIVOTDATA("Total-New",'Distrib pivot table'!$C$2,"state","MS"),"*"))</f>
        <v>*</v>
      </c>
      <c r="N47" s="418">
        <f>IF((GETPIVOTDATA("Total-New",'Distrib pivot table'!$C$2,"state","NC","group","2d1d1")/GETPIVOTDATA("Total-New",'Distrib pivot table'!$C$2,"state","NC"))=0,,IF(GETPIVOTDATA("Total-New",'Distrib pivot table'!$C$2,"state","NC","group","2d1d1")/GETPIVOTDATA("Total-New",'Distrib pivot table'!$C$2,"state","NC")&gt;0.0005,GETPIVOTDATA("Total-New",'Distrib pivot table'!$C$2,"state","NC","group","2d1d1")/GETPIVOTDATA("Total-New",'Distrib pivot table'!$C$2,"state","NC"),"*"))</f>
        <v>0</v>
      </c>
      <c r="O47" s="418">
        <f>IF((GETPIVOTDATA("Total-New",'Distrib pivot table'!$C$2,"state","OK","group","2d1d1")/GETPIVOTDATA("Total-New",'Distrib pivot table'!$C$2,"state","OK"))=0,,IF(GETPIVOTDATA("Total-New",'Distrib pivot table'!$C$2,"state","OK","group","2d1d1")/GETPIVOTDATA("Total-New",'Distrib pivot table'!$C$2,"state","OK")&gt;0.0005,GETPIVOTDATA("Total-New",'Distrib pivot table'!$C$2,"state","OK","group","2d1d1")/GETPIVOTDATA("Total-New",'Distrib pivot table'!$C$2,"state","OK"),"*"))</f>
        <v>0</v>
      </c>
      <c r="P47" s="418">
        <f>IF((GETPIVOTDATA("Total-New",'Distrib pivot table'!$C$2,"state","SC","group","2d1d1")/GETPIVOTDATA("Total-New",'Distrib pivot table'!$C$2,"state","SC"))=0,,IF(GETPIVOTDATA("Total-New",'Distrib pivot table'!$C$2,"state","SC","group","2d1d1")/GETPIVOTDATA("Total-New",'Distrib pivot table'!$C$2,"state","SC")&gt;0.0005,GETPIVOTDATA("Total-New",'Distrib pivot table'!$C$2,"state","SC","group","2d1d1")/GETPIVOTDATA("Total-New",'Distrib pivot table'!$C$2,"state","SC"),"*"))</f>
        <v>1.6638050378119252E-3</v>
      </c>
      <c r="Q47" s="418">
        <f>IF((GETPIVOTDATA("Total-New",'Distrib pivot table'!$C$2,"state","TN","group","2d1d1")/GETPIVOTDATA("Total-New",'Distrib pivot table'!$C$2,"state","TN"))=0,,IF(GETPIVOTDATA("Total-New",'Distrib pivot table'!$C$2,"state","TN","group","2d1d1")/GETPIVOTDATA("Total-New",'Distrib pivot table'!$C$2,"state","TN")&gt;0.0005,GETPIVOTDATA("Total-New",'Distrib pivot table'!$C$2,"state","TN","group","2d1d1")/GETPIVOTDATA("Total-New",'Distrib pivot table'!$C$2,"state","TN"),"*"))</f>
        <v>1.5903094911702182E-2</v>
      </c>
      <c r="R47" s="418">
        <f>IF((GETPIVOTDATA("Total-New",'Distrib pivot table'!$C$2,"state","TX","group","2d1d1")/GETPIVOTDATA("Total-New",'Distrib pivot table'!$C$2,"state","TX"))=0,,IF(GETPIVOTDATA("Total-New",'Distrib pivot table'!$C$2,"state","TX","group","2d1d1")/GETPIVOTDATA("Total-New",'Distrib pivot table'!$C$2,"state","TX")&gt;0.0005,GETPIVOTDATA("Total-New",'Distrib pivot table'!$C$2,"state","TX","group","2d1d1")/GETPIVOTDATA("Total-New",'Distrib pivot table'!$C$2,"state","TX"),"*"))</f>
        <v>0</v>
      </c>
      <c r="S47" s="418" t="str">
        <f>IF((GETPIVOTDATA("Total-New",'Distrib pivot table'!$C$2,"state","VA","group","2d1d1")/GETPIVOTDATA("Total-New",'Distrib pivot table'!$C$2,"state","VA"))=0,,IF(GETPIVOTDATA("Total-New",'Distrib pivot table'!$C$2,"state","VA","group","2d1d1")/GETPIVOTDATA("Total-New",'Distrib pivot table'!$C$2,"state","VA")&gt;0.0005,GETPIVOTDATA("Total-New",'Distrib pivot table'!$C$2,"state","VA","group","2d1d1")/GETPIVOTDATA("Total-New",'Distrib pivot table'!$C$2,"state","VA"),"*"))</f>
        <v>*</v>
      </c>
      <c r="T47" s="418">
        <f>IF((GETPIVOTDATA("Total-New",'Distrib pivot table'!$C$2,"state","WV","group","2d1d1")/GETPIVOTDATA("Total-New",'Distrib pivot table'!$C$2,"state","WV"))=0,,IF(GETPIVOTDATA("Total-New",'Distrib pivot table'!$C$2,"state","WV","group","2d1d1")/GETPIVOTDATA("Total-New",'Distrib pivot table'!$C$2,"state","WV")&gt;0.0005,GETPIVOTDATA("Total-New",'Distrib pivot table'!$C$2,"state","WV","group","2d1d1")/GETPIVOTDATA("Total-New",'Distrib pivot table'!$C$2,"state","WV"),"*"))</f>
        <v>4.8600930673285822E-3</v>
      </c>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row>
    <row r="48" spans="1:50" ht="12.6" customHeight="1" x14ac:dyDescent="0.2">
      <c r="A48" s="1541"/>
      <c r="B48" s="127" t="s">
        <v>249</v>
      </c>
      <c r="C48" s="374" t="s">
        <v>219</v>
      </c>
      <c r="D48" s="418">
        <f>IF(GETPIVOTDATA("Total-New",'Distrib pivot table'!$C$2,"group","2d1d2")/GETPIVOTDATA("Total-New",'Distrib pivot table'!$C$2)=0,,IF(GETPIVOTDATA("Total-New",'Distrib pivot table'!$C$2,"group","2d1d2")/GETPIVOTDATA("Total-New",'Distrib pivot table'!$C$2)&gt;0.0005,GETPIVOTDATA("Total-New",'Distrib pivot table'!$C$2,"group","2d1d2")/GETPIVOTDATA("Total-New",'Distrib pivot table'!$C$2),"*"))</f>
        <v>2.389990394103239E-3</v>
      </c>
      <c r="E48" s="418" t="str">
        <f>IF((GETPIVOTDATA("Total-New",'Distrib pivot table'!$C$2,"state","AL","group","2d1d2")/GETPIVOTDATA("Total-New",'Distrib pivot table'!$C$2,"state","AL"))=0,,IF(GETPIVOTDATA("Total-New",'Distrib pivot table'!$C$2,"state","AL","group","2d1d2")/GETPIVOTDATA("Total-New",'Distrib pivot table'!$C$2,"state","AL")&gt;0.0005,GETPIVOTDATA("Total-New",'Distrib pivot table'!$C$2,"state","AL","group","2d1d2")/GETPIVOTDATA("Total-New",'Distrib pivot table'!$C$2,"state","AL"),"*"))</f>
        <v>*</v>
      </c>
      <c r="F48" s="418">
        <f>IF((GETPIVOTDATA("Total-New",'Distrib pivot table'!$C$2,"state","AR","group","2d1d2")/GETPIVOTDATA("Total-New",'Distrib pivot table'!$C$2,"state","AR"))=0,,IF(GETPIVOTDATA("Total-New",'Distrib pivot table'!$C$2,"state","AR","group","2d1d2")/GETPIVOTDATA("Total-New",'Distrib pivot table'!$C$2,"state","AR")&gt;0.0005,GETPIVOTDATA("Total-New",'Distrib pivot table'!$C$2,"state","AR","group","2d1d2")/GETPIVOTDATA("Total-New",'Distrib pivot table'!$C$2,"state","AR"),"*"))</f>
        <v>8.7633510214260094E-3</v>
      </c>
      <c r="G48" s="418">
        <f>IF((GETPIVOTDATA("Total-New",'Distrib pivot table'!$C$2,"state","DE","group","2d1d2")/GETPIVOTDATA("Total-New",'Distrib pivot table'!$C$2,"state","DE"))=0,,IF(GETPIVOTDATA("Total-New",'Distrib pivot table'!$C$2,"state","DE","group","2d1d2")/GETPIVOTDATA("Total-New",'Distrib pivot table'!$C$2,"state","DE")&gt;0.0005,GETPIVOTDATA("Total-New",'Distrib pivot table'!$C$2,"state","DE","group","2d1d2")/GETPIVOTDATA("Total-New",'Distrib pivot table'!$C$2,"state","DE"),"*"))</f>
        <v>5.6735053748493383E-4</v>
      </c>
      <c r="H48" s="418">
        <f>IF((GETPIVOTDATA("Total-New",'Distrib pivot table'!$C$2,"state","FL","group","2d1d2")/GETPIVOTDATA("Total-New",'Distrib pivot table'!$C$2,"state","FL"))=0,,IF(GETPIVOTDATA("Total-New",'Distrib pivot table'!$C$2,"state","FL","group","2d1d2")/GETPIVOTDATA("Total-New",'Distrib pivot table'!$C$2,"state","FL")&gt;0.0005,GETPIVOTDATA("Total-New",'Distrib pivot table'!$C$2,"state","FL","group","2d1d2")/GETPIVOTDATA("Total-New",'Distrib pivot table'!$C$2,"state","FL"),"*"))</f>
        <v>0</v>
      </c>
      <c r="I48" s="418" t="str">
        <f>IF((GETPIVOTDATA("Total-New",'Distrib pivot table'!$C$2,"state","GA","group","2d1d2")/GETPIVOTDATA("Total-New",'Distrib pivot table'!$C$2,"state","GA"))=0,,IF(GETPIVOTDATA("Total-New",'Distrib pivot table'!$C$2,"state","GA","group","2d1d2")/GETPIVOTDATA("Total-New",'Distrib pivot table'!$C$2,"state","GA")&gt;0.0005,GETPIVOTDATA("Total-New",'Distrib pivot table'!$C$2,"state","GA","group","2d1d2")/GETPIVOTDATA("Total-New",'Distrib pivot table'!$C$2,"state","GA"),"*"))</f>
        <v>*</v>
      </c>
      <c r="J48" s="418">
        <f>IF((GETPIVOTDATA("Total-New",'Distrib pivot table'!$C$2,"state","KY","group","2d1d2")/GETPIVOTDATA("Total-New",'Distrib pivot table'!$C$2,"state","KY"))=0,,IF(GETPIVOTDATA("Total-New",'Distrib pivot table'!$C$2,"state","KY","group","2d1d2")/GETPIVOTDATA("Total-New",'Distrib pivot table'!$C$2,"state","KY")&gt;0.0005,GETPIVOTDATA("Total-New",'Distrib pivot table'!$C$2,"state","KY","group","2d1d2")/GETPIVOTDATA("Total-New",'Distrib pivot table'!$C$2,"state","KY"),"*"))</f>
        <v>6.7882653183925943E-3</v>
      </c>
      <c r="K48" s="418">
        <f>IF((GETPIVOTDATA("Total-New",'Distrib pivot table'!$C$2,"state","LA","group","2d1d2")/GETPIVOTDATA("Total-New",'Distrib pivot table'!$C$2,"state","LA"))=0,,IF(GETPIVOTDATA("Total-New",'Distrib pivot table'!$C$2,"state","LA","group","2d1d2")/GETPIVOTDATA("Total-New",'Distrib pivot table'!$C$2,"state","LA")&gt;0.0005,GETPIVOTDATA("Total-New",'Distrib pivot table'!$C$2,"state","LA","group","2d1d2")/GETPIVOTDATA("Total-New",'Distrib pivot table'!$C$2,"state","LA"),"*"))</f>
        <v>6.786019656320386E-3</v>
      </c>
      <c r="L48" s="418" t="str">
        <f>IF((GETPIVOTDATA("Total-New",'Distrib pivot table'!$C$2,"state","MD","group","2d1d2")/GETPIVOTDATA("Total-New",'Distrib pivot table'!$C$2,"state","MD"))=0,,IF(GETPIVOTDATA("Total-New",'Distrib pivot table'!$C$2,"state","MD","group","2d1d2")/GETPIVOTDATA("Total-New",'Distrib pivot table'!$C$2,"state","MD")&gt;0.0005,GETPIVOTDATA("Total-New",'Distrib pivot table'!$C$2,"state","MD","group","2d1d2")/GETPIVOTDATA("Total-New",'Distrib pivot table'!$C$2,"state","MD"),"*"))</f>
        <v>*</v>
      </c>
      <c r="M48" s="418">
        <f>IF((GETPIVOTDATA("Total-New",'Distrib pivot table'!$C$2,"state","MS","group","2d1d2")/GETPIVOTDATA("Total-New",'Distrib pivot table'!$C$2,"state","MS"))=0,,IF(GETPIVOTDATA("Total-New",'Distrib pivot table'!$C$2,"state","MS","group","2d1d2")/GETPIVOTDATA("Total-New",'Distrib pivot table'!$C$2,"state","MS")&gt;0.0005,GETPIVOTDATA("Total-New",'Distrib pivot table'!$C$2,"state","MS","group","2d1d2")/GETPIVOTDATA("Total-New",'Distrib pivot table'!$C$2,"state","MS"),"*"))</f>
        <v>1.706639846195663E-3</v>
      </c>
      <c r="N48" s="418">
        <f>IF((GETPIVOTDATA("Total-New",'Distrib pivot table'!$C$2,"state","NC","group","2d1d2")/GETPIVOTDATA("Total-New",'Distrib pivot table'!$C$2,"state","NC"))=0,,IF(GETPIVOTDATA("Total-New",'Distrib pivot table'!$C$2,"state","NC","group","2d1d2")/GETPIVOTDATA("Total-New",'Distrib pivot table'!$C$2,"state","NC")&gt;0.0005,GETPIVOTDATA("Total-New",'Distrib pivot table'!$C$2,"state","NC","group","2d1d2")/GETPIVOTDATA("Total-New",'Distrib pivot table'!$C$2,"state","NC"),"*"))</f>
        <v>0</v>
      </c>
      <c r="O48" s="418">
        <f>IF((GETPIVOTDATA("Total-New",'Distrib pivot table'!$C$2,"state","OK","group","2d1d2")/GETPIVOTDATA("Total-New",'Distrib pivot table'!$C$2,"state","OK"))=0,,IF(GETPIVOTDATA("Total-New",'Distrib pivot table'!$C$2,"state","OK","group","2d1d2")/GETPIVOTDATA("Total-New",'Distrib pivot table'!$C$2,"state","OK")&gt;0.0005,GETPIVOTDATA("Total-New",'Distrib pivot table'!$C$2,"state","OK","group","2d1d2")/GETPIVOTDATA("Total-New",'Distrib pivot table'!$C$2,"state","OK"),"*"))</f>
        <v>0</v>
      </c>
      <c r="P48" s="418">
        <f>IF((GETPIVOTDATA("Total-New",'Distrib pivot table'!$C$2,"state","SC","group","2d1d2")/GETPIVOTDATA("Total-New",'Distrib pivot table'!$C$2,"state","SC"))=0,,IF(GETPIVOTDATA("Total-New",'Distrib pivot table'!$C$2,"state","SC","group","2d1d2")/GETPIVOTDATA("Total-New",'Distrib pivot table'!$C$2,"state","SC")&gt;0.0005,GETPIVOTDATA("Total-New",'Distrib pivot table'!$C$2,"state","SC","group","2d1d2")/GETPIVOTDATA("Total-New",'Distrib pivot table'!$C$2,"state","SC"),"*"))</f>
        <v>1.5441463751776716E-2</v>
      </c>
      <c r="Q48" s="418">
        <f>IF((GETPIVOTDATA("Total-New",'Distrib pivot table'!$C$2,"state","TN","group","2d1d2")/GETPIVOTDATA("Total-New",'Distrib pivot table'!$C$2,"state","TN"))=0,,IF(GETPIVOTDATA("Total-New",'Distrib pivot table'!$C$2,"state","TN","group","2d1d2")/GETPIVOTDATA("Total-New",'Distrib pivot table'!$C$2,"state","TN")&gt;0.0005,GETPIVOTDATA("Total-New",'Distrib pivot table'!$C$2,"state","TN","group","2d1d2")/GETPIVOTDATA("Total-New",'Distrib pivot table'!$C$2,"state","TN"),"*"))</f>
        <v>1.3743101607084467E-2</v>
      </c>
      <c r="R48" s="418">
        <f>IF((GETPIVOTDATA("Total-New",'Distrib pivot table'!$C$2,"state","TX","group","2d1d2")/GETPIVOTDATA("Total-New",'Distrib pivot table'!$C$2,"state","TX"))=0,,IF(GETPIVOTDATA("Total-New",'Distrib pivot table'!$C$2,"state","TX","group","2d1d2")/GETPIVOTDATA("Total-New",'Distrib pivot table'!$C$2,"state","TX")&gt;0.0005,GETPIVOTDATA("Total-New",'Distrib pivot table'!$C$2,"state","TX","group","2d1d2")/GETPIVOTDATA("Total-New",'Distrib pivot table'!$C$2,"state","TX"),"*"))</f>
        <v>0</v>
      </c>
      <c r="S48" s="418">
        <f>IF((GETPIVOTDATA("Total-New",'Distrib pivot table'!$C$2,"state","VA","group","2d1d2")/GETPIVOTDATA("Total-New",'Distrib pivot table'!$C$2,"state","VA"))=0,,IF(GETPIVOTDATA("Total-New",'Distrib pivot table'!$C$2,"state","VA","group","2d1d2")/GETPIVOTDATA("Total-New",'Distrib pivot table'!$C$2,"state","VA")&gt;0.0005,GETPIVOTDATA("Total-New",'Distrib pivot table'!$C$2,"state","VA","group","2d1d2")/GETPIVOTDATA("Total-New",'Distrib pivot table'!$C$2,"state","VA"),"*"))</f>
        <v>0</v>
      </c>
      <c r="T48" s="418">
        <f>IF((GETPIVOTDATA("Total-New",'Distrib pivot table'!$C$2,"state","WV","group","2d1d2")/GETPIVOTDATA("Total-New",'Distrib pivot table'!$C$2,"state","WV"))=0,,IF(GETPIVOTDATA("Total-New",'Distrib pivot table'!$C$2,"state","WV","group","2d1d2")/GETPIVOTDATA("Total-New",'Distrib pivot table'!$C$2,"state","WV")&gt;0.0005,GETPIVOTDATA("Total-New",'Distrib pivot table'!$C$2,"state","WV","group","2d1d2")/GETPIVOTDATA("Total-New",'Distrib pivot table'!$C$2,"state","WV"),"*"))</f>
        <v>4.2541950684772721E-3</v>
      </c>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row>
    <row r="49" spans="1:50" ht="12.6" customHeight="1" x14ac:dyDescent="0.2">
      <c r="A49" s="1541"/>
      <c r="B49" s="127" t="s">
        <v>121</v>
      </c>
      <c r="C49" s="374" t="s">
        <v>293</v>
      </c>
      <c r="D49" s="418" t="str">
        <f>IF(GETPIVOTDATA("Total-New",'Distrib pivot table'!$C$2,"group","2d2")/GETPIVOTDATA("Total-New",'Distrib pivot table'!$C$2)=0,,IF(GETPIVOTDATA("Total-New",'Distrib pivot table'!$C$2,"group","2d2")/GETPIVOTDATA("Total-New",'Distrib pivot table'!$C$2)&gt;0.0005,GETPIVOTDATA("Total-New",'Distrib pivot table'!$C$2,"group","2d2")/GETPIVOTDATA("Total-New",'Distrib pivot table'!$C$2),"*"))</f>
        <v>*</v>
      </c>
      <c r="E49" s="418">
        <f>IF((GETPIVOTDATA("Total-New",'Distrib pivot table'!$C$2,"state","AL","group","2d2")/GETPIVOTDATA("Total-New",'Distrib pivot table'!$C$2,"state","AL"))=0,,IF(GETPIVOTDATA("Total-New",'Distrib pivot table'!$C$2,"state","AL","group","2d2")/GETPIVOTDATA("Total-New",'Distrib pivot table'!$C$2,"state","AL")&gt;0.0005,GETPIVOTDATA("Total-New",'Distrib pivot table'!$C$2,"state","AL","group","2d2")/GETPIVOTDATA("Total-New",'Distrib pivot table'!$C$2,"state","AL"),"*"))</f>
        <v>0</v>
      </c>
      <c r="F49" s="418">
        <f>IF((GETPIVOTDATA("Total-New",'Distrib pivot table'!$C$2,"state","AR","group","2d2")/GETPIVOTDATA("Total-New",'Distrib pivot table'!$C$2,"state","AR"))=0,,IF(GETPIVOTDATA("Total-New",'Distrib pivot table'!$C$2,"state","AR","group","2d2")/GETPIVOTDATA("Total-New",'Distrib pivot table'!$C$2,"state","AR")&gt;0.0005,GETPIVOTDATA("Total-New",'Distrib pivot table'!$C$2,"state","AR","group","2d2")/GETPIVOTDATA("Total-New",'Distrib pivot table'!$C$2,"state","AR"),"*"))</f>
        <v>0</v>
      </c>
      <c r="G49" s="418">
        <f>IF((GETPIVOTDATA("Total-New",'Distrib pivot table'!$C$2,"state","DE","group","2d2")/GETPIVOTDATA("Total-New",'Distrib pivot table'!$C$2,"state","DE"))=0,,IF(GETPIVOTDATA("Total-New",'Distrib pivot table'!$C$2,"state","DE","group","2d2")/GETPIVOTDATA("Total-New",'Distrib pivot table'!$C$2,"state","DE")&gt;0.0005,GETPIVOTDATA("Total-New",'Distrib pivot table'!$C$2,"state","DE","group","2d2")/GETPIVOTDATA("Total-New",'Distrib pivot table'!$C$2,"state","DE"),"*"))</f>
        <v>0</v>
      </c>
      <c r="H49" s="418">
        <f>IF((GETPIVOTDATA("Total-New",'Distrib pivot table'!$C$2,"state","FL","group","2d2")/GETPIVOTDATA("Total-New",'Distrib pivot table'!$C$2,"state","FL"))=0,,IF(GETPIVOTDATA("Total-New",'Distrib pivot table'!$C$2,"state","FL","group","2d2")/GETPIVOTDATA("Total-New",'Distrib pivot table'!$C$2,"state","FL")&gt;0.0005,GETPIVOTDATA("Total-New",'Distrib pivot table'!$C$2,"state","FL","group","2d2")/GETPIVOTDATA("Total-New",'Distrib pivot table'!$C$2,"state","FL"),"*"))</f>
        <v>0</v>
      </c>
      <c r="I49" s="418">
        <f>IF((GETPIVOTDATA("Total-New",'Distrib pivot table'!$C$2,"state","GA","group","2d2")/GETPIVOTDATA("Total-New",'Distrib pivot table'!$C$2,"state","GA"))=0,,IF(GETPIVOTDATA("Total-New",'Distrib pivot table'!$C$2,"state","GA","group","2d2")/GETPIVOTDATA("Total-New",'Distrib pivot table'!$C$2,"state","GA")&gt;0.0005,GETPIVOTDATA("Total-New",'Distrib pivot table'!$C$2,"state","GA","group","2d2")/GETPIVOTDATA("Total-New",'Distrib pivot table'!$C$2,"state","GA"),"*"))</f>
        <v>0</v>
      </c>
      <c r="J49" s="418">
        <f>IF((GETPIVOTDATA("Total-New",'Distrib pivot table'!$C$2,"state","KY","group","2d2")/GETPIVOTDATA("Total-New",'Distrib pivot table'!$C$2,"state","KY"))=0,,IF(GETPIVOTDATA("Total-New",'Distrib pivot table'!$C$2,"state","KY","group","2d2")/GETPIVOTDATA("Total-New",'Distrib pivot table'!$C$2,"state","KY")&gt;0.0005,GETPIVOTDATA("Total-New",'Distrib pivot table'!$C$2,"state","KY","group","2d2")/GETPIVOTDATA("Total-New",'Distrib pivot table'!$C$2,"state","KY"),"*"))</f>
        <v>0</v>
      </c>
      <c r="K49" s="418">
        <f>IF((GETPIVOTDATA("Total-New",'Distrib pivot table'!$C$2,"state","LA","group","2d2")/GETPIVOTDATA("Total-New",'Distrib pivot table'!$C$2,"state","LA"))=0,,IF(GETPIVOTDATA("Total-New",'Distrib pivot table'!$C$2,"state","LA","group","2d2")/GETPIVOTDATA("Total-New",'Distrib pivot table'!$C$2,"state","LA")&gt;0.0005,GETPIVOTDATA("Total-New",'Distrib pivot table'!$C$2,"state","LA","group","2d2")/GETPIVOTDATA("Total-New",'Distrib pivot table'!$C$2,"state","LA"),"*"))</f>
        <v>0</v>
      </c>
      <c r="L49" s="418">
        <f>IF((GETPIVOTDATA("Total-New",'Distrib pivot table'!$C$2,"state","MD","group","2d2")/GETPIVOTDATA("Total-New",'Distrib pivot table'!$C$2,"state","MD"))=0,,IF(GETPIVOTDATA("Total-New",'Distrib pivot table'!$C$2,"state","MD","group","2d2")/GETPIVOTDATA("Total-New",'Distrib pivot table'!$C$2,"state","MD")&gt;0.0005,GETPIVOTDATA("Total-New",'Distrib pivot table'!$C$2,"state","MD","group","2d2")/GETPIVOTDATA("Total-New",'Distrib pivot table'!$C$2,"state","MD"),"*"))</f>
        <v>0</v>
      </c>
      <c r="M49" s="418">
        <f>IF((GETPIVOTDATA("Total-New",'Distrib pivot table'!$C$2,"state","MS","group","2d2")/GETPIVOTDATA("Total-New",'Distrib pivot table'!$C$2,"state","MS"))=0,,IF(GETPIVOTDATA("Total-New",'Distrib pivot table'!$C$2,"state","MS","group","2d2")/GETPIVOTDATA("Total-New",'Distrib pivot table'!$C$2,"state","MS")&gt;0.0005,GETPIVOTDATA("Total-New",'Distrib pivot table'!$C$2,"state","MS","group","2d2")/GETPIVOTDATA("Total-New",'Distrib pivot table'!$C$2,"state","MS"),"*"))</f>
        <v>0</v>
      </c>
      <c r="N49" s="418">
        <f>IF((GETPIVOTDATA("Total-New",'Distrib pivot table'!$C$2,"state","NC","group","2d2")/GETPIVOTDATA("Total-New",'Distrib pivot table'!$C$2,"state","NC"))=0,,IF(GETPIVOTDATA("Total-New",'Distrib pivot table'!$C$2,"state","NC","group","2d2")/GETPIVOTDATA("Total-New",'Distrib pivot table'!$C$2,"state","NC")&gt;0.0005,GETPIVOTDATA("Total-New",'Distrib pivot table'!$C$2,"state","NC","group","2d2")/GETPIVOTDATA("Total-New",'Distrib pivot table'!$C$2,"state","NC"),"*"))</f>
        <v>0</v>
      </c>
      <c r="O49" s="418">
        <f>IF((GETPIVOTDATA("Total-New",'Distrib pivot table'!$C$2,"state","OK","group","2d2")/GETPIVOTDATA("Total-New",'Distrib pivot table'!$C$2,"state","OK"))=0,,IF(GETPIVOTDATA("Total-New",'Distrib pivot table'!$C$2,"state","OK","group","2d2")/GETPIVOTDATA("Total-New",'Distrib pivot table'!$C$2,"state","OK")&gt;0.0005,GETPIVOTDATA("Total-New",'Distrib pivot table'!$C$2,"state","OK","group","2d2")/GETPIVOTDATA("Total-New",'Distrib pivot table'!$C$2,"state","OK"),"*"))</f>
        <v>0</v>
      </c>
      <c r="P49" s="418">
        <f>IF((GETPIVOTDATA("Total-New",'Distrib pivot table'!$C$2,"state","SC","group","2d2")/GETPIVOTDATA("Total-New",'Distrib pivot table'!$C$2,"state","SC"))=0,,IF(GETPIVOTDATA("Total-New",'Distrib pivot table'!$C$2,"state","SC","group","2d2")/GETPIVOTDATA("Total-New",'Distrib pivot table'!$C$2,"state","SC")&gt;0.0005,GETPIVOTDATA("Total-New",'Distrib pivot table'!$C$2,"state","SC","group","2d2")/GETPIVOTDATA("Total-New",'Distrib pivot table'!$C$2,"state","SC"),"*"))</f>
        <v>0</v>
      </c>
      <c r="Q49" s="418">
        <f>IF((GETPIVOTDATA("Total-New",'Distrib pivot table'!$C$2,"state","TN","group","2d2")/GETPIVOTDATA("Total-New",'Distrib pivot table'!$C$2,"state","TN"))=0,,IF(GETPIVOTDATA("Total-New",'Distrib pivot table'!$C$2,"state","TN","group","2d2")/GETPIVOTDATA("Total-New",'Distrib pivot table'!$C$2,"state","TN")&gt;0.0005,GETPIVOTDATA("Total-New",'Distrib pivot table'!$C$2,"state","TN","group","2d2")/GETPIVOTDATA("Total-New",'Distrib pivot table'!$C$2,"state","TN"),"*"))</f>
        <v>0</v>
      </c>
      <c r="R49" s="418">
        <f>IF((GETPIVOTDATA("Total-New",'Distrib pivot table'!$C$2,"state","TX","group","2d2")/GETPIVOTDATA("Total-New",'Distrib pivot table'!$C$2,"state","TX"))=0,,IF(GETPIVOTDATA("Total-New",'Distrib pivot table'!$C$2,"state","TX","group","2d2")/GETPIVOTDATA("Total-New",'Distrib pivot table'!$C$2,"state","TX")&gt;0.0005,GETPIVOTDATA("Total-New",'Distrib pivot table'!$C$2,"state","TX","group","2d2")/GETPIVOTDATA("Total-New",'Distrib pivot table'!$C$2,"state","TX"),"*"))</f>
        <v>0</v>
      </c>
      <c r="S49" s="418" t="str">
        <f>IF((GETPIVOTDATA("Total-New",'Distrib pivot table'!$C$2,"state","VA","group","2d2")/GETPIVOTDATA("Total-New",'Distrib pivot table'!$C$2,"state","VA"))=0,,IF(GETPIVOTDATA("Total-New",'Distrib pivot table'!$C$2,"state","VA","group","2d2")/GETPIVOTDATA("Total-New",'Distrib pivot table'!$C$2,"state","VA")&gt;0.0005,GETPIVOTDATA("Total-New",'Distrib pivot table'!$C$2,"state","VA","group","2d2")/GETPIVOTDATA("Total-New",'Distrib pivot table'!$C$2,"state","VA"),"*"))</f>
        <v>*</v>
      </c>
      <c r="T49" s="418">
        <f>IF((GETPIVOTDATA("Total-New",'Distrib pivot table'!$C$2,"state","WV","group","2d2")/GETPIVOTDATA("Total-New",'Distrib pivot table'!$C$2,"state","WV"))=0,,IF(GETPIVOTDATA("Total-New",'Distrib pivot table'!$C$2,"state","WV","group","2d2")/GETPIVOTDATA("Total-New",'Distrib pivot table'!$C$2,"state","WV")&gt;0.0005,GETPIVOTDATA("Total-New",'Distrib pivot table'!$C$2,"state","WV","group","2d2")/GETPIVOTDATA("Total-New",'Distrib pivot table'!$C$2,"state","WV"),"*"))</f>
        <v>0</v>
      </c>
      <c r="U49" s="3"/>
      <c r="V49" s="3"/>
      <c r="W49" s="3"/>
      <c r="X49" s="3"/>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row>
    <row r="50" spans="1:50" ht="12.6" customHeight="1" x14ac:dyDescent="0.2">
      <c r="A50" s="1541"/>
      <c r="B50" s="127" t="s">
        <v>311</v>
      </c>
      <c r="C50" s="374" t="s">
        <v>252</v>
      </c>
      <c r="D50" s="418">
        <f>IF(GETPIVOTDATA("Total-New",'Distrib pivot table'!$C$2,"group","2d2a")/GETPIVOTDATA("Total-New",'Distrib pivot table'!$C$2)=0,,IF(GETPIVOTDATA("Total-New",'Distrib pivot table'!$C$2,"group","2d2a")/GETPIVOTDATA("Total-New",'Distrib pivot table'!$C$2)&gt;0.0005,GETPIVOTDATA("Total-New",'Distrib pivot table'!$C$2,"group","2d2a")/GETPIVOTDATA("Total-New",'Distrib pivot table'!$C$2),"*"))</f>
        <v>6.5222682558706627E-3</v>
      </c>
      <c r="E50" s="418">
        <f>IF((GETPIVOTDATA("Total-New",'Distrib pivot table'!$C$2,"state","AL","group","2d2a")/GETPIVOTDATA("Total-New",'Distrib pivot table'!$C$2,"state","AL"))=0,,IF(GETPIVOTDATA("Total-New",'Distrib pivot table'!$C$2,"state","AL","group","2d2a")/GETPIVOTDATA("Total-New",'Distrib pivot table'!$C$2,"state","AL")&gt;0.0005,GETPIVOTDATA("Total-New",'Distrib pivot table'!$C$2,"state","AL","group","2d2a")/GETPIVOTDATA("Total-New",'Distrib pivot table'!$C$2,"state","AL"),"*"))</f>
        <v>0</v>
      </c>
      <c r="F50" s="418">
        <f>IF((GETPIVOTDATA("Total-New",'Distrib pivot table'!$C$2,"state","AR","group","2d2a")/GETPIVOTDATA("Total-New",'Distrib pivot table'!$C$2,"state","AR"))=0,,IF(GETPIVOTDATA("Total-New",'Distrib pivot table'!$C$2,"state","AR","group","2d2a")/GETPIVOTDATA("Total-New",'Distrib pivot table'!$C$2,"state","AR")&gt;0.0005,GETPIVOTDATA("Total-New",'Distrib pivot table'!$C$2,"state","AR","group","2d2a")/GETPIVOTDATA("Total-New",'Distrib pivot table'!$C$2,"state","AR"),"*"))</f>
        <v>0</v>
      </c>
      <c r="G50" s="418">
        <f>IF((GETPIVOTDATA("Total-New",'Distrib pivot table'!$C$2,"state","DE","group","2d2a")/GETPIVOTDATA("Total-New",'Distrib pivot table'!$C$2,"state","DE"))=0,,IF(GETPIVOTDATA("Total-New",'Distrib pivot table'!$C$2,"state","DE","group","2d2a")/GETPIVOTDATA("Total-New",'Distrib pivot table'!$C$2,"state","DE")&gt;0.0005,GETPIVOTDATA("Total-New",'Distrib pivot table'!$C$2,"state","DE","group","2d2a")/GETPIVOTDATA("Total-New",'Distrib pivot table'!$C$2,"state","DE"),"*"))</f>
        <v>0</v>
      </c>
      <c r="H50" s="418">
        <f>IF((GETPIVOTDATA("Total-New",'Distrib pivot table'!$C$2,"state","FL","group","2d2a")/GETPIVOTDATA("Total-New",'Distrib pivot table'!$C$2,"state","FL"))=0,,IF(GETPIVOTDATA("Total-New",'Distrib pivot table'!$C$2,"state","FL","group","2d2a")/GETPIVOTDATA("Total-New",'Distrib pivot table'!$C$2,"state","FL")&gt;0.0005,GETPIVOTDATA("Total-New",'Distrib pivot table'!$C$2,"state","FL","group","2d2a")/GETPIVOTDATA("Total-New",'Distrib pivot table'!$C$2,"state","FL"),"*"))</f>
        <v>1.5585371406159386E-2</v>
      </c>
      <c r="I50" s="418">
        <f>IF((GETPIVOTDATA("Total-New",'Distrib pivot table'!$C$2,"state","GA","group","2d2a")/GETPIVOTDATA("Total-New",'Distrib pivot table'!$C$2,"state","GA"))=0,,IF(GETPIVOTDATA("Total-New",'Distrib pivot table'!$C$2,"state","GA","group","2d2a")/GETPIVOTDATA("Total-New",'Distrib pivot table'!$C$2,"state","GA")&gt;0.0005,GETPIVOTDATA("Total-New",'Distrib pivot table'!$C$2,"state","GA","group","2d2a")/GETPIVOTDATA("Total-New",'Distrib pivot table'!$C$2,"state","GA"),"*"))</f>
        <v>0</v>
      </c>
      <c r="J50" s="418">
        <f>IF((GETPIVOTDATA("Total-New",'Distrib pivot table'!$C$2,"state","KY","group","2d2a")/GETPIVOTDATA("Total-New",'Distrib pivot table'!$C$2,"state","KY"))=0,,IF(GETPIVOTDATA("Total-New",'Distrib pivot table'!$C$2,"state","KY","group","2d2a")/GETPIVOTDATA("Total-New",'Distrib pivot table'!$C$2,"state","KY")&gt;0.0005,GETPIVOTDATA("Total-New",'Distrib pivot table'!$C$2,"state","KY","group","2d2a")/GETPIVOTDATA("Total-New",'Distrib pivot table'!$C$2,"state","KY"),"*"))</f>
        <v>0</v>
      </c>
      <c r="K50" s="418">
        <f>IF((GETPIVOTDATA("Total-New",'Distrib pivot table'!$C$2,"state","LA","group","2d2a")/GETPIVOTDATA("Total-New",'Distrib pivot table'!$C$2,"state","LA"))=0,,IF(GETPIVOTDATA("Total-New",'Distrib pivot table'!$C$2,"state","LA","group","2d2a")/GETPIVOTDATA("Total-New",'Distrib pivot table'!$C$2,"state","LA")&gt;0.0005,GETPIVOTDATA("Total-New",'Distrib pivot table'!$C$2,"state","LA","group","2d2a")/GETPIVOTDATA("Total-New",'Distrib pivot table'!$C$2,"state","LA"),"*"))</f>
        <v>0</v>
      </c>
      <c r="L50" s="418">
        <f>IF((GETPIVOTDATA("Total-New",'Distrib pivot table'!$C$2,"state","MD","group","2d2a")/GETPIVOTDATA("Total-New",'Distrib pivot table'!$C$2,"state","MD"))=0,,IF(GETPIVOTDATA("Total-New",'Distrib pivot table'!$C$2,"state","MD","group","2d2a")/GETPIVOTDATA("Total-New",'Distrib pivot table'!$C$2,"state","MD")&gt;0.0005,GETPIVOTDATA("Total-New",'Distrib pivot table'!$C$2,"state","MD","group","2d2a")/GETPIVOTDATA("Total-New",'Distrib pivot table'!$C$2,"state","MD"),"*"))</f>
        <v>0</v>
      </c>
      <c r="M50" s="418" t="str">
        <f>IF((GETPIVOTDATA("Total-New",'Distrib pivot table'!$C$2,"state","MS","group","2d2a")/GETPIVOTDATA("Total-New",'Distrib pivot table'!$C$2,"state","MS"))=0,,IF(GETPIVOTDATA("Total-New",'Distrib pivot table'!$C$2,"state","MS","group","2d2a")/GETPIVOTDATA("Total-New",'Distrib pivot table'!$C$2,"state","MS")&gt;0.0005,GETPIVOTDATA("Total-New",'Distrib pivot table'!$C$2,"state","MS","group","2d2a")/GETPIVOTDATA("Total-New",'Distrib pivot table'!$C$2,"state","MS"),"*"))</f>
        <v>*</v>
      </c>
      <c r="N50" s="418">
        <f>IF((GETPIVOTDATA("Total-New",'Distrib pivot table'!$C$2,"state","NC","group","2d2a")/GETPIVOTDATA("Total-New",'Distrib pivot table'!$C$2,"state","NC"))=0,,IF(GETPIVOTDATA("Total-New",'Distrib pivot table'!$C$2,"state","NC","group","2d2a")/GETPIVOTDATA("Total-New",'Distrib pivot table'!$C$2,"state","NC")&gt;0.0005,GETPIVOTDATA("Total-New",'Distrib pivot table'!$C$2,"state","NC","group","2d2a")/GETPIVOTDATA("Total-New",'Distrib pivot table'!$C$2,"state","NC"),"*"))</f>
        <v>2.1881264665140301E-2</v>
      </c>
      <c r="O50" s="418">
        <f>IF((GETPIVOTDATA("Total-New",'Distrib pivot table'!$C$2,"state","OK","group","2d2a")/GETPIVOTDATA("Total-New",'Distrib pivot table'!$C$2,"state","OK"))=0,,IF(GETPIVOTDATA("Total-New",'Distrib pivot table'!$C$2,"state","OK","group","2d2a")/GETPIVOTDATA("Total-New",'Distrib pivot table'!$C$2,"state","OK")&gt;0.0005,GETPIVOTDATA("Total-New",'Distrib pivot table'!$C$2,"state","OK","group","2d2a")/GETPIVOTDATA("Total-New",'Distrib pivot table'!$C$2,"state","OK"),"*"))</f>
        <v>0</v>
      </c>
      <c r="P50" s="418">
        <f>IF((GETPIVOTDATA("Total-New",'Distrib pivot table'!$C$2,"state","SC","group","2d2a")/GETPIVOTDATA("Total-New",'Distrib pivot table'!$C$2,"state","SC"))=0,,IF(GETPIVOTDATA("Total-New",'Distrib pivot table'!$C$2,"state","SC","group","2d2a")/GETPIVOTDATA("Total-New",'Distrib pivot table'!$C$2,"state","SC")&gt;0.0005,GETPIVOTDATA("Total-New",'Distrib pivot table'!$C$2,"state","SC","group","2d2a")/GETPIVOTDATA("Total-New",'Distrib pivot table'!$C$2,"state","SC"),"*"))</f>
        <v>0</v>
      </c>
      <c r="Q50" s="418">
        <f>IF((GETPIVOTDATA("Total-New",'Distrib pivot table'!$C$2,"state","TN","group","2d2a")/GETPIVOTDATA("Total-New",'Distrib pivot table'!$C$2,"state","TN"))=0,,IF(GETPIVOTDATA("Total-New",'Distrib pivot table'!$C$2,"state","TN","group","2d2a")/GETPIVOTDATA("Total-New",'Distrib pivot table'!$C$2,"state","TN")&gt;0.0005,GETPIVOTDATA("Total-New",'Distrib pivot table'!$C$2,"state","TN","group","2d2a")/GETPIVOTDATA("Total-New",'Distrib pivot table'!$C$2,"state","TN"),"*"))</f>
        <v>0</v>
      </c>
      <c r="R50" s="418">
        <f>IF((GETPIVOTDATA("Total-New",'Distrib pivot table'!$C$2,"state","TX","group","2d2a")/GETPIVOTDATA("Total-New",'Distrib pivot table'!$C$2,"state","TX"))=0,,IF(GETPIVOTDATA("Total-New",'Distrib pivot table'!$C$2,"state","TX","group","2d2a")/GETPIVOTDATA("Total-New",'Distrib pivot table'!$C$2,"state","TX")&gt;0.0005,GETPIVOTDATA("Total-New",'Distrib pivot table'!$C$2,"state","TX","group","2d2a")/GETPIVOTDATA("Total-New",'Distrib pivot table'!$C$2,"state","TX"),"*"))</f>
        <v>0</v>
      </c>
      <c r="S50" s="418">
        <f>IF((GETPIVOTDATA("Total-New",'Distrib pivot table'!$C$2,"state","VA","group","2d2a")/GETPIVOTDATA("Total-New",'Distrib pivot table'!$C$2,"state","VA"))=0,,IF(GETPIVOTDATA("Total-New",'Distrib pivot table'!$C$2,"state","VA","group","2d2a")/GETPIVOTDATA("Total-New",'Distrib pivot table'!$C$2,"state","VA")&gt;0.0005,GETPIVOTDATA("Total-New",'Distrib pivot table'!$C$2,"state","VA","group","2d2a")/GETPIVOTDATA("Total-New",'Distrib pivot table'!$C$2,"state","VA"),"*"))</f>
        <v>3.600720970920622E-2</v>
      </c>
      <c r="T50" s="418">
        <f>IF((GETPIVOTDATA("Total-New",'Distrib pivot table'!$C$2,"state","WV","group","2d2a")/GETPIVOTDATA("Total-New",'Distrib pivot table'!$C$2,"state","WV"))=0,,IF(GETPIVOTDATA("Total-New",'Distrib pivot table'!$C$2,"state","WV","group","2d2a")/GETPIVOTDATA("Total-New",'Distrib pivot table'!$C$2,"state","WV")&gt;0.0005,GETPIVOTDATA("Total-New",'Distrib pivot table'!$C$2,"state","WV","group","2d2a")/GETPIVOTDATA("Total-New",'Distrib pivot table'!$C$2,"state","WV"),"*"))</f>
        <v>0</v>
      </c>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row>
    <row r="51" spans="1:50" ht="12.6" customHeight="1" x14ac:dyDescent="0.2">
      <c r="A51" s="1541"/>
      <c r="B51" s="127" t="s">
        <v>249</v>
      </c>
      <c r="C51" s="374" t="s">
        <v>253</v>
      </c>
      <c r="D51" s="418">
        <f>IF(GETPIVOTDATA("Total-New",'Distrib pivot table'!$C$2,"group","2d2b")/GETPIVOTDATA("Total-New",'Distrib pivot table'!$C$2)=0,,IF(GETPIVOTDATA("Total-New",'Distrib pivot table'!$C$2,"group","2d2b")/GETPIVOTDATA("Total-New",'Distrib pivot table'!$C$2)&gt;0.0005,GETPIVOTDATA("Total-New",'Distrib pivot table'!$C$2,"group","2d2b")/GETPIVOTDATA("Total-New",'Distrib pivot table'!$C$2),"*"))</f>
        <v>7.5270012092137394E-3</v>
      </c>
      <c r="E51" s="418" t="str">
        <f>IF((GETPIVOTDATA("Total-New",'Distrib pivot table'!$C$2,"state","AL","group","2d2b")/GETPIVOTDATA("Total-New",'Distrib pivot table'!$C$2,"state","AL"))=0,,IF(GETPIVOTDATA("Total-New",'Distrib pivot table'!$C$2,"state","AL","group","2d2b")/GETPIVOTDATA("Total-New",'Distrib pivot table'!$C$2,"state","AL")&gt;0.0005,GETPIVOTDATA("Total-New",'Distrib pivot table'!$C$2,"state","AL","group","2d2b")/GETPIVOTDATA("Total-New",'Distrib pivot table'!$C$2,"state","AL"),"*"))</f>
        <v>*</v>
      </c>
      <c r="F51" s="418" t="str">
        <f>IF((GETPIVOTDATA("Total-New",'Distrib pivot table'!$C$2,"state","AR","group","2d2b")/GETPIVOTDATA("Total-New",'Distrib pivot table'!$C$2,"state","AR"))=0,,IF(GETPIVOTDATA("Total-New",'Distrib pivot table'!$C$2,"state","AR","group","2d2b")/GETPIVOTDATA("Total-New",'Distrib pivot table'!$C$2,"state","AR")&gt;0.0005,GETPIVOTDATA("Total-New",'Distrib pivot table'!$C$2,"state","AR","group","2d2b")/GETPIVOTDATA("Total-New",'Distrib pivot table'!$C$2,"state","AR"),"*"))</f>
        <v>*</v>
      </c>
      <c r="G51" s="418">
        <f>IF((GETPIVOTDATA("Total-New",'Distrib pivot table'!$C$2,"state","DE","group","2d2b")/GETPIVOTDATA("Total-New",'Distrib pivot table'!$C$2,"state","DE"))=0,,IF(GETPIVOTDATA("Total-New",'Distrib pivot table'!$C$2,"state","DE","group","2d2b")/GETPIVOTDATA("Total-New",'Distrib pivot table'!$C$2,"state","DE")&gt;0.0005,GETPIVOTDATA("Total-New",'Distrib pivot table'!$C$2,"state","DE","group","2d2b")/GETPIVOTDATA("Total-New",'Distrib pivot table'!$C$2,"state","DE"),"*"))</f>
        <v>0</v>
      </c>
      <c r="H51" s="418" t="str">
        <f>IF((GETPIVOTDATA("Total-New",'Distrib pivot table'!$C$2,"state","FL","group","2d2b")/GETPIVOTDATA("Total-New",'Distrib pivot table'!$C$2,"state","FL"))=0,,IF(GETPIVOTDATA("Total-New",'Distrib pivot table'!$C$2,"state","FL","group","2d2b")/GETPIVOTDATA("Total-New",'Distrib pivot table'!$C$2,"state","FL")&gt;0.0005,GETPIVOTDATA("Total-New",'Distrib pivot table'!$C$2,"state","FL","group","2d2b")/GETPIVOTDATA("Total-New",'Distrib pivot table'!$C$2,"state","FL"),"*"))</f>
        <v>*</v>
      </c>
      <c r="I51" s="418">
        <f>IF((GETPIVOTDATA("Total-New",'Distrib pivot table'!$C$2,"state","GA","group","2d2b")/GETPIVOTDATA("Total-New",'Distrib pivot table'!$C$2,"state","GA"))=0,,IF(GETPIVOTDATA("Total-New",'Distrib pivot table'!$C$2,"state","GA","group","2d2b")/GETPIVOTDATA("Total-New",'Distrib pivot table'!$C$2,"state","GA")&gt;0.0005,GETPIVOTDATA("Total-New",'Distrib pivot table'!$C$2,"state","GA","group","2d2b")/GETPIVOTDATA("Total-New",'Distrib pivot table'!$C$2,"state","GA"),"*"))</f>
        <v>8.7903961884089374E-2</v>
      </c>
      <c r="J51" s="418">
        <f>IF((GETPIVOTDATA("Total-New",'Distrib pivot table'!$C$2,"state","KY","group","2d2b")/GETPIVOTDATA("Total-New",'Distrib pivot table'!$C$2,"state","KY"))=0,,IF(GETPIVOTDATA("Total-New",'Distrib pivot table'!$C$2,"state","KY","group","2d2b")/GETPIVOTDATA("Total-New",'Distrib pivot table'!$C$2,"state","KY")&gt;0.0005,GETPIVOTDATA("Total-New",'Distrib pivot table'!$C$2,"state","KY","group","2d2b")/GETPIVOTDATA("Total-New",'Distrib pivot table'!$C$2,"state","KY"),"*"))</f>
        <v>0</v>
      </c>
      <c r="K51" s="418">
        <f>IF((GETPIVOTDATA("Total-New",'Distrib pivot table'!$C$2,"state","LA","group","2d2b")/GETPIVOTDATA("Total-New",'Distrib pivot table'!$C$2,"state","LA"))=0,,IF(GETPIVOTDATA("Total-New",'Distrib pivot table'!$C$2,"state","LA","group","2d2b")/GETPIVOTDATA("Total-New",'Distrib pivot table'!$C$2,"state","LA")&gt;0.0005,GETPIVOTDATA("Total-New",'Distrib pivot table'!$C$2,"state","LA","group","2d2b")/GETPIVOTDATA("Total-New",'Distrib pivot table'!$C$2,"state","LA"),"*"))</f>
        <v>0</v>
      </c>
      <c r="L51" s="418">
        <f>IF((GETPIVOTDATA("Total-New",'Distrib pivot table'!$C$2,"state","MD","group","2d2b")/GETPIVOTDATA("Total-New",'Distrib pivot table'!$C$2,"state","MD"))=0,,IF(GETPIVOTDATA("Total-New",'Distrib pivot table'!$C$2,"state","MD","group","2d2b")/GETPIVOTDATA("Total-New",'Distrib pivot table'!$C$2,"state","MD")&gt;0.0005,GETPIVOTDATA("Total-New",'Distrib pivot table'!$C$2,"state","MD","group","2d2b")/GETPIVOTDATA("Total-New",'Distrib pivot table'!$C$2,"state","MD"),"*"))</f>
        <v>0</v>
      </c>
      <c r="M51" s="418">
        <f>IF((GETPIVOTDATA("Total-New",'Distrib pivot table'!$C$2,"state","MS","group","2d2b")/GETPIVOTDATA("Total-New",'Distrib pivot table'!$C$2,"state","MS"))=0,,IF(GETPIVOTDATA("Total-New",'Distrib pivot table'!$C$2,"state","MS","group","2d2b")/GETPIVOTDATA("Total-New",'Distrib pivot table'!$C$2,"state","MS")&gt;0.0005,GETPIVOTDATA("Total-New",'Distrib pivot table'!$C$2,"state","MS","group","2d2b")/GETPIVOTDATA("Total-New",'Distrib pivot table'!$C$2,"state","MS"),"*"))</f>
        <v>4.9009583763958793E-3</v>
      </c>
      <c r="N51" s="418">
        <f>IF((GETPIVOTDATA("Total-New",'Distrib pivot table'!$C$2,"state","NC","group","2d2b")/GETPIVOTDATA("Total-New",'Distrib pivot table'!$C$2,"state","NC"))=0,,IF(GETPIVOTDATA("Total-New",'Distrib pivot table'!$C$2,"state","NC","group","2d2b")/GETPIVOTDATA("Total-New",'Distrib pivot table'!$C$2,"state","NC")&gt;0.0005,GETPIVOTDATA("Total-New",'Distrib pivot table'!$C$2,"state","NC","group","2d2b")/GETPIVOTDATA("Total-New",'Distrib pivot table'!$C$2,"state","NC"),"*"))</f>
        <v>8.0083980020638154E-4</v>
      </c>
      <c r="O51" s="418">
        <f>IF((GETPIVOTDATA("Total-New",'Distrib pivot table'!$C$2,"state","OK","group","2d2b")/GETPIVOTDATA("Total-New",'Distrib pivot table'!$C$2,"state","OK"))=0,,IF(GETPIVOTDATA("Total-New",'Distrib pivot table'!$C$2,"state","OK","group","2d2b")/GETPIVOTDATA("Total-New",'Distrib pivot table'!$C$2,"state","OK")&gt;0.0005,GETPIVOTDATA("Total-New",'Distrib pivot table'!$C$2,"state","OK","group","2d2b")/GETPIVOTDATA("Total-New",'Distrib pivot table'!$C$2,"state","OK"),"*"))</f>
        <v>0</v>
      </c>
      <c r="P51" s="418">
        <f>IF((GETPIVOTDATA("Total-New",'Distrib pivot table'!$C$2,"state","SC","group","2d2b")/GETPIVOTDATA("Total-New",'Distrib pivot table'!$C$2,"state","SC"))=0,,IF(GETPIVOTDATA("Total-New",'Distrib pivot table'!$C$2,"state","SC","group","2d2b")/GETPIVOTDATA("Total-New",'Distrib pivot table'!$C$2,"state","SC")&gt;0.0005,GETPIVOTDATA("Total-New",'Distrib pivot table'!$C$2,"state","SC","group","2d2b")/GETPIVOTDATA("Total-New",'Distrib pivot table'!$C$2,"state","SC"),"*"))</f>
        <v>0</v>
      </c>
      <c r="Q51" s="418">
        <f>IF((GETPIVOTDATA("Total-New",'Distrib pivot table'!$C$2,"state","TN","group","2d2b")/GETPIVOTDATA("Total-New",'Distrib pivot table'!$C$2,"state","TN"))=0,,IF(GETPIVOTDATA("Total-New",'Distrib pivot table'!$C$2,"state","TN","group","2d2b")/GETPIVOTDATA("Total-New",'Distrib pivot table'!$C$2,"state","TN")&gt;0.0005,GETPIVOTDATA("Total-New",'Distrib pivot table'!$C$2,"state","TN","group","2d2b")/GETPIVOTDATA("Total-New",'Distrib pivot table'!$C$2,"state","TN"),"*"))</f>
        <v>0</v>
      </c>
      <c r="R51" s="418">
        <f>IF((GETPIVOTDATA("Total-New",'Distrib pivot table'!$C$2,"state","TX","group","2d2b")/GETPIVOTDATA("Total-New",'Distrib pivot table'!$C$2,"state","TX"))=0,,IF(GETPIVOTDATA("Total-New",'Distrib pivot table'!$C$2,"state","TX","group","2d2b")/GETPIVOTDATA("Total-New",'Distrib pivot table'!$C$2,"state","TX")&gt;0.0005,GETPIVOTDATA("Total-New",'Distrib pivot table'!$C$2,"state","TX","group","2d2b")/GETPIVOTDATA("Total-New",'Distrib pivot table'!$C$2,"state","TX"),"*"))</f>
        <v>0</v>
      </c>
      <c r="S51" s="418">
        <f>IF((GETPIVOTDATA("Total-New",'Distrib pivot table'!$C$2,"state","VA","group","2d2b")/GETPIVOTDATA("Total-New",'Distrib pivot table'!$C$2,"state","VA"))=0,,IF(GETPIVOTDATA("Total-New",'Distrib pivot table'!$C$2,"state","VA","group","2d2b")/GETPIVOTDATA("Total-New",'Distrib pivot table'!$C$2,"state","VA")&gt;0.0005,GETPIVOTDATA("Total-New",'Distrib pivot table'!$C$2,"state","VA","group","2d2b")/GETPIVOTDATA("Total-New",'Distrib pivot table'!$C$2,"state","VA"),"*"))</f>
        <v>2.6950403572482515E-3</v>
      </c>
      <c r="T51" s="418">
        <f>IF((GETPIVOTDATA("Total-New",'Distrib pivot table'!$C$2,"state","WV","group","2d2b")/GETPIVOTDATA("Total-New",'Distrib pivot table'!$C$2,"state","WV"))=0,,IF(GETPIVOTDATA("Total-New",'Distrib pivot table'!$C$2,"state","WV","group","2d2b")/GETPIVOTDATA("Total-New",'Distrib pivot table'!$C$2,"state","WV")&gt;0.0005,GETPIVOTDATA("Total-New",'Distrib pivot table'!$C$2,"state","WV","group","2d2b")/GETPIVOTDATA("Total-New",'Distrib pivot table'!$C$2,"state","WV"),"*"))</f>
        <v>0</v>
      </c>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row>
    <row r="52" spans="1:50" ht="12.6" customHeight="1" x14ac:dyDescent="0.2">
      <c r="A52" s="1541"/>
      <c r="B52" s="127" t="s">
        <v>307</v>
      </c>
      <c r="C52" s="374" t="s">
        <v>294</v>
      </c>
      <c r="D52" s="418" t="str">
        <f>IF(GETPIVOTDATA("Total-New",'Distrib pivot table'!$C$2,"group","2d3")/GETPIVOTDATA("Total-New",'Distrib pivot table'!$C$2)=0,,IF(GETPIVOTDATA("Total-New",'Distrib pivot table'!$C$2,"group","2d3")/GETPIVOTDATA("Total-New",'Distrib pivot table'!$C$2)&gt;0.0005,GETPIVOTDATA("Total-New",'Distrib pivot table'!$C$2,"group","2d3")/GETPIVOTDATA("Total-New",'Distrib pivot table'!$C$2),"*"))</f>
        <v>*</v>
      </c>
      <c r="E52" s="418">
        <f>IF((GETPIVOTDATA("Total-New",'Distrib pivot table'!$C$2,"state","AL","group","2d3")/GETPIVOTDATA("Total-New",'Distrib pivot table'!$C$2,"state","AL"))=0,,IF(GETPIVOTDATA("Total-New",'Distrib pivot table'!$C$2,"state","AL","group","2d3")/GETPIVOTDATA("Total-New",'Distrib pivot table'!$C$2,"state","AL")&gt;0.0005,GETPIVOTDATA("Total-New",'Distrib pivot table'!$C$2,"state","AL","group","2d3")/GETPIVOTDATA("Total-New",'Distrib pivot table'!$C$2,"state","AL"),"*"))</f>
        <v>0</v>
      </c>
      <c r="F52" s="418">
        <f>IF((GETPIVOTDATA("Total-New",'Distrib pivot table'!$C$2,"state","AR","group","2d3")/GETPIVOTDATA("Total-New",'Distrib pivot table'!$C$2,"state","AR"))=0,,IF(GETPIVOTDATA("Total-New",'Distrib pivot table'!$C$2,"state","AR","group","2d3")/GETPIVOTDATA("Total-New",'Distrib pivot table'!$C$2,"state","AR")&gt;0.0005,GETPIVOTDATA("Total-New",'Distrib pivot table'!$C$2,"state","AR","group","2d3")/GETPIVOTDATA("Total-New",'Distrib pivot table'!$C$2,"state","AR"),"*"))</f>
        <v>0</v>
      </c>
      <c r="G52" s="418">
        <f>IF((GETPIVOTDATA("Total-New",'Distrib pivot table'!$C$2,"state","DE","group","2d3")/GETPIVOTDATA("Total-New",'Distrib pivot table'!$C$2,"state","DE"))=0,,IF(GETPIVOTDATA("Total-New",'Distrib pivot table'!$C$2,"state","DE","group","2d3")/GETPIVOTDATA("Total-New",'Distrib pivot table'!$C$2,"state","DE")&gt;0.0005,GETPIVOTDATA("Total-New",'Distrib pivot table'!$C$2,"state","DE","group","2d3")/GETPIVOTDATA("Total-New",'Distrib pivot table'!$C$2,"state","DE"),"*"))</f>
        <v>0</v>
      </c>
      <c r="H52" s="418">
        <f>IF((GETPIVOTDATA("Total-New",'Distrib pivot table'!$C$2,"state","FL","group","2d3")/GETPIVOTDATA("Total-New",'Distrib pivot table'!$C$2,"state","FL"))=0,,IF(GETPIVOTDATA("Total-New",'Distrib pivot table'!$C$2,"state","FL","group","2d3")/GETPIVOTDATA("Total-New",'Distrib pivot table'!$C$2,"state","FL")&gt;0.0005,GETPIVOTDATA("Total-New",'Distrib pivot table'!$C$2,"state","FL","group","2d3")/GETPIVOTDATA("Total-New",'Distrib pivot table'!$C$2,"state","FL"),"*"))</f>
        <v>0</v>
      </c>
      <c r="I52" s="418">
        <f>IF((GETPIVOTDATA("Total-New",'Distrib pivot table'!$C$2,"state","GA","group","2d3")/GETPIVOTDATA("Total-New",'Distrib pivot table'!$C$2,"state","GA"))=0,,IF(GETPIVOTDATA("Total-New",'Distrib pivot table'!$C$2,"state","GA","group","2d3")/GETPIVOTDATA("Total-New",'Distrib pivot table'!$C$2,"state","GA")&gt;0.0005,GETPIVOTDATA("Total-New",'Distrib pivot table'!$C$2,"state","GA","group","2d3")/GETPIVOTDATA("Total-New",'Distrib pivot table'!$C$2,"state","GA"),"*"))</f>
        <v>0</v>
      </c>
      <c r="J52" s="418">
        <f>IF((GETPIVOTDATA("Total-New",'Distrib pivot table'!$C$2,"state","KY","group","2d3")/GETPIVOTDATA("Total-New",'Distrib pivot table'!$C$2,"state","KY"))=0,,IF(GETPIVOTDATA("Total-New",'Distrib pivot table'!$C$2,"state","KY","group","2d3")/GETPIVOTDATA("Total-New",'Distrib pivot table'!$C$2,"state","KY")&gt;0.0005,GETPIVOTDATA("Total-New",'Distrib pivot table'!$C$2,"state","KY","group","2d3")/GETPIVOTDATA("Total-New",'Distrib pivot table'!$C$2,"state","KY"),"*"))</f>
        <v>0</v>
      </c>
      <c r="K52" s="418">
        <f>IF((GETPIVOTDATA("Total-New",'Distrib pivot table'!$C$2,"state","LA","group","2d3")/GETPIVOTDATA("Total-New",'Distrib pivot table'!$C$2,"state","LA"))=0,,IF(GETPIVOTDATA("Total-New",'Distrib pivot table'!$C$2,"state","LA","group","2d3")/GETPIVOTDATA("Total-New",'Distrib pivot table'!$C$2,"state","LA")&gt;0.0005,GETPIVOTDATA("Total-New",'Distrib pivot table'!$C$2,"state","LA","group","2d3")/GETPIVOTDATA("Total-New",'Distrib pivot table'!$C$2,"state","LA"),"*"))</f>
        <v>0</v>
      </c>
      <c r="L52" s="418">
        <f>IF((GETPIVOTDATA("Total-New",'Distrib pivot table'!$C$2,"state","MD","group","2d3")/GETPIVOTDATA("Total-New",'Distrib pivot table'!$C$2,"state","MD"))=0,,IF(GETPIVOTDATA("Total-New",'Distrib pivot table'!$C$2,"state","MD","group","2d3")/GETPIVOTDATA("Total-New",'Distrib pivot table'!$C$2,"state","MD")&gt;0.0005,GETPIVOTDATA("Total-New",'Distrib pivot table'!$C$2,"state","MD","group","2d3")/GETPIVOTDATA("Total-New",'Distrib pivot table'!$C$2,"state","MD"),"*"))</f>
        <v>0</v>
      </c>
      <c r="M52" s="418">
        <f>IF((GETPIVOTDATA("Total-New",'Distrib pivot table'!$C$2,"state","MS","group","2d3")/GETPIVOTDATA("Total-New",'Distrib pivot table'!$C$2,"state","MS"))=0,,IF(GETPIVOTDATA("Total-New",'Distrib pivot table'!$C$2,"state","MS","group","2d3")/GETPIVOTDATA("Total-New",'Distrib pivot table'!$C$2,"state","MS")&gt;0.0005,GETPIVOTDATA("Total-New",'Distrib pivot table'!$C$2,"state","MS","group","2d3")/GETPIVOTDATA("Total-New",'Distrib pivot table'!$C$2,"state","MS"),"*"))</f>
        <v>0</v>
      </c>
      <c r="N52" s="418">
        <f>IF((GETPIVOTDATA("Total-New",'Distrib pivot table'!$C$2,"state","NC","group","2d3")/GETPIVOTDATA("Total-New",'Distrib pivot table'!$C$2,"state","NC"))=0,,IF(GETPIVOTDATA("Total-New",'Distrib pivot table'!$C$2,"state","NC","group","2d3")/GETPIVOTDATA("Total-New",'Distrib pivot table'!$C$2,"state","NC")&gt;0.0005,GETPIVOTDATA("Total-New",'Distrib pivot table'!$C$2,"state","NC","group","2d3")/GETPIVOTDATA("Total-New",'Distrib pivot table'!$C$2,"state","NC"),"*"))</f>
        <v>0</v>
      </c>
      <c r="O52" s="418">
        <f>IF((GETPIVOTDATA("Total-New",'Distrib pivot table'!$C$2,"state","OK","group","2d3")/GETPIVOTDATA("Total-New",'Distrib pivot table'!$C$2,"state","OK"))=0,,IF(GETPIVOTDATA("Total-New",'Distrib pivot table'!$C$2,"state","OK","group","2d3")/GETPIVOTDATA("Total-New",'Distrib pivot table'!$C$2,"state","OK")&gt;0.0005,GETPIVOTDATA("Total-New",'Distrib pivot table'!$C$2,"state","OK","group","2d3")/GETPIVOTDATA("Total-New",'Distrib pivot table'!$C$2,"state","OK"),"*"))</f>
        <v>1.6893854727992501E-3</v>
      </c>
      <c r="P52" s="418">
        <f>IF((GETPIVOTDATA("Total-New",'Distrib pivot table'!$C$2,"state","SC","group","2d3")/GETPIVOTDATA("Total-New",'Distrib pivot table'!$C$2,"state","SC"))=0,,IF(GETPIVOTDATA("Total-New",'Distrib pivot table'!$C$2,"state","SC","group","2d3")/GETPIVOTDATA("Total-New",'Distrib pivot table'!$C$2,"state","SC")&gt;0.0005,GETPIVOTDATA("Total-New",'Distrib pivot table'!$C$2,"state","SC","group","2d3")/GETPIVOTDATA("Total-New",'Distrib pivot table'!$C$2,"state","SC"),"*"))</f>
        <v>0</v>
      </c>
      <c r="Q52" s="418">
        <f>IF((GETPIVOTDATA("Total-New",'Distrib pivot table'!$C$2,"state","TN","group","2d3")/GETPIVOTDATA("Total-New",'Distrib pivot table'!$C$2,"state","TN"))=0,,IF(GETPIVOTDATA("Total-New",'Distrib pivot table'!$C$2,"state","TN","group","2d3")/GETPIVOTDATA("Total-New",'Distrib pivot table'!$C$2,"state","TN")&gt;0.0005,GETPIVOTDATA("Total-New",'Distrib pivot table'!$C$2,"state","TN","group","2d3")/GETPIVOTDATA("Total-New",'Distrib pivot table'!$C$2,"state","TN"),"*"))</f>
        <v>0</v>
      </c>
      <c r="R52" s="418">
        <f>IF((GETPIVOTDATA("Total-New",'Distrib pivot table'!$C$2,"state","TX","group","2d3")/GETPIVOTDATA("Total-New",'Distrib pivot table'!$C$2,"state","TX"))=0,,IF(GETPIVOTDATA("Total-New",'Distrib pivot table'!$C$2,"state","TX","group","2d3")/GETPIVOTDATA("Total-New",'Distrib pivot table'!$C$2,"state","TX")&gt;0.0005,GETPIVOTDATA("Total-New",'Distrib pivot table'!$C$2,"state","TX","group","2d3")/GETPIVOTDATA("Total-New",'Distrib pivot table'!$C$2,"state","TX"),"*"))</f>
        <v>0</v>
      </c>
      <c r="S52" s="418">
        <f>IF((GETPIVOTDATA("Total-New",'Distrib pivot table'!$C$2,"state","VA","group","2d3")/GETPIVOTDATA("Total-New",'Distrib pivot table'!$C$2,"state","VA"))=0,,IF(GETPIVOTDATA("Total-New",'Distrib pivot table'!$C$2,"state","VA","group","2d3")/GETPIVOTDATA("Total-New",'Distrib pivot table'!$C$2,"state","VA")&gt;0.0005,GETPIVOTDATA("Total-New",'Distrib pivot table'!$C$2,"state","VA","group","2d3")/GETPIVOTDATA("Total-New",'Distrib pivot table'!$C$2,"state","VA"),"*"))</f>
        <v>0</v>
      </c>
      <c r="T52" s="418">
        <f>IF((GETPIVOTDATA("Total-New",'Distrib pivot table'!$C$2,"state","WV","group","2d3")/GETPIVOTDATA("Total-New",'Distrib pivot table'!$C$2,"state","WV"))=0,,IF(GETPIVOTDATA("Total-New",'Distrib pivot table'!$C$2,"state","WV","group","2d3")/GETPIVOTDATA("Total-New",'Distrib pivot table'!$C$2,"state","WV")&gt;0.0005,GETPIVOTDATA("Total-New",'Distrib pivot table'!$C$2,"state","WV","group","2d3")/GETPIVOTDATA("Total-New",'Distrib pivot table'!$C$2,"state","WV"),"*"))</f>
        <v>0</v>
      </c>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row>
    <row r="53" spans="1:50" ht="12.6" customHeight="1" x14ac:dyDescent="0.2">
      <c r="A53" s="1541"/>
      <c r="B53" s="127" t="s">
        <v>311</v>
      </c>
      <c r="C53" s="374" t="s">
        <v>254</v>
      </c>
      <c r="D53" s="418">
        <f>IF(GETPIVOTDATA("Total-New",'Distrib pivot table'!$C$2,"group","2d3a")/GETPIVOTDATA("Total-New",'Distrib pivot table'!$C$2)=0,,IF(GETPIVOTDATA("Total-New",'Distrib pivot table'!$C$2,"group","2d3a")/GETPIVOTDATA("Total-New",'Distrib pivot table'!$C$2)&gt;0.0005,GETPIVOTDATA("Total-New",'Distrib pivot table'!$C$2,"group","2d3a")/GETPIVOTDATA("Total-New",'Distrib pivot table'!$C$2),"*"))</f>
        <v>2.9359495427350806E-3</v>
      </c>
      <c r="E53" s="418">
        <f>IF((GETPIVOTDATA("Total-New",'Distrib pivot table'!$C$2,"state","AL","group","2d3a")/GETPIVOTDATA("Total-New",'Distrib pivot table'!$C$2,"state","AL"))=0,,IF(GETPIVOTDATA("Total-New",'Distrib pivot table'!$C$2,"state","AL","group","2d3a")/GETPIVOTDATA("Total-New",'Distrib pivot table'!$C$2,"state","AL")&gt;0.0005,GETPIVOTDATA("Total-New",'Distrib pivot table'!$C$2,"state","AL","group","2d3a")/GETPIVOTDATA("Total-New",'Distrib pivot table'!$C$2,"state","AL"),"*"))</f>
        <v>0</v>
      </c>
      <c r="F53" s="418">
        <f>IF((GETPIVOTDATA("Total-New",'Distrib pivot table'!$C$2,"state","AR","group","2d3a")/GETPIVOTDATA("Total-New",'Distrib pivot table'!$C$2,"state","AR"))=0,,IF(GETPIVOTDATA("Total-New",'Distrib pivot table'!$C$2,"state","AR","group","2d3a")/GETPIVOTDATA("Total-New",'Distrib pivot table'!$C$2,"state","AR")&gt;0.0005,GETPIVOTDATA("Total-New",'Distrib pivot table'!$C$2,"state","AR","group","2d3a")/GETPIVOTDATA("Total-New",'Distrib pivot table'!$C$2,"state","AR"),"*"))</f>
        <v>0</v>
      </c>
      <c r="G53" s="418">
        <f>IF((GETPIVOTDATA("Total-New",'Distrib pivot table'!$C$2,"state","DE","group","2d3a")/GETPIVOTDATA("Total-New",'Distrib pivot table'!$C$2,"state","DE"))=0,,IF(GETPIVOTDATA("Total-New",'Distrib pivot table'!$C$2,"state","DE","group","2d3a")/GETPIVOTDATA("Total-New",'Distrib pivot table'!$C$2,"state","DE")&gt;0.0005,GETPIVOTDATA("Total-New",'Distrib pivot table'!$C$2,"state","DE","group","2d3a")/GETPIVOTDATA("Total-New",'Distrib pivot table'!$C$2,"state","DE"),"*"))</f>
        <v>0</v>
      </c>
      <c r="H53" s="418">
        <f>IF((GETPIVOTDATA("Total-New",'Distrib pivot table'!$C$2,"state","FL","group","2d3a")/GETPIVOTDATA("Total-New",'Distrib pivot table'!$C$2,"state","FL"))=0,,IF(GETPIVOTDATA("Total-New",'Distrib pivot table'!$C$2,"state","FL","group","2d3a")/GETPIVOTDATA("Total-New",'Distrib pivot table'!$C$2,"state","FL")&gt;0.0005,GETPIVOTDATA("Total-New",'Distrib pivot table'!$C$2,"state","FL","group","2d3a")/GETPIVOTDATA("Total-New",'Distrib pivot table'!$C$2,"state","FL"),"*"))</f>
        <v>4.3207141308821018E-3</v>
      </c>
      <c r="I53" s="418">
        <f>IF((GETPIVOTDATA("Total-New",'Distrib pivot table'!$C$2,"state","GA","group","2d3a")/GETPIVOTDATA("Total-New",'Distrib pivot table'!$C$2,"state","GA"))=0,,IF(GETPIVOTDATA("Total-New",'Distrib pivot table'!$C$2,"state","GA","group","2d3a")/GETPIVOTDATA("Total-New",'Distrib pivot table'!$C$2,"state","GA")&gt;0.0005,GETPIVOTDATA("Total-New",'Distrib pivot table'!$C$2,"state","GA","group","2d3a")/GETPIVOTDATA("Total-New",'Distrib pivot table'!$C$2,"state","GA"),"*"))</f>
        <v>0</v>
      </c>
      <c r="J53" s="418">
        <f>IF((GETPIVOTDATA("Total-New",'Distrib pivot table'!$C$2,"state","KY","group","2d3a")/GETPIVOTDATA("Total-New",'Distrib pivot table'!$C$2,"state","KY"))=0,,IF(GETPIVOTDATA("Total-New",'Distrib pivot table'!$C$2,"state","KY","group","2d3a")/GETPIVOTDATA("Total-New",'Distrib pivot table'!$C$2,"state","KY")&gt;0.0005,GETPIVOTDATA("Total-New",'Distrib pivot table'!$C$2,"state","KY","group","2d3a")/GETPIVOTDATA("Total-New",'Distrib pivot table'!$C$2,"state","KY"),"*"))</f>
        <v>1.1049095394128237E-2</v>
      </c>
      <c r="K53" s="418">
        <f>IF((GETPIVOTDATA("Total-New",'Distrib pivot table'!$C$2,"state","LA","group","2d3a")/GETPIVOTDATA("Total-New",'Distrib pivot table'!$C$2,"state","LA"))=0,,IF(GETPIVOTDATA("Total-New",'Distrib pivot table'!$C$2,"state","LA","group","2d3a")/GETPIVOTDATA("Total-New",'Distrib pivot table'!$C$2,"state","LA")&gt;0.0005,GETPIVOTDATA("Total-New",'Distrib pivot table'!$C$2,"state","LA","group","2d3a")/GETPIVOTDATA("Total-New",'Distrib pivot table'!$C$2,"state","LA"),"*"))</f>
        <v>0</v>
      </c>
      <c r="L53" s="418">
        <f>IF((GETPIVOTDATA("Total-New",'Distrib pivot table'!$C$2,"state","MD","group","2d3a")/GETPIVOTDATA("Total-New",'Distrib pivot table'!$C$2,"state","MD"))=0,,IF(GETPIVOTDATA("Total-New",'Distrib pivot table'!$C$2,"state","MD","group","2d3a")/GETPIVOTDATA("Total-New",'Distrib pivot table'!$C$2,"state","MD")&gt;0.0005,GETPIVOTDATA("Total-New",'Distrib pivot table'!$C$2,"state","MD","group","2d3a")/GETPIVOTDATA("Total-New",'Distrib pivot table'!$C$2,"state","MD"),"*"))</f>
        <v>0</v>
      </c>
      <c r="M53" s="418">
        <f>IF((GETPIVOTDATA("Total-New",'Distrib pivot table'!$C$2,"state","MS","group","2d3a")/GETPIVOTDATA("Total-New",'Distrib pivot table'!$C$2,"state","MS"))=0,,IF(GETPIVOTDATA("Total-New",'Distrib pivot table'!$C$2,"state","MS","group","2d3a")/GETPIVOTDATA("Total-New",'Distrib pivot table'!$C$2,"state","MS")&gt;0.0005,GETPIVOTDATA("Total-New",'Distrib pivot table'!$C$2,"state","MS","group","2d3a")/GETPIVOTDATA("Total-New",'Distrib pivot table'!$C$2,"state","MS"),"*"))</f>
        <v>0</v>
      </c>
      <c r="N53" s="418">
        <f>IF((GETPIVOTDATA("Total-New",'Distrib pivot table'!$C$2,"state","NC","group","2d3a")/GETPIVOTDATA("Total-New",'Distrib pivot table'!$C$2,"state","NC"))=0,,IF(GETPIVOTDATA("Total-New",'Distrib pivot table'!$C$2,"state","NC","group","2d3a")/GETPIVOTDATA("Total-New",'Distrib pivot table'!$C$2,"state","NC")&gt;0.0005,GETPIVOTDATA("Total-New",'Distrib pivot table'!$C$2,"state","NC","group","2d3a")/GETPIVOTDATA("Total-New",'Distrib pivot table'!$C$2,"state","NC"),"*"))</f>
        <v>1.5440369941585185E-2</v>
      </c>
      <c r="O53" s="418">
        <f>IF((GETPIVOTDATA("Total-New",'Distrib pivot table'!$C$2,"state","OK","group","2d3a")/GETPIVOTDATA("Total-New",'Distrib pivot table'!$C$2,"state","OK"))=0,,IF(GETPIVOTDATA("Total-New",'Distrib pivot table'!$C$2,"state","OK","group","2d3a")/GETPIVOTDATA("Total-New",'Distrib pivot table'!$C$2,"state","OK")&gt;0.0005,GETPIVOTDATA("Total-New",'Distrib pivot table'!$C$2,"state","OK","group","2d3a")/GETPIVOTDATA("Total-New",'Distrib pivot table'!$C$2,"state","OK"),"*"))</f>
        <v>0</v>
      </c>
      <c r="P53" s="418">
        <f>IF((GETPIVOTDATA("Total-New",'Distrib pivot table'!$C$2,"state","SC","group","2d3a")/GETPIVOTDATA("Total-New",'Distrib pivot table'!$C$2,"state","SC"))=0,,IF(GETPIVOTDATA("Total-New",'Distrib pivot table'!$C$2,"state","SC","group","2d3a")/GETPIVOTDATA("Total-New",'Distrib pivot table'!$C$2,"state","SC")&gt;0.0005,GETPIVOTDATA("Total-New",'Distrib pivot table'!$C$2,"state","SC","group","2d3a")/GETPIVOTDATA("Total-New",'Distrib pivot table'!$C$2,"state","SC"),"*"))</f>
        <v>1.1438895581816976E-2</v>
      </c>
      <c r="Q53" s="418">
        <f>IF((GETPIVOTDATA("Total-New",'Distrib pivot table'!$C$2,"state","TN","group","2d3a")/GETPIVOTDATA("Total-New",'Distrib pivot table'!$C$2,"state","TN"))=0,,IF(GETPIVOTDATA("Total-New",'Distrib pivot table'!$C$2,"state","TN","group","2d3a")/GETPIVOTDATA("Total-New",'Distrib pivot table'!$C$2,"state","TN")&gt;0.0005,GETPIVOTDATA("Total-New",'Distrib pivot table'!$C$2,"state","TN","group","2d3a")/GETPIVOTDATA("Total-New",'Distrib pivot table'!$C$2,"state","TN"),"*"))</f>
        <v>0</v>
      </c>
      <c r="R53" s="418">
        <f>IF((GETPIVOTDATA("Total-New",'Distrib pivot table'!$C$2,"state","TX","group","2d3a")/GETPIVOTDATA("Total-New",'Distrib pivot table'!$C$2,"state","TX"))=0,,IF(GETPIVOTDATA("Total-New",'Distrib pivot table'!$C$2,"state","TX","group","2d3a")/GETPIVOTDATA("Total-New",'Distrib pivot table'!$C$2,"state","TX")&gt;0.0005,GETPIVOTDATA("Total-New",'Distrib pivot table'!$C$2,"state","TX","group","2d3a")/GETPIVOTDATA("Total-New",'Distrib pivot table'!$C$2,"state","TX"),"*"))</f>
        <v>0</v>
      </c>
      <c r="S53" s="418">
        <f>IF((GETPIVOTDATA("Total-New",'Distrib pivot table'!$C$2,"state","VA","group","2d3a")/GETPIVOTDATA("Total-New",'Distrib pivot table'!$C$2,"state","VA"))=0,,IF(GETPIVOTDATA("Total-New",'Distrib pivot table'!$C$2,"state","VA","group","2d3a")/GETPIVOTDATA("Total-New",'Distrib pivot table'!$C$2,"state","VA")&gt;0.0005,GETPIVOTDATA("Total-New",'Distrib pivot table'!$C$2,"state","VA","group","2d3a")/GETPIVOTDATA("Total-New",'Distrib pivot table'!$C$2,"state","VA"),"*"))</f>
        <v>0</v>
      </c>
      <c r="T53" s="418">
        <f>IF((GETPIVOTDATA("Total-New",'Distrib pivot table'!$C$2,"state","WV","group","2d3a")/GETPIVOTDATA("Total-New",'Distrib pivot table'!$C$2,"state","WV"))=0,,IF(GETPIVOTDATA("Total-New",'Distrib pivot table'!$C$2,"state","WV","group","2d3a")/GETPIVOTDATA("Total-New",'Distrib pivot table'!$C$2,"state","WV")&gt;0.0005,GETPIVOTDATA("Total-New",'Distrib pivot table'!$C$2,"state","WV","group","2d3a")/GETPIVOTDATA("Total-New",'Distrib pivot table'!$C$2,"state","WV"),"*"))</f>
        <v>0</v>
      </c>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row>
    <row r="54" spans="1:50" ht="12.6" customHeight="1" x14ac:dyDescent="0.2">
      <c r="A54" s="1541"/>
      <c r="B54" s="368" t="s">
        <v>249</v>
      </c>
      <c r="C54" s="374" t="s">
        <v>255</v>
      </c>
      <c r="D54" s="425">
        <f>IF(GETPIVOTDATA("Total-New",'Distrib pivot table'!$C$2,"group","2d3b")/GETPIVOTDATA("Total-New",'Distrib pivot table'!$C$2)=0,,IF(GETPIVOTDATA("Total-New",'Distrib pivot table'!$C$2,"group","2d3b")/GETPIVOTDATA("Total-New",'Distrib pivot table'!$C$2)&gt;0.0005,GETPIVOTDATA("Total-New",'Distrib pivot table'!$C$2,"group","2d3b")/GETPIVOTDATA("Total-New",'Distrib pivot table'!$C$2),"*"))</f>
        <v>2.6926382624310971E-3</v>
      </c>
      <c r="E54" s="425">
        <f>IF((GETPIVOTDATA("Total-New",'Distrib pivot table'!$C$2,"state","AL","group","2d3b")/GETPIVOTDATA("Total-New",'Distrib pivot table'!$C$2,"state","AL"))=0,,IF(GETPIVOTDATA("Total-New",'Distrib pivot table'!$C$2,"state","AL","group","2d3b")/GETPIVOTDATA("Total-New",'Distrib pivot table'!$C$2,"state","AL")&gt;0.0005,GETPIVOTDATA("Total-New",'Distrib pivot table'!$C$2,"state","AL","group","2d3b")/GETPIVOTDATA("Total-New",'Distrib pivot table'!$C$2,"state","AL"),"*"))</f>
        <v>5.8608222022510739E-4</v>
      </c>
      <c r="F54" s="425">
        <f>IF((GETPIVOTDATA("Total-New",'Distrib pivot table'!$C$2,"state","AR","group","2d3b")/GETPIVOTDATA("Total-New",'Distrib pivot table'!$C$2,"state","AR"))=0,,IF(GETPIVOTDATA("Total-New",'Distrib pivot table'!$C$2,"state","AR","group","2d3b")/GETPIVOTDATA("Total-New",'Distrib pivot table'!$C$2,"state","AR")&gt;0.0005,GETPIVOTDATA("Total-New",'Distrib pivot table'!$C$2,"state","AR","group","2d3b")/GETPIVOTDATA("Total-New",'Distrib pivot table'!$C$2,"state","AR"),"*"))</f>
        <v>0</v>
      </c>
      <c r="G54" s="425">
        <f>IF((GETPIVOTDATA("Total-New",'Distrib pivot table'!$C$2,"state","DE","group","2d3b")/GETPIVOTDATA("Total-New",'Distrib pivot table'!$C$2,"state","DE"))=0,,IF(GETPIVOTDATA("Total-New",'Distrib pivot table'!$C$2,"state","DE","group","2d3b")/GETPIVOTDATA("Total-New",'Distrib pivot table'!$C$2,"state","DE")&gt;0.0005,GETPIVOTDATA("Total-New",'Distrib pivot table'!$C$2,"state","DE","group","2d3b")/GETPIVOTDATA("Total-New",'Distrib pivot table'!$C$2,"state","DE"),"*"))</f>
        <v>0</v>
      </c>
      <c r="H54" s="425">
        <f>IF((GETPIVOTDATA("Total-New",'Distrib pivot table'!$C$2,"state","FL","group","2d3b")/GETPIVOTDATA("Total-New",'Distrib pivot table'!$C$2,"state","FL"))=0,,IF(GETPIVOTDATA("Total-New",'Distrib pivot table'!$C$2,"state","FL","group","2d3b")/GETPIVOTDATA("Total-New",'Distrib pivot table'!$C$2,"state","FL")&gt;0.0005,GETPIVOTDATA("Total-New",'Distrib pivot table'!$C$2,"state","FL","group","2d3b")/GETPIVOTDATA("Total-New",'Distrib pivot table'!$C$2,"state","FL"),"*"))</f>
        <v>1.4062617219976165E-2</v>
      </c>
      <c r="I54" s="425" t="str">
        <f>IF((GETPIVOTDATA("Total-New",'Distrib pivot table'!$C$2,"state","GA","group","2d3b")/GETPIVOTDATA("Total-New",'Distrib pivot table'!$C$2,"state","GA"))=0,,IF(GETPIVOTDATA("Total-New",'Distrib pivot table'!$C$2,"state","GA","group","2d3b")/GETPIVOTDATA("Total-New",'Distrib pivot table'!$C$2,"state","GA")&gt;0.0005,GETPIVOTDATA("Total-New",'Distrib pivot table'!$C$2,"state","GA","group","2d3b")/GETPIVOTDATA("Total-New",'Distrib pivot table'!$C$2,"state","GA"),"*"))</f>
        <v>*</v>
      </c>
      <c r="J54" s="425" t="str">
        <f>IF((GETPIVOTDATA("Total-New",'Distrib pivot table'!$C$2,"state","KY","group","2d3b")/GETPIVOTDATA("Total-New",'Distrib pivot table'!$C$2,"state","KY"))=0,,IF(GETPIVOTDATA("Total-New",'Distrib pivot table'!$C$2,"state","KY","group","2d3b")/GETPIVOTDATA("Total-New",'Distrib pivot table'!$C$2,"state","KY")&gt;0.0005,GETPIVOTDATA("Total-New",'Distrib pivot table'!$C$2,"state","KY","group","2d3b")/GETPIVOTDATA("Total-New",'Distrib pivot table'!$C$2,"state","KY"),"*"))</f>
        <v>*</v>
      </c>
      <c r="K54" s="425">
        <f>IF((GETPIVOTDATA("Total-New",'Distrib pivot table'!$C$2,"state","LA","group","2d3b")/GETPIVOTDATA("Total-New",'Distrib pivot table'!$C$2,"state","LA"))=0,,IF(GETPIVOTDATA("Total-New",'Distrib pivot table'!$C$2,"state","LA","group","2d3b")/GETPIVOTDATA("Total-New",'Distrib pivot table'!$C$2,"state","LA")&gt;0.0005,GETPIVOTDATA("Total-New",'Distrib pivot table'!$C$2,"state","LA","group","2d3b")/GETPIVOTDATA("Total-New",'Distrib pivot table'!$C$2,"state","LA"),"*"))</f>
        <v>0</v>
      </c>
      <c r="L54" s="425">
        <f>IF((GETPIVOTDATA("Total-New",'Distrib pivot table'!$C$2,"state","MD","group","2d3b")/GETPIVOTDATA("Total-New",'Distrib pivot table'!$C$2,"state","MD"))=0,,IF(GETPIVOTDATA("Total-New",'Distrib pivot table'!$C$2,"state","MD","group","2d3b")/GETPIVOTDATA("Total-New",'Distrib pivot table'!$C$2,"state","MD")&gt;0.0005,GETPIVOTDATA("Total-New",'Distrib pivot table'!$C$2,"state","MD","group","2d3b")/GETPIVOTDATA("Total-New",'Distrib pivot table'!$C$2,"state","MD"),"*"))</f>
        <v>0</v>
      </c>
      <c r="M54" s="425">
        <f>IF((GETPIVOTDATA("Total-New",'Distrib pivot table'!$C$2,"state","MS","group","2d3b")/GETPIVOTDATA("Total-New",'Distrib pivot table'!$C$2,"state","MS"))=0,,IF(GETPIVOTDATA("Total-New",'Distrib pivot table'!$C$2,"state","MS","group","2d3b")/GETPIVOTDATA("Total-New",'Distrib pivot table'!$C$2,"state","MS")&gt;0.0005,GETPIVOTDATA("Total-New",'Distrib pivot table'!$C$2,"state","MS","group","2d3b")/GETPIVOTDATA("Total-New",'Distrib pivot table'!$C$2,"state","MS"),"*"))</f>
        <v>0</v>
      </c>
      <c r="N54" s="425">
        <f>IF((GETPIVOTDATA("Total-New",'Distrib pivot table'!$C$2,"state","NC","group","2d3b")/GETPIVOTDATA("Total-New",'Distrib pivot table'!$C$2,"state","NC"))=0,,IF(GETPIVOTDATA("Total-New",'Distrib pivot table'!$C$2,"state","NC","group","2d3b")/GETPIVOTDATA("Total-New",'Distrib pivot table'!$C$2,"state","NC")&gt;0.0005,GETPIVOTDATA("Total-New",'Distrib pivot table'!$C$2,"state","NC","group","2d3b")/GETPIVOTDATA("Total-New",'Distrib pivot table'!$C$2,"state","NC"),"*"))</f>
        <v>0</v>
      </c>
      <c r="O54" s="425">
        <f>IF((GETPIVOTDATA("Total-New",'Distrib pivot table'!$C$2,"state","OK","group","2d3b")/GETPIVOTDATA("Total-New",'Distrib pivot table'!$C$2,"state","OK"))=0,,IF(GETPIVOTDATA("Total-New",'Distrib pivot table'!$C$2,"state","OK","group","2d3b")/GETPIVOTDATA("Total-New",'Distrib pivot table'!$C$2,"state","OK")&gt;0.0005,GETPIVOTDATA("Total-New",'Distrib pivot table'!$C$2,"state","OK","group","2d3b")/GETPIVOTDATA("Total-New",'Distrib pivot table'!$C$2,"state","OK"),"*"))</f>
        <v>0</v>
      </c>
      <c r="P54" s="425">
        <f>IF((GETPIVOTDATA("Total-New",'Distrib pivot table'!$C$2,"state","SC","group","2d3b")/GETPIVOTDATA("Total-New",'Distrib pivot table'!$C$2,"state","SC"))=0,,IF(GETPIVOTDATA("Total-New",'Distrib pivot table'!$C$2,"state","SC","group","2d3b")/GETPIVOTDATA("Total-New",'Distrib pivot table'!$C$2,"state","SC")&gt;0.0005,GETPIVOTDATA("Total-New",'Distrib pivot table'!$C$2,"state","SC","group","2d3b")/GETPIVOTDATA("Total-New",'Distrib pivot table'!$C$2,"state","SC"),"*"))</f>
        <v>0</v>
      </c>
      <c r="Q54" s="425">
        <f>IF((GETPIVOTDATA("Total-New",'Distrib pivot table'!$C$2,"state","TN","group","2d3b")/GETPIVOTDATA("Total-New",'Distrib pivot table'!$C$2,"state","TN"))=0,,IF(GETPIVOTDATA("Total-New",'Distrib pivot table'!$C$2,"state","TN","group","2d3b")/GETPIVOTDATA("Total-New",'Distrib pivot table'!$C$2,"state","TN")&gt;0.0005,GETPIVOTDATA("Total-New",'Distrib pivot table'!$C$2,"state","TN","group","2d3b")/GETPIVOTDATA("Total-New",'Distrib pivot table'!$C$2,"state","TN"),"*"))</f>
        <v>0</v>
      </c>
      <c r="R54" s="425">
        <f>IF((GETPIVOTDATA("Total-New",'Distrib pivot table'!$C$2,"state","TX","group","2d3b")/GETPIVOTDATA("Total-New",'Distrib pivot table'!$C$2,"state","TX"))=0,,IF(GETPIVOTDATA("Total-New",'Distrib pivot table'!$C$2,"state","TX","group","2d3b")/GETPIVOTDATA("Total-New",'Distrib pivot table'!$C$2,"state","TX")&gt;0.0005,GETPIVOTDATA("Total-New",'Distrib pivot table'!$C$2,"state","TX","group","2d3b")/GETPIVOTDATA("Total-New",'Distrib pivot table'!$C$2,"state","TX"),"*"))</f>
        <v>0</v>
      </c>
      <c r="S54" s="425">
        <f>IF((GETPIVOTDATA("Total-New",'Distrib pivot table'!$C$2,"state","VA","group","2d3b")/GETPIVOTDATA("Total-New",'Distrib pivot table'!$C$2,"state","VA"))=0,,IF(GETPIVOTDATA("Total-New",'Distrib pivot table'!$C$2,"state","VA","group","2d3b")/GETPIVOTDATA("Total-New",'Distrib pivot table'!$C$2,"state","VA")&gt;0.0005,GETPIVOTDATA("Total-New",'Distrib pivot table'!$C$2,"state","VA","group","2d3b")/GETPIVOTDATA("Total-New",'Distrib pivot table'!$C$2,"state","VA"),"*"))</f>
        <v>1.4162817438921532E-2</v>
      </c>
      <c r="T54" s="425">
        <f>IF((GETPIVOTDATA("Total-New",'Distrib pivot table'!$C$2,"state","WV","group","2d3b")/GETPIVOTDATA("Total-New",'Distrib pivot table'!$C$2,"state","WV"))=0,,IF(GETPIVOTDATA("Total-New",'Distrib pivot table'!$C$2,"state","WV","group","2d3b")/GETPIVOTDATA("Total-New",'Distrib pivot table'!$C$2,"state","WV")&gt;0.0005,GETPIVOTDATA("Total-New",'Distrib pivot table'!$C$2,"state","WV","group","2d3b")/GETPIVOTDATA("Total-New",'Distrib pivot table'!$C$2,"state","WV"),"*"))</f>
        <v>0</v>
      </c>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row>
    <row r="55" spans="1:50" ht="36" customHeight="1" x14ac:dyDescent="0.2">
      <c r="A55" s="1537"/>
      <c r="B55" s="128" t="s">
        <v>192</v>
      </c>
      <c r="C55" s="374" t="s">
        <v>280</v>
      </c>
      <c r="D55" s="426">
        <f>IF(GETPIVOTDATA("Total-New",'Distrib pivot table'!$C$2,"group","1d")/GETPIVOTDATA("Total-New",'Distrib pivot table'!$C$2)=0,,IF(GETPIVOTDATA("Total-New",'Distrib pivot table'!$C$2,"group","1d")/GETPIVOTDATA("Total-New",'Distrib pivot table'!$C$2)&gt;0.0005,GETPIVOTDATA("Total-New",'Distrib pivot table'!$C$2,"group","1d")/GETPIVOTDATA("Total-New",'Distrib pivot table'!$C$2),"*"))</f>
        <v>6.6311209040898197E-2</v>
      </c>
      <c r="E55" s="426">
        <f>IF((GETPIVOTDATA("Total-New",'Distrib pivot table'!$C$2,"state","AL","group","1d")/GETPIVOTDATA("Total-New",'Distrib pivot table'!$C$2,"state","AL"))=0,,IF(GETPIVOTDATA("Total-New",'Distrib pivot table'!$C$2,"state","AL","group","1d")/GETPIVOTDATA("Total-New",'Distrib pivot table'!$C$2,"state","AL")&gt;0.0005,GETPIVOTDATA("Total-New",'Distrib pivot table'!$C$2,"state","AL","group","1d")/GETPIVOTDATA("Total-New",'Distrib pivot table'!$C$2,"state","AL"),"*"))</f>
        <v>0.15101443963924227</v>
      </c>
      <c r="F55" s="426">
        <f>IF((GETPIVOTDATA("Total-New",'Distrib pivot table'!$C$2,"state","AR","group","1d")/GETPIVOTDATA("Total-New",'Distrib pivot table'!$C$2,"state","AR"))=0,,IF(GETPIVOTDATA("Total-New",'Distrib pivot table'!$C$2,"state","AR","group","1d")/GETPIVOTDATA("Total-New",'Distrib pivot table'!$C$2,"state","AR")&gt;0.0005,GETPIVOTDATA("Total-New",'Distrib pivot table'!$C$2,"state","AR","group","1d")/GETPIVOTDATA("Total-New",'Distrib pivot table'!$C$2,"state","AR"),"*"))</f>
        <v>0</v>
      </c>
      <c r="G55" s="426">
        <f>IF((GETPIVOTDATA("Total-New",'Distrib pivot table'!$C$2,"state","DE","group","1d")/GETPIVOTDATA("Total-New",'Distrib pivot table'!$C$2,"state","DE"))=0,,IF(GETPIVOTDATA("Total-New",'Distrib pivot table'!$C$2,"state","DE","group","1d")/GETPIVOTDATA("Total-New",'Distrib pivot table'!$C$2,"state","DE")&gt;0.0005,GETPIVOTDATA("Total-New",'Distrib pivot table'!$C$2,"state","DE","group","1d")/GETPIVOTDATA("Total-New",'Distrib pivot table'!$C$2,"state","DE"),"*"))</f>
        <v>0</v>
      </c>
      <c r="H55" s="426">
        <f>IF((GETPIVOTDATA("Total-New",'Distrib pivot table'!$C$2,"state","FL","group","1d")/GETPIVOTDATA("Total-New",'Distrib pivot table'!$C$2,"state","FL"))=0,,IF(GETPIVOTDATA("Total-New",'Distrib pivot table'!$C$2,"state","FL","group","1d")/GETPIVOTDATA("Total-New",'Distrib pivot table'!$C$2,"state","FL")&gt;0.0005,GETPIVOTDATA("Total-New",'Distrib pivot table'!$C$2,"state","FL","group","1d")/GETPIVOTDATA("Total-New",'Distrib pivot table'!$C$2,"state","FL"),"*"))</f>
        <v>6.3282809505514265E-2</v>
      </c>
      <c r="I55" s="426">
        <f>IF((GETPIVOTDATA("Total-New",'Distrib pivot table'!$C$2,"state","GA","group","1d")/GETPIVOTDATA("Total-New",'Distrib pivot table'!$C$2,"state","GA"))=0,,IF(GETPIVOTDATA("Total-New",'Distrib pivot table'!$C$2,"state","GA","group","1d")/GETPIVOTDATA("Total-New",'Distrib pivot table'!$C$2,"state","GA")&gt;0.0005,GETPIVOTDATA("Total-New",'Distrib pivot table'!$C$2,"state","GA","group","1d")/GETPIVOTDATA("Total-New",'Distrib pivot table'!$C$2,"state","GA"),"*"))</f>
        <v>4.9911845703644785E-2</v>
      </c>
      <c r="J55" s="426">
        <f>IF((GETPIVOTDATA("Total-New",'Distrib pivot table'!$C$2,"state","KY","group","1d")/GETPIVOTDATA("Total-New",'Distrib pivot table'!$C$2,"state","KY"))=0,,IF(GETPIVOTDATA("Total-New",'Distrib pivot table'!$C$2,"state","KY","group","1d")/GETPIVOTDATA("Total-New",'Distrib pivot table'!$C$2,"state","KY")&gt;0.0005,GETPIVOTDATA("Total-New",'Distrib pivot table'!$C$2,"state","KY","group","1d")/GETPIVOTDATA("Total-New",'Distrib pivot table'!$C$2,"state","KY"),"*"))</f>
        <v>5.6412365183127755E-2</v>
      </c>
      <c r="K55" s="426">
        <f>IF((GETPIVOTDATA("Total-New",'Distrib pivot table'!$C$2,"state","LA","group","1d")/GETPIVOTDATA("Total-New",'Distrib pivot table'!$C$2,"state","LA"))=0,,IF(GETPIVOTDATA("Total-New",'Distrib pivot table'!$C$2,"state","LA","group","1d")/GETPIVOTDATA("Total-New",'Distrib pivot table'!$C$2,"state","LA")&gt;0.0005,GETPIVOTDATA("Total-New",'Distrib pivot table'!$C$2,"state","LA","group","1d")/GETPIVOTDATA("Total-New",'Distrib pivot table'!$C$2,"state","LA"),"*"))</f>
        <v>1.4772673393499393E-2</v>
      </c>
      <c r="L55" s="426">
        <f>IF((GETPIVOTDATA("Total-New",'Distrib pivot table'!$C$2,"state","MD","group","1d")/GETPIVOTDATA("Total-New",'Distrib pivot table'!$C$2,"state","MD"))=0,,IF(GETPIVOTDATA("Total-New",'Distrib pivot table'!$C$2,"state","MD","group","1d")/GETPIVOTDATA("Total-New",'Distrib pivot table'!$C$2,"state","MD")&gt;0.0005,GETPIVOTDATA("Total-New",'Distrib pivot table'!$C$2,"state","MD","group","1d")/GETPIVOTDATA("Total-New",'Distrib pivot table'!$C$2,"state","MD"),"*"))</f>
        <v>0</v>
      </c>
      <c r="M55" s="426">
        <f>IF((GETPIVOTDATA("Total-New",'Distrib pivot table'!$C$2,"state","MS","group","1d")/GETPIVOTDATA("Total-New",'Distrib pivot table'!$C$2,"state","MS"))=0,,IF(GETPIVOTDATA("Total-New",'Distrib pivot table'!$C$2,"state","MS","group","1d")/GETPIVOTDATA("Total-New",'Distrib pivot table'!$C$2,"state","MS")&gt;0.0005,GETPIVOTDATA("Total-New",'Distrib pivot table'!$C$2,"state","MS","group","1d")/GETPIVOTDATA("Total-New",'Distrib pivot table'!$C$2,"state","MS"),"*"))</f>
        <v>1.4559359951315248E-2</v>
      </c>
      <c r="N55" s="426">
        <f>IF((GETPIVOTDATA("Total-New",'Distrib pivot table'!$C$2,"state","NC","group","1d")/GETPIVOTDATA("Total-New",'Distrib pivot table'!$C$2,"state","NC"))=0,,IF(GETPIVOTDATA("Total-New",'Distrib pivot table'!$C$2,"state","NC","group","1d")/GETPIVOTDATA("Total-New",'Distrib pivot table'!$C$2,"state","NC")&gt;0.0005,GETPIVOTDATA("Total-New",'Distrib pivot table'!$C$2,"state","NC","group","1d")/GETPIVOTDATA("Total-New",'Distrib pivot table'!$C$2,"state","NC"),"*"))</f>
        <v>7.0589336685165552E-2</v>
      </c>
      <c r="O55" s="426">
        <f>IF((GETPIVOTDATA("Total-New",'Distrib pivot table'!$C$2,"state","OK","group","1d")/GETPIVOTDATA("Total-New",'Distrib pivot table'!$C$2,"state","OK"))=0,,IF(GETPIVOTDATA("Total-New",'Distrib pivot table'!$C$2,"state","OK","group","1d")/GETPIVOTDATA("Total-New",'Distrib pivot table'!$C$2,"state","OK")&gt;0.0005,GETPIVOTDATA("Total-New",'Distrib pivot table'!$C$2,"state","OK","group","1d")/GETPIVOTDATA("Total-New",'Distrib pivot table'!$C$2,"state","OK"),"*"))</f>
        <v>5.8755170288839066E-2</v>
      </c>
      <c r="P55" s="426">
        <f>IF((GETPIVOTDATA("Total-New",'Distrib pivot table'!$C$2,"state","SC","group","1d")/GETPIVOTDATA("Total-New",'Distrib pivot table'!$C$2,"state","SC"))=0,,IF(GETPIVOTDATA("Total-New",'Distrib pivot table'!$C$2,"state","SC","group","1d")/GETPIVOTDATA("Total-New",'Distrib pivot table'!$C$2,"state","SC")&gt;0.0005,GETPIVOTDATA("Total-New",'Distrib pivot table'!$C$2,"state","SC","group","1d")/GETPIVOTDATA("Total-New",'Distrib pivot table'!$C$2,"state","SC"),"*"))</f>
        <v>4.942900488482096E-3</v>
      </c>
      <c r="Q55" s="426">
        <f>IF((GETPIVOTDATA("Total-New",'Distrib pivot table'!$C$2,"state","TN","group","1d")/GETPIVOTDATA("Total-New",'Distrib pivot table'!$C$2,"state","TN"))=0,,IF(GETPIVOTDATA("Total-New",'Distrib pivot table'!$C$2,"state","TN","group","1d")/GETPIVOTDATA("Total-New",'Distrib pivot table'!$C$2,"state","TN")&gt;0.0005,GETPIVOTDATA("Total-New",'Distrib pivot table'!$C$2,"state","TN","group","1d")/GETPIVOTDATA("Total-New",'Distrib pivot table'!$C$2,"state","TN"),"*"))</f>
        <v>1.4968006932657084E-2</v>
      </c>
      <c r="R55" s="426">
        <f>IF((GETPIVOTDATA("Total-New",'Distrib pivot table'!$C$2,"state","TX","group","1d")/GETPIVOTDATA("Total-New",'Distrib pivot table'!$C$2,"state","TX"))=0,,IF(GETPIVOTDATA("Total-New",'Distrib pivot table'!$C$2,"state","TX","group","1d")/GETPIVOTDATA("Total-New",'Distrib pivot table'!$C$2,"state","TX")&gt;0.0005,GETPIVOTDATA("Total-New",'Distrib pivot table'!$C$2,"state","TX","group","1d")/GETPIVOTDATA("Total-New",'Distrib pivot table'!$C$2,"state","TX"),"*"))</f>
        <v>0.135582193980123</v>
      </c>
      <c r="S55" s="426">
        <f>IF((GETPIVOTDATA("Total-New",'Distrib pivot table'!$C$2,"state","VA","group","1d")/GETPIVOTDATA("Total-New",'Distrib pivot table'!$C$2,"state","VA"))=0,,IF(GETPIVOTDATA("Total-New",'Distrib pivot table'!$C$2,"state","VA","group","1d")/GETPIVOTDATA("Total-New",'Distrib pivot table'!$C$2,"state","VA")&gt;0.0005,GETPIVOTDATA("Total-New",'Distrib pivot table'!$C$2,"state","VA","group","1d")/GETPIVOTDATA("Total-New",'Distrib pivot table'!$C$2,"state","VA"),"*"))</f>
        <v>3.7161480936732424E-2</v>
      </c>
      <c r="T55" s="426">
        <f>IF((GETPIVOTDATA("Total-New",'Distrib pivot table'!$C$2,"state","WV","group","1d")/GETPIVOTDATA("Total-New",'Distrib pivot table'!$C$2,"state","WV"))=0,,IF(GETPIVOTDATA("Total-New",'Distrib pivot table'!$C$2,"state","WV","group","1d")/GETPIVOTDATA("Total-New",'Distrib pivot table'!$C$2,"state","WV")&gt;0.0005,GETPIVOTDATA("Total-New",'Distrib pivot table'!$C$2,"state","WV","group","1d")/GETPIVOTDATA("Total-New",'Distrib pivot table'!$C$2,"state","WV"),"*"))</f>
        <v>0.12611438643008271</v>
      </c>
      <c r="U55" s="25"/>
      <c r="V55" s="25"/>
      <c r="W55" s="25"/>
      <c r="X55" s="25"/>
      <c r="Y55" s="25"/>
      <c r="Z55" s="25"/>
      <c r="AA55" s="25"/>
      <c r="AB55" s="25"/>
      <c r="AC55" s="25"/>
      <c r="AD55" s="25"/>
      <c r="AE55" s="25"/>
      <c r="AF55" s="25"/>
      <c r="AG55" s="25"/>
      <c r="AH55" s="25"/>
      <c r="AI55" s="25"/>
      <c r="AJ55" s="25"/>
      <c r="AK55" s="25"/>
      <c r="AL55" s="25"/>
      <c r="AM55" s="25"/>
      <c r="AN55" s="25"/>
      <c r="AO55" s="25"/>
      <c r="AP55" s="25"/>
      <c r="AQ55" s="25"/>
      <c r="AR55" s="25"/>
      <c r="AS55" s="25"/>
      <c r="AT55" s="25"/>
      <c r="AU55" s="25"/>
      <c r="AV55" s="25"/>
      <c r="AW55" s="25"/>
      <c r="AX55" s="25"/>
    </row>
    <row r="56" spans="1:50" ht="36" customHeight="1" x14ac:dyDescent="0.2">
      <c r="A56" s="1537"/>
      <c r="B56" s="128" t="s">
        <v>304</v>
      </c>
      <c r="C56" s="374" t="s">
        <v>301</v>
      </c>
      <c r="D56" s="424">
        <f>IF(GETPIVOTDATA("Total-New",'Distrib pivot table'!$C$2,"group","1e")/GETPIVOTDATA("Total-New",'Distrib pivot table'!$C$2)=0,,IF(GETPIVOTDATA("Total-New",'Distrib pivot table'!$C$2,"group","1e")/GETPIVOTDATA("Total-New",'Distrib pivot table'!$C$2)&gt;0.0005,GETPIVOTDATA("Total-New",'Distrib pivot table'!$C$2,"group","1e")/GETPIVOTDATA("Total-New",'Distrib pivot table'!$C$2),"*"))</f>
        <v>2.0163278893714456E-2</v>
      </c>
      <c r="E56" s="424">
        <f>IF((GETPIVOTDATA("Total-New",'Distrib pivot table'!$C$2,"state","AL","group","1e")/GETPIVOTDATA("Total-New",'Distrib pivot table'!$C$2,"state","AL"))=0,,IF(GETPIVOTDATA("Total-New",'Distrib pivot table'!$C$2,"state","AL","group","1e")/GETPIVOTDATA("Total-New",'Distrib pivot table'!$C$2,"state","AL")&gt;0.0005,GETPIVOTDATA("Total-New",'Distrib pivot table'!$C$2,"state","AL","group","1e")/GETPIVOTDATA("Total-New",'Distrib pivot table'!$C$2,"state","AL"),"*"))</f>
        <v>0</v>
      </c>
      <c r="F56" s="424">
        <f>IF((GETPIVOTDATA("Total-New",'Distrib pivot table'!$C$2,"state","AR","group","1e")/GETPIVOTDATA("Total-New",'Distrib pivot table'!$C$2,"state","AR"))=0,,IF(GETPIVOTDATA("Total-New",'Distrib pivot table'!$C$2,"state","AR","group","1e")/GETPIVOTDATA("Total-New",'Distrib pivot table'!$C$2,"state","AR")&gt;0.0005,GETPIVOTDATA("Total-New",'Distrib pivot table'!$C$2,"state","AR","group","1e")/GETPIVOTDATA("Total-New",'Distrib pivot table'!$C$2,"state","AR"),"*"))</f>
        <v>7.9814391974531149E-2</v>
      </c>
      <c r="G56" s="424">
        <f>IF((GETPIVOTDATA("Total-New",'Distrib pivot table'!$C$2,"state","DE","group","1e")/GETPIVOTDATA("Total-New",'Distrib pivot table'!$C$2,"state","DE"))=0,,IF(GETPIVOTDATA("Total-New",'Distrib pivot table'!$C$2,"state","DE","group","1e")/GETPIVOTDATA("Total-New",'Distrib pivot table'!$C$2,"state","DE")&gt;0.0005,GETPIVOTDATA("Total-New",'Distrib pivot table'!$C$2,"state","DE","group","1e")/GETPIVOTDATA("Total-New",'Distrib pivot table'!$C$2,"state","DE"),"*"))</f>
        <v>0</v>
      </c>
      <c r="H56" s="424">
        <f>IF((GETPIVOTDATA("Total-New",'Distrib pivot table'!$C$2,"state","FL","group","1e")/GETPIVOTDATA("Total-New",'Distrib pivot table'!$C$2,"state","FL"))=0,,IF(GETPIVOTDATA("Total-New",'Distrib pivot table'!$C$2,"state","FL","group","1e")/GETPIVOTDATA("Total-New",'Distrib pivot table'!$C$2,"state","FL")&gt;0.0005,GETPIVOTDATA("Total-New",'Distrib pivot table'!$C$2,"state","FL","group","1e")/GETPIVOTDATA("Total-New",'Distrib pivot table'!$C$2,"state","FL"),"*"))</f>
        <v>0</v>
      </c>
      <c r="I56" s="424">
        <f>IF((GETPIVOTDATA("Total-New",'Distrib pivot table'!$C$2,"state","GA","group","1e")/GETPIVOTDATA("Total-New",'Distrib pivot table'!$C$2,"state","GA"))=0,,IF(GETPIVOTDATA("Total-New",'Distrib pivot table'!$C$2,"state","GA","group","1e")/GETPIVOTDATA("Total-New",'Distrib pivot table'!$C$2,"state","GA")&gt;0.0005,GETPIVOTDATA("Total-New",'Distrib pivot table'!$C$2,"state","GA","group","1e")/GETPIVOTDATA("Total-New",'Distrib pivot table'!$C$2,"state","GA"),"*"))</f>
        <v>0</v>
      </c>
      <c r="J56" s="424">
        <f>IF((GETPIVOTDATA("Total-New",'Distrib pivot table'!$C$2,"state","KY","group","1e")/GETPIVOTDATA("Total-New",'Distrib pivot table'!$C$2,"state","KY"))=0,,IF(GETPIVOTDATA("Total-New",'Distrib pivot table'!$C$2,"state","KY","group","1e")/GETPIVOTDATA("Total-New",'Distrib pivot table'!$C$2,"state","KY")&gt;0.0005,GETPIVOTDATA("Total-New",'Distrib pivot table'!$C$2,"state","KY","group","1e")/GETPIVOTDATA("Total-New",'Distrib pivot table'!$C$2,"state","KY"),"*"))</f>
        <v>0</v>
      </c>
      <c r="K56" s="424">
        <f>IF((GETPIVOTDATA("Total-New",'Distrib pivot table'!$C$2,"state","LA","group","1e")/GETPIVOTDATA("Total-New",'Distrib pivot table'!$C$2,"state","LA"))=0,,IF(GETPIVOTDATA("Total-New",'Distrib pivot table'!$C$2,"state","LA","group","1e")/GETPIVOTDATA("Total-New",'Distrib pivot table'!$C$2,"state","LA")&gt;0.0005,GETPIVOTDATA("Total-New",'Distrib pivot table'!$C$2,"state","LA","group","1e")/GETPIVOTDATA("Total-New",'Distrib pivot table'!$C$2,"state","LA"),"*"))</f>
        <v>8.7615825357495403E-2</v>
      </c>
      <c r="L56" s="424">
        <f>IF((GETPIVOTDATA("Total-New",'Distrib pivot table'!$C$2,"state","MD","group","1e")/GETPIVOTDATA("Total-New",'Distrib pivot table'!$C$2,"state","MD"))=0,,IF(GETPIVOTDATA("Total-New",'Distrib pivot table'!$C$2,"state","MD","group","1e")/GETPIVOTDATA("Total-New",'Distrib pivot table'!$C$2,"state","MD")&gt;0.0005,GETPIVOTDATA("Total-New",'Distrib pivot table'!$C$2,"state","MD","group","1e")/GETPIVOTDATA("Total-New",'Distrib pivot table'!$C$2,"state","MD"),"*"))</f>
        <v>7.8524385912569078E-2</v>
      </c>
      <c r="M56" s="424">
        <f>IF((GETPIVOTDATA("Total-New",'Distrib pivot table'!$C$2,"state","MS","group","1e")/GETPIVOTDATA("Total-New",'Distrib pivot table'!$C$2,"state","MS"))=0,,IF(GETPIVOTDATA("Total-New",'Distrib pivot table'!$C$2,"state","MS","group","1e")/GETPIVOTDATA("Total-New",'Distrib pivot table'!$C$2,"state","MS")&gt;0.0005,GETPIVOTDATA("Total-New",'Distrib pivot table'!$C$2,"state","MS","group","1e")/GETPIVOTDATA("Total-New",'Distrib pivot table'!$C$2,"state","MS"),"*"))</f>
        <v>0.11406994890602955</v>
      </c>
      <c r="N56" s="424">
        <f>IF((GETPIVOTDATA("Total-New",'Distrib pivot table'!$C$2,"state","NC","group","1e")/GETPIVOTDATA("Total-New",'Distrib pivot table'!$C$2,"state","NC"))=0,,IF(GETPIVOTDATA("Total-New",'Distrib pivot table'!$C$2,"state","NC","group","1e")/GETPIVOTDATA("Total-New",'Distrib pivot table'!$C$2,"state","NC")&gt;0.0005,GETPIVOTDATA("Total-New",'Distrib pivot table'!$C$2,"state","NC","group","1e")/GETPIVOTDATA("Total-New",'Distrib pivot table'!$C$2,"state","NC"),"*"))</f>
        <v>0</v>
      </c>
      <c r="O56" s="424">
        <f>IF((GETPIVOTDATA("Total-New",'Distrib pivot table'!$C$2,"state","OK","group","1e")/GETPIVOTDATA("Total-New",'Distrib pivot table'!$C$2,"state","OK"))=0,,IF(GETPIVOTDATA("Total-New",'Distrib pivot table'!$C$2,"state","OK","group","1e")/GETPIVOTDATA("Total-New",'Distrib pivot table'!$C$2,"state","OK")&gt;0.0005,GETPIVOTDATA("Total-New",'Distrib pivot table'!$C$2,"state","OK","group","1e")/GETPIVOTDATA("Total-New",'Distrib pivot table'!$C$2,"state","OK"),"*"))</f>
        <v>0</v>
      </c>
      <c r="P56" s="424">
        <f>IF((GETPIVOTDATA("Total-New",'Distrib pivot table'!$C$2,"state","SC","group","1e")/GETPIVOTDATA("Total-New",'Distrib pivot table'!$C$2,"state","SC"))=0,,IF(GETPIVOTDATA("Total-New",'Distrib pivot table'!$C$2,"state","SC","group","1e")/GETPIVOTDATA("Total-New",'Distrib pivot table'!$C$2,"state","SC")&gt;0.0005,GETPIVOTDATA("Total-New",'Distrib pivot table'!$C$2,"state","SC","group","1e")/GETPIVOTDATA("Total-New",'Distrib pivot table'!$C$2,"state","SC"),"*"))</f>
        <v>2.3621570747107981E-2</v>
      </c>
      <c r="Q56" s="424">
        <f>IF((GETPIVOTDATA("Total-New",'Distrib pivot table'!$C$2,"state","TN","group","1e")/GETPIVOTDATA("Total-New",'Distrib pivot table'!$C$2,"state","TN"))=0,,IF(GETPIVOTDATA("Total-New",'Distrib pivot table'!$C$2,"state","TN","group","1e")/GETPIVOTDATA("Total-New",'Distrib pivot table'!$C$2,"state","TN")&gt;0.0005,GETPIVOTDATA("Total-New",'Distrib pivot table'!$C$2,"state","TN","group","1e")/GETPIVOTDATA("Total-New",'Distrib pivot table'!$C$2,"state","TN"),"*"))</f>
        <v>7.9619280529059727E-2</v>
      </c>
      <c r="R56" s="424">
        <f>IF((GETPIVOTDATA("Total-New",'Distrib pivot table'!$C$2,"state","TX","group","1e")/GETPIVOTDATA("Total-New",'Distrib pivot table'!$C$2,"state","TX"))=0,,IF(GETPIVOTDATA("Total-New",'Distrib pivot table'!$C$2,"state","TX","group","1e")/GETPIVOTDATA("Total-New",'Distrib pivot table'!$C$2,"state","TX")&gt;0.0005,GETPIVOTDATA("Total-New",'Distrib pivot table'!$C$2,"state","TX","group","1e")/GETPIVOTDATA("Total-New",'Distrib pivot table'!$C$2,"state","TX"),"*"))</f>
        <v>0</v>
      </c>
      <c r="S56" s="424">
        <f>IF((GETPIVOTDATA("Total-New",'Distrib pivot table'!$C$2,"state","VA","group","1e")/GETPIVOTDATA("Total-New",'Distrib pivot table'!$C$2,"state","VA"))=0,,IF(GETPIVOTDATA("Total-New",'Distrib pivot table'!$C$2,"state","VA","group","1e")/GETPIVOTDATA("Total-New",'Distrib pivot table'!$C$2,"state","VA")&gt;0.0005,GETPIVOTDATA("Total-New",'Distrib pivot table'!$C$2,"state","VA","group","1e")/GETPIVOTDATA("Total-New",'Distrib pivot table'!$C$2,"state","VA"),"*"))</f>
        <v>0</v>
      </c>
      <c r="T56" s="424">
        <f>IF((GETPIVOTDATA("Total-New",'Distrib pivot table'!$C$2,"state","WV","group","1e")/GETPIVOTDATA("Total-New",'Distrib pivot table'!$C$2,"state","WV"))=0,,IF(GETPIVOTDATA("Total-New",'Distrib pivot table'!$C$2,"state","WV","group","1e")/GETPIVOTDATA("Total-New",'Distrib pivot table'!$C$2,"state","WV")&gt;0.0005,GETPIVOTDATA("Total-New",'Distrib pivot table'!$C$2,"state","WV","group","1e")/GETPIVOTDATA("Total-New",'Distrib pivot table'!$C$2,"state","WV"),"*"))</f>
        <v>3.3296556823675744E-2</v>
      </c>
      <c r="U56" s="25"/>
      <c r="V56" s="25"/>
      <c r="W56" s="25"/>
      <c r="X56" s="25"/>
      <c r="Y56" s="25"/>
      <c r="Z56" s="25"/>
      <c r="AA56" s="25"/>
      <c r="AB56" s="25"/>
      <c r="AC56" s="25"/>
      <c r="AD56" s="25"/>
      <c r="AE56" s="25"/>
      <c r="AF56" s="25"/>
      <c r="AG56" s="25"/>
      <c r="AH56" s="25"/>
      <c r="AI56" s="25"/>
      <c r="AJ56" s="25"/>
      <c r="AK56" s="25"/>
      <c r="AL56" s="25"/>
      <c r="AM56" s="25"/>
      <c r="AN56" s="25"/>
      <c r="AO56" s="25"/>
      <c r="AP56" s="25"/>
      <c r="AQ56" s="25"/>
      <c r="AR56" s="25"/>
      <c r="AS56" s="25"/>
      <c r="AT56" s="25"/>
      <c r="AU56" s="25"/>
      <c r="AV56" s="25"/>
      <c r="AW56" s="25"/>
      <c r="AX56" s="25"/>
    </row>
    <row r="57" spans="1:50" s="7" customFormat="1" ht="36" customHeight="1" x14ac:dyDescent="0.2">
      <c r="A57" s="1536"/>
      <c r="B57" s="129" t="s">
        <v>305</v>
      </c>
      <c r="C57" s="376" t="s">
        <v>302</v>
      </c>
      <c r="D57" s="422">
        <f>IF(GETPIVOTDATA("Total-New",'Distrib pivot table'!$C$2,"group","1f")/GETPIVOTDATA("Total-New",'Distrib pivot table'!$C$2)=0,,IF(GETPIVOTDATA("Total-New",'Distrib pivot table'!$C$2,"group","1f")/GETPIVOTDATA("Total-New",'Distrib pivot table'!$C$2)&gt;0.0005,GETPIVOTDATA("Total-New",'Distrib pivot table'!$C$2,"group","1f")/GETPIVOTDATA("Total-New",'Distrib pivot table'!$C$2),"*"))</f>
        <v>1.092536133619071E-2</v>
      </c>
      <c r="E57" s="422">
        <f>IF((GETPIVOTDATA("Total-New",'Distrib pivot table'!$C$2,"state","AL","group","1f")/GETPIVOTDATA("Total-New",'Distrib pivot table'!$C$2,"state","AL"))=0,,IF(GETPIVOTDATA("Total-New",'Distrib pivot table'!$C$2,"state","AL","group","1f")/GETPIVOTDATA("Total-New",'Distrib pivot table'!$C$2,"state","AL")&gt;0.0005,GETPIVOTDATA("Total-New",'Distrib pivot table'!$C$2,"state","AL","group","1f")/GETPIVOTDATA("Total-New",'Distrib pivot table'!$C$2,"state","AL"),"*"))</f>
        <v>3.0265849641447308E-3</v>
      </c>
      <c r="F57" s="422">
        <f>IF((GETPIVOTDATA("Total-New",'Distrib pivot table'!$C$2,"state","AR","group","1f")/GETPIVOTDATA("Total-New",'Distrib pivot table'!$C$2,"state","AR"))=0,,IF(GETPIVOTDATA("Total-New",'Distrib pivot table'!$C$2,"state","AR","group","1f")/GETPIVOTDATA("Total-New",'Distrib pivot table'!$C$2,"state","AR")&gt;0.0005,GETPIVOTDATA("Total-New",'Distrib pivot table'!$C$2,"state","AR","group","1f")/GETPIVOTDATA("Total-New",'Distrib pivot table'!$C$2,"state","AR"),"*"))</f>
        <v>0</v>
      </c>
      <c r="G57" s="422">
        <f>IF((GETPIVOTDATA("Total-New",'Distrib pivot table'!$C$2,"state","DE","group","1f")/GETPIVOTDATA("Total-New",'Distrib pivot table'!$C$2,"state","DE"))=0,,IF(GETPIVOTDATA("Total-New",'Distrib pivot table'!$C$2,"state","DE","group","1f")/GETPIVOTDATA("Total-New",'Distrib pivot table'!$C$2,"state","DE")&gt;0.0005,GETPIVOTDATA("Total-New",'Distrib pivot table'!$C$2,"state","DE","group","1f")/GETPIVOTDATA("Total-New",'Distrib pivot table'!$C$2,"state","DE"),"*"))</f>
        <v>0</v>
      </c>
      <c r="H57" s="422">
        <f>IF((GETPIVOTDATA("Total-New",'Distrib pivot table'!$C$2,"state","FL","group","1f")/GETPIVOTDATA("Total-New",'Distrib pivot table'!$C$2,"state","FL"))=0,,IF(GETPIVOTDATA("Total-New",'Distrib pivot table'!$C$2,"state","FL","group","1f")/GETPIVOTDATA("Total-New",'Distrib pivot table'!$C$2,"state","FL")&gt;0.0005,GETPIVOTDATA("Total-New",'Distrib pivot table'!$C$2,"state","FL","group","1f")/GETPIVOTDATA("Total-New",'Distrib pivot table'!$C$2,"state","FL"),"*"))</f>
        <v>0</v>
      </c>
      <c r="I57" s="422">
        <f>IF((GETPIVOTDATA("Total-New",'Distrib pivot table'!$C$2,"state","GA","group","1f")/GETPIVOTDATA("Total-New",'Distrib pivot table'!$C$2,"state","GA"))=0,,IF(GETPIVOTDATA("Total-New",'Distrib pivot table'!$C$2,"state","GA","group","1f")/GETPIVOTDATA("Total-New",'Distrib pivot table'!$C$2,"state","GA")&gt;0.0005,GETPIVOTDATA("Total-New",'Distrib pivot table'!$C$2,"state","GA","group","1f")/GETPIVOTDATA("Total-New",'Distrib pivot table'!$C$2,"state","GA"),"*"))</f>
        <v>2.7606021902771859E-2</v>
      </c>
      <c r="J57" s="422">
        <f>IF((GETPIVOTDATA("Total-New",'Distrib pivot table'!$C$2,"state","KY","group","1f")/GETPIVOTDATA("Total-New",'Distrib pivot table'!$C$2,"state","KY"))=0,,IF(GETPIVOTDATA("Total-New",'Distrib pivot table'!$C$2,"state","KY","group","1f")/GETPIVOTDATA("Total-New",'Distrib pivot table'!$C$2,"state","KY")&gt;0.0005,GETPIVOTDATA("Total-New",'Distrib pivot table'!$C$2,"state","KY","group","1f")/GETPIVOTDATA("Total-New",'Distrib pivot table'!$C$2,"state","KY"),"*"))</f>
        <v>0</v>
      </c>
      <c r="K57" s="422">
        <f>IF((GETPIVOTDATA("Total-New",'Distrib pivot table'!$C$2,"state","LA","group","1f")/GETPIVOTDATA("Total-New",'Distrib pivot table'!$C$2,"state","LA"))=0,,IF(GETPIVOTDATA("Total-New",'Distrib pivot table'!$C$2,"state","LA","group","1f")/GETPIVOTDATA("Total-New",'Distrib pivot table'!$C$2,"state","LA")&gt;0.0005,GETPIVOTDATA("Total-New",'Distrib pivot table'!$C$2,"state","LA","group","1f")/GETPIVOTDATA("Total-New",'Distrib pivot table'!$C$2,"state","LA"),"*"))</f>
        <v>0</v>
      </c>
      <c r="L57" s="422">
        <f>IF((GETPIVOTDATA("Total-New",'Distrib pivot table'!$C$2,"state","MD","group","1f")/GETPIVOTDATA("Total-New",'Distrib pivot table'!$C$2,"state","MD"))=0,,IF(GETPIVOTDATA("Total-New",'Distrib pivot table'!$C$2,"state","MD","group","1f")/GETPIVOTDATA("Total-New",'Distrib pivot table'!$C$2,"state","MD")&gt;0.0005,GETPIVOTDATA("Total-New",'Distrib pivot table'!$C$2,"state","MD","group","1f")/GETPIVOTDATA("Total-New",'Distrib pivot table'!$C$2,"state","MD"),"*"))</f>
        <v>9.4487285282014749E-2</v>
      </c>
      <c r="M57" s="422">
        <f>IF((GETPIVOTDATA("Total-New",'Distrib pivot table'!$C$2,"state","MS","group","1f")/GETPIVOTDATA("Total-New",'Distrib pivot table'!$C$2,"state","MS"))=0,,IF(GETPIVOTDATA("Total-New",'Distrib pivot table'!$C$2,"state","MS","group","1f")/GETPIVOTDATA("Total-New",'Distrib pivot table'!$C$2,"state","MS")&gt;0.0005,GETPIVOTDATA("Total-New",'Distrib pivot table'!$C$2,"state","MS","group","1f")/GETPIVOTDATA("Total-New",'Distrib pivot table'!$C$2,"state","MS"),"*"))</f>
        <v>0</v>
      </c>
      <c r="N57" s="422">
        <f>IF((GETPIVOTDATA("Total-New",'Distrib pivot table'!$C$2,"state","NC","group","1f")/GETPIVOTDATA("Total-New",'Distrib pivot table'!$C$2,"state","NC"))=0,,IF(GETPIVOTDATA("Total-New",'Distrib pivot table'!$C$2,"state","NC","group","1f")/GETPIVOTDATA("Total-New",'Distrib pivot table'!$C$2,"state","NC")&gt;0.0005,GETPIVOTDATA("Total-New",'Distrib pivot table'!$C$2,"state","NC","group","1f")/GETPIVOTDATA("Total-New",'Distrib pivot table'!$C$2,"state","NC"),"*"))</f>
        <v>1.3607620290350175E-2</v>
      </c>
      <c r="O57" s="422">
        <f>IF((GETPIVOTDATA("Total-New",'Distrib pivot table'!$C$2,"state","OK","group","1f")/GETPIVOTDATA("Total-New",'Distrib pivot table'!$C$2,"state","OK"))=0,,IF(GETPIVOTDATA("Total-New",'Distrib pivot table'!$C$2,"state","OK","group","1f")/GETPIVOTDATA("Total-New",'Distrib pivot table'!$C$2,"state","OK")&gt;0.0005,GETPIVOTDATA("Total-New",'Distrib pivot table'!$C$2,"state","OK","group","1f")/GETPIVOTDATA("Total-New",'Distrib pivot table'!$C$2,"state","OK"),"*"))</f>
        <v>0</v>
      </c>
      <c r="P57" s="422">
        <f>IF((GETPIVOTDATA("Total-New",'Distrib pivot table'!$C$2,"state","SC","group","1f")/GETPIVOTDATA("Total-New",'Distrib pivot table'!$C$2,"state","SC"))=0,,IF(GETPIVOTDATA("Total-New",'Distrib pivot table'!$C$2,"state","SC","group","1f")/GETPIVOTDATA("Total-New",'Distrib pivot table'!$C$2,"state","SC")&gt;0.0005,GETPIVOTDATA("Total-New",'Distrib pivot table'!$C$2,"state","SC","group","1f")/GETPIVOTDATA("Total-New",'Distrib pivot table'!$C$2,"state","SC"),"*"))</f>
        <v>0</v>
      </c>
      <c r="Q57" s="422">
        <f>IF((GETPIVOTDATA("Total-New",'Distrib pivot table'!$C$2,"state","TN","group","1f")/GETPIVOTDATA("Total-New",'Distrib pivot table'!$C$2,"state","TN"))=0,,IF(GETPIVOTDATA("Total-New",'Distrib pivot table'!$C$2,"state","TN","group","1f")/GETPIVOTDATA("Total-New",'Distrib pivot table'!$C$2,"state","TN")&gt;0.0005,GETPIVOTDATA("Total-New",'Distrib pivot table'!$C$2,"state","TN","group","1f")/GETPIVOTDATA("Total-New",'Distrib pivot table'!$C$2,"state","TN"),"*"))</f>
        <v>3.5141148965399508E-3</v>
      </c>
      <c r="R57" s="422">
        <f>IF((GETPIVOTDATA("Total-New",'Distrib pivot table'!$C$2,"state","TX","group","1f")/GETPIVOTDATA("Total-New",'Distrib pivot table'!$C$2,"state","TX"))=0,,IF(GETPIVOTDATA("Total-New",'Distrib pivot table'!$C$2,"state","TX","group","1f")/GETPIVOTDATA("Total-New",'Distrib pivot table'!$C$2,"state","TX")&gt;0.0005,GETPIVOTDATA("Total-New",'Distrib pivot table'!$C$2,"state","TX","group","1f")/GETPIVOTDATA("Total-New",'Distrib pivot table'!$C$2,"state","TX"),"*"))</f>
        <v>0</v>
      </c>
      <c r="S57" s="422">
        <f>IF((GETPIVOTDATA("Total-New",'Distrib pivot table'!$C$2,"state","VA","group","1f")/GETPIVOTDATA("Total-New",'Distrib pivot table'!$C$2,"state","VA"))=0,,IF(GETPIVOTDATA("Total-New",'Distrib pivot table'!$C$2,"state","VA","group","1f")/GETPIVOTDATA("Total-New",'Distrib pivot table'!$C$2,"state","VA")&gt;0.0005,GETPIVOTDATA("Total-New",'Distrib pivot table'!$C$2,"state","VA","group","1f")/GETPIVOTDATA("Total-New",'Distrib pivot table'!$C$2,"state","VA"),"*"))</f>
        <v>8.5451333636563324E-3</v>
      </c>
      <c r="T57" s="422">
        <f>IF((GETPIVOTDATA("Total-New",'Distrib pivot table'!$C$2,"state","WV","group","1f")/GETPIVOTDATA("Total-New",'Distrib pivot table'!$C$2,"state","WV"))=0,,IF(GETPIVOTDATA("Total-New",'Distrib pivot table'!$C$2,"state","WV","group","1f")/GETPIVOTDATA("Total-New",'Distrib pivot table'!$C$2,"state","WV")&gt;0.0005,GETPIVOTDATA("Total-New",'Distrib pivot table'!$C$2,"state","WV","group","1f")/GETPIVOTDATA("Total-New",'Distrib pivot table'!$C$2,"state","WV"),"*"))</f>
        <v>0</v>
      </c>
      <c r="U57" s="9"/>
      <c r="V57" s="9"/>
      <c r="W57" s="9"/>
      <c r="X57" s="9"/>
      <c r="Y57" s="9"/>
      <c r="Z57" s="9"/>
      <c r="AA57" s="9"/>
      <c r="AB57" s="9"/>
      <c r="AC57" s="9"/>
      <c r="AD57" s="9"/>
      <c r="AE57" s="9"/>
      <c r="AF57" s="9"/>
      <c r="AG57" s="9"/>
      <c r="AH57" s="9"/>
      <c r="AI57" s="9"/>
      <c r="AJ57" s="9"/>
      <c r="AK57" s="9"/>
      <c r="AL57" s="9"/>
      <c r="AM57" s="9"/>
      <c r="AN57" s="9"/>
      <c r="AO57" s="9"/>
      <c r="AP57" s="9"/>
      <c r="AQ57" s="9"/>
      <c r="AR57" s="9"/>
      <c r="AS57" s="9"/>
      <c r="AT57" s="9"/>
      <c r="AU57" s="9"/>
      <c r="AV57" s="9"/>
      <c r="AW57" s="9"/>
      <c r="AX57" s="9"/>
    </row>
    <row r="58" spans="1:50" s="61" customFormat="1" ht="12" customHeight="1" x14ac:dyDescent="0.15">
      <c r="A58" s="134"/>
      <c r="B58" s="132" t="s">
        <v>97</v>
      </c>
      <c r="C58" s="311"/>
      <c r="D58" s="334">
        <f t="shared" ref="D58:T58" si="6">SUM(D9,D17,D24,D29,D34,D35,D39,D55,D56,D57)</f>
        <v>0.99887286840176004</v>
      </c>
      <c r="E58" s="334">
        <f t="shared" si="6"/>
        <v>0.99935538012641201</v>
      </c>
      <c r="F58" s="334">
        <f t="shared" si="6"/>
        <v>0.99909151604969493</v>
      </c>
      <c r="G58" s="334">
        <f t="shared" si="6"/>
        <v>0.99894111339414171</v>
      </c>
      <c r="H58" s="334">
        <f t="shared" si="6"/>
        <v>0.99903907690429405</v>
      </c>
      <c r="I58" s="334">
        <f t="shared" si="6"/>
        <v>0.99885568055898533</v>
      </c>
      <c r="J58" s="334">
        <f t="shared" si="6"/>
        <v>0.99938122799277096</v>
      </c>
      <c r="K58" s="334">
        <f t="shared" si="6"/>
        <v>0.99954557001376187</v>
      </c>
      <c r="L58" s="334">
        <f t="shared" si="6"/>
        <v>0.99953253017797405</v>
      </c>
      <c r="M58" s="334">
        <f t="shared" si="6"/>
        <v>0.99780496166876143</v>
      </c>
      <c r="N58" s="334">
        <f t="shared" si="6"/>
        <v>0.99996334486035243</v>
      </c>
      <c r="O58" s="334">
        <f t="shared" si="6"/>
        <v>0.99999999999999989</v>
      </c>
      <c r="P58" s="334">
        <f t="shared" si="6"/>
        <v>0.99966059203362956</v>
      </c>
      <c r="Q58" s="334">
        <f t="shared" si="6"/>
        <v>0.99939851128236679</v>
      </c>
      <c r="R58" s="334">
        <f t="shared" si="6"/>
        <v>1</v>
      </c>
      <c r="S58" s="334">
        <f t="shared" si="6"/>
        <v>0.99877833980056063</v>
      </c>
      <c r="T58" s="334">
        <f t="shared" si="6"/>
        <v>0.9994206441222645</v>
      </c>
      <c r="U58" s="100"/>
      <c r="V58" s="100"/>
      <c r="W58" s="100"/>
      <c r="X58" s="100"/>
      <c r="Y58" s="100"/>
      <c r="Z58" s="100"/>
      <c r="AA58" s="100"/>
      <c r="AB58" s="100"/>
      <c r="AC58" s="100"/>
      <c r="AD58" s="100"/>
      <c r="AE58" s="100"/>
      <c r="AF58" s="100"/>
      <c r="AG58" s="100"/>
      <c r="AH58" s="100"/>
      <c r="AI58" s="100"/>
      <c r="AJ58" s="100"/>
      <c r="AK58" s="100"/>
      <c r="AL58" s="100"/>
      <c r="AM58" s="100"/>
      <c r="AN58" s="100"/>
      <c r="AO58" s="100"/>
      <c r="AP58" s="100"/>
      <c r="AQ58" s="100"/>
      <c r="AR58" s="100"/>
      <c r="AS58" s="100"/>
      <c r="AT58" s="100"/>
      <c r="AU58" s="100"/>
      <c r="AV58" s="100"/>
      <c r="AW58" s="100"/>
      <c r="AX58" s="100"/>
    </row>
    <row r="59" spans="1:50" s="10" customFormat="1" ht="36.75" customHeight="1" x14ac:dyDescent="0.2">
      <c r="A59" s="1531" t="s">
        <v>339</v>
      </c>
      <c r="B59" s="1532"/>
      <c r="C59" s="1532"/>
      <c r="D59" s="1532"/>
      <c r="E59" s="1532"/>
      <c r="F59" s="1532"/>
      <c r="G59" s="1532"/>
      <c r="H59" s="1532"/>
      <c r="I59" s="1532"/>
      <c r="J59" s="1532"/>
      <c r="K59" s="1532"/>
      <c r="L59" s="1532"/>
      <c r="M59" s="1532"/>
      <c r="N59" s="1532"/>
      <c r="O59" s="1532"/>
      <c r="P59" s="1532"/>
      <c r="Q59" s="1532"/>
      <c r="R59" s="1532"/>
      <c r="S59" s="1532"/>
      <c r="T59" s="1532"/>
    </row>
    <row r="60" spans="1:50" s="10" customFormat="1" ht="15" customHeight="1" x14ac:dyDescent="0.2">
      <c r="A60" s="55" t="s">
        <v>83</v>
      </c>
      <c r="B60" s="133"/>
      <c r="C60" s="2"/>
      <c r="D60" s="2"/>
      <c r="E60" s="2"/>
      <c r="F60" s="2"/>
      <c r="G60" s="2"/>
      <c r="H60" s="1"/>
      <c r="I60" s="2"/>
      <c r="J60" s="2"/>
      <c r="K60" s="1"/>
      <c r="L60" s="1"/>
      <c r="M60" s="1"/>
      <c r="N60" s="2"/>
      <c r="O60" s="2"/>
      <c r="P60" s="2"/>
      <c r="Q60" s="2"/>
      <c r="R60" s="2"/>
      <c r="S60" s="2"/>
      <c r="T60" s="47"/>
    </row>
    <row r="61" spans="1:50" s="10" customFormat="1" ht="15" customHeight="1" x14ac:dyDescent="0.2">
      <c r="A61" s="47" t="s">
        <v>0</v>
      </c>
      <c r="B61" s="133"/>
      <c r="C61" s="2"/>
      <c r="D61" s="2"/>
      <c r="E61" s="2"/>
      <c r="F61" s="2"/>
      <c r="G61" s="2"/>
      <c r="H61" s="1"/>
      <c r="I61" s="2"/>
      <c r="J61" s="2"/>
      <c r="K61" s="1"/>
      <c r="L61" s="1"/>
      <c r="M61" s="1"/>
      <c r="N61" s="2"/>
      <c r="O61" s="2"/>
      <c r="P61" s="2"/>
      <c r="Q61" s="2"/>
      <c r="R61" s="2"/>
      <c r="S61" s="2"/>
      <c r="T61" s="535" t="s">
        <v>1898</v>
      </c>
    </row>
    <row r="65" spans="6:6" x14ac:dyDescent="0.2">
      <c r="F65" s="219"/>
    </row>
  </sheetData>
  <mergeCells count="4">
    <mergeCell ref="A7:A24"/>
    <mergeCell ref="A59:T59"/>
    <mergeCell ref="A25:T25"/>
    <mergeCell ref="A29:A57"/>
  </mergeCells>
  <phoneticPr fontId="17" type="noConversion"/>
  <printOptions horizontalCentered="1"/>
  <pageMargins left="0.25" right="0.27" top="0.7" bottom="0.5" header="0.7" footer="0.25"/>
  <pageSetup scale="71" firstPageNumber="125" orientation="landscape" useFirstPageNumber="1" r:id="rId1"/>
  <headerFooter alignWithMargins="0">
    <oddHeader>&amp;R&amp;"Arial,Regular"&amp;8SREB-State Data Exchange</oddHeader>
    <oddFooter>&amp;C&amp;"Arial,Regular"&amp;P</oddFooter>
  </headerFooter>
  <rowBreaks count="1" manualBreakCount="1">
    <brk id="28" max="19"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1:AX62"/>
  <sheetViews>
    <sheetView view="pageBreakPreview" zoomScaleNormal="100" zoomScaleSheetLayoutView="100" workbookViewId="0">
      <pane xSplit="3" ySplit="4" topLeftCell="D5" activePane="bottomRight" state="frozen"/>
      <selection pane="topRight" activeCell="D1" sqref="D1"/>
      <selection pane="bottomLeft" activeCell="A5" sqref="A5"/>
      <selection pane="bottomRight"/>
    </sheetView>
  </sheetViews>
  <sheetFormatPr defaultColWidth="8.875" defaultRowHeight="12.75" x14ac:dyDescent="0.2"/>
  <cols>
    <col min="1" max="1" width="10" style="7" customWidth="1"/>
    <col min="2" max="2" width="29.625" style="61" customWidth="1"/>
    <col min="3" max="3" width="4.5" style="312" customWidth="1"/>
    <col min="4" max="4" width="5.875" style="18" customWidth="1"/>
    <col min="5" max="5" width="5.875" style="6" customWidth="1"/>
    <col min="6" max="6" width="6.125" style="6" customWidth="1"/>
    <col min="7" max="7" width="7.5" style="6" customWidth="1"/>
    <col min="8" max="8" width="5.875" style="46" customWidth="1"/>
    <col min="9" max="14" width="5.875" style="6" customWidth="1"/>
    <col min="15" max="15" width="5.5" style="6" customWidth="1"/>
    <col min="16" max="16" width="6.75" style="6" customWidth="1"/>
    <col min="17" max="17" width="5.625" style="6" customWidth="1"/>
    <col min="18" max="19" width="5.875" style="6" customWidth="1"/>
    <col min="20" max="20" width="5.875" style="7" customWidth="1"/>
    <col min="21" max="16384" width="8.875" style="6"/>
  </cols>
  <sheetData>
    <row r="1" spans="1:50" s="61" customFormat="1" ht="18" x14ac:dyDescent="0.15">
      <c r="A1" s="135" t="s">
        <v>356</v>
      </c>
      <c r="B1" s="123"/>
      <c r="C1" s="308"/>
      <c r="D1" s="123"/>
      <c r="E1" s="123"/>
      <c r="F1" s="123"/>
      <c r="G1" s="123"/>
      <c r="H1" s="136"/>
      <c r="I1" s="123"/>
      <c r="J1" s="123"/>
      <c r="K1" s="123"/>
      <c r="L1" s="123"/>
      <c r="M1" s="123"/>
      <c r="N1" s="123"/>
      <c r="O1" s="123"/>
      <c r="P1" s="123"/>
      <c r="Q1" s="123"/>
      <c r="R1" s="123"/>
      <c r="S1" s="123"/>
      <c r="T1" s="101"/>
    </row>
    <row r="2" spans="1:50" s="139" customFormat="1" ht="18.75" x14ac:dyDescent="0.15">
      <c r="A2" s="137" t="s">
        <v>25</v>
      </c>
      <c r="B2" s="124"/>
      <c r="C2" s="309"/>
      <c r="D2" s="315"/>
      <c r="E2" s="138"/>
      <c r="F2" s="138"/>
      <c r="G2" s="138"/>
      <c r="H2" s="101"/>
      <c r="I2" s="138"/>
      <c r="J2" s="138"/>
      <c r="K2" s="101"/>
      <c r="L2" s="101"/>
      <c r="M2" s="101"/>
      <c r="N2" s="138"/>
      <c r="O2" s="138"/>
      <c r="P2" s="138"/>
      <c r="Q2" s="138"/>
      <c r="R2" s="138"/>
      <c r="S2" s="138"/>
      <c r="T2" s="101"/>
    </row>
    <row r="3" spans="1:50" s="139" customFormat="1" ht="15.75" x14ac:dyDescent="0.15">
      <c r="A3" s="137" t="s">
        <v>433</v>
      </c>
      <c r="B3" s="124"/>
      <c r="C3" s="309"/>
      <c r="D3" s="313"/>
      <c r="E3" s="138"/>
      <c r="F3" s="138"/>
      <c r="G3" s="138"/>
      <c r="H3" s="101"/>
      <c r="I3" s="138"/>
      <c r="J3" s="138"/>
      <c r="K3" s="101"/>
      <c r="L3" s="101"/>
      <c r="M3" s="101"/>
      <c r="N3" s="138"/>
      <c r="O3" s="138"/>
      <c r="P3" s="138"/>
      <c r="Q3" s="138"/>
      <c r="R3" s="138"/>
      <c r="S3" s="138"/>
      <c r="T3" s="101"/>
    </row>
    <row r="4" spans="1:50" s="84" customFormat="1" ht="12.75" customHeight="1" x14ac:dyDescent="0.2">
      <c r="A4" s="80"/>
      <c r="B4" s="125"/>
      <c r="C4" s="310" t="s">
        <v>263</v>
      </c>
      <c r="D4" s="79" t="s">
        <v>95</v>
      </c>
      <c r="E4" s="81" t="s">
        <v>142</v>
      </c>
      <c r="F4" s="82" t="s">
        <v>143</v>
      </c>
      <c r="G4" s="82" t="s">
        <v>148</v>
      </c>
      <c r="H4" s="82" t="s">
        <v>149</v>
      </c>
      <c r="I4" s="82" t="s">
        <v>144</v>
      </c>
      <c r="J4" s="83" t="s">
        <v>150</v>
      </c>
      <c r="K4" s="83" t="s">
        <v>145</v>
      </c>
      <c r="L4" s="83" t="s">
        <v>151</v>
      </c>
      <c r="M4" s="83" t="s">
        <v>152</v>
      </c>
      <c r="N4" s="83" t="s">
        <v>153</v>
      </c>
      <c r="O4" s="83" t="s">
        <v>154</v>
      </c>
      <c r="P4" s="83" t="s">
        <v>146</v>
      </c>
      <c r="Q4" s="83" t="s">
        <v>155</v>
      </c>
      <c r="R4" s="83" t="s">
        <v>147</v>
      </c>
      <c r="S4" s="83" t="s">
        <v>156</v>
      </c>
      <c r="T4" s="83" t="s">
        <v>157</v>
      </c>
    </row>
    <row r="5" spans="1:50" ht="27" x14ac:dyDescent="0.2">
      <c r="A5" s="1538" t="s">
        <v>337</v>
      </c>
      <c r="B5" s="361" t="s">
        <v>341</v>
      </c>
      <c r="C5" s="369" t="s">
        <v>264</v>
      </c>
      <c r="D5" s="363">
        <f>IF(GETPIVOTDATA("Total-Old",'Distrib pivot table'!$C$2,"group","1A")/GETPIVOTDATA("Total-Old",'Distrib pivot table'!$C$2)=0,,IF(GETPIVOTDATA("Total-Old",'Distrib pivot table'!$C$2,"group","1A")/GETPIVOTDATA("Total-Old",'Distrib pivot table'!$C$2)&gt;0.0005,GETPIVOTDATA("Total-Old",'Distrib pivot table'!$C$2,"group","1A")/GETPIVOTDATA("Total-Old",'Distrib pivot table'!$C$2),"*"))</f>
        <v>0.79505454008682364</v>
      </c>
      <c r="E5" s="364">
        <f>IF((GETPIVOTDATA("Total-Old",'Distrib pivot table'!$C$2,"state","AL","group","1A")/GETPIVOTDATA("Total-Old",'Distrib pivot table'!$C$2,"state","AL"))=0,,IF(GETPIVOTDATA("Total-Old",'Distrib pivot table'!$C$2,"state","AL","group","1A")/GETPIVOTDATA("Total-Old",'Distrib pivot table'!$C$2,"state","AL")&gt;0.0005,GETPIVOTDATA("Total-Old",'Distrib pivot table'!$C$2,"state","AL","group","1A")/GETPIVOTDATA("Total-Old",'Distrib pivot table'!$C$2,"state","AL"),"*"))</f>
        <v>0.79646430407126423</v>
      </c>
      <c r="F5" s="364">
        <f>IF((GETPIVOTDATA("Total-Old",'Distrib pivot table'!$C$2,"state","AR","group","1A")/GETPIVOTDATA("Total-Old",'Distrib pivot table'!$C$2,"state","AR"))=0,,IF(GETPIVOTDATA("Total-Old",'Distrib pivot table'!$C$2,"state","AR","group","1A")/GETPIVOTDATA("Total-Old",'Distrib pivot table'!$C$2,"state","AR")&gt;0.0005,GETPIVOTDATA("Total-Old",'Distrib pivot table'!$C$2,"state","AR","group","1A")/GETPIVOTDATA("Total-Old",'Distrib pivot table'!$C$2,"state","AR"),"*"))</f>
        <v>0.76508645396042319</v>
      </c>
      <c r="G5" s="364">
        <f>IF((GETPIVOTDATA("Total-Old",'Distrib pivot table'!$C$2,"state","DE","group","1A")/GETPIVOTDATA("Total-Old",'Distrib pivot table'!$C$2,"state","DE"))=0,,IF(GETPIVOTDATA("Total-Old",'Distrib pivot table'!$C$2,"state","DE","group","1A")/GETPIVOTDATA("Total-Old",'Distrib pivot table'!$C$2,"state","DE")&gt;0.0005,GETPIVOTDATA("Total-Old",'Distrib pivot table'!$C$2,"state","DE","group","1A")/GETPIVOTDATA("Total-Old",'Distrib pivot table'!$C$2,"state","DE"),"*"))</f>
        <v>0.96124615540955594</v>
      </c>
      <c r="H5" s="364">
        <f>IF((GETPIVOTDATA("Total-Old",'Distrib pivot table'!$C$2,"state","FL","group","1A")/GETPIVOTDATA("Total-Old",'Distrib pivot table'!$C$2,"state","FL"))=0,,IF(GETPIVOTDATA("Total-Old",'Distrib pivot table'!$C$2,"state","FL","group","1A")/GETPIVOTDATA("Total-Old",'Distrib pivot table'!$C$2,"state","FL")&gt;0.0005,GETPIVOTDATA("Total-Old",'Distrib pivot table'!$C$2,"state","FL","group","1A")/GETPIVOTDATA("Total-Old",'Distrib pivot table'!$C$2,"state","FL"),"*"))</f>
        <v>0.8077876021074798</v>
      </c>
      <c r="I5" s="364">
        <f>IF((GETPIVOTDATA("Total-Old",'Distrib pivot table'!$C$2,"state","GA","group","1A")/GETPIVOTDATA("Total-Old",'Distrib pivot table'!$C$2,"state","GA"))=0,,IF(GETPIVOTDATA("Total-Old",'Distrib pivot table'!$C$2,"state","GA","group","1A")/GETPIVOTDATA("Total-Old",'Distrib pivot table'!$C$2,"state","GA")&gt;0.0005,GETPIVOTDATA("Total-Old",'Distrib pivot table'!$C$2,"state","GA","group","1A")/GETPIVOTDATA("Total-Old",'Distrib pivot table'!$C$2,"state","GA"),"*"))</f>
        <v>0.79145330546938719</v>
      </c>
      <c r="J5" s="364">
        <f>IF((GETPIVOTDATA("Total-Old",'Distrib pivot table'!$C$2,"state","KY","group","1A")/GETPIVOTDATA("Total-Old",'Distrib pivot table'!$C$2,"state","KY"))=0,,IF(GETPIVOTDATA("Total-Old",'Distrib pivot table'!$C$2,"state","KY","group","1A")/GETPIVOTDATA("Total-Old",'Distrib pivot table'!$C$2,"state","KY")&gt;0.0005,GETPIVOTDATA("Total-Old",'Distrib pivot table'!$C$2,"state","KY","group","1A")/GETPIVOTDATA("Total-Old",'Distrib pivot table'!$C$2,"state","KY"),"*"))</f>
        <v>0.81104159419073718</v>
      </c>
      <c r="K5" s="364">
        <f>IF((GETPIVOTDATA("Total-Old",'Distrib pivot table'!$C$2,"state","LA","group","1A")/GETPIVOTDATA("Total-Old",'Distrib pivot table'!$C$2,"state","LA"))=0,,IF(GETPIVOTDATA("Total-Old",'Distrib pivot table'!$C$2,"state","LA","group","1A")/GETPIVOTDATA("Total-Old",'Distrib pivot table'!$C$2,"state","LA")&gt;0.0005,GETPIVOTDATA("Total-Old",'Distrib pivot table'!$C$2,"state","LA","group","1A")/GETPIVOTDATA("Total-Old",'Distrib pivot table'!$C$2,"state","LA"),"*"))</f>
        <v>0.71694240589287994</v>
      </c>
      <c r="L5" s="364">
        <f>IF((GETPIVOTDATA("Total-Old",'Distrib pivot table'!$C$2,"state","MD","group","1A")/GETPIVOTDATA("Total-Old",'Distrib pivot table'!$C$2,"state","MD"))=0,,IF(GETPIVOTDATA("Total-Old",'Distrib pivot table'!$C$2,"state","MD","group","1A")/GETPIVOTDATA("Total-Old",'Distrib pivot table'!$C$2,"state","MD")&gt;0.0005,GETPIVOTDATA("Total-Old",'Distrib pivot table'!$C$2,"state","MD","group","1A")/GETPIVOTDATA("Total-Old",'Distrib pivot table'!$C$2,"state","MD"),"*"))</f>
        <v>0.76924797747286688</v>
      </c>
      <c r="M5" s="364">
        <f>IF((GETPIVOTDATA("Total-Old",'Distrib pivot table'!$C$2,"state","MS","group","1A")/GETPIVOTDATA("Total-Old",'Distrib pivot table'!$C$2,"state","MS"))=0,,IF(GETPIVOTDATA("Total-Old",'Distrib pivot table'!$C$2,"state","MS","group","1A")/GETPIVOTDATA("Total-Old",'Distrib pivot table'!$C$2,"state","MS")&gt;0.0005,GETPIVOTDATA("Total-Old",'Distrib pivot table'!$C$2,"state","MS","group","1A")/GETPIVOTDATA("Total-Old",'Distrib pivot table'!$C$2,"state","MS"),"*"))</f>
        <v>0.78643475311097766</v>
      </c>
      <c r="N5" s="364">
        <f>IF((GETPIVOTDATA("Total-Old",'Distrib pivot table'!$C$2,"state","NC","group","1A")/GETPIVOTDATA("Total-Old",'Distrib pivot table'!$C$2,"state","NC"))=0,,IF(GETPIVOTDATA("Total-Old",'Distrib pivot table'!$C$2,"state","NC","group","1A")/GETPIVOTDATA("Total-Old",'Distrib pivot table'!$C$2,"state","NC")&gt;0.0005,GETPIVOTDATA("Total-Old",'Distrib pivot table'!$C$2,"state","NC","group","1A")/GETPIVOTDATA("Total-Old",'Distrib pivot table'!$C$2,"state","NC"),"*"))</f>
        <v>0.80129561010716654</v>
      </c>
      <c r="O5" s="364">
        <f>IF((GETPIVOTDATA("Total-Old",'Distrib pivot table'!$C$2,"state","OK","group","1A")/GETPIVOTDATA("Total-Old",'Distrib pivot table'!$C$2,"state","OK"))=0,,IF(GETPIVOTDATA("Total-Old",'Distrib pivot table'!$C$2,"state","OK","group","1A")/GETPIVOTDATA("Total-Old",'Distrib pivot table'!$C$2,"state","OK")&gt;0.0005,GETPIVOTDATA("Total-Old",'Distrib pivot table'!$C$2,"state","OK","group","1A")/GETPIVOTDATA("Total-Old",'Distrib pivot table'!$C$2,"state","OK"),"*"))</f>
        <v>0.86096323330272295</v>
      </c>
      <c r="P5" s="364">
        <f>IF((GETPIVOTDATA("Total-Old",'Distrib pivot table'!$C$2,"state","SC","group","1A")/GETPIVOTDATA("Total-Old",'Distrib pivot table'!$C$2,"state","SC"))=0,,IF(GETPIVOTDATA("Total-Old",'Distrib pivot table'!$C$2,"state","SC","group","1A")/GETPIVOTDATA("Total-Old",'Distrib pivot table'!$C$2,"state","SC")&gt;0.0005,GETPIVOTDATA("Total-Old",'Distrib pivot table'!$C$2,"state","SC","group","1A")/GETPIVOTDATA("Total-Old",'Distrib pivot table'!$C$2,"state","SC"),"*"))</f>
        <v>0.77002913626384939</v>
      </c>
      <c r="Q5" s="364">
        <f>IF((GETPIVOTDATA("Total-Old",'Distrib pivot table'!$C$2,"state","TN","group","1A")/GETPIVOTDATA("Total-Old",'Distrib pivot table'!$C$2,"state","TN"))=0,,IF(GETPIVOTDATA("Total-Old",'Distrib pivot table'!$C$2,"state","TN","group","1A")/GETPIVOTDATA("Total-Old",'Distrib pivot table'!$C$2,"state","TN")&gt;0.0005,GETPIVOTDATA("Total-Old",'Distrib pivot table'!$C$2,"state","TN","group","1A")/GETPIVOTDATA("Total-Old",'Distrib pivot table'!$C$2,"state","TN"),"*"))</f>
        <v>0.74249550349959659</v>
      </c>
      <c r="R5" s="364">
        <f>IF((GETPIVOTDATA("Total-Old",'Distrib pivot table'!$C$2,"state","TX","group","1A")/GETPIVOTDATA("Total-Old",'Distrib pivot table'!$C$2,"state","TX"))=0,,IF(GETPIVOTDATA("Total-Old",'Distrib pivot table'!$C$2,"state","TX","group","1A")/GETPIVOTDATA("Total-Old",'Distrib pivot table'!$C$2,"state","TX")&gt;0.0005,GETPIVOTDATA("Total-Old",'Distrib pivot table'!$C$2,"state","TX","group","1A")/GETPIVOTDATA("Total-Old",'Distrib pivot table'!$C$2,"state","TX"),"*"))</f>
        <v>0.79358794953303513</v>
      </c>
      <c r="S5" s="364">
        <f>IF((GETPIVOTDATA("Total-Old",'Distrib pivot table'!$C$2,"state","VA","group","1A")/GETPIVOTDATA("Total-Old",'Distrib pivot table'!$C$2,"state","VA"))=0,,IF(GETPIVOTDATA("Total-Old",'Distrib pivot table'!$C$2,"state","VA","group","1A")/GETPIVOTDATA("Total-Old",'Distrib pivot table'!$C$2,"state","VA")&gt;0.0005,GETPIVOTDATA("Total-Old",'Distrib pivot table'!$C$2,"state","VA","group","1A")/GETPIVOTDATA("Total-Old",'Distrib pivot table'!$C$2,"state","VA"),"*"))</f>
        <v>0.8555496339524532</v>
      </c>
      <c r="T5" s="365">
        <f>IF((GETPIVOTDATA("Total-Old",'Distrib pivot table'!$C$2,"state","WV","group","1A")/GETPIVOTDATA("Total-Old",'Distrib pivot table'!$C$2,"state","WV"))=0,,IF(GETPIVOTDATA("Total-Old",'Distrib pivot table'!$C$2,"state","WV","group","1A")/GETPIVOTDATA("Total-Old",'Distrib pivot table'!$C$2,"state","WV")&gt;0.0005,GETPIVOTDATA("Total-Old",'Distrib pivot table'!$C$2,"state","WV","group","1A")/GETPIVOTDATA("Total-Old",'Distrib pivot table'!$C$2,"state","WV"),"*"))</f>
        <v>0.70551099095234726</v>
      </c>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row>
    <row r="6" spans="1:50" s="45" customFormat="1" ht="27" x14ac:dyDescent="0.2">
      <c r="A6" s="1539"/>
      <c r="B6" s="361" t="s">
        <v>342</v>
      </c>
      <c r="C6" s="370" t="s">
        <v>265</v>
      </c>
      <c r="D6" s="366">
        <f>SUM(D8:D14)</f>
        <v>2.5667641710606214E-2</v>
      </c>
      <c r="E6" s="366">
        <f>SUM(E8:E14)</f>
        <v>2.8743654162948808E-2</v>
      </c>
      <c r="F6" s="366">
        <f>SUM(F8:F14)</f>
        <v>1.5315280566379638E-2</v>
      </c>
      <c r="G6" s="366">
        <f t="shared" ref="G6:T6" si="0">SUM(G8:G14)</f>
        <v>1.0703198735972506E-2</v>
      </c>
      <c r="H6" s="366">
        <f t="shared" si="0"/>
        <v>3.1055025707560305E-2</v>
      </c>
      <c r="I6" s="366">
        <f t="shared" si="0"/>
        <v>1.8465256306632215E-2</v>
      </c>
      <c r="J6" s="366">
        <f t="shared" si="0"/>
        <v>3.2766059501187508E-2</v>
      </c>
      <c r="K6" s="366">
        <f t="shared" si="0"/>
        <v>3.4584443219401934E-2</v>
      </c>
      <c r="L6" s="366">
        <f t="shared" si="0"/>
        <v>1.4552135888868868E-2</v>
      </c>
      <c r="M6" s="366">
        <f t="shared" si="0"/>
        <v>5.8217417477092498E-2</v>
      </c>
      <c r="N6" s="366">
        <f t="shared" si="0"/>
        <v>1.8716215710022847E-2</v>
      </c>
      <c r="O6" s="366">
        <f t="shared" si="0"/>
        <v>2.7580352296772418E-2</v>
      </c>
      <c r="P6" s="366">
        <f t="shared" si="0"/>
        <v>3.553239299342266E-2</v>
      </c>
      <c r="Q6" s="366">
        <f t="shared" si="0"/>
        <v>2.4434154562189503E-2</v>
      </c>
      <c r="R6" s="366">
        <f t="shared" si="0"/>
        <v>2.7924915715614517E-2</v>
      </c>
      <c r="S6" s="366">
        <f t="shared" si="0"/>
        <v>1.8407342554636573E-2</v>
      </c>
      <c r="T6" s="367">
        <f t="shared" si="0"/>
        <v>3.6623952844447243E-2</v>
      </c>
      <c r="U6" s="28"/>
      <c r="V6" s="28"/>
      <c r="W6" s="28"/>
      <c r="X6" s="28"/>
      <c r="Y6" s="28"/>
      <c r="Z6" s="28"/>
      <c r="AA6" s="28"/>
      <c r="AB6" s="28"/>
      <c r="AC6" s="28"/>
      <c r="AD6" s="28"/>
      <c r="AE6" s="28"/>
      <c r="AF6" s="28"/>
      <c r="AG6" s="28"/>
      <c r="AH6" s="28"/>
      <c r="AI6" s="28"/>
      <c r="AJ6" s="28"/>
      <c r="AK6" s="28"/>
      <c r="AL6" s="28"/>
      <c r="AM6" s="28"/>
      <c r="AN6" s="28"/>
      <c r="AO6" s="28"/>
      <c r="AP6" s="28"/>
      <c r="AQ6" s="28"/>
      <c r="AR6" s="28"/>
      <c r="AS6" s="28"/>
      <c r="AT6" s="28"/>
      <c r="AU6" s="28"/>
      <c r="AV6" s="28"/>
      <c r="AW6" s="28"/>
      <c r="AX6" s="28"/>
    </row>
    <row r="7" spans="1:50" s="45" customFormat="1" ht="25.5" x14ac:dyDescent="0.2">
      <c r="A7" s="1539"/>
      <c r="B7" s="377" t="s">
        <v>348</v>
      </c>
      <c r="C7" s="370"/>
      <c r="D7" s="366">
        <f>+D6+D5</f>
        <v>0.82072218179742984</v>
      </c>
      <c r="E7" s="366">
        <f t="shared" ref="E7:T7" si="1">+E6+E5</f>
        <v>0.825207958234213</v>
      </c>
      <c r="F7" s="366">
        <f t="shared" si="1"/>
        <v>0.78040173452680284</v>
      </c>
      <c r="G7" s="366">
        <f t="shared" si="1"/>
        <v>0.97194935414552841</v>
      </c>
      <c r="H7" s="366">
        <f t="shared" si="1"/>
        <v>0.83884262781504015</v>
      </c>
      <c r="I7" s="366">
        <f t="shared" si="1"/>
        <v>0.8099185617760194</v>
      </c>
      <c r="J7" s="366">
        <f t="shared" si="1"/>
        <v>0.84380765369192468</v>
      </c>
      <c r="K7" s="366">
        <f t="shared" si="1"/>
        <v>0.75152684911228185</v>
      </c>
      <c r="L7" s="366">
        <f t="shared" si="1"/>
        <v>0.78380011336173572</v>
      </c>
      <c r="M7" s="366">
        <f t="shared" si="1"/>
        <v>0.84465217058807018</v>
      </c>
      <c r="N7" s="366">
        <f t="shared" si="1"/>
        <v>0.82001182581718934</v>
      </c>
      <c r="O7" s="366">
        <f t="shared" si="1"/>
        <v>0.88854358559949542</v>
      </c>
      <c r="P7" s="366">
        <f t="shared" si="1"/>
        <v>0.80556152925727209</v>
      </c>
      <c r="Q7" s="366">
        <f t="shared" si="1"/>
        <v>0.76692965806178615</v>
      </c>
      <c r="R7" s="366">
        <f t="shared" si="1"/>
        <v>0.82151286524864964</v>
      </c>
      <c r="S7" s="366">
        <f t="shared" si="1"/>
        <v>0.87395697650708981</v>
      </c>
      <c r="T7" s="367">
        <f t="shared" si="1"/>
        <v>0.74213494379679446</v>
      </c>
      <c r="U7" s="28"/>
      <c r="V7" s="28"/>
      <c r="W7" s="28"/>
      <c r="X7" s="28"/>
      <c r="Y7" s="28"/>
      <c r="Z7" s="28"/>
      <c r="AA7" s="28"/>
      <c r="AB7" s="28"/>
      <c r="AC7" s="28"/>
      <c r="AD7" s="28"/>
      <c r="AE7" s="28"/>
      <c r="AF7" s="28"/>
      <c r="AG7" s="28"/>
      <c r="AH7" s="28"/>
      <c r="AI7" s="28"/>
      <c r="AJ7" s="28"/>
      <c r="AK7" s="28"/>
      <c r="AL7" s="28"/>
      <c r="AM7" s="28"/>
      <c r="AN7" s="28"/>
      <c r="AO7" s="28"/>
      <c r="AP7" s="28"/>
      <c r="AQ7" s="28"/>
      <c r="AR7" s="28"/>
      <c r="AS7" s="28"/>
      <c r="AT7" s="28"/>
      <c r="AU7" s="28"/>
      <c r="AV7" s="28"/>
      <c r="AW7" s="28"/>
      <c r="AX7" s="28"/>
    </row>
    <row r="8" spans="1:50" ht="12.6" customHeight="1" x14ac:dyDescent="0.2">
      <c r="A8" s="1539"/>
      <c r="B8" s="127" t="s">
        <v>319</v>
      </c>
      <c r="C8" s="371" t="s">
        <v>266</v>
      </c>
      <c r="D8" s="418">
        <f>IF(GETPIVOTDATA("Total-Old",'Distrib pivot table'!$C$2,"group","1b1")/GETPIVOTDATA("Total-Old",'Distrib pivot table'!$C$2)=0,,IF(GETPIVOTDATA("Total-Old",'Distrib pivot table'!$C$2,"group","1b1")/GETPIVOTDATA("Total-Old",'Distrib pivot table'!$C$2)&gt;0.0005,GETPIVOTDATA("Total-Old",'Distrib pivot table'!$C$2,"group","1b1")/GETPIVOTDATA("Total-Old",'Distrib pivot table'!$C$2),"*"))</f>
        <v>5.4862141119584092E-3</v>
      </c>
      <c r="E8" s="418">
        <f>IF((GETPIVOTDATA("Total-Old",'Distrib pivot table'!$C$2,"state","AL","group","1b1")/GETPIVOTDATA("Total-Old",'Distrib pivot table'!$C$2,"state","AL"))=0,,IF(GETPIVOTDATA("Total-Old",'Distrib pivot table'!$C$2,"state","AL","group","1b1")/GETPIVOTDATA("Total-Old",'Distrib pivot table'!$C$2,"state","AL")&gt;0.0005,GETPIVOTDATA("Total-Old",'Distrib pivot table'!$C$2,"state","AL","group","1b1")/GETPIVOTDATA("Total-Old",'Distrib pivot table'!$C$2,"state","AL"),"*"))</f>
        <v>1.1234278979903778E-3</v>
      </c>
      <c r="F8" s="418">
        <f>IF((GETPIVOTDATA("Total-Old",'Distrib pivot table'!$C$2,"state","AR","group","1b1")/GETPIVOTDATA("Total-Old",'Distrib pivot table'!$C$2,"state","AR"))=0,,IF(GETPIVOTDATA("Total-Old",'Distrib pivot table'!$C$2,"state","AR","group","1b1")/GETPIVOTDATA("Total-Old",'Distrib pivot table'!$C$2,"state","AR")&gt;0.0005,GETPIVOTDATA("Total-Old",'Distrib pivot table'!$C$2,"state","AR","group","1b1")/GETPIVOTDATA("Total-Old",'Distrib pivot table'!$C$2,"state","AR"),"*"))</f>
        <v>1.5315280566379638E-2</v>
      </c>
      <c r="G8" s="418" t="str">
        <f>IF((GETPIVOTDATA("Total-Old",'Distrib pivot table'!$C$2,"state","DE","group","1b1")/GETPIVOTDATA("Total-Old",'Distrib pivot table'!$C$2,"state","DE"))=0,,IF(GETPIVOTDATA("Total-Old",'Distrib pivot table'!$C$2,"state","DE","group","1b1")/GETPIVOTDATA("Total-Old",'Distrib pivot table'!$C$2,"state","DE")&gt;0.0005,GETPIVOTDATA("Total-Old",'Distrib pivot table'!$C$2,"state","DE","group","1b1")/GETPIVOTDATA("Total-Old",'Distrib pivot table'!$C$2,"state","DE"),"*"))</f>
        <v>*</v>
      </c>
      <c r="H8" s="418">
        <f>IF((GETPIVOTDATA("Total-Old",'Distrib pivot table'!$C$2,"state","FL","group","1b1")/GETPIVOTDATA("Total-Old",'Distrib pivot table'!$C$2,"state","FL"))=0,,IF(GETPIVOTDATA("Total-Old",'Distrib pivot table'!$C$2,"state","FL","group","1b1")/GETPIVOTDATA("Total-Old",'Distrib pivot table'!$C$2,"state","FL")&gt;0.0005,GETPIVOTDATA("Total-Old",'Distrib pivot table'!$C$2,"state","FL","group","1b1")/GETPIVOTDATA("Total-Old",'Distrib pivot table'!$C$2,"state","FL"),"*"))</f>
        <v>6.8620285713570069E-3</v>
      </c>
      <c r="I8" s="418">
        <f>IF((GETPIVOTDATA("Total-Old",'Distrib pivot table'!$C$2,"state","GA","group","1b1")/GETPIVOTDATA("Total-Old",'Distrib pivot table'!$C$2,"state","GA"))=0,,IF(GETPIVOTDATA("Total-Old",'Distrib pivot table'!$C$2,"state","GA","group","1b1")/GETPIVOTDATA("Total-Old",'Distrib pivot table'!$C$2,"state","GA")&gt;0.0005,GETPIVOTDATA("Total-Old",'Distrib pivot table'!$C$2,"state","GA","group","1b1")/GETPIVOTDATA("Total-Old",'Distrib pivot table'!$C$2,"state","GA"),"*"))</f>
        <v>1.5526029240510808E-3</v>
      </c>
      <c r="J8" s="418">
        <f>IF((GETPIVOTDATA("Total-Old",'Distrib pivot table'!$C$2,"state","KY","group","1b1")/GETPIVOTDATA("Total-Old",'Distrib pivot table'!$C$2,"state","KY"))=0,,IF(GETPIVOTDATA("Total-Old",'Distrib pivot table'!$C$2,"state","KY","group","1b1")/GETPIVOTDATA("Total-Old",'Distrib pivot table'!$C$2,"state","KY")&gt;0.0005,GETPIVOTDATA("Total-Old",'Distrib pivot table'!$C$2,"state","KY","group","1b1")/GETPIVOTDATA("Total-Old",'Distrib pivot table'!$C$2,"state","KY"),"*"))</f>
        <v>7.9699325246477548E-3</v>
      </c>
      <c r="K8" s="418">
        <f>IF((GETPIVOTDATA("Total-Old",'Distrib pivot table'!$C$2,"state","LA","group","1b1")/GETPIVOTDATA("Total-Old",'Distrib pivot table'!$C$2,"state","LA"))=0,,IF(GETPIVOTDATA("Total-Old",'Distrib pivot table'!$C$2,"state","LA","group","1b1")/GETPIVOTDATA("Total-Old",'Distrib pivot table'!$C$2,"state","LA")&gt;0.0005,GETPIVOTDATA("Total-Old",'Distrib pivot table'!$C$2,"state","LA","group","1b1")/GETPIVOTDATA("Total-Old",'Distrib pivot table'!$C$2,"state","LA"),"*"))</f>
        <v>0</v>
      </c>
      <c r="L8" s="418">
        <f>IF((GETPIVOTDATA("Total-Old",'Distrib pivot table'!$C$2,"state","MD","group","1b1")/GETPIVOTDATA("Total-Old",'Distrib pivot table'!$C$2,"state","MD"))=0,,IF(GETPIVOTDATA("Total-Old",'Distrib pivot table'!$C$2,"state","MD","group","1b1")/GETPIVOTDATA("Total-Old",'Distrib pivot table'!$C$2,"state","MD")&gt;0.0005,GETPIVOTDATA("Total-Old",'Distrib pivot table'!$C$2,"state","MD","group","1b1")/GETPIVOTDATA("Total-Old",'Distrib pivot table'!$C$2,"state","MD"),"*"))</f>
        <v>0</v>
      </c>
      <c r="M8" s="418" t="str">
        <f>IF((GETPIVOTDATA("Total-Old",'Distrib pivot table'!$C$2,"state","MS","group","1b1")/GETPIVOTDATA("Total-Old",'Distrib pivot table'!$C$2,"state","MS"))=0,,IF(GETPIVOTDATA("Total-Old",'Distrib pivot table'!$C$2,"state","MS","group","1b1")/GETPIVOTDATA("Total-Old",'Distrib pivot table'!$C$2,"state","MS")&gt;0.0005,GETPIVOTDATA("Total-Old",'Distrib pivot table'!$C$2,"state","MS","group","1b1")/GETPIVOTDATA("Total-Old",'Distrib pivot table'!$C$2,"state","MS"),"*"))</f>
        <v>*</v>
      </c>
      <c r="N8" s="418">
        <f>IF((GETPIVOTDATA("Total-Old",'Distrib pivot table'!$C$2,"state","NC","group","1b1")/GETPIVOTDATA("Total-Old",'Distrib pivot table'!$C$2,"state","NC"))=0,,IF(GETPIVOTDATA("Total-Old",'Distrib pivot table'!$C$2,"state","NC","group","1b1")/GETPIVOTDATA("Total-Old",'Distrib pivot table'!$C$2,"state","NC")&gt;0.0005,GETPIVOTDATA("Total-Old",'Distrib pivot table'!$C$2,"state","NC","group","1b1")/GETPIVOTDATA("Total-Old",'Distrib pivot table'!$C$2,"state","NC"),"*"))</f>
        <v>1.6295678836593574E-3</v>
      </c>
      <c r="O8" s="418">
        <f>IF((GETPIVOTDATA("Total-Old",'Distrib pivot table'!$C$2,"state","OK","group","1b1")/GETPIVOTDATA("Total-Old",'Distrib pivot table'!$C$2,"state","OK"))=0,,IF(GETPIVOTDATA("Total-Old",'Distrib pivot table'!$C$2,"state","OK","group","1b1")/GETPIVOTDATA("Total-Old",'Distrib pivot table'!$C$2,"state","OK")&gt;0.0005,GETPIVOTDATA("Total-Old",'Distrib pivot table'!$C$2,"state","OK","group","1b1")/GETPIVOTDATA("Total-Old",'Distrib pivot table'!$C$2,"state","OK"),"*"))</f>
        <v>0</v>
      </c>
      <c r="P8" s="418">
        <f>IF((GETPIVOTDATA("Total-Old",'Distrib pivot table'!$C$2,"state","SC","group","1b1")/GETPIVOTDATA("Total-Old",'Distrib pivot table'!$C$2,"state","SC"))=0,,IF(GETPIVOTDATA("Total-Old",'Distrib pivot table'!$C$2,"state","SC","group","1b1")/GETPIVOTDATA("Total-Old",'Distrib pivot table'!$C$2,"state","SC")&gt;0.0005,GETPIVOTDATA("Total-Old",'Distrib pivot table'!$C$2,"state","SC","group","1b1")/GETPIVOTDATA("Total-Old",'Distrib pivot table'!$C$2,"state","SC"),"*"))</f>
        <v>2.0958707424143823E-3</v>
      </c>
      <c r="Q8" s="418">
        <f>IF((GETPIVOTDATA("Total-Old",'Distrib pivot table'!$C$2,"state","TN","group","1b1")/GETPIVOTDATA("Total-Old",'Distrib pivot table'!$C$2,"state","TN"))=0,,IF(GETPIVOTDATA("Total-Old",'Distrib pivot table'!$C$2,"state","TN","group","1b1")/GETPIVOTDATA("Total-Old",'Distrib pivot table'!$C$2,"state","TN")&gt;0.0005,GETPIVOTDATA("Total-Old",'Distrib pivot table'!$C$2,"state","TN","group","1b1")/GETPIVOTDATA("Total-Old",'Distrib pivot table'!$C$2,"state","TN"),"*"))</f>
        <v>3.3240531735876234E-3</v>
      </c>
      <c r="R8" s="418">
        <f>IF((GETPIVOTDATA("Total-Old",'Distrib pivot table'!$C$2,"state","TX","group","1b1")/GETPIVOTDATA("Total-Old",'Distrib pivot table'!$C$2,"state","TX"))=0,,IF(GETPIVOTDATA("Total-Old",'Distrib pivot table'!$C$2,"state","TX","group","1b1")/GETPIVOTDATA("Total-Old",'Distrib pivot table'!$C$2,"state","TX")&gt;0.0005,GETPIVOTDATA("Total-Old",'Distrib pivot table'!$C$2,"state","TX","group","1b1")/GETPIVOTDATA("Total-Old",'Distrib pivot table'!$C$2,"state","TX"),"*"))</f>
        <v>1.6086882465383489E-2</v>
      </c>
      <c r="S8" s="418">
        <f>IF((GETPIVOTDATA("Total-Old",'Distrib pivot table'!$C$2,"state","VA","group","1b1")/GETPIVOTDATA("Total-Old",'Distrib pivot table'!$C$2,"state","VA"))=0,,IF(GETPIVOTDATA("Total-Old",'Distrib pivot table'!$C$2,"state","VA","group","1b1")/GETPIVOTDATA("Total-Old",'Distrib pivot table'!$C$2,"state","VA")&gt;0.0005,GETPIVOTDATA("Total-Old",'Distrib pivot table'!$C$2,"state","VA","group","1b1")/GETPIVOTDATA("Total-Old",'Distrib pivot table'!$C$2,"state","VA"),"*"))</f>
        <v>0</v>
      </c>
      <c r="T8" s="418">
        <f>IF((GETPIVOTDATA("Total-Old",'Distrib pivot table'!$C$2,"state","WV","group","1b1")/GETPIVOTDATA("Total-Old",'Distrib pivot table'!$C$2,"state","WV"))=0,,IF(GETPIVOTDATA("Total-Old",'Distrib pivot table'!$C$2,"state","WV","group","1b1")/GETPIVOTDATA("Total-Old",'Distrib pivot table'!$C$2,"state","WV")&gt;0.0005,GETPIVOTDATA("Total-Old",'Distrib pivot table'!$C$2,"state","WV","group","1b1")/GETPIVOTDATA("Total-Old",'Distrib pivot table'!$C$2,"state","WV"),"*"))</f>
        <v>0</v>
      </c>
      <c r="U8" s="3"/>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row>
    <row r="9" spans="1:50" ht="12.6" customHeight="1" x14ac:dyDescent="0.2">
      <c r="A9" s="1539"/>
      <c r="B9" s="127" t="s">
        <v>258</v>
      </c>
      <c r="C9" s="371" t="s">
        <v>267</v>
      </c>
      <c r="D9" s="418" t="str">
        <f>IF(GETPIVOTDATA("Total-Old",'Distrib pivot table'!$C$2,"group","1b2")/GETPIVOTDATA("Total-Old",'Distrib pivot table'!$C$2)=0,,IF(GETPIVOTDATA("Total-Old",'Distrib pivot table'!$C$2,"group","1b2")/GETPIVOTDATA("Total-Old",'Distrib pivot table'!$C$2)&gt;0.0005,GETPIVOTDATA("Total-Old",'Distrib pivot table'!$C$2,"group","1b2")/GETPIVOTDATA("Total-Old",'Distrib pivot table'!$C$2),"*"))</f>
        <v>*</v>
      </c>
      <c r="E9" s="418">
        <f>IF((GETPIVOTDATA("Total-Old",'Distrib pivot table'!$C$2,"state","AL","group","1b2")/GETPIVOTDATA("Total-Old",'Distrib pivot table'!$C$2,"state","AL"))=0,,IF(GETPIVOTDATA("Total-Old",'Distrib pivot table'!$C$2,"state","AL","group","1b2")/GETPIVOTDATA("Total-Old",'Distrib pivot table'!$C$2,"state","AL")&gt;0.0005,GETPIVOTDATA("Total-Old",'Distrib pivot table'!$C$2,"state","AL","group","1b2")/GETPIVOTDATA("Total-Old",'Distrib pivot table'!$C$2,"state","AL"),"*"))</f>
        <v>7.9340454574098457E-4</v>
      </c>
      <c r="F9" s="418">
        <f>IF((GETPIVOTDATA("Total-Old",'Distrib pivot table'!$C$2,"state","AR","group","1b2")/GETPIVOTDATA("Total-Old",'Distrib pivot table'!$C$2,"state","AR"))=0,,IF(GETPIVOTDATA("Total-Old",'Distrib pivot table'!$C$2,"state","AR","group","1b2")/GETPIVOTDATA("Total-Old",'Distrib pivot table'!$C$2,"state","AR")&gt;0.0005,GETPIVOTDATA("Total-Old",'Distrib pivot table'!$C$2,"state","AR","group","1b2")/GETPIVOTDATA("Total-Old",'Distrib pivot table'!$C$2,"state","AR"),"*"))</f>
        <v>0</v>
      </c>
      <c r="G9" s="418">
        <f>IF((GETPIVOTDATA("Total-Old",'Distrib pivot table'!$C$2,"state","DE","group","1b2")/GETPIVOTDATA("Total-Old",'Distrib pivot table'!$C$2,"state","DE"))=0,,IF(GETPIVOTDATA("Total-Old",'Distrib pivot table'!$C$2,"state","DE","group","1b2")/GETPIVOTDATA("Total-Old",'Distrib pivot table'!$C$2,"state","DE")&gt;0.0005,GETPIVOTDATA("Total-Old",'Distrib pivot table'!$C$2,"state","DE","group","1b2")/GETPIVOTDATA("Total-Old",'Distrib pivot table'!$C$2,"state","DE"),"*"))</f>
        <v>0</v>
      </c>
      <c r="H9" s="418">
        <f>IF((GETPIVOTDATA("Total-Old",'Distrib pivot table'!$C$2,"state","FL","group","1b2")/GETPIVOTDATA("Total-Old",'Distrib pivot table'!$C$2,"state","FL"))=0,,IF(GETPIVOTDATA("Total-Old",'Distrib pivot table'!$C$2,"state","FL","group","1b2")/GETPIVOTDATA("Total-Old",'Distrib pivot table'!$C$2,"state","FL")&gt;0.0005,GETPIVOTDATA("Total-Old",'Distrib pivot table'!$C$2,"state","FL","group","1b2")/GETPIVOTDATA("Total-Old",'Distrib pivot table'!$C$2,"state","FL"),"*"))</f>
        <v>0</v>
      </c>
      <c r="I9" s="418">
        <f>IF((GETPIVOTDATA("Total-Old",'Distrib pivot table'!$C$2,"state","GA","group","1b2")/GETPIVOTDATA("Total-Old",'Distrib pivot table'!$C$2,"state","GA"))=0,,IF(GETPIVOTDATA("Total-Old",'Distrib pivot table'!$C$2,"state","GA","group","1b2")/GETPIVOTDATA("Total-Old",'Distrib pivot table'!$C$2,"state","GA")&gt;0.0005,GETPIVOTDATA("Total-Old",'Distrib pivot table'!$C$2,"state","GA","group","1b2")/GETPIVOTDATA("Total-Old",'Distrib pivot table'!$C$2,"state","GA"),"*"))</f>
        <v>0</v>
      </c>
      <c r="J9" s="418">
        <f>IF((GETPIVOTDATA("Total-Old",'Distrib pivot table'!$C$2,"state","KY","group","1b2")/GETPIVOTDATA("Total-Old",'Distrib pivot table'!$C$2,"state","KY"))=0,,IF(GETPIVOTDATA("Total-Old",'Distrib pivot table'!$C$2,"state","KY","group","1b2")/GETPIVOTDATA("Total-Old",'Distrib pivot table'!$C$2,"state","KY")&gt;0.0005,GETPIVOTDATA("Total-Old",'Distrib pivot table'!$C$2,"state","KY","group","1b2")/GETPIVOTDATA("Total-Old",'Distrib pivot table'!$C$2,"state","KY"),"*"))</f>
        <v>0</v>
      </c>
      <c r="K9" s="418">
        <f>IF((GETPIVOTDATA("Total-Old",'Distrib pivot table'!$C$2,"state","LA","group","1b2")/GETPIVOTDATA("Total-Old",'Distrib pivot table'!$C$2,"state","LA"))=0,,IF(GETPIVOTDATA("Total-Old",'Distrib pivot table'!$C$2,"state","LA","group","1b2")/GETPIVOTDATA("Total-Old",'Distrib pivot table'!$C$2,"state","LA")&gt;0.0005,GETPIVOTDATA("Total-Old",'Distrib pivot table'!$C$2,"state","LA","group","1b2")/GETPIVOTDATA("Total-Old",'Distrib pivot table'!$C$2,"state","LA"),"*"))</f>
        <v>0</v>
      </c>
      <c r="L9" s="418">
        <f>IF((GETPIVOTDATA("Total-Old",'Distrib pivot table'!$C$2,"state","MD","group","1b2")/GETPIVOTDATA("Total-Old",'Distrib pivot table'!$C$2,"state","MD"))=0,,IF(GETPIVOTDATA("Total-Old",'Distrib pivot table'!$C$2,"state","MD","group","1b2")/GETPIVOTDATA("Total-Old",'Distrib pivot table'!$C$2,"state","MD")&gt;0.0005,GETPIVOTDATA("Total-Old",'Distrib pivot table'!$C$2,"state","MD","group","1b2")/GETPIVOTDATA("Total-Old",'Distrib pivot table'!$C$2,"state","MD"),"*"))</f>
        <v>0</v>
      </c>
      <c r="M9" s="418">
        <f>IF((GETPIVOTDATA("Total-Old",'Distrib pivot table'!$C$2,"state","MS","group","1b2")/GETPIVOTDATA("Total-Old",'Distrib pivot table'!$C$2,"state","MS"))=0,,IF(GETPIVOTDATA("Total-Old",'Distrib pivot table'!$C$2,"state","MS","group","1b2")/GETPIVOTDATA("Total-Old",'Distrib pivot table'!$C$2,"state","MS")&gt;0.0005,GETPIVOTDATA("Total-Old",'Distrib pivot table'!$C$2,"state","MS","group","1b2")/GETPIVOTDATA("Total-Old",'Distrib pivot table'!$C$2,"state","MS"),"*"))</f>
        <v>0</v>
      </c>
      <c r="N9" s="418">
        <f>IF((GETPIVOTDATA("Total-Old",'Distrib pivot table'!$C$2,"state","NC","group","1b2")/GETPIVOTDATA("Total-Old",'Distrib pivot table'!$C$2,"state","NC"))=0,,IF(GETPIVOTDATA("Total-Old",'Distrib pivot table'!$C$2,"state","NC","group","1b2")/GETPIVOTDATA("Total-Old",'Distrib pivot table'!$C$2,"state","NC")&gt;0.0005,GETPIVOTDATA("Total-Old",'Distrib pivot table'!$C$2,"state","NC","group","1b2")/GETPIVOTDATA("Total-Old",'Distrib pivot table'!$C$2,"state","NC"),"*"))</f>
        <v>0</v>
      </c>
      <c r="O9" s="418">
        <f>IF((GETPIVOTDATA("Total-Old",'Distrib pivot table'!$C$2,"state","OK","group","1b2")/GETPIVOTDATA("Total-Old",'Distrib pivot table'!$C$2,"state","OK"))=0,,IF(GETPIVOTDATA("Total-Old",'Distrib pivot table'!$C$2,"state","OK","group","1b2")/GETPIVOTDATA("Total-Old",'Distrib pivot table'!$C$2,"state","OK")&gt;0.0005,GETPIVOTDATA("Total-Old",'Distrib pivot table'!$C$2,"state","OK","group","1b2")/GETPIVOTDATA("Total-Old",'Distrib pivot table'!$C$2,"state","OK"),"*"))</f>
        <v>0</v>
      </c>
      <c r="P9" s="418">
        <f>IF((GETPIVOTDATA("Total-Old",'Distrib pivot table'!$C$2,"state","SC","group","1b2")/GETPIVOTDATA("Total-Old",'Distrib pivot table'!$C$2,"state","SC"))=0,,IF(GETPIVOTDATA("Total-Old",'Distrib pivot table'!$C$2,"state","SC","group","1b2")/GETPIVOTDATA("Total-Old",'Distrib pivot table'!$C$2,"state","SC")&gt;0.0005,GETPIVOTDATA("Total-Old",'Distrib pivot table'!$C$2,"state","SC","group","1b2")/GETPIVOTDATA("Total-Old",'Distrib pivot table'!$C$2,"state","SC"),"*"))</f>
        <v>0</v>
      </c>
      <c r="Q9" s="418">
        <f>IF((GETPIVOTDATA("Total-Old",'Distrib pivot table'!$C$2,"state","TN","group","1b2")/GETPIVOTDATA("Total-Old",'Distrib pivot table'!$C$2,"state","TN"))=0,,IF(GETPIVOTDATA("Total-Old",'Distrib pivot table'!$C$2,"state","TN","group","1b2")/GETPIVOTDATA("Total-Old",'Distrib pivot table'!$C$2,"state","TN")&gt;0.0005,GETPIVOTDATA("Total-Old",'Distrib pivot table'!$C$2,"state","TN","group","1b2")/GETPIVOTDATA("Total-Old",'Distrib pivot table'!$C$2,"state","TN"),"*"))</f>
        <v>0</v>
      </c>
      <c r="R9" s="418">
        <f>IF((GETPIVOTDATA("Total-Old",'Distrib pivot table'!$C$2,"state","TX","group","1b2")/GETPIVOTDATA("Total-Old",'Distrib pivot table'!$C$2,"state","TX"))=0,,IF(GETPIVOTDATA("Total-Old",'Distrib pivot table'!$C$2,"state","TX","group","1b2")/GETPIVOTDATA("Total-Old",'Distrib pivot table'!$C$2,"state","TX")&gt;0.0005,GETPIVOTDATA("Total-Old",'Distrib pivot table'!$C$2,"state","TX","group","1b2")/GETPIVOTDATA("Total-Old",'Distrib pivot table'!$C$2,"state","TX"),"*"))</f>
        <v>0</v>
      </c>
      <c r="S9" s="418">
        <f>IF((GETPIVOTDATA("Total-Old",'Distrib pivot table'!$C$2,"state","VA","group","1b2")/GETPIVOTDATA("Total-Old",'Distrib pivot table'!$C$2,"state","VA"))=0,,IF(GETPIVOTDATA("Total-Old",'Distrib pivot table'!$C$2,"state","VA","group","1b2")/GETPIVOTDATA("Total-Old",'Distrib pivot table'!$C$2,"state","VA")&gt;0.0005,GETPIVOTDATA("Total-Old",'Distrib pivot table'!$C$2,"state","VA","group","1b2")/GETPIVOTDATA("Total-Old",'Distrib pivot table'!$C$2,"state","VA"),"*"))</f>
        <v>0</v>
      </c>
      <c r="T9" s="418">
        <f>IF((GETPIVOTDATA("Total-Old",'Distrib pivot table'!$C$2,"state","WV","group","1b2")/GETPIVOTDATA("Total-Old",'Distrib pivot table'!$C$2,"state","WV"))=0,,IF(GETPIVOTDATA("Total-Old",'Distrib pivot table'!$C$2,"state","WV","group","1b2")/GETPIVOTDATA("Total-Old",'Distrib pivot table'!$C$2,"state","WV")&gt;0.0005,GETPIVOTDATA("Total-Old",'Distrib pivot table'!$C$2,"state","WV","group","1b2")/GETPIVOTDATA("Total-Old",'Distrib pivot table'!$C$2,"state","WV"),"*"))</f>
        <v>0</v>
      </c>
      <c r="U9" s="3"/>
      <c r="V9" s="3"/>
      <c r="W9" s="3"/>
      <c r="X9" s="3"/>
      <c r="Y9" s="3"/>
      <c r="Z9" s="3"/>
      <c r="AA9" s="3"/>
      <c r="AB9" s="3"/>
      <c r="AC9" s="3"/>
      <c r="AD9" s="3"/>
      <c r="AE9" s="3"/>
      <c r="AF9" s="3"/>
      <c r="AG9" s="3"/>
      <c r="AH9" s="3"/>
      <c r="AI9" s="3"/>
      <c r="AJ9" s="3"/>
      <c r="AK9" s="3"/>
      <c r="AL9" s="3"/>
      <c r="AM9" s="3"/>
      <c r="AN9" s="3"/>
      <c r="AO9" s="3"/>
      <c r="AP9" s="3"/>
      <c r="AQ9" s="3"/>
      <c r="AR9" s="3"/>
      <c r="AS9" s="3"/>
      <c r="AT9" s="3"/>
      <c r="AU9" s="3"/>
      <c r="AV9" s="3"/>
      <c r="AW9" s="3"/>
      <c r="AX9" s="3"/>
    </row>
    <row r="10" spans="1:50" ht="12.6" customHeight="1" x14ac:dyDescent="0.2">
      <c r="A10" s="1539"/>
      <c r="B10" s="127" t="s">
        <v>257</v>
      </c>
      <c r="C10" s="371" t="s">
        <v>268</v>
      </c>
      <c r="D10" s="418">
        <f>IF(GETPIVOTDATA("Total-Old",'Distrib pivot table'!$C$2,"group","1b3")/GETPIVOTDATA("Total-Old",'Distrib pivot table'!$C$2)=0,,IF(GETPIVOTDATA("Total-Old",'Distrib pivot table'!$C$2,"group","1b3")/GETPIVOTDATA("Total-Old",'Distrib pivot table'!$C$2)&gt;0.0005,GETPIVOTDATA("Total-Old",'Distrib pivot table'!$C$2,"group","1b3")/GETPIVOTDATA("Total-Old",'Distrib pivot table'!$C$2),"*"))</f>
        <v>1.0523371458689436E-2</v>
      </c>
      <c r="E10" s="418">
        <f>IF((GETPIVOTDATA("Total-Old",'Distrib pivot table'!$C$2,"state","AL","group","1b3")/GETPIVOTDATA("Total-Old",'Distrib pivot table'!$C$2,"state","AL"))=0,,IF(GETPIVOTDATA("Total-Old",'Distrib pivot table'!$C$2,"state","AL","group","1b3")/GETPIVOTDATA("Total-Old",'Distrib pivot table'!$C$2,"state","AL")&gt;0.0005,GETPIVOTDATA("Total-Old",'Distrib pivot table'!$C$2,"state","AL","group","1b3")/GETPIVOTDATA("Total-Old",'Distrib pivot table'!$C$2,"state","AL"),"*"))</f>
        <v>1.1835097289580571E-2</v>
      </c>
      <c r="F10" s="418">
        <f>IF((GETPIVOTDATA("Total-Old",'Distrib pivot table'!$C$2,"state","AR","group","1b3")/GETPIVOTDATA("Total-Old",'Distrib pivot table'!$C$2,"state","AR"))=0,,IF(GETPIVOTDATA("Total-Old",'Distrib pivot table'!$C$2,"state","AR","group","1b3")/GETPIVOTDATA("Total-Old",'Distrib pivot table'!$C$2,"state","AR")&gt;0.0005,GETPIVOTDATA("Total-Old",'Distrib pivot table'!$C$2,"state","AR","group","1b3")/GETPIVOTDATA("Total-Old",'Distrib pivot table'!$C$2,"state","AR"),"*"))</f>
        <v>0</v>
      </c>
      <c r="G10" s="418">
        <f>IF((GETPIVOTDATA("Total-Old",'Distrib pivot table'!$C$2,"state","DE","group","1b3")/GETPIVOTDATA("Total-Old",'Distrib pivot table'!$C$2,"state","DE"))=0,,IF(GETPIVOTDATA("Total-Old",'Distrib pivot table'!$C$2,"state","DE","group","1b3")/GETPIVOTDATA("Total-Old",'Distrib pivot table'!$C$2,"state","DE")&gt;0.0005,GETPIVOTDATA("Total-Old",'Distrib pivot table'!$C$2,"state","DE","group","1b3")/GETPIVOTDATA("Total-Old",'Distrib pivot table'!$C$2,"state","DE"),"*"))</f>
        <v>2.8519407679117627E-3</v>
      </c>
      <c r="H10" s="418">
        <f>IF((GETPIVOTDATA("Total-Old",'Distrib pivot table'!$C$2,"state","FL","group","1b3")/GETPIVOTDATA("Total-Old",'Distrib pivot table'!$C$2,"state","FL"))=0,,IF(GETPIVOTDATA("Total-Old",'Distrib pivot table'!$C$2,"state","FL","group","1b3")/GETPIVOTDATA("Total-Old",'Distrib pivot table'!$C$2,"state","FL")&gt;0.0005,GETPIVOTDATA("Total-Old",'Distrib pivot table'!$C$2,"state","FL","group","1b3")/GETPIVOTDATA("Total-Old",'Distrib pivot table'!$C$2,"state","FL"),"*"))</f>
        <v>2.2708116291216621E-2</v>
      </c>
      <c r="I10" s="418">
        <f>IF((GETPIVOTDATA("Total-Old",'Distrib pivot table'!$C$2,"state","GA","group","1b3")/GETPIVOTDATA("Total-Old",'Distrib pivot table'!$C$2,"state","GA"))=0,,IF(GETPIVOTDATA("Total-Old",'Distrib pivot table'!$C$2,"state","GA","group","1b3")/GETPIVOTDATA("Total-Old",'Distrib pivot table'!$C$2,"state","GA")&gt;0.0005,GETPIVOTDATA("Total-Old",'Distrib pivot table'!$C$2,"state","GA","group","1b3")/GETPIVOTDATA("Total-Old",'Distrib pivot table'!$C$2,"state","GA"),"*"))</f>
        <v>6.2032732415671496E-3</v>
      </c>
      <c r="J10" s="418">
        <f>IF((GETPIVOTDATA("Total-Old",'Distrib pivot table'!$C$2,"state","KY","group","1b3")/GETPIVOTDATA("Total-Old",'Distrib pivot table'!$C$2,"state","KY"))=0,,IF(GETPIVOTDATA("Total-Old",'Distrib pivot table'!$C$2,"state","KY","group","1b3")/GETPIVOTDATA("Total-Old",'Distrib pivot table'!$C$2,"state","KY")&gt;0.0005,GETPIVOTDATA("Total-Old",'Distrib pivot table'!$C$2,"state","KY","group","1b3")/GETPIVOTDATA("Total-Old",'Distrib pivot table'!$C$2,"state","KY"),"*"))</f>
        <v>2.2559396401814331E-2</v>
      </c>
      <c r="K10" s="418">
        <f>IF((GETPIVOTDATA("Total-Old",'Distrib pivot table'!$C$2,"state","LA","group","1b3")/GETPIVOTDATA("Total-Old",'Distrib pivot table'!$C$2,"state","LA"))=0,,IF(GETPIVOTDATA("Total-Old",'Distrib pivot table'!$C$2,"state","LA","group","1b3")/GETPIVOTDATA("Total-Old",'Distrib pivot table'!$C$2,"state","LA")&gt;0.0005,GETPIVOTDATA("Total-Old",'Distrib pivot table'!$C$2,"state","LA","group","1b3")/GETPIVOTDATA("Total-Old",'Distrib pivot table'!$C$2,"state","LA"),"*"))</f>
        <v>2.0428296689926802E-2</v>
      </c>
      <c r="L10" s="418">
        <f>IF((GETPIVOTDATA("Total-Old",'Distrib pivot table'!$C$2,"state","MD","group","1b3")/GETPIVOTDATA("Total-Old",'Distrib pivot table'!$C$2,"state","MD"))=0,,IF(GETPIVOTDATA("Total-Old",'Distrib pivot table'!$C$2,"state","MD","group","1b3")/GETPIVOTDATA("Total-Old",'Distrib pivot table'!$C$2,"state","MD")&gt;0.0005,GETPIVOTDATA("Total-Old",'Distrib pivot table'!$C$2,"state","MD","group","1b3")/GETPIVOTDATA("Total-Old",'Distrib pivot table'!$C$2,"state","MD"),"*"))</f>
        <v>4.9638672697633127E-3</v>
      </c>
      <c r="M10" s="418">
        <f>IF((GETPIVOTDATA("Total-Old",'Distrib pivot table'!$C$2,"state","MS","group","1b3")/GETPIVOTDATA("Total-Old",'Distrib pivot table'!$C$2,"state","MS"))=0,,IF(GETPIVOTDATA("Total-Old",'Distrib pivot table'!$C$2,"state","MS","group","1b3")/GETPIVOTDATA("Total-Old",'Distrib pivot table'!$C$2,"state","MS")&gt;0.0005,GETPIVOTDATA("Total-Old",'Distrib pivot table'!$C$2,"state","MS","group","1b3")/GETPIVOTDATA("Total-Old",'Distrib pivot table'!$C$2,"state","MS"),"*"))</f>
        <v>1.8440871226926728E-2</v>
      </c>
      <c r="N10" s="418">
        <f>IF((GETPIVOTDATA("Total-Old",'Distrib pivot table'!$C$2,"state","NC","group","1b3")/GETPIVOTDATA("Total-Old",'Distrib pivot table'!$C$2,"state","NC"))=0,,IF(GETPIVOTDATA("Total-Old",'Distrib pivot table'!$C$2,"state","NC","group","1b3")/GETPIVOTDATA("Total-Old",'Distrib pivot table'!$C$2,"state","NC")&gt;0.0005,GETPIVOTDATA("Total-Old",'Distrib pivot table'!$C$2,"state","NC","group","1b3")/GETPIVOTDATA("Total-Old",'Distrib pivot table'!$C$2,"state","NC"),"*"))</f>
        <v>7.1853483333398837E-3</v>
      </c>
      <c r="O10" s="418">
        <f>IF((GETPIVOTDATA("Total-Old",'Distrib pivot table'!$C$2,"state","OK","group","1b3")/GETPIVOTDATA("Total-Old",'Distrib pivot table'!$C$2,"state","OK"))=0,,IF(GETPIVOTDATA("Total-Old",'Distrib pivot table'!$C$2,"state","OK","group","1b3")/GETPIVOTDATA("Total-Old",'Distrib pivot table'!$C$2,"state","OK")&gt;0.0005,GETPIVOTDATA("Total-Old",'Distrib pivot table'!$C$2,"state","OK","group","1b3")/GETPIVOTDATA("Total-Old",'Distrib pivot table'!$C$2,"state","OK"),"*"))</f>
        <v>1.4408021477132575E-2</v>
      </c>
      <c r="P10" s="418">
        <f>IF((GETPIVOTDATA("Total-Old",'Distrib pivot table'!$C$2,"state","SC","group","1b3")/GETPIVOTDATA("Total-Old",'Distrib pivot table'!$C$2,"state","SC"))=0,,IF(GETPIVOTDATA("Total-Old",'Distrib pivot table'!$C$2,"state","SC","group","1b3")/GETPIVOTDATA("Total-Old",'Distrib pivot table'!$C$2,"state","SC")&gt;0.0005,GETPIVOTDATA("Total-Old",'Distrib pivot table'!$C$2,"state","SC","group","1b3")/GETPIVOTDATA("Total-Old",'Distrib pivot table'!$C$2,"state","SC"),"*"))</f>
        <v>1.033137600206859E-2</v>
      </c>
      <c r="Q10" s="418">
        <f>IF((GETPIVOTDATA("Total-Old",'Distrib pivot table'!$C$2,"state","TN","group","1b3")/GETPIVOTDATA("Total-Old",'Distrib pivot table'!$C$2,"state","TN"))=0,,IF(GETPIVOTDATA("Total-Old",'Distrib pivot table'!$C$2,"state","TN","group","1b3")/GETPIVOTDATA("Total-Old",'Distrib pivot table'!$C$2,"state","TN")&gt;0.0005,GETPIVOTDATA("Total-Old",'Distrib pivot table'!$C$2,"state","TN","group","1b3")/GETPIVOTDATA("Total-Old",'Distrib pivot table'!$C$2,"state","TN"),"*"))</f>
        <v>1.2496646659019384E-2</v>
      </c>
      <c r="R10" s="418">
        <f>IF((GETPIVOTDATA("Total-Old",'Distrib pivot table'!$C$2,"state","TX","group","1b3")/GETPIVOTDATA("Total-Old",'Distrib pivot table'!$C$2,"state","TX"))=0,,IF(GETPIVOTDATA("Total-Old",'Distrib pivot table'!$C$2,"state","TX","group","1b3")/GETPIVOTDATA("Total-Old",'Distrib pivot table'!$C$2,"state","TX")&gt;0.0005,GETPIVOTDATA("Total-Old",'Distrib pivot table'!$C$2,"state","TX","group","1b3")/GETPIVOTDATA("Total-Old",'Distrib pivot table'!$C$2,"state","TX"),"*"))</f>
        <v>4.9729949574741864E-3</v>
      </c>
      <c r="S10" s="418">
        <f>IF((GETPIVOTDATA("Total-Old",'Distrib pivot table'!$C$2,"state","VA","group","1b3")/GETPIVOTDATA("Total-Old",'Distrib pivot table'!$C$2,"state","VA"))=0,,IF(GETPIVOTDATA("Total-Old",'Distrib pivot table'!$C$2,"state","VA","group","1b3")/GETPIVOTDATA("Total-Old",'Distrib pivot table'!$C$2,"state","VA")&gt;0.0005,GETPIVOTDATA("Total-Old",'Distrib pivot table'!$C$2,"state","VA","group","1b3")/GETPIVOTDATA("Total-Old",'Distrib pivot table'!$C$2,"state","VA"),"*"))</f>
        <v>7.9148362612510535E-3</v>
      </c>
      <c r="T10" s="418">
        <f>IF((GETPIVOTDATA("Total-Old",'Distrib pivot table'!$C$2,"state","WV","group","1b3")/GETPIVOTDATA("Total-Old",'Distrib pivot table'!$C$2,"state","WV"))=0,,IF(GETPIVOTDATA("Total-Old",'Distrib pivot table'!$C$2,"state","WV","group","1b3")/GETPIVOTDATA("Total-Old",'Distrib pivot table'!$C$2,"state","WV")&gt;0.0005,GETPIVOTDATA("Total-Old",'Distrib pivot table'!$C$2,"state","WV","group","1b3")/GETPIVOTDATA("Total-Old",'Distrib pivot table'!$C$2,"state","WV"),"*"))</f>
        <v>1.5005854048009864E-2</v>
      </c>
      <c r="U10" s="3"/>
      <c r="V10" s="3"/>
      <c r="W10" s="3"/>
      <c r="X10" s="3"/>
      <c r="Y10" s="3"/>
      <c r="Z10" s="3"/>
      <c r="AA10" s="3"/>
      <c r="AB10" s="3"/>
      <c r="AC10" s="3"/>
      <c r="AD10" s="3"/>
      <c r="AE10" s="3"/>
      <c r="AF10" s="3"/>
      <c r="AG10" s="3"/>
      <c r="AH10" s="3"/>
      <c r="AI10" s="3"/>
      <c r="AJ10" s="3"/>
      <c r="AK10" s="3"/>
      <c r="AL10" s="3"/>
      <c r="AM10" s="3"/>
      <c r="AN10" s="3"/>
      <c r="AO10" s="3"/>
      <c r="AP10" s="3"/>
      <c r="AQ10" s="3"/>
      <c r="AR10" s="3"/>
      <c r="AS10" s="3"/>
      <c r="AT10" s="3"/>
      <c r="AU10" s="3"/>
      <c r="AV10" s="3"/>
      <c r="AW10" s="3"/>
      <c r="AX10" s="3"/>
    </row>
    <row r="11" spans="1:50" ht="12.6" customHeight="1" x14ac:dyDescent="0.2">
      <c r="A11" s="1539"/>
      <c r="B11" s="127" t="s">
        <v>256</v>
      </c>
      <c r="C11" s="371" t="s">
        <v>269</v>
      </c>
      <c r="D11" s="418">
        <f>IF(GETPIVOTDATA("Total-Old",'Distrib pivot table'!$C$2,"group","1b4")/GETPIVOTDATA("Total-Old",'Distrib pivot table'!$C$2)=0,,IF(GETPIVOTDATA("Total-Old",'Distrib pivot table'!$C$2,"group","1b4")/GETPIVOTDATA("Total-Old",'Distrib pivot table'!$C$2)&gt;0.0005,GETPIVOTDATA("Total-Old",'Distrib pivot table'!$C$2,"group","1b4")/GETPIVOTDATA("Total-Old",'Distrib pivot table'!$C$2),"*"))</f>
        <v>5.9816323994971487E-3</v>
      </c>
      <c r="E11" s="418">
        <f>IF((GETPIVOTDATA("Total-Old",'Distrib pivot table'!$C$2,"state","AL","group","1b4")/GETPIVOTDATA("Total-Old",'Distrib pivot table'!$C$2,"state","AL"))=0,,IF(GETPIVOTDATA("Total-Old",'Distrib pivot table'!$C$2,"state","AL","group","1b4")/GETPIVOTDATA("Total-Old",'Distrib pivot table'!$C$2,"state","AL")&gt;0.0005,GETPIVOTDATA("Total-Old",'Distrib pivot table'!$C$2,"state","AL","group","1b4")/GETPIVOTDATA("Total-Old",'Distrib pivot table'!$C$2,"state","AL"),"*"))</f>
        <v>9.2097148069705485E-3</v>
      </c>
      <c r="F11" s="418">
        <f>IF((GETPIVOTDATA("Total-Old",'Distrib pivot table'!$C$2,"state","AR","group","1b4")/GETPIVOTDATA("Total-Old",'Distrib pivot table'!$C$2,"state","AR"))=0,,IF(GETPIVOTDATA("Total-Old",'Distrib pivot table'!$C$2,"state","AR","group","1b4")/GETPIVOTDATA("Total-Old",'Distrib pivot table'!$C$2,"state","AR")&gt;0.0005,GETPIVOTDATA("Total-Old",'Distrib pivot table'!$C$2,"state","AR","group","1b4")/GETPIVOTDATA("Total-Old",'Distrib pivot table'!$C$2,"state","AR"),"*"))</f>
        <v>0</v>
      </c>
      <c r="G11" s="418">
        <f>IF((GETPIVOTDATA("Total-Old",'Distrib pivot table'!$C$2,"state","DE","group","1b4")/GETPIVOTDATA("Total-Old",'Distrib pivot table'!$C$2,"state","DE"))=0,,IF(GETPIVOTDATA("Total-Old",'Distrib pivot table'!$C$2,"state","DE","group","1b4")/GETPIVOTDATA("Total-Old",'Distrib pivot table'!$C$2,"state","DE")&gt;0.0005,GETPIVOTDATA("Total-Old",'Distrib pivot table'!$C$2,"state","DE","group","1b4")/GETPIVOTDATA("Total-Old",'Distrib pivot table'!$C$2,"state","DE"),"*"))</f>
        <v>3.2160183127515618E-3</v>
      </c>
      <c r="H11" s="418">
        <f>IF((GETPIVOTDATA("Total-Old",'Distrib pivot table'!$C$2,"state","FL","group","1b4")/GETPIVOTDATA("Total-Old",'Distrib pivot table'!$C$2,"state","FL"))=0,,IF(GETPIVOTDATA("Total-Old",'Distrib pivot table'!$C$2,"state","FL","group","1b4")/GETPIVOTDATA("Total-Old",'Distrib pivot table'!$C$2,"state","FL")&gt;0.0005,GETPIVOTDATA("Total-Old",'Distrib pivot table'!$C$2,"state","FL","group","1b4")/GETPIVOTDATA("Total-Old",'Distrib pivot table'!$C$2,"state","FL"),"*"))</f>
        <v>0</v>
      </c>
      <c r="I11" s="418">
        <f>IF((GETPIVOTDATA("Total-Old",'Distrib pivot table'!$C$2,"state","GA","group","1b4")/GETPIVOTDATA("Total-Old",'Distrib pivot table'!$C$2,"state","GA"))=0,,IF(GETPIVOTDATA("Total-Old",'Distrib pivot table'!$C$2,"state","GA","group","1b4")/GETPIVOTDATA("Total-Old",'Distrib pivot table'!$C$2,"state","GA")&gt;0.0005,GETPIVOTDATA("Total-Old",'Distrib pivot table'!$C$2,"state","GA","group","1b4")/GETPIVOTDATA("Total-Old",'Distrib pivot table'!$C$2,"state","GA"),"*"))</f>
        <v>7.3903709248507657E-3</v>
      </c>
      <c r="J11" s="418">
        <f>IF((GETPIVOTDATA("Total-Old",'Distrib pivot table'!$C$2,"state","KY","group","1b4")/GETPIVOTDATA("Total-Old",'Distrib pivot table'!$C$2,"state","KY"))=0,,IF(GETPIVOTDATA("Total-Old",'Distrib pivot table'!$C$2,"state","KY","group","1b4")/GETPIVOTDATA("Total-Old",'Distrib pivot table'!$C$2,"state","KY")&gt;0.0005,GETPIVOTDATA("Total-Old",'Distrib pivot table'!$C$2,"state","KY","group","1b4")/GETPIVOTDATA("Total-Old",'Distrib pivot table'!$C$2,"state","KY"),"*"))</f>
        <v>0</v>
      </c>
      <c r="K11" s="418">
        <f>IF((GETPIVOTDATA("Total-Old",'Distrib pivot table'!$C$2,"state","LA","group","1b4")/GETPIVOTDATA("Total-Old",'Distrib pivot table'!$C$2,"state","LA"))=0,,IF(GETPIVOTDATA("Total-Old",'Distrib pivot table'!$C$2,"state","LA","group","1b4")/GETPIVOTDATA("Total-Old",'Distrib pivot table'!$C$2,"state","LA")&gt;0.0005,GETPIVOTDATA("Total-Old",'Distrib pivot table'!$C$2,"state","LA","group","1b4")/GETPIVOTDATA("Total-Old",'Distrib pivot table'!$C$2,"state","LA"),"*"))</f>
        <v>1.4156146529475128E-2</v>
      </c>
      <c r="L11" s="418">
        <f>IF((GETPIVOTDATA("Total-Old",'Distrib pivot table'!$C$2,"state","MD","group","1b4")/GETPIVOTDATA("Total-Old",'Distrib pivot table'!$C$2,"state","MD"))=0,,IF(GETPIVOTDATA("Total-Old",'Distrib pivot table'!$C$2,"state","MD","group","1b4")/GETPIVOTDATA("Total-Old",'Distrib pivot table'!$C$2,"state","MD")&gt;0.0005,GETPIVOTDATA("Total-Old",'Distrib pivot table'!$C$2,"state","MD","group","1b4")/GETPIVOTDATA("Total-Old",'Distrib pivot table'!$C$2,"state","MD"),"*"))</f>
        <v>4.5728803893695449E-3</v>
      </c>
      <c r="M11" s="418">
        <f>IF((GETPIVOTDATA("Total-Old",'Distrib pivot table'!$C$2,"state","MS","group","1b4")/GETPIVOTDATA("Total-Old",'Distrib pivot table'!$C$2,"state","MS"))=0,,IF(GETPIVOTDATA("Total-Old",'Distrib pivot table'!$C$2,"state","MS","group","1b4")/GETPIVOTDATA("Total-Old",'Distrib pivot table'!$C$2,"state","MS")&gt;0.0005,GETPIVOTDATA("Total-Old",'Distrib pivot table'!$C$2,"state","MS","group","1b4")/GETPIVOTDATA("Total-Old",'Distrib pivot table'!$C$2,"state","MS"),"*"))</f>
        <v>1.1987371998153406E-2</v>
      </c>
      <c r="N11" s="418">
        <f>IF((GETPIVOTDATA("Total-Old",'Distrib pivot table'!$C$2,"state","NC","group","1b4")/GETPIVOTDATA("Total-Old",'Distrib pivot table'!$C$2,"state","NC"))=0,,IF(GETPIVOTDATA("Total-Old",'Distrib pivot table'!$C$2,"state","NC","group","1b4")/GETPIVOTDATA("Total-Old",'Distrib pivot table'!$C$2,"state","NC")&gt;0.0005,GETPIVOTDATA("Total-Old",'Distrib pivot table'!$C$2,"state","NC","group","1b4")/GETPIVOTDATA("Total-Old",'Distrib pivot table'!$C$2,"state","NC"),"*"))</f>
        <v>9.9012994930236051E-3</v>
      </c>
      <c r="O11" s="418">
        <f>IF((GETPIVOTDATA("Total-Old",'Distrib pivot table'!$C$2,"state","OK","group","1b4")/GETPIVOTDATA("Total-Old",'Distrib pivot table'!$C$2,"state","OK"))=0,,IF(GETPIVOTDATA("Total-Old",'Distrib pivot table'!$C$2,"state","OK","group","1b4")/GETPIVOTDATA("Total-Old",'Distrib pivot table'!$C$2,"state","OK")&gt;0.0005,GETPIVOTDATA("Total-Old",'Distrib pivot table'!$C$2,"state","OK","group","1b4")/GETPIVOTDATA("Total-Old",'Distrib pivot table'!$C$2,"state","OK"),"*"))</f>
        <v>1.3172330819639843E-2</v>
      </c>
      <c r="P11" s="418">
        <f>IF((GETPIVOTDATA("Total-Old",'Distrib pivot table'!$C$2,"state","SC","group","1b4")/GETPIVOTDATA("Total-Old",'Distrib pivot table'!$C$2,"state","SC"))=0,,IF(GETPIVOTDATA("Total-Old",'Distrib pivot table'!$C$2,"state","SC","group","1b4")/GETPIVOTDATA("Total-Old",'Distrib pivot table'!$C$2,"state","SC")&gt;0.0005,GETPIVOTDATA("Total-Old",'Distrib pivot table'!$C$2,"state","SC","group","1b4")/GETPIVOTDATA("Total-Old",'Distrib pivot table'!$C$2,"state","SC"),"*"))</f>
        <v>0</v>
      </c>
      <c r="Q11" s="418">
        <f>IF((GETPIVOTDATA("Total-Old",'Distrib pivot table'!$C$2,"state","TN","group","1b4")/GETPIVOTDATA("Total-Old",'Distrib pivot table'!$C$2,"state","TN"))=0,,IF(GETPIVOTDATA("Total-Old",'Distrib pivot table'!$C$2,"state","TN","group","1b4")/GETPIVOTDATA("Total-Old",'Distrib pivot table'!$C$2,"state","TN")&gt;0.0005,GETPIVOTDATA("Total-Old",'Distrib pivot table'!$C$2,"state","TN","group","1b4")/GETPIVOTDATA("Total-Old",'Distrib pivot table'!$C$2,"state","TN"),"*"))</f>
        <v>8.6134547295824964E-3</v>
      </c>
      <c r="R11" s="418">
        <f>IF((GETPIVOTDATA("Total-Old",'Distrib pivot table'!$C$2,"state","TX","group","1b4")/GETPIVOTDATA("Total-Old",'Distrib pivot table'!$C$2,"state","TX"))=0,,IF(GETPIVOTDATA("Total-Old",'Distrib pivot table'!$C$2,"state","TX","group","1b4")/GETPIVOTDATA("Total-Old",'Distrib pivot table'!$C$2,"state","TX")&gt;0.0005,GETPIVOTDATA("Total-Old",'Distrib pivot table'!$C$2,"state","TX","group","1b4")/GETPIVOTDATA("Total-Old",'Distrib pivot table'!$C$2,"state","TX"),"*"))</f>
        <v>5.4331024095251972E-3</v>
      </c>
      <c r="S11" s="418">
        <f>IF((GETPIVOTDATA("Total-Old",'Distrib pivot table'!$C$2,"state","VA","group","1b4")/GETPIVOTDATA("Total-Old",'Distrib pivot table'!$C$2,"state","VA"))=0,,IF(GETPIVOTDATA("Total-Old",'Distrib pivot table'!$C$2,"state","VA","group","1b4")/GETPIVOTDATA("Total-Old",'Distrib pivot table'!$C$2,"state","VA")&gt;0.0005,GETPIVOTDATA("Total-Old",'Distrib pivot table'!$C$2,"state","VA","group","1b4")/GETPIVOTDATA("Total-Old",'Distrib pivot table'!$C$2,"state","VA"),"*"))</f>
        <v>6.6770245775198299E-3</v>
      </c>
      <c r="T11" s="418">
        <f>IF((GETPIVOTDATA("Total-Old",'Distrib pivot table'!$C$2,"state","WV","group","1b4")/GETPIVOTDATA("Total-Old",'Distrib pivot table'!$C$2,"state","WV"))=0,,IF(GETPIVOTDATA("Total-Old",'Distrib pivot table'!$C$2,"state","WV","group","1b4")/GETPIVOTDATA("Total-Old",'Distrib pivot table'!$C$2,"state","WV")&gt;0.0005,GETPIVOTDATA("Total-Old",'Distrib pivot table'!$C$2,"state","WV","group","1b4")/GETPIVOTDATA("Total-Old",'Distrib pivot table'!$C$2,"state","WV"),"*"))</f>
        <v>7.4333416053155446E-3</v>
      </c>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row>
    <row r="12" spans="1:50" ht="12.6" customHeight="1" x14ac:dyDescent="0.2">
      <c r="A12" s="1539"/>
      <c r="B12" s="127" t="s">
        <v>308</v>
      </c>
      <c r="C12" s="371" t="s">
        <v>270</v>
      </c>
      <c r="D12" s="418" t="str">
        <f>IF(GETPIVOTDATA("Total-Old",'Distrib pivot table'!$C$2,"group","1b5")/GETPIVOTDATA("Total-Old",'Distrib pivot table'!$C$2)=0,,IF(GETPIVOTDATA("Total-Old",'Distrib pivot table'!$C$2,"group","1b5")/GETPIVOTDATA("Total-Old",'Distrib pivot table'!$C$2)&gt;0.0005,GETPIVOTDATA("Total-Old",'Distrib pivot table'!$C$2,"group","1b5")/GETPIVOTDATA("Total-Old",'Distrib pivot table'!$C$2),"*"))</f>
        <v>*</v>
      </c>
      <c r="E12" s="418">
        <f>IF((GETPIVOTDATA("Total-Old",'Distrib pivot table'!$C$2,"state","AL","group","1b5")/GETPIVOTDATA("Total-Old",'Distrib pivot table'!$C$2,"state","AL"))=0,,IF(GETPIVOTDATA("Total-Old",'Distrib pivot table'!$C$2,"state","AL","group","1b5")/GETPIVOTDATA("Total-Old",'Distrib pivot table'!$C$2,"state","AL")&gt;0.0005,GETPIVOTDATA("Total-Old",'Distrib pivot table'!$C$2,"state","AL","group","1b5")/GETPIVOTDATA("Total-Old",'Distrib pivot table'!$C$2,"state","AL"),"*"))</f>
        <v>0</v>
      </c>
      <c r="F12" s="418">
        <f>IF((GETPIVOTDATA("Total-Old",'Distrib pivot table'!$C$2,"state","AR","group","1b5")/GETPIVOTDATA("Total-Old",'Distrib pivot table'!$C$2,"state","AR"))=0,,IF(GETPIVOTDATA("Total-Old",'Distrib pivot table'!$C$2,"state","AR","group","1b5")/GETPIVOTDATA("Total-Old",'Distrib pivot table'!$C$2,"state","AR")&gt;0.0005,GETPIVOTDATA("Total-Old",'Distrib pivot table'!$C$2,"state","AR","group","1b5")/GETPIVOTDATA("Total-Old",'Distrib pivot table'!$C$2,"state","AR"),"*"))</f>
        <v>0</v>
      </c>
      <c r="G12" s="418">
        <f>IF((GETPIVOTDATA("Total-Old",'Distrib pivot table'!$C$2,"state","DE","group","1b5")/GETPIVOTDATA("Total-Old",'Distrib pivot table'!$C$2,"state","DE"))=0,,IF(GETPIVOTDATA("Total-Old",'Distrib pivot table'!$C$2,"state","DE","group","1b5")/GETPIVOTDATA("Total-Old",'Distrib pivot table'!$C$2,"state","DE")&gt;0.0005,GETPIVOTDATA("Total-Old",'Distrib pivot table'!$C$2,"state","DE","group","1b5")/GETPIVOTDATA("Total-Old",'Distrib pivot table'!$C$2,"state","DE"),"*"))</f>
        <v>0</v>
      </c>
      <c r="H12" s="418">
        <f>IF((GETPIVOTDATA("Total-Old",'Distrib pivot table'!$C$2,"state","FL","group","1b5")/GETPIVOTDATA("Total-Old",'Distrib pivot table'!$C$2,"state","FL"))=0,,IF(GETPIVOTDATA("Total-Old",'Distrib pivot table'!$C$2,"state","FL","group","1b5")/GETPIVOTDATA("Total-Old",'Distrib pivot table'!$C$2,"state","FL")&gt;0.0005,GETPIVOTDATA("Total-Old",'Distrib pivot table'!$C$2,"state","FL","group","1b5")/GETPIVOTDATA("Total-Old",'Distrib pivot table'!$C$2,"state","FL"),"*"))</f>
        <v>0</v>
      </c>
      <c r="I12" s="418">
        <f>IF((GETPIVOTDATA("Total-Old",'Distrib pivot table'!$C$2,"state","GA","group","1b5")/GETPIVOTDATA("Total-Old",'Distrib pivot table'!$C$2,"state","GA"))=0,,IF(GETPIVOTDATA("Total-Old",'Distrib pivot table'!$C$2,"state","GA","group","1b5")/GETPIVOTDATA("Total-Old",'Distrib pivot table'!$C$2,"state","GA")&gt;0.0005,GETPIVOTDATA("Total-Old",'Distrib pivot table'!$C$2,"state","GA","group","1b5")/GETPIVOTDATA("Total-Old",'Distrib pivot table'!$C$2,"state","GA"),"*"))</f>
        <v>1.2086699530019255E-3</v>
      </c>
      <c r="J12" s="418">
        <f>IF((GETPIVOTDATA("Total-Old",'Distrib pivot table'!$C$2,"state","KY","group","1b5")/GETPIVOTDATA("Total-Old",'Distrib pivot table'!$C$2,"state","KY"))=0,,IF(GETPIVOTDATA("Total-Old",'Distrib pivot table'!$C$2,"state","KY","group","1b5")/GETPIVOTDATA("Total-Old",'Distrib pivot table'!$C$2,"state","KY")&gt;0.0005,GETPIVOTDATA("Total-Old",'Distrib pivot table'!$C$2,"state","KY","group","1b5")/GETPIVOTDATA("Total-Old",'Distrib pivot table'!$C$2,"state","KY"),"*"))</f>
        <v>0</v>
      </c>
      <c r="K12" s="418">
        <f>IF((GETPIVOTDATA("Total-Old",'Distrib pivot table'!$C$2,"state","LA","group","1b5")/GETPIVOTDATA("Total-Old",'Distrib pivot table'!$C$2,"state","LA"))=0,,IF(GETPIVOTDATA("Total-Old",'Distrib pivot table'!$C$2,"state","LA","group","1b5")/GETPIVOTDATA("Total-Old",'Distrib pivot table'!$C$2,"state","LA")&gt;0.0005,GETPIVOTDATA("Total-Old",'Distrib pivot table'!$C$2,"state","LA","group","1b5")/GETPIVOTDATA("Total-Old",'Distrib pivot table'!$C$2,"state","LA"),"*"))</f>
        <v>0</v>
      </c>
      <c r="L12" s="418">
        <f>IF((GETPIVOTDATA("Total-Old",'Distrib pivot table'!$C$2,"state","MD","group","1b5")/GETPIVOTDATA("Total-Old",'Distrib pivot table'!$C$2,"state","MD"))=0,,IF(GETPIVOTDATA("Total-Old",'Distrib pivot table'!$C$2,"state","MD","group","1b5")/GETPIVOTDATA("Total-Old",'Distrib pivot table'!$C$2,"state","MD")&gt;0.0005,GETPIVOTDATA("Total-Old",'Distrib pivot table'!$C$2,"state","MD","group","1b5")/GETPIVOTDATA("Total-Old",'Distrib pivot table'!$C$2,"state","MD"),"*"))</f>
        <v>0</v>
      </c>
      <c r="M12" s="418">
        <f>IF((GETPIVOTDATA("Total-Old",'Distrib pivot table'!$C$2,"state","MS","group","1b5")/GETPIVOTDATA("Total-Old",'Distrib pivot table'!$C$2,"state","MS"))=0,,IF(GETPIVOTDATA("Total-Old",'Distrib pivot table'!$C$2,"state","MS","group","1b5")/GETPIVOTDATA("Total-Old",'Distrib pivot table'!$C$2,"state","MS")&gt;0.0005,GETPIVOTDATA("Total-Old",'Distrib pivot table'!$C$2,"state","MS","group","1b5")/GETPIVOTDATA("Total-Old",'Distrib pivot table'!$C$2,"state","MS"),"*"))</f>
        <v>0</v>
      </c>
      <c r="N12" s="418">
        <f>IF((GETPIVOTDATA("Total-Old",'Distrib pivot table'!$C$2,"state","NC","group","1b5")/GETPIVOTDATA("Total-Old",'Distrib pivot table'!$C$2,"state","NC"))=0,,IF(GETPIVOTDATA("Total-Old",'Distrib pivot table'!$C$2,"state","NC","group","1b5")/GETPIVOTDATA("Total-Old",'Distrib pivot table'!$C$2,"state","NC")&gt;0.0005,GETPIVOTDATA("Total-Old",'Distrib pivot table'!$C$2,"state","NC","group","1b5")/GETPIVOTDATA("Total-Old",'Distrib pivot table'!$C$2,"state","NC"),"*"))</f>
        <v>0</v>
      </c>
      <c r="O12" s="418">
        <f>IF((GETPIVOTDATA("Total-Old",'Distrib pivot table'!$C$2,"state","OK","group","1b5")/GETPIVOTDATA("Total-Old",'Distrib pivot table'!$C$2,"state","OK"))=0,,IF(GETPIVOTDATA("Total-Old",'Distrib pivot table'!$C$2,"state","OK","group","1b5")/GETPIVOTDATA("Total-Old",'Distrib pivot table'!$C$2,"state","OK")&gt;0.0005,GETPIVOTDATA("Total-Old",'Distrib pivot table'!$C$2,"state","OK","group","1b5")/GETPIVOTDATA("Total-Old",'Distrib pivot table'!$C$2,"state","OK"),"*"))</f>
        <v>0</v>
      </c>
      <c r="P12" s="418">
        <f>IF((GETPIVOTDATA("Total-Old",'Distrib pivot table'!$C$2,"state","SC","group","1b5")/GETPIVOTDATA("Total-Old",'Distrib pivot table'!$C$2,"state","SC"))=0,,IF(GETPIVOTDATA("Total-Old",'Distrib pivot table'!$C$2,"state","SC","group","1b5")/GETPIVOTDATA("Total-Old",'Distrib pivot table'!$C$2,"state","SC")&gt;0.0005,GETPIVOTDATA("Total-Old",'Distrib pivot table'!$C$2,"state","SC","group","1b5")/GETPIVOTDATA("Total-Old",'Distrib pivot table'!$C$2,"state","SC"),"*"))</f>
        <v>0</v>
      </c>
      <c r="Q12" s="418">
        <f>IF((GETPIVOTDATA("Total-Old",'Distrib pivot table'!$C$2,"state","TN","group","1b5")/GETPIVOTDATA("Total-Old",'Distrib pivot table'!$C$2,"state","TN"))=0,,IF(GETPIVOTDATA("Total-Old",'Distrib pivot table'!$C$2,"state","TN","group","1b5")/GETPIVOTDATA("Total-Old",'Distrib pivot table'!$C$2,"state","TN")&gt;0.0005,GETPIVOTDATA("Total-Old",'Distrib pivot table'!$C$2,"state","TN","group","1b5")/GETPIVOTDATA("Total-Old",'Distrib pivot table'!$C$2,"state","TN"),"*"))</f>
        <v>0</v>
      </c>
      <c r="R12" s="418">
        <f>IF((GETPIVOTDATA("Total-Old",'Distrib pivot table'!$C$2,"state","TX","group","1b5")/GETPIVOTDATA("Total-Old",'Distrib pivot table'!$C$2,"state","TX"))=0,,IF(GETPIVOTDATA("Total-Old",'Distrib pivot table'!$C$2,"state","TX","group","1b5")/GETPIVOTDATA("Total-Old",'Distrib pivot table'!$C$2,"state","TX")&gt;0.0005,GETPIVOTDATA("Total-Old",'Distrib pivot table'!$C$2,"state","TX","group","1b5")/GETPIVOTDATA("Total-Old",'Distrib pivot table'!$C$2,"state","TX"),"*"))</f>
        <v>1.4319358832316413E-3</v>
      </c>
      <c r="S12" s="418">
        <f>IF((GETPIVOTDATA("Total-Old",'Distrib pivot table'!$C$2,"state","VA","group","1b5")/GETPIVOTDATA("Total-Old",'Distrib pivot table'!$C$2,"state","VA"))=0,,IF(GETPIVOTDATA("Total-Old",'Distrib pivot table'!$C$2,"state","VA","group","1b5")/GETPIVOTDATA("Total-Old",'Distrib pivot table'!$C$2,"state","VA")&gt;0.0005,GETPIVOTDATA("Total-Old",'Distrib pivot table'!$C$2,"state","VA","group","1b5")/GETPIVOTDATA("Total-Old",'Distrib pivot table'!$C$2,"state","VA"),"*"))</f>
        <v>0</v>
      </c>
      <c r="T12" s="418">
        <f>IF((GETPIVOTDATA("Total-Old",'Distrib pivot table'!$C$2,"state","WV","group","1b5")/GETPIVOTDATA("Total-Old",'Distrib pivot table'!$C$2,"state","WV"))=0,,IF(GETPIVOTDATA("Total-Old",'Distrib pivot table'!$C$2,"state","WV","group","1b5")/GETPIVOTDATA("Total-Old",'Distrib pivot table'!$C$2,"state","WV")&gt;0.0005,GETPIVOTDATA("Total-Old",'Distrib pivot table'!$C$2,"state","WV","group","1b5")/GETPIVOTDATA("Total-Old",'Distrib pivot table'!$C$2,"state","WV"),"*"))</f>
        <v>2.7800476573965937E-3</v>
      </c>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row>
    <row r="13" spans="1:50" ht="12.6" customHeight="1" x14ac:dyDescent="0.2">
      <c r="A13" s="1539"/>
      <c r="B13" s="127" t="s">
        <v>309</v>
      </c>
      <c r="C13" s="371" t="s">
        <v>271</v>
      </c>
      <c r="D13" s="418">
        <f>IF(GETPIVOTDATA("Total-Old",'Distrib pivot table'!$C$2,"group","1b6")/GETPIVOTDATA("Total-Old",'Distrib pivot table'!$C$2)=0,,IF(GETPIVOTDATA("Total-Old",'Distrib pivot table'!$C$2,"group","1b6")/GETPIVOTDATA("Total-Old",'Distrib pivot table'!$C$2)&gt;0.0005,GETPIVOTDATA("Total-Old",'Distrib pivot table'!$C$2,"group","1b6")/GETPIVOTDATA("Total-Old",'Distrib pivot table'!$C$2),"*"))</f>
        <v>1.5892691703644677E-3</v>
      </c>
      <c r="E13" s="418">
        <f>IF((GETPIVOTDATA("Total-Old",'Distrib pivot table'!$C$2,"state","AL","group","1b6")/GETPIVOTDATA("Total-Old",'Distrib pivot table'!$C$2,"state","AL"))=0,,IF(GETPIVOTDATA("Total-Old",'Distrib pivot table'!$C$2,"state","AL","group","1b6")/GETPIVOTDATA("Total-Old",'Distrib pivot table'!$C$2,"state","AL")&gt;0.0005,GETPIVOTDATA("Total-Old",'Distrib pivot table'!$C$2,"state","AL","group","1b6")/GETPIVOTDATA("Total-Old",'Distrib pivot table'!$C$2,"state","AL"),"*"))</f>
        <v>0</v>
      </c>
      <c r="F13" s="418">
        <f>IF((GETPIVOTDATA("Total-Old",'Distrib pivot table'!$C$2,"state","AR","group","1b6")/GETPIVOTDATA("Total-Old",'Distrib pivot table'!$C$2,"state","AR"))=0,,IF(GETPIVOTDATA("Total-Old",'Distrib pivot table'!$C$2,"state","AR","group","1b6")/GETPIVOTDATA("Total-Old",'Distrib pivot table'!$C$2,"state","AR")&gt;0.0005,GETPIVOTDATA("Total-Old",'Distrib pivot table'!$C$2,"state","AR","group","1b6")/GETPIVOTDATA("Total-Old",'Distrib pivot table'!$C$2,"state","AR"),"*"))</f>
        <v>0</v>
      </c>
      <c r="G13" s="418">
        <f>IF((GETPIVOTDATA("Total-Old",'Distrib pivot table'!$C$2,"state","DE","group","1b6")/GETPIVOTDATA("Total-Old",'Distrib pivot table'!$C$2,"state","DE"))=0,,IF(GETPIVOTDATA("Total-Old",'Distrib pivot table'!$C$2,"state","DE","group","1b6")/GETPIVOTDATA("Total-Old",'Distrib pivot table'!$C$2,"state","DE")&gt;0.0005,GETPIVOTDATA("Total-Old",'Distrib pivot table'!$C$2,"state","DE","group","1b6")/GETPIVOTDATA("Total-Old",'Distrib pivot table'!$C$2,"state","DE"),"*"))</f>
        <v>4.6352396553091813E-3</v>
      </c>
      <c r="H13" s="418">
        <f>IF((GETPIVOTDATA("Total-Old",'Distrib pivot table'!$C$2,"state","FL","group","1b6")/GETPIVOTDATA("Total-Old",'Distrib pivot table'!$C$2,"state","FL"))=0,,IF(GETPIVOTDATA("Total-Old",'Distrib pivot table'!$C$2,"state","FL","group","1b6")/GETPIVOTDATA("Total-Old",'Distrib pivot table'!$C$2,"state","FL")&gt;0.0005,GETPIVOTDATA("Total-Old",'Distrib pivot table'!$C$2,"state","FL","group","1b6")/GETPIVOTDATA("Total-Old",'Distrib pivot table'!$C$2,"state","FL"),"*"))</f>
        <v>9.0365725015487119E-4</v>
      </c>
      <c r="I13" s="418">
        <f>IF((GETPIVOTDATA("Total-Old",'Distrib pivot table'!$C$2,"state","GA","group","1b6")/GETPIVOTDATA("Total-Old",'Distrib pivot table'!$C$2,"state","GA"))=0,,IF(GETPIVOTDATA("Total-Old",'Distrib pivot table'!$C$2,"state","GA","group","1b6")/GETPIVOTDATA("Total-Old",'Distrib pivot table'!$C$2,"state","GA")&gt;0.0005,GETPIVOTDATA("Total-Old",'Distrib pivot table'!$C$2,"state","GA","group","1b6")/GETPIVOTDATA("Total-Old",'Distrib pivot table'!$C$2,"state","GA"),"*"))</f>
        <v>2.1103392631612928E-3</v>
      </c>
      <c r="J13" s="418">
        <f>IF((GETPIVOTDATA("Total-Old",'Distrib pivot table'!$C$2,"state","KY","group","1b6")/GETPIVOTDATA("Total-Old",'Distrib pivot table'!$C$2,"state","KY"))=0,,IF(GETPIVOTDATA("Total-Old",'Distrib pivot table'!$C$2,"state","KY","group","1b6")/GETPIVOTDATA("Total-Old",'Distrib pivot table'!$C$2,"state","KY")&gt;0.0005,GETPIVOTDATA("Total-Old",'Distrib pivot table'!$C$2,"state","KY","group","1b6")/GETPIVOTDATA("Total-Old",'Distrib pivot table'!$C$2,"state","KY"),"*"))</f>
        <v>2.2367305747254206E-3</v>
      </c>
      <c r="K13" s="418">
        <f>IF((GETPIVOTDATA("Total-Old",'Distrib pivot table'!$C$2,"state","LA","group","1b6")/GETPIVOTDATA("Total-Old",'Distrib pivot table'!$C$2,"state","LA"))=0,,IF(GETPIVOTDATA("Total-Old",'Distrib pivot table'!$C$2,"state","LA","group","1b6")/GETPIVOTDATA("Total-Old",'Distrib pivot table'!$C$2,"state","LA")&gt;0.0005,GETPIVOTDATA("Total-Old",'Distrib pivot table'!$C$2,"state","LA","group","1b6")/GETPIVOTDATA("Total-Old",'Distrib pivot table'!$C$2,"state","LA"),"*"))</f>
        <v>0</v>
      </c>
      <c r="L13" s="418">
        <f>IF((GETPIVOTDATA("Total-Old",'Distrib pivot table'!$C$2,"state","MD","group","1b6")/GETPIVOTDATA("Total-Old",'Distrib pivot table'!$C$2,"state","MD"))=0,,IF(GETPIVOTDATA("Total-Old",'Distrib pivot table'!$C$2,"state","MD","group","1b6")/GETPIVOTDATA("Total-Old",'Distrib pivot table'!$C$2,"state","MD")&gt;0.0005,GETPIVOTDATA("Total-Old",'Distrib pivot table'!$C$2,"state","MD","group","1b6")/GETPIVOTDATA("Total-Old",'Distrib pivot table'!$C$2,"state","MD"),"*"))</f>
        <v>5.0153882297360114E-3</v>
      </c>
      <c r="M13" s="418">
        <f>IF((GETPIVOTDATA("Total-Old",'Distrib pivot table'!$C$2,"state","MS","group","1b6")/GETPIVOTDATA("Total-Old",'Distrib pivot table'!$C$2,"state","MS"))=0,,IF(GETPIVOTDATA("Total-Old",'Distrib pivot table'!$C$2,"state","MS","group","1b6")/GETPIVOTDATA("Total-Old",'Distrib pivot table'!$C$2,"state","MS")&gt;0.0005,GETPIVOTDATA("Total-Old",'Distrib pivot table'!$C$2,"state","MS","group","1b6")/GETPIVOTDATA("Total-Old",'Distrib pivot table'!$C$2,"state","MS"),"*"))</f>
        <v>1.2773806077439319E-2</v>
      </c>
      <c r="N13" s="418">
        <f>IF((GETPIVOTDATA("Total-Old",'Distrib pivot table'!$C$2,"state","NC","group","1b6")/GETPIVOTDATA("Total-Old",'Distrib pivot table'!$C$2,"state","NC"))=0,,IF(GETPIVOTDATA("Total-Old",'Distrib pivot table'!$C$2,"state","NC","group","1b6")/GETPIVOTDATA("Total-Old",'Distrib pivot table'!$C$2,"state","NC")&gt;0.0005,GETPIVOTDATA("Total-Old",'Distrib pivot table'!$C$2,"state","NC","group","1b6")/GETPIVOTDATA("Total-Old",'Distrib pivot table'!$C$2,"state","NC"),"*"))</f>
        <v>0</v>
      </c>
      <c r="O13" s="418">
        <f>IF((GETPIVOTDATA("Total-Old",'Distrib pivot table'!$C$2,"state","OK","group","1b6")/GETPIVOTDATA("Total-Old",'Distrib pivot table'!$C$2,"state","OK"))=0,,IF(GETPIVOTDATA("Total-Old",'Distrib pivot table'!$C$2,"state","OK","group","1b6")/GETPIVOTDATA("Total-Old",'Distrib pivot table'!$C$2,"state","OK")&gt;0.0005,GETPIVOTDATA("Total-Old",'Distrib pivot table'!$C$2,"state","OK","group","1b6")/GETPIVOTDATA("Total-Old",'Distrib pivot table'!$C$2,"state","OK"),"*"))</f>
        <v>0</v>
      </c>
      <c r="P13" s="418">
        <f>IF((GETPIVOTDATA("Total-Old",'Distrib pivot table'!$C$2,"state","SC","group","1b6")/GETPIVOTDATA("Total-Old",'Distrib pivot table'!$C$2,"state","SC"))=0,,IF(GETPIVOTDATA("Total-Old",'Distrib pivot table'!$C$2,"state","SC","group","1b6")/GETPIVOTDATA("Total-Old",'Distrib pivot table'!$C$2,"state","SC")&gt;0.0005,GETPIVOTDATA("Total-Old",'Distrib pivot table'!$C$2,"state","SC","group","1b6")/GETPIVOTDATA("Total-Old",'Distrib pivot table'!$C$2,"state","SC"),"*"))</f>
        <v>0</v>
      </c>
      <c r="Q13" s="418">
        <f>IF((GETPIVOTDATA("Total-Old",'Distrib pivot table'!$C$2,"state","TN","group","1b6")/GETPIVOTDATA("Total-Old",'Distrib pivot table'!$C$2,"state","TN"))=0,,IF(GETPIVOTDATA("Total-Old",'Distrib pivot table'!$C$2,"state","TN","group","1b6")/GETPIVOTDATA("Total-Old",'Distrib pivot table'!$C$2,"state","TN")&gt;0.0005,GETPIVOTDATA("Total-Old",'Distrib pivot table'!$C$2,"state","TN","group","1b6")/GETPIVOTDATA("Total-Old",'Distrib pivot table'!$C$2,"state","TN"),"*"))</f>
        <v>0</v>
      </c>
      <c r="R13" s="418">
        <f>IF((GETPIVOTDATA("Total-Old",'Distrib pivot table'!$C$2,"state","TX","group","1b6")/GETPIVOTDATA("Total-Old",'Distrib pivot table'!$C$2,"state","TX"))=0,,IF(GETPIVOTDATA("Total-Old",'Distrib pivot table'!$C$2,"state","TX","group","1b6")/GETPIVOTDATA("Total-Old",'Distrib pivot table'!$C$2,"state","TX")&gt;0.0005,GETPIVOTDATA("Total-Old",'Distrib pivot table'!$C$2,"state","TX","group","1b6")/GETPIVOTDATA("Total-Old",'Distrib pivot table'!$C$2,"state","TX"),"*"))</f>
        <v>0</v>
      </c>
      <c r="S13" s="418">
        <f>IF((GETPIVOTDATA("Total-Old",'Distrib pivot table'!$C$2,"state","VA","group","1b6")/GETPIVOTDATA("Total-Old",'Distrib pivot table'!$C$2,"state","VA"))=0,,IF(GETPIVOTDATA("Total-Old",'Distrib pivot table'!$C$2,"state","VA","group","1b6")/GETPIVOTDATA("Total-Old",'Distrib pivot table'!$C$2,"state","VA")&gt;0.0005,GETPIVOTDATA("Total-Old",'Distrib pivot table'!$C$2,"state","VA","group","1b6")/GETPIVOTDATA("Total-Old",'Distrib pivot table'!$C$2,"state","VA"),"*"))</f>
        <v>3.8154817158656869E-3</v>
      </c>
      <c r="T13" s="418">
        <f>IF((GETPIVOTDATA("Total-Old",'Distrib pivot table'!$C$2,"state","WV","group","1b6")/GETPIVOTDATA("Total-Old",'Distrib pivot table'!$C$2,"state","WV"))=0,,IF(GETPIVOTDATA("Total-Old",'Distrib pivot table'!$C$2,"state","WV","group","1b6")/GETPIVOTDATA("Total-Old",'Distrib pivot table'!$C$2,"state","WV")&gt;0.0005,GETPIVOTDATA("Total-Old",'Distrib pivot table'!$C$2,"state","WV","group","1b6")/GETPIVOTDATA("Total-Old",'Distrib pivot table'!$C$2,"state","WV"),"*"))</f>
        <v>6.2712677783544613E-3</v>
      </c>
      <c r="U13" s="3"/>
      <c r="V13" s="3"/>
      <c r="W13" s="3"/>
      <c r="X13" s="3"/>
      <c r="Y13" s="3"/>
      <c r="Z13" s="3"/>
      <c r="AA13" s="3"/>
      <c r="AB13" s="3"/>
      <c r="AC13" s="3"/>
      <c r="AD13" s="3"/>
      <c r="AE13" s="3"/>
      <c r="AF13" s="3"/>
      <c r="AG13" s="3"/>
      <c r="AH13" s="3"/>
      <c r="AI13" s="3"/>
      <c r="AJ13" s="3"/>
      <c r="AK13" s="3"/>
      <c r="AL13" s="3"/>
      <c r="AM13" s="3"/>
      <c r="AN13" s="3"/>
      <c r="AO13" s="3"/>
      <c r="AP13" s="3"/>
      <c r="AQ13" s="3"/>
      <c r="AR13" s="3"/>
      <c r="AS13" s="3"/>
      <c r="AT13" s="3"/>
      <c r="AU13" s="3"/>
      <c r="AV13" s="3"/>
      <c r="AW13" s="3"/>
      <c r="AX13" s="3"/>
    </row>
    <row r="14" spans="1:50" ht="12.6" customHeight="1" x14ac:dyDescent="0.2">
      <c r="A14" s="1539"/>
      <c r="B14" s="127" t="s">
        <v>295</v>
      </c>
      <c r="C14" s="371" t="s">
        <v>272</v>
      </c>
      <c r="D14" s="418">
        <f>IF(GETPIVOTDATA("Total-Old",'Distrib pivot table'!$C$2,"group","1b7")/GETPIVOTDATA("Total-Old",'Distrib pivot table'!$C$2)=0,,IF(GETPIVOTDATA("Total-Old",'Distrib pivot table'!$C$2,"group","1b7")/GETPIVOTDATA("Total-Old",'Distrib pivot table'!$C$2)&gt;0.0005,GETPIVOTDATA("Total-Old",'Distrib pivot table'!$C$2,"group","1b7")/GETPIVOTDATA("Total-Old",'Distrib pivot table'!$C$2),"*"))</f>
        <v>2.0871545700967549E-3</v>
      </c>
      <c r="E14" s="418">
        <f>IF((GETPIVOTDATA("Total-Old",'Distrib pivot table'!$C$2,"state","AL","group","1b7")/GETPIVOTDATA("Total-Old",'Distrib pivot table'!$C$2,"state","AL"))=0,,IF(GETPIVOTDATA("Total-Old",'Distrib pivot table'!$C$2,"state","AL","group","1b7")/GETPIVOTDATA("Total-Old",'Distrib pivot table'!$C$2,"state","AL")&gt;0.0005,GETPIVOTDATA("Total-Old",'Distrib pivot table'!$C$2,"state","AL","group","1b7")/GETPIVOTDATA("Total-Old",'Distrib pivot table'!$C$2,"state","AL"),"*"))</f>
        <v>5.782009622666325E-3</v>
      </c>
      <c r="F14" s="418">
        <f>IF((GETPIVOTDATA("Total-Old",'Distrib pivot table'!$C$2,"state","AR","group","1b7")/GETPIVOTDATA("Total-Old",'Distrib pivot table'!$C$2,"state","AR"))=0,,IF(GETPIVOTDATA("Total-Old",'Distrib pivot table'!$C$2,"state","AR","group","1b7")/GETPIVOTDATA("Total-Old",'Distrib pivot table'!$C$2,"state","AR")&gt;0.0005,GETPIVOTDATA("Total-Old",'Distrib pivot table'!$C$2,"state","AR","group","1b7")/GETPIVOTDATA("Total-Old",'Distrib pivot table'!$C$2,"state","AR"),"*"))</f>
        <v>0</v>
      </c>
      <c r="G14" s="418">
        <f>IF((GETPIVOTDATA("Total-Old",'Distrib pivot table'!$C$2,"state","DE","group","1b7")/GETPIVOTDATA("Total-Old",'Distrib pivot table'!$C$2,"state","DE"))=0,,IF(GETPIVOTDATA("Total-Old",'Distrib pivot table'!$C$2,"state","DE","group","1b7")/GETPIVOTDATA("Total-Old",'Distrib pivot table'!$C$2,"state","DE")&gt;0.0005,GETPIVOTDATA("Total-Old",'Distrib pivot table'!$C$2,"state","DE","group","1b7")/GETPIVOTDATA("Total-Old",'Distrib pivot table'!$C$2,"state","DE"),"*"))</f>
        <v>0</v>
      </c>
      <c r="H14" s="418">
        <f>IF((GETPIVOTDATA("Total-Old",'Distrib pivot table'!$C$2,"state","FL","group","1b7")/GETPIVOTDATA("Total-Old",'Distrib pivot table'!$C$2,"state","FL"))=0,,IF(GETPIVOTDATA("Total-Old",'Distrib pivot table'!$C$2,"state","FL","group","1b7")/GETPIVOTDATA("Total-Old",'Distrib pivot table'!$C$2,"state","FL")&gt;0.0005,GETPIVOTDATA("Total-Old",'Distrib pivot table'!$C$2,"state","FL","group","1b7")/GETPIVOTDATA("Total-Old",'Distrib pivot table'!$C$2,"state","FL"),"*"))</f>
        <v>5.812235948318092E-4</v>
      </c>
      <c r="I14" s="418">
        <f>IF((GETPIVOTDATA("Total-Old",'Distrib pivot table'!$C$2,"state","GA","group","1b7")/GETPIVOTDATA("Total-Old",'Distrib pivot table'!$C$2,"state","GA"))=0,,IF(GETPIVOTDATA("Total-Old",'Distrib pivot table'!$C$2,"state","GA","group","1b7")/GETPIVOTDATA("Total-Old",'Distrib pivot table'!$C$2,"state","GA")&gt;0.0005,GETPIVOTDATA("Total-Old",'Distrib pivot table'!$C$2,"state","GA","group","1b7")/GETPIVOTDATA("Total-Old",'Distrib pivot table'!$C$2,"state","GA"),"*"))</f>
        <v>0</v>
      </c>
      <c r="J14" s="418">
        <f>IF((GETPIVOTDATA("Total-Old",'Distrib pivot table'!$C$2,"state","KY","group","1b7")/GETPIVOTDATA("Total-Old",'Distrib pivot table'!$C$2,"state","KY"))=0,,IF(GETPIVOTDATA("Total-Old",'Distrib pivot table'!$C$2,"state","KY","group","1b7")/GETPIVOTDATA("Total-Old",'Distrib pivot table'!$C$2,"state","KY")&gt;0.0005,GETPIVOTDATA("Total-Old",'Distrib pivot table'!$C$2,"state","KY","group","1b7")/GETPIVOTDATA("Total-Old",'Distrib pivot table'!$C$2,"state","KY"),"*"))</f>
        <v>0</v>
      </c>
      <c r="K14" s="418">
        <f>IF((GETPIVOTDATA("Total-Old",'Distrib pivot table'!$C$2,"state","LA","group","1b7")/GETPIVOTDATA("Total-Old",'Distrib pivot table'!$C$2,"state","LA"))=0,,IF(GETPIVOTDATA("Total-Old",'Distrib pivot table'!$C$2,"state","LA","group","1b7")/GETPIVOTDATA("Total-Old",'Distrib pivot table'!$C$2,"state","LA")&gt;0.0005,GETPIVOTDATA("Total-Old",'Distrib pivot table'!$C$2,"state","LA","group","1b7")/GETPIVOTDATA("Total-Old",'Distrib pivot table'!$C$2,"state","LA"),"*"))</f>
        <v>0</v>
      </c>
      <c r="L14" s="418">
        <f>IF((GETPIVOTDATA("Total-Old",'Distrib pivot table'!$C$2,"state","MD","group","1b7")/GETPIVOTDATA("Total-Old",'Distrib pivot table'!$C$2,"state","MD"))=0,,IF(GETPIVOTDATA("Total-Old",'Distrib pivot table'!$C$2,"state","MD","group","1b7")/GETPIVOTDATA("Total-Old",'Distrib pivot table'!$C$2,"state","MD")&gt;0.0005,GETPIVOTDATA("Total-Old",'Distrib pivot table'!$C$2,"state","MD","group","1b7")/GETPIVOTDATA("Total-Old",'Distrib pivot table'!$C$2,"state","MD"),"*"))</f>
        <v>0</v>
      </c>
      <c r="M14" s="418">
        <f>IF((GETPIVOTDATA("Total-Old",'Distrib pivot table'!$C$2,"state","MS","group","1b7")/GETPIVOTDATA("Total-Old",'Distrib pivot table'!$C$2,"state","MS"))=0,,IF(GETPIVOTDATA("Total-Old",'Distrib pivot table'!$C$2,"state","MS","group","1b7")/GETPIVOTDATA("Total-Old",'Distrib pivot table'!$C$2,"state","MS")&gt;0.0005,GETPIVOTDATA("Total-Old",'Distrib pivot table'!$C$2,"state","MS","group","1b7")/GETPIVOTDATA("Total-Old",'Distrib pivot table'!$C$2,"state","MS"),"*"))</f>
        <v>1.5015368174573041E-2</v>
      </c>
      <c r="N14" s="418">
        <f>IF((GETPIVOTDATA("Total-Old",'Distrib pivot table'!$C$2,"state","NC","group","1b7")/GETPIVOTDATA("Total-Old",'Distrib pivot table'!$C$2,"state","NC"))=0,,IF(GETPIVOTDATA("Total-Old",'Distrib pivot table'!$C$2,"state","NC","group","1b7")/GETPIVOTDATA("Total-Old",'Distrib pivot table'!$C$2,"state","NC")&gt;0.0005,GETPIVOTDATA("Total-Old",'Distrib pivot table'!$C$2,"state","NC","group","1b7")/GETPIVOTDATA("Total-Old",'Distrib pivot table'!$C$2,"state","NC"),"*"))</f>
        <v>0</v>
      </c>
      <c r="O14" s="418">
        <f>IF((GETPIVOTDATA("Total-Old",'Distrib pivot table'!$C$2,"state","OK","group","1b7")/GETPIVOTDATA("Total-Old",'Distrib pivot table'!$C$2,"state","OK"))=0,,IF(GETPIVOTDATA("Total-Old",'Distrib pivot table'!$C$2,"state","OK","group","1b7")/GETPIVOTDATA("Total-Old",'Distrib pivot table'!$C$2,"state","OK")&gt;0.0005,GETPIVOTDATA("Total-Old",'Distrib pivot table'!$C$2,"state","OK","group","1b7")/GETPIVOTDATA("Total-Old",'Distrib pivot table'!$C$2,"state","OK"),"*"))</f>
        <v>0</v>
      </c>
      <c r="P14" s="418">
        <f>IF((GETPIVOTDATA("Total-Old",'Distrib pivot table'!$C$2,"state","SC","group","1b7")/GETPIVOTDATA("Total-Old",'Distrib pivot table'!$C$2,"state","SC"))=0,,IF(GETPIVOTDATA("Total-Old",'Distrib pivot table'!$C$2,"state","SC","group","1b7")/GETPIVOTDATA("Total-Old",'Distrib pivot table'!$C$2,"state","SC")&gt;0.0005,GETPIVOTDATA("Total-Old",'Distrib pivot table'!$C$2,"state","SC","group","1b7")/GETPIVOTDATA("Total-Old",'Distrib pivot table'!$C$2,"state","SC"),"*"))</f>
        <v>2.3105146248939685E-2</v>
      </c>
      <c r="Q14" s="418">
        <f>IF((GETPIVOTDATA("Total-Old",'Distrib pivot table'!$C$2,"state","TN","group","1b7")/GETPIVOTDATA("Total-Old",'Distrib pivot table'!$C$2,"state","TN"))=0,,IF(GETPIVOTDATA("Total-Old",'Distrib pivot table'!$C$2,"state","TN","group","1b7")/GETPIVOTDATA("Total-Old",'Distrib pivot table'!$C$2,"state","TN")&gt;0.0005,GETPIVOTDATA("Total-Old",'Distrib pivot table'!$C$2,"state","TN","group","1b7")/GETPIVOTDATA("Total-Old",'Distrib pivot table'!$C$2,"state","TN"),"*"))</f>
        <v>0</v>
      </c>
      <c r="R14" s="418">
        <f>IF((GETPIVOTDATA("Total-Old",'Distrib pivot table'!$C$2,"state","TX","group","1b7")/GETPIVOTDATA("Total-Old",'Distrib pivot table'!$C$2,"state","TX"))=0,,IF(GETPIVOTDATA("Total-Old",'Distrib pivot table'!$C$2,"state","TX","group","1b7")/GETPIVOTDATA("Total-Old",'Distrib pivot table'!$C$2,"state","TX")&gt;0.0005,GETPIVOTDATA("Total-Old",'Distrib pivot table'!$C$2,"state","TX","group","1b7")/GETPIVOTDATA("Total-Old",'Distrib pivot table'!$C$2,"state","TX"),"*"))</f>
        <v>0</v>
      </c>
      <c r="S14" s="418">
        <f>IF((GETPIVOTDATA("Total-Old",'Distrib pivot table'!$C$2,"state","VA","group","1b7")/GETPIVOTDATA("Total-Old",'Distrib pivot table'!$C$2,"state","VA"))=0,,IF(GETPIVOTDATA("Total-Old",'Distrib pivot table'!$C$2,"state","VA","group","1b7")/GETPIVOTDATA("Total-Old",'Distrib pivot table'!$C$2,"state","VA")&gt;0.0005,GETPIVOTDATA("Total-Old",'Distrib pivot table'!$C$2,"state","VA","group","1b7")/GETPIVOTDATA("Total-Old",'Distrib pivot table'!$C$2,"state","VA"),"*"))</f>
        <v>0</v>
      </c>
      <c r="T14" s="418">
        <f>IF((GETPIVOTDATA("Total-Old",'Distrib pivot table'!$C$2,"state","WV","group","1b7")/GETPIVOTDATA("Total-Old",'Distrib pivot table'!$C$2,"state","WV"))=0,,IF(GETPIVOTDATA("Total-Old",'Distrib pivot table'!$C$2,"state","WV","group","1b7")/GETPIVOTDATA("Total-Old",'Distrib pivot table'!$C$2,"state","WV")&gt;0.0005,GETPIVOTDATA("Total-Old",'Distrib pivot table'!$C$2,"state","WV","group","1b7")/GETPIVOTDATA("Total-Old",'Distrib pivot table'!$C$2,"state","WV"),"*"))</f>
        <v>5.1334417553707771E-3</v>
      </c>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row>
    <row r="15" spans="1:50" s="45" customFormat="1" ht="26.25" customHeight="1" x14ac:dyDescent="0.2">
      <c r="A15" s="1539"/>
      <c r="B15" s="126" t="s">
        <v>12</v>
      </c>
      <c r="C15" s="370" t="s">
        <v>273</v>
      </c>
      <c r="D15" s="419">
        <f>SUM(D16:D21)</f>
        <v>8.1947972149586847E-3</v>
      </c>
      <c r="E15" s="419">
        <f>SUM(E16:E21)</f>
        <v>6.6354952010824362E-3</v>
      </c>
      <c r="F15" s="419">
        <f>SUM(F16:F21)</f>
        <v>4.0855003725267271E-2</v>
      </c>
      <c r="G15" s="419">
        <f t="shared" ref="G15:T15" si="2">SUM(G16:G21)</f>
        <v>0</v>
      </c>
      <c r="H15" s="419">
        <f t="shared" si="2"/>
        <v>2.2206217709882002E-3</v>
      </c>
      <c r="I15" s="419">
        <f t="shared" si="2"/>
        <v>0</v>
      </c>
      <c r="J15" s="419">
        <f t="shared" si="2"/>
        <v>3.7503404605352254E-3</v>
      </c>
      <c r="K15" s="419">
        <f t="shared" si="2"/>
        <v>1.788982642483912E-2</v>
      </c>
      <c r="L15" s="419">
        <f t="shared" si="2"/>
        <v>0</v>
      </c>
      <c r="M15" s="419">
        <f t="shared" si="2"/>
        <v>0</v>
      </c>
      <c r="N15" s="419">
        <f t="shared" si="2"/>
        <v>4.3330103979571752E-2</v>
      </c>
      <c r="O15" s="419">
        <f t="shared" si="2"/>
        <v>0</v>
      </c>
      <c r="P15" s="419">
        <f t="shared" si="2"/>
        <v>0</v>
      </c>
      <c r="Q15" s="419">
        <f t="shared" si="2"/>
        <v>0</v>
      </c>
      <c r="R15" s="419">
        <f t="shared" si="2"/>
        <v>5.8567361135772201E-3</v>
      </c>
      <c r="S15" s="419">
        <f t="shared" si="2"/>
        <v>2.0241067975000338E-3</v>
      </c>
      <c r="T15" s="419">
        <f t="shared" si="2"/>
        <v>4.514158645896155E-3</v>
      </c>
      <c r="U15" s="27"/>
      <c r="V15" s="27"/>
      <c r="W15" s="27"/>
      <c r="X15" s="27"/>
      <c r="Y15" s="27"/>
      <c r="Z15" s="27"/>
      <c r="AA15" s="27"/>
      <c r="AB15" s="27"/>
      <c r="AC15" s="27"/>
      <c r="AD15" s="27"/>
      <c r="AE15" s="27"/>
      <c r="AF15" s="27"/>
      <c r="AG15" s="27"/>
      <c r="AH15" s="27"/>
      <c r="AI15" s="27"/>
      <c r="AJ15" s="27"/>
      <c r="AK15" s="27"/>
      <c r="AL15" s="27"/>
      <c r="AM15" s="27"/>
      <c r="AN15" s="27"/>
      <c r="AO15" s="27"/>
      <c r="AP15" s="27"/>
      <c r="AQ15" s="27"/>
      <c r="AR15" s="27"/>
      <c r="AS15" s="27"/>
      <c r="AT15" s="27"/>
      <c r="AU15" s="27"/>
      <c r="AV15" s="27"/>
      <c r="AW15" s="27"/>
      <c r="AX15" s="27"/>
    </row>
    <row r="16" spans="1:50" ht="12.6" customHeight="1" x14ac:dyDescent="0.2">
      <c r="A16" s="1539"/>
      <c r="B16" s="127" t="s">
        <v>319</v>
      </c>
      <c r="C16" s="371" t="s">
        <v>274</v>
      </c>
      <c r="D16" s="418">
        <f>IF(GETPIVOTDATA("Total-Old",'Distrib pivot table'!$C$2,"group","1c1")/GETPIVOTDATA("Total-Old",'Distrib pivot table'!$C$2)=0,,IF(GETPIVOTDATA("Total-Old",'Distrib pivot table'!$C$2,"group","1c1")/GETPIVOTDATA("Total-Old",'Distrib pivot table'!$C$2)&gt;0.0005,GETPIVOTDATA("Total-Old",'Distrib pivot table'!$C$2,"group","1c1")/GETPIVOTDATA("Total-Old",'Distrib pivot table'!$C$2),"*"))</f>
        <v>1.8843662724915161E-3</v>
      </c>
      <c r="E16" s="418">
        <f>IF((GETPIVOTDATA("Total-Old",'Distrib pivot table'!$C$2,"state","AL","group","1c1")/GETPIVOTDATA("Total-Old",'Distrib pivot table'!$C$2,"state","AL"))=0,,IF(GETPIVOTDATA("Total-Old",'Distrib pivot table'!$C$2,"state","AL","group","1c1")/GETPIVOTDATA("Total-Old",'Distrib pivot table'!$C$2,"state","AL")&gt;0.0005,GETPIVOTDATA("Total-Old",'Distrib pivot table'!$C$2,"state","AL","group","1c1")/GETPIVOTDATA("Total-Old",'Distrib pivot table'!$C$2,"state","AL"),"*"))</f>
        <v>0</v>
      </c>
      <c r="F16" s="418">
        <f>IF((GETPIVOTDATA("Total-Old",'Distrib pivot table'!$C$2,"state","AR","group","1c1")/GETPIVOTDATA("Total-Old",'Distrib pivot table'!$C$2,"state","AR"))=0,,IF(GETPIVOTDATA("Total-Old",'Distrib pivot table'!$C$2,"state","AR","group","1c1")/GETPIVOTDATA("Total-Old",'Distrib pivot table'!$C$2,"state","AR")&gt;0.0005,GETPIVOTDATA("Total-Old",'Distrib pivot table'!$C$2,"state","AR","group","1c1")/GETPIVOTDATA("Total-Old",'Distrib pivot table'!$C$2,"state","AR"),"*"))</f>
        <v>0</v>
      </c>
      <c r="G16" s="418">
        <f>IF((GETPIVOTDATA("Total-Old",'Distrib pivot table'!$C$2,"state","DE","group","1c1")/GETPIVOTDATA("Total-Old",'Distrib pivot table'!$C$2,"state","DE"))=0,,IF(GETPIVOTDATA("Total-Old",'Distrib pivot table'!$C$2,"state","DE","group","1c1")/GETPIVOTDATA("Total-Old",'Distrib pivot table'!$C$2,"state","DE")&gt;0.0005,GETPIVOTDATA("Total-Old",'Distrib pivot table'!$C$2,"state","DE","group","1c1")/GETPIVOTDATA("Total-Old",'Distrib pivot table'!$C$2,"state","DE"),"*"))</f>
        <v>0</v>
      </c>
      <c r="H16" s="418">
        <f>IF((GETPIVOTDATA("Total-Old",'Distrib pivot table'!$C$2,"state","FL","group","1c1")/GETPIVOTDATA("Total-Old",'Distrib pivot table'!$C$2,"state","FL"))=0,,IF(GETPIVOTDATA("Total-Old",'Distrib pivot table'!$C$2,"state","FL","group","1c1")/GETPIVOTDATA("Total-Old",'Distrib pivot table'!$C$2,"state","FL")&gt;0.0005,GETPIVOTDATA("Total-Old",'Distrib pivot table'!$C$2,"state","FL","group","1c1")/GETPIVOTDATA("Total-Old",'Distrib pivot table'!$C$2,"state","FL"),"*"))</f>
        <v>0</v>
      </c>
      <c r="I16" s="418">
        <f>IF((GETPIVOTDATA("Total-Old",'Distrib pivot table'!$C$2,"state","GA","group","1c1")/GETPIVOTDATA("Total-Old",'Distrib pivot table'!$C$2,"state","GA"))=0,,IF(GETPIVOTDATA("Total-Old",'Distrib pivot table'!$C$2,"state","GA","group","1c1")/GETPIVOTDATA("Total-Old",'Distrib pivot table'!$C$2,"state","GA")&gt;0.0005,GETPIVOTDATA("Total-Old",'Distrib pivot table'!$C$2,"state","GA","group","1c1")/GETPIVOTDATA("Total-Old",'Distrib pivot table'!$C$2,"state","GA"),"*"))</f>
        <v>0</v>
      </c>
      <c r="J16" s="418">
        <f>IF((GETPIVOTDATA("Total-Old",'Distrib pivot table'!$C$2,"state","KY","group","1c1")/GETPIVOTDATA("Total-Old",'Distrib pivot table'!$C$2,"state","KY"))=0,,IF(GETPIVOTDATA("Total-Old",'Distrib pivot table'!$C$2,"state","KY","group","1c1")/GETPIVOTDATA("Total-Old",'Distrib pivot table'!$C$2,"state","KY")&gt;0.0005,GETPIVOTDATA("Total-Old",'Distrib pivot table'!$C$2,"state","KY","group","1c1")/GETPIVOTDATA("Total-Old",'Distrib pivot table'!$C$2,"state","KY"),"*"))</f>
        <v>3.7503404605352254E-3</v>
      </c>
      <c r="K16" s="418" t="str">
        <f>IF((GETPIVOTDATA("Total-Old",'Distrib pivot table'!$C$2,"state","LA","group","1c1")/GETPIVOTDATA("Total-Old",'Distrib pivot table'!$C$2,"state","LA"))=0,,IF(GETPIVOTDATA("Total-Old",'Distrib pivot table'!$C$2,"state","LA","group","1c1")/GETPIVOTDATA("Total-Old",'Distrib pivot table'!$C$2,"state","LA")&gt;0.0005,GETPIVOTDATA("Total-Old",'Distrib pivot table'!$C$2,"state","LA","group","1c1")/GETPIVOTDATA("Total-Old",'Distrib pivot table'!$C$2,"state","LA"),"*"))</f>
        <v>*</v>
      </c>
      <c r="L16" s="418">
        <f>IF((GETPIVOTDATA("Total-Old",'Distrib pivot table'!$C$2,"state","MD","group","1c1")/GETPIVOTDATA("Total-Old",'Distrib pivot table'!$C$2,"state","MD"))=0,,IF(GETPIVOTDATA("Total-Old",'Distrib pivot table'!$C$2,"state","MD","group","1c1")/GETPIVOTDATA("Total-Old",'Distrib pivot table'!$C$2,"state","MD")&gt;0.0005,GETPIVOTDATA("Total-Old",'Distrib pivot table'!$C$2,"state","MD","group","1c1")/GETPIVOTDATA("Total-Old",'Distrib pivot table'!$C$2,"state","MD"),"*"))</f>
        <v>0</v>
      </c>
      <c r="M16" s="418" t="str">
        <f>IF((GETPIVOTDATA("Total-Old",'Distrib pivot table'!$C$2,"state","MS","group","1c1")/GETPIVOTDATA("Total-Old",'Distrib pivot table'!$C$2,"state","MS"))=0,,IF(GETPIVOTDATA("Total-Old",'Distrib pivot table'!$C$2,"state","MS","group","1c1")/GETPIVOTDATA("Total-Old",'Distrib pivot table'!$C$2,"state","MS")&gt;0.0005,GETPIVOTDATA("Total-Old",'Distrib pivot table'!$C$2,"state","MS","group","1c1")/GETPIVOTDATA("Total-Old",'Distrib pivot table'!$C$2,"state","MS"),"*"))</f>
        <v>*</v>
      </c>
      <c r="N16" s="418">
        <f>IF((GETPIVOTDATA("Total-Old",'Distrib pivot table'!$C$2,"state","NC","group","1c1")/GETPIVOTDATA("Total-Old",'Distrib pivot table'!$C$2,"state","NC"))=0,,IF(GETPIVOTDATA("Total-Old",'Distrib pivot table'!$C$2,"state","NC","group","1c1")/GETPIVOTDATA("Total-Old",'Distrib pivot table'!$C$2,"state","NC")&gt;0.0005,GETPIVOTDATA("Total-Old",'Distrib pivot table'!$C$2,"state","NC","group","1c1")/GETPIVOTDATA("Total-Old",'Distrib pivot table'!$C$2,"state","NC"),"*"))</f>
        <v>9.7865413843183299E-3</v>
      </c>
      <c r="O16" s="418" t="str">
        <f>IF((GETPIVOTDATA("Total-Old",'Distrib pivot table'!$C$2,"state","OK","group","1c1")/GETPIVOTDATA("Total-Old",'Distrib pivot table'!$C$2,"state","OK"))=0,,IF(GETPIVOTDATA("Total-Old",'Distrib pivot table'!$C$2,"state","OK","group","1c1")/GETPIVOTDATA("Total-Old",'Distrib pivot table'!$C$2,"state","OK")&gt;0.0005,GETPIVOTDATA("Total-Old",'Distrib pivot table'!$C$2,"state","OK","group","1c1")/GETPIVOTDATA("Total-Old",'Distrib pivot table'!$C$2,"state","OK"),"*"))</f>
        <v>*</v>
      </c>
      <c r="P16" s="418">
        <f>IF((GETPIVOTDATA("Total-Old",'Distrib pivot table'!$C$2,"state","SC","group","1c1")/GETPIVOTDATA("Total-Old",'Distrib pivot table'!$C$2,"state","SC"))=0,,IF(GETPIVOTDATA("Total-Old",'Distrib pivot table'!$C$2,"state","SC","group","1c1")/GETPIVOTDATA("Total-Old",'Distrib pivot table'!$C$2,"state","SC")&gt;0.0005,GETPIVOTDATA("Total-Old",'Distrib pivot table'!$C$2,"state","SC","group","1c1")/GETPIVOTDATA("Total-Old",'Distrib pivot table'!$C$2,"state","SC"),"*"))</f>
        <v>0</v>
      </c>
      <c r="Q16" s="418">
        <f>IF((GETPIVOTDATA("Total-Old",'Distrib pivot table'!$C$2,"state","TN","group","1c1")/GETPIVOTDATA("Total-Old",'Distrib pivot table'!$C$2,"state","TN"))=0,,IF(GETPIVOTDATA("Total-Old",'Distrib pivot table'!$C$2,"state","TN","group","1c1")/GETPIVOTDATA("Total-Old",'Distrib pivot table'!$C$2,"state","TN")&gt;0.0005,GETPIVOTDATA("Total-Old",'Distrib pivot table'!$C$2,"state","TN","group","1c1")/GETPIVOTDATA("Total-Old",'Distrib pivot table'!$C$2,"state","TN"),"*"))</f>
        <v>0</v>
      </c>
      <c r="R16" s="418">
        <f>IF((GETPIVOTDATA("Total-Old",'Distrib pivot table'!$C$2,"state","TX","group","1c1")/GETPIVOTDATA("Total-Old",'Distrib pivot table'!$C$2,"state","TX"))=0,,IF(GETPIVOTDATA("Total-Old",'Distrib pivot table'!$C$2,"state","TX","group","1c1")/GETPIVOTDATA("Total-Old",'Distrib pivot table'!$C$2,"state","TX")&gt;0.0005,GETPIVOTDATA("Total-Old",'Distrib pivot table'!$C$2,"state","TX","group","1c1")/GETPIVOTDATA("Total-Old",'Distrib pivot table'!$C$2,"state","TX"),"*"))</f>
        <v>3.2151146746366177E-3</v>
      </c>
      <c r="S16" s="418">
        <f>IF((GETPIVOTDATA("Total-Old",'Distrib pivot table'!$C$2,"state","VA","group","1c1")/GETPIVOTDATA("Total-Old",'Distrib pivot table'!$C$2,"state","VA"))=0,,IF(GETPIVOTDATA("Total-Old",'Distrib pivot table'!$C$2,"state","VA","group","1c1")/GETPIVOTDATA("Total-Old",'Distrib pivot table'!$C$2,"state","VA")&gt;0.0005,GETPIVOTDATA("Total-Old",'Distrib pivot table'!$C$2,"state","VA","group","1c1")/GETPIVOTDATA("Total-Old",'Distrib pivot table'!$C$2,"state","VA"),"*"))</f>
        <v>0</v>
      </c>
      <c r="T16" s="418">
        <f>IF((GETPIVOTDATA("Total-Old",'Distrib pivot table'!$C$2,"state","WV","group","1c1")/GETPIVOTDATA("Total-Old",'Distrib pivot table'!$C$2,"state","WV"))=0,,IF(GETPIVOTDATA("Total-Old",'Distrib pivot table'!$C$2,"state","WV","group","1c1")/GETPIVOTDATA("Total-Old",'Distrib pivot table'!$C$2,"state","WV")&gt;0.0005,GETPIVOTDATA("Total-Old",'Distrib pivot table'!$C$2,"state","WV","group","1c1")/GETPIVOTDATA("Total-Old",'Distrib pivot table'!$C$2,"state","WV"),"*"))</f>
        <v>4.514158645896155E-3</v>
      </c>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row>
    <row r="17" spans="1:50" ht="12.6" customHeight="1" x14ac:dyDescent="0.2">
      <c r="A17" s="1539"/>
      <c r="B17" s="127" t="s">
        <v>258</v>
      </c>
      <c r="C17" s="371" t="s">
        <v>275</v>
      </c>
      <c r="D17" s="418">
        <f>IF(GETPIVOTDATA("Total-Old",'Distrib pivot table'!$C$2,"group","1c2")/GETPIVOTDATA("Total-Old",'Distrib pivot table'!$C$2)=0,,IF(GETPIVOTDATA("Total-Old",'Distrib pivot table'!$C$2,"group","1c2")/GETPIVOTDATA("Total-Old",'Distrib pivot table'!$C$2)&gt;0.0005,GETPIVOTDATA("Total-Old",'Distrib pivot table'!$C$2,"group","1c2")/GETPIVOTDATA("Total-Old",'Distrib pivot table'!$C$2),"*"))</f>
        <v>2.7748035131985116E-3</v>
      </c>
      <c r="E17" s="418">
        <f>IF((GETPIVOTDATA("Total-Old",'Distrib pivot table'!$C$2,"state","AL","group","1c2")/GETPIVOTDATA("Total-Old",'Distrib pivot table'!$C$2,"state","AL"))=0,,IF(GETPIVOTDATA("Total-Old",'Distrib pivot table'!$C$2,"state","AL","group","1c2")/GETPIVOTDATA("Total-Old",'Distrib pivot table'!$C$2,"state","AL")&gt;0.0005,GETPIVOTDATA("Total-Old",'Distrib pivot table'!$C$2,"state","AL","group","1c2")/GETPIVOTDATA("Total-Old",'Distrib pivot table'!$C$2,"state","AL"),"*"))</f>
        <v>0</v>
      </c>
      <c r="F17" s="418">
        <f>IF((GETPIVOTDATA("Total-Old",'Distrib pivot table'!$C$2,"state","AR","group","1c2")/GETPIVOTDATA("Total-Old",'Distrib pivot table'!$C$2,"state","AR"))=0,,IF(GETPIVOTDATA("Total-Old",'Distrib pivot table'!$C$2,"state","AR","group","1c2")/GETPIVOTDATA("Total-Old",'Distrib pivot table'!$C$2,"state","AR")&gt;0.0005,GETPIVOTDATA("Total-Old",'Distrib pivot table'!$C$2,"state","AR","group","1c2")/GETPIVOTDATA("Total-Old",'Distrib pivot table'!$C$2,"state","AR"),"*"))</f>
        <v>0</v>
      </c>
      <c r="G17" s="418">
        <f>IF((GETPIVOTDATA("Total-Old",'Distrib pivot table'!$C$2,"state","DE","group","1c2")/GETPIVOTDATA("Total-Old",'Distrib pivot table'!$C$2,"state","DE"))=0,,IF(GETPIVOTDATA("Total-Old",'Distrib pivot table'!$C$2,"state","DE","group","1c2")/GETPIVOTDATA("Total-Old",'Distrib pivot table'!$C$2,"state","DE")&gt;0.0005,GETPIVOTDATA("Total-Old",'Distrib pivot table'!$C$2,"state","DE","group","1c2")/GETPIVOTDATA("Total-Old",'Distrib pivot table'!$C$2,"state","DE"),"*"))</f>
        <v>0</v>
      </c>
      <c r="H17" s="418">
        <f>IF((GETPIVOTDATA("Total-Old",'Distrib pivot table'!$C$2,"state","FL","group","1c2")/GETPIVOTDATA("Total-Old",'Distrib pivot table'!$C$2,"state","FL"))=0,,IF(GETPIVOTDATA("Total-Old",'Distrib pivot table'!$C$2,"state","FL","group","1c2")/GETPIVOTDATA("Total-Old",'Distrib pivot table'!$C$2,"state","FL")&gt;0.0005,GETPIVOTDATA("Total-Old",'Distrib pivot table'!$C$2,"state","FL","group","1c2")/GETPIVOTDATA("Total-Old",'Distrib pivot table'!$C$2,"state","FL"),"*"))</f>
        <v>0</v>
      </c>
      <c r="I17" s="418">
        <f>IF((GETPIVOTDATA("Total-Old",'Distrib pivot table'!$C$2,"state","GA","group","1c2")/GETPIVOTDATA("Total-Old",'Distrib pivot table'!$C$2,"state","GA"))=0,,IF(GETPIVOTDATA("Total-Old",'Distrib pivot table'!$C$2,"state","GA","group","1c2")/GETPIVOTDATA("Total-Old",'Distrib pivot table'!$C$2,"state","GA")&gt;0.0005,GETPIVOTDATA("Total-Old",'Distrib pivot table'!$C$2,"state","GA","group","1c2")/GETPIVOTDATA("Total-Old",'Distrib pivot table'!$C$2,"state","GA"),"*"))</f>
        <v>0</v>
      </c>
      <c r="J17" s="418">
        <f>IF((GETPIVOTDATA("Total-Old",'Distrib pivot table'!$C$2,"state","KY","group","1c2")/GETPIVOTDATA("Total-Old",'Distrib pivot table'!$C$2,"state","KY"))=0,,IF(GETPIVOTDATA("Total-Old",'Distrib pivot table'!$C$2,"state","KY","group","1c2")/GETPIVOTDATA("Total-Old",'Distrib pivot table'!$C$2,"state","KY")&gt;0.0005,GETPIVOTDATA("Total-Old",'Distrib pivot table'!$C$2,"state","KY","group","1c2")/GETPIVOTDATA("Total-Old",'Distrib pivot table'!$C$2,"state","KY"),"*"))</f>
        <v>0</v>
      </c>
      <c r="K17" s="418">
        <f>IF((GETPIVOTDATA("Total-Old",'Distrib pivot table'!$C$2,"state","LA","group","1c2")/GETPIVOTDATA("Total-Old",'Distrib pivot table'!$C$2,"state","LA"))=0,,IF(GETPIVOTDATA("Total-Old",'Distrib pivot table'!$C$2,"state","LA","group","1c2")/GETPIVOTDATA("Total-Old",'Distrib pivot table'!$C$2,"state","LA")&gt;0.0005,GETPIVOTDATA("Total-Old",'Distrib pivot table'!$C$2,"state","LA","group","1c2")/GETPIVOTDATA("Total-Old",'Distrib pivot table'!$C$2,"state","LA"),"*"))</f>
        <v>0</v>
      </c>
      <c r="L17" s="418">
        <f>IF((GETPIVOTDATA("Total-Old",'Distrib pivot table'!$C$2,"state","MD","group","1c2")/GETPIVOTDATA("Total-Old",'Distrib pivot table'!$C$2,"state","MD"))=0,,IF(GETPIVOTDATA("Total-Old",'Distrib pivot table'!$C$2,"state","MD","group","1c2")/GETPIVOTDATA("Total-Old",'Distrib pivot table'!$C$2,"state","MD")&gt;0.0005,GETPIVOTDATA("Total-Old",'Distrib pivot table'!$C$2,"state","MD","group","1c2")/GETPIVOTDATA("Total-Old",'Distrib pivot table'!$C$2,"state","MD"),"*"))</f>
        <v>0</v>
      </c>
      <c r="M17" s="418">
        <f>IF((GETPIVOTDATA("Total-Old",'Distrib pivot table'!$C$2,"state","MS","group","1c2")/GETPIVOTDATA("Total-Old",'Distrib pivot table'!$C$2,"state","MS"))=0,,IF(GETPIVOTDATA("Total-Old",'Distrib pivot table'!$C$2,"state","MS","group","1c2")/GETPIVOTDATA("Total-Old",'Distrib pivot table'!$C$2,"state","MS")&gt;0.0005,GETPIVOTDATA("Total-Old",'Distrib pivot table'!$C$2,"state","MS","group","1c2")/GETPIVOTDATA("Total-Old",'Distrib pivot table'!$C$2,"state","MS"),"*"))</f>
        <v>0</v>
      </c>
      <c r="N17" s="418">
        <f>IF((GETPIVOTDATA("Total-Old",'Distrib pivot table'!$C$2,"state","NC","group","1c2")/GETPIVOTDATA("Total-Old",'Distrib pivot table'!$C$2,"state","NC"))=0,,IF(GETPIVOTDATA("Total-Old",'Distrib pivot table'!$C$2,"state","NC","group","1c2")/GETPIVOTDATA("Total-Old",'Distrib pivot table'!$C$2,"state","NC")&gt;0.0005,GETPIVOTDATA("Total-Old",'Distrib pivot table'!$C$2,"state","NC","group","1c2")/GETPIVOTDATA("Total-Old",'Distrib pivot table'!$C$2,"state","NC"),"*"))</f>
        <v>2.8863926498436696E-2</v>
      </c>
      <c r="O17" s="418">
        <f>IF((GETPIVOTDATA("Total-Old",'Distrib pivot table'!$C$2,"state","OK","group","1c2")/GETPIVOTDATA("Total-Old",'Distrib pivot table'!$C$2,"state","OK"))=0,,IF(GETPIVOTDATA("Total-Old",'Distrib pivot table'!$C$2,"state","OK","group","1c2")/GETPIVOTDATA("Total-Old",'Distrib pivot table'!$C$2,"state","OK")&gt;0.0005,GETPIVOTDATA("Total-Old",'Distrib pivot table'!$C$2,"state","OK","group","1c2")/GETPIVOTDATA("Total-Old",'Distrib pivot table'!$C$2,"state","OK"),"*"))</f>
        <v>0</v>
      </c>
      <c r="P17" s="418">
        <f>IF((GETPIVOTDATA("Total-Old",'Distrib pivot table'!$C$2,"state","SC","group","1c2")/GETPIVOTDATA("Total-Old",'Distrib pivot table'!$C$2,"state","SC"))=0,,IF(GETPIVOTDATA("Total-Old",'Distrib pivot table'!$C$2,"state","SC","group","1c2")/GETPIVOTDATA("Total-Old",'Distrib pivot table'!$C$2,"state","SC")&gt;0.0005,GETPIVOTDATA("Total-Old",'Distrib pivot table'!$C$2,"state","SC","group","1c2")/GETPIVOTDATA("Total-Old",'Distrib pivot table'!$C$2,"state","SC"),"*"))</f>
        <v>0</v>
      </c>
      <c r="Q17" s="418">
        <f>IF((GETPIVOTDATA("Total-Old",'Distrib pivot table'!$C$2,"state","TN","group","1c2")/GETPIVOTDATA("Total-Old",'Distrib pivot table'!$C$2,"state","TN"))=0,,IF(GETPIVOTDATA("Total-Old",'Distrib pivot table'!$C$2,"state","TN","group","1c2")/GETPIVOTDATA("Total-Old",'Distrib pivot table'!$C$2,"state","TN")&gt;0.0005,GETPIVOTDATA("Total-Old",'Distrib pivot table'!$C$2,"state","TN","group","1c2")/GETPIVOTDATA("Total-Old",'Distrib pivot table'!$C$2,"state","TN"),"*"))</f>
        <v>0</v>
      </c>
      <c r="R17" s="418">
        <f>IF((GETPIVOTDATA("Total-Old",'Distrib pivot table'!$C$2,"state","TX","group","1c2")/GETPIVOTDATA("Total-Old",'Distrib pivot table'!$C$2,"state","TX"))=0,,IF(GETPIVOTDATA("Total-Old",'Distrib pivot table'!$C$2,"state","TX","group","1c2")/GETPIVOTDATA("Total-Old",'Distrib pivot table'!$C$2,"state","TX")&gt;0.0005,GETPIVOTDATA("Total-Old",'Distrib pivot table'!$C$2,"state","TX","group","1c2")/GETPIVOTDATA("Total-Old",'Distrib pivot table'!$C$2,"state","TX"),"*"))</f>
        <v>0</v>
      </c>
      <c r="S17" s="418">
        <f>IF((GETPIVOTDATA("Total-Old",'Distrib pivot table'!$C$2,"state","VA","group","1c2")/GETPIVOTDATA("Total-Old",'Distrib pivot table'!$C$2,"state","VA"))=0,,IF(GETPIVOTDATA("Total-Old",'Distrib pivot table'!$C$2,"state","VA","group","1c2")/GETPIVOTDATA("Total-Old",'Distrib pivot table'!$C$2,"state","VA")&gt;0.0005,GETPIVOTDATA("Total-Old",'Distrib pivot table'!$C$2,"state","VA","group","1c2")/GETPIVOTDATA("Total-Old",'Distrib pivot table'!$C$2,"state","VA"),"*"))</f>
        <v>0</v>
      </c>
      <c r="T17" s="418" t="str">
        <f>IF((GETPIVOTDATA("Total-Old",'Distrib pivot table'!$C$2,"state","WV","group","1c2")/GETPIVOTDATA("Total-Old",'Distrib pivot table'!$C$2,"state","WV"))=0,,IF(GETPIVOTDATA("Total-Old",'Distrib pivot table'!$C$2,"state","WV","group","1c2")/GETPIVOTDATA("Total-Old",'Distrib pivot table'!$C$2,"state","WV")&gt;0.0005,GETPIVOTDATA("Total-Old",'Distrib pivot table'!$C$2,"state","WV","group","1c2")/GETPIVOTDATA("Total-Old",'Distrib pivot table'!$C$2,"state","WV"),"*"))</f>
        <v>*</v>
      </c>
      <c r="U17" s="3"/>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row>
    <row r="18" spans="1:50" ht="12.6" customHeight="1" x14ac:dyDescent="0.2">
      <c r="A18" s="1539"/>
      <c r="B18" s="127" t="s">
        <v>257</v>
      </c>
      <c r="C18" s="371" t="s">
        <v>276</v>
      </c>
      <c r="D18" s="418">
        <f>IF(GETPIVOTDATA("Total-Old",'Distrib pivot table'!$C$2,"group","1c3")/GETPIVOTDATA("Total-Old",'Distrib pivot table'!$C$2)=0,,IF(GETPIVOTDATA("Total-Old",'Distrib pivot table'!$C$2,"group","1c3")/GETPIVOTDATA("Total-Old",'Distrib pivot table'!$C$2)&gt;0.0005,GETPIVOTDATA("Total-Old",'Distrib pivot table'!$C$2,"group","1c3")/GETPIVOTDATA("Total-Old",'Distrib pivot table'!$C$2),"*"))</f>
        <v>1.1788364968591295E-3</v>
      </c>
      <c r="E18" s="418">
        <f>IF((GETPIVOTDATA("Total-Old",'Distrib pivot table'!$C$2,"state","AL","group","1c3")/GETPIVOTDATA("Total-Old",'Distrib pivot table'!$C$2,"state","AL"))=0,,IF(GETPIVOTDATA("Total-Old",'Distrib pivot table'!$C$2,"state","AL","group","1c3")/GETPIVOTDATA("Total-Old",'Distrib pivot table'!$C$2,"state","AL")&gt;0.0005,GETPIVOTDATA("Total-Old",'Distrib pivot table'!$C$2,"state","AL","group","1c3")/GETPIVOTDATA("Total-Old",'Distrib pivot table'!$C$2,"state","AL"),"*"))</f>
        <v>0</v>
      </c>
      <c r="F18" s="418">
        <f>IF((GETPIVOTDATA("Total-Old",'Distrib pivot table'!$C$2,"state","AR","group","1c3")/GETPIVOTDATA("Total-Old",'Distrib pivot table'!$C$2,"state","AR"))=0,,IF(GETPIVOTDATA("Total-Old",'Distrib pivot table'!$C$2,"state","AR","group","1c3")/GETPIVOTDATA("Total-Old",'Distrib pivot table'!$C$2,"state","AR")&gt;0.0005,GETPIVOTDATA("Total-Old",'Distrib pivot table'!$C$2,"state","AR","group","1c3")/GETPIVOTDATA("Total-Old",'Distrib pivot table'!$C$2,"state","AR"),"*"))</f>
        <v>3.8439598824827378E-2</v>
      </c>
      <c r="G18" s="418">
        <f>IF((GETPIVOTDATA("Total-Old",'Distrib pivot table'!$C$2,"state","DE","group","1c3")/GETPIVOTDATA("Total-Old",'Distrib pivot table'!$C$2,"state","DE"))=0,,IF(GETPIVOTDATA("Total-Old",'Distrib pivot table'!$C$2,"state","DE","group","1c3")/GETPIVOTDATA("Total-Old",'Distrib pivot table'!$C$2,"state","DE")&gt;0.0005,GETPIVOTDATA("Total-Old",'Distrib pivot table'!$C$2,"state","DE","group","1c3")/GETPIVOTDATA("Total-Old",'Distrib pivot table'!$C$2,"state","DE"),"*"))</f>
        <v>0</v>
      </c>
      <c r="H18" s="418">
        <f>IF((GETPIVOTDATA("Total-Old",'Distrib pivot table'!$C$2,"state","FL","group","1c3")/GETPIVOTDATA("Total-Old",'Distrib pivot table'!$C$2,"state","FL"))=0,,IF(GETPIVOTDATA("Total-Old",'Distrib pivot table'!$C$2,"state","FL","group","1c3")/GETPIVOTDATA("Total-Old",'Distrib pivot table'!$C$2,"state","FL")&gt;0.0005,GETPIVOTDATA("Total-Old",'Distrib pivot table'!$C$2,"state","FL","group","1c3")/GETPIVOTDATA("Total-Old",'Distrib pivot table'!$C$2,"state","FL"),"*"))</f>
        <v>0</v>
      </c>
      <c r="I18" s="418">
        <f>IF((GETPIVOTDATA("Total-Old",'Distrib pivot table'!$C$2,"state","GA","group","1c3")/GETPIVOTDATA("Total-Old",'Distrib pivot table'!$C$2,"state","GA"))=0,,IF(GETPIVOTDATA("Total-Old",'Distrib pivot table'!$C$2,"state","GA","group","1c3")/GETPIVOTDATA("Total-Old",'Distrib pivot table'!$C$2,"state","GA")&gt;0.0005,GETPIVOTDATA("Total-Old",'Distrib pivot table'!$C$2,"state","GA","group","1c3")/GETPIVOTDATA("Total-Old",'Distrib pivot table'!$C$2,"state","GA"),"*"))</f>
        <v>0</v>
      </c>
      <c r="J18" s="418">
        <f>IF((GETPIVOTDATA("Total-Old",'Distrib pivot table'!$C$2,"state","KY","group","1c3")/GETPIVOTDATA("Total-Old",'Distrib pivot table'!$C$2,"state","KY"))=0,,IF(GETPIVOTDATA("Total-Old",'Distrib pivot table'!$C$2,"state","KY","group","1c3")/GETPIVOTDATA("Total-Old",'Distrib pivot table'!$C$2,"state","KY")&gt;0.0005,GETPIVOTDATA("Total-Old",'Distrib pivot table'!$C$2,"state","KY","group","1c3")/GETPIVOTDATA("Total-Old",'Distrib pivot table'!$C$2,"state","KY"),"*"))</f>
        <v>0</v>
      </c>
      <c r="K18" s="418">
        <f>IF((GETPIVOTDATA("Total-Old",'Distrib pivot table'!$C$2,"state","LA","group","1c3")/GETPIVOTDATA("Total-Old",'Distrib pivot table'!$C$2,"state","LA"))=0,,IF(GETPIVOTDATA("Total-Old",'Distrib pivot table'!$C$2,"state","LA","group","1c3")/GETPIVOTDATA("Total-Old",'Distrib pivot table'!$C$2,"state","LA")&gt;0.0005,GETPIVOTDATA("Total-Old",'Distrib pivot table'!$C$2,"state","LA","group","1c3")/GETPIVOTDATA("Total-Old",'Distrib pivot table'!$C$2,"state","LA"),"*"))</f>
        <v>0</v>
      </c>
      <c r="L18" s="418">
        <f>IF((GETPIVOTDATA("Total-Old",'Distrib pivot table'!$C$2,"state","MD","group","1c3")/GETPIVOTDATA("Total-Old",'Distrib pivot table'!$C$2,"state","MD"))=0,,IF(GETPIVOTDATA("Total-Old",'Distrib pivot table'!$C$2,"state","MD","group","1c3")/GETPIVOTDATA("Total-Old",'Distrib pivot table'!$C$2,"state","MD")&gt;0.0005,GETPIVOTDATA("Total-Old",'Distrib pivot table'!$C$2,"state","MD","group","1c3")/GETPIVOTDATA("Total-Old",'Distrib pivot table'!$C$2,"state","MD"),"*"))</f>
        <v>0</v>
      </c>
      <c r="M18" s="418">
        <f>IF((GETPIVOTDATA("Total-Old",'Distrib pivot table'!$C$2,"state","MS","group","1c3")/GETPIVOTDATA("Total-Old",'Distrib pivot table'!$C$2,"state","MS"))=0,,IF(GETPIVOTDATA("Total-Old",'Distrib pivot table'!$C$2,"state","MS","group","1c3")/GETPIVOTDATA("Total-Old",'Distrib pivot table'!$C$2,"state","MS")&gt;0.0005,GETPIVOTDATA("Total-Old",'Distrib pivot table'!$C$2,"state","MS","group","1c3")/GETPIVOTDATA("Total-Old",'Distrib pivot table'!$C$2,"state","MS"),"*"))</f>
        <v>0</v>
      </c>
      <c r="N18" s="418">
        <f>IF((GETPIVOTDATA("Total-Old",'Distrib pivot table'!$C$2,"state","NC","group","1c3")/GETPIVOTDATA("Total-Old",'Distrib pivot table'!$C$2,"state","NC"))=0,,IF(GETPIVOTDATA("Total-Old",'Distrib pivot table'!$C$2,"state","NC","group","1c3")/GETPIVOTDATA("Total-Old",'Distrib pivot table'!$C$2,"state","NC")&gt;0.0005,GETPIVOTDATA("Total-Old",'Distrib pivot table'!$C$2,"state","NC","group","1c3")/GETPIVOTDATA("Total-Old",'Distrib pivot table'!$C$2,"state","NC"),"*"))</f>
        <v>0</v>
      </c>
      <c r="O18" s="418">
        <f>IF((GETPIVOTDATA("Total-Old",'Distrib pivot table'!$C$2,"state","OK","group","1c3")/GETPIVOTDATA("Total-Old",'Distrib pivot table'!$C$2,"state","OK"))=0,,IF(GETPIVOTDATA("Total-Old",'Distrib pivot table'!$C$2,"state","OK","group","1c3")/GETPIVOTDATA("Total-Old",'Distrib pivot table'!$C$2,"state","OK")&gt;0.0005,GETPIVOTDATA("Total-Old",'Distrib pivot table'!$C$2,"state","OK","group","1c3")/GETPIVOTDATA("Total-Old",'Distrib pivot table'!$C$2,"state","OK"),"*"))</f>
        <v>0</v>
      </c>
      <c r="P18" s="418">
        <f>IF((GETPIVOTDATA("Total-Old",'Distrib pivot table'!$C$2,"state","SC","group","1c3")/GETPIVOTDATA("Total-Old",'Distrib pivot table'!$C$2,"state","SC"))=0,,IF(GETPIVOTDATA("Total-Old",'Distrib pivot table'!$C$2,"state","SC","group","1c3")/GETPIVOTDATA("Total-Old",'Distrib pivot table'!$C$2,"state","SC")&gt;0.0005,GETPIVOTDATA("Total-Old",'Distrib pivot table'!$C$2,"state","SC","group","1c3")/GETPIVOTDATA("Total-Old",'Distrib pivot table'!$C$2,"state","SC"),"*"))</f>
        <v>0</v>
      </c>
      <c r="Q18" s="418">
        <f>IF((GETPIVOTDATA("Total-Old",'Distrib pivot table'!$C$2,"state","TN","group","1c3")/GETPIVOTDATA("Total-Old",'Distrib pivot table'!$C$2,"state","TN"))=0,,IF(GETPIVOTDATA("Total-Old",'Distrib pivot table'!$C$2,"state","TN","group","1c3")/GETPIVOTDATA("Total-Old",'Distrib pivot table'!$C$2,"state","TN")&gt;0.0005,GETPIVOTDATA("Total-Old",'Distrib pivot table'!$C$2,"state","TN","group","1c3")/GETPIVOTDATA("Total-Old",'Distrib pivot table'!$C$2,"state","TN"),"*"))</f>
        <v>0</v>
      </c>
      <c r="R18" s="418">
        <f>IF((GETPIVOTDATA("Total-Old",'Distrib pivot table'!$C$2,"state","TX","group","1c3")/GETPIVOTDATA("Total-Old",'Distrib pivot table'!$C$2,"state","TX"))=0,,IF(GETPIVOTDATA("Total-Old",'Distrib pivot table'!$C$2,"state","TX","group","1c3")/GETPIVOTDATA("Total-Old",'Distrib pivot table'!$C$2,"state","TX")&gt;0.0005,GETPIVOTDATA("Total-Old",'Distrib pivot table'!$C$2,"state","TX","group","1c3")/GETPIVOTDATA("Total-Old",'Distrib pivot table'!$C$2,"state","TX"),"*"))</f>
        <v>0</v>
      </c>
      <c r="S18" s="418">
        <f>IF((GETPIVOTDATA("Total-Old",'Distrib pivot table'!$C$2,"state","VA","group","1c3")/GETPIVOTDATA("Total-Old",'Distrib pivot table'!$C$2,"state","VA"))=0,,IF(GETPIVOTDATA("Total-Old",'Distrib pivot table'!$C$2,"state","VA","group","1c3")/GETPIVOTDATA("Total-Old",'Distrib pivot table'!$C$2,"state","VA")&gt;0.0005,GETPIVOTDATA("Total-Old",'Distrib pivot table'!$C$2,"state","VA","group","1c3")/GETPIVOTDATA("Total-Old",'Distrib pivot table'!$C$2,"state","VA"),"*"))</f>
        <v>0</v>
      </c>
      <c r="T18" s="418">
        <f>IF((GETPIVOTDATA("Total-Old",'Distrib pivot table'!$C$2,"state","WV","group","1c3")/GETPIVOTDATA("Total-Old",'Distrib pivot table'!$C$2,"state","WV"))=0,,IF(GETPIVOTDATA("Total-Old",'Distrib pivot table'!$C$2,"state","WV","group","1c3")/GETPIVOTDATA("Total-Old",'Distrib pivot table'!$C$2,"state","WV")&gt;0.0005,GETPIVOTDATA("Total-Old",'Distrib pivot table'!$C$2,"state","WV","group","1c3")/GETPIVOTDATA("Total-Old",'Distrib pivot table'!$C$2,"state","WV"),"*"))</f>
        <v>0</v>
      </c>
      <c r="U18" s="3"/>
      <c r="V18" s="3"/>
      <c r="W18" s="3"/>
      <c r="X18" s="3"/>
      <c r="Y18" s="3"/>
      <c r="Z18" s="3"/>
      <c r="AA18" s="3"/>
      <c r="AB18" s="3"/>
      <c r="AC18" s="3"/>
      <c r="AD18" s="3"/>
      <c r="AE18" s="3"/>
      <c r="AF18" s="3"/>
      <c r="AG18" s="3"/>
      <c r="AH18" s="3"/>
      <c r="AI18" s="3"/>
      <c r="AJ18" s="3"/>
      <c r="AK18" s="3"/>
      <c r="AL18" s="3"/>
      <c r="AM18" s="3"/>
      <c r="AN18" s="3"/>
      <c r="AO18" s="3"/>
      <c r="AP18" s="3"/>
      <c r="AQ18" s="3"/>
      <c r="AR18" s="3"/>
      <c r="AS18" s="3"/>
      <c r="AT18" s="3"/>
      <c r="AU18" s="3"/>
      <c r="AV18" s="3"/>
      <c r="AW18" s="3"/>
      <c r="AX18" s="3"/>
    </row>
    <row r="19" spans="1:50" ht="12.6" customHeight="1" x14ac:dyDescent="0.2">
      <c r="A19" s="1539"/>
      <c r="B19" s="127" t="s">
        <v>308</v>
      </c>
      <c r="C19" s="371" t="s">
        <v>277</v>
      </c>
      <c r="D19" s="418" t="str">
        <f>IF(GETPIVOTDATA("Total-Old",'Distrib pivot table'!$C$2,"group","1c5")/GETPIVOTDATA("Total-Old",'Distrib pivot table'!$C$2)=0,,IF(GETPIVOTDATA("Total-Old",'Distrib pivot table'!$C$2,"group","1c5")/GETPIVOTDATA("Total-Old",'Distrib pivot table'!$C$2)&gt;0.0005,GETPIVOTDATA("Total-Old",'Distrib pivot table'!$C$2,"group","1c5")/GETPIVOTDATA("Total-Old",'Distrib pivot table'!$C$2),"*"))</f>
        <v>*</v>
      </c>
      <c r="E19" s="418">
        <f>IF((GETPIVOTDATA("Total-Old",'Distrib pivot table'!$C$2,"state","AL","group","1c5")/GETPIVOTDATA("Total-Old",'Distrib pivot table'!$C$2,"state","AL"))=0,,IF(GETPIVOTDATA("Total-Old",'Distrib pivot table'!$C$2,"state","AL","group","1c5")/GETPIVOTDATA("Total-Old",'Distrib pivot table'!$C$2,"state","AL")&gt;0.0005,GETPIVOTDATA("Total-Old",'Distrib pivot table'!$C$2,"state","AL","group","1c5")/GETPIVOTDATA("Total-Old",'Distrib pivot table'!$C$2,"state","AL"),"*"))</f>
        <v>0</v>
      </c>
      <c r="F19" s="418">
        <f>IF((GETPIVOTDATA("Total-Old",'Distrib pivot table'!$C$2,"state","AR","group","1c5")/GETPIVOTDATA("Total-Old",'Distrib pivot table'!$C$2,"state","AR"))=0,,IF(GETPIVOTDATA("Total-Old",'Distrib pivot table'!$C$2,"state","AR","group","1c5")/GETPIVOTDATA("Total-Old",'Distrib pivot table'!$C$2,"state","AR")&gt;0.0005,GETPIVOTDATA("Total-Old",'Distrib pivot table'!$C$2,"state","AR","group","1c5")/GETPIVOTDATA("Total-Old",'Distrib pivot table'!$C$2,"state","AR"),"*"))</f>
        <v>0</v>
      </c>
      <c r="G19" s="418">
        <f>IF((GETPIVOTDATA("Total-Old",'Distrib pivot table'!$C$2,"state","DE","group","1c5")/GETPIVOTDATA("Total-Old",'Distrib pivot table'!$C$2,"state","DE"))=0,,IF(GETPIVOTDATA("Total-Old",'Distrib pivot table'!$C$2,"state","DE","group","1c5")/GETPIVOTDATA("Total-Old",'Distrib pivot table'!$C$2,"state","DE")&gt;0.0005,GETPIVOTDATA("Total-Old",'Distrib pivot table'!$C$2,"state","DE","group","1c5")/GETPIVOTDATA("Total-Old",'Distrib pivot table'!$C$2,"state","DE"),"*"))</f>
        <v>0</v>
      </c>
      <c r="H19" s="418">
        <f>IF((GETPIVOTDATA("Total-Old",'Distrib pivot table'!$C$2,"state","FL","group","1c5")/GETPIVOTDATA("Total-Old",'Distrib pivot table'!$C$2,"state","FL"))=0,,IF(GETPIVOTDATA("Total-Old",'Distrib pivot table'!$C$2,"state","FL","group","1c5")/GETPIVOTDATA("Total-Old",'Distrib pivot table'!$C$2,"state","FL")&gt;0.0005,GETPIVOTDATA("Total-Old",'Distrib pivot table'!$C$2,"state","FL","group","1c5")/GETPIVOTDATA("Total-Old",'Distrib pivot table'!$C$2,"state","FL"),"*"))</f>
        <v>0</v>
      </c>
      <c r="I19" s="418">
        <f>IF((GETPIVOTDATA("Total-Old",'Distrib pivot table'!$C$2,"state","GA","group","1c5")/GETPIVOTDATA("Total-Old",'Distrib pivot table'!$C$2,"state","GA"))=0,,IF(GETPIVOTDATA("Total-Old",'Distrib pivot table'!$C$2,"state","GA","group","1c5")/GETPIVOTDATA("Total-Old",'Distrib pivot table'!$C$2,"state","GA")&gt;0.0005,GETPIVOTDATA("Total-Old",'Distrib pivot table'!$C$2,"state","GA","group","1c5")/GETPIVOTDATA("Total-Old",'Distrib pivot table'!$C$2,"state","GA"),"*"))</f>
        <v>0</v>
      </c>
      <c r="J19" s="418">
        <f>IF((GETPIVOTDATA("Total-Old",'Distrib pivot table'!$C$2,"state","KY","group","1c5")/GETPIVOTDATA("Total-Old",'Distrib pivot table'!$C$2,"state","KY"))=0,,IF(GETPIVOTDATA("Total-Old",'Distrib pivot table'!$C$2,"state","KY","group","1c5")/GETPIVOTDATA("Total-Old",'Distrib pivot table'!$C$2,"state","KY")&gt;0.0005,GETPIVOTDATA("Total-Old",'Distrib pivot table'!$C$2,"state","KY","group","1c5")/GETPIVOTDATA("Total-Old",'Distrib pivot table'!$C$2,"state","KY"),"*"))</f>
        <v>0</v>
      </c>
      <c r="K19" s="418">
        <f>IF((GETPIVOTDATA("Total-Old",'Distrib pivot table'!$C$2,"state","LA","group","1c5")/GETPIVOTDATA("Total-Old",'Distrib pivot table'!$C$2,"state","LA"))=0,,IF(GETPIVOTDATA("Total-Old",'Distrib pivot table'!$C$2,"state","LA","group","1c5")/GETPIVOTDATA("Total-Old",'Distrib pivot table'!$C$2,"state","LA")&gt;0.0005,GETPIVOTDATA("Total-Old",'Distrib pivot table'!$C$2,"state","LA","group","1c5")/GETPIVOTDATA("Total-Old",'Distrib pivot table'!$C$2,"state","LA"),"*"))</f>
        <v>0</v>
      </c>
      <c r="L19" s="418">
        <f>IF((GETPIVOTDATA("Total-Old",'Distrib pivot table'!$C$2,"state","MD","group","1c5")/GETPIVOTDATA("Total-Old",'Distrib pivot table'!$C$2,"state","MD"))=0,,IF(GETPIVOTDATA("Total-Old",'Distrib pivot table'!$C$2,"state","MD","group","1c5")/GETPIVOTDATA("Total-Old",'Distrib pivot table'!$C$2,"state","MD")&gt;0.0005,GETPIVOTDATA("Total-Old",'Distrib pivot table'!$C$2,"state","MD","group","1c5")/GETPIVOTDATA("Total-Old",'Distrib pivot table'!$C$2,"state","MD"),"*"))</f>
        <v>0</v>
      </c>
      <c r="M19" s="418">
        <f>IF((GETPIVOTDATA("Total-Old",'Distrib pivot table'!$C$2,"state","MS","group","1c5")/GETPIVOTDATA("Total-Old",'Distrib pivot table'!$C$2,"state","MS"))=0,,IF(GETPIVOTDATA("Total-Old",'Distrib pivot table'!$C$2,"state","MS","group","1c5")/GETPIVOTDATA("Total-Old",'Distrib pivot table'!$C$2,"state","MS")&gt;0.0005,GETPIVOTDATA("Total-Old",'Distrib pivot table'!$C$2,"state","MS","group","1c5")/GETPIVOTDATA("Total-Old",'Distrib pivot table'!$C$2,"state","MS"),"*"))</f>
        <v>0</v>
      </c>
      <c r="N19" s="418">
        <f>IF((GETPIVOTDATA("Total-Old",'Distrib pivot table'!$C$2,"state","NC","group","1c5")/GETPIVOTDATA("Total-Old",'Distrib pivot table'!$C$2,"state","NC"))=0,,IF(GETPIVOTDATA("Total-Old",'Distrib pivot table'!$C$2,"state","NC","group","1c5")/GETPIVOTDATA("Total-Old",'Distrib pivot table'!$C$2,"state","NC")&gt;0.0005,GETPIVOTDATA("Total-Old",'Distrib pivot table'!$C$2,"state","NC","group","1c5")/GETPIVOTDATA("Total-Old",'Distrib pivot table'!$C$2,"state","NC"),"*"))</f>
        <v>0</v>
      </c>
      <c r="O19" s="418">
        <f>IF((GETPIVOTDATA("Total-Old",'Distrib pivot table'!$C$2,"state","OK","group","1c5")/GETPIVOTDATA("Total-Old",'Distrib pivot table'!$C$2,"state","OK"))=0,,IF(GETPIVOTDATA("Total-Old",'Distrib pivot table'!$C$2,"state","OK","group","1c5")/GETPIVOTDATA("Total-Old",'Distrib pivot table'!$C$2,"state","OK")&gt;0.0005,GETPIVOTDATA("Total-Old",'Distrib pivot table'!$C$2,"state","OK","group","1c5")/GETPIVOTDATA("Total-Old",'Distrib pivot table'!$C$2,"state","OK"),"*"))</f>
        <v>0</v>
      </c>
      <c r="P19" s="418">
        <f>IF((GETPIVOTDATA("Total-Old",'Distrib pivot table'!$C$2,"state","SC","group","1c5")/GETPIVOTDATA("Total-Old",'Distrib pivot table'!$C$2,"state","SC"))=0,,IF(GETPIVOTDATA("Total-Old",'Distrib pivot table'!$C$2,"state","SC","group","1c5")/GETPIVOTDATA("Total-Old",'Distrib pivot table'!$C$2,"state","SC")&gt;0.0005,GETPIVOTDATA("Total-Old",'Distrib pivot table'!$C$2,"state","SC","group","1c5")/GETPIVOTDATA("Total-Old",'Distrib pivot table'!$C$2,"state","SC"),"*"))</f>
        <v>0</v>
      </c>
      <c r="Q19" s="418">
        <f>IF((GETPIVOTDATA("Total-Old",'Distrib pivot table'!$C$2,"state","TN","group","1c5")/GETPIVOTDATA("Total-Old",'Distrib pivot table'!$C$2,"state","TN"))=0,,IF(GETPIVOTDATA("Total-Old",'Distrib pivot table'!$C$2,"state","TN","group","1c5")/GETPIVOTDATA("Total-Old",'Distrib pivot table'!$C$2,"state","TN")&gt;0.0005,GETPIVOTDATA("Total-Old",'Distrib pivot table'!$C$2,"state","TN","group","1c5")/GETPIVOTDATA("Total-Old",'Distrib pivot table'!$C$2,"state","TN"),"*"))</f>
        <v>0</v>
      </c>
      <c r="R19" s="418">
        <f>IF((GETPIVOTDATA("Total-Old",'Distrib pivot table'!$C$2,"state","TX","group","1c5")/GETPIVOTDATA("Total-Old",'Distrib pivot table'!$C$2,"state","TX"))=0,,IF(GETPIVOTDATA("Total-Old",'Distrib pivot table'!$C$2,"state","TX","group","1c5")/GETPIVOTDATA("Total-Old",'Distrib pivot table'!$C$2,"state","TX")&gt;0.0005,GETPIVOTDATA("Total-Old",'Distrib pivot table'!$C$2,"state","TX","group","1c5")/GETPIVOTDATA("Total-Old",'Distrib pivot table'!$C$2,"state","TX"),"*"))</f>
        <v>7.8513256726845196E-4</v>
      </c>
      <c r="S19" s="418">
        <f>IF((GETPIVOTDATA("Total-Old",'Distrib pivot table'!$C$2,"state","VA","group","1c5")/GETPIVOTDATA("Total-Old",'Distrib pivot table'!$C$2,"state","VA"))=0,,IF(GETPIVOTDATA("Total-Old",'Distrib pivot table'!$C$2,"state","VA","group","1c5")/GETPIVOTDATA("Total-Old",'Distrib pivot table'!$C$2,"state","VA")&gt;0.0005,GETPIVOTDATA("Total-Old",'Distrib pivot table'!$C$2,"state","VA","group","1c5")/GETPIVOTDATA("Total-Old",'Distrib pivot table'!$C$2,"state","VA"),"*"))</f>
        <v>0</v>
      </c>
      <c r="T19" s="418">
        <f>IF((GETPIVOTDATA("Total-Old",'Distrib pivot table'!$C$2,"state","WV","group","1c5")/GETPIVOTDATA("Total-Old",'Distrib pivot table'!$C$2,"state","WV"))=0,,IF(GETPIVOTDATA("Total-Old",'Distrib pivot table'!$C$2,"state","WV","group","1c5")/GETPIVOTDATA("Total-Old",'Distrib pivot table'!$C$2,"state","WV")&gt;0.0005,GETPIVOTDATA("Total-Old",'Distrib pivot table'!$C$2,"state","WV","group","1c5")/GETPIVOTDATA("Total-Old",'Distrib pivot table'!$C$2,"state","WV"),"*"))</f>
        <v>0</v>
      </c>
      <c r="U19" s="3"/>
      <c r="V19" s="3"/>
      <c r="W19" s="3"/>
      <c r="X19" s="3"/>
      <c r="Y19" s="3"/>
      <c r="Z19" s="3"/>
      <c r="AA19" s="3"/>
      <c r="AB19" s="3"/>
      <c r="AC19" s="3"/>
      <c r="AD19" s="3"/>
      <c r="AE19" s="3"/>
      <c r="AF19" s="3"/>
      <c r="AG19" s="3"/>
      <c r="AH19" s="3"/>
      <c r="AI19" s="3"/>
      <c r="AJ19" s="3"/>
      <c r="AK19" s="3"/>
      <c r="AL19" s="3"/>
      <c r="AM19" s="3"/>
      <c r="AN19" s="3"/>
      <c r="AO19" s="3"/>
      <c r="AP19" s="3"/>
      <c r="AQ19" s="3"/>
      <c r="AR19" s="3"/>
      <c r="AS19" s="3"/>
      <c r="AT19" s="3"/>
      <c r="AU19" s="3"/>
      <c r="AV19" s="3"/>
      <c r="AW19" s="3"/>
      <c r="AX19" s="3"/>
    </row>
    <row r="20" spans="1:50" ht="12.6" customHeight="1" x14ac:dyDescent="0.2">
      <c r="A20" s="1539"/>
      <c r="B20" s="127" t="s">
        <v>309</v>
      </c>
      <c r="C20" s="371" t="s">
        <v>278</v>
      </c>
      <c r="D20" s="418">
        <f>IF(GETPIVOTDATA("Total-Old",'Distrib pivot table'!$C$2,"group","1c6")/GETPIVOTDATA("Total-Old",'Distrib pivot table'!$C$2)=0,,IF(GETPIVOTDATA("Total-Old",'Distrib pivot table'!$C$2,"group","1c6")/GETPIVOTDATA("Total-Old",'Distrib pivot table'!$C$2)&gt;0.0005,GETPIVOTDATA("Total-Old",'Distrib pivot table'!$C$2,"group","1c6")/GETPIVOTDATA("Total-Old",'Distrib pivot table'!$C$2),"*"))</f>
        <v>8.8825506282779897E-4</v>
      </c>
      <c r="E20" s="418">
        <f>IF((GETPIVOTDATA("Total-Old",'Distrib pivot table'!$C$2,"state","AL","group","1c6")/GETPIVOTDATA("Total-Old",'Distrib pivot table'!$C$2,"state","AL"))=0,,IF(GETPIVOTDATA("Total-Old",'Distrib pivot table'!$C$2,"state","AL","group","1c6")/GETPIVOTDATA("Total-Old",'Distrib pivot table'!$C$2,"state","AL")&gt;0.0005,GETPIVOTDATA("Total-Old",'Distrib pivot table'!$C$2,"state","AL","group","1c6")/GETPIVOTDATA("Total-Old",'Distrib pivot table'!$C$2,"state","AL"),"*"))</f>
        <v>1.4574989005162731E-3</v>
      </c>
      <c r="F20" s="418">
        <f>IF((GETPIVOTDATA("Total-Old",'Distrib pivot table'!$C$2,"state","AR","group","1c6")/GETPIVOTDATA("Total-Old",'Distrib pivot table'!$C$2,"state","AR"))=0,,IF(GETPIVOTDATA("Total-Old",'Distrib pivot table'!$C$2,"state","AR","group","1c6")/GETPIVOTDATA("Total-Old",'Distrib pivot table'!$C$2,"state","AR")&gt;0.0005,GETPIVOTDATA("Total-Old",'Distrib pivot table'!$C$2,"state","AR","group","1c6")/GETPIVOTDATA("Total-Old",'Distrib pivot table'!$C$2,"state","AR"),"*"))</f>
        <v>2.4154049004398897E-3</v>
      </c>
      <c r="G20" s="418">
        <f>IF((GETPIVOTDATA("Total-Old",'Distrib pivot table'!$C$2,"state","DE","group","1c6")/GETPIVOTDATA("Total-Old",'Distrib pivot table'!$C$2,"state","DE"))=0,,IF(GETPIVOTDATA("Total-Old",'Distrib pivot table'!$C$2,"state","DE","group","1c6")/GETPIVOTDATA("Total-Old",'Distrib pivot table'!$C$2,"state","DE")&gt;0.0005,GETPIVOTDATA("Total-Old",'Distrib pivot table'!$C$2,"state","DE","group","1c6")/GETPIVOTDATA("Total-Old",'Distrib pivot table'!$C$2,"state","DE"),"*"))</f>
        <v>0</v>
      </c>
      <c r="H20" s="418">
        <f>IF((GETPIVOTDATA("Total-Old",'Distrib pivot table'!$C$2,"state","FL","group","1c6")/GETPIVOTDATA("Total-Old",'Distrib pivot table'!$C$2,"state","FL"))=0,,IF(GETPIVOTDATA("Total-Old",'Distrib pivot table'!$C$2,"state","FL","group","1c6")/GETPIVOTDATA("Total-Old",'Distrib pivot table'!$C$2,"state","FL")&gt;0.0005,GETPIVOTDATA("Total-Old",'Distrib pivot table'!$C$2,"state","FL","group","1c6")/GETPIVOTDATA("Total-Old",'Distrib pivot table'!$C$2,"state","FL"),"*"))</f>
        <v>2.2206217709882002E-3</v>
      </c>
      <c r="I20" s="418">
        <f>IF((GETPIVOTDATA("Total-Old",'Distrib pivot table'!$C$2,"state","GA","group","1c6")/GETPIVOTDATA("Total-Old",'Distrib pivot table'!$C$2,"state","GA"))=0,,IF(GETPIVOTDATA("Total-Old",'Distrib pivot table'!$C$2,"state","GA","group","1c6")/GETPIVOTDATA("Total-Old",'Distrib pivot table'!$C$2,"state","GA")&gt;0.0005,GETPIVOTDATA("Total-Old",'Distrib pivot table'!$C$2,"state","GA","group","1c6")/GETPIVOTDATA("Total-Old",'Distrib pivot table'!$C$2,"state","GA"),"*"))</f>
        <v>0</v>
      </c>
      <c r="J20" s="418">
        <f>IF((GETPIVOTDATA("Total-Old",'Distrib pivot table'!$C$2,"state","KY","group","1c6")/GETPIVOTDATA("Total-Old",'Distrib pivot table'!$C$2,"state","KY"))=0,,IF(GETPIVOTDATA("Total-Old",'Distrib pivot table'!$C$2,"state","KY","group","1c6")/GETPIVOTDATA("Total-Old",'Distrib pivot table'!$C$2,"state","KY")&gt;0.0005,GETPIVOTDATA("Total-Old",'Distrib pivot table'!$C$2,"state","KY","group","1c6")/GETPIVOTDATA("Total-Old",'Distrib pivot table'!$C$2,"state","KY"),"*"))</f>
        <v>0</v>
      </c>
      <c r="K20" s="418">
        <f>IF((GETPIVOTDATA("Total-Old",'Distrib pivot table'!$C$2,"state","LA","group","1c6")/GETPIVOTDATA("Total-Old",'Distrib pivot table'!$C$2,"state","LA"))=0,,IF(GETPIVOTDATA("Total-Old",'Distrib pivot table'!$C$2,"state","LA","group","1c6")/GETPIVOTDATA("Total-Old",'Distrib pivot table'!$C$2,"state","LA")&gt;0.0005,GETPIVOTDATA("Total-Old",'Distrib pivot table'!$C$2,"state","LA","group","1c6")/GETPIVOTDATA("Total-Old",'Distrib pivot table'!$C$2,"state","LA"),"*"))</f>
        <v>6.9510800946432265E-3</v>
      </c>
      <c r="L20" s="418">
        <f>IF((GETPIVOTDATA("Total-Old",'Distrib pivot table'!$C$2,"state","MD","group","1c6")/GETPIVOTDATA("Total-Old",'Distrib pivot table'!$C$2,"state","MD"))=0,,IF(GETPIVOTDATA("Total-Old",'Distrib pivot table'!$C$2,"state","MD","group","1c6")/GETPIVOTDATA("Total-Old",'Distrib pivot table'!$C$2,"state","MD")&gt;0.0005,GETPIVOTDATA("Total-Old",'Distrib pivot table'!$C$2,"state","MD","group","1c6")/GETPIVOTDATA("Total-Old",'Distrib pivot table'!$C$2,"state","MD"),"*"))</f>
        <v>0</v>
      </c>
      <c r="M20" s="418">
        <f>IF((GETPIVOTDATA("Total-Old",'Distrib pivot table'!$C$2,"state","MS","group","1c6")/GETPIVOTDATA("Total-Old",'Distrib pivot table'!$C$2,"state","MS"))=0,,IF(GETPIVOTDATA("Total-Old",'Distrib pivot table'!$C$2,"state","MS","group","1c6")/GETPIVOTDATA("Total-Old",'Distrib pivot table'!$C$2,"state","MS")&gt;0.0005,GETPIVOTDATA("Total-Old",'Distrib pivot table'!$C$2,"state","MS","group","1c6")/GETPIVOTDATA("Total-Old",'Distrib pivot table'!$C$2,"state","MS"),"*"))</f>
        <v>0</v>
      </c>
      <c r="N20" s="418">
        <f>IF((GETPIVOTDATA("Total-Old",'Distrib pivot table'!$C$2,"state","NC","group","1c6")/GETPIVOTDATA("Total-Old",'Distrib pivot table'!$C$2,"state","NC"))=0,,IF(GETPIVOTDATA("Total-Old",'Distrib pivot table'!$C$2,"state","NC","group","1c6")/GETPIVOTDATA("Total-Old",'Distrib pivot table'!$C$2,"state","NC")&gt;0.0005,GETPIVOTDATA("Total-Old",'Distrib pivot table'!$C$2,"state","NC","group","1c6")/GETPIVOTDATA("Total-Old",'Distrib pivot table'!$C$2,"state","NC"),"*"))</f>
        <v>9.0133040874135022E-4</v>
      </c>
      <c r="O20" s="418">
        <f>IF((GETPIVOTDATA("Total-Old",'Distrib pivot table'!$C$2,"state","OK","group","1c6")/GETPIVOTDATA("Total-Old",'Distrib pivot table'!$C$2,"state","OK"))=0,,IF(GETPIVOTDATA("Total-Old",'Distrib pivot table'!$C$2,"state","OK","group","1c6")/GETPIVOTDATA("Total-Old",'Distrib pivot table'!$C$2,"state","OK")&gt;0.0005,GETPIVOTDATA("Total-Old",'Distrib pivot table'!$C$2,"state","OK","group","1c6")/GETPIVOTDATA("Total-Old",'Distrib pivot table'!$C$2,"state","OK"),"*"))</f>
        <v>0</v>
      </c>
      <c r="P20" s="418">
        <f>IF((GETPIVOTDATA("Total-Old",'Distrib pivot table'!$C$2,"state","SC","group","1c6")/GETPIVOTDATA("Total-Old",'Distrib pivot table'!$C$2,"state","SC"))=0,,IF(GETPIVOTDATA("Total-Old",'Distrib pivot table'!$C$2,"state","SC","group","1c6")/GETPIVOTDATA("Total-Old",'Distrib pivot table'!$C$2,"state","SC")&gt;0.0005,GETPIVOTDATA("Total-Old",'Distrib pivot table'!$C$2,"state","SC","group","1c6")/GETPIVOTDATA("Total-Old",'Distrib pivot table'!$C$2,"state","SC"),"*"))</f>
        <v>0</v>
      </c>
      <c r="Q20" s="418">
        <f>IF((GETPIVOTDATA("Total-Old",'Distrib pivot table'!$C$2,"state","TN","group","1c6")/GETPIVOTDATA("Total-Old",'Distrib pivot table'!$C$2,"state","TN"))=0,,IF(GETPIVOTDATA("Total-Old",'Distrib pivot table'!$C$2,"state","TN","group","1c6")/GETPIVOTDATA("Total-Old",'Distrib pivot table'!$C$2,"state","TN")&gt;0.0005,GETPIVOTDATA("Total-Old",'Distrib pivot table'!$C$2,"state","TN","group","1c6")/GETPIVOTDATA("Total-Old",'Distrib pivot table'!$C$2,"state","TN"),"*"))</f>
        <v>0</v>
      </c>
      <c r="R20" s="418">
        <f>IF((GETPIVOTDATA("Total-Old",'Distrib pivot table'!$C$2,"state","TX","group","1c6")/GETPIVOTDATA("Total-Old",'Distrib pivot table'!$C$2,"state","TX"))=0,,IF(GETPIVOTDATA("Total-Old",'Distrib pivot table'!$C$2,"state","TX","group","1c6")/GETPIVOTDATA("Total-Old",'Distrib pivot table'!$C$2,"state","TX")&gt;0.0005,GETPIVOTDATA("Total-Old",'Distrib pivot table'!$C$2,"state","TX","group","1c6")/GETPIVOTDATA("Total-Old",'Distrib pivot table'!$C$2,"state","TX"),"*"))</f>
        <v>0</v>
      </c>
      <c r="S20" s="418">
        <f>IF((GETPIVOTDATA("Total-Old",'Distrib pivot table'!$C$2,"state","VA","group","1c6")/GETPIVOTDATA("Total-Old",'Distrib pivot table'!$C$2,"state","VA"))=0,,IF(GETPIVOTDATA("Total-Old",'Distrib pivot table'!$C$2,"state","VA","group","1c6")/GETPIVOTDATA("Total-Old",'Distrib pivot table'!$C$2,"state","VA")&gt;0.0005,GETPIVOTDATA("Total-Old",'Distrib pivot table'!$C$2,"state","VA","group","1c6")/GETPIVOTDATA("Total-Old",'Distrib pivot table'!$C$2,"state","VA"),"*"))</f>
        <v>2.0241067975000338E-3</v>
      </c>
      <c r="T20" s="418">
        <f>IF((GETPIVOTDATA("Total-Old",'Distrib pivot table'!$C$2,"state","WV","group","1c6")/GETPIVOTDATA("Total-Old",'Distrib pivot table'!$C$2,"state","WV"))=0,,IF(GETPIVOTDATA("Total-Old",'Distrib pivot table'!$C$2,"state","WV","group","1c6")/GETPIVOTDATA("Total-Old",'Distrib pivot table'!$C$2,"state","WV")&gt;0.0005,GETPIVOTDATA("Total-Old",'Distrib pivot table'!$C$2,"state","WV","group","1c6")/GETPIVOTDATA("Total-Old",'Distrib pivot table'!$C$2,"state","WV"),"*"))</f>
        <v>0</v>
      </c>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row>
    <row r="21" spans="1:50" ht="12.6" customHeight="1" x14ac:dyDescent="0.2">
      <c r="A21" s="1539"/>
      <c r="B21" s="127" t="s">
        <v>295</v>
      </c>
      <c r="C21" s="371" t="s">
        <v>279</v>
      </c>
      <c r="D21" s="418">
        <f>IF(GETPIVOTDATA("Total-Old",'Distrib pivot table'!$C$2,"group","1c7")/GETPIVOTDATA("Total-Old",'Distrib pivot table'!$C$2)=0,,IF(GETPIVOTDATA("Total-Old",'Distrib pivot table'!$C$2,"group","1c7")/GETPIVOTDATA("Total-Old",'Distrib pivot table'!$C$2)&gt;0.0005,GETPIVOTDATA("Total-Old",'Distrib pivot table'!$C$2,"group","1c7")/GETPIVOTDATA("Total-Old",'Distrib pivot table'!$C$2),"*"))</f>
        <v>1.4685358695817282E-3</v>
      </c>
      <c r="E21" s="420">
        <f>IF((GETPIVOTDATA("Total-Old",'Distrib pivot table'!$C$2,"state","AL","group","1c7")/GETPIVOTDATA("Total-Old",'Distrib pivot table'!$C$2,"state","AL"))=0,,IF(GETPIVOTDATA("Total-Old",'Distrib pivot table'!$C$2,"state","AL","group","1c7")/GETPIVOTDATA("Total-Old",'Distrib pivot table'!$C$2,"state","AL")&gt;0.0005,GETPIVOTDATA("Total-Old",'Distrib pivot table'!$C$2,"state","AL","group","1c7")/GETPIVOTDATA("Total-Old",'Distrib pivot table'!$C$2,"state","AL"),"*"))</f>
        <v>5.1779963005661629E-3</v>
      </c>
      <c r="F21" s="420">
        <f>IF((GETPIVOTDATA("Total-Old",'Distrib pivot table'!$C$2,"state","AR","group","1c7")/GETPIVOTDATA("Total-Old",'Distrib pivot table'!$C$2,"state","AR"))=0,,IF(GETPIVOTDATA("Total-Old",'Distrib pivot table'!$C$2,"state","AR","group","1c7")/GETPIVOTDATA("Total-Old",'Distrib pivot table'!$C$2,"state","AR")&gt;0.0005,GETPIVOTDATA("Total-Old",'Distrib pivot table'!$C$2,"state","AR","group","1c7")/GETPIVOTDATA("Total-Old",'Distrib pivot table'!$C$2,"state","AR"),"*"))</f>
        <v>0</v>
      </c>
      <c r="G21" s="420">
        <f>IF((GETPIVOTDATA("Total-Old",'Distrib pivot table'!$C$2,"state","DE","group","1c7")/GETPIVOTDATA("Total-Old",'Distrib pivot table'!$C$2,"state","DE"))=0,,IF(GETPIVOTDATA("Total-Old",'Distrib pivot table'!$C$2,"state","DE","group","1c7")/GETPIVOTDATA("Total-Old",'Distrib pivot table'!$C$2,"state","DE")&gt;0.0005,GETPIVOTDATA("Total-Old",'Distrib pivot table'!$C$2,"state","DE","group","1c7")/GETPIVOTDATA("Total-Old",'Distrib pivot table'!$C$2,"state","DE"),"*"))</f>
        <v>0</v>
      </c>
      <c r="H21" s="420">
        <f>IF((GETPIVOTDATA("Total-Old",'Distrib pivot table'!$C$2,"state","FL","group","1c7")/GETPIVOTDATA("Total-Old",'Distrib pivot table'!$C$2,"state","FL"))=0,,IF(GETPIVOTDATA("Total-Old",'Distrib pivot table'!$C$2,"state","FL","group","1c7")/GETPIVOTDATA("Total-Old",'Distrib pivot table'!$C$2,"state","FL")&gt;0.0005,GETPIVOTDATA("Total-Old",'Distrib pivot table'!$C$2,"state","FL","group","1c7")/GETPIVOTDATA("Total-Old",'Distrib pivot table'!$C$2,"state","FL"),"*"))</f>
        <v>0</v>
      </c>
      <c r="I21" s="420">
        <f>IF((GETPIVOTDATA("Total-Old",'Distrib pivot table'!$C$2,"state","GA","group","1c7")/GETPIVOTDATA("Total-Old",'Distrib pivot table'!$C$2,"state","GA"))=0,,IF(GETPIVOTDATA("Total-Old",'Distrib pivot table'!$C$2,"state","GA","group","1c7")/GETPIVOTDATA("Total-Old",'Distrib pivot table'!$C$2,"state","GA")&gt;0.0005,GETPIVOTDATA("Total-Old",'Distrib pivot table'!$C$2,"state","GA","group","1c7")/GETPIVOTDATA("Total-Old",'Distrib pivot table'!$C$2,"state","GA"),"*"))</f>
        <v>0</v>
      </c>
      <c r="J21" s="420">
        <f>IF((GETPIVOTDATA("Total-Old",'Distrib pivot table'!$C$2,"state","KY","group","1c7")/GETPIVOTDATA("Total-Old",'Distrib pivot table'!$C$2,"state","KY"))=0,,IF(GETPIVOTDATA("Total-Old",'Distrib pivot table'!$C$2,"state","KY","group","1c7")/GETPIVOTDATA("Total-Old",'Distrib pivot table'!$C$2,"state","KY")&gt;0.0005,GETPIVOTDATA("Total-Old",'Distrib pivot table'!$C$2,"state","KY","group","1c7")/GETPIVOTDATA("Total-Old",'Distrib pivot table'!$C$2,"state","KY"),"*"))</f>
        <v>0</v>
      </c>
      <c r="K21" s="420">
        <f>IF((GETPIVOTDATA("Total-Old",'Distrib pivot table'!$C$2,"state","LA","group","1c7")/GETPIVOTDATA("Total-Old",'Distrib pivot table'!$C$2,"state","LA"))=0,,IF(GETPIVOTDATA("Total-Old",'Distrib pivot table'!$C$2,"state","LA","group","1c7")/GETPIVOTDATA("Total-Old",'Distrib pivot table'!$C$2,"state","LA")&gt;0.0005,GETPIVOTDATA("Total-Old",'Distrib pivot table'!$C$2,"state","LA","group","1c7")/GETPIVOTDATA("Total-Old",'Distrib pivot table'!$C$2,"state","LA"),"*"))</f>
        <v>1.0938746330195894E-2</v>
      </c>
      <c r="L21" s="420">
        <f>IF((GETPIVOTDATA("Total-Old",'Distrib pivot table'!$C$2,"state","MD","group","1c7")/GETPIVOTDATA("Total-Old",'Distrib pivot table'!$C$2,"state","MD"))=0,,IF(GETPIVOTDATA("Total-Old",'Distrib pivot table'!$C$2,"state","MD","group","1c7")/GETPIVOTDATA("Total-Old",'Distrib pivot table'!$C$2,"state","MD")&gt;0.0005,GETPIVOTDATA("Total-Old",'Distrib pivot table'!$C$2,"state","MD","group","1c7")/GETPIVOTDATA("Total-Old",'Distrib pivot table'!$C$2,"state","MD"),"*"))</f>
        <v>0</v>
      </c>
      <c r="M21" s="420">
        <f>IF((GETPIVOTDATA("Total-Old",'Distrib pivot table'!$C$2,"state","MS","group","1c7")/GETPIVOTDATA("Total-Old",'Distrib pivot table'!$C$2,"state","MS"))=0,,IF(GETPIVOTDATA("Total-Old",'Distrib pivot table'!$C$2,"state","MS","group","1c7")/GETPIVOTDATA("Total-Old",'Distrib pivot table'!$C$2,"state","MS")&gt;0.0005,GETPIVOTDATA("Total-Old",'Distrib pivot table'!$C$2,"state","MS","group","1c7")/GETPIVOTDATA("Total-Old",'Distrib pivot table'!$C$2,"state","MS"),"*"))</f>
        <v>0</v>
      </c>
      <c r="N21" s="420">
        <f>IF((GETPIVOTDATA("Total-Old",'Distrib pivot table'!$C$2,"state","NC","group","1c7")/GETPIVOTDATA("Total-Old",'Distrib pivot table'!$C$2,"state","NC"))=0,,IF(GETPIVOTDATA("Total-Old",'Distrib pivot table'!$C$2,"state","NC","group","1c7")/GETPIVOTDATA("Total-Old",'Distrib pivot table'!$C$2,"state","NC")&gt;0.0005,GETPIVOTDATA("Total-Old",'Distrib pivot table'!$C$2,"state","NC","group","1c7")/GETPIVOTDATA("Total-Old",'Distrib pivot table'!$C$2,"state","NC"),"*"))</f>
        <v>3.7783056880753675E-3</v>
      </c>
      <c r="O21" s="420">
        <f>IF((GETPIVOTDATA("Total-Old",'Distrib pivot table'!$C$2,"state","OK","group","1c7")/GETPIVOTDATA("Total-Old",'Distrib pivot table'!$C$2,"state","OK"))=0,,IF(GETPIVOTDATA("Total-Old",'Distrib pivot table'!$C$2,"state","OK","group","1c7")/GETPIVOTDATA("Total-Old",'Distrib pivot table'!$C$2,"state","OK")&gt;0.0005,GETPIVOTDATA("Total-Old",'Distrib pivot table'!$C$2,"state","OK","group","1c7")/GETPIVOTDATA("Total-Old",'Distrib pivot table'!$C$2,"state","OK"),"*"))</f>
        <v>0</v>
      </c>
      <c r="P21" s="420">
        <f>IF((GETPIVOTDATA("Total-Old",'Distrib pivot table'!$C$2,"state","SC","group","1c7")/GETPIVOTDATA("Total-Old",'Distrib pivot table'!$C$2,"state","SC"))=0,,IF(GETPIVOTDATA("Total-Old",'Distrib pivot table'!$C$2,"state","SC","group","1c7")/GETPIVOTDATA("Total-Old",'Distrib pivot table'!$C$2,"state","SC")&gt;0.0005,GETPIVOTDATA("Total-Old",'Distrib pivot table'!$C$2,"state","SC","group","1c7")/GETPIVOTDATA("Total-Old",'Distrib pivot table'!$C$2,"state","SC"),"*"))</f>
        <v>0</v>
      </c>
      <c r="Q21" s="420">
        <f>IF((GETPIVOTDATA("Total-Old",'Distrib pivot table'!$C$2,"state","TN","group","1c7")/GETPIVOTDATA("Total-Old",'Distrib pivot table'!$C$2,"state","TN"))=0,,IF(GETPIVOTDATA("Total-Old",'Distrib pivot table'!$C$2,"state","TN","group","1c7")/GETPIVOTDATA("Total-Old",'Distrib pivot table'!$C$2,"state","TN")&gt;0.0005,GETPIVOTDATA("Total-Old",'Distrib pivot table'!$C$2,"state","TN","group","1c7")/GETPIVOTDATA("Total-Old",'Distrib pivot table'!$C$2,"state","TN"),"*"))</f>
        <v>0</v>
      </c>
      <c r="R21" s="420">
        <f>IF((GETPIVOTDATA("Total-Old",'Distrib pivot table'!$C$2,"state","TX","group","1c7")/GETPIVOTDATA("Total-Old",'Distrib pivot table'!$C$2,"state","TX"))=0,,IF(GETPIVOTDATA("Total-Old",'Distrib pivot table'!$C$2,"state","TX","group","1c7")/GETPIVOTDATA("Total-Old",'Distrib pivot table'!$C$2,"state","TX")&gt;0.0005,GETPIVOTDATA("Total-Old",'Distrib pivot table'!$C$2,"state","TX","group","1c7")/GETPIVOTDATA("Total-Old",'Distrib pivot table'!$C$2,"state","TX"),"*"))</f>
        <v>1.8564888716721504E-3</v>
      </c>
      <c r="S21" s="420" t="str">
        <f>IF((GETPIVOTDATA("Total-Old",'Distrib pivot table'!$C$2,"state","VA","group","1c7")/GETPIVOTDATA("Total-Old",'Distrib pivot table'!$C$2,"state","VA"))=0,,IF(GETPIVOTDATA("Total-Old",'Distrib pivot table'!$C$2,"state","VA","group","1c7")/GETPIVOTDATA("Total-Old",'Distrib pivot table'!$C$2,"state","VA")&gt;0.0005,GETPIVOTDATA("Total-Old",'Distrib pivot table'!$C$2,"state","VA","group","1c7")/GETPIVOTDATA("Total-Old",'Distrib pivot table'!$C$2,"state","VA"),"*"))</f>
        <v>*</v>
      </c>
      <c r="T21" s="421">
        <f>IF((GETPIVOTDATA("Total-Old",'Distrib pivot table'!$C$2,"state","WV","group","1c7")/GETPIVOTDATA("Total-Old",'Distrib pivot table'!$C$2,"state","WV"))=0,,IF(GETPIVOTDATA("Total-Old",'Distrib pivot table'!$C$2,"state","WV","group","1c7")/GETPIVOTDATA("Total-Old",'Distrib pivot table'!$C$2,"state","WV")&gt;0.0005,GETPIVOTDATA("Total-Old",'Distrib pivot table'!$C$2,"state","WV","group","1c7")/GETPIVOTDATA("Total-Old",'Distrib pivot table'!$C$2,"state","WV"),"*"))</f>
        <v>0</v>
      </c>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row>
    <row r="22" spans="1:50" ht="25.5" customHeight="1" x14ac:dyDescent="0.2">
      <c r="A22" s="1540"/>
      <c r="B22" s="129" t="s">
        <v>86</v>
      </c>
      <c r="C22" s="372" t="s">
        <v>303</v>
      </c>
      <c r="D22" s="422">
        <f>IF(GETPIVOTDATA("Total-Old",'Distrib pivot table'!$C$2,"group","1g")/GETPIVOTDATA("Total-Old",'Distrib pivot table'!$C$2)=0,,IF(GETPIVOTDATA("Total-Old",'Distrib pivot table'!$C$2,"group","1g")/GETPIVOTDATA("Total-Old",'Distrib pivot table'!$C$2)&gt;0.0005,GETPIVOTDATA("Total-Old",'Distrib pivot table'!$C$2,"group","1g")/GETPIVOTDATA("Total-Old",'Distrib pivot table'!$C$2),"*"))</f>
        <v>3.9729499587220557E-3</v>
      </c>
      <c r="E22" s="422">
        <f>IF((GETPIVOTDATA("Total-Old",'Distrib pivot table'!$C$2,"state","AL","group","1g")/GETPIVOTDATA("Total-Old",'Distrib pivot table'!$C$2,"state","AL"))=0,,IF(GETPIVOTDATA("Total-Old",'Distrib pivot table'!$C$2,"state","AL","group","1g")/GETPIVOTDATA("Total-Old",'Distrib pivot table'!$C$2,"state","AL")&gt;0.0005,GETPIVOTDATA("Total-Old",'Distrib pivot table'!$C$2,"state","AL","group","1g")/GETPIVOTDATA("Total-Old",'Distrib pivot table'!$C$2,"state","AL"),"*"))</f>
        <v>6.6500471532067484E-4</v>
      </c>
      <c r="F22" s="422" t="str">
        <f>IF((GETPIVOTDATA("Total-Old",'Distrib pivot table'!$C$2,"state","AR","group","1g")/GETPIVOTDATA("Total-Old",'Distrib pivot table'!$C$2,"state","AR"))=0,,IF(GETPIVOTDATA("Total-Old",'Distrib pivot table'!$C$2,"state","AR","group","1g")/GETPIVOTDATA("Total-Old",'Distrib pivot table'!$C$2,"state","AR")&gt;0.0005,GETPIVOTDATA("Total-Old",'Distrib pivot table'!$C$2,"state","AR","group","1g")/GETPIVOTDATA("Total-Old",'Distrib pivot table'!$C$2,"state","AR"),"*"))</f>
        <v>*</v>
      </c>
      <c r="G22" s="422">
        <f>IF((GETPIVOTDATA("Total-Old",'Distrib pivot table'!$C$2,"state","DE","group","1g")/GETPIVOTDATA("Total-Old",'Distrib pivot table'!$C$2,"state","DE"))=0,,IF(GETPIVOTDATA("Total-Old",'Distrib pivot table'!$C$2,"state","DE","group","1g")/GETPIVOTDATA("Total-Old",'Distrib pivot table'!$C$2,"state","DE")&gt;0.0005,GETPIVOTDATA("Total-Old",'Distrib pivot table'!$C$2,"state","DE","group","1g")/GETPIVOTDATA("Total-Old",'Distrib pivot table'!$C$2,"state","DE"),"*"))</f>
        <v>2.3699489933844296E-3</v>
      </c>
      <c r="H22" s="422">
        <f>IF((GETPIVOTDATA("Total-Old",'Distrib pivot table'!$C$2,"state","FL","group","1g")/GETPIVOTDATA("Total-Old",'Distrib pivot table'!$C$2,"state","FL"))=0,,IF(GETPIVOTDATA("Total-Old",'Distrib pivot table'!$C$2,"state","FL","group","1g")/GETPIVOTDATA("Total-Old",'Distrib pivot table'!$C$2,"state","FL")&gt;0.0005,GETPIVOTDATA("Total-Old",'Distrib pivot table'!$C$2,"state","FL","group","1g")/GETPIVOTDATA("Total-Old",'Distrib pivot table'!$C$2,"state","FL"),"*"))</f>
        <v>0</v>
      </c>
      <c r="I22" s="422">
        <f>IF((GETPIVOTDATA("Total-Old",'Distrib pivot table'!$C$2,"state","GA","group","1g")/GETPIVOTDATA("Total-Old",'Distrib pivot table'!$C$2,"state","GA"))=0,,IF(GETPIVOTDATA("Total-Old",'Distrib pivot table'!$C$2,"state","GA","group","1g")/GETPIVOTDATA("Total-Old",'Distrib pivot table'!$C$2,"state","GA")&gt;0.0005,GETPIVOTDATA("Total-Old",'Distrib pivot table'!$C$2,"state","GA","group","1g")/GETPIVOTDATA("Total-Old",'Distrib pivot table'!$C$2,"state","GA"),"*"))</f>
        <v>1.1880454551223498E-2</v>
      </c>
      <c r="J22" s="422">
        <f>IF((GETPIVOTDATA("Total-Old",'Distrib pivot table'!$C$2,"state","KY","group","1g")/GETPIVOTDATA("Total-Old",'Distrib pivot table'!$C$2,"state","KY"))=0,,IF(GETPIVOTDATA("Total-Old",'Distrib pivot table'!$C$2,"state","KY","group","1g")/GETPIVOTDATA("Total-Old",'Distrib pivot table'!$C$2,"state","KY")&gt;0.0005,GETPIVOTDATA("Total-Old",'Distrib pivot table'!$C$2,"state","KY","group","1g")/GETPIVOTDATA("Total-Old",'Distrib pivot table'!$C$2,"state","KY"),"*"))</f>
        <v>1.3239187984396899E-2</v>
      </c>
      <c r="K22" s="422">
        <f>IF((GETPIVOTDATA("Total-Old",'Distrib pivot table'!$C$2,"state","LA","group","1g")/GETPIVOTDATA("Total-Old",'Distrib pivot table'!$C$2,"state","LA"))=0,,IF(GETPIVOTDATA("Total-Old",'Distrib pivot table'!$C$2,"state","LA","group","1g")/GETPIVOTDATA("Total-Old",'Distrib pivot table'!$C$2,"state","LA")&gt;0.0005,GETPIVOTDATA("Total-Old",'Distrib pivot table'!$C$2,"state","LA","group","1g")/GETPIVOTDATA("Total-Old",'Distrib pivot table'!$C$2,"state","LA"),"*"))</f>
        <v>5.0088098400822472E-3</v>
      </c>
      <c r="L22" s="422">
        <f>IF((GETPIVOTDATA("Total-Old",'Distrib pivot table'!$C$2,"state","MD","group","1g")/GETPIVOTDATA("Total-Old",'Distrib pivot table'!$C$2,"state","MD"))=0,,IF(GETPIVOTDATA("Total-Old",'Distrib pivot table'!$C$2,"state","MD","group","1g")/GETPIVOTDATA("Total-Old",'Distrib pivot table'!$C$2,"state","MD")&gt;0.0005,GETPIVOTDATA("Total-Old",'Distrib pivot table'!$C$2,"state","MD","group","1g")/GETPIVOTDATA("Total-Old",'Distrib pivot table'!$C$2,"state","MD"),"*"))</f>
        <v>1.5317511339077525E-3</v>
      </c>
      <c r="M22" s="422">
        <f>IF((GETPIVOTDATA("Total-Old",'Distrib pivot table'!$C$2,"state","MS","group","1g")/GETPIVOTDATA("Total-Old",'Distrib pivot table'!$C$2,"state","MS"))=0,,IF(GETPIVOTDATA("Total-Old",'Distrib pivot table'!$C$2,"state","MS","group","1g")/GETPIVOTDATA("Total-Old",'Distrib pivot table'!$C$2,"state","MS")&gt;0.0005,GETPIVOTDATA("Total-Old",'Distrib pivot table'!$C$2,"state","MS","group","1g")/GETPIVOTDATA("Total-Old",'Distrib pivot table'!$C$2,"state","MS"),"*"))</f>
        <v>3.8647585919123341E-3</v>
      </c>
      <c r="N22" s="422">
        <f>IF((GETPIVOTDATA("Total-Old",'Distrib pivot table'!$C$2,"state","NC","group","1g")/GETPIVOTDATA("Total-Old",'Distrib pivot table'!$C$2,"state","NC"))=0,,IF(GETPIVOTDATA("Total-Old",'Distrib pivot table'!$C$2,"state","NC","group","1g")/GETPIVOTDATA("Total-Old",'Distrib pivot table'!$C$2,"state","NC")&gt;0.0005,GETPIVOTDATA("Total-Old",'Distrib pivot table'!$C$2,"state","NC","group","1g")/GETPIVOTDATA("Total-Old",'Distrib pivot table'!$C$2,"state","NC"),"*"))</f>
        <v>0</v>
      </c>
      <c r="O22" s="422">
        <f>IF((GETPIVOTDATA("Total-Old",'Distrib pivot table'!$C$2,"state","OK","group","1g")/GETPIVOTDATA("Total-Old",'Distrib pivot table'!$C$2,"state","OK"))=0,,IF(GETPIVOTDATA("Total-Old",'Distrib pivot table'!$C$2,"state","OK","group","1g")/GETPIVOTDATA("Total-Old",'Distrib pivot table'!$C$2,"state","OK")&gt;0.0005,GETPIVOTDATA("Total-Old",'Distrib pivot table'!$C$2,"state","OK","group","1g")/GETPIVOTDATA("Total-Old",'Distrib pivot table'!$C$2,"state","OK"),"*"))</f>
        <v>7.7989958636416985E-3</v>
      </c>
      <c r="P22" s="422">
        <f>IF((GETPIVOTDATA("Total-Old",'Distrib pivot table'!$C$2,"state","SC","group","1g")/GETPIVOTDATA("Total-Old",'Distrib pivot table'!$C$2,"state","SC"))=0,,IF(GETPIVOTDATA("Total-Old",'Distrib pivot table'!$C$2,"state","SC","group","1g")/GETPIVOTDATA("Total-Old",'Distrib pivot table'!$C$2,"state","SC")&gt;0.0005,GETPIVOTDATA("Total-Old",'Distrib pivot table'!$C$2,"state","SC","group","1g")/GETPIVOTDATA("Total-Old",'Distrib pivot table'!$C$2,"state","SC"),"*"))</f>
        <v>1.1210886394230222E-3</v>
      </c>
      <c r="Q22" s="422" t="str">
        <f>IF((GETPIVOTDATA("Total-Old",'Distrib pivot table'!$C$2,"state","TN","group","1g")/GETPIVOTDATA("Total-Old",'Distrib pivot table'!$C$2,"state","TN"))=0,,IF(GETPIVOTDATA("Total-Old",'Distrib pivot table'!$C$2,"state","TN","group","1g")/GETPIVOTDATA("Total-Old",'Distrib pivot table'!$C$2,"state","TN")&gt;0.0005,GETPIVOTDATA("Total-Old",'Distrib pivot table'!$C$2,"state","TN","group","1g")/GETPIVOTDATA("Total-Old",'Distrib pivot table'!$C$2,"state","TN"),"*"))</f>
        <v>*</v>
      </c>
      <c r="R22" s="422" t="str">
        <f>IF((GETPIVOTDATA("Total-Old",'Distrib pivot table'!$C$2,"state","TX","group","1g")/GETPIVOTDATA("Total-Old",'Distrib pivot table'!$C$2,"state","TX"))=0,,IF(GETPIVOTDATA("Total-Old",'Distrib pivot table'!$C$2,"state","TX","group","1g")/GETPIVOTDATA("Total-Old",'Distrib pivot table'!$C$2,"state","TX")&gt;0.0005,GETPIVOTDATA("Total-Old",'Distrib pivot table'!$C$2,"state","TX","group","1g")/GETPIVOTDATA("Total-Old",'Distrib pivot table'!$C$2,"state","TX"),"*"))</f>
        <v>*</v>
      </c>
      <c r="S22" s="422">
        <f>IF((GETPIVOTDATA("Total-Old",'Distrib pivot table'!$C$2,"state","VA","group","1g")/GETPIVOTDATA("Total-Old",'Distrib pivot table'!$C$2,"state","VA"))=0,,IF(GETPIVOTDATA("Total-Old",'Distrib pivot table'!$C$2,"state","VA","group","1g")/GETPIVOTDATA("Total-Old",'Distrib pivot table'!$C$2,"state","VA")&gt;0.0005,GETPIVOTDATA("Total-Old",'Distrib pivot table'!$C$2,"state","VA","group","1g")/GETPIVOTDATA("Total-Old",'Distrib pivot table'!$C$2,"state","VA"),"*"))</f>
        <v>1.8438160929295094E-2</v>
      </c>
      <c r="T22" s="422">
        <f>IF((GETPIVOTDATA("Total-Old",'Distrib pivot table'!$C$2,"state","WV","group","1g")/GETPIVOTDATA("Total-Old",'Distrib pivot table'!$C$2,"state","WV"))=0,,IF(GETPIVOTDATA("Total-Old",'Distrib pivot table'!$C$2,"state","WV","group","1g")/GETPIVOTDATA("Total-Old",'Distrib pivot table'!$C$2,"state","WV")&gt;0.0005,GETPIVOTDATA("Total-Old",'Distrib pivot table'!$C$2,"state","WV","group","1g")/GETPIVOTDATA("Total-Old",'Distrib pivot table'!$C$2,"state","WV"),"*"))</f>
        <v>7.8018407085956422E-3</v>
      </c>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row>
    <row r="23" spans="1:50" s="10" customFormat="1" ht="39.75" customHeight="1" x14ac:dyDescent="0.2">
      <c r="A23" s="1531" t="s">
        <v>339</v>
      </c>
      <c r="B23" s="1532"/>
      <c r="C23" s="1532"/>
      <c r="D23" s="1532"/>
      <c r="E23" s="1532"/>
      <c r="F23" s="1532"/>
      <c r="G23" s="1532"/>
      <c r="H23" s="1532"/>
      <c r="I23" s="1532"/>
      <c r="J23" s="1532"/>
      <c r="K23" s="1532"/>
      <c r="L23" s="1532"/>
      <c r="M23" s="1532"/>
      <c r="N23" s="1532"/>
      <c r="O23" s="1532"/>
      <c r="P23" s="1532"/>
      <c r="Q23" s="1532"/>
      <c r="R23" s="1532"/>
      <c r="S23" s="1532"/>
      <c r="T23" s="1532"/>
    </row>
    <row r="24" spans="1:50" s="10" customFormat="1" ht="15.75" customHeight="1" x14ac:dyDescent="0.2">
      <c r="A24" s="55" t="s">
        <v>83</v>
      </c>
      <c r="B24" s="335"/>
      <c r="C24" s="47"/>
      <c r="D24" s="47"/>
      <c r="E24" s="47"/>
      <c r="F24" s="47"/>
      <c r="G24" s="47"/>
      <c r="H24" s="336"/>
      <c r="I24" s="47"/>
      <c r="J24" s="47"/>
      <c r="K24" s="336"/>
      <c r="L24" s="336"/>
      <c r="M24" s="336"/>
      <c r="N24" s="47"/>
      <c r="O24" s="47"/>
      <c r="P24" s="47"/>
      <c r="Q24" s="47"/>
      <c r="R24" s="47"/>
      <c r="S24" s="47"/>
      <c r="T24" s="47"/>
    </row>
    <row r="25" spans="1:50" s="10" customFormat="1" ht="14.25" customHeight="1" x14ac:dyDescent="0.2">
      <c r="A25" s="47" t="s">
        <v>0</v>
      </c>
      <c r="B25" s="335"/>
      <c r="C25" s="47"/>
      <c r="D25" s="47"/>
      <c r="E25" s="47"/>
      <c r="F25" s="47"/>
      <c r="G25" s="47"/>
      <c r="H25" s="336"/>
      <c r="I25" s="47"/>
      <c r="J25" s="47"/>
      <c r="K25" s="336"/>
      <c r="L25" s="336"/>
      <c r="M25" s="336"/>
      <c r="N25" s="47"/>
      <c r="O25" s="47"/>
      <c r="P25" s="47"/>
      <c r="Q25" s="47"/>
      <c r="R25" s="47"/>
      <c r="S25" s="47"/>
      <c r="T25" s="643" t="s">
        <v>1900</v>
      </c>
    </row>
    <row r="26" spans="1:50" s="45" customFormat="1" ht="12.6" customHeight="1" x14ac:dyDescent="0.2">
      <c r="A26" s="1538" t="s">
        <v>338</v>
      </c>
      <c r="B26" s="216" t="s">
        <v>120</v>
      </c>
      <c r="C26" s="373" t="s">
        <v>281</v>
      </c>
      <c r="D26" s="423">
        <f>SUM(D27:D30)</f>
        <v>7.1846860513494967E-3</v>
      </c>
      <c r="E26" s="423">
        <f>SUM(E27:E30)</f>
        <v>2.6676661968995422E-3</v>
      </c>
      <c r="F26" s="423">
        <f t="shared" ref="F26:T26" si="3">SUM(F27:F30)</f>
        <v>5.2468402099171392E-3</v>
      </c>
      <c r="G26" s="423">
        <f t="shared" si="3"/>
        <v>1.5406645473885868E-2</v>
      </c>
      <c r="H26" s="423">
        <f t="shared" si="3"/>
        <v>1.0540942487671603E-3</v>
      </c>
      <c r="I26" s="423">
        <f t="shared" si="3"/>
        <v>4.8099626985187638E-3</v>
      </c>
      <c r="J26" s="423">
        <f t="shared" si="3"/>
        <v>1.0825370734731148E-2</v>
      </c>
      <c r="K26" s="423">
        <f t="shared" si="3"/>
        <v>1.5246400453625878E-2</v>
      </c>
      <c r="L26" s="423">
        <f t="shared" si="3"/>
        <v>3.2827507428266696E-3</v>
      </c>
      <c r="M26" s="423">
        <f t="shared" si="3"/>
        <v>5.8636346761016533E-3</v>
      </c>
      <c r="N26" s="423">
        <f t="shared" si="3"/>
        <v>7.6481631110882301E-3</v>
      </c>
      <c r="O26" s="423">
        <f t="shared" si="3"/>
        <v>5.0522801480294265E-3</v>
      </c>
      <c r="P26" s="423">
        <f t="shared" si="3"/>
        <v>1.1553540478899543E-2</v>
      </c>
      <c r="Q26" s="423">
        <f t="shared" si="3"/>
        <v>4.2978226051263646E-3</v>
      </c>
      <c r="R26" s="423">
        <f t="shared" si="3"/>
        <v>1.1811020470730202E-2</v>
      </c>
      <c r="S26" s="423">
        <f t="shared" si="3"/>
        <v>7.177537625116269E-3</v>
      </c>
      <c r="T26" s="423">
        <f t="shared" si="3"/>
        <v>6.3179104713188376E-3</v>
      </c>
      <c r="U26" s="28"/>
      <c r="V26" s="28"/>
      <c r="W26" s="28"/>
      <c r="X26" s="28"/>
      <c r="Y26" s="28"/>
      <c r="Z26" s="28"/>
      <c r="AA26" s="28"/>
      <c r="AB26" s="28"/>
      <c r="AC26" s="28"/>
      <c r="AD26" s="28"/>
      <c r="AE26" s="28"/>
      <c r="AF26" s="28"/>
      <c r="AG26" s="28"/>
      <c r="AH26" s="28"/>
      <c r="AI26" s="28"/>
      <c r="AJ26" s="28"/>
      <c r="AK26" s="28"/>
      <c r="AL26" s="28"/>
      <c r="AM26" s="28"/>
      <c r="AN26" s="28"/>
      <c r="AO26" s="28"/>
      <c r="AP26" s="28"/>
      <c r="AQ26" s="28"/>
      <c r="AR26" s="28"/>
      <c r="AS26" s="28"/>
      <c r="AT26" s="28"/>
      <c r="AU26" s="28"/>
      <c r="AV26" s="28"/>
      <c r="AW26" s="28"/>
      <c r="AX26" s="28"/>
    </row>
    <row r="27" spans="1:50" ht="12.6" customHeight="1" x14ac:dyDescent="0.2">
      <c r="A27" s="1541"/>
      <c r="B27" s="127" t="s">
        <v>140</v>
      </c>
      <c r="C27" s="374" t="s">
        <v>282</v>
      </c>
      <c r="D27" s="418">
        <f>IF(GETPIVOTDATA("Total-Old",'Distrib pivot table'!$C$2,"group","2a1")/GETPIVOTDATA("Total-Old",'Distrib pivot table'!$C$2)=0,,IF(GETPIVOTDATA("Total-Old",'Distrib pivot table'!$C$2,"group","2a1")/GETPIVOTDATA("Total-Old",'Distrib pivot table'!$C$2)&gt;0.0005,GETPIVOTDATA("Total-Old",'Distrib pivot table'!$C$2,"group","2a1")/GETPIVOTDATA("Total-Old",'Distrib pivot table'!$C$2),"*"))</f>
        <v>4.4940255526695685E-3</v>
      </c>
      <c r="E27" s="418">
        <f>IF((GETPIVOTDATA("Total-Old",'Distrib pivot table'!$C$2,"state","AL","group","2a1")/GETPIVOTDATA("Total-Old",'Distrib pivot table'!$C$2,"state","AL"))=0,,IF(GETPIVOTDATA("Total-Old",'Distrib pivot table'!$C$2,"state","AL","group","2a1")/GETPIVOTDATA("Total-Old",'Distrib pivot table'!$C$2,"state","AL")&gt;0.0005,GETPIVOTDATA("Total-Old",'Distrib pivot table'!$C$2,"state","AL","group","2a1")/GETPIVOTDATA("Total-Old",'Distrib pivot table'!$C$2,"state","AL"),"*"))</f>
        <v>8.2988405910302361E-4</v>
      </c>
      <c r="F27" s="418">
        <f>IF((GETPIVOTDATA("Total-Old",'Distrib pivot table'!$C$2,"state","AR","group","2a1")/GETPIVOTDATA("Total-Old",'Distrib pivot table'!$C$2,"state","AR"))=0,,IF(GETPIVOTDATA("Total-Old",'Distrib pivot table'!$C$2,"state","AR","group","2a1")/GETPIVOTDATA("Total-Old",'Distrib pivot table'!$C$2,"state","AR")&gt;0.0005,GETPIVOTDATA("Total-Old",'Distrib pivot table'!$C$2,"state","AR","group","2a1")/GETPIVOTDATA("Total-Old",'Distrib pivot table'!$C$2,"state","AR"),"*"))</f>
        <v>5.2468402099171392E-3</v>
      </c>
      <c r="G27" s="418">
        <f>IF((GETPIVOTDATA("Total-Old",'Distrib pivot table'!$C$2,"state","DE","group","2a1")/GETPIVOTDATA("Total-Old",'Distrib pivot table'!$C$2,"state","DE"))=0,,IF(GETPIVOTDATA("Total-Old",'Distrib pivot table'!$C$2,"state","DE","group","2a1")/GETPIVOTDATA("Total-Old",'Distrib pivot table'!$C$2,"state","DE")&gt;0.0005,GETPIVOTDATA("Total-Old",'Distrib pivot table'!$C$2,"state","DE","group","2a1")/GETPIVOTDATA("Total-Old",'Distrib pivot table'!$C$2,"state","DE"),"*"))</f>
        <v>1.0969972452172557E-3</v>
      </c>
      <c r="H27" s="418">
        <f>IF((GETPIVOTDATA("Total-Old",'Distrib pivot table'!$C$2,"state","FL","group","2a1")/GETPIVOTDATA("Total-Old",'Distrib pivot table'!$C$2,"state","FL"))=0,,IF(GETPIVOTDATA("Total-Old",'Distrib pivot table'!$C$2,"state","FL","group","2a1")/GETPIVOTDATA("Total-Old",'Distrib pivot table'!$C$2,"state","FL")&gt;0.0005,GETPIVOTDATA("Total-Old",'Distrib pivot table'!$C$2,"state","FL","group","2a1")/GETPIVOTDATA("Total-Old",'Distrib pivot table'!$C$2,"state","FL"),"*"))</f>
        <v>1.0540942487671603E-3</v>
      </c>
      <c r="I27" s="418">
        <f>IF((GETPIVOTDATA("Total-Old",'Distrib pivot table'!$C$2,"state","GA","group","2a1")/GETPIVOTDATA("Total-Old",'Distrib pivot table'!$C$2,"state","GA"))=0,,IF(GETPIVOTDATA("Total-Old",'Distrib pivot table'!$C$2,"state","GA","group","2a1")/GETPIVOTDATA("Total-Old",'Distrib pivot table'!$C$2,"state","GA")&gt;0.0005,GETPIVOTDATA("Total-Old",'Distrib pivot table'!$C$2,"state","GA","group","2a1")/GETPIVOTDATA("Total-Old",'Distrib pivot table'!$C$2,"state","GA"),"*"))</f>
        <v>1.4953468449456088E-3</v>
      </c>
      <c r="J27" s="418">
        <f>IF((GETPIVOTDATA("Total-Old",'Distrib pivot table'!$C$2,"state","KY","group","2a1")/GETPIVOTDATA("Total-Old",'Distrib pivot table'!$C$2,"state","KY"))=0,,IF(GETPIVOTDATA("Total-Old",'Distrib pivot table'!$C$2,"state","KY","group","2a1")/GETPIVOTDATA("Total-Old",'Distrib pivot table'!$C$2,"state","KY")&gt;0.0005,GETPIVOTDATA("Total-Old",'Distrib pivot table'!$C$2,"state","KY","group","2a1")/GETPIVOTDATA("Total-Old",'Distrib pivot table'!$C$2,"state","KY"),"*"))</f>
        <v>2.4750339801525934E-3</v>
      </c>
      <c r="K27" s="418">
        <f>IF((GETPIVOTDATA("Total-Old",'Distrib pivot table'!$C$2,"state","LA","group","2a1")/GETPIVOTDATA("Total-Old",'Distrib pivot table'!$C$2,"state","LA"))=0,,IF(GETPIVOTDATA("Total-Old",'Distrib pivot table'!$C$2,"state","LA","group","2a1")/GETPIVOTDATA("Total-Old",'Distrib pivot table'!$C$2,"state","LA")&gt;0.0005,GETPIVOTDATA("Total-Old",'Distrib pivot table'!$C$2,"state","LA","group","2a1")/GETPIVOTDATA("Total-Old",'Distrib pivot table'!$C$2,"state","LA"),"*"))</f>
        <v>6.2441861478587891E-3</v>
      </c>
      <c r="L27" s="418">
        <f>IF((GETPIVOTDATA("Total-Old",'Distrib pivot table'!$C$2,"state","MD","group","2a1")/GETPIVOTDATA("Total-Old",'Distrib pivot table'!$C$2,"state","MD"))=0,,IF(GETPIVOTDATA("Total-Old",'Distrib pivot table'!$C$2,"state","MD","group","2a1")/GETPIVOTDATA("Total-Old",'Distrib pivot table'!$C$2,"state","MD")&gt;0.0005,GETPIVOTDATA("Total-Old",'Distrib pivot table'!$C$2,"state","MD","group","2a1")/GETPIVOTDATA("Total-Old",'Distrib pivot table'!$C$2,"state","MD"),"*"))</f>
        <v>3.2827507428266696E-3</v>
      </c>
      <c r="M27" s="418">
        <f>IF((GETPIVOTDATA("Total-Old",'Distrib pivot table'!$C$2,"state","MS","group","2a1")/GETPIVOTDATA("Total-Old",'Distrib pivot table'!$C$2,"state","MS"))=0,,IF(GETPIVOTDATA("Total-Old",'Distrib pivot table'!$C$2,"state","MS","group","2a1")/GETPIVOTDATA("Total-Old",'Distrib pivot table'!$C$2,"state","MS")&gt;0.0005,GETPIVOTDATA("Total-Old",'Distrib pivot table'!$C$2,"state","MS","group","2a1")/GETPIVOTDATA("Total-Old",'Distrib pivot table'!$C$2,"state","MS"),"*"))</f>
        <v>3.9098578660922553E-3</v>
      </c>
      <c r="N27" s="418">
        <f>IF((GETPIVOTDATA("Total-Old",'Distrib pivot table'!$C$2,"state","NC","group","2a1")/GETPIVOTDATA("Total-Old",'Distrib pivot table'!$C$2,"state","NC"))=0,,IF(GETPIVOTDATA("Total-Old",'Distrib pivot table'!$C$2,"state","NC","group","2a1")/GETPIVOTDATA("Total-Old",'Distrib pivot table'!$C$2,"state","NC")&gt;0.0005,GETPIVOTDATA("Total-Old",'Distrib pivot table'!$C$2,"state","NC","group","2a1")/GETPIVOTDATA("Total-Old",'Distrib pivot table'!$C$2,"state","NC"),"*"))</f>
        <v>3.2748165729717519E-3</v>
      </c>
      <c r="O27" s="418">
        <f>IF((GETPIVOTDATA("Total-Old",'Distrib pivot table'!$C$2,"state","OK","group","2a1")/GETPIVOTDATA("Total-Old",'Distrib pivot table'!$C$2,"state","OK"))=0,,IF(GETPIVOTDATA("Total-Old",'Distrib pivot table'!$C$2,"state","OK","group","2a1")/GETPIVOTDATA("Total-Old",'Distrib pivot table'!$C$2,"state","OK")&gt;0.0005,GETPIVOTDATA("Total-Old",'Distrib pivot table'!$C$2,"state","OK","group","2a1")/GETPIVOTDATA("Total-Old",'Distrib pivot table'!$C$2,"state","OK"),"*"))</f>
        <v>5.0522801480294265E-3</v>
      </c>
      <c r="P27" s="418">
        <f>IF((GETPIVOTDATA("Total-Old",'Distrib pivot table'!$C$2,"state","SC","group","2a1")/GETPIVOTDATA("Total-Old",'Distrib pivot table'!$C$2,"state","SC"))=0,,IF(GETPIVOTDATA("Total-Old",'Distrib pivot table'!$C$2,"state","SC","group","2a1")/GETPIVOTDATA("Total-Old",'Distrib pivot table'!$C$2,"state","SC")&gt;0.0005,GETPIVOTDATA("Total-Old",'Distrib pivot table'!$C$2,"state","SC","group","2a1")/GETPIVOTDATA("Total-Old",'Distrib pivot table'!$C$2,"state","SC"),"*"))</f>
        <v>1.224088601943859E-3</v>
      </c>
      <c r="Q27" s="418">
        <f>IF((GETPIVOTDATA("Total-Old",'Distrib pivot table'!$C$2,"state","TN","group","2a1")/GETPIVOTDATA("Total-Old",'Distrib pivot table'!$C$2,"state","TN"))=0,,IF(GETPIVOTDATA("Total-Old",'Distrib pivot table'!$C$2,"state","TN","group","2a1")/GETPIVOTDATA("Total-Old",'Distrib pivot table'!$C$2,"state","TN")&gt;0.0005,GETPIVOTDATA("Total-Old",'Distrib pivot table'!$C$2,"state","TN","group","2a1")/GETPIVOTDATA("Total-Old",'Distrib pivot table'!$C$2,"state","TN"),"*"))</f>
        <v>4.2978226051263646E-3</v>
      </c>
      <c r="R27" s="418">
        <f>IF((GETPIVOTDATA("Total-Old",'Distrib pivot table'!$C$2,"state","TX","group","2a1")/GETPIVOTDATA("Total-Old",'Distrib pivot table'!$C$2,"state","TX"))=0,,IF(GETPIVOTDATA("Total-Old",'Distrib pivot table'!$C$2,"state","TX","group","2a1")/GETPIVOTDATA("Total-Old",'Distrib pivot table'!$C$2,"state","TX")&gt;0.0005,GETPIVOTDATA("Total-Old",'Distrib pivot table'!$C$2,"state","TX","group","2a1")/GETPIVOTDATA("Total-Old",'Distrib pivot table'!$C$2,"state","TX"),"*"))</f>
        <v>1.1811020470730202E-2</v>
      </c>
      <c r="S27" s="418">
        <f>IF((GETPIVOTDATA("Total-Old",'Distrib pivot table'!$C$2,"state","VA","group","2a1")/GETPIVOTDATA("Total-Old",'Distrib pivot table'!$C$2,"state","VA"))=0,,IF(GETPIVOTDATA("Total-Old",'Distrib pivot table'!$C$2,"state","VA","group","2a1")/GETPIVOTDATA("Total-Old",'Distrib pivot table'!$C$2,"state","VA")&gt;0.0005,GETPIVOTDATA("Total-Old",'Distrib pivot table'!$C$2,"state","VA","group","2a1")/GETPIVOTDATA("Total-Old",'Distrib pivot table'!$C$2,"state","VA"),"*"))</f>
        <v>8.5898284589110098E-4</v>
      </c>
      <c r="T27" s="418">
        <f>IF((GETPIVOTDATA("Total-Old",'Distrib pivot table'!$C$2,"state","WV","group","2a1")/GETPIVOTDATA("Total-Old",'Distrib pivot table'!$C$2,"state","WV"))=0,,IF(GETPIVOTDATA("Total-Old",'Distrib pivot table'!$C$2,"state","WV","group","2a1")/GETPIVOTDATA("Total-Old",'Distrib pivot table'!$C$2,"state","WV")&gt;0.0005,GETPIVOTDATA("Total-Old",'Distrib pivot table'!$C$2,"state","WV","group","2a1")/GETPIVOTDATA("Total-Old",'Distrib pivot table'!$C$2,"state","WV"),"*"))</f>
        <v>4.2806905110230825E-3</v>
      </c>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row>
    <row r="28" spans="1:50" ht="12.6" customHeight="1" x14ac:dyDescent="0.2">
      <c r="A28" s="1541"/>
      <c r="B28" s="127" t="s">
        <v>139</v>
      </c>
      <c r="C28" s="374" t="s">
        <v>283</v>
      </c>
      <c r="D28" s="418">
        <f>IF(GETPIVOTDATA("Total-Old",'Distrib pivot table'!$C$2,"group","2a2")/GETPIVOTDATA("Total-Old",'Distrib pivot table'!$C$2)=0,,IF(GETPIVOTDATA("Total-Old",'Distrib pivot table'!$C$2,"group","2a2")/GETPIVOTDATA("Total-Old",'Distrib pivot table'!$C$2)&gt;0.0005,GETPIVOTDATA("Total-Old",'Distrib pivot table'!$C$2,"group","2a2")/GETPIVOTDATA("Total-Old",'Distrib pivot table'!$C$2),"*"))</f>
        <v>2.6906604986799282E-3</v>
      </c>
      <c r="E28" s="418">
        <f>IF((GETPIVOTDATA("Total-Old",'Distrib pivot table'!$C$2,"state","AL","group","2a2")/GETPIVOTDATA("Total-Old",'Distrib pivot table'!$C$2,"state","AL"))=0,,IF(GETPIVOTDATA("Total-Old",'Distrib pivot table'!$C$2,"state","AL","group","2a2")/GETPIVOTDATA("Total-Old",'Distrib pivot table'!$C$2,"state","AL")&gt;0.0005,GETPIVOTDATA("Total-Old",'Distrib pivot table'!$C$2,"state","AL","group","2a2")/GETPIVOTDATA("Total-Old",'Distrib pivot table'!$C$2,"state","AL"),"*"))</f>
        <v>1.8377821377965186E-3</v>
      </c>
      <c r="F28" s="418">
        <f>IF((GETPIVOTDATA("Total-Old",'Distrib pivot table'!$C$2,"state","AR","group","2a2")/GETPIVOTDATA("Total-Old",'Distrib pivot table'!$C$2,"state","AR"))=0,,IF(GETPIVOTDATA("Total-Old",'Distrib pivot table'!$C$2,"state","AR","group","2a2")/GETPIVOTDATA("Total-Old",'Distrib pivot table'!$C$2,"state","AR")&gt;0.0005,GETPIVOTDATA("Total-Old",'Distrib pivot table'!$C$2,"state","AR","group","2a2")/GETPIVOTDATA("Total-Old",'Distrib pivot table'!$C$2,"state","AR"),"*"))</f>
        <v>0</v>
      </c>
      <c r="G28" s="418">
        <f>IF((GETPIVOTDATA("Total-Old",'Distrib pivot table'!$C$2,"state","DE","group","2a2")/GETPIVOTDATA("Total-Old",'Distrib pivot table'!$C$2,"state","DE"))=0,,IF(GETPIVOTDATA("Total-Old",'Distrib pivot table'!$C$2,"state","DE","group","2a2")/GETPIVOTDATA("Total-Old",'Distrib pivot table'!$C$2,"state","DE")&gt;0.0005,GETPIVOTDATA("Total-Old",'Distrib pivot table'!$C$2,"state","DE","group","2a2")/GETPIVOTDATA("Total-Old",'Distrib pivot table'!$C$2,"state","DE"),"*"))</f>
        <v>1.4309648228668613E-2</v>
      </c>
      <c r="H28" s="418" t="str">
        <f>IF((GETPIVOTDATA("Total-Old",'Distrib pivot table'!$C$2,"state","FL","group","2a2")/GETPIVOTDATA("Total-Old",'Distrib pivot table'!$C$2,"state","FL"))=0,,IF(GETPIVOTDATA("Total-Old",'Distrib pivot table'!$C$2,"state","FL","group","2a2")/GETPIVOTDATA("Total-Old",'Distrib pivot table'!$C$2,"state","FL")&gt;0.0005,GETPIVOTDATA("Total-Old",'Distrib pivot table'!$C$2,"state","FL","group","2a2")/GETPIVOTDATA("Total-Old",'Distrib pivot table'!$C$2,"state","FL"),"*"))</f>
        <v>*</v>
      </c>
      <c r="I28" s="418">
        <f>IF((GETPIVOTDATA("Total-Old",'Distrib pivot table'!$C$2,"state","GA","group","2a2")/GETPIVOTDATA("Total-Old",'Distrib pivot table'!$C$2,"state","GA"))=0,,IF(GETPIVOTDATA("Total-Old",'Distrib pivot table'!$C$2,"state","GA","group","2a2")/GETPIVOTDATA("Total-Old",'Distrib pivot table'!$C$2,"state","GA")&gt;0.0005,GETPIVOTDATA("Total-Old",'Distrib pivot table'!$C$2,"state","GA","group","2a2")/GETPIVOTDATA("Total-Old",'Distrib pivot table'!$C$2,"state","GA"),"*"))</f>
        <v>3.3146158535731552E-3</v>
      </c>
      <c r="J28" s="418">
        <f>IF((GETPIVOTDATA("Total-Old",'Distrib pivot table'!$C$2,"state","KY","group","2a2")/GETPIVOTDATA("Total-Old",'Distrib pivot table'!$C$2,"state","KY"))=0,,IF(GETPIVOTDATA("Total-Old",'Distrib pivot table'!$C$2,"state","KY","group","2a2")/GETPIVOTDATA("Total-Old",'Distrib pivot table'!$C$2,"state","KY")&gt;0.0005,GETPIVOTDATA("Total-Old",'Distrib pivot table'!$C$2,"state","KY","group","2a2")/GETPIVOTDATA("Total-Old",'Distrib pivot table'!$C$2,"state","KY"),"*"))</f>
        <v>8.3503367545785558E-3</v>
      </c>
      <c r="K28" s="418">
        <f>IF((GETPIVOTDATA("Total-Old",'Distrib pivot table'!$C$2,"state","LA","group","2a2")/GETPIVOTDATA("Total-Old",'Distrib pivot table'!$C$2,"state","LA"))=0,,IF(GETPIVOTDATA("Total-Old",'Distrib pivot table'!$C$2,"state","LA","group","2a2")/GETPIVOTDATA("Total-Old",'Distrib pivot table'!$C$2,"state","LA")&gt;0.0005,GETPIVOTDATA("Total-Old",'Distrib pivot table'!$C$2,"state","LA","group","2a2")/GETPIVOTDATA("Total-Old",'Distrib pivot table'!$C$2,"state","LA"),"*"))</f>
        <v>7.961975626196615E-3</v>
      </c>
      <c r="L28" s="418">
        <f>IF((GETPIVOTDATA("Total-Old",'Distrib pivot table'!$C$2,"state","MD","group","2a2")/GETPIVOTDATA("Total-Old",'Distrib pivot table'!$C$2,"state","MD"))=0,,IF(GETPIVOTDATA("Total-Old",'Distrib pivot table'!$C$2,"state","MD","group","2a2")/GETPIVOTDATA("Total-Old",'Distrib pivot table'!$C$2,"state","MD")&gt;0.0005,GETPIVOTDATA("Total-Old",'Distrib pivot table'!$C$2,"state","MD","group","2a2")/GETPIVOTDATA("Total-Old",'Distrib pivot table'!$C$2,"state","MD"),"*"))</f>
        <v>0</v>
      </c>
      <c r="M28" s="418">
        <f>IF((GETPIVOTDATA("Total-Old",'Distrib pivot table'!$C$2,"state","MS","group","2a2")/GETPIVOTDATA("Total-Old",'Distrib pivot table'!$C$2,"state","MS"))=0,,IF(GETPIVOTDATA("Total-Old",'Distrib pivot table'!$C$2,"state","MS","group","2a2")/GETPIVOTDATA("Total-Old",'Distrib pivot table'!$C$2,"state","MS")&gt;0.0005,GETPIVOTDATA("Total-Old",'Distrib pivot table'!$C$2,"state","MS","group","2a2")/GETPIVOTDATA("Total-Old",'Distrib pivot table'!$C$2,"state","MS"),"*"))</f>
        <v>1.3719975970417977E-3</v>
      </c>
      <c r="N28" s="418">
        <f>IF((GETPIVOTDATA("Total-Old",'Distrib pivot table'!$C$2,"state","NC","group","2a2")/GETPIVOTDATA("Total-Old",'Distrib pivot table'!$C$2,"state","NC"))=0,,IF(GETPIVOTDATA("Total-Old",'Distrib pivot table'!$C$2,"state","NC","group","2a2")/GETPIVOTDATA("Total-Old",'Distrib pivot table'!$C$2,"state","NC")&gt;0.0005,GETPIVOTDATA("Total-Old",'Distrib pivot table'!$C$2,"state","NC","group","2a2")/GETPIVOTDATA("Total-Old",'Distrib pivot table'!$C$2,"state","NC"),"*"))</f>
        <v>4.3733465381164778E-3</v>
      </c>
      <c r="O28" s="418">
        <f>IF((GETPIVOTDATA("Total-Old",'Distrib pivot table'!$C$2,"state","OK","group","2a2")/GETPIVOTDATA("Total-Old",'Distrib pivot table'!$C$2,"state","OK"))=0,,IF(GETPIVOTDATA("Total-Old",'Distrib pivot table'!$C$2,"state","OK","group","2a2")/GETPIVOTDATA("Total-Old",'Distrib pivot table'!$C$2,"state","OK")&gt;0.0005,GETPIVOTDATA("Total-Old",'Distrib pivot table'!$C$2,"state","OK","group","2a2")/GETPIVOTDATA("Total-Old",'Distrib pivot table'!$C$2,"state","OK"),"*"))</f>
        <v>0</v>
      </c>
      <c r="P28" s="418">
        <f>IF((GETPIVOTDATA("Total-Old",'Distrib pivot table'!$C$2,"state","SC","group","2a2")/GETPIVOTDATA("Total-Old",'Distrib pivot table'!$C$2,"state","SC"))=0,,IF(GETPIVOTDATA("Total-Old",'Distrib pivot table'!$C$2,"state","SC","group","2a2")/GETPIVOTDATA("Total-Old",'Distrib pivot table'!$C$2,"state","SC")&gt;0.0005,GETPIVOTDATA("Total-Old",'Distrib pivot table'!$C$2,"state","SC","group","2a2")/GETPIVOTDATA("Total-Old",'Distrib pivot table'!$C$2,"state","SC"),"*"))</f>
        <v>7.0846533611277195E-3</v>
      </c>
      <c r="Q28" s="418">
        <f>IF((GETPIVOTDATA("Total-Old",'Distrib pivot table'!$C$2,"state","TN","group","2a2")/GETPIVOTDATA("Total-Old",'Distrib pivot table'!$C$2,"state","TN"))=0,,IF(GETPIVOTDATA("Total-Old",'Distrib pivot table'!$C$2,"state","TN","group","2a2")/GETPIVOTDATA("Total-Old",'Distrib pivot table'!$C$2,"state","TN")&gt;0.0005,GETPIVOTDATA("Total-Old",'Distrib pivot table'!$C$2,"state","TN","group","2a2")/GETPIVOTDATA("Total-Old",'Distrib pivot table'!$C$2,"state","TN"),"*"))</f>
        <v>0</v>
      </c>
      <c r="R28" s="418" t="str">
        <f>IF((GETPIVOTDATA("Total-Old",'Distrib pivot table'!$C$2,"state","TX","group","2a2")/GETPIVOTDATA("Total-Old",'Distrib pivot table'!$C$2,"state","TX"))=0,,IF(GETPIVOTDATA("Total-Old",'Distrib pivot table'!$C$2,"state","TX","group","2a2")/GETPIVOTDATA("Total-Old",'Distrib pivot table'!$C$2,"state","TX")&gt;0.0005,GETPIVOTDATA("Total-Old",'Distrib pivot table'!$C$2,"state","TX","group","2a2")/GETPIVOTDATA("Total-Old",'Distrib pivot table'!$C$2,"state","TX"),"*"))</f>
        <v>*</v>
      </c>
      <c r="S28" s="418">
        <f>IF((GETPIVOTDATA("Total-Old",'Distrib pivot table'!$C$2,"state","VA","group","2a2")/GETPIVOTDATA("Total-Old",'Distrib pivot table'!$C$2,"state","VA"))=0,,IF(GETPIVOTDATA("Total-Old",'Distrib pivot table'!$C$2,"state","VA","group","2a2")/GETPIVOTDATA("Total-Old",'Distrib pivot table'!$C$2,"state","VA")&gt;0.0005,GETPIVOTDATA("Total-Old",'Distrib pivot table'!$C$2,"state","VA","group","2a2")/GETPIVOTDATA("Total-Old",'Distrib pivot table'!$C$2,"state","VA"),"*"))</f>
        <v>6.3185547792251684E-3</v>
      </c>
      <c r="T28" s="418">
        <f>IF((GETPIVOTDATA("Total-Old",'Distrib pivot table'!$C$2,"state","WV","group","2a2")/GETPIVOTDATA("Total-Old",'Distrib pivot table'!$C$2,"state","WV"))=0,,IF(GETPIVOTDATA("Total-Old",'Distrib pivot table'!$C$2,"state","WV","group","2a2")/GETPIVOTDATA("Total-Old",'Distrib pivot table'!$C$2,"state","WV")&gt;0.0005,GETPIVOTDATA("Total-Old",'Distrib pivot table'!$C$2,"state","WV","group","2a2")/GETPIVOTDATA("Total-Old",'Distrib pivot table'!$C$2,"state","WV"),"*"))</f>
        <v>7.3065429943773802E-4</v>
      </c>
      <c r="U28" s="3"/>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row>
    <row r="29" spans="1:50" ht="24" x14ac:dyDescent="0.2">
      <c r="A29" s="1541"/>
      <c r="B29" s="130" t="s">
        <v>138</v>
      </c>
      <c r="C29" s="374" t="s">
        <v>284</v>
      </c>
      <c r="D29" s="418" t="str">
        <f>IF(GETPIVOTDATA("Total-Old",'Distrib pivot table'!$C$2,"group","2a3")/GETPIVOTDATA("Total-Old",'Distrib pivot table'!$C$2)=0,,IF(GETPIVOTDATA("Total-Old",'Distrib pivot table'!$C$2,"group","2a3")/GETPIVOTDATA("Total-Old",'Distrib pivot table'!$C$2)&gt;0.0005,GETPIVOTDATA("Total-Old",'Distrib pivot table'!$C$2,"group","2a3")/GETPIVOTDATA("Total-Old",'Distrib pivot table'!$C$2),"*"))</f>
        <v>*</v>
      </c>
      <c r="E29" s="418" t="str">
        <f>IF((GETPIVOTDATA("Total-Old",'Distrib pivot table'!$C$2,"state","AL","group","2a3")/GETPIVOTDATA("Total-Old",'Distrib pivot table'!$C$2,"state","AL"))=0,,IF(GETPIVOTDATA("Total-Old",'Distrib pivot table'!$C$2,"state","AL","group","2a3")/GETPIVOTDATA("Total-Old",'Distrib pivot table'!$C$2,"state","AL")&gt;0.0005,GETPIVOTDATA("Total-Old",'Distrib pivot table'!$C$2,"state","AL","group","2a3")/GETPIVOTDATA("Total-Old",'Distrib pivot table'!$C$2,"state","AL"),"*"))</f>
        <v>*</v>
      </c>
      <c r="F29" s="418">
        <f>IF((GETPIVOTDATA("Total-Old",'Distrib pivot table'!$C$2,"state","AR","group","2a3")/GETPIVOTDATA("Total-Old",'Distrib pivot table'!$C$2,"state","AR"))=0,,IF(GETPIVOTDATA("Total-Old",'Distrib pivot table'!$C$2,"state","AR","group","2a3")/GETPIVOTDATA("Total-Old",'Distrib pivot table'!$C$2,"state","AR")&gt;0.0005,GETPIVOTDATA("Total-Old",'Distrib pivot table'!$C$2,"state","AR","group","2a3")/GETPIVOTDATA("Total-Old",'Distrib pivot table'!$C$2,"state","AR"),"*"))</f>
        <v>0</v>
      </c>
      <c r="G29" s="418" t="str">
        <f>IF((GETPIVOTDATA("Total-Old",'Distrib pivot table'!$C$2,"state","DE","group","2a3")/GETPIVOTDATA("Total-Old",'Distrib pivot table'!$C$2,"state","DE"))=0,,IF(GETPIVOTDATA("Total-Old",'Distrib pivot table'!$C$2,"state","DE","group","2a3")/GETPIVOTDATA("Total-Old",'Distrib pivot table'!$C$2,"state","DE")&gt;0.0005,GETPIVOTDATA("Total-Old",'Distrib pivot table'!$C$2,"state","DE","group","2a3")/GETPIVOTDATA("Total-Old",'Distrib pivot table'!$C$2,"state","DE"),"*"))</f>
        <v>*</v>
      </c>
      <c r="H29" s="418" t="str">
        <f>IF((GETPIVOTDATA("Total-Old",'Distrib pivot table'!$C$2,"state","FL","group","2a3")/GETPIVOTDATA("Total-Old",'Distrib pivot table'!$C$2,"state","FL"))=0,,IF(GETPIVOTDATA("Total-Old",'Distrib pivot table'!$C$2,"state","FL","group","2a3")/GETPIVOTDATA("Total-Old",'Distrib pivot table'!$C$2,"state","FL")&gt;0.0005,GETPIVOTDATA("Total-Old",'Distrib pivot table'!$C$2,"state","FL","group","2a3")/GETPIVOTDATA("Total-Old",'Distrib pivot table'!$C$2,"state","FL"),"*"))</f>
        <v>*</v>
      </c>
      <c r="I29" s="418" t="str">
        <f>IF((GETPIVOTDATA("Total-Old",'Distrib pivot table'!$C$2,"state","GA","group","2a3")/GETPIVOTDATA("Total-Old",'Distrib pivot table'!$C$2,"state","GA"))=0,,IF(GETPIVOTDATA("Total-Old",'Distrib pivot table'!$C$2,"state","GA","group","2a3")/GETPIVOTDATA("Total-Old",'Distrib pivot table'!$C$2,"state","GA")&gt;0.0005,GETPIVOTDATA("Total-Old",'Distrib pivot table'!$C$2,"state","GA","group","2a3")/GETPIVOTDATA("Total-Old",'Distrib pivot table'!$C$2,"state","GA"),"*"))</f>
        <v>*</v>
      </c>
      <c r="J29" s="418" t="str">
        <f>IF((GETPIVOTDATA("Total-Old",'Distrib pivot table'!$C$2,"state","KY","group","2a3")/GETPIVOTDATA("Total-Old",'Distrib pivot table'!$C$2,"state","KY"))=0,,IF(GETPIVOTDATA("Total-Old",'Distrib pivot table'!$C$2,"state","KY","group","2a3")/GETPIVOTDATA("Total-Old",'Distrib pivot table'!$C$2,"state","KY")&gt;0.0005,GETPIVOTDATA("Total-Old",'Distrib pivot table'!$C$2,"state","KY","group","2a3")/GETPIVOTDATA("Total-Old",'Distrib pivot table'!$C$2,"state","KY"),"*"))</f>
        <v>*</v>
      </c>
      <c r="K29" s="418">
        <f>IF((GETPIVOTDATA("Total-Old",'Distrib pivot table'!$C$2,"state","LA","group","2a3")/GETPIVOTDATA("Total-Old",'Distrib pivot table'!$C$2,"state","LA"))=0,,IF(GETPIVOTDATA("Total-Old",'Distrib pivot table'!$C$2,"state","LA","group","2a3")/GETPIVOTDATA("Total-Old",'Distrib pivot table'!$C$2,"state","LA")&gt;0.0005,GETPIVOTDATA("Total-Old",'Distrib pivot table'!$C$2,"state","LA","group","2a3")/GETPIVOTDATA("Total-Old",'Distrib pivot table'!$C$2,"state","LA"),"*"))</f>
        <v>0</v>
      </c>
      <c r="L29" s="418">
        <f>IF((GETPIVOTDATA("Total-Old",'Distrib pivot table'!$C$2,"state","MD","group","2a3")/GETPIVOTDATA("Total-Old",'Distrib pivot table'!$C$2,"state","MD"))=0,,IF(GETPIVOTDATA("Total-Old",'Distrib pivot table'!$C$2,"state","MD","group","2a3")/GETPIVOTDATA("Total-Old",'Distrib pivot table'!$C$2,"state","MD")&gt;0.0005,GETPIVOTDATA("Total-Old",'Distrib pivot table'!$C$2,"state","MD","group","2a3")/GETPIVOTDATA("Total-Old",'Distrib pivot table'!$C$2,"state","MD"),"*"))</f>
        <v>0</v>
      </c>
      <c r="M29" s="418">
        <f>IF((GETPIVOTDATA("Total-Old",'Distrib pivot table'!$C$2,"state","MS","group","2a3")/GETPIVOTDATA("Total-Old",'Distrib pivot table'!$C$2,"state","MS"))=0,,IF(GETPIVOTDATA("Total-Old",'Distrib pivot table'!$C$2,"state","MS","group","2a3")/GETPIVOTDATA("Total-Old",'Distrib pivot table'!$C$2,"state","MS")&gt;0.0005,GETPIVOTDATA("Total-Old",'Distrib pivot table'!$C$2,"state","MS","group","2a3")/GETPIVOTDATA("Total-Old",'Distrib pivot table'!$C$2,"state","MS"),"*"))</f>
        <v>0</v>
      </c>
      <c r="N29" s="418" t="str">
        <f>IF((GETPIVOTDATA("Total-Old",'Distrib pivot table'!$C$2,"state","NC","group","2a3")/GETPIVOTDATA("Total-Old",'Distrib pivot table'!$C$2,"state","NC"))=0,,IF(GETPIVOTDATA("Total-Old",'Distrib pivot table'!$C$2,"state","NC","group","2a3")/GETPIVOTDATA("Total-Old",'Distrib pivot table'!$C$2,"state","NC")&gt;0.0005,GETPIVOTDATA("Total-Old",'Distrib pivot table'!$C$2,"state","NC","group","2a3")/GETPIVOTDATA("Total-Old",'Distrib pivot table'!$C$2,"state","NC"),"*"))</f>
        <v>*</v>
      </c>
      <c r="O29" s="418">
        <f>IF((GETPIVOTDATA("Total-Old",'Distrib pivot table'!$C$2,"state","OK","group","2a3")/GETPIVOTDATA("Total-Old",'Distrib pivot table'!$C$2,"state","OK"))=0,,IF(GETPIVOTDATA("Total-Old",'Distrib pivot table'!$C$2,"state","OK","group","2a3")/GETPIVOTDATA("Total-Old",'Distrib pivot table'!$C$2,"state","OK")&gt;0.0005,GETPIVOTDATA("Total-Old",'Distrib pivot table'!$C$2,"state","OK","group","2a3")/GETPIVOTDATA("Total-Old",'Distrib pivot table'!$C$2,"state","OK"),"*"))</f>
        <v>0</v>
      </c>
      <c r="P29" s="418">
        <f>IF((GETPIVOTDATA("Total-Old",'Distrib pivot table'!$C$2,"state","SC","group","2a3")/GETPIVOTDATA("Total-Old",'Distrib pivot table'!$C$2,"state","SC"))=0,,IF(GETPIVOTDATA("Total-Old",'Distrib pivot table'!$C$2,"state","SC","group","2a3")/GETPIVOTDATA("Total-Old",'Distrib pivot table'!$C$2,"state","SC")&gt;0.0005,GETPIVOTDATA("Total-Old",'Distrib pivot table'!$C$2,"state","SC","group","2a3")/GETPIVOTDATA("Total-Old",'Distrib pivot table'!$C$2,"state","SC"),"*"))</f>
        <v>3.2447985158279638E-3</v>
      </c>
      <c r="Q29" s="418">
        <f>IF((GETPIVOTDATA("Total-Old",'Distrib pivot table'!$C$2,"state","TN","group","2a3")/GETPIVOTDATA("Total-Old",'Distrib pivot table'!$C$2,"state","TN"))=0,,IF(GETPIVOTDATA("Total-Old",'Distrib pivot table'!$C$2,"state","TN","group","2a3")/GETPIVOTDATA("Total-Old",'Distrib pivot table'!$C$2,"state","TN")&gt;0.0005,GETPIVOTDATA("Total-Old",'Distrib pivot table'!$C$2,"state","TN","group","2a3")/GETPIVOTDATA("Total-Old",'Distrib pivot table'!$C$2,"state","TN"),"*"))</f>
        <v>0</v>
      </c>
      <c r="R29" s="418">
        <f>IF((GETPIVOTDATA("Total-Old",'Distrib pivot table'!$C$2,"state","TX","group","2a3")/GETPIVOTDATA("Total-Old",'Distrib pivot table'!$C$2,"state","TX"))=0,,IF(GETPIVOTDATA("Total-Old",'Distrib pivot table'!$C$2,"state","TX","group","2a3")/GETPIVOTDATA("Total-Old",'Distrib pivot table'!$C$2,"state","TX")&gt;0.0005,GETPIVOTDATA("Total-Old",'Distrib pivot table'!$C$2,"state","TX","group","2a3")/GETPIVOTDATA("Total-Old",'Distrib pivot table'!$C$2,"state","TX"),"*"))</f>
        <v>0</v>
      </c>
      <c r="S29" s="418">
        <f>IF((GETPIVOTDATA("Total-Old",'Distrib pivot table'!$C$2,"state","VA","group","2a3")/GETPIVOTDATA("Total-Old",'Distrib pivot table'!$C$2,"state","VA"))=0,,IF(GETPIVOTDATA("Total-Old",'Distrib pivot table'!$C$2,"state","VA","group","2a3")/GETPIVOTDATA("Total-Old",'Distrib pivot table'!$C$2,"state","VA")&gt;0.0005,GETPIVOTDATA("Total-Old",'Distrib pivot table'!$C$2,"state","VA","group","2a3")/GETPIVOTDATA("Total-Old",'Distrib pivot table'!$C$2,"state","VA"),"*"))</f>
        <v>0</v>
      </c>
      <c r="T29" s="418">
        <f>IF((GETPIVOTDATA("Total-Old",'Distrib pivot table'!$C$2,"state","WV","group","2a3")/GETPIVOTDATA("Total-Old",'Distrib pivot table'!$C$2,"state","WV"))=0,,IF(GETPIVOTDATA("Total-Old",'Distrib pivot table'!$C$2,"state","WV","group","2a3")/GETPIVOTDATA("Total-Old",'Distrib pivot table'!$C$2,"state","WV")&gt;0.0005,GETPIVOTDATA("Total-Old",'Distrib pivot table'!$C$2,"state","WV","group","2a3")/GETPIVOTDATA("Total-Old",'Distrib pivot table'!$C$2,"state","WV"),"*"))</f>
        <v>0</v>
      </c>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row>
    <row r="30" spans="1:50" ht="36" x14ac:dyDescent="0.2">
      <c r="A30" s="1541"/>
      <c r="B30" s="130" t="s">
        <v>141</v>
      </c>
      <c r="C30" s="374" t="s">
        <v>285</v>
      </c>
      <c r="D30" s="418" t="str">
        <f>IF(GETPIVOTDATA("Total-Old",'Distrib pivot table'!$C$2,"group","2a4")/GETPIVOTDATA("Total-Old",'Distrib pivot table'!$C$2)=0,,IF(GETPIVOTDATA("Total-Old",'Distrib pivot table'!$C$2,"group","2a4")/GETPIVOTDATA("Total-Old",'Distrib pivot table'!$C$2)&gt;0.0005,GETPIVOTDATA("Total-Old",'Distrib pivot table'!$C$2,"group","2a4")/GETPIVOTDATA("Total-Old",'Distrib pivot table'!$C$2),"*"))</f>
        <v>*</v>
      </c>
      <c r="E30" s="418" t="str">
        <f>IF((GETPIVOTDATA("Total-Old",'Distrib pivot table'!$C$2,"state","AL","group","2a4")/GETPIVOTDATA("Total-Old",'Distrib pivot table'!$C$2,"state","AL"))=0,,IF(GETPIVOTDATA("Total-Old",'Distrib pivot table'!$C$2,"state","AL","group","2a4")/GETPIVOTDATA("Total-Old",'Distrib pivot table'!$C$2,"state","AL")&gt;0.0005,GETPIVOTDATA("Total-Old",'Distrib pivot table'!$C$2,"state","AL","group","2a4")/GETPIVOTDATA("Total-Old",'Distrib pivot table'!$C$2,"state","AL"),"*"))</f>
        <v>*</v>
      </c>
      <c r="F30" s="418">
        <f>IF((GETPIVOTDATA("Total-Old",'Distrib pivot table'!$C$2,"state","AR","group","2a4")/GETPIVOTDATA("Total-Old",'Distrib pivot table'!$C$2,"state","AR"))=0,,IF(GETPIVOTDATA("Total-Old",'Distrib pivot table'!$C$2,"state","AR","group","2a4")/GETPIVOTDATA("Total-Old",'Distrib pivot table'!$C$2,"state","AR")&gt;0.0005,GETPIVOTDATA("Total-Old",'Distrib pivot table'!$C$2,"state","AR","group","2a4")/GETPIVOTDATA("Total-Old",'Distrib pivot table'!$C$2,"state","AR"),"*"))</f>
        <v>0</v>
      </c>
      <c r="G30" s="418">
        <f>IF((GETPIVOTDATA("Total-Old",'Distrib pivot table'!$C$2,"state","DE","group","2a4")/GETPIVOTDATA("Total-Old",'Distrib pivot table'!$C$2,"state","DE"))=0,,IF(GETPIVOTDATA("Total-Old",'Distrib pivot table'!$C$2,"state","DE","group","2a4")/GETPIVOTDATA("Total-Old",'Distrib pivot table'!$C$2,"state","DE")&gt;0.0005,GETPIVOTDATA("Total-Old",'Distrib pivot table'!$C$2,"state","DE","group","2a4")/GETPIVOTDATA("Total-Old",'Distrib pivot table'!$C$2,"state","DE"),"*"))</f>
        <v>0</v>
      </c>
      <c r="H30" s="418">
        <f>IF((GETPIVOTDATA("Total-Old",'Distrib pivot table'!$C$2,"state","FL","group","2a4")/GETPIVOTDATA("Total-Old",'Distrib pivot table'!$C$2,"state","FL"))=0,,IF(GETPIVOTDATA("Total-Old",'Distrib pivot table'!$C$2,"state","FL","group","2a4")/GETPIVOTDATA("Total-Old",'Distrib pivot table'!$C$2,"state","FL")&gt;0.0005,GETPIVOTDATA("Total-Old",'Distrib pivot table'!$C$2,"state","FL","group","2a4")/GETPIVOTDATA("Total-Old",'Distrib pivot table'!$C$2,"state","FL"),"*"))</f>
        <v>0</v>
      </c>
      <c r="I30" s="418">
        <f>IF((GETPIVOTDATA("Total-Old",'Distrib pivot table'!$C$2,"state","GA","group","2a4")/GETPIVOTDATA("Total-Old",'Distrib pivot table'!$C$2,"state","GA"))=0,,IF(GETPIVOTDATA("Total-Old",'Distrib pivot table'!$C$2,"state","GA","group","2a4")/GETPIVOTDATA("Total-Old",'Distrib pivot table'!$C$2,"state","GA")&gt;0.0005,GETPIVOTDATA("Total-Old",'Distrib pivot table'!$C$2,"state","GA","group","2a4")/GETPIVOTDATA("Total-Old",'Distrib pivot table'!$C$2,"state","GA"),"*"))</f>
        <v>0</v>
      </c>
      <c r="J30" s="418">
        <f>IF((GETPIVOTDATA("Total-Old",'Distrib pivot table'!$C$2,"state","KY","group","2a4")/GETPIVOTDATA("Total-Old",'Distrib pivot table'!$C$2,"state","KY"))=0,,IF(GETPIVOTDATA("Total-Old",'Distrib pivot table'!$C$2,"state","KY","group","2a4")/GETPIVOTDATA("Total-Old",'Distrib pivot table'!$C$2,"state","KY")&gt;0.0005,GETPIVOTDATA("Total-Old",'Distrib pivot table'!$C$2,"state","KY","group","2a4")/GETPIVOTDATA("Total-Old",'Distrib pivot table'!$C$2,"state","KY"),"*"))</f>
        <v>0</v>
      </c>
      <c r="K30" s="418">
        <f>IF((GETPIVOTDATA("Total-Old",'Distrib pivot table'!$C$2,"state","LA","group","2a4")/GETPIVOTDATA("Total-Old",'Distrib pivot table'!$C$2,"state","LA"))=0,,IF(GETPIVOTDATA("Total-Old",'Distrib pivot table'!$C$2,"state","LA","group","2a4")/GETPIVOTDATA("Total-Old",'Distrib pivot table'!$C$2,"state","LA")&gt;0.0005,GETPIVOTDATA("Total-Old",'Distrib pivot table'!$C$2,"state","LA","group","2a4")/GETPIVOTDATA("Total-Old",'Distrib pivot table'!$C$2,"state","LA"),"*"))</f>
        <v>1.0402386795704736E-3</v>
      </c>
      <c r="L30" s="418">
        <f>IF((GETPIVOTDATA("Total-Old",'Distrib pivot table'!$C$2,"state","MD","group","2a4")/GETPIVOTDATA("Total-Old",'Distrib pivot table'!$C$2,"state","MD"))=0,,IF(GETPIVOTDATA("Total-Old",'Distrib pivot table'!$C$2,"state","MD","group","2a4")/GETPIVOTDATA("Total-Old",'Distrib pivot table'!$C$2,"state","MD")&gt;0.0005,GETPIVOTDATA("Total-Old",'Distrib pivot table'!$C$2,"state","MD","group","2a4")/GETPIVOTDATA("Total-Old",'Distrib pivot table'!$C$2,"state","MD"),"*"))</f>
        <v>0</v>
      </c>
      <c r="M30" s="418">
        <f>IF((GETPIVOTDATA("Total-Old",'Distrib pivot table'!$C$2,"state","MS","group","2a4")/GETPIVOTDATA("Total-Old",'Distrib pivot table'!$C$2,"state","MS"))=0,,IF(GETPIVOTDATA("Total-Old",'Distrib pivot table'!$C$2,"state","MS","group","2a4")/GETPIVOTDATA("Total-Old",'Distrib pivot table'!$C$2,"state","MS")&gt;0.0005,GETPIVOTDATA("Total-Old",'Distrib pivot table'!$C$2,"state","MS","group","2a4")/GETPIVOTDATA("Total-Old",'Distrib pivot table'!$C$2,"state","MS"),"*"))</f>
        <v>5.8177921296760063E-4</v>
      </c>
      <c r="N30" s="418">
        <f>IF((GETPIVOTDATA("Total-Old",'Distrib pivot table'!$C$2,"state","NC","group","2a4")/GETPIVOTDATA("Total-Old",'Distrib pivot table'!$C$2,"state","NC"))=0,,IF(GETPIVOTDATA("Total-Old",'Distrib pivot table'!$C$2,"state","NC","group","2a4")/GETPIVOTDATA("Total-Old",'Distrib pivot table'!$C$2,"state","NC")&gt;0.0005,GETPIVOTDATA("Total-Old",'Distrib pivot table'!$C$2,"state","NC","group","2a4")/GETPIVOTDATA("Total-Old",'Distrib pivot table'!$C$2,"state","NC"),"*"))</f>
        <v>0</v>
      </c>
      <c r="O30" s="418">
        <f>IF((GETPIVOTDATA("Total-Old",'Distrib pivot table'!$C$2,"state","OK","group","2a4")/GETPIVOTDATA("Total-Old",'Distrib pivot table'!$C$2,"state","OK"))=0,,IF(GETPIVOTDATA("Total-Old",'Distrib pivot table'!$C$2,"state","OK","group","2a4")/GETPIVOTDATA("Total-Old",'Distrib pivot table'!$C$2,"state","OK")&gt;0.0005,GETPIVOTDATA("Total-Old",'Distrib pivot table'!$C$2,"state","OK","group","2a4")/GETPIVOTDATA("Total-Old",'Distrib pivot table'!$C$2,"state","OK"),"*"))</f>
        <v>0</v>
      </c>
      <c r="P30" s="418" t="str">
        <f>IF((GETPIVOTDATA("Total-Old",'Distrib pivot table'!$C$2,"state","SC","group","2a4")/GETPIVOTDATA("Total-Old",'Distrib pivot table'!$C$2,"state","SC"))=0,,IF(GETPIVOTDATA("Total-Old",'Distrib pivot table'!$C$2,"state","SC","group","2a4")/GETPIVOTDATA("Total-Old",'Distrib pivot table'!$C$2,"state","SC")&gt;0.0005,GETPIVOTDATA("Total-Old",'Distrib pivot table'!$C$2,"state","SC","group","2a4")/GETPIVOTDATA("Total-Old",'Distrib pivot table'!$C$2,"state","SC"),"*"))</f>
        <v>*</v>
      </c>
      <c r="Q30" s="418" t="str">
        <f>IF((GETPIVOTDATA("Total-Old",'Distrib pivot table'!$C$2,"state","TN","group","2a4")/GETPIVOTDATA("Total-Old",'Distrib pivot table'!$C$2,"state","TN"))=0,,IF(GETPIVOTDATA("Total-Old",'Distrib pivot table'!$C$2,"state","TN","group","2a4")/GETPIVOTDATA("Total-Old",'Distrib pivot table'!$C$2,"state","TN")&gt;0.0005,GETPIVOTDATA("Total-Old",'Distrib pivot table'!$C$2,"state","TN","group","2a4")/GETPIVOTDATA("Total-Old",'Distrib pivot table'!$C$2,"state","TN"),"*"))</f>
        <v>*</v>
      </c>
      <c r="R30" s="418">
        <f>IF((GETPIVOTDATA("Total-Old",'Distrib pivot table'!$C$2,"state","TX","group","2a4")/GETPIVOTDATA("Total-Old",'Distrib pivot table'!$C$2,"state","TX"))=0,,IF(GETPIVOTDATA("Total-Old",'Distrib pivot table'!$C$2,"state","TX","group","2a4")/GETPIVOTDATA("Total-Old",'Distrib pivot table'!$C$2,"state","TX")&gt;0.0005,GETPIVOTDATA("Total-Old",'Distrib pivot table'!$C$2,"state","TX","group","2a4")/GETPIVOTDATA("Total-Old",'Distrib pivot table'!$C$2,"state","TX"),"*"))</f>
        <v>0</v>
      </c>
      <c r="S30" s="418">
        <f>IF((GETPIVOTDATA("Total-Old",'Distrib pivot table'!$C$2,"state","VA","group","2a4")/GETPIVOTDATA("Total-Old",'Distrib pivot table'!$C$2,"state","VA"))=0,,IF(GETPIVOTDATA("Total-Old",'Distrib pivot table'!$C$2,"state","VA","group","2a4")/GETPIVOTDATA("Total-Old",'Distrib pivot table'!$C$2,"state","VA")&gt;0.0005,GETPIVOTDATA("Total-Old",'Distrib pivot table'!$C$2,"state","VA","group","2a4")/GETPIVOTDATA("Total-Old",'Distrib pivot table'!$C$2,"state","VA"),"*"))</f>
        <v>0</v>
      </c>
      <c r="T30" s="418">
        <f>IF((GETPIVOTDATA("Total-Old",'Distrib pivot table'!$C$2,"state","WV","group","2a4")/GETPIVOTDATA("Total-Old",'Distrib pivot table'!$C$2,"state","WV"))=0,,IF(GETPIVOTDATA("Total-Old",'Distrib pivot table'!$C$2,"state","WV","group","2a4")/GETPIVOTDATA("Total-Old",'Distrib pivot table'!$C$2,"state","WV")&gt;0.0005,GETPIVOTDATA("Total-Old",'Distrib pivot table'!$C$2,"state","WV","group","2a4")/GETPIVOTDATA("Total-Old",'Distrib pivot table'!$C$2,"state","WV"),"*"))</f>
        <v>1.3065656608580165E-3</v>
      </c>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row>
    <row r="31" spans="1:50" ht="26.25" customHeight="1" x14ac:dyDescent="0.2">
      <c r="A31" s="1541"/>
      <c r="B31" s="131" t="s">
        <v>300</v>
      </c>
      <c r="C31" s="374" t="s">
        <v>286</v>
      </c>
      <c r="D31" s="424">
        <f>IF(GETPIVOTDATA("Total-Old",'Distrib pivot table'!$C$2,"group","2b")/GETPIVOTDATA("Total-Old",'Distrib pivot table'!$C$2)=0,,IF(GETPIVOTDATA("Total-Old",'Distrib pivot table'!$C$2,"group","2b")/GETPIVOTDATA("Total-Old",'Distrib pivot table'!$C$2)&gt;0.0005,GETPIVOTDATA("Total-Old",'Distrib pivot table'!$C$2,"group","2b")/GETPIVOTDATA("Total-Old",'Distrib pivot table'!$C$2),"*"))</f>
        <v>2.4702945968417878E-3</v>
      </c>
      <c r="E31" s="424">
        <f>IF((GETPIVOTDATA("Total-Old",'Distrib pivot table'!$C$2,"state","AL","group","2b")/GETPIVOTDATA("Total-Old",'Distrib pivot table'!$C$2,"state","AL"))=0,,IF(GETPIVOTDATA("Total-Old",'Distrib pivot table'!$C$2,"state","AL","group","2b")/GETPIVOTDATA("Total-Old",'Distrib pivot table'!$C$2,"state","AL")&gt;0.0005,GETPIVOTDATA("Total-Old",'Distrib pivot table'!$C$2,"state","AL","group","2b")/GETPIVOTDATA("Total-Old",'Distrib pivot table'!$C$2,"state","AL"),"*"))</f>
        <v>3.6651714276669718E-3</v>
      </c>
      <c r="F31" s="424">
        <f>IF((GETPIVOTDATA("Total-Old",'Distrib pivot table'!$C$2,"state","AR","group","2b")/GETPIVOTDATA("Total-Old",'Distrib pivot table'!$C$2,"state","AR"))=0,,IF(GETPIVOTDATA("Total-Old",'Distrib pivot table'!$C$2,"state","AR","group","2b")/GETPIVOTDATA("Total-Old",'Distrib pivot table'!$C$2,"state","AR")&gt;0.0005,GETPIVOTDATA("Total-Old",'Distrib pivot table'!$C$2,"state","AR","group","2b")/GETPIVOTDATA("Total-Old",'Distrib pivot table'!$C$2,"state","AR"),"*"))</f>
        <v>0</v>
      </c>
      <c r="G31" s="424">
        <f>IF((GETPIVOTDATA("Total-Old",'Distrib pivot table'!$C$2,"state","DE","group","2b")/GETPIVOTDATA("Total-Old",'Distrib pivot table'!$C$2,"state","DE"))=0,,IF(GETPIVOTDATA("Total-Old",'Distrib pivot table'!$C$2,"state","DE","group","2b")/GETPIVOTDATA("Total-Old",'Distrib pivot table'!$C$2,"state","DE")&gt;0.0005,GETPIVOTDATA("Total-Old",'Distrib pivot table'!$C$2,"state","DE","group","2b")/GETPIVOTDATA("Total-Old",'Distrib pivot table'!$C$2,"state","DE"),"*"))</f>
        <v>0</v>
      </c>
      <c r="H31" s="424">
        <f>IF((GETPIVOTDATA("Total-Old",'Distrib pivot table'!$C$2,"state","FL","group","2b")/GETPIVOTDATA("Total-Old",'Distrib pivot table'!$C$2,"state","FL"))=0,,IF(GETPIVOTDATA("Total-Old",'Distrib pivot table'!$C$2,"state","FL","group","2b")/GETPIVOTDATA("Total-Old",'Distrib pivot table'!$C$2,"state","FL")&gt;0.0005,GETPIVOTDATA("Total-Old",'Distrib pivot table'!$C$2,"state","FL","group","2b")/GETPIVOTDATA("Total-Old",'Distrib pivot table'!$C$2,"state","FL"),"*"))</f>
        <v>1.734650294520928E-3</v>
      </c>
      <c r="I31" s="424">
        <f>IF((GETPIVOTDATA("Total-Old",'Distrib pivot table'!$C$2,"state","GA","group","2b")/GETPIVOTDATA("Total-Old",'Distrib pivot table'!$C$2,"state","GA"))=0,,IF(GETPIVOTDATA("Total-Old",'Distrib pivot table'!$C$2,"state","GA","group","2b")/GETPIVOTDATA("Total-Old",'Distrib pivot table'!$C$2,"state","GA")&gt;0.0005,GETPIVOTDATA("Total-Old",'Distrib pivot table'!$C$2,"state","GA","group","2b")/GETPIVOTDATA("Total-Old",'Distrib pivot table'!$C$2,"state","GA"),"*"))</f>
        <v>7.3594112172646548E-3</v>
      </c>
      <c r="J31" s="424">
        <f>IF((GETPIVOTDATA("Total-Old",'Distrib pivot table'!$C$2,"state","KY","group","2b")/GETPIVOTDATA("Total-Old",'Distrib pivot table'!$C$2,"state","KY"))=0,,IF(GETPIVOTDATA("Total-Old",'Distrib pivot table'!$C$2,"state","KY","group","2b")/GETPIVOTDATA("Total-Old",'Distrib pivot table'!$C$2,"state","KY")&gt;0.0005,GETPIVOTDATA("Total-Old",'Distrib pivot table'!$C$2,"state","KY","group","2b")/GETPIVOTDATA("Total-Old",'Distrib pivot table'!$C$2,"state","KY"),"*"))</f>
        <v>0</v>
      </c>
      <c r="K31" s="424">
        <f>IF((GETPIVOTDATA("Total-Old",'Distrib pivot table'!$C$2,"state","LA","group","2b")/GETPIVOTDATA("Total-Old",'Distrib pivot table'!$C$2,"state","LA"))=0,,IF(GETPIVOTDATA("Total-Old",'Distrib pivot table'!$C$2,"state","LA","group","2b")/GETPIVOTDATA("Total-Old",'Distrib pivot table'!$C$2,"state","LA")&gt;0.0005,GETPIVOTDATA("Total-Old",'Distrib pivot table'!$C$2,"state","LA","group","2b")/GETPIVOTDATA("Total-Old",'Distrib pivot table'!$C$2,"state","LA"),"*"))</f>
        <v>0</v>
      </c>
      <c r="L31" s="424">
        <f>IF((GETPIVOTDATA("Total-Old",'Distrib pivot table'!$C$2,"state","MD","group","2b")/GETPIVOTDATA("Total-Old",'Distrib pivot table'!$C$2,"state","MD"))=0,,IF(GETPIVOTDATA("Total-Old",'Distrib pivot table'!$C$2,"state","MD","group","2b")/GETPIVOTDATA("Total-Old",'Distrib pivot table'!$C$2,"state","MD")&gt;0.0005,GETPIVOTDATA("Total-Old",'Distrib pivot table'!$C$2,"state","MD","group","2b")/GETPIVOTDATA("Total-Old",'Distrib pivot table'!$C$2,"state","MD"),"*"))</f>
        <v>9.7154315347403111E-3</v>
      </c>
      <c r="M31" s="424">
        <f>IF((GETPIVOTDATA("Total-Old",'Distrib pivot table'!$C$2,"state","MS","group","2b")/GETPIVOTDATA("Total-Old",'Distrib pivot table'!$C$2,"state","MS"))=0,,IF(GETPIVOTDATA("Total-Old",'Distrib pivot table'!$C$2,"state","MS","group","2b")/GETPIVOTDATA("Total-Old",'Distrib pivot table'!$C$2,"state","MS")&gt;0.0005,GETPIVOTDATA("Total-Old",'Distrib pivot table'!$C$2,"state","MS","group","2b")/GETPIVOTDATA("Total-Old",'Distrib pivot table'!$C$2,"state","MS"),"*"))</f>
        <v>0</v>
      </c>
      <c r="N31" s="424">
        <f>IF((GETPIVOTDATA("Total-Old",'Distrib pivot table'!$C$2,"state","NC","group","2b")/GETPIVOTDATA("Total-Old",'Distrib pivot table'!$C$2,"state","NC"))=0,,IF(GETPIVOTDATA("Total-Old",'Distrib pivot table'!$C$2,"state","NC","group","2b")/GETPIVOTDATA("Total-Old",'Distrib pivot table'!$C$2,"state","NC")&gt;0.0005,GETPIVOTDATA("Total-Old",'Distrib pivot table'!$C$2,"state","NC","group","2b")/GETPIVOTDATA("Total-Old",'Distrib pivot table'!$C$2,"state","NC"),"*"))</f>
        <v>0</v>
      </c>
      <c r="O31" s="424">
        <f>IF((GETPIVOTDATA("Total-Old",'Distrib pivot table'!$C$2,"state","OK","group","2b")/GETPIVOTDATA("Total-Old",'Distrib pivot table'!$C$2,"state","OK"))=0,,IF(GETPIVOTDATA("Total-Old",'Distrib pivot table'!$C$2,"state","OK","group","2b")/GETPIVOTDATA("Total-Old",'Distrib pivot table'!$C$2,"state","OK")&gt;0.0005,GETPIVOTDATA("Total-Old",'Distrib pivot table'!$C$2,"state","OK","group","2b")/GETPIVOTDATA("Total-Old",'Distrib pivot table'!$C$2,"state","OK"),"*"))</f>
        <v>0</v>
      </c>
      <c r="P31" s="424">
        <f>IF((GETPIVOTDATA("Total-Old",'Distrib pivot table'!$C$2,"state","SC","group","2b")/GETPIVOTDATA("Total-Old",'Distrib pivot table'!$C$2,"state","SC"))=0,,IF(GETPIVOTDATA("Total-Old",'Distrib pivot table'!$C$2,"state","SC","group","2b")/GETPIVOTDATA("Total-Old",'Distrib pivot table'!$C$2,"state","SC")&gt;0.0005,GETPIVOTDATA("Total-Old",'Distrib pivot table'!$C$2,"state","SC","group","2b")/GETPIVOTDATA("Total-Old",'Distrib pivot table'!$C$2,"state","SC"),"*"))</f>
        <v>1.0583746495631573E-3</v>
      </c>
      <c r="Q31" s="424">
        <f>IF((GETPIVOTDATA("Total-Old",'Distrib pivot table'!$C$2,"state","TN","group","2b")/GETPIVOTDATA("Total-Old",'Distrib pivot table'!$C$2,"state","TN"))=0,,IF(GETPIVOTDATA("Total-Old",'Distrib pivot table'!$C$2,"state","TN","group","2b")/GETPIVOTDATA("Total-Old",'Distrib pivot table'!$C$2,"state","TN")&gt;0.0005,GETPIVOTDATA("Total-Old",'Distrib pivot table'!$C$2,"state","TN","group","2b")/GETPIVOTDATA("Total-Old",'Distrib pivot table'!$C$2,"state","TN"),"*"))</f>
        <v>0</v>
      </c>
      <c r="R31" s="424">
        <f>IF((GETPIVOTDATA("Total-Old",'Distrib pivot table'!$C$2,"state","TX","group","2b")/GETPIVOTDATA("Total-Old",'Distrib pivot table'!$C$2,"state","TX"))=0,,IF(GETPIVOTDATA("Total-Old",'Distrib pivot table'!$C$2,"state","TX","group","2b")/GETPIVOTDATA("Total-Old",'Distrib pivot table'!$C$2,"state","TX")&gt;0.0005,GETPIVOTDATA("Total-Old",'Distrib pivot table'!$C$2,"state","TX","group","2b")/GETPIVOTDATA("Total-Old",'Distrib pivot table'!$C$2,"state","TX"),"*"))</f>
        <v>3.8118181648392167E-3</v>
      </c>
      <c r="S31" s="424">
        <f>IF((GETPIVOTDATA("Total-Old",'Distrib pivot table'!$C$2,"state","VA","group","2b")/GETPIVOTDATA("Total-Old",'Distrib pivot table'!$C$2,"state","VA"))=0,,IF(GETPIVOTDATA("Total-Old",'Distrib pivot table'!$C$2,"state","VA","group","2b")/GETPIVOTDATA("Total-Old",'Distrib pivot table'!$C$2,"state","VA")&gt;0.0005,GETPIVOTDATA("Total-Old",'Distrib pivot table'!$C$2,"state","VA","group","2b")/GETPIVOTDATA("Total-Old",'Distrib pivot table'!$C$2,"state","VA"),"*"))</f>
        <v>0</v>
      </c>
      <c r="T31" s="424">
        <f>IF((GETPIVOTDATA("Total-Old",'Distrib pivot table'!$C$2,"state","WV","group","2b")/GETPIVOTDATA("Total-Old",'Distrib pivot table'!$C$2,"state","WV"))=0,,IF(GETPIVOTDATA("Total-Old",'Distrib pivot table'!$C$2,"state","WV","group","2b")/GETPIVOTDATA("Total-Old",'Distrib pivot table'!$C$2,"state","WV")&gt;0.0005,GETPIVOTDATA("Total-Old",'Distrib pivot table'!$C$2,"state","WV","group","2b")/GETPIVOTDATA("Total-Old",'Distrib pivot table'!$C$2,"state","WV"),"*"))</f>
        <v>0</v>
      </c>
      <c r="U31" s="3"/>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row>
    <row r="32" spans="1:50" s="45" customFormat="1" ht="12.6" customHeight="1" x14ac:dyDescent="0.2">
      <c r="A32" s="1541"/>
      <c r="B32" s="126" t="s">
        <v>188</v>
      </c>
      <c r="C32" s="375" t="s">
        <v>287</v>
      </c>
      <c r="D32" s="419">
        <f>SUM(D33:D35)</f>
        <v>0</v>
      </c>
      <c r="E32" s="419">
        <f>SUM(E33:E35)</f>
        <v>0</v>
      </c>
      <c r="F32" s="419">
        <f t="shared" ref="F32:T32" si="4">SUM(F33:F35)</f>
        <v>1.6367516153415551E-3</v>
      </c>
      <c r="G32" s="419">
        <f t="shared" si="4"/>
        <v>3.650808809099914E-3</v>
      </c>
      <c r="H32" s="419">
        <f t="shared" si="4"/>
        <v>0</v>
      </c>
      <c r="I32" s="419">
        <f t="shared" si="4"/>
        <v>5.7450269030664101E-4</v>
      </c>
      <c r="J32" s="419">
        <f t="shared" si="4"/>
        <v>1.5329705953857501E-3</v>
      </c>
      <c r="K32" s="419">
        <f t="shared" si="4"/>
        <v>0</v>
      </c>
      <c r="L32" s="419">
        <f t="shared" si="4"/>
        <v>0</v>
      </c>
      <c r="M32" s="419">
        <f t="shared" si="4"/>
        <v>0</v>
      </c>
      <c r="N32" s="419">
        <f t="shared" si="4"/>
        <v>0</v>
      </c>
      <c r="O32" s="419">
        <f t="shared" si="4"/>
        <v>0</v>
      </c>
      <c r="P32" s="419">
        <f t="shared" si="4"/>
        <v>8.1276117255453398E-4</v>
      </c>
      <c r="Q32" s="419">
        <f t="shared" si="4"/>
        <v>6.9187503822933474E-4</v>
      </c>
      <c r="R32" s="419">
        <f t="shared" si="4"/>
        <v>0</v>
      </c>
      <c r="S32" s="419">
        <f t="shared" si="4"/>
        <v>0</v>
      </c>
      <c r="T32" s="419">
        <f t="shared" si="4"/>
        <v>9.5516160204434564E-4</v>
      </c>
      <c r="U32" s="27"/>
      <c r="V32" s="27"/>
      <c r="W32" s="27"/>
      <c r="X32" s="27"/>
      <c r="Y32" s="27"/>
      <c r="Z32" s="27"/>
      <c r="AA32" s="27"/>
      <c r="AB32" s="27"/>
      <c r="AC32" s="27"/>
      <c r="AD32" s="27"/>
      <c r="AE32" s="27"/>
      <c r="AF32" s="27"/>
      <c r="AG32" s="27"/>
      <c r="AH32" s="27"/>
      <c r="AI32" s="27"/>
      <c r="AJ32" s="27"/>
      <c r="AK32" s="27"/>
      <c r="AL32" s="27"/>
      <c r="AM32" s="27"/>
      <c r="AN32" s="27"/>
      <c r="AO32" s="27"/>
      <c r="AP32" s="27"/>
      <c r="AQ32" s="27"/>
      <c r="AR32" s="27"/>
      <c r="AS32" s="27"/>
      <c r="AT32" s="27"/>
      <c r="AU32" s="27"/>
      <c r="AV32" s="27"/>
      <c r="AW32" s="27"/>
      <c r="AX32" s="27"/>
    </row>
    <row r="33" spans="1:50" ht="12.6" customHeight="1" x14ac:dyDescent="0.2">
      <c r="A33" s="1541"/>
      <c r="B33" s="127" t="s">
        <v>84</v>
      </c>
      <c r="C33" s="374" t="s">
        <v>288</v>
      </c>
      <c r="D33" s="418" t="str">
        <f>IF(GETPIVOTDATA("Total-Old",'Distrib pivot table'!$C$2,"group","2c1")/GETPIVOTDATA("Total-Old",'Distrib pivot table'!$C$2)=0,,IF(GETPIVOTDATA("Total-Old",'Distrib pivot table'!$C$2,"group","2c1")/GETPIVOTDATA("Total-Old",'Distrib pivot table'!$C$2)&gt;0.0005,GETPIVOTDATA("Total-Old",'Distrib pivot table'!$C$2,"group","2c1")/GETPIVOTDATA("Total-Old",'Distrib pivot table'!$C$2),"*"))</f>
        <v>*</v>
      </c>
      <c r="E33" s="418">
        <f>IF((GETPIVOTDATA("Total-Old",'Distrib pivot table'!$C$2,"state","AL","group","2c1")/GETPIVOTDATA("Total-Old",'Distrib pivot table'!$C$2,"state","AL"))=0,,IF(GETPIVOTDATA("Total-Old",'Distrib pivot table'!$C$2,"state","AL","group","2c1")/GETPIVOTDATA("Total-Old",'Distrib pivot table'!$C$2,"state","AL")&gt;0.0005,GETPIVOTDATA("Total-Old",'Distrib pivot table'!$C$2,"state","AL","group","2c1")/GETPIVOTDATA("Total-Old",'Distrib pivot table'!$C$2,"state","AL"),"*"))</f>
        <v>0</v>
      </c>
      <c r="F33" s="418" t="str">
        <f>IF((GETPIVOTDATA("Total-Old",'Distrib pivot table'!$C$2,"state","AR","group","2c1")/GETPIVOTDATA("Total-Old",'Distrib pivot table'!$C$2,"state","AR"))=0,,IF(GETPIVOTDATA("Total-Old",'Distrib pivot table'!$C$2,"state","AR","group","2c1")/GETPIVOTDATA("Total-Old",'Distrib pivot table'!$C$2,"state","AR")&gt;0.0005,GETPIVOTDATA("Total-Old",'Distrib pivot table'!$C$2,"state","AR","group","2c1")/GETPIVOTDATA("Total-Old",'Distrib pivot table'!$C$2,"state","AR"),"*"))</f>
        <v>*</v>
      </c>
      <c r="G33" s="418">
        <f>IF((GETPIVOTDATA("Total-Old",'Distrib pivot table'!$C$2,"state","DE","group","2c1")/GETPIVOTDATA("Total-Old",'Distrib pivot table'!$C$2,"state","DE"))=0,,IF(GETPIVOTDATA("Total-Old",'Distrib pivot table'!$C$2,"state","DE","group","2c1")/GETPIVOTDATA("Total-Old",'Distrib pivot table'!$C$2,"state","DE")&gt;0.0005,GETPIVOTDATA("Total-Old",'Distrib pivot table'!$C$2,"state","DE","group","2c1")/GETPIVOTDATA("Total-Old",'Distrib pivot table'!$C$2,"state","DE"),"*"))</f>
        <v>2.6319037309222287E-3</v>
      </c>
      <c r="H33" s="418">
        <f>IF((GETPIVOTDATA("Total-Old",'Distrib pivot table'!$C$2,"state","FL","group","2c1")/GETPIVOTDATA("Total-Old",'Distrib pivot table'!$C$2,"state","FL"))=0,,IF(GETPIVOTDATA("Total-Old",'Distrib pivot table'!$C$2,"state","FL","group","2c1")/GETPIVOTDATA("Total-Old",'Distrib pivot table'!$C$2,"state","FL")&gt;0.0005,GETPIVOTDATA("Total-Old",'Distrib pivot table'!$C$2,"state","FL","group","2c1")/GETPIVOTDATA("Total-Old",'Distrib pivot table'!$C$2,"state","FL"),"*"))</f>
        <v>0</v>
      </c>
      <c r="I33" s="418" t="str">
        <f>IF((GETPIVOTDATA("Total-Old",'Distrib pivot table'!$C$2,"state","GA","group","2c1")/GETPIVOTDATA("Total-Old",'Distrib pivot table'!$C$2,"state","GA"))=0,,IF(GETPIVOTDATA("Total-Old",'Distrib pivot table'!$C$2,"state","GA","group","2c1")/GETPIVOTDATA("Total-Old",'Distrib pivot table'!$C$2,"state","GA")&gt;0.0005,GETPIVOTDATA("Total-Old",'Distrib pivot table'!$C$2,"state","GA","group","2c1")/GETPIVOTDATA("Total-Old",'Distrib pivot table'!$C$2,"state","GA"),"*"))</f>
        <v>*</v>
      </c>
      <c r="J33" s="418" t="str">
        <f>IF((GETPIVOTDATA("Total-Old",'Distrib pivot table'!$C$2,"state","KY","group","2c1")/GETPIVOTDATA("Total-Old",'Distrib pivot table'!$C$2,"state","KY"))=0,,IF(GETPIVOTDATA("Total-Old",'Distrib pivot table'!$C$2,"state","KY","group","2c1")/GETPIVOTDATA("Total-Old",'Distrib pivot table'!$C$2,"state","KY")&gt;0.0005,GETPIVOTDATA("Total-Old",'Distrib pivot table'!$C$2,"state","KY","group","2c1")/GETPIVOTDATA("Total-Old",'Distrib pivot table'!$C$2,"state","KY"),"*"))</f>
        <v>*</v>
      </c>
      <c r="K33" s="418">
        <f>IF((GETPIVOTDATA("Total-Old",'Distrib pivot table'!$C$2,"state","LA","group","2c1")/GETPIVOTDATA("Total-Old",'Distrib pivot table'!$C$2,"state","LA"))=0,,IF(GETPIVOTDATA("Total-Old",'Distrib pivot table'!$C$2,"state","LA","group","2c1")/GETPIVOTDATA("Total-Old",'Distrib pivot table'!$C$2,"state","LA")&gt;0.0005,GETPIVOTDATA("Total-Old",'Distrib pivot table'!$C$2,"state","LA","group","2c1")/GETPIVOTDATA("Total-Old",'Distrib pivot table'!$C$2,"state","LA"),"*"))</f>
        <v>0</v>
      </c>
      <c r="L33" s="418">
        <f>IF((GETPIVOTDATA("Total-Old",'Distrib pivot table'!$C$2,"state","MD","group","2c1")/GETPIVOTDATA("Total-Old",'Distrib pivot table'!$C$2,"state","MD"))=0,,IF(GETPIVOTDATA("Total-Old",'Distrib pivot table'!$C$2,"state","MD","group","2c1")/GETPIVOTDATA("Total-Old",'Distrib pivot table'!$C$2,"state","MD")&gt;0.0005,GETPIVOTDATA("Total-Old",'Distrib pivot table'!$C$2,"state","MD","group","2c1")/GETPIVOTDATA("Total-Old",'Distrib pivot table'!$C$2,"state","MD"),"*"))</f>
        <v>0</v>
      </c>
      <c r="M33" s="418" t="str">
        <f>IF((GETPIVOTDATA("Total-Old",'Distrib pivot table'!$C$2,"state","MS","group","2c1")/GETPIVOTDATA("Total-Old",'Distrib pivot table'!$C$2,"state","MS"))=0,,IF(GETPIVOTDATA("Total-Old",'Distrib pivot table'!$C$2,"state","MS","group","2c1")/GETPIVOTDATA("Total-Old",'Distrib pivot table'!$C$2,"state","MS")&gt;0.0005,GETPIVOTDATA("Total-Old",'Distrib pivot table'!$C$2,"state","MS","group","2c1")/GETPIVOTDATA("Total-Old",'Distrib pivot table'!$C$2,"state","MS"),"*"))</f>
        <v>*</v>
      </c>
      <c r="N33" s="418">
        <f>IF((GETPIVOTDATA("Total-Old",'Distrib pivot table'!$C$2,"state","NC","group","2c1")/GETPIVOTDATA("Total-Old",'Distrib pivot table'!$C$2,"state","NC"))=0,,IF(GETPIVOTDATA("Total-Old",'Distrib pivot table'!$C$2,"state","NC","group","2c1")/GETPIVOTDATA("Total-Old",'Distrib pivot table'!$C$2,"state","NC")&gt;0.0005,GETPIVOTDATA("Total-Old",'Distrib pivot table'!$C$2,"state","NC","group","2c1")/GETPIVOTDATA("Total-Old",'Distrib pivot table'!$C$2,"state","NC"),"*"))</f>
        <v>0</v>
      </c>
      <c r="O33" s="418">
        <f>IF((GETPIVOTDATA("Total-Old",'Distrib pivot table'!$C$2,"state","OK","group","2c1")/GETPIVOTDATA("Total-Old",'Distrib pivot table'!$C$2,"state","OK"))=0,,IF(GETPIVOTDATA("Total-Old",'Distrib pivot table'!$C$2,"state","OK","group","2c1")/GETPIVOTDATA("Total-Old",'Distrib pivot table'!$C$2,"state","OK")&gt;0.0005,GETPIVOTDATA("Total-Old",'Distrib pivot table'!$C$2,"state","OK","group","2c1")/GETPIVOTDATA("Total-Old",'Distrib pivot table'!$C$2,"state","OK"),"*"))</f>
        <v>0</v>
      </c>
      <c r="P33" s="418" t="str">
        <f>IF((GETPIVOTDATA("Total-Old",'Distrib pivot table'!$C$2,"state","SC","group","2c1")/GETPIVOTDATA("Total-Old",'Distrib pivot table'!$C$2,"state","SC"))=0,,IF(GETPIVOTDATA("Total-Old",'Distrib pivot table'!$C$2,"state","SC","group","2c1")/GETPIVOTDATA("Total-Old",'Distrib pivot table'!$C$2,"state","SC")&gt;0.0005,GETPIVOTDATA("Total-Old",'Distrib pivot table'!$C$2,"state","SC","group","2c1")/GETPIVOTDATA("Total-Old",'Distrib pivot table'!$C$2,"state","SC"),"*"))</f>
        <v>*</v>
      </c>
      <c r="Q33" s="418">
        <f>IF((GETPIVOTDATA("Total-Old",'Distrib pivot table'!$C$2,"state","TN","group","2c1")/GETPIVOTDATA("Total-Old",'Distrib pivot table'!$C$2,"state","TN"))=0,,IF(GETPIVOTDATA("Total-Old",'Distrib pivot table'!$C$2,"state","TN","group","2c1")/GETPIVOTDATA("Total-Old",'Distrib pivot table'!$C$2,"state","TN")&gt;0.0005,GETPIVOTDATA("Total-Old",'Distrib pivot table'!$C$2,"state","TN","group","2c1")/GETPIVOTDATA("Total-Old",'Distrib pivot table'!$C$2,"state","TN"),"*"))</f>
        <v>6.9187503822933474E-4</v>
      </c>
      <c r="R33" s="418">
        <f>IF((GETPIVOTDATA("Total-Old",'Distrib pivot table'!$C$2,"state","TX","group","2c1")/GETPIVOTDATA("Total-Old",'Distrib pivot table'!$C$2,"state","TX"))=0,,IF(GETPIVOTDATA("Total-Old",'Distrib pivot table'!$C$2,"state","TX","group","2c1")/GETPIVOTDATA("Total-Old",'Distrib pivot table'!$C$2,"state","TX")&gt;0.0005,GETPIVOTDATA("Total-Old",'Distrib pivot table'!$C$2,"state","TX","group","2c1")/GETPIVOTDATA("Total-Old",'Distrib pivot table'!$C$2,"state","TX"),"*"))</f>
        <v>0</v>
      </c>
      <c r="S33" s="418" t="str">
        <f>IF((GETPIVOTDATA("Total-Old",'Distrib pivot table'!$C$2,"state","VA","group","2c1")/GETPIVOTDATA("Total-Old",'Distrib pivot table'!$C$2,"state","VA"))=0,,IF(GETPIVOTDATA("Total-Old",'Distrib pivot table'!$C$2,"state","VA","group","2c1")/GETPIVOTDATA("Total-Old",'Distrib pivot table'!$C$2,"state","VA")&gt;0.0005,GETPIVOTDATA("Total-Old",'Distrib pivot table'!$C$2,"state","VA","group","2c1")/GETPIVOTDATA("Total-Old",'Distrib pivot table'!$C$2,"state","VA"),"*"))</f>
        <v>*</v>
      </c>
      <c r="T33" s="418" t="str">
        <f>IF((GETPIVOTDATA("Total-Old",'Distrib pivot table'!$C$2,"state","WV","group","2c1")/GETPIVOTDATA("Total-Old",'Distrib pivot table'!$C$2,"state","WV"))=0,,IF(GETPIVOTDATA("Total-Old",'Distrib pivot table'!$C$2,"state","WV","group","2c1")/GETPIVOTDATA("Total-Old",'Distrib pivot table'!$C$2,"state","WV")&gt;0.0005,GETPIVOTDATA("Total-Old",'Distrib pivot table'!$C$2,"state","WV","group","2c1")/GETPIVOTDATA("Total-Old",'Distrib pivot table'!$C$2,"state","WV"),"*"))</f>
        <v>*</v>
      </c>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row>
    <row r="34" spans="1:50" ht="12.6" customHeight="1" x14ac:dyDescent="0.2">
      <c r="A34" s="1541"/>
      <c r="B34" s="127" t="s">
        <v>85</v>
      </c>
      <c r="C34" s="374" t="s">
        <v>289</v>
      </c>
      <c r="D34" s="418" t="str">
        <f>IF(GETPIVOTDATA("Total-Old",'Distrib pivot table'!$C$2,"group","2c2")/GETPIVOTDATA("Total-Old",'Distrib pivot table'!$C$2)=0,,IF(GETPIVOTDATA("Total-Old",'Distrib pivot table'!$C$2,"group","2c2")/GETPIVOTDATA("Total-Old",'Distrib pivot table'!$C$2)&gt;0.0005,GETPIVOTDATA("Total-Old",'Distrib pivot table'!$C$2,"group","2c2")/GETPIVOTDATA("Total-Old",'Distrib pivot table'!$C$2),"*"))</f>
        <v>*</v>
      </c>
      <c r="E34" s="418">
        <f>IF((GETPIVOTDATA("Total-Old",'Distrib pivot table'!$C$2,"state","AL","group","2c2")/GETPIVOTDATA("Total-Old",'Distrib pivot table'!$C$2,"state","AL"))=0,,IF(GETPIVOTDATA("Total-Old",'Distrib pivot table'!$C$2,"state","AL","group","2c2")/GETPIVOTDATA("Total-Old",'Distrib pivot table'!$C$2,"state","AL")&gt;0.0005,GETPIVOTDATA("Total-Old",'Distrib pivot table'!$C$2,"state","AL","group","2c2")/GETPIVOTDATA("Total-Old",'Distrib pivot table'!$C$2,"state","AL"),"*"))</f>
        <v>0</v>
      </c>
      <c r="F34" s="418">
        <f>IF((GETPIVOTDATA("Total-Old",'Distrib pivot table'!$C$2,"state","AR","group","2c2")/GETPIVOTDATA("Total-Old",'Distrib pivot table'!$C$2,"state","AR"))=0,,IF(GETPIVOTDATA("Total-Old",'Distrib pivot table'!$C$2,"state","AR","group","2c2")/GETPIVOTDATA("Total-Old",'Distrib pivot table'!$C$2,"state","AR")&gt;0.0005,GETPIVOTDATA("Total-Old",'Distrib pivot table'!$C$2,"state","AR","group","2c2")/GETPIVOTDATA("Total-Old",'Distrib pivot table'!$C$2,"state","AR"),"*"))</f>
        <v>1.6367516153415551E-3</v>
      </c>
      <c r="G34" s="418">
        <f>IF((GETPIVOTDATA("Total-Old",'Distrib pivot table'!$C$2,"state","DE","group","2c2")/GETPIVOTDATA("Total-Old",'Distrib pivot table'!$C$2,"state","DE"))=0,,IF(GETPIVOTDATA("Total-Old",'Distrib pivot table'!$C$2,"state","DE","group","2c2")/GETPIVOTDATA("Total-Old",'Distrib pivot table'!$C$2,"state","DE")&gt;0.0005,GETPIVOTDATA("Total-Old",'Distrib pivot table'!$C$2,"state","DE","group","2c2")/GETPIVOTDATA("Total-Old",'Distrib pivot table'!$C$2,"state","DE"),"*"))</f>
        <v>1.0189050781776853E-3</v>
      </c>
      <c r="H34" s="418">
        <f>IF((GETPIVOTDATA("Total-Old",'Distrib pivot table'!$C$2,"state","FL","group","2c2")/GETPIVOTDATA("Total-Old",'Distrib pivot table'!$C$2,"state","FL"))=0,,IF(GETPIVOTDATA("Total-Old",'Distrib pivot table'!$C$2,"state","FL","group","2c2")/GETPIVOTDATA("Total-Old",'Distrib pivot table'!$C$2,"state","FL")&gt;0.0005,GETPIVOTDATA("Total-Old",'Distrib pivot table'!$C$2,"state","FL","group","2c2")/GETPIVOTDATA("Total-Old",'Distrib pivot table'!$C$2,"state","FL"),"*"))</f>
        <v>0</v>
      </c>
      <c r="I34" s="418" t="str">
        <f>IF((GETPIVOTDATA("Total-Old",'Distrib pivot table'!$C$2,"state","GA","group","2c2")/GETPIVOTDATA("Total-Old",'Distrib pivot table'!$C$2,"state","GA"))=0,,IF(GETPIVOTDATA("Total-Old",'Distrib pivot table'!$C$2,"state","GA","group","2c2")/GETPIVOTDATA("Total-Old",'Distrib pivot table'!$C$2,"state","GA")&gt;0.0005,GETPIVOTDATA("Total-Old",'Distrib pivot table'!$C$2,"state","GA","group","2c2")/GETPIVOTDATA("Total-Old",'Distrib pivot table'!$C$2,"state","GA"),"*"))</f>
        <v>*</v>
      </c>
      <c r="J34" s="418">
        <f>IF((GETPIVOTDATA("Total-Old",'Distrib pivot table'!$C$2,"state","KY","group","2c2")/GETPIVOTDATA("Total-Old",'Distrib pivot table'!$C$2,"state","KY"))=0,,IF(GETPIVOTDATA("Total-Old",'Distrib pivot table'!$C$2,"state","KY","group","2c2")/GETPIVOTDATA("Total-Old",'Distrib pivot table'!$C$2,"state","KY")&gt;0.0005,GETPIVOTDATA("Total-Old",'Distrib pivot table'!$C$2,"state","KY","group","2c2")/GETPIVOTDATA("Total-Old",'Distrib pivot table'!$C$2,"state","KY"),"*"))</f>
        <v>1.5329705953857501E-3</v>
      </c>
      <c r="K34" s="418" t="str">
        <f>IF((GETPIVOTDATA("Total-Old",'Distrib pivot table'!$C$2,"state","LA","group","2c2")/GETPIVOTDATA("Total-Old",'Distrib pivot table'!$C$2,"state","LA"))=0,,IF(GETPIVOTDATA("Total-Old",'Distrib pivot table'!$C$2,"state","LA","group","2c2")/GETPIVOTDATA("Total-Old",'Distrib pivot table'!$C$2,"state","LA")&gt;0.0005,GETPIVOTDATA("Total-Old",'Distrib pivot table'!$C$2,"state","LA","group","2c2")/GETPIVOTDATA("Total-Old",'Distrib pivot table'!$C$2,"state","LA"),"*"))</f>
        <v>*</v>
      </c>
      <c r="L34" s="418">
        <f>IF((GETPIVOTDATA("Total-Old",'Distrib pivot table'!$C$2,"state","MD","group","2c2")/GETPIVOTDATA("Total-Old",'Distrib pivot table'!$C$2,"state","MD"))=0,,IF(GETPIVOTDATA("Total-Old",'Distrib pivot table'!$C$2,"state","MD","group","2c2")/GETPIVOTDATA("Total-Old",'Distrib pivot table'!$C$2,"state","MD")&gt;0.0005,GETPIVOTDATA("Total-Old",'Distrib pivot table'!$C$2,"state","MD","group","2c2")/GETPIVOTDATA("Total-Old",'Distrib pivot table'!$C$2,"state","MD"),"*"))</f>
        <v>0</v>
      </c>
      <c r="M34" s="418" t="str">
        <f>IF((GETPIVOTDATA("Total-Old",'Distrib pivot table'!$C$2,"state","MS","group","2c2")/GETPIVOTDATA("Total-Old",'Distrib pivot table'!$C$2,"state","MS"))=0,,IF(GETPIVOTDATA("Total-Old",'Distrib pivot table'!$C$2,"state","MS","group","2c2")/GETPIVOTDATA("Total-Old",'Distrib pivot table'!$C$2,"state","MS")&gt;0.0005,GETPIVOTDATA("Total-Old",'Distrib pivot table'!$C$2,"state","MS","group","2c2")/GETPIVOTDATA("Total-Old",'Distrib pivot table'!$C$2,"state","MS"),"*"))</f>
        <v>*</v>
      </c>
      <c r="N34" s="418">
        <f>IF((GETPIVOTDATA("Total-Old",'Distrib pivot table'!$C$2,"state","NC","group","2c2")/GETPIVOTDATA("Total-Old",'Distrib pivot table'!$C$2,"state","NC"))=0,,IF(GETPIVOTDATA("Total-Old",'Distrib pivot table'!$C$2,"state","NC","group","2c2")/GETPIVOTDATA("Total-Old",'Distrib pivot table'!$C$2,"state","NC")&gt;0.0005,GETPIVOTDATA("Total-Old",'Distrib pivot table'!$C$2,"state","NC","group","2c2")/GETPIVOTDATA("Total-Old",'Distrib pivot table'!$C$2,"state","NC"),"*"))</f>
        <v>0</v>
      </c>
      <c r="O34" s="418">
        <f>IF((GETPIVOTDATA("Total-Old",'Distrib pivot table'!$C$2,"state","OK","group","2c2")/GETPIVOTDATA("Total-Old",'Distrib pivot table'!$C$2,"state","OK"))=0,,IF(GETPIVOTDATA("Total-Old",'Distrib pivot table'!$C$2,"state","OK","group","2c2")/GETPIVOTDATA("Total-Old",'Distrib pivot table'!$C$2,"state","OK")&gt;0.0005,GETPIVOTDATA("Total-Old",'Distrib pivot table'!$C$2,"state","OK","group","2c2")/GETPIVOTDATA("Total-Old",'Distrib pivot table'!$C$2,"state","OK"),"*"))</f>
        <v>0</v>
      </c>
      <c r="P34" s="418">
        <f>IF((GETPIVOTDATA("Total-Old",'Distrib pivot table'!$C$2,"state","SC","group","2c2")/GETPIVOTDATA("Total-Old",'Distrib pivot table'!$C$2,"state","SC"))=0,,IF(GETPIVOTDATA("Total-Old",'Distrib pivot table'!$C$2,"state","SC","group","2c2")/GETPIVOTDATA("Total-Old",'Distrib pivot table'!$C$2,"state","SC")&gt;0.0005,GETPIVOTDATA("Total-Old",'Distrib pivot table'!$C$2,"state","SC","group","2c2")/GETPIVOTDATA("Total-Old",'Distrib pivot table'!$C$2,"state","SC"),"*"))</f>
        <v>8.1276117255453398E-4</v>
      </c>
      <c r="Q34" s="418">
        <f>IF((GETPIVOTDATA("Total-Old",'Distrib pivot table'!$C$2,"state","TN","group","2c2")/GETPIVOTDATA("Total-Old",'Distrib pivot table'!$C$2,"state","TN"))=0,,IF(GETPIVOTDATA("Total-Old",'Distrib pivot table'!$C$2,"state","TN","group","2c2")/GETPIVOTDATA("Total-Old",'Distrib pivot table'!$C$2,"state","TN")&gt;0.0005,GETPIVOTDATA("Total-Old",'Distrib pivot table'!$C$2,"state","TN","group","2c2")/GETPIVOTDATA("Total-Old",'Distrib pivot table'!$C$2,"state","TN"),"*"))</f>
        <v>0</v>
      </c>
      <c r="R34" s="418">
        <f>IF((GETPIVOTDATA("Total-Old",'Distrib pivot table'!$C$2,"state","TX","group","2c2")/GETPIVOTDATA("Total-Old",'Distrib pivot table'!$C$2,"state","TX"))=0,,IF(GETPIVOTDATA("Total-Old",'Distrib pivot table'!$C$2,"state","TX","group","2c2")/GETPIVOTDATA("Total-Old",'Distrib pivot table'!$C$2,"state","TX")&gt;0.0005,GETPIVOTDATA("Total-Old",'Distrib pivot table'!$C$2,"state","TX","group","2c2")/GETPIVOTDATA("Total-Old",'Distrib pivot table'!$C$2,"state","TX"),"*"))</f>
        <v>0</v>
      </c>
      <c r="S34" s="418">
        <f>IF((GETPIVOTDATA("Total-Old",'Distrib pivot table'!$C$2,"state","VA","group","2c2")/GETPIVOTDATA("Total-Old",'Distrib pivot table'!$C$2,"state","VA"))=0,,IF(GETPIVOTDATA("Total-Old",'Distrib pivot table'!$C$2,"state","VA","group","2c2")/GETPIVOTDATA("Total-Old",'Distrib pivot table'!$C$2,"state","VA")&gt;0.0005,GETPIVOTDATA("Total-Old",'Distrib pivot table'!$C$2,"state","VA","group","2c2")/GETPIVOTDATA("Total-Old",'Distrib pivot table'!$C$2,"state","VA"),"*"))</f>
        <v>0</v>
      </c>
      <c r="T34" s="418">
        <f>IF((GETPIVOTDATA("Total-Old",'Distrib pivot table'!$C$2,"state","WV","group","2c2")/GETPIVOTDATA("Total-Old",'Distrib pivot table'!$C$2,"state","WV"))=0,,IF(GETPIVOTDATA("Total-Old",'Distrib pivot table'!$C$2,"state","WV","group","2c2")/GETPIVOTDATA("Total-Old",'Distrib pivot table'!$C$2,"state","WV")&gt;0.0005,GETPIVOTDATA("Total-Old",'Distrib pivot table'!$C$2,"state","WV","group","2c2")/GETPIVOTDATA("Total-Old",'Distrib pivot table'!$C$2,"state","WV"),"*"))</f>
        <v>9.5516160204434564E-4</v>
      </c>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row>
    <row r="35" spans="1:50" ht="12.6" customHeight="1" x14ac:dyDescent="0.2">
      <c r="A35" s="1541"/>
      <c r="B35" s="130" t="s">
        <v>137</v>
      </c>
      <c r="C35" s="374" t="s">
        <v>290</v>
      </c>
      <c r="D35" s="418" t="str">
        <f>IF(GETPIVOTDATA("Total-Old",'Distrib pivot table'!$C$2,"group","2c3")/GETPIVOTDATA("Total-Old",'Distrib pivot table'!$C$2)=0,,IF(GETPIVOTDATA("Total-Old",'Distrib pivot table'!$C$2,"group","2c3")/GETPIVOTDATA("Total-Old",'Distrib pivot table'!$C$2)&gt;0.0005,GETPIVOTDATA("Total-Old",'Distrib pivot table'!$C$2,"group","2c3")/GETPIVOTDATA("Total-Old",'Distrib pivot table'!$C$2),"*"))</f>
        <v>*</v>
      </c>
      <c r="E35" s="418">
        <f>IF((GETPIVOTDATA("Total-Old",'Distrib pivot table'!$C$2,"state","AL","group","2c3")/GETPIVOTDATA("Total-Old",'Distrib pivot table'!$C$2,"state","AL"))=0,,IF(GETPIVOTDATA("Total-Old",'Distrib pivot table'!$C$2,"state","AL","group","2c3")/GETPIVOTDATA("Total-Old",'Distrib pivot table'!$C$2,"state","AL")&gt;0.0005,GETPIVOTDATA("Total-Old",'Distrib pivot table'!$C$2,"state","AL","group","2c3")/GETPIVOTDATA("Total-Old",'Distrib pivot table'!$C$2,"state","AL"),"*"))</f>
        <v>0</v>
      </c>
      <c r="F35" s="418">
        <f>IF((GETPIVOTDATA("Total-Old",'Distrib pivot table'!$C$2,"state","AR","group","2c3")/GETPIVOTDATA("Total-Old",'Distrib pivot table'!$C$2,"state","AR"))=0,,IF(GETPIVOTDATA("Total-Old",'Distrib pivot table'!$C$2,"state","AR","group","2c3")/GETPIVOTDATA("Total-Old",'Distrib pivot table'!$C$2,"state","AR")&gt;0.0005,GETPIVOTDATA("Total-Old",'Distrib pivot table'!$C$2,"state","AR","group","2c3")/GETPIVOTDATA("Total-Old",'Distrib pivot table'!$C$2,"state","AR"),"*"))</f>
        <v>0</v>
      </c>
      <c r="G35" s="418">
        <f>IF((GETPIVOTDATA("Total-Old",'Distrib pivot table'!$C$2,"state","DE","group","2c3")/GETPIVOTDATA("Total-Old",'Distrib pivot table'!$C$2,"state","DE"))=0,,IF(GETPIVOTDATA("Total-Old",'Distrib pivot table'!$C$2,"state","DE","group","2c3")/GETPIVOTDATA("Total-Old",'Distrib pivot table'!$C$2,"state","DE")&gt;0.0005,GETPIVOTDATA("Total-Old",'Distrib pivot table'!$C$2,"state","DE","group","2c3")/GETPIVOTDATA("Total-Old",'Distrib pivot table'!$C$2,"state","DE"),"*"))</f>
        <v>0</v>
      </c>
      <c r="H35" s="418" t="str">
        <f>IF((GETPIVOTDATA("Total-Old",'Distrib pivot table'!$C$2,"state","FL","group","2c3")/GETPIVOTDATA("Total-Old",'Distrib pivot table'!$C$2,"state","FL"))=0,,IF(GETPIVOTDATA("Total-Old",'Distrib pivot table'!$C$2,"state","FL","group","2c3")/GETPIVOTDATA("Total-Old",'Distrib pivot table'!$C$2,"state","FL")&gt;0.0005,GETPIVOTDATA("Total-Old",'Distrib pivot table'!$C$2,"state","FL","group","2c3")/GETPIVOTDATA("Total-Old",'Distrib pivot table'!$C$2,"state","FL"),"*"))</f>
        <v>*</v>
      </c>
      <c r="I35" s="418">
        <f>IF((GETPIVOTDATA("Total-Old",'Distrib pivot table'!$C$2,"state","GA","group","2c3")/GETPIVOTDATA("Total-Old",'Distrib pivot table'!$C$2,"state","GA"))=0,,IF(GETPIVOTDATA("Total-Old",'Distrib pivot table'!$C$2,"state","GA","group","2c3")/GETPIVOTDATA("Total-Old",'Distrib pivot table'!$C$2,"state","GA")&gt;0.0005,GETPIVOTDATA("Total-Old",'Distrib pivot table'!$C$2,"state","GA","group","2c3")/GETPIVOTDATA("Total-Old",'Distrib pivot table'!$C$2,"state","GA"),"*"))</f>
        <v>5.7450269030664101E-4</v>
      </c>
      <c r="J35" s="418" t="str">
        <f>IF((GETPIVOTDATA("Total-Old",'Distrib pivot table'!$C$2,"state","KY","group","2c3")/GETPIVOTDATA("Total-Old",'Distrib pivot table'!$C$2,"state","KY"))=0,,IF(GETPIVOTDATA("Total-Old",'Distrib pivot table'!$C$2,"state","KY","group","2c3")/GETPIVOTDATA("Total-Old",'Distrib pivot table'!$C$2,"state","KY")&gt;0.0005,GETPIVOTDATA("Total-Old",'Distrib pivot table'!$C$2,"state","KY","group","2c3")/GETPIVOTDATA("Total-Old",'Distrib pivot table'!$C$2,"state","KY"),"*"))</f>
        <v>*</v>
      </c>
      <c r="K35" s="418">
        <f>IF((GETPIVOTDATA("Total-Old",'Distrib pivot table'!$C$2,"state","LA","group","2c3")/GETPIVOTDATA("Total-Old",'Distrib pivot table'!$C$2,"state","LA"))=0,,IF(GETPIVOTDATA("Total-Old",'Distrib pivot table'!$C$2,"state","LA","group","2c3")/GETPIVOTDATA("Total-Old",'Distrib pivot table'!$C$2,"state","LA")&gt;0.0005,GETPIVOTDATA("Total-Old",'Distrib pivot table'!$C$2,"state","LA","group","2c3")/GETPIVOTDATA("Total-Old",'Distrib pivot table'!$C$2,"state","LA"),"*"))</f>
        <v>0</v>
      </c>
      <c r="L35" s="418">
        <f>IF((GETPIVOTDATA("Total-Old",'Distrib pivot table'!$C$2,"state","MD","group","2c3")/GETPIVOTDATA("Total-Old",'Distrib pivot table'!$C$2,"state","MD"))=0,,IF(GETPIVOTDATA("Total-Old",'Distrib pivot table'!$C$2,"state","MD","group","2c3")/GETPIVOTDATA("Total-Old",'Distrib pivot table'!$C$2,"state","MD")&gt;0.0005,GETPIVOTDATA("Total-Old",'Distrib pivot table'!$C$2,"state","MD","group","2c3")/GETPIVOTDATA("Total-Old",'Distrib pivot table'!$C$2,"state","MD"),"*"))</f>
        <v>0</v>
      </c>
      <c r="M35" s="418">
        <f>IF((GETPIVOTDATA("Total-Old",'Distrib pivot table'!$C$2,"state","MS","group","2c3")/GETPIVOTDATA("Total-Old",'Distrib pivot table'!$C$2,"state","MS"))=0,,IF(GETPIVOTDATA("Total-Old",'Distrib pivot table'!$C$2,"state","MS","group","2c3")/GETPIVOTDATA("Total-Old",'Distrib pivot table'!$C$2,"state","MS")&gt;0.0005,GETPIVOTDATA("Total-Old",'Distrib pivot table'!$C$2,"state","MS","group","2c3")/GETPIVOTDATA("Total-Old",'Distrib pivot table'!$C$2,"state","MS"),"*"))</f>
        <v>0</v>
      </c>
      <c r="N35" s="418">
        <f>IF((GETPIVOTDATA("Total-Old",'Distrib pivot table'!$C$2,"state","NC","group","2c3")/GETPIVOTDATA("Total-Old",'Distrib pivot table'!$C$2,"state","NC"))=0,,IF(GETPIVOTDATA("Total-Old",'Distrib pivot table'!$C$2,"state","NC","group","2c3")/GETPIVOTDATA("Total-Old",'Distrib pivot table'!$C$2,"state","NC")&gt;0.0005,GETPIVOTDATA("Total-Old",'Distrib pivot table'!$C$2,"state","NC","group","2c3")/GETPIVOTDATA("Total-Old",'Distrib pivot table'!$C$2,"state","NC"),"*"))</f>
        <v>0</v>
      </c>
      <c r="O35" s="418">
        <f>IF((GETPIVOTDATA("Total-Old",'Distrib pivot table'!$C$2,"state","OK","group","2c3")/GETPIVOTDATA("Total-Old",'Distrib pivot table'!$C$2,"state","OK"))=0,,IF(GETPIVOTDATA("Total-Old",'Distrib pivot table'!$C$2,"state","OK","group","2c3")/GETPIVOTDATA("Total-Old",'Distrib pivot table'!$C$2,"state","OK")&gt;0.0005,GETPIVOTDATA("Total-Old",'Distrib pivot table'!$C$2,"state","OK","group","2c3")/GETPIVOTDATA("Total-Old",'Distrib pivot table'!$C$2,"state","OK"),"*"))</f>
        <v>0</v>
      </c>
      <c r="P35" s="418" t="str">
        <f>IF((GETPIVOTDATA("Total-Old",'Distrib pivot table'!$C$2,"state","SC","group","2c3")/GETPIVOTDATA("Total-Old",'Distrib pivot table'!$C$2,"state","SC"))=0,,IF(GETPIVOTDATA("Total-Old",'Distrib pivot table'!$C$2,"state","SC","group","2c3")/GETPIVOTDATA("Total-Old",'Distrib pivot table'!$C$2,"state","SC")&gt;0.0005,GETPIVOTDATA("Total-Old",'Distrib pivot table'!$C$2,"state","SC","group","2c3")/GETPIVOTDATA("Total-Old",'Distrib pivot table'!$C$2,"state","SC"),"*"))</f>
        <v>*</v>
      </c>
      <c r="Q35" s="418">
        <f>IF((GETPIVOTDATA("Total-Old",'Distrib pivot table'!$C$2,"state","TN","group","2c3")/GETPIVOTDATA("Total-Old",'Distrib pivot table'!$C$2,"state","TN"))=0,,IF(GETPIVOTDATA("Total-Old",'Distrib pivot table'!$C$2,"state","TN","group","2c3")/GETPIVOTDATA("Total-Old",'Distrib pivot table'!$C$2,"state","TN")&gt;0.0005,GETPIVOTDATA("Total-Old",'Distrib pivot table'!$C$2,"state","TN","group","2c3")/GETPIVOTDATA("Total-Old",'Distrib pivot table'!$C$2,"state","TN"),"*"))</f>
        <v>0</v>
      </c>
      <c r="R35" s="418">
        <f>IF((GETPIVOTDATA("Total-Old",'Distrib pivot table'!$C$2,"state","TX","group","2c3")/GETPIVOTDATA("Total-Old",'Distrib pivot table'!$C$2,"state","TX"))=0,,IF(GETPIVOTDATA("Total-Old",'Distrib pivot table'!$C$2,"state","TX","group","2c3")/GETPIVOTDATA("Total-Old",'Distrib pivot table'!$C$2,"state","TX")&gt;0.0005,GETPIVOTDATA("Total-Old",'Distrib pivot table'!$C$2,"state","TX","group","2c3")/GETPIVOTDATA("Total-Old",'Distrib pivot table'!$C$2,"state","TX"),"*"))</f>
        <v>0</v>
      </c>
      <c r="S35" s="418" t="str">
        <f>IF((GETPIVOTDATA("Total-Old",'Distrib pivot table'!$C$2,"state","VA","group","2c3")/GETPIVOTDATA("Total-Old",'Distrib pivot table'!$C$2,"state","VA"))=0,,IF(GETPIVOTDATA("Total-Old",'Distrib pivot table'!$C$2,"state","VA","group","2c3")/GETPIVOTDATA("Total-Old",'Distrib pivot table'!$C$2,"state","VA")&gt;0.0005,GETPIVOTDATA("Total-Old",'Distrib pivot table'!$C$2,"state","VA","group","2c3")/GETPIVOTDATA("Total-Old",'Distrib pivot table'!$C$2,"state","VA"),"*"))</f>
        <v>*</v>
      </c>
      <c r="T35" s="418" t="str">
        <f>IF((GETPIVOTDATA("Total-Old",'Distrib pivot table'!$C$2,"state","WV","group","2c3")/GETPIVOTDATA("Total-Old",'Distrib pivot table'!$C$2,"state","WV"))=0,,IF(GETPIVOTDATA("Total-Old",'Distrib pivot table'!$C$2,"state","WV","group","2c3")/GETPIVOTDATA("Total-Old",'Distrib pivot table'!$C$2,"state","WV")&gt;0.0005,GETPIVOTDATA("Total-Old",'Distrib pivot table'!$C$2,"state","WV","group","2c3")/GETPIVOTDATA("Total-Old",'Distrib pivot table'!$C$2,"state","WV"),"*"))</f>
        <v>*</v>
      </c>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row>
    <row r="36" spans="1:50" s="45" customFormat="1" ht="24" x14ac:dyDescent="0.2">
      <c r="A36" s="1541"/>
      <c r="B36" s="126" t="s">
        <v>94</v>
      </c>
      <c r="C36" s="375" t="s">
        <v>291</v>
      </c>
      <c r="D36" s="419">
        <f>SUM(D37:D51)</f>
        <v>5.9793375505000898E-2</v>
      </c>
      <c r="E36" s="419">
        <f>SUM(E37:E51)</f>
        <v>1.5047771628637368E-2</v>
      </c>
      <c r="F36" s="419">
        <f t="shared" ref="F36:T36" si="5">SUM(F37:F51)</f>
        <v>8.9756461851252828E-2</v>
      </c>
      <c r="G36" s="419">
        <f t="shared" si="5"/>
        <v>5.4749256814021615E-3</v>
      </c>
      <c r="H36" s="419">
        <f t="shared" si="5"/>
        <v>9.1599022540691591E-2</v>
      </c>
      <c r="I36" s="419">
        <f t="shared" si="5"/>
        <v>8.7198958719203593E-2</v>
      </c>
      <c r="J36" s="419">
        <f t="shared" si="5"/>
        <v>7.0569462921796597E-2</v>
      </c>
      <c r="K36" s="419">
        <f t="shared" si="5"/>
        <v>0.10136485798889688</v>
      </c>
      <c r="L36" s="419">
        <f t="shared" si="5"/>
        <v>2.6922079118786676E-2</v>
      </c>
      <c r="M36" s="419">
        <f t="shared" si="5"/>
        <v>1.7060948190383181E-2</v>
      </c>
      <c r="N36" s="419">
        <f t="shared" si="5"/>
        <v>4.6631818415133322E-2</v>
      </c>
      <c r="O36" s="419">
        <f t="shared" si="5"/>
        <v>4.0179086597890469E-2</v>
      </c>
      <c r="P36" s="419">
        <f t="shared" si="5"/>
        <v>0.11918115019564979</v>
      </c>
      <c r="Q36" s="419">
        <f t="shared" si="5"/>
        <v>0.13214027798605926</v>
      </c>
      <c r="R36" s="419">
        <f t="shared" si="5"/>
        <v>3.1079711404291225E-2</v>
      </c>
      <c r="S36" s="419">
        <f t="shared" si="5"/>
        <v>5.2356546932178033E-2</v>
      </c>
      <c r="T36" s="419">
        <f t="shared" si="5"/>
        <v>7.6988575548037785E-2</v>
      </c>
      <c r="U36" s="27"/>
      <c r="V36" s="27"/>
      <c r="W36" s="27"/>
      <c r="X36" s="27"/>
      <c r="Y36" s="27"/>
      <c r="Z36" s="27"/>
      <c r="AA36" s="27"/>
      <c r="AB36" s="27"/>
      <c r="AC36" s="27"/>
      <c r="AD36" s="27"/>
      <c r="AE36" s="27"/>
      <c r="AF36" s="27"/>
      <c r="AG36" s="27"/>
      <c r="AH36" s="27"/>
      <c r="AI36" s="27"/>
      <c r="AJ36" s="27"/>
      <c r="AK36" s="27"/>
      <c r="AL36" s="27"/>
      <c r="AM36" s="27"/>
      <c r="AN36" s="27"/>
      <c r="AO36" s="27"/>
      <c r="AP36" s="27"/>
      <c r="AQ36" s="27"/>
      <c r="AR36" s="27"/>
      <c r="AS36" s="27"/>
      <c r="AT36" s="27"/>
      <c r="AU36" s="27"/>
      <c r="AV36" s="27"/>
      <c r="AW36" s="27"/>
      <c r="AX36" s="27"/>
    </row>
    <row r="37" spans="1:50" ht="12.6" customHeight="1" x14ac:dyDescent="0.2">
      <c r="A37" s="1541"/>
      <c r="B37" s="127" t="s">
        <v>52</v>
      </c>
      <c r="C37" s="374" t="s">
        <v>292</v>
      </c>
      <c r="D37" s="418">
        <f>IF(GETPIVOTDATA("Total-Old",'Distrib pivot table'!$C$2,"group","2d1")/GETPIVOTDATA("Total-Old",'Distrib pivot table'!$C$2)=0,,IF(GETPIVOTDATA("Total-Old",'Distrib pivot table'!$C$2,"group","2d1")/GETPIVOTDATA("Total-Old",'Distrib pivot table'!$C$2)&gt;0.0005,GETPIVOTDATA("Total-Old",'Distrib pivot table'!$C$2,"group","2d1")/GETPIVOTDATA("Total-Old",'Distrib pivot table'!$C$2),"*"))</f>
        <v>7.4723406475182101E-3</v>
      </c>
      <c r="E37" s="418">
        <f>IF((GETPIVOTDATA("Total-Old",'Distrib pivot table'!$C$2,"state","AL","group","2d1")/GETPIVOTDATA("Total-Old",'Distrib pivot table'!$C$2,"state","AL"))=0,,IF(GETPIVOTDATA("Total-Old",'Distrib pivot table'!$C$2,"state","AL","group","2d1")/GETPIVOTDATA("Total-Old",'Distrib pivot table'!$C$2,"state","AL")&gt;0.0005,GETPIVOTDATA("Total-Old",'Distrib pivot table'!$C$2,"state","AL","group","2d1")/GETPIVOTDATA("Total-Old",'Distrib pivot table'!$C$2,"state","AL"),"*"))</f>
        <v>0</v>
      </c>
      <c r="F37" s="418">
        <f>IF((GETPIVOTDATA("Total-Old",'Distrib pivot table'!$C$2,"state","AR","group","2d1")/GETPIVOTDATA("Total-Old",'Distrib pivot table'!$C$2,"state","AR"))=0,,IF(GETPIVOTDATA("Total-Old",'Distrib pivot table'!$C$2,"state","AR","group","2d1")/GETPIVOTDATA("Total-Old",'Distrib pivot table'!$C$2,"state","AR")&gt;0.0005,GETPIVOTDATA("Total-Old",'Distrib pivot table'!$C$2,"state","AR","group","2d1")/GETPIVOTDATA("Total-Old",'Distrib pivot table'!$C$2,"state","AR"),"*"))</f>
        <v>0</v>
      </c>
      <c r="G37" s="418">
        <f>IF((GETPIVOTDATA("Total-Old",'Distrib pivot table'!$C$2,"state","DE","group","2d1")/GETPIVOTDATA("Total-Old",'Distrib pivot table'!$C$2,"state","DE"))=0,,IF(GETPIVOTDATA("Total-Old",'Distrib pivot table'!$C$2,"state","DE","group","2d1")/GETPIVOTDATA("Total-Old",'Distrib pivot table'!$C$2,"state","DE")&gt;0.0005,GETPIVOTDATA("Total-Old",'Distrib pivot table'!$C$2,"state","DE","group","2d1")/GETPIVOTDATA("Total-Old",'Distrib pivot table'!$C$2,"state","DE"),"*"))</f>
        <v>1.8870576761734761E-3</v>
      </c>
      <c r="H37" s="418">
        <f>IF((GETPIVOTDATA("Total-Old",'Distrib pivot table'!$C$2,"state","FL","group","2d1")/GETPIVOTDATA("Total-Old",'Distrib pivot table'!$C$2,"state","FL"))=0,,IF(GETPIVOTDATA("Total-Old",'Distrib pivot table'!$C$2,"state","FL","group","2d1")/GETPIVOTDATA("Total-Old",'Distrib pivot table'!$C$2,"state","FL")&gt;0.0005,GETPIVOTDATA("Total-Old",'Distrib pivot table'!$C$2,"state","FL","group","2d1")/GETPIVOTDATA("Total-Old",'Distrib pivot table'!$C$2,"state","FL"),"*"))</f>
        <v>0</v>
      </c>
      <c r="I37" s="418">
        <f>IF((GETPIVOTDATA("Total-Old",'Distrib pivot table'!$C$2,"state","GA","group","2d1")/GETPIVOTDATA("Total-Old",'Distrib pivot table'!$C$2,"state","GA"))=0,,IF(GETPIVOTDATA("Total-Old",'Distrib pivot table'!$C$2,"state","GA","group","2d1")/GETPIVOTDATA("Total-Old",'Distrib pivot table'!$C$2,"state","GA")&gt;0.0005,GETPIVOTDATA("Total-Old",'Distrib pivot table'!$C$2,"state","GA","group","2d1")/GETPIVOTDATA("Total-Old",'Distrib pivot table'!$C$2,"state","GA"),"*"))</f>
        <v>0</v>
      </c>
      <c r="J37" s="418">
        <f>IF((GETPIVOTDATA("Total-Old",'Distrib pivot table'!$C$2,"state","KY","group","2d1")/GETPIVOTDATA("Total-Old",'Distrib pivot table'!$C$2,"state","KY"))=0,,IF(GETPIVOTDATA("Total-Old",'Distrib pivot table'!$C$2,"state","KY","group","2d1")/GETPIVOTDATA("Total-Old",'Distrib pivot table'!$C$2,"state","KY")&gt;0.0005,GETPIVOTDATA("Total-Old",'Distrib pivot table'!$C$2,"state","KY","group","2d1")/GETPIVOTDATA("Total-Old",'Distrib pivot table'!$C$2,"state","KY"),"*"))</f>
        <v>0</v>
      </c>
      <c r="K37" s="418">
        <f>IF((GETPIVOTDATA("Total-Old",'Distrib pivot table'!$C$2,"state","LA","group","2d1")/GETPIVOTDATA("Total-Old",'Distrib pivot table'!$C$2,"state","LA"))=0,,IF(GETPIVOTDATA("Total-Old",'Distrib pivot table'!$C$2,"state","LA","group","2d1")/GETPIVOTDATA("Total-Old",'Distrib pivot table'!$C$2,"state","LA")&gt;0.0005,GETPIVOTDATA("Total-Old",'Distrib pivot table'!$C$2,"state","LA","group","2d1")/GETPIVOTDATA("Total-Old",'Distrib pivot table'!$C$2,"state","LA"),"*"))</f>
        <v>0</v>
      </c>
      <c r="L37" s="418">
        <f>IF((GETPIVOTDATA("Total-Old",'Distrib pivot table'!$C$2,"state","MD","group","2d1")/GETPIVOTDATA("Total-Old",'Distrib pivot table'!$C$2,"state","MD"))=0,,IF(GETPIVOTDATA("Total-Old",'Distrib pivot table'!$C$2,"state","MD","group","2d1")/GETPIVOTDATA("Total-Old",'Distrib pivot table'!$C$2,"state","MD")&gt;0.0005,GETPIVOTDATA("Total-Old",'Distrib pivot table'!$C$2,"state","MD","group","2d1")/GETPIVOTDATA("Total-Old",'Distrib pivot table'!$C$2,"state","MD"),"*"))</f>
        <v>0</v>
      </c>
      <c r="M37" s="418">
        <f>IF((GETPIVOTDATA("Total-Old",'Distrib pivot table'!$C$2,"state","MS","group","2d1")/GETPIVOTDATA("Total-Old",'Distrib pivot table'!$C$2,"state","MS"))=0,,IF(GETPIVOTDATA("Total-Old",'Distrib pivot table'!$C$2,"state","MS","group","2d1")/GETPIVOTDATA("Total-Old",'Distrib pivot table'!$C$2,"state","MS")&gt;0.0005,GETPIVOTDATA("Total-Old",'Distrib pivot table'!$C$2,"state","MS","group","2d1")/GETPIVOTDATA("Total-Old",'Distrib pivot table'!$C$2,"state","MS"),"*"))</f>
        <v>0</v>
      </c>
      <c r="N37" s="418">
        <f>IF((GETPIVOTDATA("Total-Old",'Distrib pivot table'!$C$2,"state","NC","group","2d1")/GETPIVOTDATA("Total-Old",'Distrib pivot table'!$C$2,"state","NC"))=0,,IF(GETPIVOTDATA("Total-Old",'Distrib pivot table'!$C$2,"state","NC","group","2d1")/GETPIVOTDATA("Total-Old",'Distrib pivot table'!$C$2,"state","NC")&gt;0.0005,GETPIVOTDATA("Total-Old",'Distrib pivot table'!$C$2,"state","NC","group","2d1")/GETPIVOTDATA("Total-Old",'Distrib pivot table'!$C$2,"state","NC"),"*"))</f>
        <v>0</v>
      </c>
      <c r="O37" s="418">
        <f>IF((GETPIVOTDATA("Total-Old",'Distrib pivot table'!$C$2,"state","OK","group","2d1")/GETPIVOTDATA("Total-Old",'Distrib pivot table'!$C$2,"state","OK"))=0,,IF(GETPIVOTDATA("Total-Old",'Distrib pivot table'!$C$2,"state","OK","group","2d1")/GETPIVOTDATA("Total-Old",'Distrib pivot table'!$C$2,"state","OK")&gt;0.0005,GETPIVOTDATA("Total-Old",'Distrib pivot table'!$C$2,"state","OK","group","2d1")/GETPIVOTDATA("Total-Old",'Distrib pivot table'!$C$2,"state","OK"),"*"))</f>
        <v>3.8481606423176079E-2</v>
      </c>
      <c r="P37" s="418">
        <f>IF((GETPIVOTDATA("Total-Old",'Distrib pivot table'!$C$2,"state","SC","group","2d1")/GETPIVOTDATA("Total-Old",'Distrib pivot table'!$C$2,"state","SC"))=0,,IF(GETPIVOTDATA("Total-Old",'Distrib pivot table'!$C$2,"state","SC","group","2d1")/GETPIVOTDATA("Total-Old",'Distrib pivot table'!$C$2,"state","SC")&gt;0.0005,GETPIVOTDATA("Total-Old",'Distrib pivot table'!$C$2,"state","SC","group","2d1")/GETPIVOTDATA("Total-Old",'Distrib pivot table'!$C$2,"state","SC"),"*"))</f>
        <v>0</v>
      </c>
      <c r="Q37" s="418">
        <f>IF((GETPIVOTDATA("Total-Old",'Distrib pivot table'!$C$2,"state","TN","group","2d1")/GETPIVOTDATA("Total-Old",'Distrib pivot table'!$C$2,"state","TN"))=0,,IF(GETPIVOTDATA("Total-Old",'Distrib pivot table'!$C$2,"state","TN","group","2d1")/GETPIVOTDATA("Total-Old",'Distrib pivot table'!$C$2,"state","TN")&gt;0.0005,GETPIVOTDATA("Total-Old",'Distrib pivot table'!$C$2,"state","TN","group","2d1")/GETPIVOTDATA("Total-Old",'Distrib pivot table'!$C$2,"state","TN"),"*"))</f>
        <v>0</v>
      </c>
      <c r="R37" s="418">
        <f>IF((GETPIVOTDATA("Total-Old",'Distrib pivot table'!$C$2,"state","TX","group","2d1")/GETPIVOTDATA("Total-Old",'Distrib pivot table'!$C$2,"state","TX"))=0,,IF(GETPIVOTDATA("Total-Old",'Distrib pivot table'!$C$2,"state","TX","group","2d1")/GETPIVOTDATA("Total-Old",'Distrib pivot table'!$C$2,"state","TX")&gt;0.0005,GETPIVOTDATA("Total-Old",'Distrib pivot table'!$C$2,"state","TX","group","2d1")/GETPIVOTDATA("Total-Old",'Distrib pivot table'!$C$2,"state","TX"),"*"))</f>
        <v>2.9599200879290355E-2</v>
      </c>
      <c r="S37" s="418">
        <f>IF((GETPIVOTDATA("Total-Old",'Distrib pivot table'!$C$2,"state","VA","group","2d1")/GETPIVOTDATA("Total-Old",'Distrib pivot table'!$C$2,"state","VA"))=0,,IF(GETPIVOTDATA("Total-Old",'Distrib pivot table'!$C$2,"state","VA","group","2d1")/GETPIVOTDATA("Total-Old",'Distrib pivot table'!$C$2,"state","VA")&gt;0.0005,GETPIVOTDATA("Total-Old",'Distrib pivot table'!$C$2,"state","VA","group","2d1")/GETPIVOTDATA("Total-Old",'Distrib pivot table'!$C$2,"state","VA"),"*"))</f>
        <v>0</v>
      </c>
      <c r="T37" s="418">
        <f>IF((GETPIVOTDATA("Total-Old",'Distrib pivot table'!$C$2,"state","WV","group","2d1")/GETPIVOTDATA("Total-Old",'Distrib pivot table'!$C$2,"state","WV"))=0,,IF(GETPIVOTDATA("Total-Old",'Distrib pivot table'!$C$2,"state","WV","group","2d1")/GETPIVOTDATA("Total-Old",'Distrib pivot table'!$C$2,"state","WV")&gt;0.0005,GETPIVOTDATA("Total-Old",'Distrib pivot table'!$C$2,"state","WV","group","2d1")/GETPIVOTDATA("Total-Old",'Distrib pivot table'!$C$2,"state","WV"),"*"))</f>
        <v>0</v>
      </c>
      <c r="U37" s="3"/>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row>
    <row r="38" spans="1:50" ht="12.6" customHeight="1" x14ac:dyDescent="0.2">
      <c r="A38" s="1541"/>
      <c r="B38" s="127" t="s">
        <v>311</v>
      </c>
      <c r="C38" s="374" t="s">
        <v>310</v>
      </c>
      <c r="D38" s="418" t="str">
        <f>IF(GETPIVOTDATA("Total-Old",'Distrib pivot table'!$C$2,"group","2d1a")/GETPIVOTDATA("Total-Old",'Distrib pivot table'!$C$2)=0,,IF(GETPIVOTDATA("Total-Old",'Distrib pivot table'!$C$2,"group","2d1a")/GETPIVOTDATA("Total-Old",'Distrib pivot table'!$C$2)&gt;0.0005,GETPIVOTDATA("Total-Old",'Distrib pivot table'!$C$2,"group","2d1a")/GETPIVOTDATA("Total-Old",'Distrib pivot table'!$C$2),"*"))</f>
        <v>*</v>
      </c>
      <c r="E38" s="418" t="str">
        <f>IF((GETPIVOTDATA("Total-Old",'Distrib pivot table'!$C$2,"state","AL","group","2d1a")/GETPIVOTDATA("Total-Old",'Distrib pivot table'!$C$2,"state","AL"))=0,,IF(GETPIVOTDATA("Total-Old",'Distrib pivot table'!$C$2,"state","AL","group","2d1a")/GETPIVOTDATA("Total-Old",'Distrib pivot table'!$C$2,"state","AL")&gt;0.0005,GETPIVOTDATA("Total-Old",'Distrib pivot table'!$C$2,"state","AL","group","2d1a")/GETPIVOTDATA("Total-Old",'Distrib pivot table'!$C$2,"state","AL"),"*"))</f>
        <v>*</v>
      </c>
      <c r="F38" s="418">
        <f>IF((GETPIVOTDATA("Total-Old",'Distrib pivot table'!$C$2,"state","AR","group","2d1a")/GETPIVOTDATA("Total-Old",'Distrib pivot table'!$C$2,"state","AR"))=0,,IF(GETPIVOTDATA("Total-Old",'Distrib pivot table'!$C$2,"state","AR","group","2d1a")/GETPIVOTDATA("Total-Old",'Distrib pivot table'!$C$2,"state","AR")&gt;0.0005,GETPIVOTDATA("Total-Old",'Distrib pivot table'!$C$2,"state","AR","group","2d1a")/GETPIVOTDATA("Total-Old",'Distrib pivot table'!$C$2,"state","AR"),"*"))</f>
        <v>0</v>
      </c>
      <c r="G38" s="418" t="str">
        <f>IF((GETPIVOTDATA("Total-Old",'Distrib pivot table'!$C$2,"state","DE","group","2d1a")/GETPIVOTDATA("Total-Old",'Distrib pivot table'!$C$2,"state","DE"))=0,,IF(GETPIVOTDATA("Total-Old",'Distrib pivot table'!$C$2,"state","DE","group","2d1a")/GETPIVOTDATA("Total-Old",'Distrib pivot table'!$C$2,"state","DE")&gt;0.0005,GETPIVOTDATA("Total-Old",'Distrib pivot table'!$C$2,"state","DE","group","2d1a")/GETPIVOTDATA("Total-Old",'Distrib pivot table'!$C$2,"state","DE"),"*"))</f>
        <v>*</v>
      </c>
      <c r="H38" s="418">
        <f>IF((GETPIVOTDATA("Total-Old",'Distrib pivot table'!$C$2,"state","FL","group","2d1a")/GETPIVOTDATA("Total-Old",'Distrib pivot table'!$C$2,"state","FL"))=0,,IF(GETPIVOTDATA("Total-Old",'Distrib pivot table'!$C$2,"state","FL","group","2d1a")/GETPIVOTDATA("Total-Old",'Distrib pivot table'!$C$2,"state","FL")&gt;0.0005,GETPIVOTDATA("Total-Old",'Distrib pivot table'!$C$2,"state","FL","group","2d1a")/GETPIVOTDATA("Total-Old",'Distrib pivot table'!$C$2,"state","FL"),"*"))</f>
        <v>1.4373920309284417E-3</v>
      </c>
      <c r="I38" s="418">
        <f>IF((GETPIVOTDATA("Total-Old",'Distrib pivot table'!$C$2,"state","GA","group","2d1a")/GETPIVOTDATA("Total-Old",'Distrib pivot table'!$C$2,"state","GA"))=0,,IF(GETPIVOTDATA("Total-Old",'Distrib pivot table'!$C$2,"state","GA","group","2d1a")/GETPIVOTDATA("Total-Old",'Distrib pivot table'!$C$2,"state","GA")&gt;0.0005,GETPIVOTDATA("Total-Old",'Distrib pivot table'!$C$2,"state","GA","group","2d1a")/GETPIVOTDATA("Total-Old",'Distrib pivot table'!$C$2,"state","GA"),"*"))</f>
        <v>0</v>
      </c>
      <c r="J38" s="418">
        <f>IF((GETPIVOTDATA("Total-Old",'Distrib pivot table'!$C$2,"state","KY","group","2d1a")/GETPIVOTDATA("Total-Old",'Distrib pivot table'!$C$2,"state","KY"))=0,,IF(GETPIVOTDATA("Total-Old",'Distrib pivot table'!$C$2,"state","KY","group","2d1a")/GETPIVOTDATA("Total-Old",'Distrib pivot table'!$C$2,"state","KY")&gt;0.0005,GETPIVOTDATA("Total-Old",'Distrib pivot table'!$C$2,"state","KY","group","2d1a")/GETPIVOTDATA("Total-Old",'Distrib pivot table'!$C$2,"state","KY"),"*"))</f>
        <v>0</v>
      </c>
      <c r="K38" s="418">
        <f>IF((GETPIVOTDATA("Total-Old",'Distrib pivot table'!$C$2,"state","LA","group","2d1a")/GETPIVOTDATA("Total-Old",'Distrib pivot table'!$C$2,"state","LA"))=0,,IF(GETPIVOTDATA("Total-Old",'Distrib pivot table'!$C$2,"state","LA","group","2d1a")/GETPIVOTDATA("Total-Old",'Distrib pivot table'!$C$2,"state","LA")&gt;0.0005,GETPIVOTDATA("Total-Old",'Distrib pivot table'!$C$2,"state","LA","group","2d1a")/GETPIVOTDATA("Total-Old",'Distrib pivot table'!$C$2,"state","LA"),"*"))</f>
        <v>0</v>
      </c>
      <c r="L38" s="418">
        <f>IF((GETPIVOTDATA("Total-Old",'Distrib pivot table'!$C$2,"state","MD","group","2d1a")/GETPIVOTDATA("Total-Old",'Distrib pivot table'!$C$2,"state","MD"))=0,,IF(GETPIVOTDATA("Total-Old",'Distrib pivot table'!$C$2,"state","MD","group","2d1a")/GETPIVOTDATA("Total-Old",'Distrib pivot table'!$C$2,"state","MD")&gt;0.0005,GETPIVOTDATA("Total-Old",'Distrib pivot table'!$C$2,"state","MD","group","2d1a")/GETPIVOTDATA("Total-Old",'Distrib pivot table'!$C$2,"state","MD"),"*"))</f>
        <v>0</v>
      </c>
      <c r="M38" s="418">
        <f>IF((GETPIVOTDATA("Total-Old",'Distrib pivot table'!$C$2,"state","MS","group","2d1a")/GETPIVOTDATA("Total-Old",'Distrib pivot table'!$C$2,"state","MS"))=0,,IF(GETPIVOTDATA("Total-Old",'Distrib pivot table'!$C$2,"state","MS","group","2d1a")/GETPIVOTDATA("Total-Old",'Distrib pivot table'!$C$2,"state","MS")&gt;0.0005,GETPIVOTDATA("Total-Old",'Distrib pivot table'!$C$2,"state","MS","group","2d1a")/GETPIVOTDATA("Total-Old",'Distrib pivot table'!$C$2,"state","MS"),"*"))</f>
        <v>0</v>
      </c>
      <c r="N38" s="418">
        <f>IF((GETPIVOTDATA("Total-Old",'Distrib pivot table'!$C$2,"state","NC","group","2d1a")/GETPIVOTDATA("Total-Old",'Distrib pivot table'!$C$2,"state","NC"))=0,,IF(GETPIVOTDATA("Total-Old",'Distrib pivot table'!$C$2,"state","NC","group","2d1a")/GETPIVOTDATA("Total-Old",'Distrib pivot table'!$C$2,"state","NC")&gt;0.0005,GETPIVOTDATA("Total-Old",'Distrib pivot table'!$C$2,"state","NC","group","2d1a")/GETPIVOTDATA("Total-Old",'Distrib pivot table'!$C$2,"state","NC"),"*"))</f>
        <v>0</v>
      </c>
      <c r="O38" s="418">
        <f>IF((GETPIVOTDATA("Total-Old",'Distrib pivot table'!$C$2,"state","OK","group","2d1a")/GETPIVOTDATA("Total-Old",'Distrib pivot table'!$C$2,"state","OK"))=0,,IF(GETPIVOTDATA("Total-Old",'Distrib pivot table'!$C$2,"state","OK","group","2d1a")/GETPIVOTDATA("Total-Old",'Distrib pivot table'!$C$2,"state","OK")&gt;0.0005,GETPIVOTDATA("Total-Old",'Distrib pivot table'!$C$2,"state","OK","group","2d1a")/GETPIVOTDATA("Total-Old",'Distrib pivot table'!$C$2,"state","OK"),"*"))</f>
        <v>0</v>
      </c>
      <c r="P38" s="418">
        <f>IF((GETPIVOTDATA("Total-Old",'Distrib pivot table'!$C$2,"state","SC","group","2d1a")/GETPIVOTDATA("Total-Old",'Distrib pivot table'!$C$2,"state","SC"))=0,,IF(GETPIVOTDATA("Total-Old",'Distrib pivot table'!$C$2,"state","SC","group","2d1a")/GETPIVOTDATA("Total-Old",'Distrib pivot table'!$C$2,"state","SC")&gt;0.0005,GETPIVOTDATA("Total-Old",'Distrib pivot table'!$C$2,"state","SC","group","2d1a")/GETPIVOTDATA("Total-Old",'Distrib pivot table'!$C$2,"state","SC"),"*"))</f>
        <v>0</v>
      </c>
      <c r="Q38" s="418">
        <f>IF((GETPIVOTDATA("Total-Old",'Distrib pivot table'!$C$2,"state","TN","group","2d1a")/GETPIVOTDATA("Total-Old",'Distrib pivot table'!$C$2,"state","TN"))=0,,IF(GETPIVOTDATA("Total-Old",'Distrib pivot table'!$C$2,"state","TN","group","2d1a")/GETPIVOTDATA("Total-Old",'Distrib pivot table'!$C$2,"state","TN")&gt;0.0005,GETPIVOTDATA("Total-Old",'Distrib pivot table'!$C$2,"state","TN","group","2d1a")/GETPIVOTDATA("Total-Old",'Distrib pivot table'!$C$2,"state","TN"),"*"))</f>
        <v>0</v>
      </c>
      <c r="R38" s="418">
        <f>IF((GETPIVOTDATA("Total-Old",'Distrib pivot table'!$C$2,"state","TX","group","2d1a")/GETPIVOTDATA("Total-Old",'Distrib pivot table'!$C$2,"state","TX"))=0,,IF(GETPIVOTDATA("Total-Old",'Distrib pivot table'!$C$2,"state","TX","group","2d1a")/GETPIVOTDATA("Total-Old",'Distrib pivot table'!$C$2,"state","TX")&gt;0.0005,GETPIVOTDATA("Total-Old",'Distrib pivot table'!$C$2,"state","TX","group","2d1a")/GETPIVOTDATA("Total-Old",'Distrib pivot table'!$C$2,"state","TX"),"*"))</f>
        <v>0</v>
      </c>
      <c r="S38" s="418">
        <f>IF((GETPIVOTDATA("Total-Old",'Distrib pivot table'!$C$2,"state","VA","group","2d1a")/GETPIVOTDATA("Total-Old",'Distrib pivot table'!$C$2,"state","VA"))=0,,IF(GETPIVOTDATA("Total-Old",'Distrib pivot table'!$C$2,"state","VA","group","2d1a")/GETPIVOTDATA("Total-Old",'Distrib pivot table'!$C$2,"state","VA")&gt;0.0005,GETPIVOTDATA("Total-Old",'Distrib pivot table'!$C$2,"state","VA","group","2d1a")/GETPIVOTDATA("Total-Old",'Distrib pivot table'!$C$2,"state","VA"),"*"))</f>
        <v>0</v>
      </c>
      <c r="T38" s="418">
        <f>IF((GETPIVOTDATA("Total-Old",'Distrib pivot table'!$C$2,"state","WV","group","2d1a")/GETPIVOTDATA("Total-Old",'Distrib pivot table'!$C$2,"state","WV"))=0,,IF(GETPIVOTDATA("Total-Old",'Distrib pivot table'!$C$2,"state","WV","group","2d1a")/GETPIVOTDATA("Total-Old",'Distrib pivot table'!$C$2,"state","WV")&gt;0.0005,GETPIVOTDATA("Total-Old",'Distrib pivot table'!$C$2,"state","WV","group","2d1a")/GETPIVOTDATA("Total-Old",'Distrib pivot table'!$C$2,"state","WV"),"*"))</f>
        <v>0</v>
      </c>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row>
    <row r="39" spans="1:50" ht="12.6" customHeight="1" x14ac:dyDescent="0.2">
      <c r="A39" s="1541"/>
      <c r="B39" s="127" t="s">
        <v>249</v>
      </c>
      <c r="C39" s="374" t="s">
        <v>251</v>
      </c>
      <c r="D39" s="418">
        <f>IF(GETPIVOTDATA("Total-Old",'Distrib pivot table'!$C$2,"group","2d1b")/GETPIVOTDATA("Total-Old",'Distrib pivot table'!$C$2)=0,,IF(GETPIVOTDATA("Total-Old",'Distrib pivot table'!$C$2,"group","2d1b")/GETPIVOTDATA("Total-Old",'Distrib pivot table'!$C$2)&gt;0.0005,GETPIVOTDATA("Total-Old",'Distrib pivot table'!$C$2,"group","2d1b")/GETPIVOTDATA("Total-Old",'Distrib pivot table'!$C$2),"*"))</f>
        <v>6.5256519641140008E-3</v>
      </c>
      <c r="E39" s="418" t="str">
        <f>IF((GETPIVOTDATA("Total-Old",'Distrib pivot table'!$C$2,"state","AL","group","2d1b")/GETPIVOTDATA("Total-Old",'Distrib pivot table'!$C$2,"state","AL"))=0,,IF(GETPIVOTDATA("Total-Old",'Distrib pivot table'!$C$2,"state","AL","group","2d1b")/GETPIVOTDATA("Total-Old",'Distrib pivot table'!$C$2,"state","AL")&gt;0.0005,GETPIVOTDATA("Total-Old",'Distrib pivot table'!$C$2,"state","AL","group","2d1b")/GETPIVOTDATA("Total-Old",'Distrib pivot table'!$C$2,"state","AL"),"*"))</f>
        <v>*</v>
      </c>
      <c r="F39" s="418" t="str">
        <f>IF((GETPIVOTDATA("Total-Old",'Distrib pivot table'!$C$2,"state","AR","group","2d1b")/GETPIVOTDATA("Total-Old",'Distrib pivot table'!$C$2,"state","AR"))=0,,IF(GETPIVOTDATA("Total-Old",'Distrib pivot table'!$C$2,"state","AR","group","2d1b")/GETPIVOTDATA("Total-Old",'Distrib pivot table'!$C$2,"state","AR")&gt;0.0005,GETPIVOTDATA("Total-Old",'Distrib pivot table'!$C$2,"state","AR","group","2d1b")/GETPIVOTDATA("Total-Old",'Distrib pivot table'!$C$2,"state","AR"),"*"))</f>
        <v>*</v>
      </c>
      <c r="G39" s="418">
        <f>IF((GETPIVOTDATA("Total-Old",'Distrib pivot table'!$C$2,"state","DE","group","2d1b")/GETPIVOTDATA("Total-Old",'Distrib pivot table'!$C$2,"state","DE"))=0,,IF(GETPIVOTDATA("Total-Old",'Distrib pivot table'!$C$2,"state","DE","group","2d1b")/GETPIVOTDATA("Total-Old",'Distrib pivot table'!$C$2,"state","DE")&gt;0.0005,GETPIVOTDATA("Total-Old",'Distrib pivot table'!$C$2,"state","DE","group","2d1b")/GETPIVOTDATA("Total-Old",'Distrib pivot table'!$C$2,"state","DE"),"*"))</f>
        <v>1.6457726501900745E-3</v>
      </c>
      <c r="H39" s="418">
        <f>IF((GETPIVOTDATA("Total-Old",'Distrib pivot table'!$C$2,"state","FL","group","2d1b")/GETPIVOTDATA("Total-Old",'Distrib pivot table'!$C$2,"state","FL"))=0,,IF(GETPIVOTDATA("Total-Old",'Distrib pivot table'!$C$2,"state","FL","group","2d1b")/GETPIVOTDATA("Total-Old",'Distrib pivot table'!$C$2,"state","FL")&gt;0.0005,GETPIVOTDATA("Total-Old",'Distrib pivot table'!$C$2,"state","FL","group","2d1b")/GETPIVOTDATA("Total-Old",'Distrib pivot table'!$C$2,"state","FL"),"*"))</f>
        <v>5.5415819266040681E-2</v>
      </c>
      <c r="I39" s="418">
        <f>IF((GETPIVOTDATA("Total-Old",'Distrib pivot table'!$C$2,"state","GA","group","2d1b")/GETPIVOTDATA("Total-Old",'Distrib pivot table'!$C$2,"state","GA"))=0,,IF(GETPIVOTDATA("Total-Old",'Distrib pivot table'!$C$2,"state","GA","group","2d1b")/GETPIVOTDATA("Total-Old",'Distrib pivot table'!$C$2,"state","GA")&gt;0.0005,GETPIVOTDATA("Total-Old",'Distrib pivot table'!$C$2,"state","GA","group","2d1b")/GETPIVOTDATA("Total-Old",'Distrib pivot table'!$C$2,"state","GA"),"*"))</f>
        <v>0</v>
      </c>
      <c r="J39" s="418">
        <f>IF((GETPIVOTDATA("Total-Old",'Distrib pivot table'!$C$2,"state","KY","group","2d1b")/GETPIVOTDATA("Total-Old",'Distrib pivot table'!$C$2,"state","KY"))=0,,IF(GETPIVOTDATA("Total-Old",'Distrib pivot table'!$C$2,"state","KY","group","2d1b")/GETPIVOTDATA("Total-Old",'Distrib pivot table'!$C$2,"state","KY")&gt;0.0005,GETPIVOTDATA("Total-Old",'Distrib pivot table'!$C$2,"state","KY","group","2d1b")/GETPIVOTDATA("Total-Old",'Distrib pivot table'!$C$2,"state","KY"),"*"))</f>
        <v>0</v>
      </c>
      <c r="K39" s="418">
        <f>IF((GETPIVOTDATA("Total-Old",'Distrib pivot table'!$C$2,"state","LA","group","2d1b")/GETPIVOTDATA("Total-Old",'Distrib pivot table'!$C$2,"state","LA"))=0,,IF(GETPIVOTDATA("Total-Old",'Distrib pivot table'!$C$2,"state","LA","group","2d1b")/GETPIVOTDATA("Total-Old",'Distrib pivot table'!$C$2,"state","LA")&gt;0.0005,GETPIVOTDATA("Total-Old",'Distrib pivot table'!$C$2,"state","LA","group","2d1b")/GETPIVOTDATA("Total-Old",'Distrib pivot table'!$C$2,"state","LA"),"*"))</f>
        <v>0</v>
      </c>
      <c r="L39" s="418">
        <f>IF((GETPIVOTDATA("Total-Old",'Distrib pivot table'!$C$2,"state","MD","group","2d1b")/GETPIVOTDATA("Total-Old",'Distrib pivot table'!$C$2,"state","MD"))=0,,IF(GETPIVOTDATA("Total-Old",'Distrib pivot table'!$C$2,"state","MD","group","2d1b")/GETPIVOTDATA("Total-Old",'Distrib pivot table'!$C$2,"state","MD")&gt;0.0005,GETPIVOTDATA("Total-Old",'Distrib pivot table'!$C$2,"state","MD","group","2d1b")/GETPIVOTDATA("Total-Old",'Distrib pivot table'!$C$2,"state","MD"),"*"))</f>
        <v>0</v>
      </c>
      <c r="M39" s="418" t="str">
        <f>IF((GETPIVOTDATA("Total-Old",'Distrib pivot table'!$C$2,"state","MS","group","2d1b")/GETPIVOTDATA("Total-Old",'Distrib pivot table'!$C$2,"state","MS"))=0,,IF(GETPIVOTDATA("Total-Old",'Distrib pivot table'!$C$2,"state","MS","group","2d1b")/GETPIVOTDATA("Total-Old",'Distrib pivot table'!$C$2,"state","MS")&gt;0.0005,GETPIVOTDATA("Total-Old",'Distrib pivot table'!$C$2,"state","MS","group","2d1b")/GETPIVOTDATA("Total-Old",'Distrib pivot table'!$C$2,"state","MS"),"*"))</f>
        <v>*</v>
      </c>
      <c r="N39" s="418">
        <f>IF((GETPIVOTDATA("Total-Old",'Distrib pivot table'!$C$2,"state","NC","group","2d1b")/GETPIVOTDATA("Total-Old",'Distrib pivot table'!$C$2,"state","NC"))=0,,IF(GETPIVOTDATA("Total-Old",'Distrib pivot table'!$C$2,"state","NC","group","2d1b")/GETPIVOTDATA("Total-Old",'Distrib pivot table'!$C$2,"state","NC")&gt;0.0005,GETPIVOTDATA("Total-Old",'Distrib pivot table'!$C$2,"state","NC","group","2d1b")/GETPIVOTDATA("Total-Old",'Distrib pivot table'!$C$2,"state","NC"),"*"))</f>
        <v>4.0425368264446742E-3</v>
      </c>
      <c r="O39" s="418">
        <f>IF((GETPIVOTDATA("Total-Old",'Distrib pivot table'!$C$2,"state","OK","group","2d1b")/GETPIVOTDATA("Total-Old",'Distrib pivot table'!$C$2,"state","OK"))=0,,IF(GETPIVOTDATA("Total-Old",'Distrib pivot table'!$C$2,"state","OK","group","2d1b")/GETPIVOTDATA("Total-Old",'Distrib pivot table'!$C$2,"state","OK")&gt;0.0005,GETPIVOTDATA("Total-Old",'Distrib pivot table'!$C$2,"state","OK","group","2d1b")/GETPIVOTDATA("Total-Old",'Distrib pivot table'!$C$2,"state","OK"),"*"))</f>
        <v>0</v>
      </c>
      <c r="P39" s="418">
        <f>IF((GETPIVOTDATA("Total-Old",'Distrib pivot table'!$C$2,"state","SC","group","2d1b")/GETPIVOTDATA("Total-Old",'Distrib pivot table'!$C$2,"state","SC"))=0,,IF(GETPIVOTDATA("Total-Old",'Distrib pivot table'!$C$2,"state","SC","group","2d1b")/GETPIVOTDATA("Total-Old",'Distrib pivot table'!$C$2,"state","SC")&gt;0.0005,GETPIVOTDATA("Total-Old",'Distrib pivot table'!$C$2,"state","SC","group","2d1b")/GETPIVOTDATA("Total-Old",'Distrib pivot table'!$C$2,"state","SC"),"*"))</f>
        <v>5.9974563475245584E-4</v>
      </c>
      <c r="Q39" s="418">
        <f>IF((GETPIVOTDATA("Total-Old",'Distrib pivot table'!$C$2,"state","TN","group","2d1b")/GETPIVOTDATA("Total-Old",'Distrib pivot table'!$C$2,"state","TN"))=0,,IF(GETPIVOTDATA("Total-Old",'Distrib pivot table'!$C$2,"state","TN","group","2d1b")/GETPIVOTDATA("Total-Old",'Distrib pivot table'!$C$2,"state","TN")&gt;0.0005,GETPIVOTDATA("Total-Old",'Distrib pivot table'!$C$2,"state","TN","group","2d1b")/GETPIVOTDATA("Total-Old",'Distrib pivot table'!$C$2,"state","TN"),"*"))</f>
        <v>0</v>
      </c>
      <c r="R39" s="418">
        <f>IF((GETPIVOTDATA("Total-Old",'Distrib pivot table'!$C$2,"state","TX","group","2d1b")/GETPIVOTDATA("Total-Old",'Distrib pivot table'!$C$2,"state","TX"))=0,,IF(GETPIVOTDATA("Total-Old",'Distrib pivot table'!$C$2,"state","TX","group","2d1b")/GETPIVOTDATA("Total-Old",'Distrib pivot table'!$C$2,"state","TX")&gt;0.0005,GETPIVOTDATA("Total-Old",'Distrib pivot table'!$C$2,"state","TX","group","2d1b")/GETPIVOTDATA("Total-Old",'Distrib pivot table'!$C$2,"state","TX"),"*"))</f>
        <v>1.4805105250008685E-3</v>
      </c>
      <c r="S39" s="418">
        <f>IF((GETPIVOTDATA("Total-Old",'Distrib pivot table'!$C$2,"state","VA","group","2d1b")/GETPIVOTDATA("Total-Old",'Distrib pivot table'!$C$2,"state","VA"))=0,,IF(GETPIVOTDATA("Total-Old",'Distrib pivot table'!$C$2,"state","VA","group","2d1b")/GETPIVOTDATA("Total-Old",'Distrib pivot table'!$C$2,"state","VA")&gt;0.0005,GETPIVOTDATA("Total-Old",'Distrib pivot table'!$C$2,"state","VA","group","2d1b")/GETPIVOTDATA("Total-Old",'Distrib pivot table'!$C$2,"state","VA"),"*"))</f>
        <v>0</v>
      </c>
      <c r="T39" s="418">
        <f>IF((GETPIVOTDATA("Total-Old",'Distrib pivot table'!$C$2,"state","WV","group","2d1b")/GETPIVOTDATA("Total-Old",'Distrib pivot table'!$C$2,"state","WV"))=0,,IF(GETPIVOTDATA("Total-Old",'Distrib pivot table'!$C$2,"state","WV","group","2d1b")/GETPIVOTDATA("Total-Old",'Distrib pivot table'!$C$2,"state","WV")&gt;0.0005,GETPIVOTDATA("Total-Old",'Distrib pivot table'!$C$2,"state","WV","group","2d1b")/GETPIVOTDATA("Total-Old",'Distrib pivot table'!$C$2,"state","WV"),"*"))</f>
        <v>0</v>
      </c>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row>
    <row r="40" spans="1:50" ht="12.6" customHeight="1" x14ac:dyDescent="0.2">
      <c r="A40" s="1541"/>
      <c r="B40" s="127" t="s">
        <v>250</v>
      </c>
      <c r="C40" s="374" t="s">
        <v>209</v>
      </c>
      <c r="D40" s="418" t="str">
        <f>IF(GETPIVOTDATA("Total-Old",'Distrib pivot table'!$C$2,"group","2d1c")/GETPIVOTDATA("Total-Old",'Distrib pivot table'!$C$2)=0,,IF(GETPIVOTDATA("Total-Old",'Distrib pivot table'!$C$2,"group","2d1c")/GETPIVOTDATA("Total-Old",'Distrib pivot table'!$C$2)&gt;0.0005,GETPIVOTDATA("Total-Old",'Distrib pivot table'!$C$2,"group","2d1c")/GETPIVOTDATA("Total-Old",'Distrib pivot table'!$C$2),"*"))</f>
        <v>*</v>
      </c>
      <c r="E40" s="418">
        <f>IF((GETPIVOTDATA("Total-Old",'Distrib pivot table'!$C$2,"state","AL","group","2d1c")/GETPIVOTDATA("Total-Old",'Distrib pivot table'!$C$2,"state","AL"))=0,,IF(GETPIVOTDATA("Total-Old",'Distrib pivot table'!$C$2,"state","AL","group","2d1c")/GETPIVOTDATA("Total-Old",'Distrib pivot table'!$C$2,"state","AL")&gt;0.0005,GETPIVOTDATA("Total-Old",'Distrib pivot table'!$C$2,"state","AL","group","2d1c")/GETPIVOTDATA("Total-Old",'Distrib pivot table'!$C$2,"state","AL"),"*"))</f>
        <v>0</v>
      </c>
      <c r="F40" s="418">
        <f>IF((GETPIVOTDATA("Total-Old",'Distrib pivot table'!$C$2,"state","AR","group","2d1c")/GETPIVOTDATA("Total-Old",'Distrib pivot table'!$C$2,"state","AR"))=0,,IF(GETPIVOTDATA("Total-Old",'Distrib pivot table'!$C$2,"state","AR","group","2d1c")/GETPIVOTDATA("Total-Old",'Distrib pivot table'!$C$2,"state","AR")&gt;0.0005,GETPIVOTDATA("Total-Old",'Distrib pivot table'!$C$2,"state","AR","group","2d1c")/GETPIVOTDATA("Total-Old",'Distrib pivot table'!$C$2,"state","AR"),"*"))</f>
        <v>0</v>
      </c>
      <c r="G40" s="418">
        <f>IF((GETPIVOTDATA("Total-Old",'Distrib pivot table'!$C$2,"state","DE","group","2d1c")/GETPIVOTDATA("Total-Old",'Distrib pivot table'!$C$2,"state","DE"))=0,,IF(GETPIVOTDATA("Total-Old",'Distrib pivot table'!$C$2,"state","DE","group","2d1c")/GETPIVOTDATA("Total-Old",'Distrib pivot table'!$C$2,"state","DE")&gt;0.0005,GETPIVOTDATA("Total-Old",'Distrib pivot table'!$C$2,"state","DE","group","2d1c")/GETPIVOTDATA("Total-Old",'Distrib pivot table'!$C$2,"state","DE"),"*"))</f>
        <v>0</v>
      </c>
      <c r="H40" s="418">
        <f>IF((GETPIVOTDATA("Total-Old",'Distrib pivot table'!$C$2,"state","FL","group","2d1c")/GETPIVOTDATA("Total-Old",'Distrib pivot table'!$C$2,"state","FL"))=0,,IF(GETPIVOTDATA("Total-Old",'Distrib pivot table'!$C$2,"state","FL","group","2d1c")/GETPIVOTDATA("Total-Old",'Distrib pivot table'!$C$2,"state","FL")&gt;0.0005,GETPIVOTDATA("Total-Old",'Distrib pivot table'!$C$2,"state","FL","group","2d1c")/GETPIVOTDATA("Total-Old",'Distrib pivot table'!$C$2,"state","FL"),"*"))</f>
        <v>0</v>
      </c>
      <c r="I40" s="418">
        <f>IF((GETPIVOTDATA("Total-Old",'Distrib pivot table'!$C$2,"state","GA","group","2d1c")/GETPIVOTDATA("Total-Old",'Distrib pivot table'!$C$2,"state","GA"))=0,,IF(GETPIVOTDATA("Total-Old",'Distrib pivot table'!$C$2,"state","GA","group","2d1c")/GETPIVOTDATA("Total-Old",'Distrib pivot table'!$C$2,"state","GA")&gt;0.0005,GETPIVOTDATA("Total-Old",'Distrib pivot table'!$C$2,"state","GA","group","2d1c")/GETPIVOTDATA("Total-Old",'Distrib pivot table'!$C$2,"state","GA"),"*"))</f>
        <v>0</v>
      </c>
      <c r="J40" s="418">
        <f>IF((GETPIVOTDATA("Total-Old",'Distrib pivot table'!$C$2,"state","KY","group","2d1c")/GETPIVOTDATA("Total-Old",'Distrib pivot table'!$C$2,"state","KY"))=0,,IF(GETPIVOTDATA("Total-Old",'Distrib pivot table'!$C$2,"state","KY","group","2d1c")/GETPIVOTDATA("Total-Old",'Distrib pivot table'!$C$2,"state","KY")&gt;0.0005,GETPIVOTDATA("Total-Old",'Distrib pivot table'!$C$2,"state","KY","group","2d1c")/GETPIVOTDATA("Total-Old",'Distrib pivot table'!$C$2,"state","KY"),"*"))</f>
        <v>0</v>
      </c>
      <c r="K40" s="418">
        <f>IF((GETPIVOTDATA("Total-Old",'Distrib pivot table'!$C$2,"state","LA","group","2d1c")/GETPIVOTDATA("Total-Old",'Distrib pivot table'!$C$2,"state","LA"))=0,,IF(GETPIVOTDATA("Total-Old",'Distrib pivot table'!$C$2,"state","LA","group","2d1c")/GETPIVOTDATA("Total-Old",'Distrib pivot table'!$C$2,"state","LA")&gt;0.0005,GETPIVOTDATA("Total-Old",'Distrib pivot table'!$C$2,"state","LA","group","2d1c")/GETPIVOTDATA("Total-Old",'Distrib pivot table'!$C$2,"state","LA"),"*"))</f>
        <v>0</v>
      </c>
      <c r="L40" s="418">
        <f>IF((GETPIVOTDATA("Total-Old",'Distrib pivot table'!$C$2,"state","MD","group","2d1c")/GETPIVOTDATA("Total-Old",'Distrib pivot table'!$C$2,"state","MD"))=0,,IF(GETPIVOTDATA("Total-Old",'Distrib pivot table'!$C$2,"state","MD","group","2d1c")/GETPIVOTDATA("Total-Old",'Distrib pivot table'!$C$2,"state","MD")&gt;0.0005,GETPIVOTDATA("Total-Old",'Distrib pivot table'!$C$2,"state","MD","group","2d1c")/GETPIVOTDATA("Total-Old",'Distrib pivot table'!$C$2,"state","MD"),"*"))</f>
        <v>0</v>
      </c>
      <c r="M40" s="418" t="str">
        <f>IF((GETPIVOTDATA("Total-Old",'Distrib pivot table'!$C$2,"state","MS","group","2d1c")/GETPIVOTDATA("Total-Old",'Distrib pivot table'!$C$2,"state","MS"))=0,,IF(GETPIVOTDATA("Total-Old",'Distrib pivot table'!$C$2,"state","MS","group","2d1c")/GETPIVOTDATA("Total-Old",'Distrib pivot table'!$C$2,"state","MS")&gt;0.0005,GETPIVOTDATA("Total-Old",'Distrib pivot table'!$C$2,"state","MS","group","2d1c")/GETPIVOTDATA("Total-Old",'Distrib pivot table'!$C$2,"state","MS"),"*"))</f>
        <v>*</v>
      </c>
      <c r="N40" s="418">
        <f>IF((GETPIVOTDATA("Total-Old",'Distrib pivot table'!$C$2,"state","NC","group","2d1c")/GETPIVOTDATA("Total-Old",'Distrib pivot table'!$C$2,"state","NC"))=0,,IF(GETPIVOTDATA("Total-Old",'Distrib pivot table'!$C$2,"state","NC","group","2d1c")/GETPIVOTDATA("Total-Old",'Distrib pivot table'!$C$2,"state","NC")&gt;0.0005,GETPIVOTDATA("Total-Old",'Distrib pivot table'!$C$2,"state","NC","group","2d1c")/GETPIVOTDATA("Total-Old",'Distrib pivot table'!$C$2,"state","NC"),"*"))</f>
        <v>0</v>
      </c>
      <c r="O40" s="418">
        <f>IF((GETPIVOTDATA("Total-Old",'Distrib pivot table'!$C$2,"state","OK","group","2d1c")/GETPIVOTDATA("Total-Old",'Distrib pivot table'!$C$2,"state","OK"))=0,,IF(GETPIVOTDATA("Total-Old",'Distrib pivot table'!$C$2,"state","OK","group","2d1c")/GETPIVOTDATA("Total-Old",'Distrib pivot table'!$C$2,"state","OK")&gt;0.0005,GETPIVOTDATA("Total-Old",'Distrib pivot table'!$C$2,"state","OK","group","2d1c")/GETPIVOTDATA("Total-Old",'Distrib pivot table'!$C$2,"state","OK"),"*"))</f>
        <v>0</v>
      </c>
      <c r="P40" s="418">
        <f>IF((GETPIVOTDATA("Total-Old",'Distrib pivot table'!$C$2,"state","SC","group","2d1c")/GETPIVOTDATA("Total-Old",'Distrib pivot table'!$C$2,"state","SC"))=0,,IF(GETPIVOTDATA("Total-Old",'Distrib pivot table'!$C$2,"state","SC","group","2d1c")/GETPIVOTDATA("Total-Old",'Distrib pivot table'!$C$2,"state","SC")&gt;0.0005,GETPIVOTDATA("Total-Old",'Distrib pivot table'!$C$2,"state","SC","group","2d1c")/GETPIVOTDATA("Total-Old",'Distrib pivot table'!$C$2,"state","SC"),"*"))</f>
        <v>0</v>
      </c>
      <c r="Q40" s="418">
        <f>IF((GETPIVOTDATA("Total-Old",'Distrib pivot table'!$C$2,"state","TN","group","2d1c")/GETPIVOTDATA("Total-Old",'Distrib pivot table'!$C$2,"state","TN"))=0,,IF(GETPIVOTDATA("Total-Old",'Distrib pivot table'!$C$2,"state","TN","group","2d1c")/GETPIVOTDATA("Total-Old",'Distrib pivot table'!$C$2,"state","TN")&gt;0.0005,GETPIVOTDATA("Total-Old",'Distrib pivot table'!$C$2,"state","TN","group","2d1c")/GETPIVOTDATA("Total-Old",'Distrib pivot table'!$C$2,"state","TN"),"*"))</f>
        <v>0</v>
      </c>
      <c r="R40" s="418">
        <f>IF((GETPIVOTDATA("Total-Old",'Distrib pivot table'!$C$2,"state","TX","group","2d1c")/GETPIVOTDATA("Total-Old",'Distrib pivot table'!$C$2,"state","TX"))=0,,IF(GETPIVOTDATA("Total-Old",'Distrib pivot table'!$C$2,"state","TX","group","2d1c")/GETPIVOTDATA("Total-Old",'Distrib pivot table'!$C$2,"state","TX")&gt;0.0005,GETPIVOTDATA("Total-Old",'Distrib pivot table'!$C$2,"state","TX","group","2d1c")/GETPIVOTDATA("Total-Old",'Distrib pivot table'!$C$2,"state","TX"),"*"))</f>
        <v>0</v>
      </c>
      <c r="S40" s="418">
        <f>IF((GETPIVOTDATA("Total-Old",'Distrib pivot table'!$C$2,"state","VA","group","2d1c")/GETPIVOTDATA("Total-Old",'Distrib pivot table'!$C$2,"state","VA"))=0,,IF(GETPIVOTDATA("Total-Old",'Distrib pivot table'!$C$2,"state","VA","group","2d1c")/GETPIVOTDATA("Total-Old",'Distrib pivot table'!$C$2,"state","VA")&gt;0.0005,GETPIVOTDATA("Total-Old",'Distrib pivot table'!$C$2,"state","VA","group","2d1c")/GETPIVOTDATA("Total-Old",'Distrib pivot table'!$C$2,"state","VA"),"*"))</f>
        <v>0</v>
      </c>
      <c r="T40" s="418">
        <f>IF((GETPIVOTDATA("Total-Old",'Distrib pivot table'!$C$2,"state","WV","group","2d1c")/GETPIVOTDATA("Total-Old",'Distrib pivot table'!$C$2,"state","WV"))=0,,IF(GETPIVOTDATA("Total-Old",'Distrib pivot table'!$C$2,"state","WV","group","2d1c")/GETPIVOTDATA("Total-Old",'Distrib pivot table'!$C$2,"state","WV")&gt;0.0005,GETPIVOTDATA("Total-Old",'Distrib pivot table'!$C$2,"state","WV","group","2d1c")/GETPIVOTDATA("Total-Old",'Distrib pivot table'!$C$2,"state","WV"),"*"))</f>
        <v>0</v>
      </c>
      <c r="U40" s="3"/>
      <c r="V40" s="3"/>
      <c r="W40" s="3"/>
      <c r="X40" s="3"/>
      <c r="Y40" s="3"/>
      <c r="Z40" s="3"/>
      <c r="AA40" s="3"/>
      <c r="AB40" s="3"/>
      <c r="AC40" s="3"/>
      <c r="AD40" s="3"/>
      <c r="AE40" s="3"/>
      <c r="AF40" s="3"/>
      <c r="AG40" s="3"/>
      <c r="AH40" s="3"/>
      <c r="AI40" s="3"/>
      <c r="AJ40" s="3"/>
      <c r="AK40" s="3"/>
      <c r="AL40" s="3"/>
      <c r="AM40" s="3"/>
      <c r="AN40" s="3"/>
      <c r="AO40" s="3"/>
      <c r="AP40" s="3"/>
      <c r="AQ40" s="3"/>
      <c r="AR40" s="3"/>
      <c r="AS40" s="3"/>
      <c r="AT40" s="3"/>
      <c r="AU40" s="3"/>
      <c r="AV40" s="3"/>
      <c r="AW40" s="3"/>
      <c r="AX40" s="3"/>
    </row>
    <row r="41" spans="1:50" ht="12.6" customHeight="1" x14ac:dyDescent="0.2">
      <c r="A41" s="1541"/>
      <c r="B41" s="127" t="s">
        <v>311</v>
      </c>
      <c r="C41" s="374" t="s">
        <v>210</v>
      </c>
      <c r="D41" s="418">
        <f>IF(GETPIVOTDATA("Total-Old",'Distrib pivot table'!$C$2,"group","2d1c1")/GETPIVOTDATA("Total-Old",'Distrib pivot table'!$C$2)=0,,IF(GETPIVOTDATA("Total-Old",'Distrib pivot table'!$C$2,"group","2d1c1")/GETPIVOTDATA("Total-Old",'Distrib pivot table'!$C$2)&gt;0.0005,GETPIVOTDATA("Total-Old",'Distrib pivot table'!$C$2,"group","2d1c1")/GETPIVOTDATA("Total-Old",'Distrib pivot table'!$C$2),"*"))</f>
        <v>5.9667688775309341E-3</v>
      </c>
      <c r="E41" s="418">
        <f>IF((GETPIVOTDATA("Total-Old",'Distrib pivot table'!$C$2,"state","AL","group","2d1c1")/GETPIVOTDATA("Total-Old",'Distrib pivot table'!$C$2,"state","AL"))=0,,IF(GETPIVOTDATA("Total-Old",'Distrib pivot table'!$C$2,"state","AL","group","2d1c1")/GETPIVOTDATA("Total-Old",'Distrib pivot table'!$C$2,"state","AL")&gt;0.0005,GETPIVOTDATA("Total-Old",'Distrib pivot table'!$C$2,"state","AL","group","2d1c1")/GETPIVOTDATA("Total-Old",'Distrib pivot table'!$C$2,"state","AL"),"*"))</f>
        <v>6.9621488376537123E-4</v>
      </c>
      <c r="F41" s="418">
        <f>IF((GETPIVOTDATA("Total-Old",'Distrib pivot table'!$C$2,"state","AR","group","2d1c1")/GETPIVOTDATA("Total-Old",'Distrib pivot table'!$C$2,"state","AR"))=0,,IF(GETPIVOTDATA("Total-Old",'Distrib pivot table'!$C$2,"state","AR","group","2d1c1")/GETPIVOTDATA("Total-Old",'Distrib pivot table'!$C$2,"state","AR")&gt;0.0005,GETPIVOTDATA("Total-Old",'Distrib pivot table'!$C$2,"state","AR","group","2d1c1")/GETPIVOTDATA("Total-Old",'Distrib pivot table'!$C$2,"state","AR"),"*"))</f>
        <v>5.2582325382252099E-3</v>
      </c>
      <c r="G41" s="418" t="str">
        <f>IF((GETPIVOTDATA("Total-Old",'Distrib pivot table'!$C$2,"state","DE","group","2d1c1")/GETPIVOTDATA("Total-Old",'Distrib pivot table'!$C$2,"state","DE"))=0,,IF(GETPIVOTDATA("Total-Old",'Distrib pivot table'!$C$2,"state","DE","group","2d1c1")/GETPIVOTDATA("Total-Old",'Distrib pivot table'!$C$2,"state","DE")&gt;0.0005,GETPIVOTDATA("Total-Old",'Distrib pivot table'!$C$2,"state","DE","group","2d1c1")/GETPIVOTDATA("Total-Old",'Distrib pivot table'!$C$2,"state","DE"),"*"))</f>
        <v>*</v>
      </c>
      <c r="H41" s="418">
        <f>IF((GETPIVOTDATA("Total-Old",'Distrib pivot table'!$C$2,"state","FL","group","2d1c1")/GETPIVOTDATA("Total-Old",'Distrib pivot table'!$C$2,"state","FL"))=0,,IF(GETPIVOTDATA("Total-Old",'Distrib pivot table'!$C$2,"state","FL","group","2d1c1")/GETPIVOTDATA("Total-Old",'Distrib pivot table'!$C$2,"state","FL")&gt;0.0005,GETPIVOTDATA("Total-Old",'Distrib pivot table'!$C$2,"state","FL","group","2d1c1")/GETPIVOTDATA("Total-Old",'Distrib pivot table'!$C$2,"state","FL"),"*"))</f>
        <v>0</v>
      </c>
      <c r="I41" s="418">
        <f>IF((GETPIVOTDATA("Total-Old",'Distrib pivot table'!$C$2,"state","GA","group","2d1c1")/GETPIVOTDATA("Total-Old",'Distrib pivot table'!$C$2,"state","GA"))=0,,IF(GETPIVOTDATA("Total-Old",'Distrib pivot table'!$C$2,"state","GA","group","2d1c1")/GETPIVOTDATA("Total-Old",'Distrib pivot table'!$C$2,"state","GA")&gt;0.0005,GETPIVOTDATA("Total-Old",'Distrib pivot table'!$C$2,"state","GA","group","2d1c1")/GETPIVOTDATA("Total-Old",'Distrib pivot table'!$C$2,"state","GA"),"*"))</f>
        <v>0</v>
      </c>
      <c r="J41" s="418">
        <f>IF((GETPIVOTDATA("Total-Old",'Distrib pivot table'!$C$2,"state","KY","group","2d1c1")/GETPIVOTDATA("Total-Old",'Distrib pivot table'!$C$2,"state","KY"))=0,,IF(GETPIVOTDATA("Total-Old",'Distrib pivot table'!$C$2,"state","KY","group","2d1c1")/GETPIVOTDATA("Total-Old",'Distrib pivot table'!$C$2,"state","KY")&gt;0.0005,GETPIVOTDATA("Total-Old",'Distrib pivot table'!$C$2,"state","KY","group","2d1c1")/GETPIVOTDATA("Total-Old",'Distrib pivot table'!$C$2,"state","KY"),"*"))</f>
        <v>1.5427619439463396E-2</v>
      </c>
      <c r="K41" s="418">
        <f>IF((GETPIVOTDATA("Total-Old",'Distrib pivot table'!$C$2,"state","LA","group","2d1c1")/GETPIVOTDATA("Total-Old",'Distrib pivot table'!$C$2,"state","LA"))=0,,IF(GETPIVOTDATA("Total-Old",'Distrib pivot table'!$C$2,"state","LA","group","2d1c1")/GETPIVOTDATA("Total-Old",'Distrib pivot table'!$C$2,"state","LA")&gt;0.0005,GETPIVOTDATA("Total-Old",'Distrib pivot table'!$C$2,"state","LA","group","2d1c1")/GETPIVOTDATA("Total-Old",'Distrib pivot table'!$C$2,"state","LA"),"*"))</f>
        <v>1.1118557120049737E-2</v>
      </c>
      <c r="L41" s="418">
        <f>IF((GETPIVOTDATA("Total-Old",'Distrib pivot table'!$C$2,"state","MD","group","2d1c1")/GETPIVOTDATA("Total-Old",'Distrib pivot table'!$C$2,"state","MD"))=0,,IF(GETPIVOTDATA("Total-Old",'Distrib pivot table'!$C$2,"state","MD","group","2d1c1")/GETPIVOTDATA("Total-Old",'Distrib pivot table'!$C$2,"state","MD")&gt;0.0005,GETPIVOTDATA("Total-Old",'Distrib pivot table'!$C$2,"state","MD","group","2d1c1")/GETPIVOTDATA("Total-Old",'Distrib pivot table'!$C$2,"state","MD"),"*"))</f>
        <v>1.9665887049419902E-2</v>
      </c>
      <c r="M41" s="418">
        <f>IF((GETPIVOTDATA("Total-Old",'Distrib pivot table'!$C$2,"state","MS","group","2d1c1")/GETPIVOTDATA("Total-Old",'Distrib pivot table'!$C$2,"state","MS"))=0,,IF(GETPIVOTDATA("Total-Old",'Distrib pivot table'!$C$2,"state","MS","group","2d1c1")/GETPIVOTDATA("Total-Old",'Distrib pivot table'!$C$2,"state","MS")&gt;0.0005,GETPIVOTDATA("Total-Old",'Distrib pivot table'!$C$2,"state","MS","group","2d1c1")/GETPIVOTDATA("Total-Old",'Distrib pivot table'!$C$2,"state","MS"),"*"))</f>
        <v>3.7345214031863192E-3</v>
      </c>
      <c r="N41" s="418">
        <f>IF((GETPIVOTDATA("Total-Old",'Distrib pivot table'!$C$2,"state","NC","group","2d1c1")/GETPIVOTDATA("Total-Old",'Distrib pivot table'!$C$2,"state","NC"))=0,,IF(GETPIVOTDATA("Total-Old",'Distrib pivot table'!$C$2,"state","NC","group","2d1c1")/GETPIVOTDATA("Total-Old",'Distrib pivot table'!$C$2,"state","NC")&gt;0.0005,GETPIVOTDATA("Total-Old",'Distrib pivot table'!$C$2,"state","NC","group","2d1c1")/GETPIVOTDATA("Total-Old",'Distrib pivot table'!$C$2,"state","NC"),"*"))</f>
        <v>0</v>
      </c>
      <c r="O41" s="418">
        <f>IF((GETPIVOTDATA("Total-Old",'Distrib pivot table'!$C$2,"state","OK","group","2d1c1")/GETPIVOTDATA("Total-Old",'Distrib pivot table'!$C$2,"state","OK"))=0,,IF(GETPIVOTDATA("Total-Old",'Distrib pivot table'!$C$2,"state","OK","group","2d1c1")/GETPIVOTDATA("Total-Old",'Distrib pivot table'!$C$2,"state","OK")&gt;0.0005,GETPIVOTDATA("Total-Old",'Distrib pivot table'!$C$2,"state","OK","group","2d1c1")/GETPIVOTDATA("Total-Old",'Distrib pivot table'!$C$2,"state","OK"),"*"))</f>
        <v>0</v>
      </c>
      <c r="P41" s="418">
        <f>IF((GETPIVOTDATA("Total-Old",'Distrib pivot table'!$C$2,"state","SC","group","2d1c1")/GETPIVOTDATA("Total-Old",'Distrib pivot table'!$C$2,"state","SC"))=0,,IF(GETPIVOTDATA("Total-Old",'Distrib pivot table'!$C$2,"state","SC","group","2d1c1")/GETPIVOTDATA("Total-Old",'Distrib pivot table'!$C$2,"state","SC")&gt;0.0005,GETPIVOTDATA("Total-Old",'Distrib pivot table'!$C$2,"state","SC","group","2d1c1")/GETPIVOTDATA("Total-Old",'Distrib pivot table'!$C$2,"state","SC"),"*"))</f>
        <v>8.1021927415867809E-3</v>
      </c>
      <c r="Q41" s="418">
        <f>IF((GETPIVOTDATA("Total-Old",'Distrib pivot table'!$C$2,"state","TN","group","2d1c1")/GETPIVOTDATA("Total-Old",'Distrib pivot table'!$C$2,"state","TN"))=0,,IF(GETPIVOTDATA("Total-Old",'Distrib pivot table'!$C$2,"state","TN","group","2d1c1")/GETPIVOTDATA("Total-Old",'Distrib pivot table'!$C$2,"state","TN")&gt;0.0005,GETPIVOTDATA("Total-Old",'Distrib pivot table'!$C$2,"state","TN","group","2d1c1")/GETPIVOTDATA("Total-Old",'Distrib pivot table'!$C$2,"state","TN"),"*"))</f>
        <v>4.2460258856438796E-2</v>
      </c>
      <c r="R41" s="418">
        <f>IF((GETPIVOTDATA("Total-Old",'Distrib pivot table'!$C$2,"state","TX","group","2d1c1")/GETPIVOTDATA("Total-Old",'Distrib pivot table'!$C$2,"state","TX"))=0,,IF(GETPIVOTDATA("Total-Old",'Distrib pivot table'!$C$2,"state","TX","group","2d1c1")/GETPIVOTDATA("Total-Old",'Distrib pivot table'!$C$2,"state","TX")&gt;0.0005,GETPIVOTDATA("Total-Old",'Distrib pivot table'!$C$2,"state","TX","group","2d1c1")/GETPIVOTDATA("Total-Old",'Distrib pivot table'!$C$2,"state","TX"),"*"))</f>
        <v>0</v>
      </c>
      <c r="S41" s="418">
        <f>IF((GETPIVOTDATA("Total-Old",'Distrib pivot table'!$C$2,"state","VA","group","2d1c1")/GETPIVOTDATA("Total-Old",'Distrib pivot table'!$C$2,"state","VA"))=0,,IF(GETPIVOTDATA("Total-Old",'Distrib pivot table'!$C$2,"state","VA","group","2d1c1")/GETPIVOTDATA("Total-Old",'Distrib pivot table'!$C$2,"state","VA")&gt;0.0005,GETPIVOTDATA("Total-Old",'Distrib pivot table'!$C$2,"state","VA","group","2d1c1")/GETPIVOTDATA("Total-Old",'Distrib pivot table'!$C$2,"state","VA"),"*"))</f>
        <v>7.4975503234187859E-4</v>
      </c>
      <c r="T41" s="418">
        <f>IF((GETPIVOTDATA("Total-Old",'Distrib pivot table'!$C$2,"state","WV","group","2d1c1")/GETPIVOTDATA("Total-Old",'Distrib pivot table'!$C$2,"state","WV"))=0,,IF(GETPIVOTDATA("Total-Old",'Distrib pivot table'!$C$2,"state","WV","group","2d1c1")/GETPIVOTDATA("Total-Old",'Distrib pivot table'!$C$2,"state","WV")&gt;0.0005,GETPIVOTDATA("Total-Old",'Distrib pivot table'!$C$2,"state","WV","group","2d1c1")/GETPIVOTDATA("Total-Old",'Distrib pivot table'!$C$2,"state","WV"),"*"))</f>
        <v>3.153241404241694E-2</v>
      </c>
      <c r="U41" s="3"/>
      <c r="V41" s="3"/>
      <c r="W41" s="3"/>
      <c r="X41" s="3"/>
      <c r="Y41" s="3"/>
      <c r="Z41" s="3"/>
      <c r="AA41" s="3"/>
      <c r="AB41" s="3"/>
      <c r="AC41" s="3"/>
      <c r="AD41" s="3"/>
      <c r="AE41" s="3"/>
      <c r="AF41" s="3"/>
      <c r="AG41" s="3"/>
      <c r="AH41" s="3"/>
      <c r="AI41" s="3"/>
      <c r="AJ41" s="3"/>
      <c r="AK41" s="3"/>
      <c r="AL41" s="3"/>
      <c r="AM41" s="3"/>
      <c r="AN41" s="3"/>
      <c r="AO41" s="3"/>
      <c r="AP41" s="3"/>
      <c r="AQ41" s="3"/>
      <c r="AR41" s="3"/>
      <c r="AS41" s="3"/>
      <c r="AT41" s="3"/>
      <c r="AU41" s="3"/>
      <c r="AV41" s="3"/>
      <c r="AW41" s="3"/>
      <c r="AX41" s="3"/>
    </row>
    <row r="42" spans="1:50" ht="12.6" customHeight="1" x14ac:dyDescent="0.2">
      <c r="A42" s="1541"/>
      <c r="B42" s="127" t="s">
        <v>249</v>
      </c>
      <c r="C42" s="374" t="s">
        <v>204</v>
      </c>
      <c r="D42" s="418">
        <f>IF(GETPIVOTDATA("Total-Old",'Distrib pivot table'!$C$2,"group","2d1c2")/GETPIVOTDATA("Total-Old",'Distrib pivot table'!$C$2)=0,,IF(GETPIVOTDATA("Total-Old",'Distrib pivot table'!$C$2,"group","2d1c2")/GETPIVOTDATA("Total-Old",'Distrib pivot table'!$C$2)&gt;0.0005,GETPIVOTDATA("Total-Old",'Distrib pivot table'!$C$2,"group","2d1c2")/GETPIVOTDATA("Total-Old",'Distrib pivot table'!$C$2),"*"))</f>
        <v>1.5736995529919834E-2</v>
      </c>
      <c r="E42" s="418">
        <f>IF((GETPIVOTDATA("Total-Old",'Distrib pivot table'!$C$2,"state","AL","group","2d1c2")/GETPIVOTDATA("Total-Old",'Distrib pivot table'!$C$2,"state","AL"))=0,,IF(GETPIVOTDATA("Total-Old",'Distrib pivot table'!$C$2,"state","AL","group","2d1c2")/GETPIVOTDATA("Total-Old",'Distrib pivot table'!$C$2,"state","AL")&gt;0.0005,GETPIVOTDATA("Total-Old",'Distrib pivot table'!$C$2,"state","AL","group","2d1c2")/GETPIVOTDATA("Total-Old",'Distrib pivot table'!$C$2,"state","AL"),"*"))</f>
        <v>1.4351556744871997E-2</v>
      </c>
      <c r="F42" s="418">
        <f>IF((GETPIVOTDATA("Total-Old",'Distrib pivot table'!$C$2,"state","AR","group","2d1c2")/GETPIVOTDATA("Total-Old",'Distrib pivot table'!$C$2,"state","AR"))=0,,IF(GETPIVOTDATA("Total-Old",'Distrib pivot table'!$C$2,"state","AR","group","2d1c2")/GETPIVOTDATA("Total-Old",'Distrib pivot table'!$C$2,"state","AR")&gt;0.0005,GETPIVOTDATA("Total-Old",'Distrib pivot table'!$C$2,"state","AR","group","2d1c2")/GETPIVOTDATA("Total-Old",'Distrib pivot table'!$C$2,"state","AR"),"*"))</f>
        <v>7.4163107266683806E-2</v>
      </c>
      <c r="G42" s="418">
        <f>IF((GETPIVOTDATA("Total-Old",'Distrib pivot table'!$C$2,"state","DE","group","2d1c2")/GETPIVOTDATA("Total-Old",'Distrib pivot table'!$C$2,"state","DE"))=0,,IF(GETPIVOTDATA("Total-Old",'Distrib pivot table'!$C$2,"state","DE","group","2d1c2")/GETPIVOTDATA("Total-Old",'Distrib pivot table'!$C$2,"state","DE")&gt;0.0005,GETPIVOTDATA("Total-Old",'Distrib pivot table'!$C$2,"state","DE","group","2d1c2")/GETPIVOTDATA("Total-Old",'Distrib pivot table'!$C$2,"state","DE"),"*"))</f>
        <v>1.210669538046453E-3</v>
      </c>
      <c r="H42" s="418">
        <f>IF((GETPIVOTDATA("Total-Old",'Distrib pivot table'!$C$2,"state","FL","group","2d1c2")/GETPIVOTDATA("Total-Old",'Distrib pivot table'!$C$2,"state","FL"))=0,,IF(GETPIVOTDATA("Total-Old",'Distrib pivot table'!$C$2,"state","FL","group","2d1c2")/GETPIVOTDATA("Total-Old",'Distrib pivot table'!$C$2,"state","FL")&gt;0.0005,GETPIVOTDATA("Total-Old",'Distrib pivot table'!$C$2,"state","FL","group","2d1c2")/GETPIVOTDATA("Total-Old",'Distrib pivot table'!$C$2,"state","FL"),"*"))</f>
        <v>0</v>
      </c>
      <c r="I42" s="418" t="str">
        <f>IF((GETPIVOTDATA("Total-Old",'Distrib pivot table'!$C$2,"state","GA","group","2d1c2")/GETPIVOTDATA("Total-Old",'Distrib pivot table'!$C$2,"state","GA"))=0,,IF(GETPIVOTDATA("Total-Old",'Distrib pivot table'!$C$2,"state","GA","group","2d1c2")/GETPIVOTDATA("Total-Old",'Distrib pivot table'!$C$2,"state","GA")&gt;0.0005,GETPIVOTDATA("Total-Old",'Distrib pivot table'!$C$2,"state","GA","group","2d1c2")/GETPIVOTDATA("Total-Old",'Distrib pivot table'!$C$2,"state","GA"),"*"))</f>
        <v>*</v>
      </c>
      <c r="J42" s="418">
        <f>IF((GETPIVOTDATA("Total-Old",'Distrib pivot table'!$C$2,"state","KY","group","2d1c2")/GETPIVOTDATA("Total-Old",'Distrib pivot table'!$C$2,"state","KY"))=0,,IF(GETPIVOTDATA("Total-Old",'Distrib pivot table'!$C$2,"state","KY","group","2d1c2")/GETPIVOTDATA("Total-Old",'Distrib pivot table'!$C$2,"state","KY")&gt;0.0005,GETPIVOTDATA("Total-Old",'Distrib pivot table'!$C$2,"state","KY","group","2d1c2")/GETPIVOTDATA("Total-Old",'Distrib pivot table'!$C$2,"state","KY"),"*"))</f>
        <v>3.1173584949838445E-2</v>
      </c>
      <c r="K42" s="418">
        <f>IF((GETPIVOTDATA("Total-Old",'Distrib pivot table'!$C$2,"state","LA","group","2d1c2")/GETPIVOTDATA("Total-Old",'Distrib pivot table'!$C$2,"state","LA"))=0,,IF(GETPIVOTDATA("Total-Old",'Distrib pivot table'!$C$2,"state","LA","group","2d1c2")/GETPIVOTDATA("Total-Old",'Distrib pivot table'!$C$2,"state","LA")&gt;0.0005,GETPIVOTDATA("Total-Old",'Distrib pivot table'!$C$2,"state","LA","group","2d1c2")/GETPIVOTDATA("Total-Old",'Distrib pivot table'!$C$2,"state","LA"),"*"))</f>
        <v>8.2563012808376052E-2</v>
      </c>
      <c r="L42" s="418">
        <f>IF((GETPIVOTDATA("Total-Old",'Distrib pivot table'!$C$2,"state","MD","group","2d1c2")/GETPIVOTDATA("Total-Old",'Distrib pivot table'!$C$2,"state","MD"))=0,,IF(GETPIVOTDATA("Total-Old",'Distrib pivot table'!$C$2,"state","MD","group","2d1c2")/GETPIVOTDATA("Total-Old",'Distrib pivot table'!$C$2,"state","MD")&gt;0.0005,GETPIVOTDATA("Total-Old",'Distrib pivot table'!$C$2,"state","MD","group","2d1c2")/GETPIVOTDATA("Total-Old",'Distrib pivot table'!$C$2,"state","MD"),"*"))</f>
        <v>2.3331296286433424E-3</v>
      </c>
      <c r="M42" s="418">
        <f>IF((GETPIVOTDATA("Total-Old",'Distrib pivot table'!$C$2,"state","MS","group","2d1c2")/GETPIVOTDATA("Total-Old",'Distrib pivot table'!$C$2,"state","MS"))=0,,IF(GETPIVOTDATA("Total-Old",'Distrib pivot table'!$C$2,"state","MS","group","2d1c2")/GETPIVOTDATA("Total-Old",'Distrib pivot table'!$C$2,"state","MS")&gt;0.0005,GETPIVOTDATA("Total-Old",'Distrib pivot table'!$C$2,"state","MS","group","2d1c2")/GETPIVOTDATA("Total-Old",'Distrib pivot table'!$C$2,"state","MS"),"*"))</f>
        <v>7.0836552661100345E-3</v>
      </c>
      <c r="N42" s="418">
        <f>IF((GETPIVOTDATA("Total-Old",'Distrib pivot table'!$C$2,"state","NC","group","2d1c2")/GETPIVOTDATA("Total-Old",'Distrib pivot table'!$C$2,"state","NC"))=0,,IF(GETPIVOTDATA("Total-Old",'Distrib pivot table'!$C$2,"state","NC","group","2d1c2")/GETPIVOTDATA("Total-Old",'Distrib pivot table'!$C$2,"state","NC")&gt;0.0005,GETPIVOTDATA("Total-Old",'Distrib pivot table'!$C$2,"state","NC","group","2d1c2")/GETPIVOTDATA("Total-Old",'Distrib pivot table'!$C$2,"state","NC"),"*"))</f>
        <v>0</v>
      </c>
      <c r="O42" s="418">
        <f>IF((GETPIVOTDATA("Total-Old",'Distrib pivot table'!$C$2,"state","OK","group","2d1c2")/GETPIVOTDATA("Total-Old",'Distrib pivot table'!$C$2,"state","OK"))=0,,IF(GETPIVOTDATA("Total-Old",'Distrib pivot table'!$C$2,"state","OK","group","2d1c2")/GETPIVOTDATA("Total-Old",'Distrib pivot table'!$C$2,"state","OK")&gt;0.0005,GETPIVOTDATA("Total-Old",'Distrib pivot table'!$C$2,"state","OK","group","2d1c2")/GETPIVOTDATA("Total-Old",'Distrib pivot table'!$C$2,"state","OK"),"*"))</f>
        <v>0</v>
      </c>
      <c r="P42" s="418">
        <f>IF((GETPIVOTDATA("Total-Old",'Distrib pivot table'!$C$2,"state","SC","group","2d1c2")/GETPIVOTDATA("Total-Old",'Distrib pivot table'!$C$2,"state","SC"))=0,,IF(GETPIVOTDATA("Total-Old",'Distrib pivot table'!$C$2,"state","SC","group","2d1c2")/GETPIVOTDATA("Total-Old",'Distrib pivot table'!$C$2,"state","SC")&gt;0.0005,GETPIVOTDATA("Total-Old",'Distrib pivot table'!$C$2,"state","SC","group","2d1c2")/GETPIVOTDATA("Total-Old",'Distrib pivot table'!$C$2,"state","SC"),"*"))</f>
        <v>8.3318170352520593E-2</v>
      </c>
      <c r="Q42" s="418">
        <f>IF((GETPIVOTDATA("Total-Old",'Distrib pivot table'!$C$2,"state","TN","group","2d1c2")/GETPIVOTDATA("Total-Old",'Distrib pivot table'!$C$2,"state","TN"))=0,,IF(GETPIVOTDATA("Total-Old",'Distrib pivot table'!$C$2,"state","TN","group","2d1c2")/GETPIVOTDATA("Total-Old",'Distrib pivot table'!$C$2,"state","TN")&gt;0.0005,GETPIVOTDATA("Total-Old",'Distrib pivot table'!$C$2,"state","TN","group","2d1c2")/GETPIVOTDATA("Total-Old",'Distrib pivot table'!$C$2,"state","TN"),"*"))</f>
        <v>5.8884129886684247E-2</v>
      </c>
      <c r="R42" s="418">
        <f>IF((GETPIVOTDATA("Total-Old",'Distrib pivot table'!$C$2,"state","TX","group","2d1c2")/GETPIVOTDATA("Total-Old",'Distrib pivot table'!$C$2,"state","TX"))=0,,IF(GETPIVOTDATA("Total-Old",'Distrib pivot table'!$C$2,"state","TX","group","2d1c2")/GETPIVOTDATA("Total-Old",'Distrib pivot table'!$C$2,"state","TX")&gt;0.0005,GETPIVOTDATA("Total-Old",'Distrib pivot table'!$C$2,"state","TX","group","2d1c2")/GETPIVOTDATA("Total-Old",'Distrib pivot table'!$C$2,"state","TX"),"*"))</f>
        <v>0</v>
      </c>
      <c r="S42" s="418" t="str">
        <f>IF((GETPIVOTDATA("Total-Old",'Distrib pivot table'!$C$2,"state","VA","group","2d1c2")/GETPIVOTDATA("Total-Old",'Distrib pivot table'!$C$2,"state","VA"))=0,,IF(GETPIVOTDATA("Total-Old",'Distrib pivot table'!$C$2,"state","VA","group","2d1c2")/GETPIVOTDATA("Total-Old",'Distrib pivot table'!$C$2,"state","VA")&gt;0.0005,GETPIVOTDATA("Total-Old",'Distrib pivot table'!$C$2,"state","VA","group","2d1c2")/GETPIVOTDATA("Total-Old",'Distrib pivot table'!$C$2,"state","VA"),"*"))</f>
        <v>*</v>
      </c>
      <c r="T42" s="418">
        <f>IF((GETPIVOTDATA("Total-Old",'Distrib pivot table'!$C$2,"state","WV","group","2d1c2")/GETPIVOTDATA("Total-Old",'Distrib pivot table'!$C$2,"state","WV"))=0,,IF(GETPIVOTDATA("Total-Old",'Distrib pivot table'!$C$2,"state","WV","group","2d1c2")/GETPIVOTDATA("Total-Old",'Distrib pivot table'!$C$2,"state","WV")&gt;0.0005,GETPIVOTDATA("Total-Old",'Distrib pivot table'!$C$2,"state","WV","group","2d1c2")/GETPIVOTDATA("Total-Old",'Distrib pivot table'!$C$2,"state","WV"),"*"))</f>
        <v>3.6594459345063168E-2</v>
      </c>
      <c r="U42" s="3"/>
      <c r="V42" s="3"/>
      <c r="W42" s="3"/>
      <c r="X42" s="3"/>
      <c r="Y42" s="3"/>
      <c r="Z42" s="3"/>
      <c r="AA42" s="3"/>
      <c r="AB42" s="3"/>
      <c r="AC42" s="3"/>
      <c r="AD42" s="3"/>
      <c r="AE42" s="3"/>
      <c r="AF42" s="3"/>
      <c r="AG42" s="3"/>
      <c r="AH42" s="3"/>
      <c r="AI42" s="3"/>
      <c r="AJ42" s="3"/>
      <c r="AK42" s="3"/>
      <c r="AL42" s="3"/>
      <c r="AM42" s="3"/>
      <c r="AN42" s="3"/>
      <c r="AO42" s="3"/>
      <c r="AP42" s="3"/>
      <c r="AQ42" s="3"/>
      <c r="AR42" s="3"/>
      <c r="AS42" s="3"/>
      <c r="AT42" s="3"/>
      <c r="AU42" s="3"/>
      <c r="AV42" s="3"/>
      <c r="AW42" s="3"/>
      <c r="AX42" s="3"/>
    </row>
    <row r="43" spans="1:50" ht="12.6" customHeight="1" x14ac:dyDescent="0.2">
      <c r="A43" s="1541"/>
      <c r="B43" s="127" t="s">
        <v>222</v>
      </c>
      <c r="C43" s="374" t="s">
        <v>205</v>
      </c>
      <c r="D43" s="418">
        <f>IF(GETPIVOTDATA("Total-Old",'Distrib pivot table'!$C$2,"group","2d1d")/GETPIVOTDATA("Total-Old",'Distrib pivot table'!$C$2)=0,,IF(GETPIVOTDATA("Total-Old",'Distrib pivot table'!$C$2,"group","2d1d")/GETPIVOTDATA("Total-Old",'Distrib pivot table'!$C$2)&gt;0.0005,GETPIVOTDATA("Total-Old",'Distrib pivot table'!$C$2,"group","2d1d")/GETPIVOTDATA("Total-Old",'Distrib pivot table'!$C$2),"*"))</f>
        <v>0</v>
      </c>
      <c r="E43" s="418">
        <f>IF((GETPIVOTDATA("Total-Old",'Distrib pivot table'!$C$2,"state","AL","group","2d1d")/GETPIVOTDATA("Total-Old",'Distrib pivot table'!$C$2,"state","AL"))=0,,IF(GETPIVOTDATA("Total-Old",'Distrib pivot table'!$C$2,"state","AL","group","2d1d")/GETPIVOTDATA("Total-Old",'Distrib pivot table'!$C$2,"state","AL")&gt;0.0005,GETPIVOTDATA("Total-Old",'Distrib pivot table'!$C$2,"state","AL","group","2d1d")/GETPIVOTDATA("Total-Old",'Distrib pivot table'!$C$2,"state","AL"),"*"))</f>
        <v>0</v>
      </c>
      <c r="F43" s="418">
        <f>IF((GETPIVOTDATA("Total-Old",'Distrib pivot table'!$C$2,"state","AR","group","2d1d")/GETPIVOTDATA("Total-Old",'Distrib pivot table'!$C$2,"state","AR"))=0,,IF(GETPIVOTDATA("Total-Old",'Distrib pivot table'!$C$2,"state","AR","group","2d1d")/GETPIVOTDATA("Total-Old",'Distrib pivot table'!$C$2,"state","AR")&gt;0.0005,GETPIVOTDATA("Total-Old",'Distrib pivot table'!$C$2,"state","AR","group","2d1d")/GETPIVOTDATA("Total-Old",'Distrib pivot table'!$C$2,"state","AR"),"*"))</f>
        <v>0</v>
      </c>
      <c r="G43" s="418">
        <f>IF((GETPIVOTDATA("Total-Old",'Distrib pivot table'!$C$2,"state","DE","group","2d1d")/GETPIVOTDATA("Total-Old",'Distrib pivot table'!$C$2,"state","DE"))=0,,IF(GETPIVOTDATA("Total-Old",'Distrib pivot table'!$C$2,"state","DE","group","2d1d")/GETPIVOTDATA("Total-Old",'Distrib pivot table'!$C$2,"state","DE")&gt;0.0005,GETPIVOTDATA("Total-Old",'Distrib pivot table'!$C$2,"state","DE","group","2d1d")/GETPIVOTDATA("Total-Old",'Distrib pivot table'!$C$2,"state","DE"),"*"))</f>
        <v>0</v>
      </c>
      <c r="H43" s="418">
        <f>IF((GETPIVOTDATA("Total-Old",'Distrib pivot table'!$C$2,"state","FL","group","2d1d")/GETPIVOTDATA("Total-Old",'Distrib pivot table'!$C$2,"state","FL"))=0,,IF(GETPIVOTDATA("Total-Old",'Distrib pivot table'!$C$2,"state","FL","group","2d1d")/GETPIVOTDATA("Total-Old",'Distrib pivot table'!$C$2,"state","FL")&gt;0.0005,GETPIVOTDATA("Total-Old",'Distrib pivot table'!$C$2,"state","FL","group","2d1d")/GETPIVOTDATA("Total-Old",'Distrib pivot table'!$C$2,"state","FL"),"*"))</f>
        <v>0</v>
      </c>
      <c r="I43" s="418">
        <f>IF((GETPIVOTDATA("Total-Old",'Distrib pivot table'!$C$2,"state","GA","group","2d1d")/GETPIVOTDATA("Total-Old",'Distrib pivot table'!$C$2,"state","GA"))=0,,IF(GETPIVOTDATA("Total-Old",'Distrib pivot table'!$C$2,"state","GA","group","2d1d")/GETPIVOTDATA("Total-Old",'Distrib pivot table'!$C$2,"state","GA")&gt;0.0005,GETPIVOTDATA("Total-Old",'Distrib pivot table'!$C$2,"state","GA","group","2d1d")/GETPIVOTDATA("Total-Old",'Distrib pivot table'!$C$2,"state","GA"),"*"))</f>
        <v>0</v>
      </c>
      <c r="J43" s="418">
        <f>IF((GETPIVOTDATA("Total-Old",'Distrib pivot table'!$C$2,"state","KY","group","2d1d")/GETPIVOTDATA("Total-Old",'Distrib pivot table'!$C$2,"state","KY"))=0,,IF(GETPIVOTDATA("Total-Old",'Distrib pivot table'!$C$2,"state","KY","group","2d1d")/GETPIVOTDATA("Total-Old",'Distrib pivot table'!$C$2,"state","KY")&gt;0.0005,GETPIVOTDATA("Total-Old",'Distrib pivot table'!$C$2,"state","KY","group","2d1d")/GETPIVOTDATA("Total-Old",'Distrib pivot table'!$C$2,"state","KY"),"*"))</f>
        <v>0</v>
      </c>
      <c r="K43" s="418">
        <f>IF((GETPIVOTDATA("Total-Old",'Distrib pivot table'!$C$2,"state","LA","group","2d1d")/GETPIVOTDATA("Total-Old",'Distrib pivot table'!$C$2,"state","LA"))=0,,IF(GETPIVOTDATA("Total-Old",'Distrib pivot table'!$C$2,"state","LA","group","2d1d")/GETPIVOTDATA("Total-Old",'Distrib pivot table'!$C$2,"state","LA")&gt;0.0005,GETPIVOTDATA("Total-Old",'Distrib pivot table'!$C$2,"state","LA","group","2d1d")/GETPIVOTDATA("Total-Old",'Distrib pivot table'!$C$2,"state","LA"),"*"))</f>
        <v>0</v>
      </c>
      <c r="L43" s="418">
        <f>IF((GETPIVOTDATA("Total-Old",'Distrib pivot table'!$C$2,"state","MD","group","2d1d")/GETPIVOTDATA("Total-Old",'Distrib pivot table'!$C$2,"state","MD"))=0,,IF(GETPIVOTDATA("Total-Old",'Distrib pivot table'!$C$2,"state","MD","group","2d1d")/GETPIVOTDATA("Total-Old",'Distrib pivot table'!$C$2,"state","MD")&gt;0.0005,GETPIVOTDATA("Total-Old",'Distrib pivot table'!$C$2,"state","MD","group","2d1d")/GETPIVOTDATA("Total-Old",'Distrib pivot table'!$C$2,"state","MD"),"*"))</f>
        <v>0</v>
      </c>
      <c r="M43" s="418">
        <f>IF((GETPIVOTDATA("Total-Old",'Distrib pivot table'!$C$2,"state","MS","group","2d1d")/GETPIVOTDATA("Total-Old",'Distrib pivot table'!$C$2,"state","MS"))=0,,IF(GETPIVOTDATA("Total-Old",'Distrib pivot table'!$C$2,"state","MS","group","2d1d")/GETPIVOTDATA("Total-Old",'Distrib pivot table'!$C$2,"state","MS")&gt;0.0005,GETPIVOTDATA("Total-Old",'Distrib pivot table'!$C$2,"state","MS","group","2d1d")/GETPIVOTDATA("Total-Old",'Distrib pivot table'!$C$2,"state","MS"),"*"))</f>
        <v>0</v>
      </c>
      <c r="N43" s="418">
        <f>IF((GETPIVOTDATA("Total-Old",'Distrib pivot table'!$C$2,"state","NC","group","2d1d")/GETPIVOTDATA("Total-Old",'Distrib pivot table'!$C$2,"state","NC"))=0,,IF(GETPIVOTDATA("Total-Old",'Distrib pivot table'!$C$2,"state","NC","group","2d1d")/GETPIVOTDATA("Total-Old",'Distrib pivot table'!$C$2,"state","NC")&gt;0.0005,GETPIVOTDATA("Total-Old",'Distrib pivot table'!$C$2,"state","NC","group","2d1d")/GETPIVOTDATA("Total-Old",'Distrib pivot table'!$C$2,"state","NC"),"*"))</f>
        <v>0</v>
      </c>
      <c r="O43" s="418">
        <f>IF((GETPIVOTDATA("Total-Old",'Distrib pivot table'!$C$2,"state","OK","group","2d1d")/GETPIVOTDATA("Total-Old",'Distrib pivot table'!$C$2,"state","OK"))=0,,IF(GETPIVOTDATA("Total-Old",'Distrib pivot table'!$C$2,"state","OK","group","2d1d")/GETPIVOTDATA("Total-Old",'Distrib pivot table'!$C$2,"state","OK")&gt;0.0005,GETPIVOTDATA("Total-Old",'Distrib pivot table'!$C$2,"state","OK","group","2d1d")/GETPIVOTDATA("Total-Old",'Distrib pivot table'!$C$2,"state","OK"),"*"))</f>
        <v>0</v>
      </c>
      <c r="P43" s="418">
        <f>IF((GETPIVOTDATA("Total-Old",'Distrib pivot table'!$C$2,"state","SC","group","2d1d")/GETPIVOTDATA("Total-Old",'Distrib pivot table'!$C$2,"state","SC"))=0,,IF(GETPIVOTDATA("Total-Old",'Distrib pivot table'!$C$2,"state","SC","group","2d1d")/GETPIVOTDATA("Total-Old",'Distrib pivot table'!$C$2,"state","SC")&gt;0.0005,GETPIVOTDATA("Total-Old",'Distrib pivot table'!$C$2,"state","SC","group","2d1d")/GETPIVOTDATA("Total-Old",'Distrib pivot table'!$C$2,"state","SC"),"*"))</f>
        <v>0</v>
      </c>
      <c r="Q43" s="418">
        <f>IF((GETPIVOTDATA("Total-Old",'Distrib pivot table'!$C$2,"state","TN","group","2d1d")/GETPIVOTDATA("Total-Old",'Distrib pivot table'!$C$2,"state","TN"))=0,,IF(GETPIVOTDATA("Total-Old",'Distrib pivot table'!$C$2,"state","TN","group","2d1d")/GETPIVOTDATA("Total-Old",'Distrib pivot table'!$C$2,"state","TN")&gt;0.0005,GETPIVOTDATA("Total-Old",'Distrib pivot table'!$C$2,"state","TN","group","2d1d")/GETPIVOTDATA("Total-Old",'Distrib pivot table'!$C$2,"state","TN"),"*"))</f>
        <v>0</v>
      </c>
      <c r="R43" s="418">
        <f>IF((GETPIVOTDATA("Total-Old",'Distrib pivot table'!$C$2,"state","TX","group","2d1d")/GETPIVOTDATA("Total-Old",'Distrib pivot table'!$C$2,"state","TX"))=0,,IF(GETPIVOTDATA("Total-Old",'Distrib pivot table'!$C$2,"state","TX","group","2d1d")/GETPIVOTDATA("Total-Old",'Distrib pivot table'!$C$2,"state","TX")&gt;0.0005,GETPIVOTDATA("Total-Old",'Distrib pivot table'!$C$2,"state","TX","group","2d1d")/GETPIVOTDATA("Total-Old",'Distrib pivot table'!$C$2,"state","TX"),"*"))</f>
        <v>0</v>
      </c>
      <c r="S43" s="418">
        <f>IF((GETPIVOTDATA("Total-Old",'Distrib pivot table'!$C$2,"state","VA","group","2d1d")/GETPIVOTDATA("Total-Old",'Distrib pivot table'!$C$2,"state","VA"))=0,,IF(GETPIVOTDATA("Total-Old",'Distrib pivot table'!$C$2,"state","VA","group","2d1d")/GETPIVOTDATA("Total-Old",'Distrib pivot table'!$C$2,"state","VA")&gt;0.0005,GETPIVOTDATA("Total-Old",'Distrib pivot table'!$C$2,"state","VA","group","2d1d")/GETPIVOTDATA("Total-Old",'Distrib pivot table'!$C$2,"state","VA"),"*"))</f>
        <v>0</v>
      </c>
      <c r="T43" s="418">
        <f>IF((GETPIVOTDATA("Total-Old",'Distrib pivot table'!$C$2,"state","WV","group","2d1d")/GETPIVOTDATA("Total-Old",'Distrib pivot table'!$C$2,"state","WV"))=0,,IF(GETPIVOTDATA("Total-Old",'Distrib pivot table'!$C$2,"state","WV","group","2d1d")/GETPIVOTDATA("Total-Old",'Distrib pivot table'!$C$2,"state","WV")&gt;0.0005,GETPIVOTDATA("Total-Old",'Distrib pivot table'!$C$2,"state","WV","group","2d1d")/GETPIVOTDATA("Total-Old",'Distrib pivot table'!$C$2,"state","WV"),"*"))</f>
        <v>0</v>
      </c>
      <c r="U43" s="3"/>
      <c r="V43" s="3"/>
      <c r="W43" s="3"/>
      <c r="X43" s="3"/>
      <c r="Y43" s="3"/>
      <c r="Z43" s="3"/>
      <c r="AA43" s="3"/>
      <c r="AB43" s="3"/>
      <c r="AC43" s="3"/>
      <c r="AD43" s="3"/>
      <c r="AE43" s="3"/>
      <c r="AF43" s="3"/>
      <c r="AG43" s="3"/>
      <c r="AH43" s="3"/>
      <c r="AI43" s="3"/>
      <c r="AJ43" s="3"/>
      <c r="AK43" s="3"/>
      <c r="AL43" s="3"/>
      <c r="AM43" s="3"/>
      <c r="AN43" s="3"/>
      <c r="AO43" s="3"/>
      <c r="AP43" s="3"/>
      <c r="AQ43" s="3"/>
      <c r="AR43" s="3"/>
      <c r="AS43" s="3"/>
      <c r="AT43" s="3"/>
      <c r="AU43" s="3"/>
      <c r="AV43" s="3"/>
      <c r="AW43" s="3"/>
      <c r="AX43" s="3"/>
    </row>
    <row r="44" spans="1:50" ht="12.6" customHeight="1" x14ac:dyDescent="0.2">
      <c r="A44" s="1541"/>
      <c r="B44" s="127" t="s">
        <v>311</v>
      </c>
      <c r="C44" s="374" t="s">
        <v>218</v>
      </c>
      <c r="D44" s="418">
        <f>IF(GETPIVOTDATA("Total-Old",'Distrib pivot table'!$C$2,"group","2d1d1")/GETPIVOTDATA("Total-Old",'Distrib pivot table'!$C$2)=0,,IF(GETPIVOTDATA("Total-Old",'Distrib pivot table'!$C$2,"group","2d1d1")/GETPIVOTDATA("Total-Old",'Distrib pivot table'!$C$2)&gt;0.0005,GETPIVOTDATA("Total-Old",'Distrib pivot table'!$C$2,"group","2d1d1")/GETPIVOTDATA("Total-Old",'Distrib pivot table'!$C$2),"*"))</f>
        <v>1.6573267123344685E-3</v>
      </c>
      <c r="E44" s="418" t="str">
        <f>IF((GETPIVOTDATA("Total-Old",'Distrib pivot table'!$C$2,"state","AL","group","2d1d1")/GETPIVOTDATA("Total-Old",'Distrib pivot table'!$C$2,"state","AL"))=0,,IF(GETPIVOTDATA("Total-Old",'Distrib pivot table'!$C$2,"state","AL","group","2d1d1")/GETPIVOTDATA("Total-Old",'Distrib pivot table'!$C$2,"state","AL")&gt;0.0005,GETPIVOTDATA("Total-Old",'Distrib pivot table'!$C$2,"state","AL","group","2d1d1")/GETPIVOTDATA("Total-Old",'Distrib pivot table'!$C$2,"state","AL"),"*"))</f>
        <v>*</v>
      </c>
      <c r="F44" s="418" t="str">
        <f>IF((GETPIVOTDATA("Total-Old",'Distrib pivot table'!$C$2,"state","AR","group","2d1d1")/GETPIVOTDATA("Total-Old",'Distrib pivot table'!$C$2,"state","AR"))=0,,IF(GETPIVOTDATA("Total-Old",'Distrib pivot table'!$C$2,"state","AR","group","2d1d1")/GETPIVOTDATA("Total-Old",'Distrib pivot table'!$C$2,"state","AR")&gt;0.0005,GETPIVOTDATA("Total-Old",'Distrib pivot table'!$C$2,"state","AR","group","2d1d1")/GETPIVOTDATA("Total-Old",'Distrib pivot table'!$C$2,"state","AR"),"*"))</f>
        <v>*</v>
      </c>
      <c r="G44" s="418" t="str">
        <f>IF((GETPIVOTDATA("Total-Old",'Distrib pivot table'!$C$2,"state","DE","group","2d1d1")/GETPIVOTDATA("Total-Old",'Distrib pivot table'!$C$2,"state","DE"))=0,,IF(GETPIVOTDATA("Total-Old",'Distrib pivot table'!$C$2,"state","DE","group","2d1d1")/GETPIVOTDATA("Total-Old",'Distrib pivot table'!$C$2,"state","DE")&gt;0.0005,GETPIVOTDATA("Total-Old",'Distrib pivot table'!$C$2,"state","DE","group","2d1d1")/GETPIVOTDATA("Total-Old",'Distrib pivot table'!$C$2,"state","DE"),"*"))</f>
        <v>*</v>
      </c>
      <c r="H44" s="418">
        <f>IF((GETPIVOTDATA("Total-Old",'Distrib pivot table'!$C$2,"state","FL","group","2d1d1")/GETPIVOTDATA("Total-Old",'Distrib pivot table'!$C$2,"state","FL"))=0,,IF(GETPIVOTDATA("Total-Old",'Distrib pivot table'!$C$2,"state","FL","group","2d1d1")/GETPIVOTDATA("Total-Old",'Distrib pivot table'!$C$2,"state","FL")&gt;0.0005,GETPIVOTDATA("Total-Old",'Distrib pivot table'!$C$2,"state","FL","group","2d1d1")/GETPIVOTDATA("Total-Old",'Distrib pivot table'!$C$2,"state","FL"),"*"))</f>
        <v>0</v>
      </c>
      <c r="I44" s="418">
        <f>IF((GETPIVOTDATA("Total-Old",'Distrib pivot table'!$C$2,"state","GA","group","2d1d1")/GETPIVOTDATA("Total-Old",'Distrib pivot table'!$C$2,"state","GA"))=0,,IF(GETPIVOTDATA("Total-Old",'Distrib pivot table'!$C$2,"state","GA","group","2d1d1")/GETPIVOTDATA("Total-Old",'Distrib pivot table'!$C$2,"state","GA")&gt;0.0005,GETPIVOTDATA("Total-Old",'Distrib pivot table'!$C$2,"state","GA","group","2d1d1")/GETPIVOTDATA("Total-Old",'Distrib pivot table'!$C$2,"state","GA"),"*"))</f>
        <v>0</v>
      </c>
      <c r="J44" s="418">
        <f>IF((GETPIVOTDATA("Total-Old",'Distrib pivot table'!$C$2,"state","KY","group","2d1d1")/GETPIVOTDATA("Total-Old",'Distrib pivot table'!$C$2,"state","KY"))=0,,IF(GETPIVOTDATA("Total-Old",'Distrib pivot table'!$C$2,"state","KY","group","2d1d1")/GETPIVOTDATA("Total-Old",'Distrib pivot table'!$C$2,"state","KY")&gt;0.0005,GETPIVOTDATA("Total-Old",'Distrib pivot table'!$C$2,"state","KY","group","2d1d1")/GETPIVOTDATA("Total-Old",'Distrib pivot table'!$C$2,"state","KY"),"*"))</f>
        <v>5.925240248929339E-3</v>
      </c>
      <c r="K44" s="418">
        <f>IF((GETPIVOTDATA("Total-Old",'Distrib pivot table'!$C$2,"state","LA","group","2d1d1")/GETPIVOTDATA("Total-Old",'Distrib pivot table'!$C$2,"state","LA"))=0,,IF(GETPIVOTDATA("Total-Old",'Distrib pivot table'!$C$2,"state","LA","group","2d1d1")/GETPIVOTDATA("Total-Old",'Distrib pivot table'!$C$2,"state","LA")&gt;0.0005,GETPIVOTDATA("Total-Old",'Distrib pivot table'!$C$2,"state","LA","group","2d1d1")/GETPIVOTDATA("Total-Old",'Distrib pivot table'!$C$2,"state","LA"),"*"))</f>
        <v>1.0924232038298334E-3</v>
      </c>
      <c r="L44" s="418">
        <f>IF((GETPIVOTDATA("Total-Old",'Distrib pivot table'!$C$2,"state","MD","group","2d1d1")/GETPIVOTDATA("Total-Old",'Distrib pivot table'!$C$2,"state","MD"))=0,,IF(GETPIVOTDATA("Total-Old",'Distrib pivot table'!$C$2,"state","MD","group","2d1d1")/GETPIVOTDATA("Total-Old",'Distrib pivot table'!$C$2,"state","MD")&gt;0.0005,GETPIVOTDATA("Total-Old",'Distrib pivot table'!$C$2,"state","MD","group","2d1d1")/GETPIVOTDATA("Total-Old",'Distrib pivot table'!$C$2,"state","MD"),"*"))</f>
        <v>4.364327877234603E-3</v>
      </c>
      <c r="M44" s="418" t="str">
        <f>IF((GETPIVOTDATA("Total-Old",'Distrib pivot table'!$C$2,"state","MS","group","2d1d1")/GETPIVOTDATA("Total-Old",'Distrib pivot table'!$C$2,"state","MS"))=0,,IF(GETPIVOTDATA("Total-Old",'Distrib pivot table'!$C$2,"state","MS","group","2d1d1")/GETPIVOTDATA("Total-Old",'Distrib pivot table'!$C$2,"state","MS")&gt;0.0005,GETPIVOTDATA("Total-Old",'Distrib pivot table'!$C$2,"state","MS","group","2d1d1")/GETPIVOTDATA("Total-Old",'Distrib pivot table'!$C$2,"state","MS"),"*"))</f>
        <v>*</v>
      </c>
      <c r="N44" s="418">
        <f>IF((GETPIVOTDATA("Total-Old",'Distrib pivot table'!$C$2,"state","NC","group","2d1d1")/GETPIVOTDATA("Total-Old",'Distrib pivot table'!$C$2,"state","NC"))=0,,IF(GETPIVOTDATA("Total-Old",'Distrib pivot table'!$C$2,"state","NC","group","2d1d1")/GETPIVOTDATA("Total-Old",'Distrib pivot table'!$C$2,"state","NC")&gt;0.0005,GETPIVOTDATA("Total-Old",'Distrib pivot table'!$C$2,"state","NC","group","2d1d1")/GETPIVOTDATA("Total-Old",'Distrib pivot table'!$C$2,"state","NC"),"*"))</f>
        <v>0</v>
      </c>
      <c r="O44" s="418">
        <f>IF((GETPIVOTDATA("Total-Old",'Distrib pivot table'!$C$2,"state","OK","group","2d1d1")/GETPIVOTDATA("Total-Old",'Distrib pivot table'!$C$2,"state","OK"))=0,,IF(GETPIVOTDATA("Total-Old",'Distrib pivot table'!$C$2,"state","OK","group","2d1d1")/GETPIVOTDATA("Total-Old",'Distrib pivot table'!$C$2,"state","OK")&gt;0.0005,GETPIVOTDATA("Total-Old",'Distrib pivot table'!$C$2,"state","OK","group","2d1d1")/GETPIVOTDATA("Total-Old",'Distrib pivot table'!$C$2,"state","OK"),"*"))</f>
        <v>0</v>
      </c>
      <c r="P44" s="418">
        <f>IF((GETPIVOTDATA("Total-Old",'Distrib pivot table'!$C$2,"state","SC","group","2d1d1")/GETPIVOTDATA("Total-Old",'Distrib pivot table'!$C$2,"state","SC"))=0,,IF(GETPIVOTDATA("Total-Old",'Distrib pivot table'!$C$2,"state","SC","group","2d1d1")/GETPIVOTDATA("Total-Old",'Distrib pivot table'!$C$2,"state","SC")&gt;0.0005,GETPIVOTDATA("Total-Old",'Distrib pivot table'!$C$2,"state","SC","group","2d1d1")/GETPIVOTDATA("Total-Old",'Distrib pivot table'!$C$2,"state","SC"),"*"))</f>
        <v>1.6459902524569698E-3</v>
      </c>
      <c r="Q44" s="418">
        <f>IF((GETPIVOTDATA("Total-Old",'Distrib pivot table'!$C$2,"state","TN","group","2d1d1")/GETPIVOTDATA("Total-Old",'Distrib pivot table'!$C$2,"state","TN"))=0,,IF(GETPIVOTDATA("Total-Old",'Distrib pivot table'!$C$2,"state","TN","group","2d1d1")/GETPIVOTDATA("Total-Old",'Distrib pivot table'!$C$2,"state","TN")&gt;0.0005,GETPIVOTDATA("Total-Old",'Distrib pivot table'!$C$2,"state","TN","group","2d1d1")/GETPIVOTDATA("Total-Old",'Distrib pivot table'!$C$2,"state","TN"),"*"))</f>
        <v>1.6631822686238404E-2</v>
      </c>
      <c r="R44" s="418">
        <f>IF((GETPIVOTDATA("Total-Old",'Distrib pivot table'!$C$2,"state","TX","group","2d1d1")/GETPIVOTDATA("Total-Old",'Distrib pivot table'!$C$2,"state","TX"))=0,,IF(GETPIVOTDATA("Total-Old",'Distrib pivot table'!$C$2,"state","TX","group","2d1d1")/GETPIVOTDATA("Total-Old",'Distrib pivot table'!$C$2,"state","TX")&gt;0.0005,GETPIVOTDATA("Total-Old",'Distrib pivot table'!$C$2,"state","TX","group","2d1d1")/GETPIVOTDATA("Total-Old",'Distrib pivot table'!$C$2,"state","TX"),"*"))</f>
        <v>0</v>
      </c>
      <c r="S44" s="418" t="str">
        <f>IF((GETPIVOTDATA("Total-Old",'Distrib pivot table'!$C$2,"state","VA","group","2d1d1")/GETPIVOTDATA("Total-Old",'Distrib pivot table'!$C$2,"state","VA"))=0,,IF(GETPIVOTDATA("Total-Old",'Distrib pivot table'!$C$2,"state","VA","group","2d1d1")/GETPIVOTDATA("Total-Old",'Distrib pivot table'!$C$2,"state","VA")&gt;0.0005,GETPIVOTDATA("Total-Old",'Distrib pivot table'!$C$2,"state","VA","group","2d1d1")/GETPIVOTDATA("Total-Old",'Distrib pivot table'!$C$2,"state","VA"),"*"))</f>
        <v>*</v>
      </c>
      <c r="T44" s="418">
        <f>IF((GETPIVOTDATA("Total-Old",'Distrib pivot table'!$C$2,"state","WV","group","2d1d1")/GETPIVOTDATA("Total-Old",'Distrib pivot table'!$C$2,"state","WV"))=0,,IF(GETPIVOTDATA("Total-Old",'Distrib pivot table'!$C$2,"state","WV","group","2d1d1")/GETPIVOTDATA("Total-Old",'Distrib pivot table'!$C$2,"state","WV")&gt;0.0005,GETPIVOTDATA("Total-Old",'Distrib pivot table'!$C$2,"state","WV","group","2d1d1")/GETPIVOTDATA("Total-Old",'Distrib pivot table'!$C$2,"state","WV"),"*"))</f>
        <v>4.9833776392241083E-3</v>
      </c>
      <c r="U44" s="3"/>
      <c r="V44" s="3"/>
      <c r="W44" s="3"/>
      <c r="X44" s="3"/>
      <c r="Y44" s="3"/>
      <c r="Z44" s="3"/>
      <c r="AA44" s="3"/>
      <c r="AB44" s="3"/>
      <c r="AC44" s="3"/>
      <c r="AD44" s="3"/>
      <c r="AE44" s="3"/>
      <c r="AF44" s="3"/>
      <c r="AG44" s="3"/>
      <c r="AH44" s="3"/>
      <c r="AI44" s="3"/>
      <c r="AJ44" s="3"/>
      <c r="AK44" s="3"/>
      <c r="AL44" s="3"/>
      <c r="AM44" s="3"/>
      <c r="AN44" s="3"/>
      <c r="AO44" s="3"/>
      <c r="AP44" s="3"/>
      <c r="AQ44" s="3"/>
      <c r="AR44" s="3"/>
      <c r="AS44" s="3"/>
      <c r="AT44" s="3"/>
      <c r="AU44" s="3"/>
      <c r="AV44" s="3"/>
      <c r="AW44" s="3"/>
      <c r="AX44" s="3"/>
    </row>
    <row r="45" spans="1:50" ht="12.6" customHeight="1" x14ac:dyDescent="0.2">
      <c r="A45" s="1541"/>
      <c r="B45" s="127" t="s">
        <v>249</v>
      </c>
      <c r="C45" s="374" t="s">
        <v>219</v>
      </c>
      <c r="D45" s="418">
        <f>IF(GETPIVOTDATA("Total-Old",'Distrib pivot table'!$C$2,"group","2d1d2")/GETPIVOTDATA("Total-Old",'Distrib pivot table'!$C$2)=0,,IF(GETPIVOTDATA("Total-Old",'Distrib pivot table'!$C$2,"group","2d1d2")/GETPIVOTDATA("Total-Old",'Distrib pivot table'!$C$2)&gt;0.0005,GETPIVOTDATA("Total-Old",'Distrib pivot table'!$C$2,"group","2d1d2")/GETPIVOTDATA("Total-Old",'Distrib pivot table'!$C$2),"*"))</f>
        <v>2.5127708383927906E-3</v>
      </c>
      <c r="E45" s="418" t="str">
        <f>IF((GETPIVOTDATA("Total-Old",'Distrib pivot table'!$C$2,"state","AL","group","2d1d2")/GETPIVOTDATA("Total-Old",'Distrib pivot table'!$C$2,"state","AL"))=0,,IF(GETPIVOTDATA("Total-Old",'Distrib pivot table'!$C$2,"state","AL","group","2d1d2")/GETPIVOTDATA("Total-Old",'Distrib pivot table'!$C$2,"state","AL")&gt;0.0005,GETPIVOTDATA("Total-Old",'Distrib pivot table'!$C$2,"state","AL","group","2d1d2")/GETPIVOTDATA("Total-Old",'Distrib pivot table'!$C$2,"state","AL"),"*"))</f>
        <v>*</v>
      </c>
      <c r="F45" s="418">
        <f>IF((GETPIVOTDATA("Total-Old",'Distrib pivot table'!$C$2,"state","AR","group","2d1d2")/GETPIVOTDATA("Total-Old",'Distrib pivot table'!$C$2,"state","AR"))=0,,IF(GETPIVOTDATA("Total-Old",'Distrib pivot table'!$C$2,"state","AR","group","2d1d2")/GETPIVOTDATA("Total-Old",'Distrib pivot table'!$C$2,"state","AR")&gt;0.0005,GETPIVOTDATA("Total-Old",'Distrib pivot table'!$C$2,"state","AR","group","2d1d2")/GETPIVOTDATA("Total-Old",'Distrib pivot table'!$C$2,"state","AR"),"*"))</f>
        <v>1.0335122046343809E-2</v>
      </c>
      <c r="G45" s="418">
        <f>IF((GETPIVOTDATA("Total-Old",'Distrib pivot table'!$C$2,"state","DE","group","2d1d2")/GETPIVOTDATA("Total-Old",'Distrib pivot table'!$C$2,"state","DE"))=0,,IF(GETPIVOTDATA("Total-Old",'Distrib pivot table'!$C$2,"state","DE","group","2d1d2")/GETPIVOTDATA("Total-Old",'Distrib pivot table'!$C$2,"state","DE")&gt;0.0005,GETPIVOTDATA("Total-Old",'Distrib pivot table'!$C$2,"state","DE","group","2d1d2")/GETPIVOTDATA("Total-Old",'Distrib pivot table'!$C$2,"state","DE"),"*"))</f>
        <v>7.3142581699215813E-4</v>
      </c>
      <c r="H45" s="418">
        <f>IF((GETPIVOTDATA("Total-Old",'Distrib pivot table'!$C$2,"state","FL","group","2d1d2")/GETPIVOTDATA("Total-Old",'Distrib pivot table'!$C$2,"state","FL"))=0,,IF(GETPIVOTDATA("Total-Old",'Distrib pivot table'!$C$2,"state","FL","group","2d1d2")/GETPIVOTDATA("Total-Old",'Distrib pivot table'!$C$2,"state","FL")&gt;0.0005,GETPIVOTDATA("Total-Old",'Distrib pivot table'!$C$2,"state","FL","group","2d1d2")/GETPIVOTDATA("Total-Old",'Distrib pivot table'!$C$2,"state","FL"),"*"))</f>
        <v>0</v>
      </c>
      <c r="I45" s="418" t="str">
        <f>IF((GETPIVOTDATA("Total-Old",'Distrib pivot table'!$C$2,"state","GA","group","2d1d2")/GETPIVOTDATA("Total-Old",'Distrib pivot table'!$C$2,"state","GA"))=0,,IF(GETPIVOTDATA("Total-Old",'Distrib pivot table'!$C$2,"state","GA","group","2d1d2")/GETPIVOTDATA("Total-Old",'Distrib pivot table'!$C$2,"state","GA")&gt;0.0005,GETPIVOTDATA("Total-Old",'Distrib pivot table'!$C$2,"state","GA","group","2d1d2")/GETPIVOTDATA("Total-Old",'Distrib pivot table'!$C$2,"state","GA"),"*"))</f>
        <v>*</v>
      </c>
      <c r="J45" s="418">
        <f>IF((GETPIVOTDATA("Total-Old",'Distrib pivot table'!$C$2,"state","KY","group","2d1d2")/GETPIVOTDATA("Total-Old",'Distrib pivot table'!$C$2,"state","KY"))=0,,IF(GETPIVOTDATA("Total-Old",'Distrib pivot table'!$C$2,"state","KY","group","2d1d2")/GETPIVOTDATA("Total-Old",'Distrib pivot table'!$C$2,"state","KY")&gt;0.0005,GETPIVOTDATA("Total-Old",'Distrib pivot table'!$C$2,"state","KY","group","2d1d2")/GETPIVOTDATA("Total-Old",'Distrib pivot table'!$C$2,"state","KY"),"*"))</f>
        <v>6.9230320063429886E-3</v>
      </c>
      <c r="K45" s="418">
        <f>IF((GETPIVOTDATA("Total-Old",'Distrib pivot table'!$C$2,"state","LA","group","2d1d2")/GETPIVOTDATA("Total-Old",'Distrib pivot table'!$C$2,"state","LA"))=0,,IF(GETPIVOTDATA("Total-Old",'Distrib pivot table'!$C$2,"state","LA","group","2d1d2")/GETPIVOTDATA("Total-Old",'Distrib pivot table'!$C$2,"state","LA")&gt;0.0005,GETPIVOTDATA("Total-Old",'Distrib pivot table'!$C$2,"state","LA","group","2d1d2")/GETPIVOTDATA("Total-Old",'Distrib pivot table'!$C$2,"state","LA"),"*"))</f>
        <v>6.590864856641265E-3</v>
      </c>
      <c r="L45" s="418">
        <f>IF((GETPIVOTDATA("Total-Old",'Distrib pivot table'!$C$2,"state","MD","group","2d1d2")/GETPIVOTDATA("Total-Old",'Distrib pivot table'!$C$2,"state","MD"))=0,,IF(GETPIVOTDATA("Total-Old",'Distrib pivot table'!$C$2,"state","MD","group","2d1d2")/GETPIVOTDATA("Total-Old",'Distrib pivot table'!$C$2,"state","MD")&gt;0.0005,GETPIVOTDATA("Total-Old",'Distrib pivot table'!$C$2,"state","MD","group","2d1d2")/GETPIVOTDATA("Total-Old",'Distrib pivot table'!$C$2,"state","MD"),"*"))</f>
        <v>5.5873456348883E-4</v>
      </c>
      <c r="M45" s="418">
        <f>IF((GETPIVOTDATA("Total-Old",'Distrib pivot table'!$C$2,"state","MS","group","2d1d2")/GETPIVOTDATA("Total-Old",'Distrib pivot table'!$C$2,"state","MS"))=0,,IF(GETPIVOTDATA("Total-Old",'Distrib pivot table'!$C$2,"state","MS","group","2d1d2")/GETPIVOTDATA("Total-Old",'Distrib pivot table'!$C$2,"state","MS")&gt;0.0005,GETPIVOTDATA("Total-Old",'Distrib pivot table'!$C$2,"state","MS","group","2d1d2")/GETPIVOTDATA("Total-Old",'Distrib pivot table'!$C$2,"state","MS"),"*"))</f>
        <v>1.6382953939885179E-3</v>
      </c>
      <c r="N45" s="418">
        <f>IF((GETPIVOTDATA("Total-Old",'Distrib pivot table'!$C$2,"state","NC","group","2d1d2")/GETPIVOTDATA("Total-Old",'Distrib pivot table'!$C$2,"state","NC"))=0,,IF(GETPIVOTDATA("Total-Old",'Distrib pivot table'!$C$2,"state","NC","group","2d1d2")/GETPIVOTDATA("Total-Old",'Distrib pivot table'!$C$2,"state","NC")&gt;0.0005,GETPIVOTDATA("Total-Old",'Distrib pivot table'!$C$2,"state","NC","group","2d1d2")/GETPIVOTDATA("Total-Old",'Distrib pivot table'!$C$2,"state","NC"),"*"))</f>
        <v>0</v>
      </c>
      <c r="O45" s="418">
        <f>IF((GETPIVOTDATA("Total-Old",'Distrib pivot table'!$C$2,"state","OK","group","2d1d2")/GETPIVOTDATA("Total-Old",'Distrib pivot table'!$C$2,"state","OK"))=0,,IF(GETPIVOTDATA("Total-Old",'Distrib pivot table'!$C$2,"state","OK","group","2d1d2")/GETPIVOTDATA("Total-Old",'Distrib pivot table'!$C$2,"state","OK")&gt;0.0005,GETPIVOTDATA("Total-Old",'Distrib pivot table'!$C$2,"state","OK","group","2d1d2")/GETPIVOTDATA("Total-Old",'Distrib pivot table'!$C$2,"state","OK"),"*"))</f>
        <v>0</v>
      </c>
      <c r="P45" s="418">
        <f>IF((GETPIVOTDATA("Total-Old",'Distrib pivot table'!$C$2,"state","SC","group","2d1d2")/GETPIVOTDATA("Total-Old",'Distrib pivot table'!$C$2,"state","SC"))=0,,IF(GETPIVOTDATA("Total-Old",'Distrib pivot table'!$C$2,"state","SC","group","2d1d2")/GETPIVOTDATA("Total-Old",'Distrib pivot table'!$C$2,"state","SC")&gt;0.0005,GETPIVOTDATA("Total-Old",'Distrib pivot table'!$C$2,"state","SC","group","2d1d2")/GETPIVOTDATA("Total-Old",'Distrib pivot table'!$C$2,"state","SC"),"*"))</f>
        <v>1.5156018118713574E-2</v>
      </c>
      <c r="Q45" s="418">
        <f>IF((GETPIVOTDATA("Total-Old",'Distrib pivot table'!$C$2,"state","TN","group","2d1d2")/GETPIVOTDATA("Total-Old",'Distrib pivot table'!$C$2,"state","TN"))=0,,IF(GETPIVOTDATA("Total-Old",'Distrib pivot table'!$C$2,"state","TN","group","2d1d2")/GETPIVOTDATA("Total-Old",'Distrib pivot table'!$C$2,"state","TN")&gt;0.0005,GETPIVOTDATA("Total-Old",'Distrib pivot table'!$C$2,"state","TN","group","2d1d2")/GETPIVOTDATA("Total-Old",'Distrib pivot table'!$C$2,"state","TN"),"*"))</f>
        <v>1.4164066556697807E-2</v>
      </c>
      <c r="R45" s="418">
        <f>IF((GETPIVOTDATA("Total-Old",'Distrib pivot table'!$C$2,"state","TX","group","2d1d2")/GETPIVOTDATA("Total-Old",'Distrib pivot table'!$C$2,"state","TX"))=0,,IF(GETPIVOTDATA("Total-Old",'Distrib pivot table'!$C$2,"state","TX","group","2d1d2")/GETPIVOTDATA("Total-Old",'Distrib pivot table'!$C$2,"state","TX")&gt;0.0005,GETPIVOTDATA("Total-Old",'Distrib pivot table'!$C$2,"state","TX","group","2d1d2")/GETPIVOTDATA("Total-Old",'Distrib pivot table'!$C$2,"state","TX"),"*"))</f>
        <v>0</v>
      </c>
      <c r="S45" s="418">
        <f>IF((GETPIVOTDATA("Total-Old",'Distrib pivot table'!$C$2,"state","VA","group","2d1d2")/GETPIVOTDATA("Total-Old",'Distrib pivot table'!$C$2,"state","VA"))=0,,IF(GETPIVOTDATA("Total-Old",'Distrib pivot table'!$C$2,"state","VA","group","2d1d2")/GETPIVOTDATA("Total-Old",'Distrib pivot table'!$C$2,"state","VA")&gt;0.0005,GETPIVOTDATA("Total-Old",'Distrib pivot table'!$C$2,"state","VA","group","2d1d2")/GETPIVOTDATA("Total-Old",'Distrib pivot table'!$C$2,"state","VA"),"*"))</f>
        <v>0</v>
      </c>
      <c r="T45" s="418">
        <f>IF((GETPIVOTDATA("Total-Old",'Distrib pivot table'!$C$2,"state","WV","group","2d1d2")/GETPIVOTDATA("Total-Old",'Distrib pivot table'!$C$2,"state","WV"))=0,,IF(GETPIVOTDATA("Total-Old",'Distrib pivot table'!$C$2,"state","WV","group","2d1d2")/GETPIVOTDATA("Total-Old",'Distrib pivot table'!$C$2,"state","WV")&gt;0.0005,GETPIVOTDATA("Total-Old",'Distrib pivot table'!$C$2,"state","WV","group","2d1d2")/GETPIVOTDATA("Total-Old",'Distrib pivot table'!$C$2,"state","WV"),"*"))</f>
        <v>3.8783245213335725E-3</v>
      </c>
      <c r="U45" s="3"/>
      <c r="V45" s="3"/>
      <c r="W45" s="3"/>
      <c r="X45" s="3"/>
      <c r="Y45" s="3"/>
      <c r="Z45" s="3"/>
      <c r="AA45" s="3"/>
      <c r="AB45" s="3"/>
      <c r="AC45" s="3"/>
      <c r="AD45" s="3"/>
      <c r="AE45" s="3"/>
      <c r="AF45" s="3"/>
      <c r="AG45" s="3"/>
      <c r="AH45" s="3"/>
      <c r="AI45" s="3"/>
      <c r="AJ45" s="3"/>
      <c r="AK45" s="3"/>
      <c r="AL45" s="3"/>
      <c r="AM45" s="3"/>
      <c r="AN45" s="3"/>
      <c r="AO45" s="3"/>
      <c r="AP45" s="3"/>
      <c r="AQ45" s="3"/>
      <c r="AR45" s="3"/>
      <c r="AS45" s="3"/>
      <c r="AT45" s="3"/>
      <c r="AU45" s="3"/>
      <c r="AV45" s="3"/>
      <c r="AW45" s="3"/>
      <c r="AX45" s="3"/>
    </row>
    <row r="46" spans="1:50" ht="12.6" customHeight="1" x14ac:dyDescent="0.2">
      <c r="A46" s="1541"/>
      <c r="B46" s="127" t="s">
        <v>121</v>
      </c>
      <c r="C46" s="374" t="s">
        <v>293</v>
      </c>
      <c r="D46" s="418" t="str">
        <f>IF(GETPIVOTDATA("Total-Old",'Distrib pivot table'!$C$2,"group","2d2")/GETPIVOTDATA("Total-Old",'Distrib pivot table'!$C$2)=0,,IF(GETPIVOTDATA("Total-Old",'Distrib pivot table'!$C$2,"group","2d2")/GETPIVOTDATA("Total-Old",'Distrib pivot table'!$C$2)&gt;0.0005,GETPIVOTDATA("Total-Old",'Distrib pivot table'!$C$2,"group","2d2")/GETPIVOTDATA("Total-Old",'Distrib pivot table'!$C$2),"*"))</f>
        <v>*</v>
      </c>
      <c r="E46" s="418">
        <f>IF((GETPIVOTDATA("Total-Old",'Distrib pivot table'!$C$2,"state","AL","group","2d2")/GETPIVOTDATA("Total-Old",'Distrib pivot table'!$C$2,"state","AL"))=0,,IF(GETPIVOTDATA("Total-Old",'Distrib pivot table'!$C$2,"state","AL","group","2d2")/GETPIVOTDATA("Total-Old",'Distrib pivot table'!$C$2,"state","AL")&gt;0.0005,GETPIVOTDATA("Total-Old",'Distrib pivot table'!$C$2,"state","AL","group","2d2")/GETPIVOTDATA("Total-Old",'Distrib pivot table'!$C$2,"state","AL"),"*"))</f>
        <v>0</v>
      </c>
      <c r="F46" s="418">
        <f>IF((GETPIVOTDATA("Total-Old",'Distrib pivot table'!$C$2,"state","AR","group","2d2")/GETPIVOTDATA("Total-Old",'Distrib pivot table'!$C$2,"state","AR"))=0,,IF(GETPIVOTDATA("Total-Old",'Distrib pivot table'!$C$2,"state","AR","group","2d2")/GETPIVOTDATA("Total-Old",'Distrib pivot table'!$C$2,"state","AR")&gt;0.0005,GETPIVOTDATA("Total-Old",'Distrib pivot table'!$C$2,"state","AR","group","2d2")/GETPIVOTDATA("Total-Old",'Distrib pivot table'!$C$2,"state","AR"),"*"))</f>
        <v>0</v>
      </c>
      <c r="G46" s="418">
        <f>IF((GETPIVOTDATA("Total-Old",'Distrib pivot table'!$C$2,"state","DE","group","2d2")/GETPIVOTDATA("Total-Old",'Distrib pivot table'!$C$2,"state","DE"))=0,,IF(GETPIVOTDATA("Total-Old",'Distrib pivot table'!$C$2,"state","DE","group","2d2")/GETPIVOTDATA("Total-Old",'Distrib pivot table'!$C$2,"state","DE")&gt;0.0005,GETPIVOTDATA("Total-Old",'Distrib pivot table'!$C$2,"state","DE","group","2d2")/GETPIVOTDATA("Total-Old",'Distrib pivot table'!$C$2,"state","DE"),"*"))</f>
        <v>0</v>
      </c>
      <c r="H46" s="418">
        <f>IF((GETPIVOTDATA("Total-Old",'Distrib pivot table'!$C$2,"state","FL","group","2d2")/GETPIVOTDATA("Total-Old",'Distrib pivot table'!$C$2,"state","FL"))=0,,IF(GETPIVOTDATA("Total-Old",'Distrib pivot table'!$C$2,"state","FL","group","2d2")/GETPIVOTDATA("Total-Old",'Distrib pivot table'!$C$2,"state","FL")&gt;0.0005,GETPIVOTDATA("Total-Old",'Distrib pivot table'!$C$2,"state","FL","group","2d2")/GETPIVOTDATA("Total-Old",'Distrib pivot table'!$C$2,"state","FL"),"*"))</f>
        <v>0</v>
      </c>
      <c r="I46" s="418">
        <f>IF((GETPIVOTDATA("Total-Old",'Distrib pivot table'!$C$2,"state","GA","group","2d2")/GETPIVOTDATA("Total-Old",'Distrib pivot table'!$C$2,"state","GA"))=0,,IF(GETPIVOTDATA("Total-Old",'Distrib pivot table'!$C$2,"state","GA","group","2d2")/GETPIVOTDATA("Total-Old",'Distrib pivot table'!$C$2,"state","GA")&gt;0.0005,GETPIVOTDATA("Total-Old",'Distrib pivot table'!$C$2,"state","GA","group","2d2")/GETPIVOTDATA("Total-Old",'Distrib pivot table'!$C$2,"state","GA"),"*"))</f>
        <v>0</v>
      </c>
      <c r="J46" s="418">
        <f>IF((GETPIVOTDATA("Total-Old",'Distrib pivot table'!$C$2,"state","KY","group","2d2")/GETPIVOTDATA("Total-Old",'Distrib pivot table'!$C$2,"state","KY"))=0,,IF(GETPIVOTDATA("Total-Old",'Distrib pivot table'!$C$2,"state","KY","group","2d2")/GETPIVOTDATA("Total-Old",'Distrib pivot table'!$C$2,"state","KY")&gt;0.0005,GETPIVOTDATA("Total-Old",'Distrib pivot table'!$C$2,"state","KY","group","2d2")/GETPIVOTDATA("Total-Old",'Distrib pivot table'!$C$2,"state","KY"),"*"))</f>
        <v>0</v>
      </c>
      <c r="K46" s="418">
        <f>IF((GETPIVOTDATA("Total-Old",'Distrib pivot table'!$C$2,"state","LA","group","2d2")/GETPIVOTDATA("Total-Old",'Distrib pivot table'!$C$2,"state","LA"))=0,,IF(GETPIVOTDATA("Total-Old",'Distrib pivot table'!$C$2,"state","LA","group","2d2")/GETPIVOTDATA("Total-Old",'Distrib pivot table'!$C$2,"state","LA")&gt;0.0005,GETPIVOTDATA("Total-Old",'Distrib pivot table'!$C$2,"state","LA","group","2d2")/GETPIVOTDATA("Total-Old",'Distrib pivot table'!$C$2,"state","LA"),"*"))</f>
        <v>0</v>
      </c>
      <c r="L46" s="418">
        <f>IF((GETPIVOTDATA("Total-Old",'Distrib pivot table'!$C$2,"state","MD","group","2d2")/GETPIVOTDATA("Total-Old",'Distrib pivot table'!$C$2,"state","MD"))=0,,IF(GETPIVOTDATA("Total-Old",'Distrib pivot table'!$C$2,"state","MD","group","2d2")/GETPIVOTDATA("Total-Old",'Distrib pivot table'!$C$2,"state","MD")&gt;0.0005,GETPIVOTDATA("Total-Old",'Distrib pivot table'!$C$2,"state","MD","group","2d2")/GETPIVOTDATA("Total-Old",'Distrib pivot table'!$C$2,"state","MD"),"*"))</f>
        <v>0</v>
      </c>
      <c r="M46" s="418">
        <f>IF((GETPIVOTDATA("Total-Old",'Distrib pivot table'!$C$2,"state","MS","group","2d2")/GETPIVOTDATA("Total-Old",'Distrib pivot table'!$C$2,"state","MS"))=0,,IF(GETPIVOTDATA("Total-Old",'Distrib pivot table'!$C$2,"state","MS","group","2d2")/GETPIVOTDATA("Total-Old",'Distrib pivot table'!$C$2,"state","MS")&gt;0.0005,GETPIVOTDATA("Total-Old",'Distrib pivot table'!$C$2,"state","MS","group","2d2")/GETPIVOTDATA("Total-Old",'Distrib pivot table'!$C$2,"state","MS"),"*"))</f>
        <v>0</v>
      </c>
      <c r="N46" s="418">
        <f>IF((GETPIVOTDATA("Total-Old",'Distrib pivot table'!$C$2,"state","NC","group","2d2")/GETPIVOTDATA("Total-Old",'Distrib pivot table'!$C$2,"state","NC"))=0,,IF(GETPIVOTDATA("Total-Old",'Distrib pivot table'!$C$2,"state","NC","group","2d2")/GETPIVOTDATA("Total-Old",'Distrib pivot table'!$C$2,"state","NC")&gt;0.0005,GETPIVOTDATA("Total-Old",'Distrib pivot table'!$C$2,"state","NC","group","2d2")/GETPIVOTDATA("Total-Old",'Distrib pivot table'!$C$2,"state","NC"),"*"))</f>
        <v>0</v>
      </c>
      <c r="O46" s="418">
        <f>IF((GETPIVOTDATA("Total-Old",'Distrib pivot table'!$C$2,"state","OK","group","2d2")/GETPIVOTDATA("Total-Old",'Distrib pivot table'!$C$2,"state","OK"))=0,,IF(GETPIVOTDATA("Total-Old",'Distrib pivot table'!$C$2,"state","OK","group","2d2")/GETPIVOTDATA("Total-Old",'Distrib pivot table'!$C$2,"state","OK")&gt;0.0005,GETPIVOTDATA("Total-Old",'Distrib pivot table'!$C$2,"state","OK","group","2d2")/GETPIVOTDATA("Total-Old",'Distrib pivot table'!$C$2,"state","OK"),"*"))</f>
        <v>0</v>
      </c>
      <c r="P46" s="418">
        <f>IF((GETPIVOTDATA("Total-Old",'Distrib pivot table'!$C$2,"state","SC","group","2d2")/GETPIVOTDATA("Total-Old",'Distrib pivot table'!$C$2,"state","SC"))=0,,IF(GETPIVOTDATA("Total-Old",'Distrib pivot table'!$C$2,"state","SC","group","2d2")/GETPIVOTDATA("Total-Old",'Distrib pivot table'!$C$2,"state","SC")&gt;0.0005,GETPIVOTDATA("Total-Old",'Distrib pivot table'!$C$2,"state","SC","group","2d2")/GETPIVOTDATA("Total-Old",'Distrib pivot table'!$C$2,"state","SC"),"*"))</f>
        <v>0</v>
      </c>
      <c r="Q46" s="418">
        <f>IF((GETPIVOTDATA("Total-Old",'Distrib pivot table'!$C$2,"state","TN","group","2d2")/GETPIVOTDATA("Total-Old",'Distrib pivot table'!$C$2,"state","TN"))=0,,IF(GETPIVOTDATA("Total-Old",'Distrib pivot table'!$C$2,"state","TN","group","2d2")/GETPIVOTDATA("Total-Old",'Distrib pivot table'!$C$2,"state","TN")&gt;0.0005,GETPIVOTDATA("Total-Old",'Distrib pivot table'!$C$2,"state","TN","group","2d2")/GETPIVOTDATA("Total-Old",'Distrib pivot table'!$C$2,"state","TN"),"*"))</f>
        <v>0</v>
      </c>
      <c r="R46" s="418">
        <f>IF((GETPIVOTDATA("Total-Old",'Distrib pivot table'!$C$2,"state","TX","group","2d2")/GETPIVOTDATA("Total-Old",'Distrib pivot table'!$C$2,"state","TX"))=0,,IF(GETPIVOTDATA("Total-Old",'Distrib pivot table'!$C$2,"state","TX","group","2d2")/GETPIVOTDATA("Total-Old",'Distrib pivot table'!$C$2,"state","TX")&gt;0.0005,GETPIVOTDATA("Total-Old",'Distrib pivot table'!$C$2,"state","TX","group","2d2")/GETPIVOTDATA("Total-Old",'Distrib pivot table'!$C$2,"state","TX"),"*"))</f>
        <v>0</v>
      </c>
      <c r="S46" s="418" t="str">
        <f>IF((GETPIVOTDATA("Total-Old",'Distrib pivot table'!$C$2,"state","VA","group","2d2")/GETPIVOTDATA("Total-Old",'Distrib pivot table'!$C$2,"state","VA"))=0,,IF(GETPIVOTDATA("Total-Old",'Distrib pivot table'!$C$2,"state","VA","group","2d2")/GETPIVOTDATA("Total-Old",'Distrib pivot table'!$C$2,"state","VA")&gt;0.0005,GETPIVOTDATA("Total-Old",'Distrib pivot table'!$C$2,"state","VA","group","2d2")/GETPIVOTDATA("Total-Old",'Distrib pivot table'!$C$2,"state","VA"),"*"))</f>
        <v>*</v>
      </c>
      <c r="T46" s="418">
        <f>IF((GETPIVOTDATA("Total-Old",'Distrib pivot table'!$C$2,"state","WV","group","2d2")/GETPIVOTDATA("Total-Old",'Distrib pivot table'!$C$2,"state","WV"))=0,,IF(GETPIVOTDATA("Total-Old",'Distrib pivot table'!$C$2,"state","WV","group","2d2")/GETPIVOTDATA("Total-Old",'Distrib pivot table'!$C$2,"state","WV")&gt;0.0005,GETPIVOTDATA("Total-Old",'Distrib pivot table'!$C$2,"state","WV","group","2d2")/GETPIVOTDATA("Total-Old",'Distrib pivot table'!$C$2,"state","WV"),"*"))</f>
        <v>0</v>
      </c>
      <c r="U46" s="3"/>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row>
    <row r="47" spans="1:50" ht="12.6" customHeight="1" x14ac:dyDescent="0.2">
      <c r="A47" s="1541"/>
      <c r="B47" s="127" t="s">
        <v>311</v>
      </c>
      <c r="C47" s="374" t="s">
        <v>252</v>
      </c>
      <c r="D47" s="418">
        <f>IF(GETPIVOTDATA("Total-Old",'Distrib pivot table'!$C$2,"group","2d2a")/GETPIVOTDATA("Total-Old",'Distrib pivot table'!$C$2)=0,,IF(GETPIVOTDATA("Total-Old",'Distrib pivot table'!$C$2,"group","2d2a")/GETPIVOTDATA("Total-Old",'Distrib pivot table'!$C$2)&gt;0.0005,GETPIVOTDATA("Total-Old",'Distrib pivot table'!$C$2,"group","2d2a")/GETPIVOTDATA("Total-Old",'Distrib pivot table'!$C$2),"*"))</f>
        <v>7.0016760618427558E-3</v>
      </c>
      <c r="E47" s="418">
        <f>IF((GETPIVOTDATA("Total-Old",'Distrib pivot table'!$C$2,"state","AL","group","2d2a")/GETPIVOTDATA("Total-Old",'Distrib pivot table'!$C$2,"state","AL"))=0,,IF(GETPIVOTDATA("Total-Old",'Distrib pivot table'!$C$2,"state","AL","group","2d2a")/GETPIVOTDATA("Total-Old",'Distrib pivot table'!$C$2,"state","AL")&gt;0.0005,GETPIVOTDATA("Total-Old",'Distrib pivot table'!$C$2,"state","AL","group","2d2a")/GETPIVOTDATA("Total-Old",'Distrib pivot table'!$C$2,"state","AL"),"*"))</f>
        <v>0</v>
      </c>
      <c r="F47" s="418">
        <f>IF((GETPIVOTDATA("Total-Old",'Distrib pivot table'!$C$2,"state","AR","group","2d2a")/GETPIVOTDATA("Total-Old",'Distrib pivot table'!$C$2,"state","AR"))=0,,IF(GETPIVOTDATA("Total-Old",'Distrib pivot table'!$C$2,"state","AR","group","2d2a")/GETPIVOTDATA("Total-Old",'Distrib pivot table'!$C$2,"state","AR")&gt;0.0005,GETPIVOTDATA("Total-Old",'Distrib pivot table'!$C$2,"state","AR","group","2d2a")/GETPIVOTDATA("Total-Old",'Distrib pivot table'!$C$2,"state","AR"),"*"))</f>
        <v>0</v>
      </c>
      <c r="G47" s="418">
        <f>IF((GETPIVOTDATA("Total-Old",'Distrib pivot table'!$C$2,"state","DE","group","2d2a")/GETPIVOTDATA("Total-Old",'Distrib pivot table'!$C$2,"state","DE"))=0,,IF(GETPIVOTDATA("Total-Old",'Distrib pivot table'!$C$2,"state","DE","group","2d2a")/GETPIVOTDATA("Total-Old",'Distrib pivot table'!$C$2,"state","DE")&gt;0.0005,GETPIVOTDATA("Total-Old",'Distrib pivot table'!$C$2,"state","DE","group","2d2a")/GETPIVOTDATA("Total-Old",'Distrib pivot table'!$C$2,"state","DE"),"*"))</f>
        <v>0</v>
      </c>
      <c r="H47" s="418">
        <f>IF((GETPIVOTDATA("Total-Old",'Distrib pivot table'!$C$2,"state","FL","group","2d2a")/GETPIVOTDATA("Total-Old",'Distrib pivot table'!$C$2,"state","FL"))=0,,IF(GETPIVOTDATA("Total-Old",'Distrib pivot table'!$C$2,"state","FL","group","2d2a")/GETPIVOTDATA("Total-Old",'Distrib pivot table'!$C$2,"state","FL")&gt;0.0005,GETPIVOTDATA("Total-Old",'Distrib pivot table'!$C$2,"state","FL","group","2d2a")/GETPIVOTDATA("Total-Old",'Distrib pivot table'!$C$2,"state","FL"),"*"))</f>
        <v>1.7460602171019243E-2</v>
      </c>
      <c r="I47" s="418">
        <f>IF((GETPIVOTDATA("Total-Old",'Distrib pivot table'!$C$2,"state","GA","group","2d2a")/GETPIVOTDATA("Total-Old",'Distrib pivot table'!$C$2,"state","GA"))=0,,IF(GETPIVOTDATA("Total-Old",'Distrib pivot table'!$C$2,"state","GA","group","2d2a")/GETPIVOTDATA("Total-Old",'Distrib pivot table'!$C$2,"state","GA")&gt;0.0005,GETPIVOTDATA("Total-Old",'Distrib pivot table'!$C$2,"state","GA","group","2d2a")/GETPIVOTDATA("Total-Old",'Distrib pivot table'!$C$2,"state","GA"),"*"))</f>
        <v>0</v>
      </c>
      <c r="J47" s="418">
        <f>IF((GETPIVOTDATA("Total-Old",'Distrib pivot table'!$C$2,"state","KY","group","2d2a")/GETPIVOTDATA("Total-Old",'Distrib pivot table'!$C$2,"state","KY"))=0,,IF(GETPIVOTDATA("Total-Old",'Distrib pivot table'!$C$2,"state","KY","group","2d2a")/GETPIVOTDATA("Total-Old",'Distrib pivot table'!$C$2,"state","KY")&gt;0.0005,GETPIVOTDATA("Total-Old",'Distrib pivot table'!$C$2,"state","KY","group","2d2a")/GETPIVOTDATA("Total-Old",'Distrib pivot table'!$C$2,"state","KY"),"*"))</f>
        <v>0</v>
      </c>
      <c r="K47" s="418">
        <f>IF((GETPIVOTDATA("Total-Old",'Distrib pivot table'!$C$2,"state","LA","group","2d2a")/GETPIVOTDATA("Total-Old",'Distrib pivot table'!$C$2,"state","LA"))=0,,IF(GETPIVOTDATA("Total-Old",'Distrib pivot table'!$C$2,"state","LA","group","2d2a")/GETPIVOTDATA("Total-Old",'Distrib pivot table'!$C$2,"state","LA")&gt;0.0005,GETPIVOTDATA("Total-Old",'Distrib pivot table'!$C$2,"state","LA","group","2d2a")/GETPIVOTDATA("Total-Old",'Distrib pivot table'!$C$2,"state","LA"),"*"))</f>
        <v>0</v>
      </c>
      <c r="L47" s="418">
        <f>IF((GETPIVOTDATA("Total-Old",'Distrib pivot table'!$C$2,"state","MD","group","2d2a")/GETPIVOTDATA("Total-Old",'Distrib pivot table'!$C$2,"state","MD"))=0,,IF(GETPIVOTDATA("Total-Old",'Distrib pivot table'!$C$2,"state","MD","group","2d2a")/GETPIVOTDATA("Total-Old",'Distrib pivot table'!$C$2,"state","MD")&gt;0.0005,GETPIVOTDATA("Total-Old",'Distrib pivot table'!$C$2,"state","MD","group","2d2a")/GETPIVOTDATA("Total-Old",'Distrib pivot table'!$C$2,"state","MD"),"*"))</f>
        <v>0</v>
      </c>
      <c r="M47" s="418" t="str">
        <f>IF((GETPIVOTDATA("Total-Old",'Distrib pivot table'!$C$2,"state","MS","group","2d2a")/GETPIVOTDATA("Total-Old",'Distrib pivot table'!$C$2,"state","MS"))=0,,IF(GETPIVOTDATA("Total-Old",'Distrib pivot table'!$C$2,"state","MS","group","2d2a")/GETPIVOTDATA("Total-Old",'Distrib pivot table'!$C$2,"state","MS")&gt;0.0005,GETPIVOTDATA("Total-Old",'Distrib pivot table'!$C$2,"state","MS","group","2d2a")/GETPIVOTDATA("Total-Old",'Distrib pivot table'!$C$2,"state","MS"),"*"))</f>
        <v>*</v>
      </c>
      <c r="N47" s="418">
        <f>IF((GETPIVOTDATA("Total-Old",'Distrib pivot table'!$C$2,"state","NC","group","2d2a")/GETPIVOTDATA("Total-Old",'Distrib pivot table'!$C$2,"state","NC"))=0,,IF(GETPIVOTDATA("Total-Old",'Distrib pivot table'!$C$2,"state","NC","group","2d2a")/GETPIVOTDATA("Total-Old",'Distrib pivot table'!$C$2,"state","NC")&gt;0.0005,GETPIVOTDATA("Total-Old",'Distrib pivot table'!$C$2,"state","NC","group","2d2a")/GETPIVOTDATA("Total-Old",'Distrib pivot table'!$C$2,"state","NC"),"*"))</f>
        <v>2.6040374334291353E-2</v>
      </c>
      <c r="O47" s="418">
        <f>IF((GETPIVOTDATA("Total-Old",'Distrib pivot table'!$C$2,"state","OK","group","2d2a")/GETPIVOTDATA("Total-Old",'Distrib pivot table'!$C$2,"state","OK"))=0,,IF(GETPIVOTDATA("Total-Old",'Distrib pivot table'!$C$2,"state","OK","group","2d2a")/GETPIVOTDATA("Total-Old",'Distrib pivot table'!$C$2,"state","OK")&gt;0.0005,GETPIVOTDATA("Total-Old",'Distrib pivot table'!$C$2,"state","OK","group","2d2a")/GETPIVOTDATA("Total-Old",'Distrib pivot table'!$C$2,"state","OK"),"*"))</f>
        <v>0</v>
      </c>
      <c r="P47" s="418">
        <f>IF((GETPIVOTDATA("Total-Old",'Distrib pivot table'!$C$2,"state","SC","group","2d2a")/GETPIVOTDATA("Total-Old",'Distrib pivot table'!$C$2,"state","SC"))=0,,IF(GETPIVOTDATA("Total-Old",'Distrib pivot table'!$C$2,"state","SC","group","2d2a")/GETPIVOTDATA("Total-Old",'Distrib pivot table'!$C$2,"state","SC")&gt;0.0005,GETPIVOTDATA("Total-Old",'Distrib pivot table'!$C$2,"state","SC","group","2d2a")/GETPIVOTDATA("Total-Old",'Distrib pivot table'!$C$2,"state","SC"),"*"))</f>
        <v>0</v>
      </c>
      <c r="Q47" s="418">
        <f>IF((GETPIVOTDATA("Total-Old",'Distrib pivot table'!$C$2,"state","TN","group","2d2a")/GETPIVOTDATA("Total-Old",'Distrib pivot table'!$C$2,"state","TN"))=0,,IF(GETPIVOTDATA("Total-Old",'Distrib pivot table'!$C$2,"state","TN","group","2d2a")/GETPIVOTDATA("Total-Old",'Distrib pivot table'!$C$2,"state","TN")&gt;0.0005,GETPIVOTDATA("Total-Old",'Distrib pivot table'!$C$2,"state","TN","group","2d2a")/GETPIVOTDATA("Total-Old",'Distrib pivot table'!$C$2,"state","TN"),"*"))</f>
        <v>0</v>
      </c>
      <c r="R47" s="418">
        <f>IF((GETPIVOTDATA("Total-Old",'Distrib pivot table'!$C$2,"state","TX","group","2d2a")/GETPIVOTDATA("Total-Old",'Distrib pivot table'!$C$2,"state","TX"))=0,,IF(GETPIVOTDATA("Total-Old",'Distrib pivot table'!$C$2,"state","TX","group","2d2a")/GETPIVOTDATA("Total-Old",'Distrib pivot table'!$C$2,"state","TX")&gt;0.0005,GETPIVOTDATA("Total-Old",'Distrib pivot table'!$C$2,"state","TX","group","2d2a")/GETPIVOTDATA("Total-Old",'Distrib pivot table'!$C$2,"state","TX"),"*"))</f>
        <v>0</v>
      </c>
      <c r="S47" s="418">
        <f>IF((GETPIVOTDATA("Total-Old",'Distrib pivot table'!$C$2,"state","VA","group","2d2a")/GETPIVOTDATA("Total-Old",'Distrib pivot table'!$C$2,"state","VA"))=0,,IF(GETPIVOTDATA("Total-Old",'Distrib pivot table'!$C$2,"state","VA","group","2d2a")/GETPIVOTDATA("Total-Old",'Distrib pivot table'!$C$2,"state","VA")&gt;0.0005,GETPIVOTDATA("Total-Old",'Distrib pivot table'!$C$2,"state","VA","group","2d2a")/GETPIVOTDATA("Total-Old",'Distrib pivot table'!$C$2,"state","VA"),"*"))</f>
        <v>3.4417118326553517E-2</v>
      </c>
      <c r="T47" s="418">
        <f>IF((GETPIVOTDATA("Total-Old",'Distrib pivot table'!$C$2,"state","WV","group","2d2a")/GETPIVOTDATA("Total-Old",'Distrib pivot table'!$C$2,"state","WV"))=0,,IF(GETPIVOTDATA("Total-Old",'Distrib pivot table'!$C$2,"state","WV","group","2d2a")/GETPIVOTDATA("Total-Old",'Distrib pivot table'!$C$2,"state","WV")&gt;0.0005,GETPIVOTDATA("Total-Old",'Distrib pivot table'!$C$2,"state","WV","group","2d2a")/GETPIVOTDATA("Total-Old",'Distrib pivot table'!$C$2,"state","WV"),"*"))</f>
        <v>0</v>
      </c>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row>
    <row r="48" spans="1:50" ht="12.6" customHeight="1" x14ac:dyDescent="0.2">
      <c r="A48" s="1541"/>
      <c r="B48" s="127" t="s">
        <v>249</v>
      </c>
      <c r="C48" s="374" t="s">
        <v>253</v>
      </c>
      <c r="D48" s="418">
        <f>IF(GETPIVOTDATA("Total-Old",'Distrib pivot table'!$C$2,"group","2d2b")/GETPIVOTDATA("Total-Old",'Distrib pivot table'!$C$2)=0,,IF(GETPIVOTDATA("Total-Old",'Distrib pivot table'!$C$2,"group","2d2b")/GETPIVOTDATA("Total-Old",'Distrib pivot table'!$C$2)&gt;0.0005,GETPIVOTDATA("Total-Old",'Distrib pivot table'!$C$2,"group","2d2b")/GETPIVOTDATA("Total-Old",'Distrib pivot table'!$C$2),"*"))</f>
        <v>7.4289848878683531E-3</v>
      </c>
      <c r="E48" s="418" t="str">
        <f>IF((GETPIVOTDATA("Total-Old",'Distrib pivot table'!$C$2,"state","AL","group","2d2b")/GETPIVOTDATA("Total-Old",'Distrib pivot table'!$C$2,"state","AL"))=0,,IF(GETPIVOTDATA("Total-Old",'Distrib pivot table'!$C$2,"state","AL","group","2d2b")/GETPIVOTDATA("Total-Old",'Distrib pivot table'!$C$2,"state","AL")&gt;0.0005,GETPIVOTDATA("Total-Old",'Distrib pivot table'!$C$2,"state","AL","group","2d2b")/GETPIVOTDATA("Total-Old",'Distrib pivot table'!$C$2,"state","AL"),"*"))</f>
        <v>*</v>
      </c>
      <c r="F48" s="418" t="str">
        <f>IF((GETPIVOTDATA("Total-Old",'Distrib pivot table'!$C$2,"state","AR","group","2d2b")/GETPIVOTDATA("Total-Old",'Distrib pivot table'!$C$2,"state","AR"))=0,,IF(GETPIVOTDATA("Total-Old",'Distrib pivot table'!$C$2,"state","AR","group","2d2b")/GETPIVOTDATA("Total-Old",'Distrib pivot table'!$C$2,"state","AR")&gt;0.0005,GETPIVOTDATA("Total-Old",'Distrib pivot table'!$C$2,"state","AR","group","2d2b")/GETPIVOTDATA("Total-Old",'Distrib pivot table'!$C$2,"state","AR"),"*"))</f>
        <v>*</v>
      </c>
      <c r="G48" s="418">
        <f>IF((GETPIVOTDATA("Total-Old",'Distrib pivot table'!$C$2,"state","DE","group","2d2b")/GETPIVOTDATA("Total-Old",'Distrib pivot table'!$C$2,"state","DE"))=0,,IF(GETPIVOTDATA("Total-Old",'Distrib pivot table'!$C$2,"state","DE","group","2d2b")/GETPIVOTDATA("Total-Old",'Distrib pivot table'!$C$2,"state","DE")&gt;0.0005,GETPIVOTDATA("Total-Old",'Distrib pivot table'!$C$2,"state","DE","group","2d2b")/GETPIVOTDATA("Total-Old",'Distrib pivot table'!$C$2,"state","DE"),"*"))</f>
        <v>0</v>
      </c>
      <c r="H48" s="418" t="str">
        <f>IF((GETPIVOTDATA("Total-Old",'Distrib pivot table'!$C$2,"state","FL","group","2d2b")/GETPIVOTDATA("Total-Old",'Distrib pivot table'!$C$2,"state","FL"))=0,,IF(GETPIVOTDATA("Total-Old",'Distrib pivot table'!$C$2,"state","FL","group","2d2b")/GETPIVOTDATA("Total-Old",'Distrib pivot table'!$C$2,"state","FL")&gt;0.0005,GETPIVOTDATA("Total-Old",'Distrib pivot table'!$C$2,"state","FL","group","2d2b")/GETPIVOTDATA("Total-Old",'Distrib pivot table'!$C$2,"state","FL"),"*"))</f>
        <v>*</v>
      </c>
      <c r="I48" s="418">
        <f>IF((GETPIVOTDATA("Total-Old",'Distrib pivot table'!$C$2,"state","GA","group","2d2b")/GETPIVOTDATA("Total-Old",'Distrib pivot table'!$C$2,"state","GA"))=0,,IF(GETPIVOTDATA("Total-Old",'Distrib pivot table'!$C$2,"state","GA","group","2d2b")/GETPIVOTDATA("Total-Old",'Distrib pivot table'!$C$2,"state","GA")&gt;0.0005,GETPIVOTDATA("Total-Old",'Distrib pivot table'!$C$2,"state","GA","group","2d2b")/GETPIVOTDATA("Total-Old",'Distrib pivot table'!$C$2,"state","GA"),"*"))</f>
        <v>8.7198958719203593E-2</v>
      </c>
      <c r="J48" s="418">
        <f>IF((GETPIVOTDATA("Total-Old",'Distrib pivot table'!$C$2,"state","KY","group","2d2b")/GETPIVOTDATA("Total-Old",'Distrib pivot table'!$C$2,"state","KY"))=0,,IF(GETPIVOTDATA("Total-Old",'Distrib pivot table'!$C$2,"state","KY","group","2d2b")/GETPIVOTDATA("Total-Old",'Distrib pivot table'!$C$2,"state","KY")&gt;0.0005,GETPIVOTDATA("Total-Old",'Distrib pivot table'!$C$2,"state","KY","group","2d2b")/GETPIVOTDATA("Total-Old",'Distrib pivot table'!$C$2,"state","KY"),"*"))</f>
        <v>0</v>
      </c>
      <c r="K48" s="418">
        <f>IF((GETPIVOTDATA("Total-Old",'Distrib pivot table'!$C$2,"state","LA","group","2d2b")/GETPIVOTDATA("Total-Old",'Distrib pivot table'!$C$2,"state","LA"))=0,,IF(GETPIVOTDATA("Total-Old",'Distrib pivot table'!$C$2,"state","LA","group","2d2b")/GETPIVOTDATA("Total-Old",'Distrib pivot table'!$C$2,"state","LA")&gt;0.0005,GETPIVOTDATA("Total-Old",'Distrib pivot table'!$C$2,"state","LA","group","2d2b")/GETPIVOTDATA("Total-Old",'Distrib pivot table'!$C$2,"state","LA"),"*"))</f>
        <v>0</v>
      </c>
      <c r="L48" s="418">
        <f>IF((GETPIVOTDATA("Total-Old",'Distrib pivot table'!$C$2,"state","MD","group","2d2b")/GETPIVOTDATA("Total-Old",'Distrib pivot table'!$C$2,"state","MD"))=0,,IF(GETPIVOTDATA("Total-Old",'Distrib pivot table'!$C$2,"state","MD","group","2d2b")/GETPIVOTDATA("Total-Old",'Distrib pivot table'!$C$2,"state","MD")&gt;0.0005,GETPIVOTDATA("Total-Old",'Distrib pivot table'!$C$2,"state","MD","group","2d2b")/GETPIVOTDATA("Total-Old",'Distrib pivot table'!$C$2,"state","MD"),"*"))</f>
        <v>0</v>
      </c>
      <c r="M48" s="418">
        <f>IF((GETPIVOTDATA("Total-Old",'Distrib pivot table'!$C$2,"state","MS","group","2d2b")/GETPIVOTDATA("Total-Old",'Distrib pivot table'!$C$2,"state","MS"))=0,,IF(GETPIVOTDATA("Total-Old",'Distrib pivot table'!$C$2,"state","MS","group","2d2b")/GETPIVOTDATA("Total-Old",'Distrib pivot table'!$C$2,"state","MS")&gt;0.0005,GETPIVOTDATA("Total-Old",'Distrib pivot table'!$C$2,"state","MS","group","2d2b")/GETPIVOTDATA("Total-Old",'Distrib pivot table'!$C$2,"state","MS"),"*"))</f>
        <v>4.6044761270983108E-3</v>
      </c>
      <c r="N48" s="418">
        <f>IF((GETPIVOTDATA("Total-Old",'Distrib pivot table'!$C$2,"state","NC","group","2d2b")/GETPIVOTDATA("Total-Old",'Distrib pivot table'!$C$2,"state","NC"))=0,,IF(GETPIVOTDATA("Total-Old",'Distrib pivot table'!$C$2,"state","NC","group","2d2b")/GETPIVOTDATA("Total-Old",'Distrib pivot table'!$C$2,"state","NC")&gt;0.0005,GETPIVOTDATA("Total-Old",'Distrib pivot table'!$C$2,"state","NC","group","2d2b")/GETPIVOTDATA("Total-Old",'Distrib pivot table'!$C$2,"state","NC"),"*"))</f>
        <v>9.8265222380571147E-4</v>
      </c>
      <c r="O48" s="418">
        <f>IF((GETPIVOTDATA("Total-Old",'Distrib pivot table'!$C$2,"state","OK","group","2d2b")/GETPIVOTDATA("Total-Old",'Distrib pivot table'!$C$2,"state","OK"))=0,,IF(GETPIVOTDATA("Total-Old",'Distrib pivot table'!$C$2,"state","OK","group","2d2b")/GETPIVOTDATA("Total-Old",'Distrib pivot table'!$C$2,"state","OK")&gt;0.0005,GETPIVOTDATA("Total-Old",'Distrib pivot table'!$C$2,"state","OK","group","2d2b")/GETPIVOTDATA("Total-Old",'Distrib pivot table'!$C$2,"state","OK"),"*"))</f>
        <v>0</v>
      </c>
      <c r="P48" s="418">
        <f>IF((GETPIVOTDATA("Total-Old",'Distrib pivot table'!$C$2,"state","SC","group","2d2b")/GETPIVOTDATA("Total-Old",'Distrib pivot table'!$C$2,"state","SC"))=0,,IF(GETPIVOTDATA("Total-Old",'Distrib pivot table'!$C$2,"state","SC","group","2d2b")/GETPIVOTDATA("Total-Old",'Distrib pivot table'!$C$2,"state","SC")&gt;0.0005,GETPIVOTDATA("Total-Old",'Distrib pivot table'!$C$2,"state","SC","group","2d2b")/GETPIVOTDATA("Total-Old",'Distrib pivot table'!$C$2,"state","SC"),"*"))</f>
        <v>0</v>
      </c>
      <c r="Q48" s="418">
        <f>IF((GETPIVOTDATA("Total-Old",'Distrib pivot table'!$C$2,"state","TN","group","2d2b")/GETPIVOTDATA("Total-Old",'Distrib pivot table'!$C$2,"state","TN"))=0,,IF(GETPIVOTDATA("Total-Old",'Distrib pivot table'!$C$2,"state","TN","group","2d2b")/GETPIVOTDATA("Total-Old",'Distrib pivot table'!$C$2,"state","TN")&gt;0.0005,GETPIVOTDATA("Total-Old",'Distrib pivot table'!$C$2,"state","TN","group","2d2b")/GETPIVOTDATA("Total-Old",'Distrib pivot table'!$C$2,"state","TN"),"*"))</f>
        <v>0</v>
      </c>
      <c r="R48" s="418">
        <f>IF((GETPIVOTDATA("Total-Old",'Distrib pivot table'!$C$2,"state","TX","group","2d2b")/GETPIVOTDATA("Total-Old",'Distrib pivot table'!$C$2,"state","TX"))=0,,IF(GETPIVOTDATA("Total-Old",'Distrib pivot table'!$C$2,"state","TX","group","2d2b")/GETPIVOTDATA("Total-Old",'Distrib pivot table'!$C$2,"state","TX")&gt;0.0005,GETPIVOTDATA("Total-Old",'Distrib pivot table'!$C$2,"state","TX","group","2d2b")/GETPIVOTDATA("Total-Old",'Distrib pivot table'!$C$2,"state","TX"),"*"))</f>
        <v>0</v>
      </c>
      <c r="S48" s="418">
        <f>IF((GETPIVOTDATA("Total-Old",'Distrib pivot table'!$C$2,"state","VA","group","2d2b")/GETPIVOTDATA("Total-Old",'Distrib pivot table'!$C$2,"state","VA"))=0,,IF(GETPIVOTDATA("Total-Old",'Distrib pivot table'!$C$2,"state","VA","group","2d2b")/GETPIVOTDATA("Total-Old",'Distrib pivot table'!$C$2,"state","VA")&gt;0.0005,GETPIVOTDATA("Total-Old",'Distrib pivot table'!$C$2,"state","VA","group","2d2b")/GETPIVOTDATA("Total-Old",'Distrib pivot table'!$C$2,"state","VA"),"*"))</f>
        <v>2.7480872462007744E-3</v>
      </c>
      <c r="T48" s="418">
        <f>IF((GETPIVOTDATA("Total-Old",'Distrib pivot table'!$C$2,"state","WV","group","2d2b")/GETPIVOTDATA("Total-Old",'Distrib pivot table'!$C$2,"state","WV"))=0,,IF(GETPIVOTDATA("Total-Old",'Distrib pivot table'!$C$2,"state","WV","group","2d2b")/GETPIVOTDATA("Total-Old",'Distrib pivot table'!$C$2,"state","WV")&gt;0.0005,GETPIVOTDATA("Total-Old",'Distrib pivot table'!$C$2,"state","WV","group","2d2b")/GETPIVOTDATA("Total-Old",'Distrib pivot table'!$C$2,"state","WV"),"*"))</f>
        <v>0</v>
      </c>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row>
    <row r="49" spans="1:50" ht="12.6" customHeight="1" x14ac:dyDescent="0.2">
      <c r="A49" s="1541"/>
      <c r="B49" s="127" t="s">
        <v>307</v>
      </c>
      <c r="C49" s="374" t="s">
        <v>294</v>
      </c>
      <c r="D49" s="418" t="str">
        <f>IF(GETPIVOTDATA("Total-Old",'Distrib pivot table'!$C$2,"group","2d3")/GETPIVOTDATA("Total-Old",'Distrib pivot table'!$C$2)=0,,IF(GETPIVOTDATA("Total-Old",'Distrib pivot table'!$C$2,"group","2d3")/GETPIVOTDATA("Total-Old",'Distrib pivot table'!$C$2)&gt;0.0005,GETPIVOTDATA("Total-Old",'Distrib pivot table'!$C$2,"group","2d3")/GETPIVOTDATA("Total-Old",'Distrib pivot table'!$C$2),"*"))</f>
        <v>*</v>
      </c>
      <c r="E49" s="418">
        <f>IF((GETPIVOTDATA("Total-Old",'Distrib pivot table'!$C$2,"state","AL","group","2d3")/GETPIVOTDATA("Total-Old",'Distrib pivot table'!$C$2,"state","AL"))=0,,IF(GETPIVOTDATA("Total-Old",'Distrib pivot table'!$C$2,"state","AL","group","2d3")/GETPIVOTDATA("Total-Old",'Distrib pivot table'!$C$2,"state","AL")&gt;0.0005,GETPIVOTDATA("Total-Old",'Distrib pivot table'!$C$2,"state","AL","group","2d3")/GETPIVOTDATA("Total-Old",'Distrib pivot table'!$C$2,"state","AL"),"*"))</f>
        <v>0</v>
      </c>
      <c r="F49" s="418">
        <f>IF((GETPIVOTDATA("Total-Old",'Distrib pivot table'!$C$2,"state","AR","group","2d3")/GETPIVOTDATA("Total-Old",'Distrib pivot table'!$C$2,"state","AR"))=0,,IF(GETPIVOTDATA("Total-Old",'Distrib pivot table'!$C$2,"state","AR","group","2d3")/GETPIVOTDATA("Total-Old",'Distrib pivot table'!$C$2,"state","AR")&gt;0.0005,GETPIVOTDATA("Total-Old",'Distrib pivot table'!$C$2,"state","AR","group","2d3")/GETPIVOTDATA("Total-Old",'Distrib pivot table'!$C$2,"state","AR"),"*"))</f>
        <v>0</v>
      </c>
      <c r="G49" s="418">
        <f>IF((GETPIVOTDATA("Total-Old",'Distrib pivot table'!$C$2,"state","DE","group","2d3")/GETPIVOTDATA("Total-Old",'Distrib pivot table'!$C$2,"state","DE"))=0,,IF(GETPIVOTDATA("Total-Old",'Distrib pivot table'!$C$2,"state","DE","group","2d3")/GETPIVOTDATA("Total-Old",'Distrib pivot table'!$C$2,"state","DE")&gt;0.0005,GETPIVOTDATA("Total-Old",'Distrib pivot table'!$C$2,"state","DE","group","2d3")/GETPIVOTDATA("Total-Old",'Distrib pivot table'!$C$2,"state","DE"),"*"))</f>
        <v>0</v>
      </c>
      <c r="H49" s="418">
        <f>IF((GETPIVOTDATA("Total-Old",'Distrib pivot table'!$C$2,"state","FL","group","2d3")/GETPIVOTDATA("Total-Old",'Distrib pivot table'!$C$2,"state","FL"))=0,,IF(GETPIVOTDATA("Total-Old",'Distrib pivot table'!$C$2,"state","FL","group","2d3")/GETPIVOTDATA("Total-Old",'Distrib pivot table'!$C$2,"state","FL")&gt;0.0005,GETPIVOTDATA("Total-Old",'Distrib pivot table'!$C$2,"state","FL","group","2d3")/GETPIVOTDATA("Total-Old",'Distrib pivot table'!$C$2,"state","FL"),"*"))</f>
        <v>0</v>
      </c>
      <c r="I49" s="418">
        <f>IF((GETPIVOTDATA("Total-Old",'Distrib pivot table'!$C$2,"state","GA","group","2d3")/GETPIVOTDATA("Total-Old",'Distrib pivot table'!$C$2,"state","GA"))=0,,IF(GETPIVOTDATA("Total-Old",'Distrib pivot table'!$C$2,"state","GA","group","2d3")/GETPIVOTDATA("Total-Old",'Distrib pivot table'!$C$2,"state","GA")&gt;0.0005,GETPIVOTDATA("Total-Old",'Distrib pivot table'!$C$2,"state","GA","group","2d3")/GETPIVOTDATA("Total-Old",'Distrib pivot table'!$C$2,"state","GA"),"*"))</f>
        <v>0</v>
      </c>
      <c r="J49" s="418">
        <f>IF((GETPIVOTDATA("Total-Old",'Distrib pivot table'!$C$2,"state","KY","group","2d3")/GETPIVOTDATA("Total-Old",'Distrib pivot table'!$C$2,"state","KY"))=0,,IF(GETPIVOTDATA("Total-Old",'Distrib pivot table'!$C$2,"state","KY","group","2d3")/GETPIVOTDATA("Total-Old",'Distrib pivot table'!$C$2,"state","KY")&gt;0.0005,GETPIVOTDATA("Total-Old",'Distrib pivot table'!$C$2,"state","KY","group","2d3")/GETPIVOTDATA("Total-Old",'Distrib pivot table'!$C$2,"state","KY"),"*"))</f>
        <v>0</v>
      </c>
      <c r="K49" s="418">
        <f>IF((GETPIVOTDATA("Total-Old",'Distrib pivot table'!$C$2,"state","LA","group","2d3")/GETPIVOTDATA("Total-Old",'Distrib pivot table'!$C$2,"state","LA"))=0,,IF(GETPIVOTDATA("Total-Old",'Distrib pivot table'!$C$2,"state","LA","group","2d3")/GETPIVOTDATA("Total-Old",'Distrib pivot table'!$C$2,"state","LA")&gt;0.0005,GETPIVOTDATA("Total-Old",'Distrib pivot table'!$C$2,"state","LA","group","2d3")/GETPIVOTDATA("Total-Old",'Distrib pivot table'!$C$2,"state","LA"),"*"))</f>
        <v>0</v>
      </c>
      <c r="L49" s="418">
        <f>IF((GETPIVOTDATA("Total-Old",'Distrib pivot table'!$C$2,"state","MD","group","2d3")/GETPIVOTDATA("Total-Old",'Distrib pivot table'!$C$2,"state","MD"))=0,,IF(GETPIVOTDATA("Total-Old",'Distrib pivot table'!$C$2,"state","MD","group","2d3")/GETPIVOTDATA("Total-Old",'Distrib pivot table'!$C$2,"state","MD")&gt;0.0005,GETPIVOTDATA("Total-Old",'Distrib pivot table'!$C$2,"state","MD","group","2d3")/GETPIVOTDATA("Total-Old",'Distrib pivot table'!$C$2,"state","MD"),"*"))</f>
        <v>0</v>
      </c>
      <c r="M49" s="418">
        <f>IF((GETPIVOTDATA("Total-Old",'Distrib pivot table'!$C$2,"state","MS","group","2d3")/GETPIVOTDATA("Total-Old",'Distrib pivot table'!$C$2,"state","MS"))=0,,IF(GETPIVOTDATA("Total-Old",'Distrib pivot table'!$C$2,"state","MS","group","2d3")/GETPIVOTDATA("Total-Old",'Distrib pivot table'!$C$2,"state","MS")&gt;0.0005,GETPIVOTDATA("Total-Old",'Distrib pivot table'!$C$2,"state","MS","group","2d3")/GETPIVOTDATA("Total-Old",'Distrib pivot table'!$C$2,"state","MS"),"*"))</f>
        <v>0</v>
      </c>
      <c r="N49" s="418">
        <f>IF((GETPIVOTDATA("Total-Old",'Distrib pivot table'!$C$2,"state","NC","group","2d3")/GETPIVOTDATA("Total-Old",'Distrib pivot table'!$C$2,"state","NC"))=0,,IF(GETPIVOTDATA("Total-Old",'Distrib pivot table'!$C$2,"state","NC","group","2d3")/GETPIVOTDATA("Total-Old",'Distrib pivot table'!$C$2,"state","NC")&gt;0.0005,GETPIVOTDATA("Total-Old",'Distrib pivot table'!$C$2,"state","NC","group","2d3")/GETPIVOTDATA("Total-Old",'Distrib pivot table'!$C$2,"state","NC"),"*"))</f>
        <v>0</v>
      </c>
      <c r="O49" s="418">
        <f>IF((GETPIVOTDATA("Total-Old",'Distrib pivot table'!$C$2,"state","OK","group","2d3")/GETPIVOTDATA("Total-Old",'Distrib pivot table'!$C$2,"state","OK"))=0,,IF(GETPIVOTDATA("Total-Old",'Distrib pivot table'!$C$2,"state","OK","group","2d3")/GETPIVOTDATA("Total-Old",'Distrib pivot table'!$C$2,"state","OK")&gt;0.0005,GETPIVOTDATA("Total-Old",'Distrib pivot table'!$C$2,"state","OK","group","2d3")/GETPIVOTDATA("Total-Old",'Distrib pivot table'!$C$2,"state","OK"),"*"))</f>
        <v>1.6974801747143874E-3</v>
      </c>
      <c r="P49" s="418">
        <f>IF((GETPIVOTDATA("Total-Old",'Distrib pivot table'!$C$2,"state","SC","group","2d3")/GETPIVOTDATA("Total-Old",'Distrib pivot table'!$C$2,"state","SC"))=0,,IF(GETPIVOTDATA("Total-Old",'Distrib pivot table'!$C$2,"state","SC","group","2d3")/GETPIVOTDATA("Total-Old",'Distrib pivot table'!$C$2,"state","SC")&gt;0.0005,GETPIVOTDATA("Total-Old",'Distrib pivot table'!$C$2,"state","SC","group","2d3")/GETPIVOTDATA("Total-Old",'Distrib pivot table'!$C$2,"state","SC"),"*"))</f>
        <v>0</v>
      </c>
      <c r="Q49" s="418">
        <f>IF((GETPIVOTDATA("Total-Old",'Distrib pivot table'!$C$2,"state","TN","group","2d3")/GETPIVOTDATA("Total-Old",'Distrib pivot table'!$C$2,"state","TN"))=0,,IF(GETPIVOTDATA("Total-Old",'Distrib pivot table'!$C$2,"state","TN","group","2d3")/GETPIVOTDATA("Total-Old",'Distrib pivot table'!$C$2,"state","TN")&gt;0.0005,GETPIVOTDATA("Total-Old",'Distrib pivot table'!$C$2,"state","TN","group","2d3")/GETPIVOTDATA("Total-Old",'Distrib pivot table'!$C$2,"state","TN"),"*"))</f>
        <v>0</v>
      </c>
      <c r="R49" s="418">
        <f>IF((GETPIVOTDATA("Total-Old",'Distrib pivot table'!$C$2,"state","TX","group","2d3")/GETPIVOTDATA("Total-Old",'Distrib pivot table'!$C$2,"state","TX"))=0,,IF(GETPIVOTDATA("Total-Old",'Distrib pivot table'!$C$2,"state","TX","group","2d3")/GETPIVOTDATA("Total-Old",'Distrib pivot table'!$C$2,"state","TX")&gt;0.0005,GETPIVOTDATA("Total-Old",'Distrib pivot table'!$C$2,"state","TX","group","2d3")/GETPIVOTDATA("Total-Old",'Distrib pivot table'!$C$2,"state","TX"),"*"))</f>
        <v>0</v>
      </c>
      <c r="S49" s="418">
        <f>IF((GETPIVOTDATA("Total-Old",'Distrib pivot table'!$C$2,"state","VA","group","2d3")/GETPIVOTDATA("Total-Old",'Distrib pivot table'!$C$2,"state","VA"))=0,,IF(GETPIVOTDATA("Total-Old",'Distrib pivot table'!$C$2,"state","VA","group","2d3")/GETPIVOTDATA("Total-Old",'Distrib pivot table'!$C$2,"state","VA")&gt;0.0005,GETPIVOTDATA("Total-Old",'Distrib pivot table'!$C$2,"state","VA","group","2d3")/GETPIVOTDATA("Total-Old",'Distrib pivot table'!$C$2,"state","VA"),"*"))</f>
        <v>0</v>
      </c>
      <c r="T49" s="418">
        <f>IF((GETPIVOTDATA("Total-Old",'Distrib pivot table'!$C$2,"state","WV","group","2d3")/GETPIVOTDATA("Total-Old",'Distrib pivot table'!$C$2,"state","WV"))=0,,IF(GETPIVOTDATA("Total-Old",'Distrib pivot table'!$C$2,"state","WV","group","2d3")/GETPIVOTDATA("Total-Old",'Distrib pivot table'!$C$2,"state","WV")&gt;0.0005,GETPIVOTDATA("Total-Old",'Distrib pivot table'!$C$2,"state","WV","group","2d3")/GETPIVOTDATA("Total-Old",'Distrib pivot table'!$C$2,"state","WV"),"*"))</f>
        <v>0</v>
      </c>
      <c r="U49" s="3"/>
      <c r="V49" s="3"/>
      <c r="W49" s="3"/>
      <c r="X49" s="3"/>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row>
    <row r="50" spans="1:50" ht="12.6" customHeight="1" x14ac:dyDescent="0.2">
      <c r="A50" s="1541"/>
      <c r="B50" s="127" t="s">
        <v>311</v>
      </c>
      <c r="C50" s="374" t="s">
        <v>254</v>
      </c>
      <c r="D50" s="418">
        <f>IF(GETPIVOTDATA("Total-Old",'Distrib pivot table'!$C$2,"group","2d3a")/GETPIVOTDATA("Total-Old",'Distrib pivot table'!$C$2)=0,,IF(GETPIVOTDATA("Total-Old",'Distrib pivot table'!$C$2,"group","2d3a")/GETPIVOTDATA("Total-Old",'Distrib pivot table'!$C$2)&gt;0.0005,GETPIVOTDATA("Total-Old",'Distrib pivot table'!$C$2,"group","2d3a")/GETPIVOTDATA("Total-Old",'Distrib pivot table'!$C$2),"*"))</f>
        <v>2.9036368336359236E-3</v>
      </c>
      <c r="E50" s="418">
        <f>IF((GETPIVOTDATA("Total-Old",'Distrib pivot table'!$C$2,"state","AL","group","2d3a")/GETPIVOTDATA("Total-Old",'Distrib pivot table'!$C$2,"state","AL"))=0,,IF(GETPIVOTDATA("Total-Old",'Distrib pivot table'!$C$2,"state","AL","group","2d3a")/GETPIVOTDATA("Total-Old",'Distrib pivot table'!$C$2,"state","AL")&gt;0.0005,GETPIVOTDATA("Total-Old",'Distrib pivot table'!$C$2,"state","AL","group","2d3a")/GETPIVOTDATA("Total-Old",'Distrib pivot table'!$C$2,"state","AL"),"*"))</f>
        <v>0</v>
      </c>
      <c r="F50" s="418">
        <f>IF((GETPIVOTDATA("Total-Old",'Distrib pivot table'!$C$2,"state","AR","group","2d3a")/GETPIVOTDATA("Total-Old",'Distrib pivot table'!$C$2,"state","AR"))=0,,IF(GETPIVOTDATA("Total-Old",'Distrib pivot table'!$C$2,"state","AR","group","2d3a")/GETPIVOTDATA("Total-Old",'Distrib pivot table'!$C$2,"state","AR")&gt;0.0005,GETPIVOTDATA("Total-Old",'Distrib pivot table'!$C$2,"state","AR","group","2d3a")/GETPIVOTDATA("Total-Old",'Distrib pivot table'!$C$2,"state","AR"),"*"))</f>
        <v>0</v>
      </c>
      <c r="G50" s="418">
        <f>IF((GETPIVOTDATA("Total-Old",'Distrib pivot table'!$C$2,"state","DE","group","2d3a")/GETPIVOTDATA("Total-Old",'Distrib pivot table'!$C$2,"state","DE"))=0,,IF(GETPIVOTDATA("Total-Old",'Distrib pivot table'!$C$2,"state","DE","group","2d3a")/GETPIVOTDATA("Total-Old",'Distrib pivot table'!$C$2,"state","DE")&gt;0.0005,GETPIVOTDATA("Total-Old",'Distrib pivot table'!$C$2,"state","DE","group","2d3a")/GETPIVOTDATA("Total-Old",'Distrib pivot table'!$C$2,"state","DE"),"*"))</f>
        <v>0</v>
      </c>
      <c r="H50" s="418">
        <f>IF((GETPIVOTDATA("Total-Old",'Distrib pivot table'!$C$2,"state","FL","group","2d3a")/GETPIVOTDATA("Total-Old",'Distrib pivot table'!$C$2,"state","FL"))=0,,IF(GETPIVOTDATA("Total-Old",'Distrib pivot table'!$C$2,"state","FL","group","2d3a")/GETPIVOTDATA("Total-Old",'Distrib pivot table'!$C$2,"state","FL")&gt;0.0005,GETPIVOTDATA("Total-Old",'Distrib pivot table'!$C$2,"state","FL","group","2d3a")/GETPIVOTDATA("Total-Old",'Distrib pivot table'!$C$2,"state","FL"),"*"))</f>
        <v>3.7326888238725887E-3</v>
      </c>
      <c r="I50" s="418">
        <f>IF((GETPIVOTDATA("Total-Old",'Distrib pivot table'!$C$2,"state","GA","group","2d3a")/GETPIVOTDATA("Total-Old",'Distrib pivot table'!$C$2,"state","GA"))=0,,IF(GETPIVOTDATA("Total-Old",'Distrib pivot table'!$C$2,"state","GA","group","2d3a")/GETPIVOTDATA("Total-Old",'Distrib pivot table'!$C$2,"state","GA")&gt;0.0005,GETPIVOTDATA("Total-Old",'Distrib pivot table'!$C$2,"state","GA","group","2d3a")/GETPIVOTDATA("Total-Old",'Distrib pivot table'!$C$2,"state","GA"),"*"))</f>
        <v>0</v>
      </c>
      <c r="J50" s="418">
        <f>IF((GETPIVOTDATA("Total-Old",'Distrib pivot table'!$C$2,"state","KY","group","2d3a")/GETPIVOTDATA("Total-Old",'Distrib pivot table'!$C$2,"state","KY"))=0,,IF(GETPIVOTDATA("Total-Old",'Distrib pivot table'!$C$2,"state","KY","group","2d3a")/GETPIVOTDATA("Total-Old",'Distrib pivot table'!$C$2,"state","KY")&gt;0.0005,GETPIVOTDATA("Total-Old",'Distrib pivot table'!$C$2,"state","KY","group","2d3a")/GETPIVOTDATA("Total-Old",'Distrib pivot table'!$C$2,"state","KY"),"*"))</f>
        <v>1.1119986277222427E-2</v>
      </c>
      <c r="K50" s="418">
        <f>IF((GETPIVOTDATA("Total-Old",'Distrib pivot table'!$C$2,"state","LA","group","2d3a")/GETPIVOTDATA("Total-Old",'Distrib pivot table'!$C$2,"state","LA"))=0,,IF(GETPIVOTDATA("Total-Old",'Distrib pivot table'!$C$2,"state","LA","group","2d3a")/GETPIVOTDATA("Total-Old",'Distrib pivot table'!$C$2,"state","LA")&gt;0.0005,GETPIVOTDATA("Total-Old",'Distrib pivot table'!$C$2,"state","LA","group","2d3a")/GETPIVOTDATA("Total-Old",'Distrib pivot table'!$C$2,"state","LA"),"*"))</f>
        <v>0</v>
      </c>
      <c r="L50" s="418">
        <f>IF((GETPIVOTDATA("Total-Old",'Distrib pivot table'!$C$2,"state","MD","group","2d3a")/GETPIVOTDATA("Total-Old",'Distrib pivot table'!$C$2,"state","MD"))=0,,IF(GETPIVOTDATA("Total-Old",'Distrib pivot table'!$C$2,"state","MD","group","2d3a")/GETPIVOTDATA("Total-Old",'Distrib pivot table'!$C$2,"state","MD")&gt;0.0005,GETPIVOTDATA("Total-Old",'Distrib pivot table'!$C$2,"state","MD","group","2d3a")/GETPIVOTDATA("Total-Old",'Distrib pivot table'!$C$2,"state","MD"),"*"))</f>
        <v>0</v>
      </c>
      <c r="M50" s="418">
        <f>IF((GETPIVOTDATA("Total-Old",'Distrib pivot table'!$C$2,"state","MS","group","2d3a")/GETPIVOTDATA("Total-Old",'Distrib pivot table'!$C$2,"state","MS"))=0,,IF(GETPIVOTDATA("Total-Old",'Distrib pivot table'!$C$2,"state","MS","group","2d3a")/GETPIVOTDATA("Total-Old",'Distrib pivot table'!$C$2,"state","MS")&gt;0.0005,GETPIVOTDATA("Total-Old",'Distrib pivot table'!$C$2,"state","MS","group","2d3a")/GETPIVOTDATA("Total-Old",'Distrib pivot table'!$C$2,"state","MS"),"*"))</f>
        <v>0</v>
      </c>
      <c r="N50" s="418">
        <f>IF((GETPIVOTDATA("Total-Old",'Distrib pivot table'!$C$2,"state","NC","group","2d3a")/GETPIVOTDATA("Total-Old",'Distrib pivot table'!$C$2,"state","NC"))=0,,IF(GETPIVOTDATA("Total-Old",'Distrib pivot table'!$C$2,"state","NC","group","2d3a")/GETPIVOTDATA("Total-Old",'Distrib pivot table'!$C$2,"state","NC")&gt;0.0005,GETPIVOTDATA("Total-Old",'Distrib pivot table'!$C$2,"state","NC","group","2d3a")/GETPIVOTDATA("Total-Old",'Distrib pivot table'!$C$2,"state","NC"),"*"))</f>
        <v>1.5566255030591582E-2</v>
      </c>
      <c r="O50" s="418">
        <f>IF((GETPIVOTDATA("Total-Old",'Distrib pivot table'!$C$2,"state","OK","group","2d3a")/GETPIVOTDATA("Total-Old",'Distrib pivot table'!$C$2,"state","OK"))=0,,IF(GETPIVOTDATA("Total-Old",'Distrib pivot table'!$C$2,"state","OK","group","2d3a")/GETPIVOTDATA("Total-Old",'Distrib pivot table'!$C$2,"state","OK")&gt;0.0005,GETPIVOTDATA("Total-Old",'Distrib pivot table'!$C$2,"state","OK","group","2d3a")/GETPIVOTDATA("Total-Old",'Distrib pivot table'!$C$2,"state","OK"),"*"))</f>
        <v>0</v>
      </c>
      <c r="P50" s="418">
        <f>IF((GETPIVOTDATA("Total-Old",'Distrib pivot table'!$C$2,"state","SC","group","2d3a")/GETPIVOTDATA("Total-Old",'Distrib pivot table'!$C$2,"state","SC"))=0,,IF(GETPIVOTDATA("Total-Old",'Distrib pivot table'!$C$2,"state","SC","group","2d3a")/GETPIVOTDATA("Total-Old",'Distrib pivot table'!$C$2,"state","SC")&gt;0.0005,GETPIVOTDATA("Total-Old",'Distrib pivot table'!$C$2,"state","SC","group","2d3a")/GETPIVOTDATA("Total-Old",'Distrib pivot table'!$C$2,"state","SC"),"*"))</f>
        <v>1.0359033095619424E-2</v>
      </c>
      <c r="Q50" s="418">
        <f>IF((GETPIVOTDATA("Total-Old",'Distrib pivot table'!$C$2,"state","TN","group","2d3a")/GETPIVOTDATA("Total-Old",'Distrib pivot table'!$C$2,"state","TN"))=0,,IF(GETPIVOTDATA("Total-Old",'Distrib pivot table'!$C$2,"state","TN","group","2d3a")/GETPIVOTDATA("Total-Old",'Distrib pivot table'!$C$2,"state","TN")&gt;0.0005,GETPIVOTDATA("Total-Old",'Distrib pivot table'!$C$2,"state","TN","group","2d3a")/GETPIVOTDATA("Total-Old",'Distrib pivot table'!$C$2,"state","TN"),"*"))</f>
        <v>0</v>
      </c>
      <c r="R50" s="418">
        <f>IF((GETPIVOTDATA("Total-Old",'Distrib pivot table'!$C$2,"state","TX","group","2d3a")/GETPIVOTDATA("Total-Old",'Distrib pivot table'!$C$2,"state","TX"))=0,,IF(GETPIVOTDATA("Total-Old",'Distrib pivot table'!$C$2,"state","TX","group","2d3a")/GETPIVOTDATA("Total-Old",'Distrib pivot table'!$C$2,"state","TX")&gt;0.0005,GETPIVOTDATA("Total-Old",'Distrib pivot table'!$C$2,"state","TX","group","2d3a")/GETPIVOTDATA("Total-Old",'Distrib pivot table'!$C$2,"state","TX"),"*"))</f>
        <v>0</v>
      </c>
      <c r="S50" s="418">
        <f>IF((GETPIVOTDATA("Total-Old",'Distrib pivot table'!$C$2,"state","VA","group","2d3a")/GETPIVOTDATA("Total-Old",'Distrib pivot table'!$C$2,"state","VA"))=0,,IF(GETPIVOTDATA("Total-Old",'Distrib pivot table'!$C$2,"state","VA","group","2d3a")/GETPIVOTDATA("Total-Old",'Distrib pivot table'!$C$2,"state","VA")&gt;0.0005,GETPIVOTDATA("Total-Old",'Distrib pivot table'!$C$2,"state","VA","group","2d3a")/GETPIVOTDATA("Total-Old",'Distrib pivot table'!$C$2,"state","VA"),"*"))</f>
        <v>0</v>
      </c>
      <c r="T50" s="418">
        <f>IF((GETPIVOTDATA("Total-Old",'Distrib pivot table'!$C$2,"state","WV","group","2d3a")/GETPIVOTDATA("Total-Old",'Distrib pivot table'!$C$2,"state","WV"))=0,,IF(GETPIVOTDATA("Total-Old",'Distrib pivot table'!$C$2,"state","WV","group","2d3a")/GETPIVOTDATA("Total-Old",'Distrib pivot table'!$C$2,"state","WV")&gt;0.0005,GETPIVOTDATA("Total-Old",'Distrib pivot table'!$C$2,"state","WV","group","2d3a")/GETPIVOTDATA("Total-Old",'Distrib pivot table'!$C$2,"state","WV"),"*"))</f>
        <v>0</v>
      </c>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row>
    <row r="51" spans="1:50" ht="12.6" customHeight="1" x14ac:dyDescent="0.2">
      <c r="A51" s="1541"/>
      <c r="B51" s="368" t="s">
        <v>249</v>
      </c>
      <c r="C51" s="374" t="s">
        <v>255</v>
      </c>
      <c r="D51" s="425">
        <f>IF(GETPIVOTDATA("Total-Old",'Distrib pivot table'!$C$2,"group","2d3b")/GETPIVOTDATA("Total-Old",'Distrib pivot table'!$C$2)=0,,IF(GETPIVOTDATA("Total-Old",'Distrib pivot table'!$C$2,"group","2d3b")/GETPIVOTDATA("Total-Old",'Distrib pivot table'!$C$2)&gt;0.0005,GETPIVOTDATA("Total-Old",'Distrib pivot table'!$C$2,"group","2d3b")/GETPIVOTDATA("Total-Old",'Distrib pivot table'!$C$2),"*"))</f>
        <v>2.5872231518436219E-3</v>
      </c>
      <c r="E51" s="425" t="str">
        <f>IF((GETPIVOTDATA("Total-Old",'Distrib pivot table'!$C$2,"state","AL","group","2d3b")/GETPIVOTDATA("Total-Old",'Distrib pivot table'!$C$2,"state","AL"))=0,,IF(GETPIVOTDATA("Total-Old",'Distrib pivot table'!$C$2,"state","AL","group","2d3b")/GETPIVOTDATA("Total-Old",'Distrib pivot table'!$C$2,"state","AL")&gt;0.0005,GETPIVOTDATA("Total-Old",'Distrib pivot table'!$C$2,"state","AL","group","2d3b")/GETPIVOTDATA("Total-Old",'Distrib pivot table'!$C$2,"state","AL"),"*"))</f>
        <v>*</v>
      </c>
      <c r="F51" s="425">
        <f>IF((GETPIVOTDATA("Total-Old",'Distrib pivot table'!$C$2,"state","AR","group","2d3b")/GETPIVOTDATA("Total-Old",'Distrib pivot table'!$C$2,"state","AR"))=0,,IF(GETPIVOTDATA("Total-Old",'Distrib pivot table'!$C$2,"state","AR","group","2d3b")/GETPIVOTDATA("Total-Old",'Distrib pivot table'!$C$2,"state","AR")&gt;0.0005,GETPIVOTDATA("Total-Old",'Distrib pivot table'!$C$2,"state","AR","group","2d3b")/GETPIVOTDATA("Total-Old",'Distrib pivot table'!$C$2,"state","AR"),"*"))</f>
        <v>0</v>
      </c>
      <c r="G51" s="425">
        <f>IF((GETPIVOTDATA("Total-Old",'Distrib pivot table'!$C$2,"state","DE","group","2d3b")/GETPIVOTDATA("Total-Old",'Distrib pivot table'!$C$2,"state","DE"))=0,,IF(GETPIVOTDATA("Total-Old",'Distrib pivot table'!$C$2,"state","DE","group","2d3b")/GETPIVOTDATA("Total-Old",'Distrib pivot table'!$C$2,"state","DE")&gt;0.0005,GETPIVOTDATA("Total-Old",'Distrib pivot table'!$C$2,"state","DE","group","2d3b")/GETPIVOTDATA("Total-Old",'Distrib pivot table'!$C$2,"state","DE"),"*"))</f>
        <v>0</v>
      </c>
      <c r="H51" s="425">
        <f>IF((GETPIVOTDATA("Total-Old",'Distrib pivot table'!$C$2,"state","FL","group","2d3b")/GETPIVOTDATA("Total-Old",'Distrib pivot table'!$C$2,"state","FL"))=0,,IF(GETPIVOTDATA("Total-Old",'Distrib pivot table'!$C$2,"state","FL","group","2d3b")/GETPIVOTDATA("Total-Old",'Distrib pivot table'!$C$2,"state","FL")&gt;0.0005,GETPIVOTDATA("Total-Old",'Distrib pivot table'!$C$2,"state","FL","group","2d3b")/GETPIVOTDATA("Total-Old",'Distrib pivot table'!$C$2,"state","FL"),"*"))</f>
        <v>1.355252024883064E-2</v>
      </c>
      <c r="I51" s="425" t="str">
        <f>IF((GETPIVOTDATA("Total-Old",'Distrib pivot table'!$C$2,"state","GA","group","2d3b")/GETPIVOTDATA("Total-Old",'Distrib pivot table'!$C$2,"state","GA"))=0,,IF(GETPIVOTDATA("Total-Old",'Distrib pivot table'!$C$2,"state","GA","group","2d3b")/GETPIVOTDATA("Total-Old",'Distrib pivot table'!$C$2,"state","GA")&gt;0.0005,GETPIVOTDATA("Total-Old",'Distrib pivot table'!$C$2,"state","GA","group","2d3b")/GETPIVOTDATA("Total-Old",'Distrib pivot table'!$C$2,"state","GA"),"*"))</f>
        <v>*</v>
      </c>
      <c r="J51" s="425" t="str">
        <f>IF((GETPIVOTDATA("Total-Old",'Distrib pivot table'!$C$2,"state","KY","group","2d3b")/GETPIVOTDATA("Total-Old",'Distrib pivot table'!$C$2,"state","KY"))=0,,IF(GETPIVOTDATA("Total-Old",'Distrib pivot table'!$C$2,"state","KY","group","2d3b")/GETPIVOTDATA("Total-Old",'Distrib pivot table'!$C$2,"state","KY")&gt;0.0005,GETPIVOTDATA("Total-Old",'Distrib pivot table'!$C$2,"state","KY","group","2d3b")/GETPIVOTDATA("Total-Old",'Distrib pivot table'!$C$2,"state","KY"),"*"))</f>
        <v>*</v>
      </c>
      <c r="K51" s="425">
        <f>IF((GETPIVOTDATA("Total-Old",'Distrib pivot table'!$C$2,"state","LA","group","2d3b")/GETPIVOTDATA("Total-Old",'Distrib pivot table'!$C$2,"state","LA"))=0,,IF(GETPIVOTDATA("Total-Old",'Distrib pivot table'!$C$2,"state","LA","group","2d3b")/GETPIVOTDATA("Total-Old",'Distrib pivot table'!$C$2,"state","LA")&gt;0.0005,GETPIVOTDATA("Total-Old",'Distrib pivot table'!$C$2,"state","LA","group","2d3b")/GETPIVOTDATA("Total-Old",'Distrib pivot table'!$C$2,"state","LA"),"*"))</f>
        <v>0</v>
      </c>
      <c r="L51" s="425">
        <f>IF((GETPIVOTDATA("Total-Old",'Distrib pivot table'!$C$2,"state","MD","group","2d3b")/GETPIVOTDATA("Total-Old",'Distrib pivot table'!$C$2,"state","MD"))=0,,IF(GETPIVOTDATA("Total-Old",'Distrib pivot table'!$C$2,"state","MD","group","2d3b")/GETPIVOTDATA("Total-Old",'Distrib pivot table'!$C$2,"state","MD")&gt;0.0005,GETPIVOTDATA("Total-Old",'Distrib pivot table'!$C$2,"state","MD","group","2d3b")/GETPIVOTDATA("Total-Old",'Distrib pivot table'!$C$2,"state","MD"),"*"))</f>
        <v>0</v>
      </c>
      <c r="M51" s="425">
        <f>IF((GETPIVOTDATA("Total-Old",'Distrib pivot table'!$C$2,"state","MS","group","2d3b")/GETPIVOTDATA("Total-Old",'Distrib pivot table'!$C$2,"state","MS"))=0,,IF(GETPIVOTDATA("Total-Old",'Distrib pivot table'!$C$2,"state","MS","group","2d3b")/GETPIVOTDATA("Total-Old",'Distrib pivot table'!$C$2,"state","MS")&gt;0.0005,GETPIVOTDATA("Total-Old",'Distrib pivot table'!$C$2,"state","MS","group","2d3b")/GETPIVOTDATA("Total-Old",'Distrib pivot table'!$C$2,"state","MS"),"*"))</f>
        <v>0</v>
      </c>
      <c r="N51" s="425">
        <f>IF((GETPIVOTDATA("Total-Old",'Distrib pivot table'!$C$2,"state","NC","group","2d3b")/GETPIVOTDATA("Total-Old",'Distrib pivot table'!$C$2,"state","NC"))=0,,IF(GETPIVOTDATA("Total-Old",'Distrib pivot table'!$C$2,"state","NC","group","2d3b")/GETPIVOTDATA("Total-Old",'Distrib pivot table'!$C$2,"state","NC")&gt;0.0005,GETPIVOTDATA("Total-Old",'Distrib pivot table'!$C$2,"state","NC","group","2d3b")/GETPIVOTDATA("Total-Old",'Distrib pivot table'!$C$2,"state","NC"),"*"))</f>
        <v>0</v>
      </c>
      <c r="O51" s="425">
        <f>IF((GETPIVOTDATA("Total-Old",'Distrib pivot table'!$C$2,"state","OK","group","2d3b")/GETPIVOTDATA("Total-Old",'Distrib pivot table'!$C$2,"state","OK"))=0,,IF(GETPIVOTDATA("Total-Old",'Distrib pivot table'!$C$2,"state","OK","group","2d3b")/GETPIVOTDATA("Total-Old",'Distrib pivot table'!$C$2,"state","OK")&gt;0.0005,GETPIVOTDATA("Total-Old",'Distrib pivot table'!$C$2,"state","OK","group","2d3b")/GETPIVOTDATA("Total-Old",'Distrib pivot table'!$C$2,"state","OK"),"*"))</f>
        <v>0</v>
      </c>
      <c r="P51" s="425">
        <f>IF((GETPIVOTDATA("Total-Old",'Distrib pivot table'!$C$2,"state","SC","group","2d3b")/GETPIVOTDATA("Total-Old",'Distrib pivot table'!$C$2,"state","SC"))=0,,IF(GETPIVOTDATA("Total-Old",'Distrib pivot table'!$C$2,"state","SC","group","2d3b")/GETPIVOTDATA("Total-Old",'Distrib pivot table'!$C$2,"state","SC")&gt;0.0005,GETPIVOTDATA("Total-Old",'Distrib pivot table'!$C$2,"state","SC","group","2d3b")/GETPIVOTDATA("Total-Old",'Distrib pivot table'!$C$2,"state","SC"),"*"))</f>
        <v>0</v>
      </c>
      <c r="Q51" s="425">
        <f>IF((GETPIVOTDATA("Total-Old",'Distrib pivot table'!$C$2,"state","TN","group","2d3b")/GETPIVOTDATA("Total-Old",'Distrib pivot table'!$C$2,"state","TN"))=0,,IF(GETPIVOTDATA("Total-Old",'Distrib pivot table'!$C$2,"state","TN","group","2d3b")/GETPIVOTDATA("Total-Old",'Distrib pivot table'!$C$2,"state","TN")&gt;0.0005,GETPIVOTDATA("Total-Old",'Distrib pivot table'!$C$2,"state","TN","group","2d3b")/GETPIVOTDATA("Total-Old",'Distrib pivot table'!$C$2,"state","TN"),"*"))</f>
        <v>0</v>
      </c>
      <c r="R51" s="425">
        <f>IF((GETPIVOTDATA("Total-Old",'Distrib pivot table'!$C$2,"state","TX","group","2d3b")/GETPIVOTDATA("Total-Old",'Distrib pivot table'!$C$2,"state","TX"))=0,,IF(GETPIVOTDATA("Total-Old",'Distrib pivot table'!$C$2,"state","TX","group","2d3b")/GETPIVOTDATA("Total-Old",'Distrib pivot table'!$C$2,"state","TX")&gt;0.0005,GETPIVOTDATA("Total-Old",'Distrib pivot table'!$C$2,"state","TX","group","2d3b")/GETPIVOTDATA("Total-Old",'Distrib pivot table'!$C$2,"state","TX"),"*"))</f>
        <v>0</v>
      </c>
      <c r="S51" s="425">
        <f>IF((GETPIVOTDATA("Total-Old",'Distrib pivot table'!$C$2,"state","VA","group","2d3b")/GETPIVOTDATA("Total-Old",'Distrib pivot table'!$C$2,"state","VA"))=0,,IF(GETPIVOTDATA("Total-Old",'Distrib pivot table'!$C$2,"state","VA","group","2d3b")/GETPIVOTDATA("Total-Old",'Distrib pivot table'!$C$2,"state","VA")&gt;0.0005,GETPIVOTDATA("Total-Old",'Distrib pivot table'!$C$2,"state","VA","group","2d3b")/GETPIVOTDATA("Total-Old",'Distrib pivot table'!$C$2,"state","VA"),"*"))</f>
        <v>1.4441586327081866E-2</v>
      </c>
      <c r="T51" s="425">
        <f>IF((GETPIVOTDATA("Total-Old",'Distrib pivot table'!$C$2,"state","WV","group","2d3b")/GETPIVOTDATA("Total-Old",'Distrib pivot table'!$C$2,"state","WV"))=0,,IF(GETPIVOTDATA("Total-Old",'Distrib pivot table'!$C$2,"state","WV","group","2d3b")/GETPIVOTDATA("Total-Old",'Distrib pivot table'!$C$2,"state","WV")&gt;0.0005,GETPIVOTDATA("Total-Old",'Distrib pivot table'!$C$2,"state","WV","group","2d3b")/GETPIVOTDATA("Total-Old",'Distrib pivot table'!$C$2,"state","WV"),"*"))</f>
        <v>0</v>
      </c>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row>
    <row r="52" spans="1:50" ht="36" customHeight="1" x14ac:dyDescent="0.2">
      <c r="A52" s="1537"/>
      <c r="B52" s="128" t="s">
        <v>192</v>
      </c>
      <c r="C52" s="374" t="s">
        <v>280</v>
      </c>
      <c r="D52" s="426">
        <f>IF(GETPIVOTDATA("Total-Old",'Distrib pivot table'!$C$2,"group","1d")/GETPIVOTDATA("Total-Old",'Distrib pivot table'!$C$2)=0,,IF(GETPIVOTDATA("Total-Old",'Distrib pivot table'!$C$2,"group","1d")/GETPIVOTDATA("Total-Old",'Distrib pivot table'!$C$2)&gt;0.0005,GETPIVOTDATA("Total-Old",'Distrib pivot table'!$C$2,"group","1d")/GETPIVOTDATA("Total-Old",'Distrib pivot table'!$C$2),"*"))</f>
        <v>6.3540473430678035E-2</v>
      </c>
      <c r="E52" s="426">
        <f>IF((GETPIVOTDATA("Total-Old",'Distrib pivot table'!$C$2,"state","AL","group","1d")/GETPIVOTDATA("Total-Old",'Distrib pivot table'!$C$2,"state","AL"))=0,,IF(GETPIVOTDATA("Total-Old",'Distrib pivot table'!$C$2,"state","AL","group","1d")/GETPIVOTDATA("Total-Old",'Distrib pivot table'!$C$2,"state","AL")&gt;0.0005,GETPIVOTDATA("Total-Old",'Distrib pivot table'!$C$2,"state","AL","group","1d")/GETPIVOTDATA("Total-Old",'Distrib pivot table'!$C$2,"state","AL"),"*"))</f>
        <v>0.14185434950842443</v>
      </c>
      <c r="F52" s="426">
        <f>IF((GETPIVOTDATA("Total-Old",'Distrib pivot table'!$C$2,"state","AR","group","1d")/GETPIVOTDATA("Total-Old",'Distrib pivot table'!$C$2,"state","AR"))=0,,IF(GETPIVOTDATA("Total-Old",'Distrib pivot table'!$C$2,"state","AR","group","1d")/GETPIVOTDATA("Total-Old",'Distrib pivot table'!$C$2,"state","AR")&gt;0.0005,GETPIVOTDATA("Total-Old",'Distrib pivot table'!$C$2,"state","AR","group","1d")/GETPIVOTDATA("Total-Old",'Distrib pivot table'!$C$2,"state","AR"),"*"))</f>
        <v>0</v>
      </c>
      <c r="G52" s="426">
        <f>IF((GETPIVOTDATA("Total-Old",'Distrib pivot table'!$C$2,"state","DE","group","1d")/GETPIVOTDATA("Total-Old",'Distrib pivot table'!$C$2,"state","DE"))=0,,IF(GETPIVOTDATA("Total-Old",'Distrib pivot table'!$C$2,"state","DE","group","1d")/GETPIVOTDATA("Total-Old",'Distrib pivot table'!$C$2,"state","DE")&gt;0.0005,GETPIVOTDATA("Total-Old",'Distrib pivot table'!$C$2,"state","DE","group","1d")/GETPIVOTDATA("Total-Old",'Distrib pivot table'!$C$2,"state","DE"),"*"))</f>
        <v>0</v>
      </c>
      <c r="H52" s="426">
        <f>IF((GETPIVOTDATA("Total-Old",'Distrib pivot table'!$C$2,"state","FL","group","1d")/GETPIVOTDATA("Total-Old",'Distrib pivot table'!$C$2,"state","FL"))=0,,IF(GETPIVOTDATA("Total-Old",'Distrib pivot table'!$C$2,"state","FL","group","1d")/GETPIVOTDATA("Total-Old",'Distrib pivot table'!$C$2,"state","FL")&gt;0.0005,GETPIVOTDATA("Total-Old",'Distrib pivot table'!$C$2,"state","FL","group","1d")/GETPIVOTDATA("Total-Old",'Distrib pivot table'!$C$2,"state","FL"),"*"))</f>
        <v>6.3639495234917548E-2</v>
      </c>
      <c r="I52" s="426">
        <f>IF((GETPIVOTDATA("Total-Old",'Distrib pivot table'!$C$2,"state","GA","group","1d")/GETPIVOTDATA("Total-Old",'Distrib pivot table'!$C$2,"state","GA"))=0,,IF(GETPIVOTDATA("Total-Old",'Distrib pivot table'!$C$2,"state","GA","group","1d")/GETPIVOTDATA("Total-Old",'Distrib pivot table'!$C$2,"state","GA")&gt;0.0005,GETPIVOTDATA("Total-Old",'Distrib pivot table'!$C$2,"state","GA","group","1d")/GETPIVOTDATA("Total-Old",'Distrib pivot table'!$C$2,"state","GA"),"*"))</f>
        <v>5.0701985313893028E-2</v>
      </c>
      <c r="J52" s="426">
        <f>IF((GETPIVOTDATA("Total-Old",'Distrib pivot table'!$C$2,"state","KY","group","1d")/GETPIVOTDATA("Total-Old",'Distrib pivot table'!$C$2,"state","KY"))=0,,IF(GETPIVOTDATA("Total-Old",'Distrib pivot table'!$C$2,"state","KY","group","1d")/GETPIVOTDATA("Total-Old",'Distrib pivot table'!$C$2,"state","KY")&gt;0.0005,GETPIVOTDATA("Total-Old",'Distrib pivot table'!$C$2,"state","KY","group","1d")/GETPIVOTDATA("Total-Old",'Distrib pivot table'!$C$2,"state","KY"),"*"))</f>
        <v>5.5672442331311918E-2</v>
      </c>
      <c r="K52" s="426">
        <f>IF((GETPIVOTDATA("Total-Old",'Distrib pivot table'!$C$2,"state","LA","group","1d")/GETPIVOTDATA("Total-Old",'Distrib pivot table'!$C$2,"state","LA"))=0,,IF(GETPIVOTDATA("Total-Old",'Distrib pivot table'!$C$2,"state","LA","group","1d")/GETPIVOTDATA("Total-Old",'Distrib pivot table'!$C$2,"state","LA")&gt;0.0005,GETPIVOTDATA("Total-Old",'Distrib pivot table'!$C$2,"state","LA","group","1d")/GETPIVOTDATA("Total-Old",'Distrib pivot table'!$C$2,"state","LA"),"*"))</f>
        <v>1.4401022175039144E-2</v>
      </c>
      <c r="L52" s="426">
        <f>IF((GETPIVOTDATA("Total-Old",'Distrib pivot table'!$C$2,"state","MD","group","1d")/GETPIVOTDATA("Total-Old",'Distrib pivot table'!$C$2,"state","MD"))=0,,IF(GETPIVOTDATA("Total-Old",'Distrib pivot table'!$C$2,"state","MD","group","1d")/GETPIVOTDATA("Total-Old",'Distrib pivot table'!$C$2,"state","MD")&gt;0.0005,GETPIVOTDATA("Total-Old",'Distrib pivot table'!$C$2,"state","MD","group","1d")/GETPIVOTDATA("Total-Old",'Distrib pivot table'!$C$2,"state","MD"),"*"))</f>
        <v>0</v>
      </c>
      <c r="M52" s="426">
        <f>IF((GETPIVOTDATA("Total-Old",'Distrib pivot table'!$C$2,"state","MS","group","1d")/GETPIVOTDATA("Total-Old",'Distrib pivot table'!$C$2,"state","MS"))=0,,IF(GETPIVOTDATA("Total-Old",'Distrib pivot table'!$C$2,"state","MS","group","1d")/GETPIVOTDATA("Total-Old",'Distrib pivot table'!$C$2,"state","MS")&gt;0.0005,GETPIVOTDATA("Total-Old",'Distrib pivot table'!$C$2,"state","MS","group","1d")/GETPIVOTDATA("Total-Old",'Distrib pivot table'!$C$2,"state","MS"),"*"))</f>
        <v>1.4449205612059934E-2</v>
      </c>
      <c r="N52" s="426">
        <f>IF((GETPIVOTDATA("Total-Old",'Distrib pivot table'!$C$2,"state","NC","group","1d")/GETPIVOTDATA("Total-Old",'Distrib pivot table'!$C$2,"state","NC"))=0,,IF(GETPIVOTDATA("Total-Old",'Distrib pivot table'!$C$2,"state","NC","group","1d")/GETPIVOTDATA("Total-Old",'Distrib pivot table'!$C$2,"state","NC")&gt;0.0005,GETPIVOTDATA("Total-Old",'Distrib pivot table'!$C$2,"state","NC","group","1d")/GETPIVOTDATA("Total-Old",'Distrib pivot table'!$C$2,"state","NC"),"*"))</f>
        <v>7.0565264237614625E-2</v>
      </c>
      <c r="O52" s="426">
        <f>IF((GETPIVOTDATA("Total-Old",'Distrib pivot table'!$C$2,"state","OK","group","1d")/GETPIVOTDATA("Total-Old",'Distrib pivot table'!$C$2,"state","OK"))=0,,IF(GETPIVOTDATA("Total-Old",'Distrib pivot table'!$C$2,"state","OK","group","1d")/GETPIVOTDATA("Total-Old",'Distrib pivot table'!$C$2,"state","OK")&gt;0.0005,GETPIVOTDATA("Total-Old",'Distrib pivot table'!$C$2,"state","OK","group","1d")/GETPIVOTDATA("Total-Old",'Distrib pivot table'!$C$2,"state","OK"),"*"))</f>
        <v>5.8379298002046547E-2</v>
      </c>
      <c r="P52" s="426">
        <f>IF((GETPIVOTDATA("Total-Old",'Distrib pivot table'!$C$2,"state","SC","group","1d")/GETPIVOTDATA("Total-Old",'Distrib pivot table'!$C$2,"state","SC"))=0,,IF(GETPIVOTDATA("Total-Old",'Distrib pivot table'!$C$2,"state","SC","group","1d")/GETPIVOTDATA("Total-Old",'Distrib pivot table'!$C$2,"state","SC")&gt;0.0005,GETPIVOTDATA("Total-Old",'Distrib pivot table'!$C$2,"state","SC","group","1d")/GETPIVOTDATA("Total-Old",'Distrib pivot table'!$C$2,"state","SC"),"*"))</f>
        <v>9.9232226382533033E-3</v>
      </c>
      <c r="Q52" s="426">
        <f>IF((GETPIVOTDATA("Total-Old",'Distrib pivot table'!$C$2,"state","TN","group","1d")/GETPIVOTDATA("Total-Old",'Distrib pivot table'!$C$2,"state","TN"))=0,,IF(GETPIVOTDATA("Total-Old",'Distrib pivot table'!$C$2,"state","TN","group","1d")/GETPIVOTDATA("Total-Old",'Distrib pivot table'!$C$2,"state","TN")&gt;0.0005,GETPIVOTDATA("Total-Old",'Distrib pivot table'!$C$2,"state","TN","group","1d")/GETPIVOTDATA("Total-Old",'Distrib pivot table'!$C$2,"state","TN"),"*"))</f>
        <v>1.4831085956030866E-2</v>
      </c>
      <c r="R52" s="426">
        <f>IF((GETPIVOTDATA("Total-Old",'Distrib pivot table'!$C$2,"state","TX","group","1d")/GETPIVOTDATA("Total-Old",'Distrib pivot table'!$C$2,"state","TX"))=0,,IF(GETPIVOTDATA("Total-Old",'Distrib pivot table'!$C$2,"state","TX","group","1d")/GETPIVOTDATA("Total-Old",'Distrib pivot table'!$C$2,"state","TX")&gt;0.0005,GETPIVOTDATA("Total-Old",'Distrib pivot table'!$C$2,"state","TX","group","1d")/GETPIVOTDATA("Total-Old",'Distrib pivot table'!$C$2,"state","TX"),"*"))</f>
        <v>0.12545256834361912</v>
      </c>
      <c r="S52" s="426">
        <f>IF((GETPIVOTDATA("Total-Old",'Distrib pivot table'!$C$2,"state","VA","group","1d")/GETPIVOTDATA("Total-Old",'Distrib pivot table'!$C$2,"state","VA"))=0,,IF(GETPIVOTDATA("Total-Old",'Distrib pivot table'!$C$2,"state","VA","group","1d")/GETPIVOTDATA("Total-Old",'Distrib pivot table'!$C$2,"state","VA")&gt;0.0005,GETPIVOTDATA("Total-Old",'Distrib pivot table'!$C$2,"state","VA","group","1d")/GETPIVOTDATA("Total-Old",'Distrib pivot table'!$C$2,"state","VA"),"*"))</f>
        <v>3.6585342808893889E-2</v>
      </c>
      <c r="T52" s="426">
        <f>IF((GETPIVOTDATA("Total-Old",'Distrib pivot table'!$C$2,"state","WV","group","1d")/GETPIVOTDATA("Total-Old",'Distrib pivot table'!$C$2,"state","WV"))=0,,IF(GETPIVOTDATA("Total-Old",'Distrib pivot table'!$C$2,"state","WV","group","1d")/GETPIVOTDATA("Total-Old",'Distrib pivot table'!$C$2,"state","WV")&gt;0.0005,GETPIVOTDATA("Total-Old",'Distrib pivot table'!$C$2,"state","WV","group","1d")/GETPIVOTDATA("Total-Old",'Distrib pivot table'!$C$2,"state","WV"),"*"))</f>
        <v>0.12669308954465938</v>
      </c>
      <c r="U52" s="25"/>
      <c r="V52" s="25"/>
      <c r="W52" s="25"/>
      <c r="X52" s="25"/>
      <c r="Y52" s="25"/>
      <c r="Z52" s="25"/>
      <c r="AA52" s="25"/>
      <c r="AB52" s="25"/>
      <c r="AC52" s="25"/>
      <c r="AD52" s="25"/>
      <c r="AE52" s="25"/>
      <c r="AF52" s="25"/>
      <c r="AG52" s="25"/>
      <c r="AH52" s="25"/>
      <c r="AI52" s="25"/>
      <c r="AJ52" s="25"/>
      <c r="AK52" s="25"/>
      <c r="AL52" s="25"/>
      <c r="AM52" s="25"/>
      <c r="AN52" s="25"/>
      <c r="AO52" s="25"/>
      <c r="AP52" s="25"/>
      <c r="AQ52" s="25"/>
      <c r="AR52" s="25"/>
      <c r="AS52" s="25"/>
      <c r="AT52" s="25"/>
      <c r="AU52" s="25"/>
      <c r="AV52" s="25"/>
      <c r="AW52" s="25"/>
      <c r="AX52" s="25"/>
    </row>
    <row r="53" spans="1:50" ht="36" customHeight="1" x14ac:dyDescent="0.2">
      <c r="A53" s="1537"/>
      <c r="B53" s="128" t="s">
        <v>304</v>
      </c>
      <c r="C53" s="374" t="s">
        <v>301</v>
      </c>
      <c r="D53" s="424">
        <f>IF(GETPIVOTDATA("Total-Old",'Distrib pivot table'!$C$2,"group","1e")/GETPIVOTDATA("Total-Old",'Distrib pivot table'!$C$2)=0,,IF(GETPIVOTDATA("Total-Old",'Distrib pivot table'!$C$2,"group","1e")/GETPIVOTDATA("Total-Old",'Distrib pivot table'!$C$2)&gt;0.0005,GETPIVOTDATA("Total-Old",'Distrib pivot table'!$C$2,"group","1e")/GETPIVOTDATA("Total-Old",'Distrib pivot table'!$C$2),"*"))</f>
        <v>2.1589377664204604E-2</v>
      </c>
      <c r="E53" s="424">
        <f>IF((GETPIVOTDATA("Total-Old",'Distrib pivot table'!$C$2,"state","AL","group","1e")/GETPIVOTDATA("Total-Old",'Distrib pivot table'!$C$2,"state","AL"))=0,,IF(GETPIVOTDATA("Total-Old",'Distrib pivot table'!$C$2,"state","AL","group","1e")/GETPIVOTDATA("Total-Old",'Distrib pivot table'!$C$2,"state","AL")&gt;0.0005,GETPIVOTDATA("Total-Old",'Distrib pivot table'!$C$2,"state","AL","group","1e")/GETPIVOTDATA("Total-Old",'Distrib pivot table'!$C$2,"state","AL"),"*"))</f>
        <v>0</v>
      </c>
      <c r="F53" s="424">
        <f>IF((GETPIVOTDATA("Total-Old",'Distrib pivot table'!$C$2,"state","AR","group","1e")/GETPIVOTDATA("Total-Old",'Distrib pivot table'!$C$2,"state","AR"))=0,,IF(GETPIVOTDATA("Total-Old",'Distrib pivot table'!$C$2,"state","AR","group","1e")/GETPIVOTDATA("Total-Old",'Distrib pivot table'!$C$2,"state","AR")&gt;0.0005,GETPIVOTDATA("Total-Old",'Distrib pivot table'!$C$2,"state","AR","group","1e")/GETPIVOTDATA("Total-Old",'Distrib pivot table'!$C$2,"state","AR"),"*"))</f>
        <v>8.1177962475805873E-2</v>
      </c>
      <c r="G53" s="424">
        <f>IF((GETPIVOTDATA("Total-Old",'Distrib pivot table'!$C$2,"state","DE","group","1e")/GETPIVOTDATA("Total-Old",'Distrib pivot table'!$C$2,"state","DE"))=0,,IF(GETPIVOTDATA("Total-Old",'Distrib pivot table'!$C$2,"state","DE","group","1e")/GETPIVOTDATA("Total-Old",'Distrib pivot table'!$C$2,"state","DE")&gt;0.0005,GETPIVOTDATA("Total-Old",'Distrib pivot table'!$C$2,"state","DE","group","1e")/GETPIVOTDATA("Total-Old",'Distrib pivot table'!$C$2,"state","DE"),"*"))</f>
        <v>0</v>
      </c>
      <c r="H53" s="424">
        <f>IF((GETPIVOTDATA("Total-Old",'Distrib pivot table'!$C$2,"state","FL","group","1e")/GETPIVOTDATA("Total-Old",'Distrib pivot table'!$C$2,"state","FL"))=0,,IF(GETPIVOTDATA("Total-Old",'Distrib pivot table'!$C$2,"state","FL","group","1e")/GETPIVOTDATA("Total-Old",'Distrib pivot table'!$C$2,"state","FL")&gt;0.0005,GETPIVOTDATA("Total-Old",'Distrib pivot table'!$C$2,"state","FL","group","1e")/GETPIVOTDATA("Total-Old",'Distrib pivot table'!$C$2,"state","FL"),"*"))</f>
        <v>0</v>
      </c>
      <c r="I53" s="424">
        <f>IF((GETPIVOTDATA("Total-Old",'Distrib pivot table'!$C$2,"state","GA","group","1e")/GETPIVOTDATA("Total-Old",'Distrib pivot table'!$C$2,"state","GA"))=0,,IF(GETPIVOTDATA("Total-Old",'Distrib pivot table'!$C$2,"state","GA","group","1e")/GETPIVOTDATA("Total-Old",'Distrib pivot table'!$C$2,"state","GA")&gt;0.0005,GETPIVOTDATA("Total-Old",'Distrib pivot table'!$C$2,"state","GA","group","1e")/GETPIVOTDATA("Total-Old",'Distrib pivot table'!$C$2,"state","GA"),"*"))</f>
        <v>0</v>
      </c>
      <c r="J53" s="424">
        <f>IF((GETPIVOTDATA("Total-Old",'Distrib pivot table'!$C$2,"state","KY","group","1e")/GETPIVOTDATA("Total-Old",'Distrib pivot table'!$C$2,"state","KY"))=0,,IF(GETPIVOTDATA("Total-Old",'Distrib pivot table'!$C$2,"state","KY","group","1e")/GETPIVOTDATA("Total-Old",'Distrib pivot table'!$C$2,"state","KY")&gt;0.0005,GETPIVOTDATA("Total-Old",'Distrib pivot table'!$C$2,"state","KY","group","1e")/GETPIVOTDATA("Total-Old",'Distrib pivot table'!$C$2,"state","KY"),"*"))</f>
        <v>0</v>
      </c>
      <c r="K53" s="424">
        <f>IF((GETPIVOTDATA("Total-Old",'Distrib pivot table'!$C$2,"state","LA","group","1e")/GETPIVOTDATA("Total-Old",'Distrib pivot table'!$C$2,"state","LA"))=0,,IF(GETPIVOTDATA("Total-Old",'Distrib pivot table'!$C$2,"state","LA","group","1e")/GETPIVOTDATA("Total-Old",'Distrib pivot table'!$C$2,"state","LA")&gt;0.0005,GETPIVOTDATA("Total-Old",'Distrib pivot table'!$C$2,"state","LA","group","1e")/GETPIVOTDATA("Total-Old",'Distrib pivot table'!$C$2,"state","LA"),"*"))</f>
        <v>9.4239518182821294E-2</v>
      </c>
      <c r="L53" s="424">
        <f>IF((GETPIVOTDATA("Total-Old",'Distrib pivot table'!$C$2,"state","MD","group","1e")/GETPIVOTDATA("Total-Old",'Distrib pivot table'!$C$2,"state","MD"))=0,,IF(GETPIVOTDATA("Total-Old",'Distrib pivot table'!$C$2,"state","MD","group","1e")/GETPIVOTDATA("Total-Old",'Distrib pivot table'!$C$2,"state","MD")&gt;0.0005,GETPIVOTDATA("Total-Old",'Distrib pivot table'!$C$2,"state","MD","group","1e")/GETPIVOTDATA("Total-Old",'Distrib pivot table'!$C$2,"state","MD"),"*"))</f>
        <v>7.6642323946596785E-2</v>
      </c>
      <c r="M53" s="424">
        <f>IF((GETPIVOTDATA("Total-Old",'Distrib pivot table'!$C$2,"state","MS","group","1e")/GETPIVOTDATA("Total-Old",'Distrib pivot table'!$C$2,"state","MS"))=0,,IF(GETPIVOTDATA("Total-Old",'Distrib pivot table'!$C$2,"state","MS","group","1e")/GETPIVOTDATA("Total-Old",'Distrib pivot table'!$C$2,"state","MS")&gt;0.0005,GETPIVOTDATA("Total-Old",'Distrib pivot table'!$C$2,"state","MS","group","1e")/GETPIVOTDATA("Total-Old",'Distrib pivot table'!$C$2,"state","MS"),"*"))</f>
        <v>0.11219907525080268</v>
      </c>
      <c r="N53" s="424">
        <f>IF((GETPIVOTDATA("Total-Old",'Distrib pivot table'!$C$2,"state","NC","group","1e")/GETPIVOTDATA("Total-Old",'Distrib pivot table'!$C$2,"state","NC"))=0,,IF(GETPIVOTDATA("Total-Old",'Distrib pivot table'!$C$2,"state","NC","group","1e")/GETPIVOTDATA("Total-Old",'Distrib pivot table'!$C$2,"state","NC")&gt;0.0005,GETPIVOTDATA("Total-Old",'Distrib pivot table'!$C$2,"state","NC","group","1e")/GETPIVOTDATA("Total-Old",'Distrib pivot table'!$C$2,"state","NC"),"*"))</f>
        <v>0</v>
      </c>
      <c r="O53" s="424">
        <f>IF((GETPIVOTDATA("Total-Old",'Distrib pivot table'!$C$2,"state","OK","group","1e")/GETPIVOTDATA("Total-Old",'Distrib pivot table'!$C$2,"state","OK"))=0,,IF(GETPIVOTDATA("Total-Old",'Distrib pivot table'!$C$2,"state","OK","group","1e")/GETPIVOTDATA("Total-Old",'Distrib pivot table'!$C$2,"state","OK")&gt;0.0005,GETPIVOTDATA("Total-Old",'Distrib pivot table'!$C$2,"state","OK","group","1e")/GETPIVOTDATA("Total-Old",'Distrib pivot table'!$C$2,"state","OK"),"*"))</f>
        <v>0</v>
      </c>
      <c r="P53" s="424">
        <f>IF((GETPIVOTDATA("Total-Old",'Distrib pivot table'!$C$2,"state","SC","group","1e")/GETPIVOTDATA("Total-Old",'Distrib pivot table'!$C$2,"state","SC"))=0,,IF(GETPIVOTDATA("Total-Old",'Distrib pivot table'!$C$2,"state","SC","group","1e")/GETPIVOTDATA("Total-Old",'Distrib pivot table'!$C$2,"state","SC")&gt;0.0005,GETPIVOTDATA("Total-Old",'Distrib pivot table'!$C$2,"state","SC","group","1e")/GETPIVOTDATA("Total-Old",'Distrib pivot table'!$C$2,"state","SC"),"*"))</f>
        <v>5.0467512447152654E-2</v>
      </c>
      <c r="Q53" s="424">
        <f>IF((GETPIVOTDATA("Total-Old",'Distrib pivot table'!$C$2,"state","TN","group","1e")/GETPIVOTDATA("Total-Old",'Distrib pivot table'!$C$2,"state","TN"))=0,,IF(GETPIVOTDATA("Total-Old",'Distrib pivot table'!$C$2,"state","TN","group","1e")/GETPIVOTDATA("Total-Old",'Distrib pivot table'!$C$2,"state","TN")&gt;0.0005,GETPIVOTDATA("Total-Old",'Distrib pivot table'!$C$2,"state","TN","group","1e")/GETPIVOTDATA("Total-Old",'Distrib pivot table'!$C$2,"state","TN"),"*"))</f>
        <v>7.6886172378293607E-2</v>
      </c>
      <c r="R53" s="424">
        <f>IF((GETPIVOTDATA("Total-Old",'Distrib pivot table'!$C$2,"state","TX","group","1e")/GETPIVOTDATA("Total-Old",'Distrib pivot table'!$C$2,"state","TX"))=0,,IF(GETPIVOTDATA("Total-Old",'Distrib pivot table'!$C$2,"state","TX","group","1e")/GETPIVOTDATA("Total-Old",'Distrib pivot table'!$C$2,"state","TX")&gt;0.0005,GETPIVOTDATA("Total-Old",'Distrib pivot table'!$C$2,"state","TX","group","1e")/GETPIVOTDATA("Total-Old",'Distrib pivot table'!$C$2,"state","TX"),"*"))</f>
        <v>0</v>
      </c>
      <c r="S53" s="424">
        <f>IF((GETPIVOTDATA("Total-Old",'Distrib pivot table'!$C$2,"state","VA","group","1e")/GETPIVOTDATA("Total-Old",'Distrib pivot table'!$C$2,"state","VA"))=0,,IF(GETPIVOTDATA("Total-Old",'Distrib pivot table'!$C$2,"state","VA","group","1e")/GETPIVOTDATA("Total-Old",'Distrib pivot table'!$C$2,"state","VA")&gt;0.0005,GETPIVOTDATA("Total-Old",'Distrib pivot table'!$C$2,"state","VA","group","1e")/GETPIVOTDATA("Total-Old",'Distrib pivot table'!$C$2,"state","VA"),"*"))</f>
        <v>0</v>
      </c>
      <c r="T53" s="424">
        <f>IF((GETPIVOTDATA("Total-Old",'Distrib pivot table'!$C$2,"state","WV","group","1e")/GETPIVOTDATA("Total-Old",'Distrib pivot table'!$C$2,"state","WV"))=0,,IF(GETPIVOTDATA("Total-Old",'Distrib pivot table'!$C$2,"state","WV","group","1e")/GETPIVOTDATA("Total-Old",'Distrib pivot table'!$C$2,"state","WV")&gt;0.0005,GETPIVOTDATA("Total-Old",'Distrib pivot table'!$C$2,"state","WV","group","1e")/GETPIVOTDATA("Total-Old",'Distrib pivot table'!$C$2,"state","WV"),"*"))</f>
        <v>3.4099393397513091E-2</v>
      </c>
      <c r="U53" s="25"/>
      <c r="V53" s="25"/>
      <c r="W53" s="25"/>
      <c r="X53" s="25"/>
      <c r="Y53" s="25"/>
      <c r="Z53" s="25"/>
      <c r="AA53" s="25"/>
      <c r="AB53" s="25"/>
      <c r="AC53" s="25"/>
      <c r="AD53" s="25"/>
      <c r="AE53" s="25"/>
      <c r="AF53" s="25"/>
      <c r="AG53" s="25"/>
      <c r="AH53" s="25"/>
      <c r="AI53" s="25"/>
      <c r="AJ53" s="25"/>
      <c r="AK53" s="25"/>
      <c r="AL53" s="25"/>
      <c r="AM53" s="25"/>
      <c r="AN53" s="25"/>
      <c r="AO53" s="25"/>
      <c r="AP53" s="25"/>
      <c r="AQ53" s="25"/>
      <c r="AR53" s="25"/>
      <c r="AS53" s="25"/>
      <c r="AT53" s="25"/>
      <c r="AU53" s="25"/>
      <c r="AV53" s="25"/>
      <c r="AW53" s="25"/>
      <c r="AX53" s="25"/>
    </row>
    <row r="54" spans="1:50" s="7" customFormat="1" ht="36" customHeight="1" x14ac:dyDescent="0.2">
      <c r="A54" s="1536"/>
      <c r="B54" s="129" t="s">
        <v>305</v>
      </c>
      <c r="C54" s="376" t="s">
        <v>302</v>
      </c>
      <c r="D54" s="422">
        <f>IF(GETPIVOTDATA("Total-Old",'Distrib pivot table'!$C$2,"group","1f")/GETPIVOTDATA("Total-Old",'Distrib pivot table'!$C$2)=0,,IF(GETPIVOTDATA("Total-Old",'Distrib pivot table'!$C$2,"group","1f")/GETPIVOTDATA("Total-Old",'Distrib pivot table'!$C$2)&gt;0.0005,GETPIVOTDATA("Total-Old",'Distrib pivot table'!$C$2,"group","1f")/GETPIVOTDATA("Total-Old",'Distrib pivot table'!$C$2),"*"))</f>
        <v>1.0906024705677576E-2</v>
      </c>
      <c r="E54" s="422">
        <f>IF((GETPIVOTDATA("Total-Old",'Distrib pivot table'!$C$2,"state","AL","group","1f")/GETPIVOTDATA("Total-Old",'Distrib pivot table'!$C$2,"state","AL"))=0,,IF(GETPIVOTDATA("Total-Old",'Distrib pivot table'!$C$2,"state","AL","group","1f")/GETPIVOTDATA("Total-Old",'Distrib pivot table'!$C$2,"state","AL")&gt;0.0005,GETPIVOTDATA("Total-Old",'Distrib pivot table'!$C$2,"state","AL","group","1f")/GETPIVOTDATA("Total-Old",'Distrib pivot table'!$C$2,"state","AL"),"*"))</f>
        <v>3.0267854704720365E-3</v>
      </c>
      <c r="F54" s="422">
        <f>IF((GETPIVOTDATA("Total-Old",'Distrib pivot table'!$C$2,"state","AR","group","1f")/GETPIVOTDATA("Total-Old",'Distrib pivot table'!$C$2,"state","AR"))=0,,IF(GETPIVOTDATA("Total-Old",'Distrib pivot table'!$C$2,"state","AR","group","1f")/GETPIVOTDATA("Total-Old",'Distrib pivot table'!$C$2,"state","AR")&gt;0.0005,GETPIVOTDATA("Total-Old",'Distrib pivot table'!$C$2,"state","AR","group","1f")/GETPIVOTDATA("Total-Old",'Distrib pivot table'!$C$2,"state","AR"),"*"))</f>
        <v>0</v>
      </c>
      <c r="G54" s="422">
        <f>IF((GETPIVOTDATA("Total-Old",'Distrib pivot table'!$C$2,"state","DE","group","1f")/GETPIVOTDATA("Total-Old",'Distrib pivot table'!$C$2,"state","DE"))=0,,IF(GETPIVOTDATA("Total-Old",'Distrib pivot table'!$C$2,"state","DE","group","1f")/GETPIVOTDATA("Total-Old",'Distrib pivot table'!$C$2,"state","DE")&gt;0.0005,GETPIVOTDATA("Total-Old",'Distrib pivot table'!$C$2,"state","DE","group","1f")/GETPIVOTDATA("Total-Old",'Distrib pivot table'!$C$2,"state","DE"),"*"))</f>
        <v>0</v>
      </c>
      <c r="H54" s="422">
        <f>IF((GETPIVOTDATA("Total-Old",'Distrib pivot table'!$C$2,"state","FL","group","1f")/GETPIVOTDATA("Total-Old",'Distrib pivot table'!$C$2,"state","FL"))=0,,IF(GETPIVOTDATA("Total-Old",'Distrib pivot table'!$C$2,"state","FL","group","1f")/GETPIVOTDATA("Total-Old",'Distrib pivot table'!$C$2,"state","FL")&gt;0.0005,GETPIVOTDATA("Total-Old",'Distrib pivot table'!$C$2,"state","FL","group","1f")/GETPIVOTDATA("Total-Old",'Distrib pivot table'!$C$2,"state","FL"),"*"))</f>
        <v>0</v>
      </c>
      <c r="I54" s="422">
        <f>IF((GETPIVOTDATA("Total-Old",'Distrib pivot table'!$C$2,"state","GA","group","1f")/GETPIVOTDATA("Total-Old",'Distrib pivot table'!$C$2,"state","GA"))=0,,IF(GETPIVOTDATA("Total-Old",'Distrib pivot table'!$C$2,"state","GA","group","1f")/GETPIVOTDATA("Total-Old",'Distrib pivot table'!$C$2,"state","GA")&gt;0.0005,GETPIVOTDATA("Total-Old",'Distrib pivot table'!$C$2,"state","GA","group","1f")/GETPIVOTDATA("Total-Old",'Distrib pivot table'!$C$2,"state","GA"),"*"))</f>
        <v>2.6821522016431343E-2</v>
      </c>
      <c r="J54" s="422">
        <f>IF((GETPIVOTDATA("Total-Old",'Distrib pivot table'!$C$2,"state","KY","group","1f")/GETPIVOTDATA("Total-Old",'Distrib pivot table'!$C$2,"state","KY"))=0,,IF(GETPIVOTDATA("Total-Old",'Distrib pivot table'!$C$2,"state","KY","group","1f")/GETPIVOTDATA("Total-Old",'Distrib pivot table'!$C$2,"state","KY")&gt;0.0005,GETPIVOTDATA("Total-Old",'Distrib pivot table'!$C$2,"state","KY","group","1f")/GETPIVOTDATA("Total-Old",'Distrib pivot table'!$C$2,"state","KY"),"*"))</f>
        <v>0</v>
      </c>
      <c r="K54" s="422">
        <f>IF((GETPIVOTDATA("Total-Old",'Distrib pivot table'!$C$2,"state","LA","group","1f")/GETPIVOTDATA("Total-Old",'Distrib pivot table'!$C$2,"state","LA"))=0,,IF(GETPIVOTDATA("Total-Old",'Distrib pivot table'!$C$2,"state","LA","group","1f")/GETPIVOTDATA("Total-Old",'Distrib pivot table'!$C$2,"state","LA")&gt;0.0005,GETPIVOTDATA("Total-Old",'Distrib pivot table'!$C$2,"state","LA","group","1f")/GETPIVOTDATA("Total-Old",'Distrib pivot table'!$C$2,"state","LA"),"*"))</f>
        <v>0</v>
      </c>
      <c r="L54" s="422">
        <f>IF((GETPIVOTDATA("Total-Old",'Distrib pivot table'!$C$2,"state","MD","group","1f")/GETPIVOTDATA("Total-Old",'Distrib pivot table'!$C$2,"state","MD"))=0,,IF(GETPIVOTDATA("Total-Old",'Distrib pivot table'!$C$2,"state","MD","group","1f")/GETPIVOTDATA("Total-Old",'Distrib pivot table'!$C$2,"state","MD")&gt;0.0005,GETPIVOTDATA("Total-Old",'Distrib pivot table'!$C$2,"state","MD","group","1f")/GETPIVOTDATA("Total-Old",'Distrib pivot table'!$C$2,"state","MD"),"*"))</f>
        <v>9.8105550161405999E-2</v>
      </c>
      <c r="M54" s="422">
        <f>IF((GETPIVOTDATA("Total-Old",'Distrib pivot table'!$C$2,"state","MS","group","1f")/GETPIVOTDATA("Total-Old",'Distrib pivot table'!$C$2,"state","MS"))=0,,IF(GETPIVOTDATA("Total-Old",'Distrib pivot table'!$C$2,"state","MS","group","1f")/GETPIVOTDATA("Total-Old",'Distrib pivot table'!$C$2,"state","MS")&gt;0.0005,GETPIVOTDATA("Total-Old",'Distrib pivot table'!$C$2,"state","MS","group","1f")/GETPIVOTDATA("Total-Old",'Distrib pivot table'!$C$2,"state","MS"),"*"))</f>
        <v>0</v>
      </c>
      <c r="N54" s="422">
        <f>IF((GETPIVOTDATA("Total-Old",'Distrib pivot table'!$C$2,"state","NC","group","1f")/GETPIVOTDATA("Total-Old",'Distrib pivot table'!$C$2,"state","NC"))=0,,IF(GETPIVOTDATA("Total-Old",'Distrib pivot table'!$C$2,"state","NC","group","1f")/GETPIVOTDATA("Total-Old",'Distrib pivot table'!$C$2,"state","NC")&gt;0.0005,GETPIVOTDATA("Total-Old",'Distrib pivot table'!$C$2,"state","NC","group","1f")/GETPIVOTDATA("Total-Old",'Distrib pivot table'!$C$2,"state","NC"),"*"))</f>
        <v>1.1777933939280363E-2</v>
      </c>
      <c r="O54" s="422">
        <f>IF((GETPIVOTDATA("Total-Old",'Distrib pivot table'!$C$2,"state","OK","group","1f")/GETPIVOTDATA("Total-Old",'Distrib pivot table'!$C$2,"state","OK"))=0,,IF(GETPIVOTDATA("Total-Old",'Distrib pivot table'!$C$2,"state","OK","group","1f")/GETPIVOTDATA("Total-Old",'Distrib pivot table'!$C$2,"state","OK")&gt;0.0005,GETPIVOTDATA("Total-Old",'Distrib pivot table'!$C$2,"state","OK","group","1f")/GETPIVOTDATA("Total-Old",'Distrib pivot table'!$C$2,"state","OK"),"*"))</f>
        <v>0</v>
      </c>
      <c r="P54" s="422">
        <f>IF((GETPIVOTDATA("Total-Old",'Distrib pivot table'!$C$2,"state","SC","group","1f")/GETPIVOTDATA("Total-Old",'Distrib pivot table'!$C$2,"state","SC"))=0,,IF(GETPIVOTDATA("Total-Old",'Distrib pivot table'!$C$2,"state","SC","group","1f")/GETPIVOTDATA("Total-Old",'Distrib pivot table'!$C$2,"state","SC")&gt;0.0005,GETPIVOTDATA("Total-Old",'Distrib pivot table'!$C$2,"state","SC","group","1f")/GETPIVOTDATA("Total-Old",'Distrib pivot table'!$C$2,"state","SC"),"*"))</f>
        <v>0</v>
      </c>
      <c r="Q54" s="422">
        <f>IF((GETPIVOTDATA("Total-Old",'Distrib pivot table'!$C$2,"state","TN","group","1f")/GETPIVOTDATA("Total-Old",'Distrib pivot table'!$C$2,"state","TN"))=0,,IF(GETPIVOTDATA("Total-Old",'Distrib pivot table'!$C$2,"state","TN","group","1f")/GETPIVOTDATA("Total-Old",'Distrib pivot table'!$C$2,"state","TN")&gt;0.0005,GETPIVOTDATA("Total-Old",'Distrib pivot table'!$C$2,"state","TN","group","1f")/GETPIVOTDATA("Total-Old",'Distrib pivot table'!$C$2,"state","TN"),"*"))</f>
        <v>3.643754110586853E-3</v>
      </c>
      <c r="R54" s="422">
        <f>IF((GETPIVOTDATA("Total-Old",'Distrib pivot table'!$C$2,"state","TX","group","1f")/GETPIVOTDATA("Total-Old",'Distrib pivot table'!$C$2,"state","TX"))=0,,IF(GETPIVOTDATA("Total-Old",'Distrib pivot table'!$C$2,"state","TX","group","1f")/GETPIVOTDATA("Total-Old",'Distrib pivot table'!$C$2,"state","TX")&gt;0.0005,GETPIVOTDATA("Total-Old",'Distrib pivot table'!$C$2,"state","TX","group","1f")/GETPIVOTDATA("Total-Old",'Distrib pivot table'!$C$2,"state","TX"),"*"))</f>
        <v>0</v>
      </c>
      <c r="S54" s="422">
        <f>IF((GETPIVOTDATA("Total-Old",'Distrib pivot table'!$C$2,"state","VA","group","1f")/GETPIVOTDATA("Total-Old",'Distrib pivot table'!$C$2,"state","VA"))=0,,IF(GETPIVOTDATA("Total-Old",'Distrib pivot table'!$C$2,"state","VA","group","1f")/GETPIVOTDATA("Total-Old",'Distrib pivot table'!$C$2,"state","VA")&gt;0.0005,GETPIVOTDATA("Total-Old",'Distrib pivot table'!$C$2,"state","VA","group","1f")/GETPIVOTDATA("Total-Old",'Distrib pivot table'!$C$2,"state","VA"),"*"))</f>
        <v>8.2156256345559068E-3</v>
      </c>
      <c r="T54" s="422">
        <f>IF((GETPIVOTDATA("Total-Old",'Distrib pivot table'!$C$2,"state","WV","group","1f")/GETPIVOTDATA("Total-Old",'Distrib pivot table'!$C$2,"state","WV"))=0,,IF(GETPIVOTDATA("Total-Old",'Distrib pivot table'!$C$2,"state","WV","group","1f")/GETPIVOTDATA("Total-Old",'Distrib pivot table'!$C$2,"state","WV")&gt;0.0005,GETPIVOTDATA("Total-Old",'Distrib pivot table'!$C$2,"state","WV","group","1f")/GETPIVOTDATA("Total-Old",'Distrib pivot table'!$C$2,"state","WV"),"*"))</f>
        <v>0</v>
      </c>
      <c r="U54" s="9"/>
      <c r="V54" s="9"/>
      <c r="W54" s="9"/>
      <c r="X54" s="9"/>
      <c r="Y54" s="9"/>
      <c r="Z54" s="9"/>
      <c r="AA54" s="9"/>
      <c r="AB54" s="9"/>
      <c r="AC54" s="9"/>
      <c r="AD54" s="9"/>
      <c r="AE54" s="9"/>
      <c r="AF54" s="9"/>
      <c r="AG54" s="9"/>
      <c r="AH54" s="9"/>
      <c r="AI54" s="9"/>
      <c r="AJ54" s="9"/>
      <c r="AK54" s="9"/>
      <c r="AL54" s="9"/>
      <c r="AM54" s="9"/>
      <c r="AN54" s="9"/>
      <c r="AO54" s="9"/>
      <c r="AP54" s="9"/>
      <c r="AQ54" s="9"/>
      <c r="AR54" s="9"/>
      <c r="AS54" s="9"/>
      <c r="AT54" s="9"/>
      <c r="AU54" s="9"/>
      <c r="AV54" s="9"/>
      <c r="AW54" s="9"/>
      <c r="AX54" s="9"/>
    </row>
    <row r="55" spans="1:50" s="61" customFormat="1" ht="12" customHeight="1" x14ac:dyDescent="0.15">
      <c r="A55" s="134"/>
      <c r="B55" s="132" t="s">
        <v>97</v>
      </c>
      <c r="C55" s="311"/>
      <c r="D55" s="334">
        <f t="shared" ref="D55:T55" si="6">SUM(D7,D15,D22,D26,D31,D32,D36,D52,D53,D54)</f>
        <v>0.99837416092486297</v>
      </c>
      <c r="E55" s="334">
        <f t="shared" si="6"/>
        <v>0.99877020238271652</v>
      </c>
      <c r="F55" s="334">
        <f t="shared" si="6"/>
        <v>0.99907475440438764</v>
      </c>
      <c r="G55" s="334">
        <f t="shared" si="6"/>
        <v>0.99885168310330075</v>
      </c>
      <c r="H55" s="334">
        <f t="shared" si="6"/>
        <v>0.99909051190492559</v>
      </c>
      <c r="I55" s="334">
        <f t="shared" si="6"/>
        <v>0.99926535898286106</v>
      </c>
      <c r="J55" s="334">
        <f t="shared" si="6"/>
        <v>0.99939742872008219</v>
      </c>
      <c r="K55" s="334">
        <f t="shared" si="6"/>
        <v>0.99967728417758639</v>
      </c>
      <c r="L55" s="334">
        <f t="shared" si="6"/>
        <v>0.99999999999999989</v>
      </c>
      <c r="M55" s="334">
        <f t="shared" si="6"/>
        <v>0.99808979290932998</v>
      </c>
      <c r="N55" s="334">
        <f t="shared" si="6"/>
        <v>0.9999651094998776</v>
      </c>
      <c r="O55" s="334">
        <f t="shared" si="6"/>
        <v>0.9999532462111036</v>
      </c>
      <c r="P55" s="334">
        <f t="shared" si="6"/>
        <v>0.99967917947876817</v>
      </c>
      <c r="Q55" s="334">
        <f t="shared" si="6"/>
        <v>0.99942064613611237</v>
      </c>
      <c r="R55" s="334">
        <f t="shared" si="6"/>
        <v>0.99952471974570667</v>
      </c>
      <c r="S55" s="334">
        <f t="shared" si="6"/>
        <v>0.99875429723462905</v>
      </c>
      <c r="T55" s="334">
        <f t="shared" si="6"/>
        <v>0.99950507371485964</v>
      </c>
      <c r="U55" s="100"/>
      <c r="V55" s="100"/>
      <c r="W55" s="100"/>
      <c r="X55" s="100"/>
      <c r="Y55" s="100"/>
      <c r="Z55" s="100"/>
      <c r="AA55" s="100"/>
      <c r="AB55" s="100"/>
      <c r="AC55" s="100"/>
      <c r="AD55" s="100"/>
      <c r="AE55" s="100"/>
      <c r="AF55" s="100"/>
      <c r="AG55" s="100"/>
      <c r="AH55" s="100"/>
      <c r="AI55" s="100"/>
      <c r="AJ55" s="100"/>
      <c r="AK55" s="100"/>
      <c r="AL55" s="100"/>
      <c r="AM55" s="100"/>
      <c r="AN55" s="100"/>
      <c r="AO55" s="100"/>
      <c r="AP55" s="100"/>
      <c r="AQ55" s="100"/>
      <c r="AR55" s="100"/>
      <c r="AS55" s="100"/>
      <c r="AT55" s="100"/>
      <c r="AU55" s="100"/>
      <c r="AV55" s="100"/>
      <c r="AW55" s="100"/>
      <c r="AX55" s="100"/>
    </row>
    <row r="56" spans="1:50" s="10" customFormat="1" ht="36.75" customHeight="1" x14ac:dyDescent="0.2">
      <c r="A56" s="1531" t="s">
        <v>339</v>
      </c>
      <c r="B56" s="1532"/>
      <c r="C56" s="1532"/>
      <c r="D56" s="1532"/>
      <c r="E56" s="1532"/>
      <c r="F56" s="1532"/>
      <c r="G56" s="1532"/>
      <c r="H56" s="1532"/>
      <c r="I56" s="1532"/>
      <c r="J56" s="1532"/>
      <c r="K56" s="1532"/>
      <c r="L56" s="1532"/>
      <c r="M56" s="1532"/>
      <c r="N56" s="1532"/>
      <c r="O56" s="1532"/>
      <c r="P56" s="1532"/>
      <c r="Q56" s="1532"/>
      <c r="R56" s="1532"/>
      <c r="S56" s="1532"/>
      <c r="T56" s="1532"/>
    </row>
    <row r="57" spans="1:50" s="10" customFormat="1" ht="15" customHeight="1" x14ac:dyDescent="0.2">
      <c r="A57" s="55" t="s">
        <v>83</v>
      </c>
      <c r="B57" s="133"/>
      <c r="C57" s="2"/>
      <c r="D57" s="2"/>
      <c r="E57" s="2"/>
      <c r="F57" s="2"/>
      <c r="G57" s="2"/>
      <c r="H57" s="1"/>
      <c r="I57" s="2"/>
      <c r="J57" s="2"/>
      <c r="K57" s="1"/>
      <c r="L57" s="1"/>
      <c r="M57" s="1"/>
      <c r="N57" s="2"/>
      <c r="O57" s="2"/>
      <c r="P57" s="2"/>
      <c r="Q57" s="2"/>
      <c r="R57" s="2"/>
      <c r="S57" s="2"/>
      <c r="T57" s="47"/>
    </row>
    <row r="58" spans="1:50" s="10" customFormat="1" ht="15" customHeight="1" x14ac:dyDescent="0.2">
      <c r="A58" s="47" t="s">
        <v>0</v>
      </c>
      <c r="B58" s="133"/>
      <c r="C58" s="2"/>
      <c r="D58" s="2"/>
      <c r="E58" s="2"/>
      <c r="F58" s="2"/>
      <c r="G58" s="2"/>
      <c r="H58" s="1"/>
      <c r="I58" s="2"/>
      <c r="J58" s="2"/>
      <c r="K58" s="1"/>
      <c r="L58" s="1"/>
      <c r="M58" s="1"/>
      <c r="N58" s="2"/>
      <c r="O58" s="2"/>
      <c r="P58" s="2"/>
      <c r="Q58" s="2"/>
      <c r="R58" s="2"/>
      <c r="S58" s="2"/>
      <c r="T58" s="535" t="s">
        <v>1898</v>
      </c>
    </row>
    <row r="62" spans="1:50" x14ac:dyDescent="0.2">
      <c r="F62" s="219"/>
    </row>
  </sheetData>
  <mergeCells count="4">
    <mergeCell ref="A5:A22"/>
    <mergeCell ref="A23:T23"/>
    <mergeCell ref="A26:A54"/>
    <mergeCell ref="A56:T56"/>
  </mergeCells>
  <printOptions horizontalCentered="1"/>
  <pageMargins left="0.25" right="0.27" top="0.7" bottom="0.5" header="0.7" footer="0.25"/>
  <pageSetup scale="74" firstPageNumber="114" orientation="landscape" useFirstPageNumber="1" r:id="rId1"/>
  <headerFooter alignWithMargins="0">
    <oddHeader>&amp;R&amp;"Arial,Regular"&amp;8SREB-State Data Exchange</oddHeader>
    <oddFooter>&amp;C&amp;"Arial,Regular"C-&amp;P</oddFooter>
  </headerFooter>
  <rowBreaks count="1" manualBreakCount="1">
    <brk id="25" max="19"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enableFormatConditionsCalculation="0">
    <tabColor indexed="16"/>
  </sheetPr>
  <dimension ref="A1:AJ36"/>
  <sheetViews>
    <sheetView view="pageBreakPreview" topLeftCell="R1" zoomScaleNormal="100" zoomScaleSheetLayoutView="100" workbookViewId="0">
      <selection activeCell="R1" sqref="R1:AG1"/>
    </sheetView>
  </sheetViews>
  <sheetFormatPr defaultColWidth="8.875" defaultRowHeight="12.75" x14ac:dyDescent="0.2"/>
  <cols>
    <col min="1" max="1" width="14" style="7" customWidth="1"/>
    <col min="2" max="2" width="14.75" style="5" customWidth="1"/>
    <col min="3" max="3" width="12" style="4" customWidth="1"/>
    <col min="4" max="4" width="11.375" style="4" customWidth="1"/>
    <col min="5" max="5" width="12.875" style="4" customWidth="1"/>
    <col min="6" max="6" width="12.375" style="4" customWidth="1"/>
    <col min="7" max="7" width="12.875" style="4" customWidth="1"/>
    <col min="8" max="8" width="13.75" style="4" customWidth="1"/>
    <col min="9" max="9" width="13.5" style="4" bestFit="1" customWidth="1"/>
    <col min="10" max="10" width="14.5" style="4" bestFit="1" customWidth="1"/>
    <col min="11" max="11" width="11.75" style="4" customWidth="1"/>
    <col min="12" max="13" width="11.125" style="4" customWidth="1"/>
    <col min="14" max="14" width="12" style="4" customWidth="1"/>
    <col min="15" max="15" width="12.75" style="4" customWidth="1"/>
    <col min="16" max="16" width="13.125" style="24" customWidth="1"/>
    <col min="17" max="17" width="2.375" style="35" customWidth="1"/>
    <col min="18" max="18" width="12.375" style="7" customWidth="1"/>
    <col min="19" max="19" width="14.125" style="5" customWidth="1"/>
    <col min="20" max="20" width="12.625" style="4" customWidth="1"/>
    <col min="21" max="21" width="12" style="4" customWidth="1"/>
    <col min="22" max="22" width="10.875" style="4" customWidth="1"/>
    <col min="23" max="23" width="11.375" style="4" customWidth="1"/>
    <col min="24" max="24" width="9.75" style="4" customWidth="1"/>
    <col min="25" max="25" width="8.375" style="4" customWidth="1"/>
    <col min="26" max="26" width="6.5" style="4" customWidth="1"/>
    <col min="27" max="27" width="8.875" style="4" customWidth="1"/>
    <col min="28" max="28" width="7.5" style="4" customWidth="1"/>
    <col min="29" max="29" width="8.625" style="5" customWidth="1"/>
    <col min="30" max="30" width="7.75" style="4" customWidth="1"/>
    <col min="31" max="31" width="11.75" style="5" customWidth="1"/>
    <col min="32" max="32" width="11.875" style="5" customWidth="1"/>
    <col min="33" max="33" width="11.125" style="5" customWidth="1"/>
    <col min="34" max="35" width="6.875" style="5" customWidth="1"/>
    <col min="36" max="36" width="5.75" style="5" customWidth="1"/>
    <col min="37" max="16384" width="8.875" style="6"/>
  </cols>
  <sheetData>
    <row r="1" spans="1:36" s="142" customFormat="1" ht="18" x14ac:dyDescent="0.15">
      <c r="A1" s="218"/>
      <c r="B1" s="141"/>
      <c r="P1" s="143"/>
      <c r="Q1" s="144"/>
      <c r="R1" s="1542" t="s">
        <v>357</v>
      </c>
      <c r="S1" s="1542"/>
      <c r="T1" s="1542"/>
      <c r="U1" s="1542"/>
      <c r="V1" s="1542"/>
      <c r="W1" s="1542"/>
      <c r="X1" s="1542"/>
      <c r="Y1" s="1542"/>
      <c r="Z1" s="1542"/>
      <c r="AA1" s="1542"/>
      <c r="AB1" s="1542"/>
      <c r="AC1" s="1542"/>
      <c r="AD1" s="1542"/>
      <c r="AE1" s="1542"/>
      <c r="AF1" s="1542"/>
      <c r="AG1" s="1542"/>
      <c r="AH1" s="141"/>
      <c r="AI1" s="141"/>
      <c r="AJ1" s="141"/>
    </row>
    <row r="2" spans="1:36" s="142" customFormat="1" ht="15.75" x14ac:dyDescent="0.15">
      <c r="A2" s="218"/>
      <c r="B2" s="141"/>
      <c r="P2" s="143"/>
      <c r="Q2" s="144"/>
      <c r="R2" s="510"/>
      <c r="S2" s="510"/>
      <c r="T2" s="510"/>
      <c r="U2" s="510"/>
      <c r="V2" s="510"/>
      <c r="W2" s="510"/>
      <c r="X2" s="510"/>
      <c r="Y2" s="510"/>
      <c r="Z2" s="510"/>
      <c r="AA2" s="510"/>
      <c r="AB2" s="510"/>
      <c r="AC2" s="510"/>
      <c r="AD2" s="510"/>
      <c r="AE2" s="510"/>
      <c r="AF2" s="510"/>
      <c r="AG2" s="510"/>
      <c r="AH2" s="141"/>
      <c r="AI2" s="141"/>
      <c r="AJ2" s="141"/>
    </row>
    <row r="3" spans="1:36" s="142" customFormat="1" ht="18.75" x14ac:dyDescent="0.15">
      <c r="A3" s="218" t="s">
        <v>313</v>
      </c>
      <c r="B3" s="141"/>
      <c r="P3" s="143"/>
      <c r="Q3" s="144"/>
      <c r="R3" s="1557" t="s">
        <v>25</v>
      </c>
      <c r="S3" s="1557"/>
      <c r="T3" s="1557"/>
      <c r="U3" s="1557"/>
      <c r="V3" s="1557"/>
      <c r="W3" s="1557"/>
      <c r="X3" s="1557"/>
      <c r="Y3" s="1557"/>
      <c r="Z3" s="1557"/>
      <c r="AA3" s="1557"/>
      <c r="AB3" s="1557"/>
      <c r="AC3" s="1557"/>
      <c r="AD3" s="1557"/>
      <c r="AE3" s="1557"/>
      <c r="AF3" s="1557"/>
      <c r="AG3" s="1557"/>
      <c r="AH3" s="141"/>
      <c r="AI3" s="141"/>
      <c r="AJ3" s="141"/>
    </row>
    <row r="4" spans="1:36" s="142" customFormat="1" ht="15.75" x14ac:dyDescent="0.15">
      <c r="A4" s="218" t="s">
        <v>409</v>
      </c>
      <c r="B4" s="140"/>
      <c r="C4" s="140"/>
      <c r="D4" s="140"/>
      <c r="E4" s="140"/>
      <c r="F4" s="147"/>
      <c r="G4" s="140"/>
      <c r="H4" s="140"/>
      <c r="I4" s="140"/>
      <c r="J4" s="140"/>
      <c r="K4" s="140"/>
      <c r="L4" s="140"/>
      <c r="M4" s="140"/>
      <c r="N4" s="140"/>
      <c r="O4" s="140"/>
      <c r="P4" s="145"/>
      <c r="Q4" s="146"/>
      <c r="R4" s="1557" t="s">
        <v>1901</v>
      </c>
      <c r="S4" s="1557"/>
      <c r="T4" s="1557"/>
      <c r="U4" s="1557"/>
      <c r="V4" s="1557"/>
      <c r="W4" s="1557"/>
      <c r="X4" s="1557"/>
      <c r="Y4" s="1557"/>
      <c r="Z4" s="1557"/>
      <c r="AA4" s="1557"/>
      <c r="AB4" s="1557"/>
      <c r="AC4" s="1557"/>
      <c r="AD4" s="1557"/>
      <c r="AE4" s="1557"/>
      <c r="AF4" s="1557"/>
      <c r="AG4" s="1557"/>
      <c r="AH4" s="140"/>
      <c r="AI4" s="140"/>
      <c r="AJ4" s="140"/>
    </row>
    <row r="5" spans="1:36" s="142" customFormat="1" ht="15.75" x14ac:dyDescent="0.15">
      <c r="A5" s="218"/>
      <c r="B5" s="510"/>
      <c r="C5" s="510"/>
      <c r="D5" s="510"/>
      <c r="E5" s="510"/>
      <c r="F5" s="147"/>
      <c r="G5" s="510"/>
      <c r="H5" s="510"/>
      <c r="I5" s="510"/>
      <c r="J5" s="510"/>
      <c r="K5" s="510"/>
      <c r="L5" s="510"/>
      <c r="M5" s="510"/>
      <c r="N5" s="510"/>
      <c r="O5" s="510"/>
      <c r="P5" s="145"/>
      <c r="Q5" s="146"/>
      <c r="R5" s="510"/>
      <c r="S5" s="510"/>
      <c r="T5" s="510"/>
      <c r="U5" s="510"/>
      <c r="V5" s="510"/>
      <c r="W5" s="510"/>
      <c r="X5" s="510"/>
      <c r="Y5" s="510"/>
      <c r="Z5" s="510"/>
      <c r="AA5" s="510"/>
      <c r="AB5" s="510"/>
      <c r="AC5" s="510"/>
      <c r="AD5" s="510"/>
      <c r="AE5" s="510"/>
      <c r="AF5" s="510"/>
      <c r="AG5" s="510"/>
      <c r="AH5" s="510"/>
      <c r="AI5" s="510"/>
      <c r="AJ5" s="510"/>
    </row>
    <row r="6" spans="1:36" s="61" customFormat="1" ht="15.75" x14ac:dyDescent="0.15">
      <c r="A6" s="151"/>
      <c r="B6" s="152" t="s">
        <v>11</v>
      </c>
      <c r="C6" s="153"/>
      <c r="D6" s="153"/>
      <c r="E6" s="153"/>
      <c r="F6" s="154"/>
      <c r="G6" s="153"/>
      <c r="H6" s="154"/>
      <c r="I6" s="155" t="s">
        <v>91</v>
      </c>
      <c r="J6" s="152" t="s">
        <v>92</v>
      </c>
      <c r="K6" s="152"/>
      <c r="L6" s="152"/>
      <c r="M6" s="152"/>
      <c r="N6" s="152"/>
      <c r="O6" s="156"/>
      <c r="P6" s="157" t="s">
        <v>91</v>
      </c>
      <c r="Q6" s="158"/>
      <c r="R6" s="151" t="s">
        <v>91</v>
      </c>
      <c r="S6" s="536" t="s">
        <v>36</v>
      </c>
      <c r="T6" s="537"/>
      <c r="U6" s="537"/>
      <c r="V6" s="537"/>
      <c r="W6" s="538"/>
      <c r="X6" s="538"/>
      <c r="Y6" s="538"/>
      <c r="Z6" s="539" t="s">
        <v>91</v>
      </c>
      <c r="AA6" s="536" t="s">
        <v>111</v>
      </c>
      <c r="AB6" s="536"/>
      <c r="AC6" s="536"/>
      <c r="AD6" s="536"/>
      <c r="AE6" s="536"/>
      <c r="AF6" s="540"/>
      <c r="AG6" s="541" t="s">
        <v>91</v>
      </c>
    </row>
    <row r="7" spans="1:36" ht="70.5" customHeight="1" x14ac:dyDescent="0.25">
      <c r="A7" s="17"/>
      <c r="B7" s="1560" t="s">
        <v>213</v>
      </c>
      <c r="C7" s="1564" t="s">
        <v>28</v>
      </c>
      <c r="D7" s="40"/>
      <c r="E7" s="40"/>
      <c r="F7" s="40"/>
      <c r="G7" s="23"/>
      <c r="H7" s="22"/>
      <c r="I7" s="36"/>
      <c r="J7" s="38" t="s">
        <v>212</v>
      </c>
      <c r="K7" s="39"/>
      <c r="L7" s="38" t="s">
        <v>208</v>
      </c>
      <c r="M7" s="39"/>
      <c r="N7" s="49"/>
      <c r="O7" s="21" t="s">
        <v>91</v>
      </c>
      <c r="P7" s="37" t="s">
        <v>91</v>
      </c>
      <c r="Q7" s="30"/>
      <c r="R7" s="17"/>
      <c r="S7" s="1555" t="s">
        <v>31</v>
      </c>
      <c r="T7" s="1545" t="s">
        <v>53</v>
      </c>
      <c r="U7" s="1545" t="s">
        <v>29</v>
      </c>
      <c r="V7" s="1545" t="s">
        <v>32</v>
      </c>
      <c r="W7" s="1545" t="s">
        <v>33</v>
      </c>
      <c r="X7" s="1545" t="s">
        <v>395</v>
      </c>
      <c r="Y7" s="1547" t="s">
        <v>50</v>
      </c>
      <c r="Z7" s="1549" t="s">
        <v>103</v>
      </c>
      <c r="AA7" s="1543" t="s">
        <v>180</v>
      </c>
      <c r="AB7" s="1544"/>
      <c r="AC7" s="1543" t="s">
        <v>234</v>
      </c>
      <c r="AD7" s="1544"/>
      <c r="AE7" s="1545" t="s">
        <v>30</v>
      </c>
      <c r="AF7" s="1551" t="s">
        <v>396</v>
      </c>
      <c r="AG7" s="1553" t="s">
        <v>397</v>
      </c>
      <c r="AH7" s="6"/>
      <c r="AI7" s="6"/>
      <c r="AJ7" s="6"/>
    </row>
    <row r="8" spans="1:36" s="4" customFormat="1" ht="70.5" customHeight="1" x14ac:dyDescent="0.2">
      <c r="A8" s="77"/>
      <c r="B8" s="1561"/>
      <c r="C8" s="1565"/>
      <c r="D8" s="19" t="s">
        <v>29</v>
      </c>
      <c r="E8" s="19" t="s">
        <v>208</v>
      </c>
      <c r="F8" s="19" t="s">
        <v>30</v>
      </c>
      <c r="G8" s="19" t="s">
        <v>314</v>
      </c>
      <c r="H8" s="19" t="s">
        <v>316</v>
      </c>
      <c r="I8" s="78" t="s">
        <v>88</v>
      </c>
      <c r="J8" s="19" t="s">
        <v>207</v>
      </c>
      <c r="K8" s="20" t="s">
        <v>16</v>
      </c>
      <c r="L8" s="19" t="s">
        <v>207</v>
      </c>
      <c r="M8" s="20" t="s">
        <v>16</v>
      </c>
      <c r="N8" s="20" t="s">
        <v>315</v>
      </c>
      <c r="O8" s="20" t="s">
        <v>165</v>
      </c>
      <c r="P8" s="19" t="s">
        <v>168</v>
      </c>
      <c r="Q8" s="31"/>
      <c r="R8" s="77"/>
      <c r="S8" s="1556"/>
      <c r="T8" s="1546"/>
      <c r="U8" s="1546"/>
      <c r="V8" s="1566"/>
      <c r="W8" s="1546"/>
      <c r="X8" s="1546"/>
      <c r="Y8" s="1548"/>
      <c r="Z8" s="1550"/>
      <c r="AA8" s="542" t="s">
        <v>207</v>
      </c>
      <c r="AB8" s="543" t="s">
        <v>16</v>
      </c>
      <c r="AC8" s="542" t="s">
        <v>207</v>
      </c>
      <c r="AD8" s="543" t="s">
        <v>16</v>
      </c>
      <c r="AE8" s="1546"/>
      <c r="AF8" s="1552"/>
      <c r="AG8" s="1554"/>
    </row>
    <row r="9" spans="1:36" s="61" customFormat="1" ht="15" customHeight="1" x14ac:dyDescent="0.15">
      <c r="A9" s="73" t="s">
        <v>158</v>
      </c>
      <c r="B9" s="147">
        <f>+GETPIVOTDATA("Sum of State Gen Purp-New",'Amounts Pivot Table'!$A$3,"category2","Four-Year")+GETPIVOTDATA("Sum of State Gen Purp-New",'Amounts Pivot Table'!$A$3,"category2","Two-Year")+GETPIVOTDATA("Sum of State Gen Purp-New",'Amounts Pivot Table'!$A$3,"category2","Technical")</f>
        <v>19592980342.036629</v>
      </c>
      <c r="C9" s="147">
        <f>+GETPIVOTDATA("Sum of State Ed Spec Purp-New",'Amounts Pivot Table'!$A$3,"category2","Four-Year")+GETPIVOTDATA("Sum of State Ed Spec Purp-New",'Amounts Pivot Table'!$A$3,"category2","Two-Year")+GETPIVOTDATA("Sum of State Ed Spec Purp-New",'Amounts Pivot Table'!$A$3,"category2","Technical")</f>
        <v>1616329284.78</v>
      </c>
      <c r="D9" s="147">
        <f>+GETPIVOTDATA("Sum of State Ed Spec Purp-New",'Amounts Pivot Table'!$A$3,"category2","Other")</f>
        <v>392976574.15999997</v>
      </c>
      <c r="E9" s="147">
        <f>+GETPIVOTDATA("Sum of Other Spec Purp State-New",'Amounts Pivot Table'!$A$3,"category2","Specialized")</f>
        <v>116847057.93529946</v>
      </c>
      <c r="F9" s="147">
        <f>+GETPIVOTDATA("Sum of Health State-New",'Amounts Pivot Table'!$A$3)</f>
        <v>4083438468.3825264</v>
      </c>
      <c r="G9" s="147">
        <f>+GETPIVOTDATA("Sum of Other Spec Purp State-New",'Amounts Pivot Table'!$A$3)</f>
        <v>4428674010.8952999</v>
      </c>
      <c r="H9" s="147">
        <f>SUM(B9:G9)</f>
        <v>30231245738.189751</v>
      </c>
      <c r="I9" s="147">
        <f>+GETPIVOTDATA("Sum of Local-New",'Amounts Pivot Table'!$A$3)</f>
        <v>2300934095</v>
      </c>
      <c r="J9" s="147">
        <f>+GETPIVOTDATA("Sum of Tuition Tot-New",'Amounts Pivot Table'!$A$3,"category2","Four-Year")+GETPIVOTDATA("Sum of Tuition Tot-New",'Amounts Pivot Table'!$A$3,"category2","Two-Year")+GETPIVOTDATA("Sum of Tuition Tot-New",'Amounts Pivot Table'!$A$3,"category2","Technical")</f>
        <v>26096426538.684982</v>
      </c>
      <c r="K9" s="147">
        <f>+GETPIVOTDATA("Sum of Tuition Debt-New",'Amounts Pivot Table'!$A$3,"category2","Four-Year")+GETPIVOTDATA("Sum of Tuition Debt-New",'Amounts Pivot Table'!$A$3,"category2","Two-Year")+GETPIVOTDATA("Sum of Tuition Debt-New",'Amounts Pivot Table'!$A$3,"category2","Technical")</f>
        <v>315601151.06999999</v>
      </c>
      <c r="L9" s="147">
        <f>+GETPIVOTDATA("Sum of Tuition SP Tot-New",'Amounts Pivot Table'!$A$3,"category2","Specialized")</f>
        <v>431806085</v>
      </c>
      <c r="M9" s="147">
        <f>+GETPIVOTDATA("Sum of Tuition SP Debt-New",'Amounts Pivot Table'!$A$3,"category2","Specialized")</f>
        <v>473208</v>
      </c>
      <c r="N9" s="147">
        <f>+GETPIVOTDATA("Sum of Health Tuition-New",'Amounts Pivot Table'!$A$3)</f>
        <v>1288344282.9545975</v>
      </c>
      <c r="O9" s="147">
        <f>+J9+L9+N9-K9-M9</f>
        <v>27500502547.56958</v>
      </c>
      <c r="P9" s="147">
        <f>O9+H9+I9</f>
        <v>60032682380.759331</v>
      </c>
      <c r="Q9" s="148"/>
      <c r="R9" s="406" t="s">
        <v>158</v>
      </c>
      <c r="S9" s="544">
        <f t="shared" ref="S9:S29" si="0">IF(B9/$P9=0,,IF(B9/$P9&gt;0.0005,B9/$P9,"*"))</f>
        <v>0.32637189552463247</v>
      </c>
      <c r="T9" s="544">
        <f t="shared" ref="T9:T29" si="1">IF(C9/$P9=0,,IF(C9/$P9&gt;0.0005,C9/$P9,"*"))</f>
        <v>2.6924155654554572E-2</v>
      </c>
      <c r="U9" s="544">
        <f t="shared" ref="U9:U29" si="2">IF(D9/$P9=0,,IF(D9/$P9&gt;0.0005,D9/$P9,"*"))</f>
        <v>6.5460438976811443E-3</v>
      </c>
      <c r="V9" s="544">
        <f t="shared" ref="V9:V29" si="3">IF(E9/$P9=0,,IF(E9/$P9&gt;0.0005,E9/$P9,"*"))</f>
        <v>1.9463907541927416E-3</v>
      </c>
      <c r="W9" s="544">
        <f t="shared" ref="W9:W29" si="4">IF(F9/$P9=0,,IF(F9/$P9&gt;0.0005,F9/$P9,"*"))</f>
        <v>6.8020256740872892E-2</v>
      </c>
      <c r="X9" s="544">
        <f t="shared" ref="X9:X29" si="5">IF(G9/$P9=0,,IF(G9/$P9&gt;0.0005,G9/$P9,"*"))</f>
        <v>7.3771049955860452E-2</v>
      </c>
      <c r="Y9" s="545">
        <f>SUM(S9:X9)</f>
        <v>0.50357979252779428</v>
      </c>
      <c r="Z9" s="544">
        <f t="shared" ref="Z9:AC24" si="6">IF(I9/$P9=0,,IF(I9/$P9&gt;0.0005,I9/$P9,"*"))</f>
        <v>3.8328024065395698E-2</v>
      </c>
      <c r="AA9" s="544">
        <f t="shared" si="6"/>
        <v>0.43470365647111198</v>
      </c>
      <c r="AB9" s="544">
        <f t="shared" si="6"/>
        <v>5.2571555784945434E-3</v>
      </c>
      <c r="AC9" s="544">
        <f t="shared" si="6"/>
        <v>7.1928500922423429E-3</v>
      </c>
      <c r="AD9" s="544" t="str">
        <f>IF(M9/$P9=0,,IF(M9/$P9&gt;0.0005,M9/$P9,"*"))</f>
        <v>*</v>
      </c>
      <c r="AE9" s="544">
        <f>IF(N9/$P9=0,,IF(N9/$P9&gt;0.0005,N9/$P9,"*"))</f>
        <v>2.1460714928299054E-2</v>
      </c>
      <c r="AF9" s="328">
        <f>J9/$P9-K9/$P9+L9/$P9-M9/$P9+N9/$P9</f>
        <v>0.45809218340681007</v>
      </c>
      <c r="AG9" s="546">
        <f>Y9+I9/$P9+AF9</f>
        <v>1</v>
      </c>
    </row>
    <row r="10" spans="1:36" s="66" customFormat="1" ht="9.75" customHeight="1" x14ac:dyDescent="0.2">
      <c r="A10" s="63"/>
      <c r="B10" s="64"/>
      <c r="C10" s="64"/>
      <c r="D10" s="64"/>
      <c r="E10" s="64"/>
      <c r="F10" s="64"/>
      <c r="G10" s="64"/>
      <c r="H10" s="64"/>
      <c r="I10" s="64"/>
      <c r="J10" s="64"/>
      <c r="K10" s="64"/>
      <c r="L10" s="64"/>
      <c r="M10" s="64"/>
      <c r="N10" s="64"/>
      <c r="O10" s="64"/>
      <c r="P10" s="64"/>
      <c r="Q10" s="65"/>
      <c r="R10" s="379"/>
      <c r="S10" s="544"/>
      <c r="T10" s="544"/>
      <c r="U10" s="544"/>
      <c r="V10" s="544"/>
      <c r="W10" s="544"/>
      <c r="X10" s="544"/>
      <c r="Y10" s="545"/>
      <c r="Z10" s="544"/>
      <c r="AA10" s="544"/>
      <c r="AB10" s="544"/>
      <c r="AC10" s="544"/>
      <c r="AD10" s="544"/>
      <c r="AE10" s="544"/>
      <c r="AF10" s="329"/>
      <c r="AG10" s="546"/>
    </row>
    <row r="11" spans="1:36" ht="12" customHeight="1" x14ac:dyDescent="0.2">
      <c r="A11" s="7" t="s">
        <v>320</v>
      </c>
      <c r="B11" s="29">
        <f>+GETPIVOTDATA("Sum of State Gen Purp-New",'Amounts Pivot Table'!$A$3,"state","AL","category2","Four-Year")+GETPIVOTDATA("Sum of State Gen Purp-New",'Amounts Pivot Table'!$A$3,"state","AL","category2","Two-Year")+GETPIVOTDATA("Sum of State Gen Purp-New",'Amounts Pivot Table'!$A$3,"state","AL","category2","Technical")</f>
        <v>892322068</v>
      </c>
      <c r="C11" s="29">
        <f>+GETPIVOTDATA("Sum of State Ed Spec Purp-New",'Amounts Pivot Table'!$A$3,"state","AL","category2","Four-Year")+GETPIVOTDATA("Sum of State Ed Spec Purp-New",'Amounts Pivot Table'!$A$3,"state","AL","category2","Two-Year")+GETPIVOTDATA("Sum of State Ed Spec Purp-New",'Amounts Pivot Table'!$A$3,"state","AL","category2","Technical")</f>
        <v>95220668</v>
      </c>
      <c r="D11" s="29">
        <f>+GETPIVOTDATA("Sum of State Ed Spec Purp-New",'Amounts Pivot Table'!$A$3,"state","AL","category2","Other")</f>
        <v>25353431</v>
      </c>
      <c r="E11" s="29">
        <f>+GETPIVOTDATA("Sum of Other Spec Purp State-New",'Amounts Pivot Table'!$A$3,"state","AL","category2","Specialized")</f>
        <v>6125936</v>
      </c>
      <c r="F11" s="29">
        <f>+GETPIVOTDATA("Sum of Health State-New",'Amounts Pivot Table'!$A$3,"state","AL")</f>
        <v>342824647</v>
      </c>
      <c r="G11" s="29">
        <f>+GETPIVOTDATA("Sum of Other Spec Purp State-New",'Amounts Pivot Table'!$A$3,"state","AL")</f>
        <v>88014762</v>
      </c>
      <c r="H11" s="29">
        <f>SUM(B11:G11)</f>
        <v>1449861512</v>
      </c>
      <c r="I11" s="29">
        <f>+GETPIVOTDATA("Sum of Local-New",'Amounts Pivot Table'!$A$3,"state","AL")</f>
        <v>2718000</v>
      </c>
      <c r="J11" s="29">
        <f>+GETPIVOTDATA("Sum of Tuition Tot-New",'Amounts Pivot Table'!$A$3,"state","AL","category2","Four-Year")+GETPIVOTDATA("Sum of Tuition Tot-New",'Amounts Pivot Table'!$A$3,"state","AL","category2","Two-Year")+GETPIVOTDATA("Sum of Tuition Tot-New",'Amounts Pivot Table'!$A$3,"state","AL","category2","Technical")</f>
        <v>1777428335</v>
      </c>
      <c r="K11" s="29">
        <f>+GETPIVOTDATA("Sum of Tuition Debt-New",'Amounts Pivot Table'!$A$3,"state","AL","category2","Four-Year")+GETPIVOTDATA("Sum of Tuition Debt-New",'Amounts Pivot Table'!$A$3,"state","AL","category2","Two-Year")+GETPIVOTDATA("Sum of Tuition Debt-New",'Amounts Pivot Table'!$A$3,"state","AL","category2","Technical")</f>
        <v>115352819</v>
      </c>
      <c r="L11" s="29">
        <f>+GETPIVOTDATA("Sum of Tuition SP Tot-New",'Amounts Pivot Table'!$A$3,"state","AL","category2","Specialized")</f>
        <v>3924000</v>
      </c>
      <c r="M11" s="29">
        <f>+GETPIVOTDATA("Sum of Tuition SP Debt-New",'Amounts Pivot Table'!$A$3,"state","AL","category2","Specialized")</f>
        <v>177000</v>
      </c>
      <c r="N11" s="29">
        <f>+GETPIVOTDATA("Sum of Health Tuition-New",'Amounts Pivot Table'!$A$3,"state","AL")</f>
        <v>149795225</v>
      </c>
      <c r="O11" s="29">
        <f>+J11+L11+N11-K11-M11</f>
        <v>1815617741</v>
      </c>
      <c r="P11" s="29">
        <f>O11+H11+I11</f>
        <v>3268197253</v>
      </c>
      <c r="Q11" s="33"/>
      <c r="R11" s="379" t="s">
        <v>320</v>
      </c>
      <c r="S11" s="544">
        <f t="shared" si="0"/>
        <v>0.27303188850700622</v>
      </c>
      <c r="T11" s="544">
        <f t="shared" si="1"/>
        <v>2.9135532719940144E-2</v>
      </c>
      <c r="U11" s="544">
        <f t="shared" si="2"/>
        <v>7.7576195796404705E-3</v>
      </c>
      <c r="V11" s="544">
        <f t="shared" si="3"/>
        <v>1.874408282540711E-3</v>
      </c>
      <c r="W11" s="544">
        <f t="shared" si="4"/>
        <v>0.10489717127242197</v>
      </c>
      <c r="X11" s="544">
        <f t="shared" si="5"/>
        <v>2.6930676206648168E-2</v>
      </c>
      <c r="Y11" s="545">
        <f t="shared" ref="Y11:Y29" si="7">SUM(S11:X11)</f>
        <v>0.44362729656819772</v>
      </c>
      <c r="Z11" s="544">
        <f t="shared" si="6"/>
        <v>8.3165114881148818E-4</v>
      </c>
      <c r="AA11" s="544">
        <f t="shared" si="6"/>
        <v>0.54385589283768976</v>
      </c>
      <c r="AB11" s="544">
        <f t="shared" si="6"/>
        <v>3.5295549830755578E-2</v>
      </c>
      <c r="AC11" s="544">
        <f t="shared" si="6"/>
        <v>1.2006619234496982E-3</v>
      </c>
      <c r="AD11" s="544" t="str">
        <f t="shared" ref="AD11:AE29" si="8">IF(M11/$P11=0,,IF(M11/$P11&gt;0.0005,M11/$P11,"*"))</f>
        <v>*</v>
      </c>
      <c r="AE11" s="544">
        <f t="shared" si="8"/>
        <v>4.5834205650377248E-2</v>
      </c>
      <c r="AF11" s="329">
        <f t="shared" ref="AF11:AF29" si="9">J11/$P11-K11/$P11+L11/$P11-M11/$P11+N11/$P11</f>
        <v>0.55554105228299078</v>
      </c>
      <c r="AG11" s="546">
        <f t="shared" ref="AG11:AG29" si="10">Y11+I11/$P11+AF11</f>
        <v>1</v>
      </c>
      <c r="AH11" s="6"/>
      <c r="AI11" s="6"/>
      <c r="AJ11" s="6"/>
    </row>
    <row r="12" spans="1:36" ht="12" customHeight="1" x14ac:dyDescent="0.2">
      <c r="A12" s="7" t="s">
        <v>334</v>
      </c>
      <c r="B12" s="29">
        <f>+GETPIVOTDATA("Sum of State Gen Purp-New",'Amounts Pivot Table'!$A$3,"state","AR","category2","Four-Year")+GETPIVOTDATA("Sum of State Gen Purp-New",'Amounts Pivot Table'!$A$3,"state","AR","category2","Two-Year")+GETPIVOTDATA("Sum of State Gen Purp-New",'Amounts Pivot Table'!$A$3,"state","AR","category2","Technical")</f>
        <v>611642099</v>
      </c>
      <c r="C12" s="29">
        <f>+GETPIVOTDATA("Sum of State Ed Spec Purp-New",'Amounts Pivot Table'!$A$3,"state","AR","category2","Four-Year")+GETPIVOTDATA("Sum of State Ed Spec Purp-New",'Amounts Pivot Table'!$A$3,"state","AR","category2","Two-Year")+GETPIVOTDATA("Sum of State Ed Spec Purp-New",'Amounts Pivot Table'!$A$3,"state","AR","category2","Technical")</f>
        <v>96373329</v>
      </c>
      <c r="D12" s="29">
        <f>+GETPIVOTDATA("Sum of State Ed Spec Purp-New",'Amounts Pivot Table'!$A$3,"state","AR","category2","Other")</f>
        <v>350000</v>
      </c>
      <c r="E12" s="29">
        <f>+GETPIVOTDATA("Sum of Other Spec Purp State-New",'Amounts Pivot Table'!$A$3,"state","AR","category2","Specialized")</f>
        <v>0</v>
      </c>
      <c r="F12" s="29">
        <f>+GETPIVOTDATA("Sum of Health State-New",'Amounts Pivot Table'!$A$3,"state","AR")</f>
        <v>112144733</v>
      </c>
      <c r="G12" s="29">
        <f>+GETPIVOTDATA("Sum of Other Spec Purp State-New",'Amounts Pivot Table'!$A$3,"state","AR")</f>
        <v>150685124</v>
      </c>
      <c r="H12" s="29">
        <f t="shared" ref="H12:H29" si="11">SUM(B12:G12)</f>
        <v>971195285</v>
      </c>
      <c r="I12" s="29">
        <f>+GETPIVOTDATA("Sum of Local-New",'Amounts Pivot Table'!$A$3,"state","AR")</f>
        <v>22807349</v>
      </c>
      <c r="J12" s="29">
        <f>+GETPIVOTDATA("Sum of Tuition Tot-New",'Amounts Pivot Table'!$A$3,"state","AR","category2","Four-Year")+GETPIVOTDATA("Sum of Tuition Tot-New",'Amounts Pivot Table'!$A$3,"state","AR","category2","Two-Year")+GETPIVOTDATA("Sum of Tuition Tot-New",'Amounts Pivot Table'!$A$3,"state","AR","category2","Technical")</f>
        <v>786716736</v>
      </c>
      <c r="K12" s="29">
        <f>+GETPIVOTDATA("Sum of Tuition Debt-New",'Amounts Pivot Table'!$A$3,"state","AR","category2","Four-Year")+GETPIVOTDATA("Sum of Tuition Debt-New",'Amounts Pivot Table'!$A$3,"state","AR","category2","Two-Year")+GETPIVOTDATA("Sum of Tuition Debt-New",'Amounts Pivot Table'!$A$3,"state","AR","category2","Technical")</f>
        <v>4181165</v>
      </c>
      <c r="L12" s="29">
        <f>+GETPIVOTDATA("Sum of Tuition SP Tot-New",'Amounts Pivot Table'!$A$3,"state","AR","category2","Specialized")</f>
        <v>0</v>
      </c>
      <c r="M12" s="29">
        <f>+GETPIVOTDATA("Sum of Tuition SP Debt-New",'Amounts Pivot Table'!$A$3,"state","AR","category2","Specialized")</f>
        <v>0</v>
      </c>
      <c r="N12" s="29">
        <f>+GETPIVOTDATA("Sum of Health Tuition-New",'Amounts Pivot Table'!$A$3,"state","AR")</f>
        <v>32220221</v>
      </c>
      <c r="O12" s="29">
        <f t="shared" ref="O12:O29" si="12">+J12+L12+N12-K12-M12</f>
        <v>814755792</v>
      </c>
      <c r="P12" s="29">
        <f t="shared" ref="P12:P29" si="13">O12+H12+I12</f>
        <v>1808758426</v>
      </c>
      <c r="Q12" s="32"/>
      <c r="R12" s="379" t="s">
        <v>334</v>
      </c>
      <c r="S12" s="544">
        <f t="shared" si="0"/>
        <v>0.33815577039363021</v>
      </c>
      <c r="T12" s="544">
        <f t="shared" si="1"/>
        <v>5.3281481714020779E-2</v>
      </c>
      <c r="U12" s="544" t="str">
        <f t="shared" si="2"/>
        <v>*</v>
      </c>
      <c r="V12" s="544">
        <f t="shared" si="3"/>
        <v>0</v>
      </c>
      <c r="W12" s="544">
        <f t="shared" si="4"/>
        <v>6.2000945724965485E-2</v>
      </c>
      <c r="X12" s="544">
        <f t="shared" si="5"/>
        <v>8.3308595461934837E-2</v>
      </c>
      <c r="Y12" s="545">
        <f t="shared" si="7"/>
        <v>0.53674679329455133</v>
      </c>
      <c r="Z12" s="544">
        <f t="shared" si="6"/>
        <v>1.2609394749545177E-2</v>
      </c>
      <c r="AA12" s="544">
        <f t="shared" si="6"/>
        <v>0.43494848438096512</v>
      </c>
      <c r="AB12" s="544">
        <f t="shared" si="6"/>
        <v>2.311621574168136E-3</v>
      </c>
      <c r="AC12" s="544">
        <f t="shared" si="6"/>
        <v>0</v>
      </c>
      <c r="AD12" s="544">
        <f t="shared" si="8"/>
        <v>0</v>
      </c>
      <c r="AE12" s="544">
        <f t="shared" si="8"/>
        <v>1.7813446249565667E-2</v>
      </c>
      <c r="AF12" s="329">
        <f t="shared" si="9"/>
        <v>0.45045030905636263</v>
      </c>
      <c r="AG12" s="546">
        <f t="shared" si="10"/>
        <v>0.9998064971004591</v>
      </c>
      <c r="AH12" s="6"/>
      <c r="AI12" s="6"/>
      <c r="AJ12" s="6"/>
    </row>
    <row r="13" spans="1:36" ht="12" customHeight="1" x14ac:dyDescent="0.2">
      <c r="A13" s="7" t="s">
        <v>321</v>
      </c>
      <c r="B13" s="29">
        <f>+GETPIVOTDATA("Sum of State Gen Purp-New",'Amounts Pivot Table'!$A$3,"state","DE","category2","Four-Year")+GETPIVOTDATA("Sum of State Gen Purp-New",'Amounts Pivot Table'!$A$3,"state","DE","category2","Two-Year")+GETPIVOTDATA("Sum of State Gen Purp-New",'Amounts Pivot Table'!$A$3,"state","DE","category2","Technical")</f>
        <v>213741900</v>
      </c>
      <c r="C13" s="29">
        <f>+GETPIVOTDATA("Sum of State Ed Spec Purp-New",'Amounts Pivot Table'!$A$3,"state","DE","category2","Four-Year")+GETPIVOTDATA("Sum of State Ed Spec Purp-New",'Amounts Pivot Table'!$A$3,"state","DE","category2","Two-Year")+GETPIVOTDATA("Sum of State Ed Spec Purp-New",'Amounts Pivot Table'!$A$3,"state","DE","category2","Technical")</f>
        <v>6344461</v>
      </c>
      <c r="D13" s="29">
        <f>+GETPIVOTDATA("Sum of State Ed Spec Purp-New",'Amounts Pivot Table'!$A$3,"state","DE","category2","Other")</f>
        <v>1918000</v>
      </c>
      <c r="E13" s="29">
        <f>+GETPIVOTDATA("Sum of Other Spec Purp State-New",'Amounts Pivot Table'!$A$3,"state","DE","category2","Specialized")</f>
        <v>0</v>
      </c>
      <c r="F13" s="29">
        <f>+GETPIVOTDATA("Sum of Health State-New",'Amounts Pivot Table'!$A$3,"state","DE")</f>
        <v>0</v>
      </c>
      <c r="G13" s="29">
        <f>+GETPIVOTDATA("Sum of Other Spec Purp State-New",'Amounts Pivot Table'!$A$3,"state","DE")</f>
        <v>22547216</v>
      </c>
      <c r="H13" s="29">
        <f t="shared" si="11"/>
        <v>244551577</v>
      </c>
      <c r="I13" s="29">
        <f>+GETPIVOTDATA("Sum of Local-New",'Amounts Pivot Table'!$A$3,"state","DE")</f>
        <v>0</v>
      </c>
      <c r="J13" s="29">
        <f>+GETPIVOTDATA("Sum of Tuition Tot-New",'Amounts Pivot Table'!$A$3,"state","DE","category2","Four-Year")+GETPIVOTDATA("Sum of Tuition Tot-New",'Amounts Pivot Table'!$A$3,"state","DE","category2","Two-Year")+GETPIVOTDATA("Sum of Tuition Tot-New",'Amounts Pivot Table'!$A$3,"state","DE","category2","Technical")</f>
        <v>609127458</v>
      </c>
      <c r="K13" s="29">
        <f>+GETPIVOTDATA("Sum of Tuition Debt-New",'Amounts Pivot Table'!$A$3,"state","DE","category2","Four-Year")+GETPIVOTDATA("Sum of Tuition Debt-New",'Amounts Pivot Table'!$A$3,"state","DE","category2","Two-Year")+GETPIVOTDATA("Sum of Tuition Debt-New",'Amounts Pivot Table'!$A$3,"state","DE","category2","Technical")</f>
        <v>1519800</v>
      </c>
      <c r="L13" s="29">
        <f>+GETPIVOTDATA("Sum of Tuition SP Tot-New",'Amounts Pivot Table'!$A$3,"state","DE","category2","Specialized")</f>
        <v>0</v>
      </c>
      <c r="M13" s="29">
        <f>+GETPIVOTDATA("Sum of Tuition SP Debt-New",'Amounts Pivot Table'!$A$3,"state","DE","category2","Specialized")</f>
        <v>0</v>
      </c>
      <c r="N13" s="29">
        <f>+GETPIVOTDATA("Sum of Health Tuition-New",'Amounts Pivot Table'!$A$3,"state","DE")</f>
        <v>0</v>
      </c>
      <c r="O13" s="29">
        <f t="shared" si="12"/>
        <v>607607658</v>
      </c>
      <c r="P13" s="29">
        <f t="shared" si="13"/>
        <v>852159235</v>
      </c>
      <c r="Q13" s="32"/>
      <c r="R13" s="379" t="s">
        <v>321</v>
      </c>
      <c r="S13" s="544">
        <f t="shared" si="0"/>
        <v>0.25082389678027722</v>
      </c>
      <c r="T13" s="544">
        <f t="shared" si="1"/>
        <v>7.4451590024721143E-3</v>
      </c>
      <c r="U13" s="544">
        <f t="shared" si="2"/>
        <v>2.2507530532131122E-3</v>
      </c>
      <c r="V13" s="544">
        <f t="shared" si="3"/>
        <v>0</v>
      </c>
      <c r="W13" s="544">
        <f t="shared" si="4"/>
        <v>0</v>
      </c>
      <c r="X13" s="544">
        <f t="shared" si="5"/>
        <v>2.6458923489809976E-2</v>
      </c>
      <c r="Y13" s="545">
        <f t="shared" si="7"/>
        <v>0.28697873232577242</v>
      </c>
      <c r="Z13" s="544">
        <f t="shared" si="6"/>
        <v>0</v>
      </c>
      <c r="AA13" s="544">
        <f t="shared" si="6"/>
        <v>0.71480473716863491</v>
      </c>
      <c r="AB13" s="544">
        <f t="shared" si="6"/>
        <v>1.7834694944073451E-3</v>
      </c>
      <c r="AC13" s="544">
        <f t="shared" si="6"/>
        <v>0</v>
      </c>
      <c r="AD13" s="544">
        <f t="shared" si="8"/>
        <v>0</v>
      </c>
      <c r="AE13" s="544">
        <f t="shared" si="8"/>
        <v>0</v>
      </c>
      <c r="AF13" s="329">
        <f t="shared" si="9"/>
        <v>0.71302126767422758</v>
      </c>
      <c r="AG13" s="546">
        <f t="shared" si="10"/>
        <v>1</v>
      </c>
      <c r="AH13" s="6"/>
      <c r="AI13" s="6"/>
      <c r="AJ13" s="6"/>
    </row>
    <row r="14" spans="1:36" ht="12" customHeight="1" x14ac:dyDescent="0.2">
      <c r="A14" s="7" t="s">
        <v>328</v>
      </c>
      <c r="B14" s="29">
        <f>+GETPIVOTDATA("Sum of State Gen Purp-New",'Amounts Pivot Table'!$A$3,"state","FL","category2","Four-Year")+GETPIVOTDATA("Sum of State Gen Purp-New",'Amounts Pivot Table'!$A$3,"state","FL","category2","Two-Year")+GETPIVOTDATA("Sum of State Gen Purp-New",'Amounts Pivot Table'!$A$3,"state","FL","category2","Technical")</f>
        <v>2807331177</v>
      </c>
      <c r="C14" s="29">
        <f>+GETPIVOTDATA("Sum of State Ed Spec Purp-New",'Amounts Pivot Table'!$A$3,"state","FL","category2","Four-Year")+GETPIVOTDATA("Sum of State Ed Spec Purp-New",'Amounts Pivot Table'!$A$3,"state","FL","category2","Two-Year")+GETPIVOTDATA("Sum of State Ed Spec Purp-New",'Amounts Pivot Table'!$A$3,"state","FL","category2","Technical")</f>
        <v>211623961</v>
      </c>
      <c r="D14" s="29">
        <f>+GETPIVOTDATA("Sum of State Ed Spec Purp-New",'Amounts Pivot Table'!$A$3,"state","FL","category2","Other")</f>
        <v>13316114</v>
      </c>
      <c r="E14" s="29">
        <f>+GETPIVOTDATA("Sum of Other Spec Purp State-New",'Amounts Pivot Table'!$A$3,"state","FL","category2","Specialized")</f>
        <v>0</v>
      </c>
      <c r="F14" s="29">
        <f>+GETPIVOTDATA("Sum of Health State-New",'Amounts Pivot Table'!$A$3,"state","FL")</f>
        <v>287386113</v>
      </c>
      <c r="G14" s="29">
        <f>+GETPIVOTDATA("Sum of Other Spec Purp State-New",'Amounts Pivot Table'!$A$3,"state","FL")</f>
        <v>570609446</v>
      </c>
      <c r="H14" s="29">
        <f t="shared" si="11"/>
        <v>3890266811</v>
      </c>
      <c r="I14" s="29">
        <f>+GETPIVOTDATA("Sum of Local-New",'Amounts Pivot Table'!$A$3,"state","FL")</f>
        <v>0</v>
      </c>
      <c r="J14" s="29">
        <f>+GETPIVOTDATA("Sum of Tuition Tot-New",'Amounts Pivot Table'!$A$3,"state","FL","category2","Four-Year")+GETPIVOTDATA("Sum of Tuition Tot-New",'Amounts Pivot Table'!$A$3,"state","FL","category2","Two-Year")+GETPIVOTDATA("Sum of Tuition Tot-New",'Amounts Pivot Table'!$A$3,"state","FL","category2","Technical")</f>
        <v>2569974815.9700003</v>
      </c>
      <c r="K14" s="29">
        <f>+GETPIVOTDATA("Sum of Tuition Debt-New",'Amounts Pivot Table'!$A$3,"state","FL","category2","Four-Year")+GETPIVOTDATA("Sum of Tuition Debt-New",'Amounts Pivot Table'!$A$3,"state","FL","category2","Two-Year")+GETPIVOTDATA("Sum of Tuition Debt-New",'Amounts Pivot Table'!$A$3,"state","FL","category2","Technical")</f>
        <v>21648961.970000006</v>
      </c>
      <c r="L14" s="29">
        <f>+GETPIVOTDATA("Sum of Tuition SP Tot-New",'Amounts Pivot Table'!$A$3,"state","FL","category2","Specialized")</f>
        <v>0</v>
      </c>
      <c r="M14" s="29">
        <f>+GETPIVOTDATA("Sum of Tuition SP Debt-New",'Amounts Pivot Table'!$A$3,"state","FL","category2","Specialized")</f>
        <v>0</v>
      </c>
      <c r="N14" s="29">
        <f>+GETPIVOTDATA("Sum of Health Tuition-New",'Amounts Pivot Table'!$A$3,"state","FL")</f>
        <v>134169959</v>
      </c>
      <c r="O14" s="29">
        <f t="shared" si="12"/>
        <v>2682495813.0000005</v>
      </c>
      <c r="P14" s="29">
        <f t="shared" si="13"/>
        <v>6572762624</v>
      </c>
      <c r="Q14" s="32"/>
      <c r="R14" s="379" t="s">
        <v>328</v>
      </c>
      <c r="S14" s="544">
        <f t="shared" si="0"/>
        <v>0.42711586247603395</v>
      </c>
      <c r="T14" s="544">
        <f t="shared" si="1"/>
        <v>3.2197109968230005E-2</v>
      </c>
      <c r="U14" s="544">
        <f t="shared" si="2"/>
        <v>2.025953889065932E-3</v>
      </c>
      <c r="V14" s="544">
        <f t="shared" si="3"/>
        <v>0</v>
      </c>
      <c r="W14" s="544">
        <f t="shared" si="4"/>
        <v>4.3723793089777648E-2</v>
      </c>
      <c r="X14" s="544">
        <f t="shared" si="5"/>
        <v>8.6814248230486529E-2</v>
      </c>
      <c r="Y14" s="545">
        <f t="shared" si="7"/>
        <v>0.5918769676535941</v>
      </c>
      <c r="Z14" s="544">
        <f t="shared" si="6"/>
        <v>0</v>
      </c>
      <c r="AA14" s="544">
        <f t="shared" si="6"/>
        <v>0.39100374728061993</v>
      </c>
      <c r="AB14" s="544">
        <f t="shared" si="6"/>
        <v>3.2937386010184334E-3</v>
      </c>
      <c r="AC14" s="544">
        <f t="shared" si="6"/>
        <v>0</v>
      </c>
      <c r="AD14" s="544">
        <f t="shared" si="8"/>
        <v>0</v>
      </c>
      <c r="AE14" s="544">
        <f t="shared" si="8"/>
        <v>2.0413023666804492E-2</v>
      </c>
      <c r="AF14" s="329">
        <f t="shared" si="9"/>
        <v>0.40812303234640596</v>
      </c>
      <c r="AG14" s="546">
        <f t="shared" si="10"/>
        <v>1</v>
      </c>
      <c r="AH14" s="6"/>
      <c r="AI14" s="6"/>
      <c r="AJ14" s="6"/>
    </row>
    <row r="15" spans="1:36" s="88" customFormat="1" ht="9" customHeight="1" x14ac:dyDescent="0.2">
      <c r="A15" s="85"/>
      <c r="B15" s="86"/>
      <c r="C15" s="86"/>
      <c r="D15" s="86"/>
      <c r="E15" s="86"/>
      <c r="F15" s="86"/>
      <c r="G15" s="86"/>
      <c r="H15" s="86"/>
      <c r="I15" s="86"/>
      <c r="J15" s="86"/>
      <c r="K15" s="86"/>
      <c r="L15" s="86"/>
      <c r="M15" s="86"/>
      <c r="N15" s="86"/>
      <c r="O15" s="29"/>
      <c r="P15" s="86"/>
      <c r="Q15" s="87"/>
      <c r="R15" s="379"/>
      <c r="S15" s="544"/>
      <c r="T15" s="544"/>
      <c r="U15" s="544"/>
      <c r="V15" s="544"/>
      <c r="W15" s="544"/>
      <c r="X15" s="544"/>
      <c r="Y15" s="545"/>
      <c r="Z15" s="544"/>
      <c r="AA15" s="544"/>
      <c r="AB15" s="544"/>
      <c r="AC15" s="544"/>
      <c r="AD15" s="544"/>
      <c r="AE15" s="544"/>
      <c r="AF15" s="329"/>
      <c r="AG15" s="546"/>
    </row>
    <row r="16" spans="1:36" ht="12" customHeight="1" x14ac:dyDescent="0.2">
      <c r="A16" s="7" t="s">
        <v>329</v>
      </c>
      <c r="B16" s="29">
        <f>+GETPIVOTDATA("Sum of State Gen Purp-New",'Amounts Pivot Table'!$A$3,"state","GA","category2","Four-Year")+GETPIVOTDATA("Sum of State Gen Purp-New",'Amounts Pivot Table'!$A$3,"state","GA","category2","Two-Year")+GETPIVOTDATA("Sum of State Gen Purp-New",'Amounts Pivot Table'!$A$3,"state","GA","category2","Technical")</f>
        <v>1724174876</v>
      </c>
      <c r="C16" s="29">
        <f>+GETPIVOTDATA("Sum of State Ed Spec Purp-New",'Amounts Pivot Table'!$A$3,"state","GA","category2","Four-Year")+GETPIVOTDATA("Sum of State Ed Spec Purp-New",'Amounts Pivot Table'!$A$3,"state","GA","category2","Two-Year")+GETPIVOTDATA("Sum of State Ed Spec Purp-New",'Amounts Pivot Table'!$A$3,"state","GA","category2","Technical")</f>
        <v>87699098</v>
      </c>
      <c r="D16" s="29">
        <f>+GETPIVOTDATA("Sum of State Ed Spec Purp-New",'Amounts Pivot Table'!$A$3,"state","GA","category2","Other")</f>
        <v>98079458</v>
      </c>
      <c r="E16" s="29">
        <f>+GETPIVOTDATA("Sum of Other Spec Purp State-New",'Amounts Pivot Table'!$A$3,"state","GA","category2","Specialized")</f>
        <v>21375236</v>
      </c>
      <c r="F16" s="29">
        <f>+GETPIVOTDATA("Sum of Health State-New",'Amounts Pivot Table'!$A$3,"state","GA")</f>
        <v>190664471</v>
      </c>
      <c r="G16" s="29">
        <f>+GETPIVOTDATA("Sum of Other Spec Purp State-New",'Amounts Pivot Table'!$A$3,"state","GA")</f>
        <v>510935605</v>
      </c>
      <c r="H16" s="29">
        <f t="shared" si="11"/>
        <v>2632928744</v>
      </c>
      <c r="I16" s="29">
        <f>+GETPIVOTDATA("Sum of Local-New",'Amounts Pivot Table'!$A$3,"state","GA")</f>
        <v>0</v>
      </c>
      <c r="J16" s="29">
        <f>+GETPIVOTDATA("Sum of Tuition Tot-New",'Amounts Pivot Table'!$A$3,"state","GA","category2","Four-Year")+GETPIVOTDATA("Sum of Tuition Tot-New",'Amounts Pivot Table'!$A$3,"state","GA","category2","Two-Year")+GETPIVOTDATA("Sum of Tuition Tot-New",'Amounts Pivot Table'!$A$3,"state","GA","category2","Technical")</f>
        <v>2129112676.66958</v>
      </c>
      <c r="K16" s="29">
        <f>+GETPIVOTDATA("Sum of Tuition Debt-New",'Amounts Pivot Table'!$A$3,"state","GA","category2","Four-Year")+GETPIVOTDATA("Sum of Tuition Debt-New",'Amounts Pivot Table'!$A$3,"state","GA","category2","Two-Year")+GETPIVOTDATA("Sum of Tuition Debt-New",'Amounts Pivot Table'!$A$3,"state","GA","category2","Technical")</f>
        <v>0</v>
      </c>
      <c r="L16" s="29">
        <f>+GETPIVOTDATA("Sum of Tuition SP Tot-New",'Amounts Pivot Table'!$A$3,"state","GA","category2","Specialized")</f>
        <v>36426718</v>
      </c>
      <c r="M16" s="29">
        <f>+GETPIVOTDATA("Sum of Tuition SP Debt-New",'Amounts Pivot Table'!$A$3,"state","GA","category2","Specialized")</f>
        <v>0</v>
      </c>
      <c r="N16" s="29">
        <f>+GETPIVOTDATA("Sum of Health Tuition-New",'Amounts Pivot Table'!$A$3,"state","GA")</f>
        <v>50278548</v>
      </c>
      <c r="O16" s="29">
        <f t="shared" si="12"/>
        <v>2215817942.66958</v>
      </c>
      <c r="P16" s="29">
        <f t="shared" si="13"/>
        <v>4848746686.6695805</v>
      </c>
      <c r="Q16" s="32"/>
      <c r="R16" s="379" t="s">
        <v>329</v>
      </c>
      <c r="S16" s="544">
        <f t="shared" si="0"/>
        <v>0.3555918647472735</v>
      </c>
      <c r="T16" s="544">
        <f t="shared" si="1"/>
        <v>1.8086962191922046E-2</v>
      </c>
      <c r="U16" s="544">
        <f t="shared" si="2"/>
        <v>2.0227795828073471E-2</v>
      </c>
      <c r="V16" s="544">
        <f t="shared" si="3"/>
        <v>4.4084043529776223E-3</v>
      </c>
      <c r="W16" s="544">
        <f t="shared" si="4"/>
        <v>3.9322423570648558E-2</v>
      </c>
      <c r="X16" s="544">
        <f t="shared" si="5"/>
        <v>0.10537477785851135</v>
      </c>
      <c r="Y16" s="545">
        <f t="shared" si="7"/>
        <v>0.54301222854940656</v>
      </c>
      <c r="Z16" s="544">
        <f t="shared" si="6"/>
        <v>0</v>
      </c>
      <c r="AA16" s="544">
        <f t="shared" si="6"/>
        <v>0.43910577603961953</v>
      </c>
      <c r="AB16" s="544">
        <f t="shared" si="6"/>
        <v>0</v>
      </c>
      <c r="AC16" s="544">
        <f t="shared" si="6"/>
        <v>7.5126048758426944E-3</v>
      </c>
      <c r="AD16" s="544">
        <f t="shared" si="8"/>
        <v>0</v>
      </c>
      <c r="AE16" s="544">
        <f t="shared" si="8"/>
        <v>1.0369390535131135E-2</v>
      </c>
      <c r="AF16" s="329">
        <f t="shared" si="9"/>
        <v>0.45698777145059338</v>
      </c>
      <c r="AG16" s="546">
        <f t="shared" si="10"/>
        <v>1</v>
      </c>
      <c r="AH16" s="6"/>
      <c r="AI16" s="6"/>
      <c r="AJ16" s="6"/>
    </row>
    <row r="17" spans="1:36" ht="12" customHeight="1" x14ac:dyDescent="0.2">
      <c r="A17" s="7" t="s">
        <v>322</v>
      </c>
      <c r="B17" s="29">
        <f>+GETPIVOTDATA("Sum of State Gen Purp-New",'Amounts Pivot Table'!$A$3,"state","KY","category2","Four-Year")+GETPIVOTDATA("Sum of State Gen Purp-New",'Amounts Pivot Table'!$A$3,"state","KY","category2","Two-Year")+GETPIVOTDATA("Sum of State Gen Purp-New",'Amounts Pivot Table'!$A$3,"state","KY","category2","Technical")</f>
        <v>732110318.78000009</v>
      </c>
      <c r="C17" s="29">
        <f>+GETPIVOTDATA("Sum of State Ed Spec Purp-New",'Amounts Pivot Table'!$A$3,"state","KY","category2","Four-Year")+GETPIVOTDATA("Sum of State Ed Spec Purp-New",'Amounts Pivot Table'!$A$3,"state","KY","category2","Two-Year")+GETPIVOTDATA("Sum of State Ed Spec Purp-New",'Amounts Pivot Table'!$A$3,"state","KY","category2","Technical")</f>
        <v>91094324.219999999</v>
      </c>
      <c r="D17" s="29">
        <f>+GETPIVOTDATA("Sum of State Ed Spec Purp-New",'Amounts Pivot Table'!$A$3,"state","KY","category2","Other")</f>
        <v>45365900</v>
      </c>
      <c r="E17" s="29">
        <f>+GETPIVOTDATA("Sum of Other Spec Purp State-New",'Amounts Pivot Table'!$A$3,"state","KY","category2","Specialized")</f>
        <v>0</v>
      </c>
      <c r="F17" s="29">
        <f>+GETPIVOTDATA("Sum of Health State-New",'Amounts Pivot Table'!$A$3,"state","KY")</f>
        <v>78517400</v>
      </c>
      <c r="G17" s="29">
        <f>+GETPIVOTDATA("Sum of Other Spec Purp State-New",'Amounts Pivot Table'!$A$3,"state","KY")</f>
        <v>233743706</v>
      </c>
      <c r="H17" s="29">
        <f t="shared" si="11"/>
        <v>1180831649</v>
      </c>
      <c r="I17" s="29">
        <f>+GETPIVOTDATA("Sum of Local-New",'Amounts Pivot Table'!$A$3,"state","KY")</f>
        <v>0</v>
      </c>
      <c r="J17" s="29">
        <f>+GETPIVOTDATA("Sum of Tuition Tot-New",'Amounts Pivot Table'!$A$3,"state","KY","category2","Four-Year")+GETPIVOTDATA("Sum of Tuition Tot-New",'Amounts Pivot Table'!$A$3,"state","KY","category2","Two-Year")+GETPIVOTDATA("Sum of Tuition Tot-New",'Amounts Pivot Table'!$A$3,"state","KY","category2","Technical")</f>
        <v>1464248498.0454025</v>
      </c>
      <c r="K17" s="29">
        <f>+GETPIVOTDATA("Sum of Tuition Debt-New",'Amounts Pivot Table'!$A$3,"state","KY","category2","Four-Year")+GETPIVOTDATA("Sum of Tuition Debt-New",'Amounts Pivot Table'!$A$3,"state","KY","category2","Two-Year")+GETPIVOTDATA("Sum of Tuition Debt-New",'Amounts Pivot Table'!$A$3,"state","KY","category2","Technical")</f>
        <v>6050537.0999999996</v>
      </c>
      <c r="L17" s="29">
        <f>+GETPIVOTDATA("Sum of Tuition SP Tot-New",'Amounts Pivot Table'!$A$3,"state","KY","category2","Specialized")</f>
        <v>0</v>
      </c>
      <c r="M17" s="29">
        <f>+GETPIVOTDATA("Sum of Tuition SP Debt-New",'Amounts Pivot Table'!$A$3,"state","KY","category2","Specialized")</f>
        <v>0</v>
      </c>
      <c r="N17" s="29">
        <f>+GETPIVOTDATA("Sum of Health Tuition-New",'Amounts Pivot Table'!$A$3,"state","KY")</f>
        <v>74562763.954597384</v>
      </c>
      <c r="O17" s="29">
        <f t="shared" si="12"/>
        <v>1532760724.9000001</v>
      </c>
      <c r="P17" s="29">
        <f t="shared" si="13"/>
        <v>2713592373.9000001</v>
      </c>
      <c r="Q17" s="32"/>
      <c r="R17" s="379" t="s">
        <v>322</v>
      </c>
      <c r="S17" s="544">
        <f t="shared" si="0"/>
        <v>0.26979377073049637</v>
      </c>
      <c r="T17" s="544">
        <f t="shared" si="1"/>
        <v>3.3569641887325322E-2</v>
      </c>
      <c r="U17" s="544">
        <f t="shared" si="2"/>
        <v>1.671802310337411E-2</v>
      </c>
      <c r="V17" s="544">
        <f t="shared" si="3"/>
        <v>0</v>
      </c>
      <c r="W17" s="544">
        <f t="shared" si="4"/>
        <v>2.893485431164964E-2</v>
      </c>
      <c r="X17" s="544">
        <f t="shared" si="5"/>
        <v>8.6138105431090004E-2</v>
      </c>
      <c r="Y17" s="545">
        <f t="shared" si="7"/>
        <v>0.43515439546393547</v>
      </c>
      <c r="Z17" s="544">
        <f t="shared" si="6"/>
        <v>0</v>
      </c>
      <c r="AA17" s="544">
        <f t="shared" si="6"/>
        <v>0.53959780847296934</v>
      </c>
      <c r="AB17" s="544">
        <f t="shared" si="6"/>
        <v>2.2297148083829967E-3</v>
      </c>
      <c r="AC17" s="544">
        <f t="shared" si="6"/>
        <v>0</v>
      </c>
      <c r="AD17" s="544">
        <f t="shared" si="8"/>
        <v>0</v>
      </c>
      <c r="AE17" s="544">
        <f t="shared" si="8"/>
        <v>2.7477510871478126E-2</v>
      </c>
      <c r="AF17" s="329">
        <f t="shared" si="9"/>
        <v>0.56484560453606447</v>
      </c>
      <c r="AG17" s="546">
        <f t="shared" si="10"/>
        <v>1</v>
      </c>
      <c r="AH17" s="6"/>
      <c r="AI17" s="6"/>
      <c r="AJ17" s="6"/>
    </row>
    <row r="18" spans="1:36" ht="12" customHeight="1" x14ac:dyDescent="0.2">
      <c r="A18" s="7" t="s">
        <v>330</v>
      </c>
      <c r="B18" s="29">
        <f>+GETPIVOTDATA("Sum of State Gen Purp-New",'Amounts Pivot Table'!$A$3,"state","LA","category2","Four-Year")+GETPIVOTDATA("Sum of State Gen Purp-New",'Amounts Pivot Table'!$A$3,"state","LA","category2","Two-Year")+GETPIVOTDATA("Sum of State Gen Purp-New",'Amounts Pivot Table'!$A$3,"state","LA","category2","Technical")</f>
        <v>513640699</v>
      </c>
      <c r="C18" s="29">
        <f>+GETPIVOTDATA("Sum of State Ed Spec Purp-New",'Amounts Pivot Table'!$A$3,"state","LA","category2","Four-Year")+GETPIVOTDATA("Sum of State Ed Spec Purp-New",'Amounts Pivot Table'!$A$3,"state","LA","category2","Two-Year")+GETPIVOTDATA("Sum of State Ed Spec Purp-New",'Amounts Pivot Table'!$A$3,"state","LA","category2","Technical")</f>
        <v>75719925</v>
      </c>
      <c r="D18" s="29">
        <f>+GETPIVOTDATA("Sum of State Ed Spec Purp-New",'Amounts Pivot Table'!$A$3,"state","LA","category2","Other")</f>
        <v>27059776</v>
      </c>
      <c r="E18" s="29">
        <f>+GETPIVOTDATA("Sum of Other Spec Purp State-New",'Amounts Pivot Table'!$A$3,"state","LA","category2","Specialized")</f>
        <v>0</v>
      </c>
      <c r="F18" s="29">
        <f>+GETPIVOTDATA("Sum of Health State-New",'Amounts Pivot Table'!$A$3,"state","LA")</f>
        <v>159615366</v>
      </c>
      <c r="G18" s="29">
        <f>+GETPIVOTDATA("Sum of Other Spec Purp State-New",'Amounts Pivot Table'!$A$3,"state","LA")</f>
        <v>313524571</v>
      </c>
      <c r="H18" s="29">
        <f t="shared" si="11"/>
        <v>1089560337</v>
      </c>
      <c r="I18" s="29">
        <f>+GETPIVOTDATA("Sum of Local-New",'Amounts Pivot Table'!$A$3,"state","LA")</f>
        <v>0</v>
      </c>
      <c r="J18" s="29">
        <f>+GETPIVOTDATA("Sum of Tuition Tot-New",'Amounts Pivot Table'!$A$3,"state","LA","category2","Four-Year")+GETPIVOTDATA("Sum of Tuition Tot-New",'Amounts Pivot Table'!$A$3,"state","LA","category2","Two-Year")+GETPIVOTDATA("Sum of Tuition Tot-New",'Amounts Pivot Table'!$A$3,"state","LA","category2","Technical")</f>
        <v>1036561636</v>
      </c>
      <c r="K18" s="29">
        <f>+GETPIVOTDATA("Sum of Tuition Debt-New",'Amounts Pivot Table'!$A$3,"state","LA","category2","Four-Year")+GETPIVOTDATA("Sum of Tuition Debt-New",'Amounts Pivot Table'!$A$3,"state","LA","category2","Two-Year")+GETPIVOTDATA("Sum of Tuition Debt-New",'Amounts Pivot Table'!$A$3,"state","LA","category2","Technical")</f>
        <v>0</v>
      </c>
      <c r="L18" s="29">
        <f>+GETPIVOTDATA("Sum of Tuition SP Tot-New",'Amounts Pivot Table'!$A$3,"state","LA","category2","Specialized")</f>
        <v>0</v>
      </c>
      <c r="M18" s="29">
        <f>+GETPIVOTDATA("Sum of Tuition SP Debt-New",'Amounts Pivot Table'!$A$3,"state","LA","category2","Specialized")</f>
        <v>0</v>
      </c>
      <c r="N18" s="29">
        <f>+GETPIVOTDATA("Sum of Health Tuition-New",'Amounts Pivot Table'!$A$3,"state","LA")</f>
        <v>64699562</v>
      </c>
      <c r="O18" s="29">
        <f t="shared" si="12"/>
        <v>1101261198</v>
      </c>
      <c r="P18" s="29">
        <f t="shared" si="13"/>
        <v>2190821535</v>
      </c>
      <c r="Q18" s="32"/>
      <c r="R18" s="379" t="s">
        <v>330</v>
      </c>
      <c r="S18" s="544">
        <f t="shared" si="0"/>
        <v>0.23445118225935277</v>
      </c>
      <c r="T18" s="544">
        <f t="shared" si="1"/>
        <v>3.4562342842772903E-2</v>
      </c>
      <c r="U18" s="544">
        <f t="shared" si="2"/>
        <v>1.2351428707313671E-2</v>
      </c>
      <c r="V18" s="544">
        <f t="shared" si="3"/>
        <v>0</v>
      </c>
      <c r="W18" s="544">
        <f t="shared" si="4"/>
        <v>7.2856398136510014E-2</v>
      </c>
      <c r="X18" s="544">
        <f t="shared" si="5"/>
        <v>0.14310822035990256</v>
      </c>
      <c r="Y18" s="545">
        <f t="shared" si="7"/>
        <v>0.4973295723058519</v>
      </c>
      <c r="Z18" s="544">
        <f t="shared" si="6"/>
        <v>0</v>
      </c>
      <c r="AA18" s="544">
        <f t="shared" si="6"/>
        <v>0.4731383270796633</v>
      </c>
      <c r="AB18" s="544">
        <f t="shared" si="6"/>
        <v>0</v>
      </c>
      <c r="AC18" s="544">
        <f t="shared" si="6"/>
        <v>0</v>
      </c>
      <c r="AD18" s="544">
        <f t="shared" si="8"/>
        <v>0</v>
      </c>
      <c r="AE18" s="544">
        <f t="shared" si="8"/>
        <v>2.9532100614484785E-2</v>
      </c>
      <c r="AF18" s="329">
        <f t="shared" si="9"/>
        <v>0.50267042769414805</v>
      </c>
      <c r="AG18" s="546">
        <f t="shared" si="10"/>
        <v>1</v>
      </c>
      <c r="AH18" s="6"/>
      <c r="AI18" s="6"/>
      <c r="AJ18" s="6"/>
    </row>
    <row r="19" spans="1:36" ht="12" customHeight="1" x14ac:dyDescent="0.2">
      <c r="A19" s="7" t="s">
        <v>333</v>
      </c>
      <c r="B19" s="29">
        <f>+GETPIVOTDATA("Sum of State Gen Purp-New",'Amounts Pivot Table'!$A$3,"state","MD","category2","Four-Year")+GETPIVOTDATA("Sum of State Gen Purp-New",'Amounts Pivot Table'!$A$3,"state","MD","category2","Two-Year")+GETPIVOTDATA("Sum of State Gen Purp-New",'Amounts Pivot Table'!$A$3,"state","MD","category2","Technical")</f>
        <v>1251904040</v>
      </c>
      <c r="C19" s="29">
        <f>+GETPIVOTDATA("Sum of State Ed Spec Purp-New",'Amounts Pivot Table'!$A$3,"state","MD","category2","Four-Year")+GETPIVOTDATA("Sum of State Ed Spec Purp-New",'Amounts Pivot Table'!$A$3,"state","MD","category2","Two-Year")+GETPIVOTDATA("Sum of State Ed Spec Purp-New",'Amounts Pivot Table'!$A$3,"state","MD","category2","Technical")</f>
        <v>60861380</v>
      </c>
      <c r="D19" s="29">
        <f>+GETPIVOTDATA("Sum of State Ed Spec Purp-New",'Amounts Pivot Table'!$A$3,"state","MD","category2","Other")</f>
        <v>6000000</v>
      </c>
      <c r="E19" s="29">
        <f>+GETPIVOTDATA("Sum of Other Spec Purp State-New",'Amounts Pivot Table'!$A$3,"state","MD","category2","Specialized")</f>
        <v>36601760</v>
      </c>
      <c r="F19" s="29">
        <f>+GETPIVOTDATA("Sum of Health State-New",'Amounts Pivot Table'!$A$3,"state","MD")</f>
        <v>203312714</v>
      </c>
      <c r="G19" s="29">
        <f>+GETPIVOTDATA("Sum of Other Spec Purp State-New",'Amounts Pivot Table'!$A$3,"state","MD")</f>
        <v>198500347</v>
      </c>
      <c r="H19" s="29">
        <f t="shared" si="11"/>
        <v>1757180241</v>
      </c>
      <c r="I19" s="29">
        <f>+GETPIVOTDATA("Sum of Local-New",'Amounts Pivot Table'!$A$3,"state","MD")</f>
        <v>328972702</v>
      </c>
      <c r="J19" s="29">
        <f>+GETPIVOTDATA("Sum of Tuition Tot-New",'Amounts Pivot Table'!$A$3,"state","MD","category2","Four-Year")+GETPIVOTDATA("Sum of Tuition Tot-New",'Amounts Pivot Table'!$A$3,"state","MD","category2","Two-Year")+GETPIVOTDATA("Sum of Tuition Tot-New",'Amounts Pivot Table'!$A$3,"state","MD","category2","Technical")</f>
        <v>1575433535</v>
      </c>
      <c r="K19" s="29">
        <f>+GETPIVOTDATA("Sum of Tuition Debt-New",'Amounts Pivot Table'!$A$3,"state","MD","category2","Four-Year")+GETPIVOTDATA("Sum of Tuition Debt-New",'Amounts Pivot Table'!$A$3,"state","MD","category2","Two-Year")+GETPIVOTDATA("Sum of Tuition Debt-New",'Amounts Pivot Table'!$A$3,"state","MD","category2","Technical")</f>
        <v>0</v>
      </c>
      <c r="L19" s="29">
        <f>+GETPIVOTDATA("Sum of Tuition SP Tot-New",'Amounts Pivot Table'!$A$3,"state","MD","category2","Specialized")</f>
        <v>350158351</v>
      </c>
      <c r="M19" s="29">
        <f>+GETPIVOTDATA("Sum of Tuition SP Debt-New",'Amounts Pivot Table'!$A$3,"state","MD","category2","Specialized")</f>
        <v>0</v>
      </c>
      <c r="N19" s="29">
        <f>+GETPIVOTDATA("Sum of Health Tuition-New",'Amounts Pivot Table'!$A$3,"state","MD")</f>
        <v>118107254</v>
      </c>
      <c r="O19" s="29">
        <f t="shared" si="12"/>
        <v>2043699140</v>
      </c>
      <c r="P19" s="29">
        <f t="shared" si="13"/>
        <v>4129852083</v>
      </c>
      <c r="Q19" s="32"/>
      <c r="R19" s="379" t="s">
        <v>333</v>
      </c>
      <c r="S19" s="544">
        <f t="shared" si="0"/>
        <v>0.30313532175965829</v>
      </c>
      <c r="T19" s="544">
        <f t="shared" si="1"/>
        <v>1.4736939429508376E-2</v>
      </c>
      <c r="U19" s="544">
        <f t="shared" si="2"/>
        <v>1.4528365373419113E-3</v>
      </c>
      <c r="V19" s="544">
        <f t="shared" si="3"/>
        <v>8.8627290431699465E-3</v>
      </c>
      <c r="W19" s="544">
        <f t="shared" si="4"/>
        <v>4.9230023234224395E-2</v>
      </c>
      <c r="X19" s="544">
        <f t="shared" si="5"/>
        <v>4.8064759466107977E-2</v>
      </c>
      <c r="Y19" s="545">
        <f t="shared" si="7"/>
        <v>0.42548260947001088</v>
      </c>
      <c r="Z19" s="544">
        <f t="shared" si="6"/>
        <v>7.9657260208948741E-2</v>
      </c>
      <c r="AA19" s="544">
        <f t="shared" si="6"/>
        <v>0.38147456696695448</v>
      </c>
      <c r="AB19" s="544">
        <f t="shared" si="6"/>
        <v>0</v>
      </c>
      <c r="AC19" s="544">
        <f t="shared" si="6"/>
        <v>8.4787141031365601E-2</v>
      </c>
      <c r="AD19" s="544">
        <f t="shared" si="8"/>
        <v>0</v>
      </c>
      <c r="AE19" s="544">
        <f t="shared" si="8"/>
        <v>2.8598422322720269E-2</v>
      </c>
      <c r="AF19" s="329">
        <f t="shared" si="9"/>
        <v>0.49486013032104031</v>
      </c>
      <c r="AG19" s="546">
        <f t="shared" si="10"/>
        <v>1</v>
      </c>
      <c r="AH19" s="6"/>
      <c r="AI19" s="6"/>
      <c r="AJ19" s="6"/>
    </row>
    <row r="20" spans="1:36" s="88" customFormat="1" ht="9" customHeight="1" x14ac:dyDescent="0.2">
      <c r="A20" s="85"/>
      <c r="B20" s="86"/>
      <c r="C20" s="86"/>
      <c r="D20" s="86"/>
      <c r="E20" s="86"/>
      <c r="F20" s="86"/>
      <c r="G20" s="86"/>
      <c r="H20" s="86"/>
      <c r="I20" s="86"/>
      <c r="J20" s="86"/>
      <c r="K20" s="86"/>
      <c r="L20" s="86"/>
      <c r="M20" s="86"/>
      <c r="N20" s="86"/>
      <c r="O20" s="29"/>
      <c r="P20" s="86"/>
      <c r="Q20" s="87"/>
      <c r="R20" s="379"/>
      <c r="S20" s="544"/>
      <c r="T20" s="544"/>
      <c r="U20" s="544"/>
      <c r="V20" s="544"/>
      <c r="W20" s="544"/>
      <c r="X20" s="544"/>
      <c r="Y20" s="545"/>
      <c r="Z20" s="544"/>
      <c r="AA20" s="544"/>
      <c r="AB20" s="544"/>
      <c r="AC20" s="544"/>
      <c r="AD20" s="544"/>
      <c r="AE20" s="544"/>
      <c r="AF20" s="329"/>
      <c r="AG20" s="546"/>
    </row>
    <row r="21" spans="1:36" ht="12" customHeight="1" x14ac:dyDescent="0.2">
      <c r="A21" s="7" t="s">
        <v>323</v>
      </c>
      <c r="B21" s="29">
        <f>+GETPIVOTDATA("Sum of State Gen Purp-New",'Amounts Pivot Table'!$A$3,"state","MS","category2","Four-Year")+GETPIVOTDATA("Sum of State Gen Purp-New",'Amounts Pivot Table'!$A$3,"state","MS","category2","Two-Year")+GETPIVOTDATA("Sum of State Gen Purp-New",'Amounts Pivot Table'!$A$3,"state","MS","category2","Technical")</f>
        <v>614883467</v>
      </c>
      <c r="C21" s="29">
        <f>+GETPIVOTDATA("Sum of State Ed Spec Purp-New",'Amounts Pivot Table'!$A$3,"state","MS","category2","Four-Year")+GETPIVOTDATA("Sum of State Ed Spec Purp-New",'Amounts Pivot Table'!$A$3,"state","MS","category2","Two-Year")+GETPIVOTDATA("Sum of State Ed Spec Purp-New",'Amounts Pivot Table'!$A$3,"state","MS","category2","Technical")</f>
        <v>108863304.56</v>
      </c>
      <c r="D21" s="29">
        <f>+GETPIVOTDATA("Sum of State Ed Spec Purp-New",'Amounts Pivot Table'!$A$3,"state","MS","category2","Other")</f>
        <v>6941891.1600000001</v>
      </c>
      <c r="E21" s="29">
        <f>+GETPIVOTDATA("Sum of Other Spec Purp State-New",'Amounts Pivot Table'!$A$3,"state","MS","category2","Specialized")</f>
        <v>0</v>
      </c>
      <c r="F21" s="29">
        <f>+GETPIVOTDATA("Sum of Health State-New",'Amounts Pivot Table'!$A$3,"state","MS")</f>
        <v>203009881</v>
      </c>
      <c r="G21" s="29">
        <f>+GETPIVOTDATA("Sum of Other Spec Purp State-New",'Amounts Pivot Table'!$A$3,"state","MS")</f>
        <v>46640742</v>
      </c>
      <c r="H21" s="29">
        <f t="shared" si="11"/>
        <v>980339285.71999991</v>
      </c>
      <c r="I21" s="29">
        <f>+GETPIVOTDATA("Sum of Local-New",'Amounts Pivot Table'!$A$3,"state","MS")</f>
        <v>53200334</v>
      </c>
      <c r="J21" s="29">
        <f>+GETPIVOTDATA("Sum of Tuition Tot-New",'Amounts Pivot Table'!$A$3,"state","MS","category2","Four-Year")+GETPIVOTDATA("Sum of Tuition Tot-New",'Amounts Pivot Table'!$A$3,"state","MS","category2","Two-Year")+GETPIVOTDATA("Sum of Tuition Tot-New",'Amounts Pivot Table'!$A$3,"state","MS","category2","Technical")</f>
        <v>796854634</v>
      </c>
      <c r="K21" s="29">
        <f>+GETPIVOTDATA("Sum of Tuition Debt-New",'Amounts Pivot Table'!$A$3,"state","MS","category2","Four-Year")+GETPIVOTDATA("Sum of Tuition Debt-New",'Amounts Pivot Table'!$A$3,"state","MS","category2","Two-Year")+GETPIVOTDATA("Sum of Tuition Debt-New",'Amounts Pivot Table'!$A$3,"state","MS","category2","Technical")</f>
        <v>0</v>
      </c>
      <c r="L21" s="29">
        <f>+GETPIVOTDATA("Sum of Tuition SP Tot-New",'Amounts Pivot Table'!$A$3,"state","MS","category2","Specialized")</f>
        <v>0</v>
      </c>
      <c r="M21" s="29">
        <f>+GETPIVOTDATA("Sum of Tuition SP Debt-New",'Amounts Pivot Table'!$A$3,"state","MS","category2","Specialized")</f>
        <v>0</v>
      </c>
      <c r="N21" s="29">
        <f>+GETPIVOTDATA("Sum of Health Tuition-New",'Amounts Pivot Table'!$A$3,"state","MS")</f>
        <v>37220057</v>
      </c>
      <c r="O21" s="29">
        <f t="shared" si="12"/>
        <v>834074691</v>
      </c>
      <c r="P21" s="29">
        <f t="shared" si="13"/>
        <v>1867614310.7199998</v>
      </c>
      <c r="Q21" s="32"/>
      <c r="R21" s="379" t="s">
        <v>323</v>
      </c>
      <c r="S21" s="544">
        <f t="shared" si="0"/>
        <v>0.32923471589963943</v>
      </c>
      <c r="T21" s="544">
        <f t="shared" si="1"/>
        <v>5.8290035547024263E-2</v>
      </c>
      <c r="U21" s="544">
        <f t="shared" si="2"/>
        <v>3.716983276554447E-3</v>
      </c>
      <c r="V21" s="544">
        <f t="shared" si="3"/>
        <v>0</v>
      </c>
      <c r="W21" s="544">
        <f t="shared" si="4"/>
        <v>0.1087001099931259</v>
      </c>
      <c r="X21" s="544">
        <f t="shared" si="5"/>
        <v>2.4973433611150224E-2</v>
      </c>
      <c r="Y21" s="545">
        <f t="shared" si="7"/>
        <v>0.52491527832749429</v>
      </c>
      <c r="Z21" s="544">
        <f t="shared" si="6"/>
        <v>2.8485717685195016E-2</v>
      </c>
      <c r="AA21" s="544">
        <f t="shared" si="6"/>
        <v>0.42666980512309194</v>
      </c>
      <c r="AB21" s="544">
        <f t="shared" si="6"/>
        <v>0</v>
      </c>
      <c r="AC21" s="544">
        <f t="shared" si="6"/>
        <v>0</v>
      </c>
      <c r="AD21" s="544">
        <f t="shared" si="8"/>
        <v>0</v>
      </c>
      <c r="AE21" s="544">
        <f t="shared" si="8"/>
        <v>1.992919886421891E-2</v>
      </c>
      <c r="AF21" s="329">
        <f t="shared" si="9"/>
        <v>0.44659900398731084</v>
      </c>
      <c r="AG21" s="546">
        <f t="shared" si="10"/>
        <v>1.0000000000000002</v>
      </c>
      <c r="AH21" s="6"/>
      <c r="AI21" s="6"/>
      <c r="AJ21" s="6"/>
    </row>
    <row r="22" spans="1:36" ht="12" customHeight="1" x14ac:dyDescent="0.2">
      <c r="A22" s="7" t="s">
        <v>324</v>
      </c>
      <c r="B22" s="29">
        <f>+GETPIVOTDATA("Sum of State Gen Purp-New",'Amounts Pivot Table'!$A$3,"state","NC","category2","Four-Year")+GETPIVOTDATA("Sum of State Gen Purp-New",'Amounts Pivot Table'!$A$3,"state","NC","category2","Two-Year")+GETPIVOTDATA("Sum of State Gen Purp-New",'Amounts Pivot Table'!$A$3,"state","NC","category2","Technical")</f>
        <v>2629482770</v>
      </c>
      <c r="C22" s="29">
        <f>+GETPIVOTDATA("Sum of State Ed Spec Purp-New",'Amounts Pivot Table'!$A$3,"state","NC","category2","Four-Year")+GETPIVOTDATA("Sum of State Ed Spec Purp-New",'Amounts Pivot Table'!$A$3,"state","NC","category2","Two-Year")+GETPIVOTDATA("Sum of State Ed Spec Purp-New",'Amounts Pivot Table'!$A$3,"state","NC","category2","Technical")</f>
        <v>236714852</v>
      </c>
      <c r="D22" s="29">
        <f>+GETPIVOTDATA("Sum of State Ed Spec Purp-New",'Amounts Pivot Table'!$A$3,"state","NC","category2","Other")</f>
        <v>55701579</v>
      </c>
      <c r="E22" s="29">
        <f>+GETPIVOTDATA("Sum of Other Spec Purp State-New",'Amounts Pivot Table'!$A$3,"state","NC","category2","Specialized")</f>
        <v>31919104</v>
      </c>
      <c r="F22" s="29">
        <f>+GETPIVOTDATA("Sum of Health State-New",'Amounts Pivot Table'!$A$3,"state","NC")</f>
        <v>279899052</v>
      </c>
      <c r="G22" s="29">
        <f>+GETPIVOTDATA("Sum of Other Spec Purp State-New",'Amounts Pivot Table'!$A$3,"state","NC")</f>
        <v>355575224</v>
      </c>
      <c r="H22" s="29">
        <f t="shared" si="11"/>
        <v>3589292581</v>
      </c>
      <c r="I22" s="29">
        <f>+GETPIVOTDATA("Sum of Local-New",'Amounts Pivot Table'!$A$3,"state","NC")</f>
        <v>219909058</v>
      </c>
      <c r="J22" s="29">
        <f>+GETPIVOTDATA("Sum of Tuition Tot-New",'Amounts Pivot Table'!$A$3,"state","NC","category2","Four-Year")+GETPIVOTDATA("Sum of Tuition Tot-New",'Amounts Pivot Table'!$A$3,"state","NC","category2","Two-Year")+GETPIVOTDATA("Sum of Tuition Tot-New",'Amounts Pivot Table'!$A$3,"state","NC","category2","Technical")</f>
        <v>1656242378</v>
      </c>
      <c r="K22" s="29">
        <f>+GETPIVOTDATA("Sum of Tuition Debt-New",'Amounts Pivot Table'!$A$3,"state","NC","category2","Four-Year")+GETPIVOTDATA("Sum of Tuition Debt-New",'Amounts Pivot Table'!$A$3,"state","NC","category2","Two-Year")+GETPIVOTDATA("Sum of Tuition Debt-New",'Amounts Pivot Table'!$A$3,"state","NC","category2","Technical")</f>
        <v>0</v>
      </c>
      <c r="L22" s="29">
        <f>+GETPIVOTDATA("Sum of Tuition SP Tot-New",'Amounts Pivot Table'!$A$3,"state","NC","category2","Specialized")</f>
        <v>12263571</v>
      </c>
      <c r="M22" s="29">
        <f>+GETPIVOTDATA("Sum of Tuition SP Debt-New",'Amounts Pivot Table'!$A$3,"state","NC","category2","Specialized")</f>
        <v>0</v>
      </c>
      <c r="N22" s="29">
        <f>+GETPIVOTDATA("Sum of Health Tuition-New",'Amounts Pivot Table'!$A$3,"state","NC")</f>
        <v>114877844</v>
      </c>
      <c r="O22" s="29">
        <f t="shared" si="12"/>
        <v>1783383793</v>
      </c>
      <c r="P22" s="29">
        <f t="shared" si="13"/>
        <v>5592585432</v>
      </c>
      <c r="Q22" s="32"/>
      <c r="R22" s="379" t="s">
        <v>324</v>
      </c>
      <c r="S22" s="544">
        <f t="shared" si="0"/>
        <v>0.47017301782364618</v>
      </c>
      <c r="T22" s="544">
        <f t="shared" si="1"/>
        <v>4.2326550908914212E-2</v>
      </c>
      <c r="U22" s="544">
        <f t="shared" si="2"/>
        <v>9.9598977391178092E-3</v>
      </c>
      <c r="V22" s="544">
        <f t="shared" si="3"/>
        <v>5.7073967645381515E-3</v>
      </c>
      <c r="W22" s="544">
        <f t="shared" si="4"/>
        <v>5.0048238941233933E-2</v>
      </c>
      <c r="X22" s="544">
        <f t="shared" si="5"/>
        <v>6.3579757220238023E-2</v>
      </c>
      <c r="Y22" s="545">
        <f t="shared" si="7"/>
        <v>0.64179485939768821</v>
      </c>
      <c r="Z22" s="544">
        <f t="shared" si="6"/>
        <v>3.9321537538203853E-2</v>
      </c>
      <c r="AA22" s="544">
        <f t="shared" si="6"/>
        <v>0.29614967855890234</v>
      </c>
      <c r="AB22" s="544">
        <f t="shared" si="6"/>
        <v>0</v>
      </c>
      <c r="AC22" s="544">
        <f t="shared" si="6"/>
        <v>2.1928267612738722E-3</v>
      </c>
      <c r="AD22" s="544">
        <f t="shared" si="8"/>
        <v>0</v>
      </c>
      <c r="AE22" s="544">
        <f t="shared" si="8"/>
        <v>2.0541097743931612E-2</v>
      </c>
      <c r="AF22" s="329">
        <f t="shared" si="9"/>
        <v>0.31888360306410779</v>
      </c>
      <c r="AG22" s="546">
        <f t="shared" si="10"/>
        <v>0.99999999999999989</v>
      </c>
      <c r="AH22" s="6"/>
      <c r="AI22" s="6"/>
      <c r="AJ22" s="6"/>
    </row>
    <row r="23" spans="1:36" ht="12" customHeight="1" x14ac:dyDescent="0.2">
      <c r="A23" s="7" t="s">
        <v>331</v>
      </c>
      <c r="B23" s="29">
        <f>+GETPIVOTDATA("Sum of State Gen Purp-New",'Amounts Pivot Table'!$A$3,"state","OK","category2","Four-Year")+GETPIVOTDATA("Sum of State Gen Purp-New",'Amounts Pivot Table'!$A$3,"state","OK","category2","Two-Year")+GETPIVOTDATA("Sum of State Gen Purp-New",'Amounts Pivot Table'!$A$3,"state","OK","category2","Technical")</f>
        <v>776741764</v>
      </c>
      <c r="C23" s="29">
        <f>+GETPIVOTDATA("Sum of State Ed Spec Purp-New",'Amounts Pivot Table'!$A$3,"state","OK","category2","Four-Year")+GETPIVOTDATA("Sum of State Ed Spec Purp-New",'Amounts Pivot Table'!$A$3,"state","OK","category2","Two-Year")+GETPIVOTDATA("Sum of State Ed Spec Purp-New",'Amounts Pivot Table'!$A$3,"state","OK","category2","Technical")</f>
        <v>0</v>
      </c>
      <c r="D23" s="29">
        <f>+GETPIVOTDATA("Sum of State Ed Spec Purp-New",'Amounts Pivot Table'!$A$3,"state","OK","category2","Other")</f>
        <v>15652609</v>
      </c>
      <c r="E23" s="29">
        <f>+GETPIVOTDATA("Sum of Other Spec Purp State-New",'Amounts Pivot Table'!$A$3,"state","OK","category2","Specialized")</f>
        <v>0</v>
      </c>
      <c r="F23" s="29">
        <f>+GETPIVOTDATA("Sum of Health State-New",'Amounts Pivot Table'!$A$3,"state","OK")</f>
        <v>118486833</v>
      </c>
      <c r="G23" s="29">
        <f>+GETPIVOTDATA("Sum of Other Spec Purp State-New",'Amounts Pivot Table'!$A$3,"state","OK")</f>
        <v>90779494</v>
      </c>
      <c r="H23" s="29">
        <f t="shared" si="11"/>
        <v>1001660700</v>
      </c>
      <c r="I23" s="29">
        <f>+GETPIVOTDATA("Sum of Local-New",'Amounts Pivot Table'!$A$3,"state","OK")</f>
        <v>46625073</v>
      </c>
      <c r="J23" s="29">
        <f>+GETPIVOTDATA("Sum of Tuition Tot-New",'Amounts Pivot Table'!$A$3,"state","OK","category2","Four-Year")+GETPIVOTDATA("Sum of Tuition Tot-New",'Amounts Pivot Table'!$A$3,"state","OK","category2","Two-Year")+GETPIVOTDATA("Sum of Tuition Tot-New",'Amounts Pivot Table'!$A$3,"state","OK","category2","Technical")</f>
        <v>968333912</v>
      </c>
      <c r="K23" s="29">
        <f>+GETPIVOTDATA("Sum of Tuition Debt-New",'Amounts Pivot Table'!$A$3,"state","OK","category2","Four-Year")+GETPIVOTDATA("Sum of Tuition Debt-New",'Amounts Pivot Table'!$A$3,"state","OK","category2","Two-Year")+GETPIVOTDATA("Sum of Tuition Debt-New",'Amounts Pivot Table'!$A$3,"state","OK","category2","Technical")</f>
        <v>0</v>
      </c>
      <c r="L23" s="29">
        <f>+GETPIVOTDATA("Sum of Tuition SP Tot-New",'Amounts Pivot Table'!$A$3,"state","OK","category2","Specialized")</f>
        <v>0</v>
      </c>
      <c r="M23" s="29">
        <f>+GETPIVOTDATA("Sum of Tuition SP Debt-New",'Amounts Pivot Table'!$A$3,"state","OK","category2","Specialized")</f>
        <v>0</v>
      </c>
      <c r="N23" s="29">
        <f>+GETPIVOTDATA("Sum of Health Tuition-New",'Amounts Pivot Table'!$A$3,"state","OK")</f>
        <v>0</v>
      </c>
      <c r="O23" s="29">
        <f t="shared" si="12"/>
        <v>968333912</v>
      </c>
      <c r="P23" s="29">
        <f t="shared" si="13"/>
        <v>2016619685</v>
      </c>
      <c r="Q23" s="32"/>
      <c r="R23" s="379" t="s">
        <v>331</v>
      </c>
      <c r="S23" s="544">
        <f t="shared" si="0"/>
        <v>0.38517017848112495</v>
      </c>
      <c r="T23" s="544">
        <f t="shared" si="1"/>
        <v>0</v>
      </c>
      <c r="U23" s="544">
        <f t="shared" si="2"/>
        <v>7.7618051219211417E-3</v>
      </c>
      <c r="V23" s="544">
        <f t="shared" si="3"/>
        <v>0</v>
      </c>
      <c r="W23" s="544">
        <f t="shared" si="4"/>
        <v>5.8755170288839066E-2</v>
      </c>
      <c r="X23" s="544">
        <f t="shared" si="5"/>
        <v>4.5015673840355278E-2</v>
      </c>
      <c r="Y23" s="545">
        <f t="shared" si="7"/>
        <v>0.49670282773224045</v>
      </c>
      <c r="Z23" s="544">
        <f t="shared" si="6"/>
        <v>2.3120409538202043E-2</v>
      </c>
      <c r="AA23" s="544">
        <f t="shared" si="6"/>
        <v>0.4801767627295575</v>
      </c>
      <c r="AB23" s="544">
        <f t="shared" si="6"/>
        <v>0</v>
      </c>
      <c r="AC23" s="544">
        <f t="shared" si="6"/>
        <v>0</v>
      </c>
      <c r="AD23" s="544">
        <f t="shared" si="8"/>
        <v>0</v>
      </c>
      <c r="AE23" s="544">
        <f t="shared" si="8"/>
        <v>0</v>
      </c>
      <c r="AF23" s="329">
        <f t="shared" si="9"/>
        <v>0.4801767627295575</v>
      </c>
      <c r="AG23" s="546">
        <f t="shared" si="10"/>
        <v>1</v>
      </c>
      <c r="AH23" s="6"/>
      <c r="AI23" s="6"/>
      <c r="AJ23" s="6"/>
    </row>
    <row r="24" spans="1:36" ht="12" customHeight="1" x14ac:dyDescent="0.2">
      <c r="A24" s="7" t="s">
        <v>325</v>
      </c>
      <c r="B24" s="29">
        <f>+GETPIVOTDATA("Sum of State Gen Purp-New",'Amounts Pivot Table'!$A$3,"state","SC","category2","Four-Year")+GETPIVOTDATA("Sum of State Gen Purp-New",'Amounts Pivot Table'!$A$3,"state","SC","category2","Two-Year")+GETPIVOTDATA("Sum of State Gen Purp-New",'Amounts Pivot Table'!$A$3,"state","SC","category2","Technical")</f>
        <v>354089851</v>
      </c>
      <c r="C24" s="29">
        <f>+GETPIVOTDATA("Sum of State Ed Spec Purp-New",'Amounts Pivot Table'!$A$3,"state","SC","category2","Four-Year")+GETPIVOTDATA("Sum of State Ed Spec Purp-New",'Amounts Pivot Table'!$A$3,"state","SC","category2","Two-Year")+GETPIVOTDATA("Sum of State Ed Spec Purp-New",'Amounts Pivot Table'!$A$3,"state","SC","category2","Technical")</f>
        <v>86641841</v>
      </c>
      <c r="D24" s="29">
        <f>+GETPIVOTDATA("Sum of State Ed Spec Purp-New",'Amounts Pivot Table'!$A$3,"state","SC","category2","Other")</f>
        <v>4495762</v>
      </c>
      <c r="E24" s="29">
        <f>+GETPIVOTDATA("Sum of Other Spec Purp State-New",'Amounts Pivot Table'!$A$3,"state","SC","category2","Specialized")</f>
        <v>0</v>
      </c>
      <c r="F24" s="29">
        <f>+GETPIVOTDATA("Sum of Health State-New",'Amounts Pivot Table'!$A$3,"state","SC")</f>
        <v>80483862</v>
      </c>
      <c r="G24" s="29">
        <f>+GETPIVOTDATA("Sum of Other Spec Purp State-New",'Amounts Pivot Table'!$A$3,"state","SC")</f>
        <v>375789318.00000006</v>
      </c>
      <c r="H24" s="29">
        <f t="shared" si="11"/>
        <v>901500634</v>
      </c>
      <c r="I24" s="29">
        <f>+GETPIVOTDATA("Sum of Local-New",'Amounts Pivot Table'!$A$3,"state","SC")</f>
        <v>62107839</v>
      </c>
      <c r="J24" s="29">
        <f>+GETPIVOTDATA("Sum of Tuition Tot-New",'Amounts Pivot Table'!$A$3,"state","SC","category2","Four-Year")+GETPIVOTDATA("Sum of Tuition Tot-New",'Amounts Pivot Table'!$A$3,"state","SC","category2","Two-Year")+GETPIVOTDATA("Sum of Tuition Tot-New",'Amounts Pivot Table'!$A$3,"state","SC","category2","Technical")</f>
        <v>1871218469</v>
      </c>
      <c r="K24" s="29">
        <f>+GETPIVOTDATA("Sum of Tuition Debt-New",'Amounts Pivot Table'!$A$3,"state","SC","category2","Four-Year")+GETPIVOTDATA("Sum of Tuition Debt-New",'Amounts Pivot Table'!$A$3,"state","SC","category2","Two-Year")+GETPIVOTDATA("Sum of Tuition Debt-New",'Amounts Pivot Table'!$A$3,"state","SC","category2","Technical")</f>
        <v>99543472</v>
      </c>
      <c r="L24" s="29">
        <f>+GETPIVOTDATA("Sum of Tuition SP Tot-New",'Amounts Pivot Table'!$A$3,"state","SC","category2","Specialized")</f>
        <v>0</v>
      </c>
      <c r="M24" s="29">
        <f>+GETPIVOTDATA("Sum of Tuition SP Debt-New",'Amounts Pivot Table'!$A$3,"state","SC","category2","Specialized")</f>
        <v>0</v>
      </c>
      <c r="N24" s="29">
        <f>+GETPIVOTDATA("Sum of Health Tuition-New",'Amounts Pivot Table'!$A$3,"state","SC")</f>
        <v>0</v>
      </c>
      <c r="O24" s="29">
        <f t="shared" si="12"/>
        <v>1771674997</v>
      </c>
      <c r="P24" s="29">
        <f t="shared" si="13"/>
        <v>2735283470</v>
      </c>
      <c r="Q24" s="32"/>
      <c r="R24" s="379" t="s">
        <v>325</v>
      </c>
      <c r="S24" s="544">
        <f t="shared" si="0"/>
        <v>0.12945270751042121</v>
      </c>
      <c r="T24" s="544">
        <f t="shared" si="1"/>
        <v>3.1675635066810828E-2</v>
      </c>
      <c r="U24" s="544">
        <f t="shared" si="2"/>
        <v>1.6436183120720573E-3</v>
      </c>
      <c r="V24" s="544">
        <f t="shared" si="3"/>
        <v>0</v>
      </c>
      <c r="W24" s="544">
        <f t="shared" si="4"/>
        <v>2.9424322152614039E-2</v>
      </c>
      <c r="X24" s="544">
        <f t="shared" si="5"/>
        <v>0.13738587686489404</v>
      </c>
      <c r="Y24" s="545">
        <f t="shared" si="7"/>
        <v>0.32958215990681217</v>
      </c>
      <c r="Z24" s="544">
        <f t="shared" si="6"/>
        <v>2.2706180065497929E-2</v>
      </c>
      <c r="AA24" s="544">
        <f t="shared" si="6"/>
        <v>0.68410403876714099</v>
      </c>
      <c r="AB24" s="544">
        <f t="shared" si="6"/>
        <v>3.6392378739451087E-2</v>
      </c>
      <c r="AC24" s="544">
        <f t="shared" si="6"/>
        <v>0</v>
      </c>
      <c r="AD24" s="544">
        <f t="shared" si="8"/>
        <v>0</v>
      </c>
      <c r="AE24" s="544">
        <f t="shared" si="8"/>
        <v>0</v>
      </c>
      <c r="AF24" s="329">
        <f t="shared" si="9"/>
        <v>0.64771166002768987</v>
      </c>
      <c r="AG24" s="546">
        <f t="shared" si="10"/>
        <v>1</v>
      </c>
      <c r="AH24" s="6"/>
      <c r="AI24" s="6"/>
      <c r="AJ24" s="6"/>
    </row>
    <row r="25" spans="1:36" s="88" customFormat="1" ht="11.25" customHeight="1" x14ac:dyDescent="0.2">
      <c r="A25" s="85"/>
      <c r="B25" s="86"/>
      <c r="C25" s="86"/>
      <c r="D25" s="86"/>
      <c r="E25" s="86"/>
      <c r="F25" s="86"/>
      <c r="G25" s="86"/>
      <c r="H25" s="86"/>
      <c r="I25" s="86"/>
      <c r="J25" s="86"/>
      <c r="K25" s="86"/>
      <c r="L25" s="86"/>
      <c r="M25" s="86"/>
      <c r="N25" s="86"/>
      <c r="O25" s="29"/>
      <c r="P25" s="86"/>
      <c r="Q25" s="87"/>
      <c r="R25" s="379"/>
      <c r="S25" s="544"/>
      <c r="T25" s="544"/>
      <c r="U25" s="544"/>
      <c r="V25" s="544"/>
      <c r="W25" s="544"/>
      <c r="X25" s="544"/>
      <c r="Y25" s="545"/>
      <c r="Z25" s="544"/>
      <c r="AA25" s="544"/>
      <c r="AB25" s="544"/>
      <c r="AC25" s="544"/>
      <c r="AD25" s="544"/>
      <c r="AE25" s="544"/>
      <c r="AF25" s="329"/>
      <c r="AG25" s="546"/>
    </row>
    <row r="26" spans="1:36" ht="12" customHeight="1" x14ac:dyDescent="0.2">
      <c r="A26" s="7" t="s">
        <v>90</v>
      </c>
      <c r="B26" s="29">
        <f>+GETPIVOTDATA("Sum of State Gen Purp-New",'Amounts Pivot Table'!$A$3,"state","TN","category2","Four-Year")+GETPIVOTDATA("Sum of State Gen Purp-New",'Amounts Pivot Table'!$A$3,"state","TN","category2","Two-Year")+GETPIVOTDATA("Sum of State Gen Purp-New",'Amounts Pivot Table'!$A$3,"state","TN","category2","Technical")</f>
        <v>869353927.25662875</v>
      </c>
      <c r="C26" s="29">
        <f>+GETPIVOTDATA("Sum of State Ed Spec Purp-New",'Amounts Pivot Table'!$A$3,"state","TN","category2","Four-Year")+GETPIVOTDATA("Sum of State Ed Spec Purp-New",'Amounts Pivot Table'!$A$3,"state","TN","category2","Two-Year")+GETPIVOTDATA("Sum of State Ed Spec Purp-New",'Amounts Pivot Table'!$A$3,"state","TN","category2","Technical")</f>
        <v>72598177</v>
      </c>
      <c r="D26" s="29">
        <f>+GETPIVOTDATA("Sum of State Ed Spec Purp-New",'Amounts Pivot Table'!$A$3,"state","TN","category2","Other")</f>
        <v>422000</v>
      </c>
      <c r="E26" s="29">
        <f>+GETPIVOTDATA("Sum of Other Spec Purp State-New",'Amounts Pivot Table'!$A$3,"state","TN","category2","Specialized")</f>
        <v>8923113.9352994487</v>
      </c>
      <c r="F26" s="29">
        <f>+GETPIVOTDATA("Sum of Health State-New",'Amounts Pivot Table'!$A$3,"state","TN")</f>
        <v>188428062.3825264</v>
      </c>
      <c r="G26" s="29">
        <f>+GETPIVOTDATA("Sum of Other Spec Purp State-New",'Amounts Pivot Table'!$A$3,"state","TN")</f>
        <v>398296718.89529943</v>
      </c>
      <c r="H26" s="29">
        <f t="shared" si="11"/>
        <v>1538021999.469754</v>
      </c>
      <c r="I26" s="29">
        <f>+GETPIVOTDATA("Sum of Local-New",'Amounts Pivot Table'!$A$3,"state","TN")</f>
        <v>0</v>
      </c>
      <c r="J26" s="29">
        <f>+GETPIVOTDATA("Sum of Tuition Tot-New",'Amounts Pivot Table'!$A$3,"state","TN","category2","Four-Year")+GETPIVOTDATA("Sum of Tuition Tot-New",'Amounts Pivot Table'!$A$3,"state","TN","category2","Two-Year")+GETPIVOTDATA("Sum of Tuition Tot-New",'Amounts Pivot Table'!$A$3,"state","TN","category2","Technical")</f>
        <v>1356939262</v>
      </c>
      <c r="K26" s="29">
        <f>+GETPIVOTDATA("Sum of Tuition Debt-New",'Amounts Pivot Table'!$A$3,"state","TN","category2","Four-Year")+GETPIVOTDATA("Sum of Tuition Debt-New",'Amounts Pivot Table'!$A$3,"state","TN","category2","Two-Year")+GETPIVOTDATA("Sum of Tuition Debt-New",'Amounts Pivot Table'!$A$3,"state","TN","category2","Technical")</f>
        <v>26424300</v>
      </c>
      <c r="L26" s="29">
        <f>+GETPIVOTDATA("Sum of Tuition SP Tot-New",'Amounts Pivot Table'!$A$3,"state","TN","category2","Specialized")</f>
        <v>1450000</v>
      </c>
      <c r="M26" s="29">
        <f>+GETPIVOTDATA("Sum of Tuition SP Debt-New",'Amounts Pivot Table'!$A$3,"state","TN","category2","Specialized")</f>
        <v>0</v>
      </c>
      <c r="N26" s="29">
        <f>+GETPIVOTDATA("Sum of Health Tuition-New",'Amounts Pivot Table'!$A$3,"state","TN")</f>
        <v>90778719</v>
      </c>
      <c r="O26" s="29">
        <f t="shared" si="12"/>
        <v>1422743681</v>
      </c>
      <c r="P26" s="29">
        <f t="shared" si="13"/>
        <v>2960765680.4697542</v>
      </c>
      <c r="Q26" s="32"/>
      <c r="R26" s="379" t="s">
        <v>90</v>
      </c>
      <c r="S26" s="544">
        <f t="shared" si="0"/>
        <v>0.29362469748659653</v>
      </c>
      <c r="T26" s="544">
        <f t="shared" si="1"/>
        <v>2.4520068399496442E-2</v>
      </c>
      <c r="U26" s="544" t="str">
        <f t="shared" si="2"/>
        <v>*</v>
      </c>
      <c r="V26" s="544">
        <f t="shared" si="3"/>
        <v>3.0137859250934408E-3</v>
      </c>
      <c r="W26" s="544">
        <f t="shared" si="4"/>
        <v>6.364166662207138E-2</v>
      </c>
      <c r="X26" s="544">
        <f t="shared" si="5"/>
        <v>0.13452490398770961</v>
      </c>
      <c r="Y26" s="545">
        <f t="shared" si="7"/>
        <v>0.5193251224209674</v>
      </c>
      <c r="Z26" s="544">
        <f t="shared" ref="Z26:AC29" si="14">IF(I26/$P26=0,,IF(I26/$P26&gt;0.0005,I26/$P26,"*"))</f>
        <v>0</v>
      </c>
      <c r="AA26" s="544">
        <f t="shared" si="14"/>
        <v>0.45830687343846421</v>
      </c>
      <c r="AB26" s="544">
        <f t="shared" si="14"/>
        <v>8.9248197431846515E-3</v>
      </c>
      <c r="AC26" s="544" t="str">
        <f t="shared" si="14"/>
        <v>*</v>
      </c>
      <c r="AD26" s="544">
        <f t="shared" si="8"/>
        <v>0</v>
      </c>
      <c r="AE26" s="544">
        <f t="shared" si="8"/>
        <v>3.0660555004000545E-2</v>
      </c>
      <c r="AF26" s="329">
        <f t="shared" si="9"/>
        <v>0.48053234688071228</v>
      </c>
      <c r="AG26" s="546">
        <f t="shared" si="10"/>
        <v>0.99985746930167974</v>
      </c>
      <c r="AH26" s="6"/>
      <c r="AI26" s="6"/>
      <c r="AJ26" s="6"/>
    </row>
    <row r="27" spans="1:36" ht="12" customHeight="1" x14ac:dyDescent="0.2">
      <c r="A27" s="7" t="s">
        <v>326</v>
      </c>
      <c r="B27" s="29">
        <f>+GETPIVOTDATA("Sum of State Gen Purp-New",'Amounts Pivot Table'!$A$3,"state","TX","category2","Four-Year")+GETPIVOTDATA("Sum of State Gen Purp-New",'Amounts Pivot Table'!$A$3,"state","TX","category2","Two-Year")+GETPIVOTDATA("Sum of State Gen Purp-New",'Amounts Pivot Table'!$A$3,"state","TX","category2","Technical")</f>
        <v>4137703158</v>
      </c>
      <c r="C27" s="29">
        <f>+GETPIVOTDATA("Sum of State Ed Spec Purp-New",'Amounts Pivot Table'!$A$3,"state","TX","category2","Four-Year")+GETPIVOTDATA("Sum of State Ed Spec Purp-New",'Amounts Pivot Table'!$A$3,"state","TX","category2","Two-Year")+GETPIVOTDATA("Sum of State Ed Spec Purp-New",'Amounts Pivot Table'!$A$3,"state","TX","category2","Technical")</f>
        <v>228822908</v>
      </c>
      <c r="D27" s="29">
        <f>+GETPIVOTDATA("Sum of State Ed Spec Purp-New",'Amounts Pivot Table'!$A$3,"state","TX","category2","Other")</f>
        <v>0</v>
      </c>
      <c r="E27" s="29">
        <f>+GETPIVOTDATA("Sum of Other Spec Purp State-New",'Amounts Pivot Table'!$A$3,"state","TX","category2","Specialized")</f>
        <v>0</v>
      </c>
      <c r="F27" s="29">
        <f>+GETPIVOTDATA("Sum of Health State-New",'Amounts Pivot Table'!$A$3,"state","TX")</f>
        <v>1649180754</v>
      </c>
      <c r="G27" s="29">
        <f>+GETPIVOTDATA("Sum of Other Spec Purp State-New",'Amounts Pivot Table'!$A$3,"state","TX")</f>
        <v>679993858</v>
      </c>
      <c r="H27" s="29">
        <f t="shared" si="11"/>
        <v>6695700678</v>
      </c>
      <c r="I27" s="29">
        <f>+GETPIVOTDATA("Sum of Local-New",'Amounts Pivot Table'!$A$3,"state","TX")</f>
        <v>1553672570</v>
      </c>
      <c r="J27" s="29">
        <f>+GETPIVOTDATA("Sum of Tuition Tot-New",'Amounts Pivot Table'!$A$3,"state","TX","category2","Four-Year")+GETPIVOTDATA("Sum of Tuition Tot-New",'Amounts Pivot Table'!$A$3,"state","TX","category2","Two-Year")+GETPIVOTDATA("Sum of Tuition Tot-New",'Amounts Pivot Table'!$A$3,"state","TX","category2","Technical")</f>
        <v>4215079925</v>
      </c>
      <c r="K27" s="29">
        <f>+GETPIVOTDATA("Sum of Tuition Debt-New",'Amounts Pivot Table'!$A$3,"state","TX","category2","Four-Year")+GETPIVOTDATA("Sum of Tuition Debt-New",'Amounts Pivot Table'!$A$3,"state","TX","category2","Two-Year")+GETPIVOTDATA("Sum of Tuition Debt-New",'Amounts Pivot Table'!$A$3,"state","TX","category2","Technical")</f>
        <v>0</v>
      </c>
      <c r="L27" s="29">
        <f>+GETPIVOTDATA("Sum of Tuition SP Tot-New",'Amounts Pivot Table'!$A$3,"state","TX","category2","Specialized")</f>
        <v>0</v>
      </c>
      <c r="M27" s="29">
        <f>+GETPIVOTDATA("Sum of Tuition SP Debt-New",'Amounts Pivot Table'!$A$3,"state","TX","category2","Specialized")</f>
        <v>0</v>
      </c>
      <c r="N27" s="29">
        <f>+GETPIVOTDATA("Sum of Health Tuition-New",'Amounts Pivot Table'!$A$3,"state","TX")</f>
        <v>228385594</v>
      </c>
      <c r="O27" s="29">
        <f t="shared" si="12"/>
        <v>4443465519</v>
      </c>
      <c r="P27" s="29">
        <f t="shared" si="13"/>
        <v>12692838767</v>
      </c>
      <c r="Q27" s="32"/>
      <c r="R27" s="379" t="s">
        <v>326</v>
      </c>
      <c r="S27" s="544">
        <f t="shared" si="0"/>
        <v>0.32598721483468129</v>
      </c>
      <c r="T27" s="544">
        <f t="shared" si="1"/>
        <v>1.8027717219170441E-2</v>
      </c>
      <c r="U27" s="544">
        <f t="shared" si="2"/>
        <v>0</v>
      </c>
      <c r="V27" s="544">
        <f t="shared" si="3"/>
        <v>0</v>
      </c>
      <c r="W27" s="544">
        <f t="shared" si="4"/>
        <v>0.12993001678140673</v>
      </c>
      <c r="X27" s="544">
        <f t="shared" si="5"/>
        <v>5.357303204448717E-2</v>
      </c>
      <c r="Y27" s="545">
        <f t="shared" si="7"/>
        <v>0.52751798087974566</v>
      </c>
      <c r="Z27" s="544">
        <f t="shared" si="14"/>
        <v>0.12240544440219155</v>
      </c>
      <c r="AA27" s="544">
        <f t="shared" si="14"/>
        <v>0.33208331109970052</v>
      </c>
      <c r="AB27" s="544">
        <f t="shared" si="14"/>
        <v>0</v>
      </c>
      <c r="AC27" s="544">
        <f t="shared" si="14"/>
        <v>0</v>
      </c>
      <c r="AD27" s="544">
        <f t="shared" si="8"/>
        <v>0</v>
      </c>
      <c r="AE27" s="544">
        <f t="shared" si="8"/>
        <v>1.7993263618362326E-2</v>
      </c>
      <c r="AF27" s="329">
        <f t="shared" si="9"/>
        <v>0.35007657471806286</v>
      </c>
      <c r="AG27" s="546">
        <f t="shared" si="10"/>
        <v>1</v>
      </c>
      <c r="AH27" s="6"/>
      <c r="AI27" s="6"/>
      <c r="AJ27" s="6"/>
    </row>
    <row r="28" spans="1:36" ht="12" customHeight="1" x14ac:dyDescent="0.2">
      <c r="A28" s="7" t="s">
        <v>327</v>
      </c>
      <c r="B28" s="29">
        <f>+GETPIVOTDATA("Sum of State Gen Purp-New",'Amounts Pivot Table'!$A$3,"state","VA","category2","Four-Year")+GETPIVOTDATA("Sum of State Gen Purp-New",'Amounts Pivot Table'!$A$3,"state","VA","category2","Two-Year")+GETPIVOTDATA("Sum of State Gen Purp-New",'Amounts Pivot Table'!$A$3,"state","VA","category2","Technical")</f>
        <v>1204025246</v>
      </c>
      <c r="C28" s="29">
        <f>+GETPIVOTDATA("Sum of State Ed Spec Purp-New",'Amounts Pivot Table'!$A$3,"state","VA","category2","Four-Year")+GETPIVOTDATA("Sum of State Ed Spec Purp-New",'Amounts Pivot Table'!$A$3,"state","VA","category2","Two-Year")+GETPIVOTDATA("Sum of State Ed Spec Purp-New",'Amounts Pivot Table'!$A$3,"state","VA","category2","Technical")</f>
        <v>111875100</v>
      </c>
      <c r="D28" s="29">
        <f>+GETPIVOTDATA("Sum of State Ed Spec Purp-New",'Amounts Pivot Table'!$A$3,"state","VA","category2","Other")</f>
        <v>92014576</v>
      </c>
      <c r="E28" s="29">
        <f>+GETPIVOTDATA("Sum of Other Spec Purp State-New",'Amounts Pivot Table'!$A$3,"state","VA","category2","Specialized")</f>
        <v>11901908</v>
      </c>
      <c r="F28" s="29">
        <f>+GETPIVOTDATA("Sum of Health State-New",'Amounts Pivot Table'!$A$3,"state","VA")</f>
        <v>90492295</v>
      </c>
      <c r="G28" s="29">
        <f>+GETPIVOTDATA("Sum of Other Spec Purp State-New",'Amounts Pivot Table'!$A$3,"state","VA")</f>
        <v>282061161</v>
      </c>
      <c r="H28" s="29">
        <f t="shared" si="11"/>
        <v>1792370286</v>
      </c>
      <c r="I28" s="29">
        <f>+GETPIVOTDATA("Sum of Local-New",'Amounts Pivot Table'!$A$3,"state","VA")</f>
        <v>10921170</v>
      </c>
      <c r="J28" s="29">
        <f>+GETPIVOTDATA("Sum of Tuition Tot-New",'Amounts Pivot Table'!$A$3,"state","VA","category2","Four-Year")+GETPIVOTDATA("Sum of Tuition Tot-New",'Amounts Pivot Table'!$A$3,"state","VA","category2","Two-Year")+GETPIVOTDATA("Sum of Tuition Tot-New",'Amounts Pivot Table'!$A$3,"state","VA","category2","Technical")</f>
        <v>2687939791</v>
      </c>
      <c r="K28" s="29">
        <f>+GETPIVOTDATA("Sum of Tuition Debt-New",'Amounts Pivot Table'!$A$3,"state","VA","category2","Four-Year")+GETPIVOTDATA("Sum of Tuition Debt-New",'Amounts Pivot Table'!$A$3,"state","VA","category2","Two-Year")+GETPIVOTDATA("Sum of Tuition Debt-New",'Amounts Pivot Table'!$A$3,"state","VA","category2","Technical")</f>
        <v>24561405</v>
      </c>
      <c r="L28" s="29">
        <f>+GETPIVOTDATA("Sum of Tuition SP Tot-New",'Amounts Pivot Table'!$A$3,"state","VA","category2","Specialized")</f>
        <v>27583445</v>
      </c>
      <c r="M28" s="29">
        <f>+GETPIVOTDATA("Sum of Tuition SP Debt-New",'Amounts Pivot Table'!$A$3,"state","VA","category2","Specialized")</f>
        <v>296208</v>
      </c>
      <c r="N28" s="29">
        <f>+GETPIVOTDATA("Sum of Health Tuition-New",'Amounts Pivot Table'!$A$3,"state","VA")</f>
        <v>104080976</v>
      </c>
      <c r="O28" s="29">
        <f t="shared" si="12"/>
        <v>2794746599</v>
      </c>
      <c r="P28" s="29">
        <f t="shared" si="13"/>
        <v>4598038055</v>
      </c>
      <c r="Q28" s="32"/>
      <c r="R28" s="379" t="s">
        <v>327</v>
      </c>
      <c r="S28" s="544">
        <f t="shared" si="0"/>
        <v>0.26185630297050683</v>
      </c>
      <c r="T28" s="544">
        <f t="shared" si="1"/>
        <v>2.4331051344463048E-2</v>
      </c>
      <c r="U28" s="544">
        <f t="shared" si="2"/>
        <v>2.0011703883124995E-2</v>
      </c>
      <c r="V28" s="544">
        <f t="shared" si="3"/>
        <v>2.5884753143914549E-3</v>
      </c>
      <c r="W28" s="544">
        <f t="shared" si="4"/>
        <v>1.9680632025565085E-2</v>
      </c>
      <c r="X28" s="544">
        <f t="shared" si="5"/>
        <v>6.1343807429623372E-2</v>
      </c>
      <c r="Y28" s="545">
        <f t="shared" si="7"/>
        <v>0.38981197296767478</v>
      </c>
      <c r="Z28" s="544">
        <f t="shared" si="14"/>
        <v>2.3751804289927738E-3</v>
      </c>
      <c r="AA28" s="544">
        <f t="shared" si="14"/>
        <v>0.58458406799767126</v>
      </c>
      <c r="AB28" s="544">
        <f t="shared" si="14"/>
        <v>5.3417141629115983E-3</v>
      </c>
      <c r="AC28" s="544">
        <f t="shared" si="14"/>
        <v>5.9989597019548813E-3</v>
      </c>
      <c r="AD28" s="544" t="str">
        <f t="shared" si="8"/>
        <v>*</v>
      </c>
      <c r="AE28" s="544">
        <f t="shared" si="8"/>
        <v>2.2635953586077923E-2</v>
      </c>
      <c r="AF28" s="329">
        <f t="shared" si="9"/>
        <v>0.60781284660333246</v>
      </c>
      <c r="AG28" s="546">
        <f t="shared" si="10"/>
        <v>1</v>
      </c>
      <c r="AH28" s="6"/>
      <c r="AI28" s="6"/>
      <c r="AJ28" s="6"/>
    </row>
    <row r="29" spans="1:36" ht="12" customHeight="1" x14ac:dyDescent="0.2">
      <c r="A29" s="8" t="s">
        <v>332</v>
      </c>
      <c r="B29" s="29">
        <f>+GETPIVOTDATA("Sum of State Gen Purp-New",'Amounts Pivot Table'!$A$3,"state","WV","category2","Four-Year")+GETPIVOTDATA("Sum of State Gen Purp-New",'Amounts Pivot Table'!$A$3,"state","WV","category2","Two-Year")+GETPIVOTDATA("Sum of State Gen Purp-New",'Amounts Pivot Table'!$A$3,"state","WV","category2","Technical")</f>
        <v>259832981</v>
      </c>
      <c r="C29" s="29">
        <f>+GETPIVOTDATA("Sum of State Ed Spec Purp-New",'Amounts Pivot Table'!$A$3,"state","WV","category2","Four-Year")+GETPIVOTDATA("Sum of State Ed Spec Purp-New",'Amounts Pivot Table'!$A$3,"state","WV","category2","Two-Year")+GETPIVOTDATA("Sum of State Ed Spec Purp-New",'Amounts Pivot Table'!$A$3,"state","WV","category2","Technical")</f>
        <v>45875956</v>
      </c>
      <c r="D29" s="29">
        <f>+GETPIVOTDATA("Sum of State Ed Spec Purp-New",'Amounts Pivot Table'!$A$3,"state","WV","category2","Other")</f>
        <v>305478</v>
      </c>
      <c r="E29" s="29">
        <f>+GETPIVOTDATA("Sum of Other Spec Purp State-New",'Amounts Pivot Table'!$A$3,"state","WV","category2","Specialized")</f>
        <v>0</v>
      </c>
      <c r="F29" s="29">
        <f>+GETPIVOTDATA("Sum of Health State-New",'Amounts Pivot Table'!$A$3,"state","WV")</f>
        <v>98992285</v>
      </c>
      <c r="G29" s="29">
        <f>+GETPIVOTDATA("Sum of Other Spec Purp State-New",'Amounts Pivot Table'!$A$3,"state","WV")</f>
        <v>110976718</v>
      </c>
      <c r="H29" s="29">
        <f t="shared" si="11"/>
        <v>515983418</v>
      </c>
      <c r="I29" s="29">
        <f>+GETPIVOTDATA("Sum of Local-New",'Amounts Pivot Table'!$A$3,"state","WV")</f>
        <v>0</v>
      </c>
      <c r="J29" s="29">
        <f>+GETPIVOTDATA("Sum of Tuition Tot-New",'Amounts Pivot Table'!$A$3,"state","WV","category2","Four-Year")+GETPIVOTDATA("Sum of Tuition Tot-New",'Amounts Pivot Table'!$A$3,"state","WV","category2","Two-Year")+GETPIVOTDATA("Sum of Tuition Tot-New",'Amounts Pivot Table'!$A$3,"state","WV","category2","Technical")</f>
        <v>595214477</v>
      </c>
      <c r="K29" s="29">
        <f>+GETPIVOTDATA("Sum of Tuition Debt-New",'Amounts Pivot Table'!$A$3,"state","WV","category2","Four-Year")+GETPIVOTDATA("Sum of Tuition Debt-New",'Amounts Pivot Table'!$A$3,"state","WV","category2","Two-Year")+GETPIVOTDATA("Sum of Tuition Debt-New",'Amounts Pivot Table'!$A$3,"state","WV","category2","Technical")</f>
        <v>16318691</v>
      </c>
      <c r="L29" s="29">
        <f>+GETPIVOTDATA("Sum of Tuition SP Tot-New",'Amounts Pivot Table'!$A$3,"state","WV","category2","Specialized")</f>
        <v>0</v>
      </c>
      <c r="M29" s="29">
        <f>+GETPIVOTDATA("Sum of Tuition SP Debt-New",'Amounts Pivot Table'!$A$3,"state","WV","category2","Specialized")</f>
        <v>0</v>
      </c>
      <c r="N29" s="29">
        <f>+GETPIVOTDATA("Sum of Health Tuition-New",'Amounts Pivot Table'!$A$3,"state","WV")</f>
        <v>89167560</v>
      </c>
      <c r="O29" s="29">
        <f t="shared" si="12"/>
        <v>668063346</v>
      </c>
      <c r="P29" s="29">
        <f t="shared" si="13"/>
        <v>1184046764</v>
      </c>
      <c r="Q29" s="34"/>
      <c r="R29" s="514" t="s">
        <v>332</v>
      </c>
      <c r="S29" s="547">
        <f t="shared" si="0"/>
        <v>0.21944486391924298</v>
      </c>
      <c r="T29" s="547">
        <f t="shared" si="1"/>
        <v>3.8745054160715567E-2</v>
      </c>
      <c r="U29" s="547" t="str">
        <f t="shared" si="2"/>
        <v>*</v>
      </c>
      <c r="V29" s="547">
        <f t="shared" si="3"/>
        <v>0</v>
      </c>
      <c r="W29" s="547">
        <f t="shared" si="4"/>
        <v>8.360504670067237E-2</v>
      </c>
      <c r="X29" s="547">
        <f t="shared" si="5"/>
        <v>9.3726634263239281E-2</v>
      </c>
      <c r="Y29" s="331">
        <f t="shared" si="7"/>
        <v>0.43552159904387022</v>
      </c>
      <c r="Z29" s="548">
        <f t="shared" si="14"/>
        <v>0</v>
      </c>
      <c r="AA29" s="548">
        <f t="shared" si="14"/>
        <v>0.50269507514147471</v>
      </c>
      <c r="AB29" s="548">
        <f t="shared" si="14"/>
        <v>1.3782133861733183E-2</v>
      </c>
      <c r="AC29" s="548">
        <f t="shared" si="14"/>
        <v>0</v>
      </c>
      <c r="AD29" s="548">
        <f t="shared" si="8"/>
        <v>0</v>
      </c>
      <c r="AE29" s="548">
        <f t="shared" si="8"/>
        <v>7.5307464798746754E-2</v>
      </c>
      <c r="AF29" s="331">
        <f t="shared" si="9"/>
        <v>0.56422040607848833</v>
      </c>
      <c r="AG29" s="549">
        <f t="shared" si="10"/>
        <v>0.99974200512235856</v>
      </c>
      <c r="AH29" s="6"/>
      <c r="AI29" s="6"/>
      <c r="AJ29" s="6"/>
    </row>
    <row r="30" spans="1:36" s="73" customFormat="1" ht="24" customHeight="1" x14ac:dyDescent="0.15">
      <c r="A30" s="1562" t="s">
        <v>96</v>
      </c>
      <c r="B30" s="1563"/>
      <c r="C30" s="1563"/>
      <c r="D30" s="1563"/>
      <c r="E30" s="1563"/>
      <c r="F30" s="1563"/>
      <c r="G30" s="1563"/>
      <c r="H30" s="1563"/>
      <c r="I30" s="1563"/>
      <c r="J30" s="1563"/>
      <c r="K30" s="1563"/>
      <c r="L30" s="1563"/>
      <c r="M30" s="1563"/>
      <c r="N30" s="1563"/>
      <c r="O30" s="1563"/>
      <c r="P30" s="1563"/>
      <c r="Q30" s="161"/>
      <c r="R30" s="1558" t="s">
        <v>93</v>
      </c>
      <c r="S30" s="1559"/>
      <c r="T30" s="1559"/>
      <c r="U30" s="1559"/>
      <c r="V30" s="1559"/>
      <c r="W30" s="1559"/>
      <c r="X30" s="1559"/>
      <c r="Y30" s="1559"/>
      <c r="Z30" s="1559"/>
      <c r="AA30" s="1559"/>
      <c r="AB30" s="1559"/>
      <c r="AC30" s="1559"/>
      <c r="AD30" s="1559"/>
      <c r="AE30" s="1559"/>
      <c r="AF30" s="1559"/>
      <c r="AG30" s="1559"/>
      <c r="AH30" s="162"/>
      <c r="AI30" s="162"/>
      <c r="AJ30" s="162"/>
    </row>
    <row r="31" spans="1:36" s="73" customFormat="1" ht="12.75" customHeight="1" x14ac:dyDescent="0.15">
      <c r="A31" s="1558" t="s">
        <v>312</v>
      </c>
      <c r="B31" s="1559"/>
      <c r="C31" s="1559"/>
      <c r="D31" s="1559"/>
      <c r="E31" s="1559"/>
      <c r="F31" s="1559"/>
      <c r="G31" s="1559"/>
      <c r="H31" s="1559"/>
      <c r="I31" s="1559"/>
      <c r="J31" s="1559"/>
      <c r="K31" s="1559"/>
      <c r="L31" s="1559"/>
      <c r="M31" s="1559"/>
      <c r="N31" s="1559"/>
      <c r="O31" s="1559"/>
      <c r="P31" s="1559"/>
      <c r="Q31" s="161"/>
      <c r="R31" s="1558" t="s">
        <v>312</v>
      </c>
      <c r="S31" s="1559"/>
      <c r="T31" s="1559"/>
      <c r="U31" s="1559"/>
      <c r="V31" s="1559"/>
      <c r="W31" s="1559"/>
      <c r="X31" s="1559"/>
      <c r="Y31" s="1559"/>
      <c r="Z31" s="1559"/>
      <c r="AA31" s="1559"/>
      <c r="AB31" s="1559"/>
      <c r="AC31" s="1559"/>
      <c r="AD31" s="1559"/>
      <c r="AE31" s="1559"/>
      <c r="AF31" s="1559"/>
      <c r="AG31" s="1559"/>
      <c r="AH31" s="162"/>
      <c r="AI31" s="162"/>
      <c r="AJ31" s="162"/>
    </row>
    <row r="32" spans="1:36" s="73" customFormat="1" ht="13.5" customHeight="1" x14ac:dyDescent="0.15">
      <c r="A32" s="1558" t="s">
        <v>231</v>
      </c>
      <c r="B32" s="1559"/>
      <c r="C32" s="1559"/>
      <c r="D32" s="1559"/>
      <c r="E32" s="1559"/>
      <c r="F32" s="1559"/>
      <c r="G32" s="1559"/>
      <c r="H32" s="1559"/>
      <c r="I32" s="1559"/>
      <c r="J32" s="1559"/>
      <c r="K32" s="1559"/>
      <c r="L32" s="1559"/>
      <c r="M32" s="1559"/>
      <c r="N32" s="1559"/>
      <c r="O32" s="1559"/>
      <c r="P32" s="1559"/>
      <c r="Q32" s="161"/>
      <c r="R32" s="1558" t="s">
        <v>26</v>
      </c>
      <c r="S32" s="1559"/>
      <c r="T32" s="1559"/>
      <c r="U32" s="1559"/>
      <c r="V32" s="1559"/>
      <c r="W32" s="1559"/>
      <c r="X32" s="1559"/>
      <c r="Y32" s="1559"/>
      <c r="Z32" s="1559"/>
      <c r="AA32" s="1559"/>
      <c r="AB32" s="1559"/>
      <c r="AC32" s="1559"/>
      <c r="AD32" s="1559"/>
      <c r="AE32" s="1559"/>
      <c r="AF32" s="1559"/>
      <c r="AG32" s="1559"/>
      <c r="AH32" s="113"/>
      <c r="AI32" s="113"/>
      <c r="AJ32" s="113"/>
    </row>
    <row r="33" spans="1:36" s="73" customFormat="1" x14ac:dyDescent="0.15">
      <c r="A33" s="1558" t="s">
        <v>246</v>
      </c>
      <c r="B33" s="1559"/>
      <c r="C33" s="1559"/>
      <c r="D33" s="1559"/>
      <c r="E33" s="1559"/>
      <c r="F33" s="1559"/>
      <c r="G33" s="1559"/>
      <c r="H33" s="1559"/>
      <c r="I33" s="1559"/>
      <c r="J33" s="1559"/>
      <c r="K33" s="1559"/>
      <c r="L33" s="1559"/>
      <c r="M33" s="1559"/>
      <c r="N33" s="1559"/>
      <c r="O33" s="1559"/>
      <c r="P33" s="1559"/>
      <c r="Q33" s="161"/>
      <c r="R33" s="1558" t="s">
        <v>246</v>
      </c>
      <c r="S33" s="1559"/>
      <c r="T33" s="1559"/>
      <c r="U33" s="1559"/>
      <c r="V33" s="1559"/>
      <c r="W33" s="1559"/>
      <c r="X33" s="1559"/>
      <c r="Y33" s="1559"/>
      <c r="Z33" s="1559"/>
      <c r="AA33" s="1559"/>
      <c r="AB33" s="1559"/>
      <c r="AC33" s="1559"/>
      <c r="AD33" s="1559"/>
      <c r="AE33" s="1559"/>
      <c r="AF33" s="1559"/>
      <c r="AG33" s="1559"/>
      <c r="AH33" s="162"/>
      <c r="AI33" s="162"/>
      <c r="AJ33" s="162"/>
    </row>
    <row r="34" spans="1:36" s="73" customFormat="1" x14ac:dyDescent="0.15">
      <c r="A34" s="1558" t="s">
        <v>189</v>
      </c>
      <c r="B34" s="1559"/>
      <c r="C34" s="1559"/>
      <c r="D34" s="1559"/>
      <c r="E34" s="1559"/>
      <c r="F34" s="1559"/>
      <c r="G34" s="1559"/>
      <c r="H34" s="1559"/>
      <c r="I34" s="1559"/>
      <c r="J34" s="1559"/>
      <c r="K34" s="1559"/>
      <c r="L34" s="1559"/>
      <c r="M34" s="1559"/>
      <c r="N34" s="1559"/>
      <c r="O34" s="1559"/>
      <c r="P34" s="1559"/>
      <c r="Q34" s="161"/>
      <c r="R34" s="1558" t="s">
        <v>189</v>
      </c>
      <c r="S34" s="1559"/>
      <c r="T34" s="1559"/>
      <c r="U34" s="1559"/>
      <c r="V34" s="1559"/>
      <c r="W34" s="1559"/>
      <c r="X34" s="1559"/>
      <c r="Y34" s="1559"/>
      <c r="Z34" s="1559"/>
      <c r="AA34" s="1559"/>
      <c r="AB34" s="1559"/>
      <c r="AC34" s="1559"/>
      <c r="AD34" s="1559"/>
      <c r="AE34" s="1559"/>
      <c r="AF34" s="1559"/>
      <c r="AG34" s="1559"/>
      <c r="AH34" s="162"/>
      <c r="AI34" s="162"/>
      <c r="AJ34" s="162"/>
    </row>
    <row r="35" spans="1:36" s="73" customFormat="1" x14ac:dyDescent="0.15">
      <c r="A35" s="187"/>
      <c r="B35" s="162"/>
      <c r="C35" s="162"/>
      <c r="D35" s="162"/>
      <c r="E35" s="162"/>
      <c r="F35" s="162"/>
      <c r="G35" s="162"/>
      <c r="H35" s="162"/>
      <c r="I35" s="162"/>
      <c r="J35" s="162"/>
      <c r="K35" s="162"/>
      <c r="L35" s="162"/>
      <c r="M35" s="162"/>
      <c r="N35" s="162"/>
      <c r="O35" s="162"/>
      <c r="P35" s="162"/>
      <c r="Q35" s="161"/>
      <c r="R35" s="72" t="s">
        <v>0</v>
      </c>
      <c r="S35" s="162"/>
      <c r="T35" s="162"/>
      <c r="U35" s="162"/>
      <c r="V35" s="162"/>
      <c r="W35" s="162"/>
      <c r="X35" s="162"/>
      <c r="Y35" s="162"/>
      <c r="Z35" s="162"/>
      <c r="AA35" s="162"/>
      <c r="AB35" s="162"/>
      <c r="AC35" s="162"/>
      <c r="AD35" s="162"/>
      <c r="AE35" s="162"/>
      <c r="AF35" s="162"/>
      <c r="AG35" s="162"/>
      <c r="AH35" s="162"/>
      <c r="AI35" s="162"/>
      <c r="AJ35" s="162"/>
    </row>
    <row r="36" spans="1:36" x14ac:dyDescent="0.2">
      <c r="AG36" s="535" t="s">
        <v>1898</v>
      </c>
    </row>
  </sheetData>
  <mergeCells count="28">
    <mergeCell ref="R34:AG34"/>
    <mergeCell ref="R33:AG33"/>
    <mergeCell ref="V7:V8"/>
    <mergeCell ref="R30:AG30"/>
    <mergeCell ref="R31:AG31"/>
    <mergeCell ref="R32:AG32"/>
    <mergeCell ref="U7:U8"/>
    <mergeCell ref="W7:W8"/>
    <mergeCell ref="T7:T8"/>
    <mergeCell ref="A34:P34"/>
    <mergeCell ref="B7:B8"/>
    <mergeCell ref="A30:P30"/>
    <mergeCell ref="A31:P31"/>
    <mergeCell ref="A32:P32"/>
    <mergeCell ref="A33:P33"/>
    <mergeCell ref="C7:C8"/>
    <mergeCell ref="R1:AG1"/>
    <mergeCell ref="AA7:AB7"/>
    <mergeCell ref="AC7:AD7"/>
    <mergeCell ref="AE7:AE8"/>
    <mergeCell ref="X7:X8"/>
    <mergeCell ref="Y7:Y8"/>
    <mergeCell ref="Z7:Z8"/>
    <mergeCell ref="AF7:AF8"/>
    <mergeCell ref="AG7:AG8"/>
    <mergeCell ref="S7:S8"/>
    <mergeCell ref="R3:AG3"/>
    <mergeCell ref="R4:AG4"/>
  </mergeCells>
  <phoneticPr fontId="17" type="noConversion"/>
  <pageMargins left="0.5" right="0.25" top="0.75" bottom="0.5" header="0.5" footer="0.25"/>
  <pageSetup scale="74" firstPageNumber="127" orientation="landscape" useFirstPageNumber="1" r:id="rId1"/>
  <headerFooter alignWithMargins="0">
    <oddHeader>&amp;R&amp;"Arial,Regular"&amp;8SREB-State Data Exchange</oddHeader>
    <oddFooter xml:space="preserve">&amp;C&amp;"Arial,Regular"&amp;P&amp;R&amp;"Arial,Regular"&amp;8 </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pageSetUpPr fitToPage="1"/>
  </sheetPr>
  <dimension ref="A1:AJ34"/>
  <sheetViews>
    <sheetView view="pageBreakPreview" topLeftCell="R1" zoomScaleNormal="100" zoomScaleSheetLayoutView="100" workbookViewId="0">
      <selection activeCell="R1" sqref="R1:AG1"/>
    </sheetView>
  </sheetViews>
  <sheetFormatPr defaultColWidth="8.875" defaultRowHeight="12.75" x14ac:dyDescent="0.2"/>
  <cols>
    <col min="1" max="1" width="14" style="7" customWidth="1"/>
    <col min="2" max="2" width="14.75" style="5" customWidth="1"/>
    <col min="3" max="3" width="12" style="4" customWidth="1"/>
    <col min="4" max="4" width="11.375" style="4" customWidth="1"/>
    <col min="5" max="5" width="12.875" style="4" customWidth="1"/>
    <col min="6" max="6" width="12.375" style="4" customWidth="1"/>
    <col min="7" max="7" width="12.875" style="4" customWidth="1"/>
    <col min="8" max="8" width="13.75" style="4" customWidth="1"/>
    <col min="9" max="9" width="12.125" style="4" bestFit="1" customWidth="1"/>
    <col min="10" max="10" width="13.125" style="4" bestFit="1" customWidth="1"/>
    <col min="11" max="11" width="11.75" style="4" customWidth="1"/>
    <col min="12" max="13" width="11.125" style="4" customWidth="1"/>
    <col min="14" max="14" width="12.125" style="4" bestFit="1" customWidth="1"/>
    <col min="15" max="15" width="12.75" style="4" customWidth="1"/>
    <col min="16" max="16" width="13.125" style="24" customWidth="1"/>
    <col min="17" max="17" width="2.375" style="35" customWidth="1"/>
    <col min="18" max="18" width="13.125" style="7" customWidth="1"/>
    <col min="19" max="19" width="13.125" style="5" customWidth="1"/>
    <col min="20" max="20" width="10.5" style="4" customWidth="1"/>
    <col min="21" max="21" width="10.375" style="4" customWidth="1"/>
    <col min="22" max="22" width="10.125" style="4" customWidth="1"/>
    <col min="23" max="23" width="10.875" style="4" customWidth="1"/>
    <col min="24" max="24" width="8" style="4" customWidth="1"/>
    <col min="25" max="25" width="8.25" style="4" customWidth="1"/>
    <col min="26" max="26" width="6.5" style="4" customWidth="1"/>
    <col min="27" max="27" width="8" style="4" customWidth="1"/>
    <col min="28" max="28" width="7.625" style="4" customWidth="1"/>
    <col min="29" max="29" width="8" style="5" customWidth="1"/>
    <col min="30" max="30" width="7.75" style="4" customWidth="1"/>
    <col min="31" max="31" width="9.25" style="5" customWidth="1"/>
    <col min="32" max="32" width="11.375" style="5" customWidth="1"/>
    <col min="33" max="33" width="10.375" style="5" customWidth="1"/>
    <col min="34" max="35" width="6.875" style="5" customWidth="1"/>
    <col min="36" max="36" width="5.75" style="5" customWidth="1"/>
    <col min="37" max="16384" width="8.875" style="6"/>
  </cols>
  <sheetData>
    <row r="1" spans="1:36" s="142" customFormat="1" ht="18" x14ac:dyDescent="0.15">
      <c r="A1" s="218"/>
      <c r="B1" s="141"/>
      <c r="P1" s="143"/>
      <c r="Q1" s="144"/>
      <c r="R1" s="1542" t="s">
        <v>357</v>
      </c>
      <c r="S1" s="1542"/>
      <c r="T1" s="1542"/>
      <c r="U1" s="1542"/>
      <c r="V1" s="1542"/>
      <c r="W1" s="1542"/>
      <c r="X1" s="1542"/>
      <c r="Y1" s="1542"/>
      <c r="Z1" s="1542"/>
      <c r="AA1" s="1542"/>
      <c r="AB1" s="1542"/>
      <c r="AC1" s="1542"/>
      <c r="AD1" s="1542"/>
      <c r="AE1" s="1542"/>
      <c r="AF1" s="1542"/>
      <c r="AG1" s="1542"/>
      <c r="AH1" s="141"/>
      <c r="AI1" s="141"/>
      <c r="AJ1" s="141"/>
    </row>
    <row r="2" spans="1:36" s="142" customFormat="1" ht="18.75" x14ac:dyDescent="0.15">
      <c r="A2" s="218" t="s">
        <v>313</v>
      </c>
      <c r="B2" s="141"/>
      <c r="P2" s="143"/>
      <c r="Q2" s="144"/>
      <c r="R2" s="1557" t="s">
        <v>25</v>
      </c>
      <c r="S2" s="1557"/>
      <c r="T2" s="1557"/>
      <c r="U2" s="1557"/>
      <c r="V2" s="1557"/>
      <c r="W2" s="1557"/>
      <c r="X2" s="1557"/>
      <c r="Y2" s="1557"/>
      <c r="Z2" s="1557"/>
      <c r="AA2" s="1557"/>
      <c r="AB2" s="1557"/>
      <c r="AC2" s="1557"/>
      <c r="AD2" s="1557"/>
      <c r="AE2" s="1557"/>
      <c r="AF2" s="1557"/>
      <c r="AG2" s="1557"/>
      <c r="AH2" s="141"/>
      <c r="AI2" s="141"/>
      <c r="AJ2" s="141"/>
    </row>
    <row r="3" spans="1:36" s="142" customFormat="1" ht="15.75" x14ac:dyDescent="0.15">
      <c r="A3" s="218" t="s">
        <v>391</v>
      </c>
      <c r="B3" s="497"/>
      <c r="C3" s="497"/>
      <c r="D3" s="497"/>
      <c r="E3" s="497"/>
      <c r="F3" s="147"/>
      <c r="G3" s="497"/>
      <c r="H3" s="497"/>
      <c r="I3" s="497"/>
      <c r="J3" s="497"/>
      <c r="K3" s="497"/>
      <c r="L3" s="497"/>
      <c r="M3" s="497"/>
      <c r="N3" s="497"/>
      <c r="O3" s="497"/>
      <c r="P3" s="145"/>
      <c r="Q3" s="146"/>
      <c r="R3" s="1557" t="s">
        <v>434</v>
      </c>
      <c r="S3" s="1557"/>
      <c r="T3" s="1557"/>
      <c r="U3" s="1557"/>
      <c r="V3" s="1557"/>
      <c r="W3" s="1557"/>
      <c r="X3" s="1557"/>
      <c r="Y3" s="1557"/>
      <c r="Z3" s="1557"/>
      <c r="AA3" s="1557"/>
      <c r="AB3" s="1557"/>
      <c r="AC3" s="1557"/>
      <c r="AD3" s="1557"/>
      <c r="AE3" s="1557"/>
      <c r="AF3" s="1557"/>
      <c r="AG3" s="1557"/>
      <c r="AH3" s="497"/>
      <c r="AI3" s="497"/>
      <c r="AJ3" s="497"/>
    </row>
    <row r="4" spans="1:36" s="61" customFormat="1" ht="15.75" x14ac:dyDescent="0.15">
      <c r="A4" s="151"/>
      <c r="B4" s="152" t="s">
        <v>11</v>
      </c>
      <c r="C4" s="153"/>
      <c r="D4" s="153"/>
      <c r="E4" s="153"/>
      <c r="F4" s="154"/>
      <c r="G4" s="153"/>
      <c r="H4" s="154"/>
      <c r="I4" s="155" t="s">
        <v>91</v>
      </c>
      <c r="J4" s="152" t="s">
        <v>92</v>
      </c>
      <c r="K4" s="152"/>
      <c r="L4" s="152"/>
      <c r="M4" s="152"/>
      <c r="N4" s="152"/>
      <c r="O4" s="156"/>
      <c r="P4" s="157" t="s">
        <v>91</v>
      </c>
      <c r="Q4" s="158"/>
      <c r="R4" s="151" t="s">
        <v>91</v>
      </c>
      <c r="S4" s="152" t="s">
        <v>36</v>
      </c>
      <c r="T4" s="153"/>
      <c r="U4" s="153"/>
      <c r="V4" s="153"/>
      <c r="W4" s="154"/>
      <c r="X4" s="154"/>
      <c r="Y4" s="154"/>
      <c r="Z4" s="155" t="s">
        <v>91</v>
      </c>
      <c r="AA4" s="152" t="s">
        <v>111</v>
      </c>
      <c r="AB4" s="152"/>
      <c r="AC4" s="152"/>
      <c r="AD4" s="152"/>
      <c r="AE4" s="152"/>
      <c r="AF4" s="159"/>
      <c r="AG4" s="160" t="s">
        <v>91</v>
      </c>
    </row>
    <row r="5" spans="1:36" ht="68.25" customHeight="1" x14ac:dyDescent="0.25">
      <c r="A5" s="17"/>
      <c r="B5" s="1560" t="s">
        <v>213</v>
      </c>
      <c r="C5" s="1564" t="s">
        <v>28</v>
      </c>
      <c r="D5" s="40"/>
      <c r="E5" s="40"/>
      <c r="F5" s="40"/>
      <c r="G5" s="23"/>
      <c r="H5" s="22"/>
      <c r="I5" s="36"/>
      <c r="J5" s="38" t="s">
        <v>212</v>
      </c>
      <c r="K5" s="39"/>
      <c r="L5" s="38" t="s">
        <v>208</v>
      </c>
      <c r="M5" s="39"/>
      <c r="N5" s="49"/>
      <c r="O5" s="21" t="s">
        <v>91</v>
      </c>
      <c r="P5" s="37" t="s">
        <v>91</v>
      </c>
      <c r="Q5" s="30"/>
      <c r="R5" s="17"/>
      <c r="S5" s="1560" t="s">
        <v>31</v>
      </c>
      <c r="T5" s="1564" t="s">
        <v>53</v>
      </c>
      <c r="U5" s="1564" t="s">
        <v>29</v>
      </c>
      <c r="V5" s="1564" t="s">
        <v>32</v>
      </c>
      <c r="W5" s="1564" t="s">
        <v>33</v>
      </c>
      <c r="X5" s="1564" t="s">
        <v>261</v>
      </c>
      <c r="Y5" s="1574" t="s">
        <v>50</v>
      </c>
      <c r="Z5" s="1576" t="s">
        <v>103</v>
      </c>
      <c r="AA5" s="1578" t="s">
        <v>180</v>
      </c>
      <c r="AB5" s="1579"/>
      <c r="AC5" s="1578" t="s">
        <v>234</v>
      </c>
      <c r="AD5" s="1579"/>
      <c r="AE5" s="1564" t="s">
        <v>30</v>
      </c>
      <c r="AF5" s="1570" t="s">
        <v>1</v>
      </c>
      <c r="AG5" s="1572" t="s">
        <v>2</v>
      </c>
      <c r="AH5" s="6"/>
      <c r="AI5" s="6"/>
      <c r="AJ5" s="6"/>
    </row>
    <row r="6" spans="1:36" s="4" customFormat="1" ht="63" customHeight="1" x14ac:dyDescent="0.2">
      <c r="A6" s="77"/>
      <c r="B6" s="1561"/>
      <c r="C6" s="1565"/>
      <c r="D6" s="496" t="s">
        <v>29</v>
      </c>
      <c r="E6" s="496" t="s">
        <v>208</v>
      </c>
      <c r="F6" s="496" t="s">
        <v>30</v>
      </c>
      <c r="G6" s="496" t="s">
        <v>314</v>
      </c>
      <c r="H6" s="496" t="s">
        <v>316</v>
      </c>
      <c r="I6" s="498" t="s">
        <v>88</v>
      </c>
      <c r="J6" s="496" t="s">
        <v>207</v>
      </c>
      <c r="K6" s="20" t="s">
        <v>16</v>
      </c>
      <c r="L6" s="496" t="s">
        <v>207</v>
      </c>
      <c r="M6" s="20" t="s">
        <v>16</v>
      </c>
      <c r="N6" s="20" t="s">
        <v>315</v>
      </c>
      <c r="O6" s="20" t="s">
        <v>165</v>
      </c>
      <c r="P6" s="496" t="s">
        <v>168</v>
      </c>
      <c r="Q6" s="31"/>
      <c r="R6" s="77"/>
      <c r="S6" s="1567"/>
      <c r="T6" s="1568"/>
      <c r="U6" s="1568"/>
      <c r="V6" s="1569"/>
      <c r="W6" s="1568"/>
      <c r="X6" s="1568"/>
      <c r="Y6" s="1575"/>
      <c r="Z6" s="1577"/>
      <c r="AA6" s="496" t="s">
        <v>207</v>
      </c>
      <c r="AB6" s="20" t="s">
        <v>16</v>
      </c>
      <c r="AC6" s="496" t="s">
        <v>207</v>
      </c>
      <c r="AD6" s="20" t="s">
        <v>16</v>
      </c>
      <c r="AE6" s="1568"/>
      <c r="AF6" s="1571"/>
      <c r="AG6" s="1573"/>
    </row>
    <row r="7" spans="1:36" s="61" customFormat="1" ht="15" customHeight="1" x14ac:dyDescent="0.15">
      <c r="A7" s="73" t="s">
        <v>158</v>
      </c>
      <c r="B7" s="147">
        <f>+GETPIVOTDATA("Sum of State Gen Purp-Old",'Amounts Pivot Table'!$A$3,"category2","Four-Year")+GETPIVOTDATA("Sum of State Gen Purp-Old",'Amounts Pivot Table'!$A$3,"category2","Two-Year")+GETPIVOTDATA("Sum of State Gen Purp-Old",'Amounts Pivot Table'!$A$3,"category2","Technical")</f>
        <v>18515882777.729782</v>
      </c>
      <c r="C7" s="147">
        <f>+GETPIVOTDATA("Sum of State Ed Spec Purp-Old",'Amounts Pivot Table'!$A$3,"category2","Four-Year")+GETPIVOTDATA("Sum of State Ed Spec Purp-Old",'Amounts Pivot Table'!$A$3,"category2","Two-Year")+GETPIVOTDATA("Sum of State Ed Spec Purp-Old",'Amounts Pivot Table'!$A$3,"category2","Technical")</f>
        <v>1823268580.48</v>
      </c>
      <c r="D7" s="147">
        <f>+GETPIVOTDATA("Sum of State Ed Spec Purp-Old",'Amounts Pivot Table'!$A$3,"category2","Other")</f>
        <v>317742820.77999997</v>
      </c>
      <c r="E7" s="147">
        <f>+GETPIVOTDATA("Sum of Other Spec Purp State-Old",'Amounts Pivot Table'!$A$3,"category2","Specialized")</f>
        <v>106557387.17745818</v>
      </c>
      <c r="F7" s="147">
        <f>+GETPIVOTDATA("Sum of Health State-Old",'Amounts Pivot Table'!$A$3)</f>
        <v>3789657648.1872134</v>
      </c>
      <c r="G7" s="147">
        <f>+GETPIVOTDATA("Sum of Other Spec Purp State-Old",'Amounts Pivot Table'!$A$3)</f>
        <v>4175814622.2474585</v>
      </c>
      <c r="H7" s="147">
        <f>SUM(B7:G7)</f>
        <v>28728923836.601913</v>
      </c>
      <c r="I7" s="147">
        <f>+GETPIVOTDATA("Sum of Local-Old",'Amounts Pivot Table'!$A$3)</f>
        <v>2194832826</v>
      </c>
      <c r="J7" s="147">
        <f>+GETPIVOTDATA("Sum of Tuition Tot-Old",'Amounts Pivot Table'!$A$3,"category2","Four-Year")+GETPIVOTDATA("Sum of Tuition Tot-Old",'Amounts Pivot Table'!$A$3,"category2","Two-Year")+GETPIVOTDATA("Sum of Tuition Tot-Old",'Amounts Pivot Table'!$A$3,"category2","Technical")</f>
        <v>25495873659.471611</v>
      </c>
      <c r="K7" s="147">
        <f>+GETPIVOTDATA("Sum of Tuition Debt-Old",'Amounts Pivot Table'!$A$3,"category2","Four-Year")+GETPIVOTDATA("Sum of Tuition Debt-Old",'Amounts Pivot Table'!$A$3,"category2","Two-Year")+GETPIVOTDATA("Sum of Tuition Debt-Old",'Amounts Pivot Table'!$A$3,"category2","Technical")</f>
        <v>322489368</v>
      </c>
      <c r="L7" s="147">
        <f>+GETPIVOTDATA("Sum of Tuition SP Tot-Old",'Amounts Pivot Table'!$A$3,"category2","Specialized")</f>
        <v>428081937</v>
      </c>
      <c r="M7" s="147">
        <f>+GETPIVOTDATA("Sum of Tuition SP Debt-Old",'Amounts Pivot Table'!$A$3,"category2","Specialized")</f>
        <v>559992</v>
      </c>
      <c r="N7" s="147">
        <f>+GETPIVOTDATA("Sum of Health Tuition-Old",'Amounts Pivot Table'!$A$3)</f>
        <v>1302884541</v>
      </c>
      <c r="O7" s="147">
        <f>+J7+L7+N7-K7-M7</f>
        <v>26903790777.471611</v>
      </c>
      <c r="P7" s="147">
        <f>O7+H7+I7</f>
        <v>57827547440.073524</v>
      </c>
      <c r="Q7" s="148"/>
      <c r="R7" s="149" t="s">
        <v>181</v>
      </c>
      <c r="S7" s="150">
        <f t="shared" ref="S7:X27" si="0">IF(B7/$P7=0,,IF(B7/$P7&gt;0.0005,B7/$P7,"*"))</f>
        <v>0.32019138969913474</v>
      </c>
      <c r="T7" s="150">
        <f t="shared" si="0"/>
        <v>3.1529412212569566E-2</v>
      </c>
      <c r="U7" s="150">
        <f t="shared" si="0"/>
        <v>5.4946618842736791E-3</v>
      </c>
      <c r="V7" s="150">
        <f t="shared" si="0"/>
        <v>1.8426751936502792E-3</v>
      </c>
      <c r="W7" s="150">
        <f t="shared" si="0"/>
        <v>6.5533777861051801E-2</v>
      </c>
      <c r="X7" s="150">
        <f t="shared" si="0"/>
        <v>7.2211511763919087E-2</v>
      </c>
      <c r="Y7" s="326">
        <f>SUM(S7:X7)</f>
        <v>0.49680342861459914</v>
      </c>
      <c r="Z7" s="150">
        <f t="shared" ref="Z7:AE22" si="1">IF(I7/$P7=0,,IF(I7/$P7&gt;0.0005,I7/$P7,"*"))</f>
        <v>3.7954797032927902E-2</v>
      </c>
      <c r="AA7" s="150">
        <f t="shared" si="1"/>
        <v>0.44089495038489901</v>
      </c>
      <c r="AB7" s="150">
        <f t="shared" si="1"/>
        <v>5.5767429586079985E-3</v>
      </c>
      <c r="AC7" s="150">
        <f t="shared" si="1"/>
        <v>7.4027337480224234E-3</v>
      </c>
      <c r="AD7" s="150" t="str">
        <f>IF(M7/$P7=0,,IF(M7/$P7&gt;0.0005,M7/$P7,"*"))</f>
        <v>*</v>
      </c>
      <c r="AE7" s="150">
        <f>IF(N7/$P7=0,,IF(N7/$P7&gt;0.0005,N7/$P7,"*"))</f>
        <v>2.2530517005760524E-2</v>
      </c>
      <c r="AF7" s="328">
        <f>J7/$P7-K7/$P7+L7/$P7-M7/$P7+N7/$P7</f>
        <v>0.46524177435247294</v>
      </c>
      <c r="AG7" s="321">
        <f>Y7+I7/$P7+AF7</f>
        <v>1</v>
      </c>
    </row>
    <row r="8" spans="1:36" s="66" customFormat="1" ht="4.5" customHeight="1" x14ac:dyDescent="0.2">
      <c r="A8" s="63"/>
      <c r="B8" s="64"/>
      <c r="C8" s="64"/>
      <c r="D8" s="64"/>
      <c r="E8" s="64"/>
      <c r="F8" s="64"/>
      <c r="G8" s="64"/>
      <c r="H8" s="64"/>
      <c r="I8" s="64"/>
      <c r="J8" s="64"/>
      <c r="K8" s="64"/>
      <c r="L8" s="64"/>
      <c r="M8" s="64"/>
      <c r="N8" s="64"/>
      <c r="O8" s="64"/>
      <c r="P8" s="64"/>
      <c r="Q8" s="65"/>
      <c r="R8" s="67"/>
      <c r="S8" s="150"/>
      <c r="T8" s="150"/>
      <c r="U8" s="150"/>
      <c r="V8" s="150"/>
      <c r="W8" s="150"/>
      <c r="X8" s="150"/>
      <c r="Y8" s="326"/>
      <c r="Z8" s="150"/>
      <c r="AA8" s="150"/>
      <c r="AB8" s="150"/>
      <c r="AC8" s="150"/>
      <c r="AD8" s="150"/>
      <c r="AE8" s="150"/>
      <c r="AF8" s="329"/>
      <c r="AG8" s="321"/>
    </row>
    <row r="9" spans="1:36" ht="12" customHeight="1" x14ac:dyDescent="0.2">
      <c r="A9" s="7" t="s">
        <v>320</v>
      </c>
      <c r="B9" s="29">
        <f>+GETPIVOTDATA("Sum of State Gen Purp-Old",'Amounts Pivot Table'!$A$3,"state","AL","category2","Four-Year")+GETPIVOTDATA("Sum of State Gen Purp-Old",'Amounts Pivot Table'!$A$3,"state","AL","category2","Two-Year")+GETPIVOTDATA("Sum of State Gen Purp-Old",'Amounts Pivot Table'!$A$3,"state","AL","category2","Technical")</f>
        <v>893989127</v>
      </c>
      <c r="C9" s="29">
        <f>+GETPIVOTDATA("Sum of State Ed Spec Purp-Old",'Amounts Pivot Table'!$A$3,"state","AL","category2","Four-Year")+GETPIVOTDATA("Sum of State Ed Spec Purp-Old",'Amounts Pivot Table'!$A$3,"state","AL","category2","Two-Year")+GETPIVOTDATA("Sum of State Ed Spec Purp-Old",'Amounts Pivot Table'!$A$3,"state","AL","category2","Technical")</f>
        <v>93616683</v>
      </c>
      <c r="D9" s="29">
        <f>+GETPIVOTDATA("Sum of State Ed Spec Purp-Old",'Amounts Pivot Table'!$A$3,"state","AL","category2","Other")</f>
        <v>23777373</v>
      </c>
      <c r="E9" s="29">
        <f>+GETPIVOTDATA("Sum of Other Spec Purp State-Old",'Amounts Pivot Table'!$A$3,"state","AL","category2","Specialized")</f>
        <v>5875936</v>
      </c>
      <c r="F9" s="29">
        <f>+GETPIVOTDATA("Sum of Health State-Old",'Amounts Pivot Table'!$A$3,"state","AL")</f>
        <v>315998379</v>
      </c>
      <c r="G9" s="29">
        <f>+GETPIVOTDATA("Sum of Other Spec Purp State-Old",'Amounts Pivot Table'!$A$3,"state","AL")</f>
        <v>79516931</v>
      </c>
      <c r="H9" s="29">
        <f>SUM(B9:G9)</f>
        <v>1412774429</v>
      </c>
      <c r="I9" s="29">
        <f>+GETPIVOTDATA("Sum of Local-Old",'Amounts Pivot Table'!$A$3,"state","AL")</f>
        <v>1458348</v>
      </c>
      <c r="J9" s="29">
        <f>+GETPIVOTDATA("Sum of Tuition Tot-Old",'Amounts Pivot Table'!$A$3,"state","AL","category2","Four-Year")+GETPIVOTDATA("Sum of Tuition Tot-Old",'Amounts Pivot Table'!$A$3,"state","AL","category2","Two-Year")+GETPIVOTDATA("Sum of Tuition Tot-Old",'Amounts Pivot Table'!$A$3,"state","AL","category2","Technical")</f>
        <v>1815789660</v>
      </c>
      <c r="K9" s="29">
        <f>+GETPIVOTDATA("Sum of Tuition Debt-Old",'Amounts Pivot Table'!$A$3,"state","AL","category2","Four-Year")+GETPIVOTDATA("Sum of Tuition Debt-Old",'Amounts Pivot Table'!$A$3,"state","AL","category2","Two-Year")+GETPIVOTDATA("Sum of Tuition Debt-Old",'Amounts Pivot Table'!$A$3,"state","AL","category2","Technical")</f>
        <v>117191651</v>
      </c>
      <c r="L9" s="29">
        <f>+GETPIVOTDATA("Sum of Tuition SP Tot-Old",'Amounts Pivot Table'!$A$3,"state","AL","category2","Specialized")</f>
        <v>4194659</v>
      </c>
      <c r="M9" s="29">
        <f>+GETPIVOTDATA("Sum of Tuition SP Debt-Old",'Amounts Pivot Table'!$A$3,"state","AL","category2","Specialized")</f>
        <v>212502</v>
      </c>
      <c r="N9" s="29">
        <f>+GETPIVOTDATA("Sum of Health Tuition-Old",'Amounts Pivot Table'!$A$3,"state","AL")</f>
        <v>146014335</v>
      </c>
      <c r="O9" s="29">
        <f>+J9+L9+N9-K9-M9</f>
        <v>1848594501</v>
      </c>
      <c r="P9" s="29">
        <f>O9+H9+I9</f>
        <v>3262827278</v>
      </c>
      <c r="Q9" s="33"/>
      <c r="R9" s="67" t="s">
        <v>320</v>
      </c>
      <c r="S9" s="150">
        <f t="shared" si="0"/>
        <v>0.27399217023463907</v>
      </c>
      <c r="T9" s="150">
        <f t="shared" si="0"/>
        <v>2.8691890505887819E-2</v>
      </c>
      <c r="U9" s="150">
        <f t="shared" si="0"/>
        <v>7.2873526466821457E-3</v>
      </c>
      <c r="V9" s="150">
        <f t="shared" si="0"/>
        <v>1.8008725253767478E-3</v>
      </c>
      <c r="W9" s="150">
        <f t="shared" si="0"/>
        <v>9.6848025370713478E-2</v>
      </c>
      <c r="X9" s="150">
        <f t="shared" si="0"/>
        <v>2.437056093534351E-2</v>
      </c>
      <c r="Y9" s="326">
        <f t="shared" ref="Y9:Y27" si="2">SUM(S9:X9)</f>
        <v>0.43299087221864274</v>
      </c>
      <c r="Z9" s="150" t="str">
        <f t="shared" si="1"/>
        <v>*</v>
      </c>
      <c r="AA9" s="150">
        <f t="shared" si="1"/>
        <v>0.55650805430099759</v>
      </c>
      <c r="AB9" s="150">
        <f t="shared" si="1"/>
        <v>3.5917209528735589E-2</v>
      </c>
      <c r="AC9" s="150">
        <f t="shared" si="1"/>
        <v>1.2855902696054388E-3</v>
      </c>
      <c r="AD9" s="150" t="str">
        <f t="shared" si="1"/>
        <v>*</v>
      </c>
      <c r="AE9" s="150">
        <f t="shared" si="1"/>
        <v>4.4750862537076046E-2</v>
      </c>
      <c r="AF9" s="329">
        <f t="shared" ref="AF9:AF27" si="3">J9/$P9-K9/$P9+L9/$P9-M9/$P9+N9/$P9</f>
        <v>0.56656216939963933</v>
      </c>
      <c r="AG9" s="321">
        <f t="shared" ref="AG9:AG27" si="4">Y9+I9/$P9+AF9</f>
        <v>1</v>
      </c>
      <c r="AH9" s="6"/>
      <c r="AI9" s="6"/>
      <c r="AJ9" s="6"/>
    </row>
    <row r="10" spans="1:36" ht="12" customHeight="1" x14ac:dyDescent="0.2">
      <c r="A10" s="7" t="s">
        <v>334</v>
      </c>
      <c r="B10" s="29">
        <f>+GETPIVOTDATA("Sum of State Gen Purp-Old",'Amounts Pivot Table'!$A$3,"state","AR","category2","Four-Year")+GETPIVOTDATA("Sum of State Gen Purp-Old",'Amounts Pivot Table'!$A$3,"state","AR","category2","Two-Year")+GETPIVOTDATA("Sum of State Gen Purp-Old",'Amounts Pivot Table'!$A$3,"state","AR","category2","Technical")</f>
        <v>603249867</v>
      </c>
      <c r="C10" s="29">
        <f>+GETPIVOTDATA("Sum of State Ed Spec Purp-Old",'Amounts Pivot Table'!$A$3,"state","AR","category2","Four-Year")+GETPIVOTDATA("Sum of State Ed Spec Purp-Old",'Amounts Pivot Table'!$A$3,"state","AR","category2","Two-Year")+GETPIVOTDATA("Sum of State Ed Spec Purp-Old",'Amounts Pivot Table'!$A$3,"state","AR","category2","Technical")</f>
        <v>96244593</v>
      </c>
      <c r="D10" s="29">
        <f>+GETPIVOTDATA("Sum of State Ed Spec Purp-Old",'Amounts Pivot Table'!$A$3,"state","AR","category2","Other")</f>
        <v>350000</v>
      </c>
      <c r="E10" s="29">
        <f>+GETPIVOTDATA("Sum of Other Spec Purp State-Old",'Amounts Pivot Table'!$A$3,"state","AR","category2","Specialized")</f>
        <v>0</v>
      </c>
      <c r="F10" s="29">
        <f>+GETPIVOTDATA("Sum of Health State-Old",'Amounts Pivot Table'!$A$3,"state","AR")</f>
        <v>113645774</v>
      </c>
      <c r="G10" s="29">
        <f>+GETPIVOTDATA("Sum of Other Spec Purp State-Old",'Amounts Pivot Table'!$A$3,"state","AR")</f>
        <v>172593897</v>
      </c>
      <c r="H10" s="29">
        <f t="shared" ref="H10:H27" si="5">SUM(B10:G10)</f>
        <v>986084131</v>
      </c>
      <c r="I10" s="29">
        <f>+GETPIVOTDATA("Sum of Local-Old",'Amounts Pivot Table'!$A$3,"state","AR")</f>
        <v>21262864</v>
      </c>
      <c r="J10" s="29">
        <f>+GETPIVOTDATA("Sum of Tuition Tot-Old",'Amounts Pivot Table'!$A$3,"state","AR","category2","Four-Year")+GETPIVOTDATA("Sum of Tuition Tot-Old",'Amounts Pivot Table'!$A$3,"state","AR","category2","Two-Year")+GETPIVOTDATA("Sum of Tuition Tot-Old",'Amounts Pivot Table'!$A$3,"state","AR","category2","Technical")</f>
        <v>736473155.13999999</v>
      </c>
      <c r="K10" s="29">
        <f>+GETPIVOTDATA("Sum of Tuition Debt-Old",'Amounts Pivot Table'!$A$3,"state","AR","category2","Four-Year")+GETPIVOTDATA("Sum of Tuition Debt-Old",'Amounts Pivot Table'!$A$3,"state","AR","category2","Two-Year")+GETPIVOTDATA("Sum of Tuition Debt-Old",'Amounts Pivot Table'!$A$3,"state","AR","category2","Technical")</f>
        <v>1473752</v>
      </c>
      <c r="L10" s="29">
        <f>+GETPIVOTDATA("Sum of Tuition SP Tot-Old",'Amounts Pivot Table'!$A$3,"state","AR","category2","Specialized")</f>
        <v>0</v>
      </c>
      <c r="M10" s="29">
        <f>+GETPIVOTDATA("Sum of Tuition SP Debt-Old",'Amounts Pivot Table'!$A$3,"state","AR","category2","Specialized")</f>
        <v>0</v>
      </c>
      <c r="N10" s="29">
        <f>+GETPIVOTDATA("Sum of Health Tuition-Old",'Amounts Pivot Table'!$A$3,"state","AR")</f>
        <v>30249989</v>
      </c>
      <c r="O10" s="29">
        <f t="shared" ref="O10:O27" si="6">+J10+L10+N10-K10-M10</f>
        <v>765249392.13999999</v>
      </c>
      <c r="P10" s="29">
        <f t="shared" ref="P10:P27" si="7">O10+H10+I10</f>
        <v>1772596387.1399999</v>
      </c>
      <c r="Q10" s="32"/>
      <c r="R10" s="67" t="s">
        <v>334</v>
      </c>
      <c r="S10" s="150">
        <f t="shared" si="0"/>
        <v>0.34031992357454538</v>
      </c>
      <c r="T10" s="150">
        <f t="shared" si="0"/>
        <v>5.4295830510681611E-2</v>
      </c>
      <c r="U10" s="150" t="str">
        <f t="shared" si="0"/>
        <v>*</v>
      </c>
      <c r="V10" s="150">
        <f t="shared" si="0"/>
        <v>0</v>
      </c>
      <c r="W10" s="150">
        <f t="shared" si="0"/>
        <v>6.4112606132161909E-2</v>
      </c>
      <c r="X10" s="150">
        <f t="shared" si="0"/>
        <v>9.7367848796347856E-2</v>
      </c>
      <c r="Y10" s="326">
        <f t="shared" si="2"/>
        <v>0.55609620901373669</v>
      </c>
      <c r="Z10" s="150">
        <f t="shared" si="1"/>
        <v>1.1995321751900117E-2</v>
      </c>
      <c r="AA10" s="150">
        <f t="shared" si="1"/>
        <v>0.41547707108230342</v>
      </c>
      <c r="AB10" s="150">
        <f t="shared" si="1"/>
        <v>8.3140866736044117E-4</v>
      </c>
      <c r="AC10" s="150">
        <f t="shared" si="1"/>
        <v>0</v>
      </c>
      <c r="AD10" s="150">
        <f t="shared" si="1"/>
        <v>0</v>
      </c>
      <c r="AE10" s="150">
        <f t="shared" si="1"/>
        <v>1.7065356343643982E-2</v>
      </c>
      <c r="AF10" s="329">
        <f t="shared" si="3"/>
        <v>0.43171101875858697</v>
      </c>
      <c r="AG10" s="321">
        <f t="shared" si="4"/>
        <v>0.99980254952422376</v>
      </c>
      <c r="AH10" s="6"/>
      <c r="AI10" s="6"/>
      <c r="AJ10" s="6"/>
    </row>
    <row r="11" spans="1:36" ht="12" customHeight="1" x14ac:dyDescent="0.2">
      <c r="A11" s="7" t="s">
        <v>321</v>
      </c>
      <c r="B11" s="29">
        <f>+GETPIVOTDATA("Sum of State Gen Purp-Old",'Amounts Pivot Table'!$A$3,"state","DE","category2","Four-Year")+GETPIVOTDATA("Sum of State Gen Purp-Old",'Amounts Pivot Table'!$A$3,"state","DE","category2","Two-Year")+GETPIVOTDATA("Sum of State Gen Purp-Old",'Amounts Pivot Table'!$A$3,"state","DE","category2","Technical")</f>
        <v>204602300</v>
      </c>
      <c r="C11" s="29">
        <f>+GETPIVOTDATA("Sum of State Ed Spec Purp-Old",'Amounts Pivot Table'!$A$3,"state","DE","category2","Four-Year")+GETPIVOTDATA("Sum of State Ed Spec Purp-Old",'Amounts Pivot Table'!$A$3,"state","DE","category2","Two-Year")+GETPIVOTDATA("Sum of State Ed Spec Purp-Old",'Amounts Pivot Table'!$A$3,"state","DE","category2","Technical")</f>
        <v>8757100</v>
      </c>
      <c r="D11" s="29">
        <f>+GETPIVOTDATA("Sum of State Ed Spec Purp-Old",'Amounts Pivot Table'!$A$3,"state","DE","category2","Other")</f>
        <v>1918000</v>
      </c>
      <c r="E11" s="29">
        <f>+GETPIVOTDATA("Sum of Other Spec Purp State-Old",'Amounts Pivot Table'!$A$3,"state","DE","category2","Specialized")</f>
        <v>0</v>
      </c>
      <c r="F11" s="29">
        <f>+GETPIVOTDATA("Sum of Health State-Old",'Amounts Pivot Table'!$A$3,"state","DE")</f>
        <v>0</v>
      </c>
      <c r="G11" s="29">
        <f>+GETPIVOTDATA("Sum of Other Spec Purp State-Old",'Amounts Pivot Table'!$A$3,"state","DE")</f>
        <v>20688391</v>
      </c>
      <c r="H11" s="29">
        <f t="shared" si="5"/>
        <v>235965791</v>
      </c>
      <c r="I11" s="29">
        <f>+GETPIVOTDATA("Sum of Local-Old",'Amounts Pivot Table'!$A$3,"state","DE")</f>
        <v>0</v>
      </c>
      <c r="J11" s="29">
        <f>+GETPIVOTDATA("Sum of Tuition Tot-Old",'Amounts Pivot Table'!$A$3,"state","DE","category2","Four-Year")+GETPIVOTDATA("Sum of Tuition Tot-Old",'Amounts Pivot Table'!$A$3,"state","DE","category2","Two-Year")+GETPIVOTDATA("Sum of Tuition Tot-Old",'Amounts Pivot Table'!$A$3,"state","DE","category2","Technical")</f>
        <v>574829949</v>
      </c>
      <c r="K11" s="29">
        <f>+GETPIVOTDATA("Sum of Tuition Debt-Old",'Amounts Pivot Table'!$A$3,"state","DE","category2","Four-Year")+GETPIVOTDATA("Sum of Tuition Debt-Old",'Amounts Pivot Table'!$A$3,"state","DE","category2","Two-Year")+GETPIVOTDATA("Sum of Tuition Debt-Old",'Amounts Pivot Table'!$A$3,"state","DE","category2","Technical")</f>
        <v>1495622</v>
      </c>
      <c r="L11" s="29">
        <f>+GETPIVOTDATA("Sum of Tuition SP Tot-Old",'Amounts Pivot Table'!$A$3,"state","DE","category2","Specialized")</f>
        <v>0</v>
      </c>
      <c r="M11" s="29">
        <f>+GETPIVOTDATA("Sum of Tuition SP Debt-Old",'Amounts Pivot Table'!$A$3,"state","DE","category2","Specialized")</f>
        <v>0</v>
      </c>
      <c r="N11" s="29">
        <f>+GETPIVOTDATA("Sum of Health Tuition-Old",'Amounts Pivot Table'!$A$3,"state","DE")</f>
        <v>0</v>
      </c>
      <c r="O11" s="29">
        <f t="shared" si="6"/>
        <v>573334327</v>
      </c>
      <c r="P11" s="29">
        <f t="shared" si="7"/>
        <v>809300118</v>
      </c>
      <c r="Q11" s="32"/>
      <c r="R11" s="67" t="s">
        <v>321</v>
      </c>
      <c r="S11" s="150">
        <f t="shared" si="0"/>
        <v>0.25281387639683994</v>
      </c>
      <c r="T11" s="150">
        <f t="shared" si="0"/>
        <v>1.0820584113642746E-2</v>
      </c>
      <c r="U11" s="150">
        <f t="shared" si="0"/>
        <v>2.3699489933844296E-3</v>
      </c>
      <c r="V11" s="150">
        <f t="shared" si="0"/>
        <v>0</v>
      </c>
      <c r="W11" s="150">
        <f t="shared" si="0"/>
        <v>0</v>
      </c>
      <c r="X11" s="150">
        <f t="shared" si="0"/>
        <v>2.5563311483416836E-2</v>
      </c>
      <c r="Y11" s="326">
        <f t="shared" si="2"/>
        <v>0.29156772098728395</v>
      </c>
      <c r="Z11" s="150">
        <f t="shared" si="1"/>
        <v>0</v>
      </c>
      <c r="AA11" s="150">
        <f t="shared" si="1"/>
        <v>0.71028032273189412</v>
      </c>
      <c r="AB11" s="150">
        <f t="shared" si="1"/>
        <v>1.8480437191781059E-3</v>
      </c>
      <c r="AC11" s="150">
        <f t="shared" si="1"/>
        <v>0</v>
      </c>
      <c r="AD11" s="150">
        <f t="shared" si="1"/>
        <v>0</v>
      </c>
      <c r="AE11" s="150">
        <f t="shared" si="1"/>
        <v>0</v>
      </c>
      <c r="AF11" s="329">
        <f t="shared" si="3"/>
        <v>0.70843227901271599</v>
      </c>
      <c r="AG11" s="321">
        <f t="shared" si="4"/>
        <v>1</v>
      </c>
      <c r="AH11" s="6"/>
      <c r="AI11" s="6"/>
      <c r="AJ11" s="6"/>
    </row>
    <row r="12" spans="1:36" ht="12" customHeight="1" x14ac:dyDescent="0.2">
      <c r="A12" s="7" t="s">
        <v>328</v>
      </c>
      <c r="B12" s="29">
        <f>+GETPIVOTDATA("Sum of State Gen Purp-Old",'Amounts Pivot Table'!$A$3,"state","FL","category2","Four-Year")+GETPIVOTDATA("Sum of State Gen Purp-Old",'Amounts Pivot Table'!$A$3,"state","FL","category2","Two-Year")+GETPIVOTDATA("Sum of State Gen Purp-Old",'Amounts Pivot Table'!$A$3,"state","FL","category2","Technical")</f>
        <v>2313230242</v>
      </c>
      <c r="C12" s="29">
        <f>+GETPIVOTDATA("Sum of State Ed Spec Purp-Old",'Amounts Pivot Table'!$A$3,"state","FL","category2","Four-Year")+GETPIVOTDATA("Sum of State Ed Spec Purp-Old",'Amounts Pivot Table'!$A$3,"state","FL","category2","Two-Year")+GETPIVOTDATA("Sum of State Ed Spec Purp-Old",'Amounts Pivot Table'!$A$3,"state","FL","category2","Technical")</f>
        <v>203380251</v>
      </c>
      <c r="D12" s="29">
        <f>+GETPIVOTDATA("Sum of State Ed Spec Purp-Old",'Amounts Pivot Table'!$A$3,"state","FL","category2","Other")</f>
        <v>13316114</v>
      </c>
      <c r="E12" s="29">
        <f>+GETPIVOTDATA("Sum of Other Spec Purp State-Old",'Amounts Pivot Table'!$A$3,"state","FL","category2","Specialized")</f>
        <v>0</v>
      </c>
      <c r="F12" s="29">
        <f>+GETPIVOTDATA("Sum of Health State-Old",'Amounts Pivot Table'!$A$3,"state","FL")</f>
        <v>260123037</v>
      </c>
      <c r="G12" s="29">
        <f>+GETPIVOTDATA("Sum of Other Spec Purp State-Old",'Amounts Pivot Table'!$A$3,"state","FL")</f>
        <v>571456666.07000005</v>
      </c>
      <c r="H12" s="29">
        <f t="shared" si="5"/>
        <v>3361506310.0700002</v>
      </c>
      <c r="I12" s="29">
        <f>+GETPIVOTDATA("Sum of Local-Old",'Amounts Pivot Table'!$A$3,"state","FL")</f>
        <v>0</v>
      </c>
      <c r="J12" s="29">
        <f>+GETPIVOTDATA("Sum of Tuition Tot-Old",'Amounts Pivot Table'!$A$3,"state","FL","category2","Four-Year")+GETPIVOTDATA("Sum of Tuition Tot-Old",'Amounts Pivot Table'!$A$3,"state","FL","category2","Two-Year")+GETPIVOTDATA("Sum of Tuition Tot-Old",'Amounts Pivot Table'!$A$3,"state","FL","category2","Technical")</f>
        <v>2504232627</v>
      </c>
      <c r="K12" s="29">
        <f>+GETPIVOTDATA("Sum of Tuition Debt-Old",'Amounts Pivot Table'!$A$3,"state","FL","category2","Four-Year")+GETPIVOTDATA("Sum of Tuition Debt-Old",'Amounts Pivot Table'!$A$3,"state","FL","category2","Two-Year")+GETPIVOTDATA("Sum of Tuition Debt-Old",'Amounts Pivot Table'!$A$3,"state","FL","category2","Technical")</f>
        <v>27299800</v>
      </c>
      <c r="L12" s="29">
        <f>+GETPIVOTDATA("Sum of Tuition SP Tot-Old",'Amounts Pivot Table'!$A$3,"state","FL","category2","Specialized")</f>
        <v>0</v>
      </c>
      <c r="M12" s="29">
        <f>+GETPIVOTDATA("Sum of Tuition SP Debt-Old",'Amounts Pivot Table'!$A$3,"state","FL","category2","Specialized")</f>
        <v>0</v>
      </c>
      <c r="N12" s="29">
        <f>+GETPIVOTDATA("Sum of Health Tuition-Old",'Amounts Pivot Table'!$A$3,"state","FL")</f>
        <v>124619015</v>
      </c>
      <c r="O12" s="29">
        <f t="shared" si="6"/>
        <v>2601551842</v>
      </c>
      <c r="P12" s="29">
        <f t="shared" si="7"/>
        <v>5963058152.0699997</v>
      </c>
      <c r="Q12" s="32"/>
      <c r="R12" s="67" t="s">
        <v>328</v>
      </c>
      <c r="S12" s="150">
        <f t="shared" si="0"/>
        <v>0.3879268293228017</v>
      </c>
      <c r="T12" s="150">
        <f t="shared" si="0"/>
        <v>3.4106702603495347E-2</v>
      </c>
      <c r="U12" s="150">
        <f t="shared" si="0"/>
        <v>2.2331014825635199E-3</v>
      </c>
      <c r="V12" s="150">
        <f t="shared" si="0"/>
        <v>0</v>
      </c>
      <c r="W12" s="150">
        <f t="shared" si="0"/>
        <v>4.362242164445463E-2</v>
      </c>
      <c r="X12" s="150">
        <f t="shared" si="0"/>
        <v>9.5832817909318246E-2</v>
      </c>
      <c r="Y12" s="326">
        <f t="shared" si="2"/>
        <v>0.56372187296263343</v>
      </c>
      <c r="Z12" s="150">
        <f t="shared" si="1"/>
        <v>0</v>
      </c>
      <c r="AA12" s="150">
        <f t="shared" si="1"/>
        <v>0.41995777386988714</v>
      </c>
      <c r="AB12" s="150">
        <f t="shared" si="1"/>
        <v>4.5781542463279893E-3</v>
      </c>
      <c r="AC12" s="150">
        <f t="shared" si="1"/>
        <v>0</v>
      </c>
      <c r="AD12" s="150">
        <f t="shared" si="1"/>
        <v>0</v>
      </c>
      <c r="AE12" s="150">
        <f t="shared" si="1"/>
        <v>2.0898507413807478E-2</v>
      </c>
      <c r="AF12" s="329">
        <f t="shared" si="3"/>
        <v>0.43627812703736663</v>
      </c>
      <c r="AG12" s="321">
        <f t="shared" si="4"/>
        <v>1</v>
      </c>
      <c r="AH12" s="6"/>
      <c r="AI12" s="6"/>
      <c r="AJ12" s="6"/>
    </row>
    <row r="13" spans="1:36" s="88" customFormat="1" ht="4.5" customHeight="1" x14ac:dyDescent="0.2">
      <c r="A13" s="85"/>
      <c r="B13" s="86"/>
      <c r="C13" s="86"/>
      <c r="D13" s="86"/>
      <c r="E13" s="86"/>
      <c r="F13" s="86"/>
      <c r="G13" s="86"/>
      <c r="H13" s="86"/>
      <c r="I13" s="86"/>
      <c r="J13" s="86"/>
      <c r="K13" s="86"/>
      <c r="L13" s="86"/>
      <c r="M13" s="86"/>
      <c r="N13" s="86"/>
      <c r="O13" s="29"/>
      <c r="P13" s="86"/>
      <c r="Q13" s="87"/>
      <c r="R13" s="85"/>
      <c r="S13" s="150"/>
      <c r="T13" s="150"/>
      <c r="U13" s="150"/>
      <c r="V13" s="150"/>
      <c r="W13" s="150"/>
      <c r="X13" s="150"/>
      <c r="Y13" s="326"/>
      <c r="Z13" s="150"/>
      <c r="AA13" s="150"/>
      <c r="AB13" s="150"/>
      <c r="AC13" s="150"/>
      <c r="AD13" s="150"/>
      <c r="AE13" s="150"/>
      <c r="AF13" s="329"/>
      <c r="AG13" s="321"/>
    </row>
    <row r="14" spans="1:36" ht="12" customHeight="1" x14ac:dyDescent="0.2">
      <c r="A14" s="7" t="s">
        <v>329</v>
      </c>
      <c r="B14" s="29">
        <f>+GETPIVOTDATA("Sum of State Gen Purp-Old",'Amounts Pivot Table'!$A$3,"state","GA","category2","Four-Year")+GETPIVOTDATA("Sum of State Gen Purp-Old",'Amounts Pivot Table'!$A$3,"state","GA","category2","Two-Year")+GETPIVOTDATA("Sum of State Gen Purp-Old",'Amounts Pivot Table'!$A$3,"state","GA","category2","Technical")</f>
        <v>1621479555.1500001</v>
      </c>
      <c r="C14" s="29">
        <f>+GETPIVOTDATA("Sum of State Ed Spec Purp-Old",'Amounts Pivot Table'!$A$3,"state","GA","category2","Four-Year")+GETPIVOTDATA("Sum of State Ed Spec Purp-Old",'Amounts Pivot Table'!$A$3,"state","GA","category2","Two-Year")+GETPIVOTDATA("Sum of State Ed Spec Purp-Old",'Amounts Pivot Table'!$A$3,"state","GA","category2","Technical")</f>
        <v>85085317</v>
      </c>
      <c r="D14" s="29">
        <f>+GETPIVOTDATA("Sum of State Ed Spec Purp-Old",'Amounts Pivot Table'!$A$3,"state","GA","category2","Other")</f>
        <v>54743472</v>
      </c>
      <c r="E14" s="29">
        <f>+GETPIVOTDATA("Sum of Other Spec Purp State-Old",'Amounts Pivot Table'!$A$3,"state","GA","category2","Specialized")</f>
        <v>19678891</v>
      </c>
      <c r="F14" s="29">
        <f>+GETPIVOTDATA("Sum of Health State-Old",'Amounts Pivot Table'!$A$3,"state","GA")</f>
        <v>180852601</v>
      </c>
      <c r="G14" s="29">
        <f>+GETPIVOTDATA("Sum of Other Spec Purp State-Old",'Amounts Pivot Table'!$A$3,"state","GA")</f>
        <v>483586613</v>
      </c>
      <c r="H14" s="29">
        <f t="shared" si="5"/>
        <v>2445426449.1500001</v>
      </c>
      <c r="I14" s="29">
        <f>+GETPIVOTDATA("Sum of Local-Old",'Amounts Pivot Table'!$A$3,"state","GA")</f>
        <v>0</v>
      </c>
      <c r="J14" s="29">
        <f>+GETPIVOTDATA("Sum of Tuition Tot-Old",'Amounts Pivot Table'!$A$3,"state","GA","category2","Four-Year")+GETPIVOTDATA("Sum of Tuition Tot-Old",'Amounts Pivot Table'!$A$3,"state","GA","category2","Two-Year")+GETPIVOTDATA("Sum of Tuition Tot-Old",'Amounts Pivot Table'!$A$3,"state","GA","category2","Technical")</f>
        <v>2094571765.0632</v>
      </c>
      <c r="K14" s="29">
        <f>+GETPIVOTDATA("Sum of Tuition Debt-Old",'Amounts Pivot Table'!$A$3,"state","GA","category2","Four-Year")+GETPIVOTDATA("Sum of Tuition Debt-Old",'Amounts Pivot Table'!$A$3,"state","GA","category2","Two-Year")+GETPIVOTDATA("Sum of Tuition Debt-Old",'Amounts Pivot Table'!$A$3,"state","GA","category2","Technical")</f>
        <v>0</v>
      </c>
      <c r="L14" s="29">
        <f>+GETPIVOTDATA("Sum of Tuition SP Tot-Old",'Amounts Pivot Table'!$A$3,"state","GA","category2","Specialized")</f>
        <v>34765683</v>
      </c>
      <c r="M14" s="29">
        <f>+GETPIVOTDATA("Sum of Tuition SP Debt-Old",'Amounts Pivot Table'!$A$3,"state","GA","category2","Specialized")</f>
        <v>0</v>
      </c>
      <c r="N14" s="29">
        <f>+GETPIVOTDATA("Sum of Health Tuition-Old",'Amounts Pivot Table'!$A$3,"state","GA")</f>
        <v>52775052</v>
      </c>
      <c r="O14" s="29">
        <f t="shared" si="6"/>
        <v>2182112500.0632</v>
      </c>
      <c r="P14" s="29">
        <f t="shared" si="7"/>
        <v>4627538949.2131996</v>
      </c>
      <c r="Q14" s="32"/>
      <c r="R14" s="67" t="s">
        <v>329</v>
      </c>
      <c r="S14" s="150">
        <f t="shared" si="0"/>
        <v>0.3503978190017597</v>
      </c>
      <c r="T14" s="150">
        <f t="shared" si="0"/>
        <v>1.8386731680446838E-2</v>
      </c>
      <c r="U14" s="150">
        <f t="shared" si="0"/>
        <v>1.1829932195234746E-2</v>
      </c>
      <c r="V14" s="150">
        <f t="shared" si="0"/>
        <v>4.2525608570719679E-3</v>
      </c>
      <c r="W14" s="150">
        <f t="shared" si="0"/>
        <v>3.9081810652452656E-2</v>
      </c>
      <c r="X14" s="150">
        <f t="shared" si="0"/>
        <v>0.10450190010442206</v>
      </c>
      <c r="Y14" s="326">
        <f t="shared" si="2"/>
        <v>0.52845075449138801</v>
      </c>
      <c r="Z14" s="150">
        <f t="shared" si="1"/>
        <v>0</v>
      </c>
      <c r="AA14" s="150">
        <f t="shared" si="1"/>
        <v>0.45263190392364627</v>
      </c>
      <c r="AB14" s="150">
        <f t="shared" si="1"/>
        <v>0</v>
      </c>
      <c r="AC14" s="150">
        <f t="shared" si="1"/>
        <v>7.512780201647154E-3</v>
      </c>
      <c r="AD14" s="150">
        <f t="shared" si="1"/>
        <v>0</v>
      </c>
      <c r="AE14" s="150">
        <f t="shared" si="1"/>
        <v>1.1404561383318688E-2</v>
      </c>
      <c r="AF14" s="329">
        <f t="shared" si="3"/>
        <v>0.4715492455086121</v>
      </c>
      <c r="AG14" s="321">
        <f t="shared" si="4"/>
        <v>1</v>
      </c>
      <c r="AH14" s="6"/>
      <c r="AI14" s="6"/>
      <c r="AJ14" s="6"/>
    </row>
    <row r="15" spans="1:36" ht="12" customHeight="1" x14ac:dyDescent="0.2">
      <c r="A15" s="7" t="s">
        <v>322</v>
      </c>
      <c r="B15" s="29">
        <f>+GETPIVOTDATA("Sum of State Gen Purp-Old",'Amounts Pivot Table'!$A$3,"state","KY","category2","Four-Year")+GETPIVOTDATA("Sum of State Gen Purp-Old",'Amounts Pivot Table'!$A$3,"state","KY","category2","Two-Year")+GETPIVOTDATA("Sum of State Gen Purp-Old",'Amounts Pivot Table'!$A$3,"state","KY","category2","Technical")</f>
        <v>735253774</v>
      </c>
      <c r="C15" s="29">
        <f>+GETPIVOTDATA("Sum of State Ed Spec Purp-Old",'Amounts Pivot Table'!$A$3,"state","KY","category2","Four-Year")+GETPIVOTDATA("Sum of State Ed Spec Purp-Old",'Amounts Pivot Table'!$A$3,"state","KY","category2","Two-Year")+GETPIVOTDATA("Sum of State Ed Spec Purp-Old",'Amounts Pivot Table'!$A$3,"state","KY","category2","Technical")</f>
        <v>87617226</v>
      </c>
      <c r="D15" s="29">
        <f>+GETPIVOTDATA("Sum of State Ed Spec Purp-Old",'Amounts Pivot Table'!$A$3,"state","KY","category2","Other")</f>
        <v>45430405</v>
      </c>
      <c r="E15" s="29">
        <f>+GETPIVOTDATA("Sum of Other Spec Purp State-Old",'Amounts Pivot Table'!$A$3,"state","KY","category2","Specialized")</f>
        <v>0</v>
      </c>
      <c r="F15" s="29">
        <f>+GETPIVOTDATA("Sum of Health State-Old",'Amounts Pivot Table'!$A$3,"state","KY")</f>
        <v>81219300</v>
      </c>
      <c r="G15" s="29">
        <f>+GETPIVOTDATA("Sum of Other Spec Purp State-Old",'Amounts Pivot Table'!$A$3,"state","KY")</f>
        <v>223362220</v>
      </c>
      <c r="H15" s="29">
        <f t="shared" si="5"/>
        <v>1172882925</v>
      </c>
      <c r="I15" s="29">
        <f>+GETPIVOTDATA("Sum of Local-Old",'Amounts Pivot Table'!$A$3,"state","KY")</f>
        <v>0</v>
      </c>
      <c r="J15" s="29">
        <f>+GETPIVOTDATA("Sum of Tuition Tot-Old",'Amounts Pivot Table'!$A$3,"state","KY","category2","Four-Year")+GETPIVOTDATA("Sum of Tuition Tot-Old",'Amounts Pivot Table'!$A$3,"state","KY","category2","Two-Year")+GETPIVOTDATA("Sum of Tuition Tot-Old",'Amounts Pivot Table'!$A$3,"state","KY","category2","Technical")</f>
        <v>1440798104.4384091</v>
      </c>
      <c r="K15" s="29">
        <f>+GETPIVOTDATA("Sum of Tuition Debt-Old",'Amounts Pivot Table'!$A$3,"state","KY","category2","Four-Year")+GETPIVOTDATA("Sum of Tuition Debt-Old",'Amounts Pivot Table'!$A$3,"state","KY","category2","Two-Year")+GETPIVOTDATA("Sum of Tuition Debt-Old",'Amounts Pivot Table'!$A$3,"state","KY","category2","Technical")</f>
        <v>7307277</v>
      </c>
      <c r="L15" s="29">
        <f>+GETPIVOTDATA("Sum of Tuition SP Tot-Old",'Amounts Pivot Table'!$A$3,"state","KY","category2","Specialized")</f>
        <v>0</v>
      </c>
      <c r="M15" s="29">
        <f>+GETPIVOTDATA("Sum of Tuition SP Debt-Old",'Amounts Pivot Table'!$A$3,"state","KY","category2","Specialized")</f>
        <v>0</v>
      </c>
      <c r="N15" s="29">
        <f>+GETPIVOTDATA("Sum of Health Tuition-Old",'Amounts Pivot Table'!$A$3,"state","KY")</f>
        <v>67650141</v>
      </c>
      <c r="O15" s="29">
        <f t="shared" si="6"/>
        <v>1501140968.4384091</v>
      </c>
      <c r="P15" s="29">
        <f t="shared" si="7"/>
        <v>2674023893.4384089</v>
      </c>
      <c r="Q15" s="32"/>
      <c r="R15" s="67" t="s">
        <v>322</v>
      </c>
      <c r="S15" s="150">
        <f t="shared" si="0"/>
        <v>0.27496155730103433</v>
      </c>
      <c r="T15" s="150">
        <f t="shared" si="0"/>
        <v>3.2766059501187515E-2</v>
      </c>
      <c r="U15" s="150">
        <f t="shared" si="0"/>
        <v>1.6989528444932126E-2</v>
      </c>
      <c r="V15" s="150">
        <f t="shared" si="0"/>
        <v>0</v>
      </c>
      <c r="W15" s="150">
        <f t="shared" si="0"/>
        <v>3.0373438397202839E-2</v>
      </c>
      <c r="X15" s="150">
        <f t="shared" si="0"/>
        <v>8.3530375531831319E-2</v>
      </c>
      <c r="Y15" s="326">
        <f t="shared" si="2"/>
        <v>0.43862095917618815</v>
      </c>
      <c r="Z15" s="150">
        <f t="shared" si="1"/>
        <v>0</v>
      </c>
      <c r="AA15" s="150">
        <f t="shared" si="1"/>
        <v>0.53881272638358912</v>
      </c>
      <c r="AB15" s="150">
        <f t="shared" si="1"/>
        <v>2.7326894938862704E-3</v>
      </c>
      <c r="AC15" s="150">
        <f t="shared" si="1"/>
        <v>0</v>
      </c>
      <c r="AD15" s="150">
        <f t="shared" si="1"/>
        <v>0</v>
      </c>
      <c r="AE15" s="150">
        <f t="shared" si="1"/>
        <v>2.5299003934109086E-2</v>
      </c>
      <c r="AF15" s="329">
        <f t="shared" si="3"/>
        <v>0.56137904082381196</v>
      </c>
      <c r="AG15" s="321">
        <f t="shared" si="4"/>
        <v>1</v>
      </c>
      <c r="AH15" s="6"/>
      <c r="AI15" s="6"/>
      <c r="AJ15" s="6"/>
    </row>
    <row r="16" spans="1:36" ht="12" customHeight="1" x14ac:dyDescent="0.2">
      <c r="A16" s="7" t="s">
        <v>330</v>
      </c>
      <c r="B16" s="29">
        <f>+GETPIVOTDATA("Sum of State Gen Purp-Old",'Amounts Pivot Table'!$A$3,"state","LA","category2","Four-Year")+GETPIVOTDATA("Sum of State Gen Purp-Old",'Amounts Pivot Table'!$A$3,"state","LA","category2","Two-Year")+GETPIVOTDATA("Sum of State Gen Purp-Old",'Amounts Pivot Table'!$A$3,"state","LA","category2","Technical")</f>
        <v>600452027</v>
      </c>
      <c r="C16" s="29">
        <f>+GETPIVOTDATA("Sum of State Ed Spec Purp-Old",'Amounts Pivot Table'!$A$3,"state","LA","category2","Four-Year")+GETPIVOTDATA("Sum of State Ed Spec Purp-Old",'Amounts Pivot Table'!$A$3,"state","LA","category2","Two-Year")+GETPIVOTDATA("Sum of State Ed Spec Purp-Old",'Amounts Pivot Table'!$A$3,"state","LA","category2","Technical")</f>
        <v>74102244</v>
      </c>
      <c r="D16" s="29">
        <f>+GETPIVOTDATA("Sum of State Ed Spec Purp-Old",'Amounts Pivot Table'!$A$3,"state","LA","category2","Other")</f>
        <v>25937285</v>
      </c>
      <c r="E16" s="29">
        <f>+GETPIVOTDATA("Sum of Other Spec Purp State-Old",'Amounts Pivot Table'!$A$3,"state","LA","category2","Specialized")</f>
        <v>0</v>
      </c>
      <c r="F16" s="29">
        <f>+GETPIVOTDATA("Sum of Health State-Old",'Amounts Pivot Table'!$A$3,"state","LA")</f>
        <v>175559563</v>
      </c>
      <c r="G16" s="29">
        <f>+GETPIVOTDATA("Sum of Other Spec Purp State-Old",'Amounts Pivot Table'!$A$3,"state","LA")</f>
        <v>250236731</v>
      </c>
      <c r="H16" s="29">
        <f t="shared" si="5"/>
        <v>1126287850</v>
      </c>
      <c r="I16" s="29">
        <f>+GETPIVOTDATA("Sum of Local-Old",'Amounts Pivot Table'!$A$3,"state","LA")</f>
        <v>0</v>
      </c>
      <c r="J16" s="29">
        <f>+GETPIVOTDATA("Sum of Tuition Tot-Old",'Amounts Pivot Table'!$A$3,"state","LA","category2","Four-Year")+GETPIVOTDATA("Sum of Tuition Tot-Old",'Amounts Pivot Table'!$A$3,"state","LA","category2","Two-Year")+GETPIVOTDATA("Sum of Tuition Tot-Old",'Amounts Pivot Table'!$A$3,"state","LA","category2","Technical")</f>
        <v>959140140</v>
      </c>
      <c r="K16" s="29">
        <f>+GETPIVOTDATA("Sum of Tuition Debt-Old",'Amounts Pivot Table'!$A$3,"state","LA","category2","Four-Year")+GETPIVOTDATA("Sum of Tuition Debt-Old",'Amounts Pivot Table'!$A$3,"state","LA","category2","Two-Year")+GETPIVOTDATA("Sum of Tuition Debt-Old",'Amounts Pivot Table'!$A$3,"state","LA","category2","Technical")</f>
        <v>0</v>
      </c>
      <c r="L16" s="29">
        <f>+GETPIVOTDATA("Sum of Tuition SP Tot-Old",'Amounts Pivot Table'!$A$3,"state","LA","category2","Specialized")</f>
        <v>0</v>
      </c>
      <c r="M16" s="29">
        <f>+GETPIVOTDATA("Sum of Tuition SP Debt-Old",'Amounts Pivot Table'!$A$3,"state","LA","category2","Specialized")</f>
        <v>0</v>
      </c>
      <c r="N16" s="29">
        <f>+GETPIVOTDATA("Sum of Health Tuition-Old",'Amounts Pivot Table'!$A$3,"state","LA")</f>
        <v>57218735</v>
      </c>
      <c r="O16" s="29">
        <f t="shared" si="6"/>
        <v>1016358875</v>
      </c>
      <c r="P16" s="29">
        <f t="shared" si="7"/>
        <v>2142646725</v>
      </c>
      <c r="Q16" s="32"/>
      <c r="R16" s="67" t="s">
        <v>330</v>
      </c>
      <c r="S16" s="150">
        <f t="shared" si="0"/>
        <v>0.28023846394930085</v>
      </c>
      <c r="T16" s="150">
        <f t="shared" si="0"/>
        <v>3.4584443219401927E-2</v>
      </c>
      <c r="U16" s="150">
        <f t="shared" si="0"/>
        <v>1.2105255008848927E-2</v>
      </c>
      <c r="V16" s="150">
        <f t="shared" si="0"/>
        <v>0</v>
      </c>
      <c r="W16" s="150">
        <f t="shared" si="0"/>
        <v>8.1935841756647962E-2</v>
      </c>
      <c r="X16" s="150">
        <f t="shared" si="0"/>
        <v>0.11678860919081283</v>
      </c>
      <c r="Y16" s="326">
        <f t="shared" si="2"/>
        <v>0.52565261312501244</v>
      </c>
      <c r="Z16" s="150">
        <f t="shared" si="1"/>
        <v>0</v>
      </c>
      <c r="AA16" s="150">
        <f t="shared" si="1"/>
        <v>0.44764268827377507</v>
      </c>
      <c r="AB16" s="150">
        <f t="shared" si="1"/>
        <v>0</v>
      </c>
      <c r="AC16" s="150">
        <f t="shared" si="1"/>
        <v>0</v>
      </c>
      <c r="AD16" s="150">
        <f t="shared" si="1"/>
        <v>0</v>
      </c>
      <c r="AE16" s="150">
        <f t="shared" si="1"/>
        <v>2.6704698601212478E-2</v>
      </c>
      <c r="AF16" s="329">
        <f t="shared" si="3"/>
        <v>0.47434738687498756</v>
      </c>
      <c r="AG16" s="321">
        <f t="shared" si="4"/>
        <v>1</v>
      </c>
      <c r="AH16" s="6"/>
      <c r="AI16" s="6"/>
      <c r="AJ16" s="6"/>
    </row>
    <row r="17" spans="1:36" ht="12" customHeight="1" x14ac:dyDescent="0.2">
      <c r="A17" s="7" t="s">
        <v>333</v>
      </c>
      <c r="B17" s="29">
        <f>+GETPIVOTDATA("Sum of State Gen Purp-Old",'Amounts Pivot Table'!$A$3,"state","MD","category2","Four-Year")+GETPIVOTDATA("Sum of State Gen Purp-Old",'Amounts Pivot Table'!$A$3,"state","MD","category2","Two-Year")+GETPIVOTDATA("Sum of State Gen Purp-Old",'Amounts Pivot Table'!$A$3,"state","MD","category2","Technical")</f>
        <v>1136024550</v>
      </c>
      <c r="C17" s="29">
        <f>+GETPIVOTDATA("Sum of State Ed Spec Purp-Old",'Amounts Pivot Table'!$A$3,"state","MD","category2","Four-Year")+GETPIVOTDATA("Sum of State Ed Spec Purp-Old",'Amounts Pivot Table'!$A$3,"state","MD","category2","Two-Year")+GETPIVOTDATA("Sum of State Ed Spec Purp-Old",'Amounts Pivot Table'!$A$3,"state","MD","category2","Technical")</f>
        <v>60870969</v>
      </c>
      <c r="D17" s="29">
        <f>+GETPIVOTDATA("Sum of State Ed Spec Purp-Old",'Amounts Pivot Table'!$A$3,"state","MD","category2","Other")</f>
        <v>6000000</v>
      </c>
      <c r="E17" s="29">
        <f>+GETPIVOTDATA("Sum of Other Spec Purp State-Old",'Amounts Pivot Table'!$A$3,"state","MD","category2","Specialized")</f>
        <v>33898386</v>
      </c>
      <c r="F17" s="29">
        <f>+GETPIVOTDATA("Sum of Health State-Old",'Amounts Pivot Table'!$A$3,"state","MD")</f>
        <v>183986492</v>
      </c>
      <c r="G17" s="29">
        <f>+GETPIVOTDATA("Sum of Other Spec Purp State-Old",'Amounts Pivot Table'!$A$3,"state","MD")</f>
        <v>190269459</v>
      </c>
      <c r="H17" s="29">
        <f t="shared" si="5"/>
        <v>1611049856</v>
      </c>
      <c r="I17" s="29">
        <f>+GETPIVOTDATA("Sum of Local-Old",'Amounts Pivot Table'!$A$3,"state","MD")</f>
        <v>317265647</v>
      </c>
      <c r="J17" s="29">
        <f>+GETPIVOTDATA("Sum of Tuition Tot-Old",'Amounts Pivot Table'!$A$3,"state","MD","category2","Four-Year")+GETPIVOTDATA("Sum of Tuition Tot-Old",'Amounts Pivot Table'!$A$3,"state","MD","category2","Two-Year")+GETPIVOTDATA("Sum of Tuition Tot-Old",'Amounts Pivot Table'!$A$3,"state","MD","category2","Technical")</f>
        <v>1556050813</v>
      </c>
      <c r="K17" s="29">
        <f>+GETPIVOTDATA("Sum of Tuition Debt-Old",'Amounts Pivot Table'!$A$3,"state","MD","category2","Four-Year")+GETPIVOTDATA("Sum of Tuition Debt-Old",'Amounts Pivot Table'!$A$3,"state","MD","category2","Two-Year")+GETPIVOTDATA("Sum of Tuition Debt-Old",'Amounts Pivot Table'!$A$3,"state","MD","category2","Technical")</f>
        <v>0</v>
      </c>
      <c r="L17" s="29">
        <f>+GETPIVOTDATA("Sum of Tuition SP Tot-Old",'Amounts Pivot Table'!$A$3,"state","MD","category2","Specialized")</f>
        <v>350389432</v>
      </c>
      <c r="M17" s="29">
        <f>+GETPIVOTDATA("Sum of Tuition SP Debt-Old",'Amounts Pivot Table'!$A$3,"state","MD","category2","Specialized")</f>
        <v>0</v>
      </c>
      <c r="N17" s="29">
        <f>+GETPIVOTDATA("Sum of Health Tuition-Old",'Amounts Pivot Table'!$A$3,"state","MD")</f>
        <v>116228036</v>
      </c>
      <c r="O17" s="29">
        <f t="shared" si="6"/>
        <v>2022668281</v>
      </c>
      <c r="P17" s="29">
        <f t="shared" si="7"/>
        <v>3950983784</v>
      </c>
      <c r="Q17" s="32"/>
      <c r="R17" s="67" t="s">
        <v>333</v>
      </c>
      <c r="S17" s="150">
        <f t="shared" si="0"/>
        <v>0.28752954000987618</v>
      </c>
      <c r="T17" s="150">
        <f t="shared" si="0"/>
        <v>1.5406534758888294E-2</v>
      </c>
      <c r="U17" s="150">
        <f t="shared" si="0"/>
        <v>1.5186091181385623E-3</v>
      </c>
      <c r="V17" s="150">
        <f t="shared" si="0"/>
        <v>8.579733011630097E-3</v>
      </c>
      <c r="W17" s="150">
        <f t="shared" si="0"/>
        <v>4.656726072758794E-2</v>
      </c>
      <c r="X17" s="150">
        <f t="shared" si="0"/>
        <v>4.8157489223448556E-2</v>
      </c>
      <c r="Y17" s="326">
        <f t="shared" si="2"/>
        <v>0.40775916684956964</v>
      </c>
      <c r="Z17" s="150">
        <f t="shared" si="1"/>
        <v>8.0300417401055063E-2</v>
      </c>
      <c r="AA17" s="150">
        <f t="shared" si="1"/>
        <v>0.39383882548478716</v>
      </c>
      <c r="AB17" s="150">
        <f t="shared" si="1"/>
        <v>0</v>
      </c>
      <c r="AC17" s="150">
        <f t="shared" si="1"/>
        <v>8.8684097722431965E-2</v>
      </c>
      <c r="AD17" s="150">
        <f t="shared" si="1"/>
        <v>0</v>
      </c>
      <c r="AE17" s="150">
        <f t="shared" si="1"/>
        <v>2.9417492542156178E-2</v>
      </c>
      <c r="AF17" s="329">
        <f t="shared" si="3"/>
        <v>0.51194041574937532</v>
      </c>
      <c r="AG17" s="321">
        <f t="shared" si="4"/>
        <v>1</v>
      </c>
      <c r="AH17" s="6"/>
      <c r="AI17" s="6"/>
      <c r="AJ17" s="6"/>
    </row>
    <row r="18" spans="1:36" s="88" customFormat="1" ht="4.5" customHeight="1" x14ac:dyDescent="0.2">
      <c r="A18" s="85"/>
      <c r="B18" s="86"/>
      <c r="C18" s="86"/>
      <c r="D18" s="86"/>
      <c r="E18" s="86"/>
      <c r="F18" s="86"/>
      <c r="G18" s="86"/>
      <c r="H18" s="86"/>
      <c r="I18" s="86"/>
      <c r="J18" s="86"/>
      <c r="K18" s="86"/>
      <c r="L18" s="86"/>
      <c r="M18" s="86"/>
      <c r="N18" s="86"/>
      <c r="O18" s="29"/>
      <c r="P18" s="86"/>
      <c r="Q18" s="87"/>
      <c r="R18" s="85"/>
      <c r="S18" s="150"/>
      <c r="T18" s="150"/>
      <c r="U18" s="150"/>
      <c r="V18" s="150"/>
      <c r="W18" s="150"/>
      <c r="X18" s="150"/>
      <c r="Y18" s="326"/>
      <c r="Z18" s="150"/>
      <c r="AA18" s="150"/>
      <c r="AB18" s="150"/>
      <c r="AC18" s="150"/>
      <c r="AD18" s="150"/>
      <c r="AE18" s="150"/>
      <c r="AF18" s="329"/>
      <c r="AG18" s="321"/>
    </row>
    <row r="19" spans="1:36" ht="12" customHeight="1" x14ac:dyDescent="0.2">
      <c r="A19" s="7" t="s">
        <v>323</v>
      </c>
      <c r="B19" s="29">
        <f>+GETPIVOTDATA("Sum of State Gen Purp-Old",'Amounts Pivot Table'!$A$3,"state","MS","category2","Four-Year")+GETPIVOTDATA("Sum of State Gen Purp-Old",'Amounts Pivot Table'!$A$3,"state","MS","category2","Two-Year")+GETPIVOTDATA("Sum of State Gen Purp-Old",'Amounts Pivot Table'!$A$3,"state","MS","category2","Technical")</f>
        <v>586418326</v>
      </c>
      <c r="C19" s="29">
        <f>+GETPIVOTDATA("Sum of State Ed Spec Purp-Old",'Amounts Pivot Table'!$A$3,"state","MS","category2","Four-Year")+GETPIVOTDATA("Sum of State Ed Spec Purp-Old",'Amounts Pivot Table'!$A$3,"state","MS","category2","Two-Year")+GETPIVOTDATA("Sum of State Ed Spec Purp-Old",'Amounts Pivot Table'!$A$3,"state","MS","category2","Technical")</f>
        <v>103648718.48</v>
      </c>
      <c r="D19" s="29">
        <f>+GETPIVOTDATA("Sum of State Ed Spec Purp-Old",'Amounts Pivot Table'!$A$3,"state","MS","category2","Other")</f>
        <v>6888397.7800000003</v>
      </c>
      <c r="E19" s="29">
        <f>+GETPIVOTDATA("Sum of Other Spec Purp State-Old",'Amounts Pivot Table'!$A$3,"state","MS","category2","Specialized")</f>
        <v>0</v>
      </c>
      <c r="F19" s="29">
        <f>+GETPIVOTDATA("Sum of Health State-Old",'Amounts Pivot Table'!$A$3,"state","MS")</f>
        <v>193220713</v>
      </c>
      <c r="G19" s="29">
        <f>+GETPIVOTDATA("Sum of Other Spec Purp State-Old",'Amounts Pivot Table'!$A$3,"state","MS")</f>
        <v>44033357</v>
      </c>
      <c r="H19" s="29">
        <f t="shared" si="5"/>
        <v>934209512.25999999</v>
      </c>
      <c r="I19" s="29">
        <f>+GETPIVOTDATA("Sum of Local-Old",'Amounts Pivot Table'!$A$3,"state","MS")</f>
        <v>53179486</v>
      </c>
      <c r="J19" s="29">
        <f>+GETPIVOTDATA("Sum of Tuition Tot-Old",'Amounts Pivot Table'!$A$3,"state","MS","category2","Four-Year")+GETPIVOTDATA("Sum of Tuition Tot-Old",'Amounts Pivot Table'!$A$3,"state","MS","category2","Two-Year")+GETPIVOTDATA("Sum of Tuition Tot-Old",'Amounts Pivot Table'!$A$3,"state","MS","category2","Technical")</f>
        <v>762460389</v>
      </c>
      <c r="K19" s="29">
        <f>+GETPIVOTDATA("Sum of Tuition Debt-Old",'Amounts Pivot Table'!$A$3,"state","MS","category2","Four-Year")+GETPIVOTDATA("Sum of Tuition Debt-Old",'Amounts Pivot Table'!$A$3,"state","MS","category2","Two-Year")+GETPIVOTDATA("Sum of Tuition Debt-Old",'Amounts Pivot Table'!$A$3,"state","MS","category2","Technical")</f>
        <v>0</v>
      </c>
      <c r="L19" s="29">
        <f>+GETPIVOTDATA("Sum of Tuition SP Tot-Old",'Amounts Pivot Table'!$A$3,"state","MS","category2","Specialized")</f>
        <v>0</v>
      </c>
      <c r="M19" s="29">
        <f>+GETPIVOTDATA("Sum of Tuition SP Debt-Old",'Amounts Pivot Table'!$A$3,"state","MS","category2","Specialized")</f>
        <v>0</v>
      </c>
      <c r="N19" s="29">
        <f>+GETPIVOTDATA("Sum of Health Tuition-Old",'Amounts Pivot Table'!$A$3,"state","MS")</f>
        <v>32512335</v>
      </c>
      <c r="O19" s="29">
        <f t="shared" si="6"/>
        <v>794972724</v>
      </c>
      <c r="P19" s="29">
        <f t="shared" si="7"/>
        <v>1782361722.26</v>
      </c>
      <c r="Q19" s="32"/>
      <c r="R19" s="67" t="s">
        <v>323</v>
      </c>
      <c r="S19" s="150">
        <f t="shared" si="0"/>
        <v>0.32901196130740118</v>
      </c>
      <c r="T19" s="150">
        <f t="shared" si="0"/>
        <v>5.8152459843322624E-2</v>
      </c>
      <c r="U19" s="150">
        <f t="shared" si="0"/>
        <v>3.8647585919123341E-3</v>
      </c>
      <c r="V19" s="150">
        <f t="shared" si="0"/>
        <v>0</v>
      </c>
      <c r="W19" s="150">
        <f t="shared" si="0"/>
        <v>0.10840712667179583</v>
      </c>
      <c r="X19" s="150">
        <f t="shared" si="0"/>
        <v>2.4705062081431237E-2</v>
      </c>
      <c r="Y19" s="326">
        <f t="shared" si="2"/>
        <v>0.52414136849586312</v>
      </c>
      <c r="Z19" s="150">
        <f t="shared" si="1"/>
        <v>2.9836528318488261E-2</v>
      </c>
      <c r="AA19" s="150">
        <f t="shared" si="1"/>
        <v>0.4277809489945818</v>
      </c>
      <c r="AB19" s="150">
        <f t="shared" si="1"/>
        <v>0</v>
      </c>
      <c r="AC19" s="150">
        <f t="shared" si="1"/>
        <v>0</v>
      </c>
      <c r="AD19" s="150">
        <f t="shared" si="1"/>
        <v>0</v>
      </c>
      <c r="AE19" s="150">
        <f t="shared" si="1"/>
        <v>1.8241154191066779E-2</v>
      </c>
      <c r="AF19" s="329">
        <f t="shared" si="3"/>
        <v>0.44602210318564856</v>
      </c>
      <c r="AG19" s="321">
        <f t="shared" si="4"/>
        <v>1</v>
      </c>
      <c r="AH19" s="6"/>
      <c r="AI19" s="6"/>
      <c r="AJ19" s="6"/>
    </row>
    <row r="20" spans="1:36" ht="12" customHeight="1" x14ac:dyDescent="0.2">
      <c r="A20" s="7" t="s">
        <v>324</v>
      </c>
      <c r="B20" s="29">
        <f>+GETPIVOTDATA("Sum of State Gen Purp-Old",'Amounts Pivot Table'!$A$3,"state","NC","category2","Four-Year")+GETPIVOTDATA("Sum of State Gen Purp-Old",'Amounts Pivot Table'!$A$3,"state","NC","category2","Two-Year")+GETPIVOTDATA("Sum of State Gen Purp-Old",'Amounts Pivot Table'!$A$3,"state","NC","category2","Technical")</f>
        <v>2683031293</v>
      </c>
      <c r="C20" s="29">
        <f>+GETPIVOTDATA("Sum of State Ed Spec Purp-Old",'Amounts Pivot Table'!$A$3,"state","NC","category2","Four-Year")+GETPIVOTDATA("Sum of State Ed Spec Purp-Old",'Amounts Pivot Table'!$A$3,"state","NC","category2","Two-Year")+GETPIVOTDATA("Sum of State Ed Spec Purp-Old",'Amounts Pivot Table'!$A$3,"state","NC","category2","Technical")</f>
        <v>243851884</v>
      </c>
      <c r="D20" s="29">
        <f>+GETPIVOTDATA("Sum of State Ed Spec Purp-Old",'Amounts Pivot Table'!$A$3,"state","NC","category2","Other")</f>
        <v>37830680</v>
      </c>
      <c r="E20" s="29">
        <f>+GETPIVOTDATA("Sum of Other Spec Purp State-Old",'Amounts Pivot Table'!$A$3,"state","NC","category2","Specialized")</f>
        <v>27154238</v>
      </c>
      <c r="F20" s="29">
        <f>+GETPIVOTDATA("Sum of Health State-Old",'Amounts Pivot Table'!$A$3,"state","NC")</f>
        <v>295140902</v>
      </c>
      <c r="G20" s="29">
        <f>+GETPIVOTDATA("Sum of Other Spec Purp State-Old",'Amounts Pivot Table'!$A$3,"state","NC")</f>
        <v>370876476</v>
      </c>
      <c r="H20" s="29">
        <f t="shared" si="5"/>
        <v>3657885473</v>
      </c>
      <c r="I20" s="29">
        <f>+GETPIVOTDATA("Sum of Local-Old",'Amounts Pivot Table'!$A$3,"state","NC")</f>
        <v>210770615</v>
      </c>
      <c r="J20" s="29">
        <f>+GETPIVOTDATA("Sum of Tuition Tot-Old",'Amounts Pivot Table'!$A$3,"state","NC","category2","Four-Year")+GETPIVOTDATA("Sum of Tuition Tot-Old",'Amounts Pivot Table'!$A$3,"state","NC","category2","Two-Year")+GETPIVOTDATA("Sum of Tuition Tot-Old",'Amounts Pivot Table'!$A$3,"state","NC","category2","Technical")</f>
        <v>1571361592.8299999</v>
      </c>
      <c r="K20" s="29">
        <f>+GETPIVOTDATA("Sum of Tuition Debt-Old",'Amounts Pivot Table'!$A$3,"state","NC","category2","Four-Year")+GETPIVOTDATA("Sum of Tuition Debt-Old",'Amounts Pivot Table'!$A$3,"state","NC","category2","Two-Year")+GETPIVOTDATA("Sum of Tuition Debt-Old",'Amounts Pivot Table'!$A$3,"state","NC","category2","Technical")</f>
        <v>0</v>
      </c>
      <c r="L20" s="29">
        <f>+GETPIVOTDATA("Sum of Tuition SP Tot-Old",'Amounts Pivot Table'!$A$3,"state","NC","category2","Specialized")</f>
        <v>11027908</v>
      </c>
      <c r="M20" s="29">
        <f>+GETPIVOTDATA("Sum of Tuition SP Debt-Old",'Amounts Pivot Table'!$A$3,"state","NC","category2","Specialized")</f>
        <v>0</v>
      </c>
      <c r="N20" s="29">
        <f>+GETPIVOTDATA("Sum of Health Tuition-Old",'Amounts Pivot Table'!$A$3,"state","NC")</f>
        <v>96309689</v>
      </c>
      <c r="O20" s="29">
        <f t="shared" si="6"/>
        <v>1678699189.8299999</v>
      </c>
      <c r="P20" s="29">
        <f t="shared" si="7"/>
        <v>5547355277.8299999</v>
      </c>
      <c r="Q20" s="32"/>
      <c r="R20" s="67" t="s">
        <v>324</v>
      </c>
      <c r="S20" s="150">
        <f t="shared" si="0"/>
        <v>0.48365953839710463</v>
      </c>
      <c r="T20" s="150">
        <f t="shared" si="0"/>
        <v>4.3958223655613665E-2</v>
      </c>
      <c r="U20" s="150">
        <f t="shared" si="0"/>
        <v>6.8195884534726445E-3</v>
      </c>
      <c r="V20" s="150">
        <f t="shared" si="0"/>
        <v>4.8949880871199808E-3</v>
      </c>
      <c r="W20" s="150">
        <f t="shared" si="0"/>
        <v>5.3203893967190156E-2</v>
      </c>
      <c r="X20" s="150">
        <f t="shared" si="0"/>
        <v>6.6856449141126303E-2</v>
      </c>
      <c r="Y20" s="326">
        <f t="shared" si="2"/>
        <v>0.65939268170162735</v>
      </c>
      <c r="Z20" s="150">
        <f t="shared" si="1"/>
        <v>3.7994792913723152E-2</v>
      </c>
      <c r="AA20" s="150">
        <f t="shared" si="1"/>
        <v>0.28326319734918459</v>
      </c>
      <c r="AB20" s="150">
        <f t="shared" si="1"/>
        <v>0</v>
      </c>
      <c r="AC20" s="150">
        <f t="shared" si="1"/>
        <v>1.9879577650404011E-3</v>
      </c>
      <c r="AD20" s="150">
        <f t="shared" si="1"/>
        <v>0</v>
      </c>
      <c r="AE20" s="150">
        <f t="shared" si="1"/>
        <v>1.7361370270424465E-2</v>
      </c>
      <c r="AF20" s="329">
        <f t="shared" si="3"/>
        <v>0.30261252538464944</v>
      </c>
      <c r="AG20" s="321">
        <f t="shared" si="4"/>
        <v>1</v>
      </c>
      <c r="AH20" s="6"/>
      <c r="AI20" s="6"/>
      <c r="AJ20" s="6"/>
    </row>
    <row r="21" spans="1:36" ht="12" customHeight="1" x14ac:dyDescent="0.2">
      <c r="A21" s="7" t="s">
        <v>331</v>
      </c>
      <c r="B21" s="29">
        <f>+GETPIVOTDATA("Sum of State Gen Purp-Old",'Amounts Pivot Table'!$A$3,"state","OK","category2","Four-Year")+GETPIVOTDATA("Sum of State Gen Purp-Old",'Amounts Pivot Table'!$A$3,"state","OK","category2","Two-Year")+GETPIVOTDATA("Sum of State Gen Purp-Old",'Amounts Pivot Table'!$A$3,"state","OK","category2","Technical")</f>
        <v>768591598</v>
      </c>
      <c r="C21" s="29">
        <f>+GETPIVOTDATA("Sum of State Ed Spec Purp-Old",'Amounts Pivot Table'!$A$3,"state","OK","category2","Four-Year")+GETPIVOTDATA("Sum of State Ed Spec Purp-Old",'Amounts Pivot Table'!$A$3,"state","OK","category2","Two-Year")+GETPIVOTDATA("Sum of State Ed Spec Purp-Old",'Amounts Pivot Table'!$A$3,"state","OK","category2","Technical")</f>
        <v>55353853</v>
      </c>
      <c r="D21" s="29">
        <f>+GETPIVOTDATA("Sum of State Ed Spec Purp-Old",'Amounts Pivot Table'!$A$3,"state","OK","category2","Other")</f>
        <v>15746444</v>
      </c>
      <c r="E21" s="29">
        <f>+GETPIVOTDATA("Sum of Other Spec Purp State-Old",'Amounts Pivot Table'!$A$3,"state","OK","category2","Specialized")</f>
        <v>0</v>
      </c>
      <c r="F21" s="29">
        <f>+GETPIVOTDATA("Sum of Health State-Old",'Amounts Pivot Table'!$A$3,"state","OK")</f>
        <v>117167433</v>
      </c>
      <c r="G21" s="29">
        <f>+GETPIVOTDATA("Sum of Other Spec Purp State-Old",'Amounts Pivot Table'!$A$3,"state","OK")</f>
        <v>90779494</v>
      </c>
      <c r="H21" s="29">
        <f t="shared" si="5"/>
        <v>1047638822</v>
      </c>
      <c r="I21" s="29">
        <f>+GETPIVOTDATA("Sum of Local-Old",'Amounts Pivot Table'!$A$3,"state","OK")</f>
        <v>41875529</v>
      </c>
      <c r="J21" s="29">
        <f>+GETPIVOTDATA("Sum of Tuition Tot-Old",'Amounts Pivot Table'!$A$3,"state","OK","category2","Four-Year")+GETPIVOTDATA("Sum of Tuition Tot-Old",'Amounts Pivot Table'!$A$3,"state","OK","category2","Two-Year")+GETPIVOTDATA("Sum of Tuition Tot-Old",'Amounts Pivot Table'!$A$3,"state","OK","category2","Technical")</f>
        <v>917488765</v>
      </c>
      <c r="K21" s="29">
        <f>+GETPIVOTDATA("Sum of Tuition Debt-Old",'Amounts Pivot Table'!$A$3,"state","OK","category2","Four-Year")+GETPIVOTDATA("Sum of Tuition Debt-Old",'Amounts Pivot Table'!$A$3,"state","OK","category2","Two-Year")+GETPIVOTDATA("Sum of Tuition Debt-Old",'Amounts Pivot Table'!$A$3,"state","OK","category2","Technical")</f>
        <v>0</v>
      </c>
      <c r="L21" s="29">
        <f>+GETPIVOTDATA("Sum of Tuition SP Tot-Old",'Amounts Pivot Table'!$A$3,"state","OK","category2","Specialized")</f>
        <v>0</v>
      </c>
      <c r="M21" s="29">
        <f>+GETPIVOTDATA("Sum of Tuition SP Debt-Old",'Amounts Pivot Table'!$A$3,"state","OK","category2","Specialized")</f>
        <v>0</v>
      </c>
      <c r="N21" s="29">
        <f>+GETPIVOTDATA("Sum of Health Tuition-Old",'Amounts Pivot Table'!$A$3,"state","OK")</f>
        <v>0</v>
      </c>
      <c r="O21" s="29">
        <f t="shared" si="6"/>
        <v>917488765</v>
      </c>
      <c r="P21" s="29">
        <f t="shared" si="7"/>
        <v>2007003116</v>
      </c>
      <c r="Q21" s="32"/>
      <c r="R21" s="67" t="s">
        <v>331</v>
      </c>
      <c r="S21" s="150">
        <f t="shared" si="0"/>
        <v>0.38295486034511966</v>
      </c>
      <c r="T21" s="150">
        <f t="shared" si="0"/>
        <v>2.7580352296772418E-2</v>
      </c>
      <c r="U21" s="150">
        <f t="shared" si="0"/>
        <v>7.845749652538158E-3</v>
      </c>
      <c r="V21" s="150">
        <f t="shared" si="0"/>
        <v>0</v>
      </c>
      <c r="W21" s="150">
        <f t="shared" si="0"/>
        <v>5.8379298002046547E-2</v>
      </c>
      <c r="X21" s="150">
        <f t="shared" si="0"/>
        <v>4.523136674591989E-2</v>
      </c>
      <c r="Y21" s="326">
        <f t="shared" si="2"/>
        <v>0.52199162704239666</v>
      </c>
      <c r="Z21" s="150">
        <f t="shared" si="1"/>
        <v>2.0864705523456695E-2</v>
      </c>
      <c r="AA21" s="150">
        <f t="shared" si="1"/>
        <v>0.45714366743414664</v>
      </c>
      <c r="AB21" s="150">
        <f t="shared" si="1"/>
        <v>0</v>
      </c>
      <c r="AC21" s="150">
        <f t="shared" si="1"/>
        <v>0</v>
      </c>
      <c r="AD21" s="150">
        <f t="shared" si="1"/>
        <v>0</v>
      </c>
      <c r="AE21" s="150">
        <f t="shared" si="1"/>
        <v>0</v>
      </c>
      <c r="AF21" s="329">
        <f t="shared" si="3"/>
        <v>0.45714366743414664</v>
      </c>
      <c r="AG21" s="321">
        <f t="shared" si="4"/>
        <v>1</v>
      </c>
      <c r="AH21" s="6"/>
      <c r="AI21" s="6"/>
      <c r="AJ21" s="6"/>
    </row>
    <row r="22" spans="1:36" ht="12" customHeight="1" x14ac:dyDescent="0.2">
      <c r="A22" s="7" t="s">
        <v>325</v>
      </c>
      <c r="B22" s="29">
        <f>+GETPIVOTDATA("Sum of State Gen Purp-Old",'Amounts Pivot Table'!$A$3,"state","SC","category2","Four-Year")+GETPIVOTDATA("Sum of State Gen Purp-Old",'Amounts Pivot Table'!$A$3,"state","SC","category2","Two-Year")+GETPIVOTDATA("Sum of State Gen Purp-Old",'Amounts Pivot Table'!$A$3,"state","SC","category2","Technical")</f>
        <v>348891711</v>
      </c>
      <c r="C22" s="29">
        <f>+GETPIVOTDATA("Sum of State Ed Spec Purp-Old",'Amounts Pivot Table'!$A$3,"state","SC","category2","Four-Year")+GETPIVOTDATA("Sum of State Ed Spec Purp-Old",'Amounts Pivot Table'!$A$3,"state","SC","category2","Two-Year")+GETPIVOTDATA("Sum of State Ed Spec Purp-Old",'Amounts Pivot Table'!$A$3,"state","SC","category2","Technical")</f>
        <v>95007478</v>
      </c>
      <c r="D22" s="29">
        <f>+GETPIVOTDATA("Sum of State Ed Spec Purp-Old",'Amounts Pivot Table'!$A$3,"state","SC","category2","Other")</f>
        <v>3177765</v>
      </c>
      <c r="E22" s="29">
        <f>+GETPIVOTDATA("Sum of Other Spec Purp State-Old",'Amounts Pivot Table'!$A$3,"state","SC","category2","Specialized")</f>
        <v>0</v>
      </c>
      <c r="F22" s="29">
        <f>+GETPIVOTDATA("Sum of Health State-Old",'Amounts Pivot Table'!$A$3,"state","SC")</f>
        <v>82560380</v>
      </c>
      <c r="G22" s="29">
        <f>+GETPIVOTDATA("Sum of Other Spec Purp State-Old",'Amounts Pivot Table'!$A$3,"state","SC")</f>
        <v>376785235</v>
      </c>
      <c r="H22" s="29">
        <f t="shared" si="5"/>
        <v>906422569</v>
      </c>
      <c r="I22" s="29">
        <f>+GETPIVOTDATA("Sum of Local-Old",'Amounts Pivot Table'!$A$3,"state","SC")</f>
        <v>62107839</v>
      </c>
      <c r="J22" s="29">
        <f>+GETPIVOTDATA("Sum of Tuition Tot-Old",'Amounts Pivot Table'!$A$3,"state","SC","category2","Four-Year")+GETPIVOTDATA("Sum of Tuition Tot-Old",'Amounts Pivot Table'!$A$3,"state","SC","category2","Two-Year")+GETPIVOTDATA("Sum of Tuition Tot-Old",'Amounts Pivot Table'!$A$3,"state","SC","category2","Technical")</f>
        <v>1871218469</v>
      </c>
      <c r="K22" s="29">
        <f>+GETPIVOTDATA("Sum of Tuition Debt-Old",'Amounts Pivot Table'!$A$3,"state","SC","category2","Four-Year")+GETPIVOTDATA("Sum of Tuition Debt-Old",'Amounts Pivot Table'!$A$3,"state","SC","category2","Two-Year")+GETPIVOTDATA("Sum of Tuition Debt-Old",'Amounts Pivot Table'!$A$3,"state","SC","category2","Technical")</f>
        <v>99543472</v>
      </c>
      <c r="L22" s="29">
        <f>+GETPIVOTDATA("Sum of Tuition SP Tot-Old",'Amounts Pivot Table'!$A$3,"state","SC","category2","Specialized")</f>
        <v>0</v>
      </c>
      <c r="M22" s="29">
        <f>+GETPIVOTDATA("Sum of Tuition SP Debt-Old",'Amounts Pivot Table'!$A$3,"state","SC","category2","Specialized")</f>
        <v>0</v>
      </c>
      <c r="N22" s="29">
        <f>+GETPIVOTDATA("Sum of Health Tuition-Old",'Amounts Pivot Table'!$A$3,"state","SC")</f>
        <v>94329607</v>
      </c>
      <c r="O22" s="29">
        <f t="shared" si="6"/>
        <v>1866004604</v>
      </c>
      <c r="P22" s="29">
        <f t="shared" si="7"/>
        <v>2834535012</v>
      </c>
      <c r="Q22" s="32"/>
      <c r="R22" s="67" t="s">
        <v>325</v>
      </c>
      <c r="S22" s="150">
        <f t="shared" si="0"/>
        <v>0.12308604745503846</v>
      </c>
      <c r="T22" s="150">
        <f t="shared" si="0"/>
        <v>3.3517835411376463E-2</v>
      </c>
      <c r="U22" s="150">
        <f t="shared" si="0"/>
        <v>1.1210886394230222E-3</v>
      </c>
      <c r="V22" s="150">
        <f t="shared" si="0"/>
        <v>0</v>
      </c>
      <c r="W22" s="150">
        <f t="shared" si="0"/>
        <v>2.9126604416767034E-2</v>
      </c>
      <c r="X22" s="150">
        <f t="shared" si="0"/>
        <v>0.13292664701789897</v>
      </c>
      <c r="Y22" s="326">
        <f t="shared" si="2"/>
        <v>0.31977822294050395</v>
      </c>
      <c r="Z22" s="150">
        <f t="shared" si="1"/>
        <v>2.1911120778916666E-2</v>
      </c>
      <c r="AA22" s="150">
        <f t="shared" si="1"/>
        <v>0.6601500637946609</v>
      </c>
      <c r="AB22" s="150">
        <f t="shared" si="1"/>
        <v>3.5118095764766655E-2</v>
      </c>
      <c r="AC22" s="150">
        <f t="shared" si="1"/>
        <v>0</v>
      </c>
      <c r="AD22" s="150">
        <f t="shared" si="1"/>
        <v>0</v>
      </c>
      <c r="AE22" s="150">
        <f t="shared" si="1"/>
        <v>3.3278688250685119E-2</v>
      </c>
      <c r="AF22" s="329">
        <f t="shared" si="3"/>
        <v>0.65831065628057939</v>
      </c>
      <c r="AG22" s="321">
        <f t="shared" si="4"/>
        <v>1</v>
      </c>
      <c r="AH22" s="6"/>
      <c r="AI22" s="6"/>
      <c r="AJ22" s="6"/>
    </row>
    <row r="23" spans="1:36" s="88" customFormat="1" ht="4.5" customHeight="1" x14ac:dyDescent="0.2">
      <c r="A23" s="85"/>
      <c r="B23" s="86"/>
      <c r="C23" s="86"/>
      <c r="D23" s="86"/>
      <c r="E23" s="86"/>
      <c r="F23" s="86"/>
      <c r="G23" s="86"/>
      <c r="H23" s="86"/>
      <c r="I23" s="86"/>
      <c r="J23" s="86"/>
      <c r="K23" s="86"/>
      <c r="L23" s="86"/>
      <c r="M23" s="86"/>
      <c r="N23" s="86"/>
      <c r="O23" s="29"/>
      <c r="P23" s="86"/>
      <c r="Q23" s="87"/>
      <c r="R23" s="85"/>
      <c r="S23" s="150"/>
      <c r="T23" s="150"/>
      <c r="U23" s="150"/>
      <c r="V23" s="150"/>
      <c r="W23" s="150"/>
      <c r="X23" s="150"/>
      <c r="Y23" s="326"/>
      <c r="Z23" s="150"/>
      <c r="AA23" s="150"/>
      <c r="AB23" s="150"/>
      <c r="AC23" s="150"/>
      <c r="AD23" s="150"/>
      <c r="AE23" s="150"/>
      <c r="AF23" s="329"/>
      <c r="AG23" s="321"/>
    </row>
    <row r="24" spans="1:36" ht="12" customHeight="1" x14ac:dyDescent="0.2">
      <c r="A24" s="7" t="s">
        <v>90</v>
      </c>
      <c r="B24" s="29">
        <f>+GETPIVOTDATA("Sum of State Gen Purp-Old",'Amounts Pivot Table'!$A$3,"state","TN","category2","Four-Year")+GETPIVOTDATA("Sum of State Gen Purp-Old",'Amounts Pivot Table'!$A$3,"state","TN","category2","Two-Year")+GETPIVOTDATA("Sum of State Gen Purp-Old",'Amounts Pivot Table'!$A$3,"state","TN","category2","Technical")</f>
        <v>815423357.57978296</v>
      </c>
      <c r="C24" s="29">
        <f>+GETPIVOTDATA("Sum of State Ed Spec Purp-Old",'Amounts Pivot Table'!$A$3,"state","TN","category2","Four-Year")+GETPIVOTDATA("Sum of State Ed Spec Purp-Old",'Amounts Pivot Table'!$A$3,"state","TN","category2","Two-Year")+GETPIVOTDATA("Sum of State Ed Spec Purp-Old",'Amounts Pivot Table'!$A$3,"state","TN","category2","Technical")</f>
        <v>69445086</v>
      </c>
      <c r="D24" s="29">
        <f>+GETPIVOTDATA("Sum of State Ed Spec Purp-Old",'Amounts Pivot Table'!$A$3,"state","TN","category2","Other")</f>
        <v>394700</v>
      </c>
      <c r="E24" s="29">
        <f>+GETPIVOTDATA("Sum of Other Spec Purp State-Old",'Amounts Pivot Table'!$A$3,"state","TN","category2","Specialized")</f>
        <v>8589981.1774581838</v>
      </c>
      <c r="F24" s="29">
        <f>+GETPIVOTDATA("Sum of Health State-Old",'Amounts Pivot Table'!$A$3,"state","TN")</f>
        <v>175009137.18721333</v>
      </c>
      <c r="G24" s="29">
        <f>+GETPIVOTDATA("Sum of Other Spec Purp State-Old",'Amounts Pivot Table'!$A$3,"state","TN")</f>
        <v>399583336.17745817</v>
      </c>
      <c r="H24" s="29">
        <f t="shared" si="5"/>
        <v>1468445598.1219125</v>
      </c>
      <c r="I24" s="29">
        <f>+GETPIVOTDATA("Sum of Local-Old",'Amounts Pivot Table'!$A$3,"state","TN")</f>
        <v>0</v>
      </c>
      <c r="J24" s="29">
        <f>+GETPIVOTDATA("Sum of Tuition Tot-Old",'Amounts Pivot Table'!$A$3,"state","TN","category2","Four-Year")+GETPIVOTDATA("Sum of Tuition Tot-Old",'Amounts Pivot Table'!$A$3,"state","TN","category2","Two-Year")+GETPIVOTDATA("Sum of Tuition Tot-Old",'Amounts Pivot Table'!$A$3,"state","TN","category2","Technical")</f>
        <v>1322499373</v>
      </c>
      <c r="K24" s="29">
        <f>+GETPIVOTDATA("Sum of Tuition Debt-Old",'Amounts Pivot Table'!$A$3,"state","TN","category2","Four-Year")+GETPIVOTDATA("Sum of Tuition Debt-Old",'Amounts Pivot Table'!$A$3,"state","TN","category2","Two-Year")+GETPIVOTDATA("Sum of Tuition Debt-Old",'Amounts Pivot Table'!$A$3,"state","TN","category2","Technical")</f>
        <v>27652700</v>
      </c>
      <c r="L24" s="29">
        <f>+GETPIVOTDATA("Sum of Tuition SP Tot-Old",'Amounts Pivot Table'!$A$3,"state","TN","category2","Specialized")</f>
        <v>1766048</v>
      </c>
      <c r="M24" s="29">
        <f>+GETPIVOTDATA("Sum of Tuition SP Debt-Old",'Amounts Pivot Table'!$A$3,"state","TN","category2","Specialized")</f>
        <v>0</v>
      </c>
      <c r="N24" s="29">
        <f>+GETPIVOTDATA("Sum of Health Tuition-Old",'Amounts Pivot Table'!$A$3,"state","TN")</f>
        <v>85663393</v>
      </c>
      <c r="O24" s="29">
        <f t="shared" si="6"/>
        <v>1382276114</v>
      </c>
      <c r="P24" s="29">
        <f t="shared" si="7"/>
        <v>2850721712.1219125</v>
      </c>
      <c r="Q24" s="32"/>
      <c r="R24" s="67" t="s">
        <v>90</v>
      </c>
      <c r="S24" s="150">
        <f t="shared" si="0"/>
        <v>0.28604102396681469</v>
      </c>
      <c r="T24" s="150">
        <f t="shared" si="0"/>
        <v>2.4360527969006521E-2</v>
      </c>
      <c r="U24" s="150" t="str">
        <f t="shared" si="0"/>
        <v>*</v>
      </c>
      <c r="V24" s="150">
        <f t="shared" si="0"/>
        <v>3.0132654271132968E-3</v>
      </c>
      <c r="W24" s="150">
        <f t="shared" si="0"/>
        <v>6.1391168574271897E-2</v>
      </c>
      <c r="X24" s="150">
        <f t="shared" si="0"/>
        <v>0.14016918399236922</v>
      </c>
      <c r="Y24" s="326">
        <f t="shared" si="2"/>
        <v>0.51497516992957559</v>
      </c>
      <c r="Z24" s="150">
        <f t="shared" ref="Z24:AE27" si="8">IF(I24/$P24=0,,IF(I24/$P24&gt;0.0005,I24/$P24,"*"))</f>
        <v>0</v>
      </c>
      <c r="AA24" s="150">
        <f t="shared" si="8"/>
        <v>0.46391738884102018</v>
      </c>
      <c r="AB24" s="150">
        <f t="shared" si="8"/>
        <v>9.700245338720534E-3</v>
      </c>
      <c r="AC24" s="150">
        <f t="shared" si="8"/>
        <v>6.1950908518722302E-4</v>
      </c>
      <c r="AD24" s="150">
        <f t="shared" si="8"/>
        <v>0</v>
      </c>
      <c r="AE24" s="150">
        <f t="shared" si="8"/>
        <v>3.004972131644415E-2</v>
      </c>
      <c r="AF24" s="329">
        <f t="shared" si="3"/>
        <v>0.48488637390393097</v>
      </c>
      <c r="AG24" s="321">
        <f t="shared" si="4"/>
        <v>0.99986154383350656</v>
      </c>
      <c r="AH24" s="6"/>
      <c r="AI24" s="6"/>
      <c r="AJ24" s="6"/>
    </row>
    <row r="25" spans="1:36" ht="12" customHeight="1" x14ac:dyDescent="0.2">
      <c r="A25" s="7" t="s">
        <v>326</v>
      </c>
      <c r="B25" s="29">
        <f>+GETPIVOTDATA("Sum of State Gen Purp-Old",'Amounts Pivot Table'!$A$3,"state","TX","category2","Four-Year")+GETPIVOTDATA("Sum of State Gen Purp-Old",'Amounts Pivot Table'!$A$3,"state","TX","category2","Two-Year")+GETPIVOTDATA("Sum of State Gen Purp-Old",'Amounts Pivot Table'!$A$3,"state","TX","category2","Technical")</f>
        <v>3758386511</v>
      </c>
      <c r="C25" s="29">
        <f>+GETPIVOTDATA("Sum of State Ed Spec Purp-Old",'Amounts Pivot Table'!$A$3,"state","TX","category2","Four-Year")+GETPIVOTDATA("Sum of State Ed Spec Purp-Old",'Amounts Pivot Table'!$A$3,"state","TX","category2","Two-Year")+GETPIVOTDATA("Sum of State Ed Spec Purp-Old",'Amounts Pivot Table'!$A$3,"state","TX","category2","Technical")</f>
        <v>394752647</v>
      </c>
      <c r="D25" s="29">
        <f>+GETPIVOTDATA("Sum of State Ed Spec Purp-Old",'Amounts Pivot Table'!$A$3,"state","TX","category2","Other")</f>
        <v>66716</v>
      </c>
      <c r="E25" s="29">
        <f>+GETPIVOTDATA("Sum of Other Spec Purp State-Old",'Amounts Pivot Table'!$A$3,"state","TX","category2","Specialized")</f>
        <v>0</v>
      </c>
      <c r="F25" s="29">
        <f>+GETPIVOTDATA("Sum of Health State-Old",'Amounts Pivot Table'!$A$3,"state","TX")</f>
        <v>1422974906</v>
      </c>
      <c r="G25" s="29">
        <f>+GETPIVOTDATA("Sum of Other Spec Purp State-Old",'Amounts Pivot Table'!$A$3,"state","TX")</f>
        <v>518854375</v>
      </c>
      <c r="H25" s="29">
        <f t="shared" si="5"/>
        <v>6095035155</v>
      </c>
      <c r="I25" s="29">
        <f>+GETPIVOTDATA("Sum of Local-Old",'Amounts Pivot Table'!$A$3,"state","TX")</f>
        <v>1476132693</v>
      </c>
      <c r="J25" s="29">
        <f>+GETPIVOTDATA("Sum of Tuition Tot-Old",'Amounts Pivot Table'!$A$3,"state","TX","category2","Four-Year")+GETPIVOTDATA("Sum of Tuition Tot-Old",'Amounts Pivot Table'!$A$3,"state","TX","category2","Two-Year")+GETPIVOTDATA("Sum of Tuition Tot-Old",'Amounts Pivot Table'!$A$3,"state","TX","category2","Technical")</f>
        <v>4127100232</v>
      </c>
      <c r="K25" s="29">
        <f>+GETPIVOTDATA("Sum of Tuition Debt-Old",'Amounts Pivot Table'!$A$3,"state","TX","category2","Four-Year")+GETPIVOTDATA("Sum of Tuition Debt-Old",'Amounts Pivot Table'!$A$3,"state","TX","category2","Two-Year")+GETPIVOTDATA("Sum of Tuition Debt-Old",'Amounts Pivot Table'!$A$3,"state","TX","category2","Technical")</f>
        <v>0</v>
      </c>
      <c r="L25" s="29">
        <f>+GETPIVOTDATA("Sum of Tuition SP Tot-Old",'Amounts Pivot Table'!$A$3,"state","TX","category2","Specialized")</f>
        <v>0</v>
      </c>
      <c r="M25" s="29">
        <f>+GETPIVOTDATA("Sum of Tuition SP Debt-Old",'Amounts Pivot Table'!$A$3,"state","TX","category2","Specialized")</f>
        <v>0</v>
      </c>
      <c r="N25" s="29">
        <f>+GETPIVOTDATA("Sum of Health Tuition-Old",'Amounts Pivot Table'!$A$3,"state","TX")</f>
        <v>213436788</v>
      </c>
      <c r="O25" s="29">
        <f t="shared" si="6"/>
        <v>4340537020</v>
      </c>
      <c r="P25" s="29">
        <f t="shared" si="7"/>
        <v>11911704868</v>
      </c>
      <c r="Q25" s="32"/>
      <c r="R25" s="67" t="s">
        <v>326</v>
      </c>
      <c r="S25" s="150">
        <f t="shared" si="0"/>
        <v>0.31552045258413464</v>
      </c>
      <c r="T25" s="150">
        <f t="shared" si="0"/>
        <v>3.3139894865971423E-2</v>
      </c>
      <c r="U25" s="150" t="str">
        <f t="shared" si="0"/>
        <v>*</v>
      </c>
      <c r="V25" s="150">
        <f t="shared" si="0"/>
        <v>0</v>
      </c>
      <c r="W25" s="150">
        <f t="shared" si="0"/>
        <v>0.11946022183799458</v>
      </c>
      <c r="X25" s="150">
        <f t="shared" si="0"/>
        <v>4.3558363873996545E-2</v>
      </c>
      <c r="Y25" s="326">
        <f t="shared" si="2"/>
        <v>0.51167893316209723</v>
      </c>
      <c r="Z25" s="150">
        <f t="shared" si="8"/>
        <v>0.12392287328789785</v>
      </c>
      <c r="AA25" s="150">
        <f t="shared" si="8"/>
        <v>0.34647435255780884</v>
      </c>
      <c r="AB25" s="150">
        <f t="shared" si="8"/>
        <v>0</v>
      </c>
      <c r="AC25" s="150">
        <f t="shared" si="8"/>
        <v>0</v>
      </c>
      <c r="AD25" s="150">
        <f t="shared" si="8"/>
        <v>0</v>
      </c>
      <c r="AE25" s="150">
        <f t="shared" si="8"/>
        <v>1.7918240114677766E-2</v>
      </c>
      <c r="AF25" s="329">
        <f t="shared" si="3"/>
        <v>0.36439259267248658</v>
      </c>
      <c r="AG25" s="321">
        <f t="shared" si="4"/>
        <v>0.99999439912248167</v>
      </c>
      <c r="AH25" s="6"/>
      <c r="AI25" s="6"/>
      <c r="AJ25" s="6"/>
    </row>
    <row r="26" spans="1:36" ht="12" customHeight="1" x14ac:dyDescent="0.2">
      <c r="A26" s="7" t="s">
        <v>327</v>
      </c>
      <c r="B26" s="29">
        <f>+GETPIVOTDATA("Sum of State Gen Purp-Old",'Amounts Pivot Table'!$A$3,"state","VA","category2","Four-Year")+GETPIVOTDATA("Sum of State Gen Purp-Old",'Amounts Pivot Table'!$A$3,"state","VA","category2","Two-Year")+GETPIVOTDATA("Sum of State Gen Purp-Old",'Amounts Pivot Table'!$A$3,"state","VA","category2","Technical")</f>
        <v>1163987206</v>
      </c>
      <c r="C26" s="29">
        <f>+GETPIVOTDATA("Sum of State Ed Spec Purp-Old",'Amounts Pivot Table'!$A$3,"state","VA","category2","Four-Year")+GETPIVOTDATA("Sum of State Ed Spec Purp-Old",'Amounts Pivot Table'!$A$3,"state","VA","category2","Two-Year")+GETPIVOTDATA("Sum of State Ed Spec Purp-Old",'Amounts Pivot Table'!$A$3,"state","VA","category2","Technical")</f>
        <v>105603494</v>
      </c>
      <c r="D26" s="29">
        <f>+GETPIVOTDATA("Sum of State Ed Spec Purp-Old",'Amounts Pivot Table'!$A$3,"state","VA","category2","Other")</f>
        <v>81831969</v>
      </c>
      <c r="E26" s="29">
        <f>+GETPIVOTDATA("Sum of Other Spec Purp State-Old",'Amounts Pivot Table'!$A$3,"state","VA","category2","Specialized")</f>
        <v>11359955</v>
      </c>
      <c r="F26" s="29">
        <f>+GETPIVOTDATA("Sum of Health State-Old",'Amounts Pivot Table'!$A$3,"state","VA")</f>
        <v>89875329</v>
      </c>
      <c r="G26" s="29">
        <f>+GETPIVOTDATA("Sum of Other Spec Purp State-Old",'Amounts Pivot Table'!$A$3,"state","VA")</f>
        <v>270777326</v>
      </c>
      <c r="H26" s="29">
        <f t="shared" si="5"/>
        <v>1723435279</v>
      </c>
      <c r="I26" s="29">
        <f>+GETPIVOTDATA("Sum of Local-Old",'Amounts Pivot Table'!$A$3,"state","VA")</f>
        <v>10779805</v>
      </c>
      <c r="J26" s="29">
        <f>+GETPIVOTDATA("Sum of Tuition Tot-Old",'Amounts Pivot Table'!$A$3,"state","VA","category2","Four-Year")+GETPIVOTDATA("Sum of Tuition Tot-Old",'Amounts Pivot Table'!$A$3,"state","VA","category2","Two-Year")+GETPIVOTDATA("Sum of Tuition Tot-Old",'Amounts Pivot Table'!$A$3,"state","VA","category2","Technical")</f>
        <v>2674550295</v>
      </c>
      <c r="K26" s="29">
        <f>+GETPIVOTDATA("Sum of Tuition Debt-Old",'Amounts Pivot Table'!$A$3,"state","VA","category2","Four-Year")+GETPIVOTDATA("Sum of Tuition Debt-Old",'Amounts Pivot Table'!$A$3,"state","VA","category2","Two-Year")+GETPIVOTDATA("Sum of Tuition Debt-Old",'Amounts Pivot Table'!$A$3,"state","VA","category2","Technical")</f>
        <v>24204015</v>
      </c>
      <c r="L26" s="29">
        <f>+GETPIVOTDATA("Sum of Tuition SP Tot-Old",'Amounts Pivot Table'!$A$3,"state","VA","category2","Specialized")</f>
        <v>25938207</v>
      </c>
      <c r="M26" s="29">
        <f>+GETPIVOTDATA("Sum of Tuition SP Debt-Old",'Amounts Pivot Table'!$A$3,"state","VA","category2","Specialized")</f>
        <v>347490</v>
      </c>
      <c r="N26" s="29">
        <f>+GETPIVOTDATA("Sum of Health Tuition-Old",'Amounts Pivot Table'!$A$3,"state","VA")</f>
        <v>98816899</v>
      </c>
      <c r="O26" s="29">
        <f t="shared" si="6"/>
        <v>2774753896</v>
      </c>
      <c r="P26" s="29">
        <f t="shared" si="7"/>
        <v>4508968980</v>
      </c>
      <c r="Q26" s="32"/>
      <c r="R26" s="67" t="s">
        <v>327</v>
      </c>
      <c r="S26" s="150">
        <f t="shared" si="0"/>
        <v>0.25814930445584922</v>
      </c>
      <c r="T26" s="150">
        <f t="shared" si="0"/>
        <v>2.3420763032173265E-2</v>
      </c>
      <c r="U26" s="150">
        <f t="shared" si="0"/>
        <v>1.8148709685733965E-2</v>
      </c>
      <c r="V26" s="150">
        <f t="shared" si="0"/>
        <v>2.5194129856267052E-3</v>
      </c>
      <c r="W26" s="150">
        <f t="shared" si="0"/>
        <v>1.9932567599966058E-2</v>
      </c>
      <c r="X26" s="150">
        <f t="shared" si="0"/>
        <v>6.0053046982816015E-2</v>
      </c>
      <c r="Y26" s="326">
        <f t="shared" si="2"/>
        <v>0.38222380474216516</v>
      </c>
      <c r="Z26" s="150">
        <f t="shared" si="8"/>
        <v>2.3907472080235957E-3</v>
      </c>
      <c r="AA26" s="150">
        <f t="shared" si="8"/>
        <v>0.59316227431664437</v>
      </c>
      <c r="AB26" s="150">
        <f t="shared" si="8"/>
        <v>5.3679710610916647E-3</v>
      </c>
      <c r="AC26" s="150">
        <f t="shared" si="8"/>
        <v>5.7525804934679325E-3</v>
      </c>
      <c r="AD26" s="150" t="str">
        <f t="shared" si="8"/>
        <v>*</v>
      </c>
      <c r="AE26" s="150">
        <f t="shared" si="8"/>
        <v>2.1915630699238034E-2</v>
      </c>
      <c r="AF26" s="329">
        <f t="shared" si="3"/>
        <v>0.61538544804981121</v>
      </c>
      <c r="AG26" s="321">
        <f t="shared" si="4"/>
        <v>1</v>
      </c>
      <c r="AH26" s="6"/>
      <c r="AI26" s="6"/>
      <c r="AJ26" s="6"/>
    </row>
    <row r="27" spans="1:36" ht="12" customHeight="1" x14ac:dyDescent="0.2">
      <c r="A27" s="8" t="s">
        <v>332</v>
      </c>
      <c r="B27" s="29">
        <f>+GETPIVOTDATA("Sum of State Gen Purp-Old",'Amounts Pivot Table'!$A$3,"state","WV","category2","Four-Year")+GETPIVOTDATA("Sum of State Gen Purp-Old",'Amounts Pivot Table'!$A$3,"state","WV","category2","Two-Year")+GETPIVOTDATA("Sum of State Gen Purp-Old",'Amounts Pivot Table'!$A$3,"state","WV","category2","Technical")</f>
        <v>282871333</v>
      </c>
      <c r="C27" s="29">
        <f>+GETPIVOTDATA("Sum of State Ed Spec Purp-Old",'Amounts Pivot Table'!$A$3,"state","WV","category2","Four-Year")+GETPIVOTDATA("Sum of State Ed Spec Purp-Old",'Amounts Pivot Table'!$A$3,"state","WV","category2","Two-Year")+GETPIVOTDATA("Sum of State Ed Spec Purp-Old",'Amounts Pivot Table'!$A$3,"state","WV","category2","Technical")</f>
        <v>45931037</v>
      </c>
      <c r="D27" s="29">
        <f>+GETPIVOTDATA("Sum of State Ed Spec Purp-Old",'Amounts Pivot Table'!$A$3,"state","WV","category2","Other")</f>
        <v>333500</v>
      </c>
      <c r="E27" s="29">
        <f>+GETPIVOTDATA("Sum of Other Spec Purp State-Old",'Amounts Pivot Table'!$A$3,"state","WV","category2","Specialized")</f>
        <v>0</v>
      </c>
      <c r="F27" s="29">
        <f>+GETPIVOTDATA("Sum of Health State-Old",'Amounts Pivot Table'!$A$3,"state","WV")</f>
        <v>102323702</v>
      </c>
      <c r="G27" s="29">
        <f>+GETPIVOTDATA("Sum of Other Spec Purp State-Old",'Amounts Pivot Table'!$A$3,"state","WV")</f>
        <v>112414115</v>
      </c>
      <c r="H27" s="29">
        <f t="shared" si="5"/>
        <v>543873687</v>
      </c>
      <c r="I27" s="29">
        <f>+GETPIVOTDATA("Sum of Local-Old",'Amounts Pivot Table'!$A$3,"state","WV")</f>
        <v>0</v>
      </c>
      <c r="J27" s="29">
        <f>+GETPIVOTDATA("Sum of Tuition Tot-Old",'Amounts Pivot Table'!$A$3,"state","WV","category2","Four-Year")+GETPIVOTDATA("Sum of Tuition Tot-Old",'Amounts Pivot Table'!$A$3,"state","WV","category2","Two-Year")+GETPIVOTDATA("Sum of Tuition Tot-Old",'Amounts Pivot Table'!$A$3,"state","WV","category2","Technical")</f>
        <v>567308330</v>
      </c>
      <c r="K27" s="29">
        <f>+GETPIVOTDATA("Sum of Tuition Debt-Old",'Amounts Pivot Table'!$A$3,"state","WV","category2","Four-Year")+GETPIVOTDATA("Sum of Tuition Debt-Old",'Amounts Pivot Table'!$A$3,"state","WV","category2","Two-Year")+GETPIVOTDATA("Sum of Tuition Debt-Old",'Amounts Pivot Table'!$A$3,"state","WV","category2","Technical")</f>
        <v>16321079</v>
      </c>
      <c r="L27" s="29">
        <f>+GETPIVOTDATA("Sum of Tuition SP Tot-Old",'Amounts Pivot Table'!$A$3,"state","WV","category2","Specialized")</f>
        <v>0</v>
      </c>
      <c r="M27" s="29">
        <f>+GETPIVOTDATA("Sum of Tuition SP Debt-Old",'Amounts Pivot Table'!$A$3,"state","WV","category2","Specialized")</f>
        <v>0</v>
      </c>
      <c r="N27" s="29">
        <f>+GETPIVOTDATA("Sum of Health Tuition-Old",'Amounts Pivot Table'!$A$3,"state","WV")</f>
        <v>87060527</v>
      </c>
      <c r="O27" s="29">
        <f t="shared" si="6"/>
        <v>638047778</v>
      </c>
      <c r="P27" s="29">
        <f t="shared" si="7"/>
        <v>1181921465</v>
      </c>
      <c r="Q27" s="34"/>
      <c r="R27" s="68" t="s">
        <v>332</v>
      </c>
      <c r="S27" s="325">
        <f t="shared" si="0"/>
        <v>0.23933175035449586</v>
      </c>
      <c r="T27" s="325">
        <f t="shared" si="0"/>
        <v>3.8861327389464073E-2</v>
      </c>
      <c r="U27" s="325" t="str">
        <f t="shared" si="0"/>
        <v>*</v>
      </c>
      <c r="V27" s="325">
        <f t="shared" si="0"/>
        <v>0</v>
      </c>
      <c r="W27" s="325">
        <f t="shared" si="0"/>
        <v>8.6574027996014102E-2</v>
      </c>
      <c r="X27" s="325">
        <f t="shared" si="0"/>
        <v>9.5111323661424496E-2</v>
      </c>
      <c r="Y27" s="330">
        <f t="shared" si="2"/>
        <v>0.45987842940139856</v>
      </c>
      <c r="Z27" s="332">
        <f t="shared" si="8"/>
        <v>0</v>
      </c>
      <c r="AA27" s="332">
        <f t="shared" si="8"/>
        <v>0.4799881775562812</v>
      </c>
      <c r="AB27" s="332">
        <f t="shared" si="8"/>
        <v>1.3808936958429805E-2</v>
      </c>
      <c r="AC27" s="332">
        <f t="shared" si="8"/>
        <v>0</v>
      </c>
      <c r="AD27" s="332">
        <f t="shared" si="8"/>
        <v>0</v>
      </c>
      <c r="AE27" s="332">
        <f t="shared" si="8"/>
        <v>7.3660162352665287E-2</v>
      </c>
      <c r="AF27" s="331">
        <f t="shared" si="3"/>
        <v>0.53983940295051669</v>
      </c>
      <c r="AG27" s="327">
        <f t="shared" si="4"/>
        <v>0.99971783235191525</v>
      </c>
      <c r="AH27" s="6"/>
      <c r="AI27" s="6"/>
      <c r="AJ27" s="6"/>
    </row>
    <row r="28" spans="1:36" s="73" customFormat="1" ht="24" customHeight="1" x14ac:dyDescent="0.15">
      <c r="A28" s="1562" t="s">
        <v>96</v>
      </c>
      <c r="B28" s="1563"/>
      <c r="C28" s="1563"/>
      <c r="D28" s="1563"/>
      <c r="E28" s="1563"/>
      <c r="F28" s="1563"/>
      <c r="G28" s="1563"/>
      <c r="H28" s="1563"/>
      <c r="I28" s="1563"/>
      <c r="J28" s="1563"/>
      <c r="K28" s="1563"/>
      <c r="L28" s="1563"/>
      <c r="M28" s="1563"/>
      <c r="N28" s="1563"/>
      <c r="O28" s="1563"/>
      <c r="P28" s="1563"/>
      <c r="Q28" s="161"/>
      <c r="R28" s="1558" t="s">
        <v>93</v>
      </c>
      <c r="S28" s="1559"/>
      <c r="T28" s="1559"/>
      <c r="U28" s="1559"/>
      <c r="V28" s="1559"/>
      <c r="W28" s="1559"/>
      <c r="X28" s="1559"/>
      <c r="Y28" s="1559"/>
      <c r="Z28" s="1559"/>
      <c r="AA28" s="1559"/>
      <c r="AB28" s="1559"/>
      <c r="AC28" s="1559"/>
      <c r="AD28" s="1559"/>
      <c r="AE28" s="1559"/>
      <c r="AF28" s="1559"/>
      <c r="AG28" s="1559"/>
      <c r="AH28" s="495"/>
      <c r="AI28" s="495"/>
      <c r="AJ28" s="495"/>
    </row>
    <row r="29" spans="1:36" s="73" customFormat="1" ht="12.75" customHeight="1" x14ac:dyDescent="0.15">
      <c r="A29" s="1558" t="s">
        <v>312</v>
      </c>
      <c r="B29" s="1559"/>
      <c r="C29" s="1559"/>
      <c r="D29" s="1559"/>
      <c r="E29" s="1559"/>
      <c r="F29" s="1559"/>
      <c r="G29" s="1559"/>
      <c r="H29" s="1559"/>
      <c r="I29" s="1559"/>
      <c r="J29" s="1559"/>
      <c r="K29" s="1559"/>
      <c r="L29" s="1559"/>
      <c r="M29" s="1559"/>
      <c r="N29" s="1559"/>
      <c r="O29" s="1559"/>
      <c r="P29" s="1559"/>
      <c r="Q29" s="161"/>
      <c r="R29" s="1558" t="s">
        <v>312</v>
      </c>
      <c r="S29" s="1559"/>
      <c r="T29" s="1559"/>
      <c r="U29" s="1559"/>
      <c r="V29" s="1559"/>
      <c r="W29" s="1559"/>
      <c r="X29" s="1559"/>
      <c r="Y29" s="1559"/>
      <c r="Z29" s="1559"/>
      <c r="AA29" s="1559"/>
      <c r="AB29" s="1559"/>
      <c r="AC29" s="1559"/>
      <c r="AD29" s="1559"/>
      <c r="AE29" s="1559"/>
      <c r="AF29" s="1559"/>
      <c r="AG29" s="1559"/>
      <c r="AH29" s="495"/>
      <c r="AI29" s="495"/>
      <c r="AJ29" s="495"/>
    </row>
    <row r="30" spans="1:36" s="73" customFormat="1" ht="13.5" customHeight="1" x14ac:dyDescent="0.15">
      <c r="A30" s="1558" t="s">
        <v>231</v>
      </c>
      <c r="B30" s="1559"/>
      <c r="C30" s="1559"/>
      <c r="D30" s="1559"/>
      <c r="E30" s="1559"/>
      <c r="F30" s="1559"/>
      <c r="G30" s="1559"/>
      <c r="H30" s="1559"/>
      <c r="I30" s="1559"/>
      <c r="J30" s="1559"/>
      <c r="K30" s="1559"/>
      <c r="L30" s="1559"/>
      <c r="M30" s="1559"/>
      <c r="N30" s="1559"/>
      <c r="O30" s="1559"/>
      <c r="P30" s="1559"/>
      <c r="Q30" s="161"/>
      <c r="R30" s="1558" t="s">
        <v>26</v>
      </c>
      <c r="S30" s="1559"/>
      <c r="T30" s="1559"/>
      <c r="U30" s="1559"/>
      <c r="V30" s="1559"/>
      <c r="W30" s="1559"/>
      <c r="X30" s="1559"/>
      <c r="Y30" s="1559"/>
      <c r="Z30" s="1559"/>
      <c r="AA30" s="1559"/>
      <c r="AB30" s="1559"/>
      <c r="AC30" s="1559"/>
      <c r="AD30" s="1559"/>
      <c r="AE30" s="1559"/>
      <c r="AF30" s="1559"/>
      <c r="AG30" s="1559"/>
      <c r="AH30" s="499"/>
      <c r="AI30" s="499"/>
      <c r="AJ30" s="499"/>
    </row>
    <row r="31" spans="1:36" s="73" customFormat="1" x14ac:dyDescent="0.15">
      <c r="A31" s="1558" t="s">
        <v>246</v>
      </c>
      <c r="B31" s="1559"/>
      <c r="C31" s="1559"/>
      <c r="D31" s="1559"/>
      <c r="E31" s="1559"/>
      <c r="F31" s="1559"/>
      <c r="G31" s="1559"/>
      <c r="H31" s="1559"/>
      <c r="I31" s="1559"/>
      <c r="J31" s="1559"/>
      <c r="K31" s="1559"/>
      <c r="L31" s="1559"/>
      <c r="M31" s="1559"/>
      <c r="N31" s="1559"/>
      <c r="O31" s="1559"/>
      <c r="P31" s="1559"/>
      <c r="Q31" s="161"/>
      <c r="R31" s="1558" t="s">
        <v>246</v>
      </c>
      <c r="S31" s="1559"/>
      <c r="T31" s="1559"/>
      <c r="U31" s="1559"/>
      <c r="V31" s="1559"/>
      <c r="W31" s="1559"/>
      <c r="X31" s="1559"/>
      <c r="Y31" s="1559"/>
      <c r="Z31" s="1559"/>
      <c r="AA31" s="1559"/>
      <c r="AB31" s="1559"/>
      <c r="AC31" s="1559"/>
      <c r="AD31" s="1559"/>
      <c r="AE31" s="1559"/>
      <c r="AF31" s="1559"/>
      <c r="AG31" s="1559"/>
      <c r="AH31" s="495"/>
      <c r="AI31" s="495"/>
      <c r="AJ31" s="495"/>
    </row>
    <row r="32" spans="1:36" s="73" customFormat="1" x14ac:dyDescent="0.15">
      <c r="A32" s="1558" t="s">
        <v>189</v>
      </c>
      <c r="B32" s="1559"/>
      <c r="C32" s="1559"/>
      <c r="D32" s="1559"/>
      <c r="E32" s="1559"/>
      <c r="F32" s="1559"/>
      <c r="G32" s="1559"/>
      <c r="H32" s="1559"/>
      <c r="I32" s="1559"/>
      <c r="J32" s="1559"/>
      <c r="K32" s="1559"/>
      <c r="L32" s="1559"/>
      <c r="M32" s="1559"/>
      <c r="N32" s="1559"/>
      <c r="O32" s="1559"/>
      <c r="P32" s="1559"/>
      <c r="Q32" s="161"/>
      <c r="R32" s="1558" t="s">
        <v>189</v>
      </c>
      <c r="S32" s="1559"/>
      <c r="T32" s="1559"/>
      <c r="U32" s="1559"/>
      <c r="V32" s="1559"/>
      <c r="W32" s="1559"/>
      <c r="X32" s="1559"/>
      <c r="Y32" s="1559"/>
      <c r="Z32" s="1559"/>
      <c r="AA32" s="1559"/>
      <c r="AB32" s="1559"/>
      <c r="AC32" s="1559"/>
      <c r="AD32" s="1559"/>
      <c r="AE32" s="1559"/>
      <c r="AF32" s="1559"/>
      <c r="AG32" s="1559"/>
      <c r="AH32" s="495"/>
      <c r="AI32" s="495"/>
      <c r="AJ32" s="495"/>
    </row>
    <row r="33" spans="1:36" s="73" customFormat="1" x14ac:dyDescent="0.15">
      <c r="A33" s="494"/>
      <c r="B33" s="495"/>
      <c r="C33" s="495"/>
      <c r="D33" s="495"/>
      <c r="E33" s="495"/>
      <c r="F33" s="495"/>
      <c r="G33" s="495"/>
      <c r="H33" s="495"/>
      <c r="I33" s="495"/>
      <c r="J33" s="495"/>
      <c r="K33" s="495"/>
      <c r="L33" s="495"/>
      <c r="M33" s="495"/>
      <c r="N33" s="495"/>
      <c r="O33" s="495"/>
      <c r="P33" s="495"/>
      <c r="Q33" s="161"/>
      <c r="R33" s="72" t="s">
        <v>0</v>
      </c>
      <c r="S33" s="495"/>
      <c r="T33" s="495"/>
      <c r="U33" s="495"/>
      <c r="V33" s="495"/>
      <c r="W33" s="495"/>
      <c r="X33" s="495"/>
      <c r="Y33" s="495"/>
      <c r="Z33" s="495"/>
      <c r="AA33" s="495"/>
      <c r="AB33" s="495"/>
      <c r="AC33" s="495"/>
      <c r="AD33" s="495"/>
      <c r="AE33" s="495"/>
      <c r="AF33" s="495"/>
      <c r="AG33" s="495"/>
      <c r="AH33" s="495"/>
      <c r="AI33" s="495"/>
      <c r="AJ33" s="495"/>
    </row>
    <row r="34" spans="1:36" x14ac:dyDescent="0.2">
      <c r="AG34" s="535" t="s">
        <v>1898</v>
      </c>
    </row>
  </sheetData>
  <mergeCells count="28">
    <mergeCell ref="A30:P30"/>
    <mergeCell ref="R30:AG30"/>
    <mergeCell ref="A31:P31"/>
    <mergeCell ref="R31:AG31"/>
    <mergeCell ref="A32:P32"/>
    <mergeCell ref="R32:AG32"/>
    <mergeCell ref="A28:P28"/>
    <mergeCell ref="R28:AG28"/>
    <mergeCell ref="A29:P29"/>
    <mergeCell ref="R29:AG29"/>
    <mergeCell ref="X5:X6"/>
    <mergeCell ref="Y5:Y6"/>
    <mergeCell ref="Z5:Z6"/>
    <mergeCell ref="AA5:AB5"/>
    <mergeCell ref="AC5:AD5"/>
    <mergeCell ref="AE5:AE6"/>
    <mergeCell ref="R1:AG1"/>
    <mergeCell ref="R2:AG2"/>
    <mergeCell ref="R3:AG3"/>
    <mergeCell ref="B5:B6"/>
    <mergeCell ref="C5:C6"/>
    <mergeCell ref="S5:S6"/>
    <mergeCell ref="T5:T6"/>
    <mergeCell ref="U5:U6"/>
    <mergeCell ref="V5:V6"/>
    <mergeCell ref="W5:W6"/>
    <mergeCell ref="AF5:AF6"/>
    <mergeCell ref="AG5:AG6"/>
  </mergeCells>
  <printOptions horizontalCentered="1"/>
  <pageMargins left="0.25" right="0.25" top="0.7" bottom="0.25" header="0.75" footer="0.25"/>
  <pageSetup scale="89" firstPageNumber="116" orientation="landscape" useFirstPageNumber="1" r:id="rId1"/>
  <headerFooter alignWithMargins="0">
    <oddHeader>&amp;R&amp;"Arial,Regular"&amp;8SREB-State Data Exchange</oddHeader>
    <oddFooter xml:space="preserve">&amp;C&amp;"Arial,Regular"C-&amp;P&amp;R&amp;"Arial,Regular"&amp;8 </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enableFormatConditionsCalculation="0">
    <tabColor indexed="16"/>
  </sheetPr>
  <dimension ref="A1:AD555"/>
  <sheetViews>
    <sheetView showZeros="0" view="pageBreakPreview" zoomScaleNormal="100" zoomScaleSheetLayoutView="100" workbookViewId="0"/>
  </sheetViews>
  <sheetFormatPr defaultColWidth="8.875" defaultRowHeight="12.75" x14ac:dyDescent="0.2"/>
  <cols>
    <col min="1" max="1" width="12.125" style="73" customWidth="1"/>
    <col min="2" max="2" width="8.5" style="73" customWidth="1"/>
    <col min="3" max="3" width="11.375" style="73" customWidth="1"/>
    <col min="4" max="4" width="9.125" style="73" customWidth="1"/>
    <col min="5" max="5" width="10" style="73" customWidth="1"/>
    <col min="6" max="6" width="9.25" style="73" customWidth="1"/>
    <col min="7" max="7" width="10.25" style="73" customWidth="1"/>
    <col min="8" max="8" width="10.375" style="73" customWidth="1"/>
    <col min="9" max="9" width="10.875" style="73" customWidth="1"/>
    <col min="10" max="10" width="9.25" style="73" customWidth="1"/>
    <col min="11" max="11" width="8.625" style="73" customWidth="1"/>
    <col min="12" max="12" width="2.5" style="73" customWidth="1"/>
    <col min="13" max="13" width="11.125" style="304" customWidth="1"/>
    <col min="14" max="16" width="10.875" style="73" customWidth="1"/>
    <col min="17" max="17" width="10.75" style="73" customWidth="1"/>
    <col min="18" max="18" width="13.75" style="73" customWidth="1"/>
    <col min="19" max="20" width="13.625" style="73" customWidth="1"/>
    <col min="21" max="21" width="9.25" style="73" customWidth="1"/>
    <col min="22" max="22" width="8.25" style="73" customWidth="1"/>
    <col min="23" max="23" width="8.875" style="73" customWidth="1"/>
    <col min="24" max="24" width="9" style="73" customWidth="1"/>
    <col min="25" max="26" width="13.375" style="73" bestFit="1" customWidth="1"/>
    <col min="27" max="29" width="14.125" style="73" customWidth="1"/>
    <col min="30" max="30" width="13.75" style="73" customWidth="1"/>
    <col min="31" max="16384" width="8.875" style="73"/>
  </cols>
  <sheetData>
    <row r="1" spans="1:29" s="94" customFormat="1" ht="18" x14ac:dyDescent="0.2">
      <c r="A1" s="135" t="s">
        <v>358</v>
      </c>
      <c r="B1" s="92"/>
      <c r="C1" s="92"/>
      <c r="D1" s="92"/>
      <c r="E1" s="92"/>
      <c r="F1" s="92"/>
      <c r="G1" s="92"/>
      <c r="H1" s="92"/>
      <c r="I1" s="92"/>
      <c r="J1" s="92" t="s">
        <v>91</v>
      </c>
      <c r="K1" s="92"/>
      <c r="L1" s="163"/>
      <c r="M1" s="296"/>
      <c r="N1" s="93"/>
      <c r="O1" s="93"/>
      <c r="P1" s="93"/>
      <c r="Q1" s="93"/>
    </row>
    <row r="2" spans="1:29" s="94" customFormat="1" ht="10.5" customHeight="1" x14ac:dyDescent="0.2">
      <c r="A2" s="135"/>
      <c r="B2" s="92"/>
      <c r="C2" s="92"/>
      <c r="D2" s="92"/>
      <c r="E2" s="92"/>
      <c r="F2" s="92"/>
      <c r="G2" s="92"/>
      <c r="H2" s="92"/>
      <c r="I2" s="92"/>
      <c r="J2" s="92"/>
      <c r="K2" s="92"/>
      <c r="L2" s="163"/>
      <c r="M2" s="296"/>
      <c r="N2" s="93"/>
      <c r="O2" s="93"/>
      <c r="P2" s="93"/>
      <c r="Q2" s="93"/>
    </row>
    <row r="3" spans="1:29" s="94" customFormat="1" ht="18.75" x14ac:dyDescent="0.2">
      <c r="A3" s="1557" t="s">
        <v>18</v>
      </c>
      <c r="B3" s="1557"/>
      <c r="C3" s="1557"/>
      <c r="D3" s="1557"/>
      <c r="E3" s="1557"/>
      <c r="F3" s="1557"/>
      <c r="G3" s="1557"/>
      <c r="H3" s="1557"/>
      <c r="I3" s="1557"/>
      <c r="J3" s="92"/>
      <c r="K3" s="92"/>
      <c r="L3" s="163"/>
      <c r="M3" s="296"/>
      <c r="N3" s="93"/>
      <c r="O3" s="93"/>
      <c r="P3" s="93"/>
      <c r="Q3" s="93"/>
    </row>
    <row r="4" spans="1:29" s="94" customFormat="1" ht="15.75" x14ac:dyDescent="0.2">
      <c r="A4" s="91" t="s">
        <v>1893</v>
      </c>
      <c r="B4" s="91"/>
      <c r="C4" s="91"/>
      <c r="D4" s="91"/>
      <c r="E4" s="91"/>
      <c r="F4" s="91"/>
      <c r="G4" s="91"/>
      <c r="H4" s="91"/>
      <c r="I4" s="91"/>
      <c r="J4" s="92" t="s">
        <v>91</v>
      </c>
      <c r="K4" s="91"/>
      <c r="L4" s="164"/>
      <c r="M4" s="297"/>
      <c r="N4" s="93"/>
      <c r="O4" s="492" t="s">
        <v>388</v>
      </c>
      <c r="P4" s="93"/>
      <c r="Q4" s="93"/>
      <c r="Y4" s="484" t="s">
        <v>382</v>
      </c>
    </row>
    <row r="5" spans="1:29" s="100" customFormat="1" ht="7.5" customHeight="1" x14ac:dyDescent="0.2">
      <c r="A5" s="96"/>
      <c r="B5" s="96"/>
      <c r="C5" s="96"/>
      <c r="D5" s="96"/>
      <c r="E5" s="96"/>
      <c r="F5" s="96"/>
      <c r="G5" s="97"/>
      <c r="H5" s="96"/>
      <c r="I5" s="96"/>
      <c r="J5" s="98"/>
      <c r="K5" s="96"/>
      <c r="L5" s="165"/>
      <c r="M5" s="297"/>
      <c r="N5" s="99"/>
      <c r="O5" s="492"/>
      <c r="P5" s="99"/>
    </row>
    <row r="6" spans="1:29" s="61" customFormat="1" ht="15.75" x14ac:dyDescent="0.2">
      <c r="A6" s="60"/>
      <c r="B6" s="1589" t="s">
        <v>55</v>
      </c>
      <c r="C6" s="1589"/>
      <c r="D6" s="1589"/>
      <c r="E6" s="1590"/>
      <c r="F6" s="1591" t="s">
        <v>119</v>
      </c>
      <c r="G6" s="1592"/>
      <c r="H6" s="1592"/>
      <c r="I6" s="1592"/>
      <c r="J6" s="73" t="s">
        <v>91</v>
      </c>
      <c r="K6" s="73"/>
      <c r="L6" s="166"/>
      <c r="M6" s="296"/>
      <c r="N6" s="73"/>
      <c r="O6" s="474" t="s">
        <v>384</v>
      </c>
      <c r="P6" s="474"/>
      <c r="Q6" s="475"/>
      <c r="R6" s="474" t="s">
        <v>385</v>
      </c>
      <c r="S6" s="474"/>
      <c r="T6" s="475"/>
      <c r="U6" s="474" t="s">
        <v>419</v>
      </c>
      <c r="V6" s="474"/>
      <c r="W6" s="474"/>
      <c r="X6" s="406"/>
      <c r="Y6" s="74"/>
    </row>
    <row r="7" spans="1:29" s="6" customFormat="1" ht="50.25" customHeight="1" x14ac:dyDescent="0.2">
      <c r="A7" s="50"/>
      <c r="B7" s="550" t="s">
        <v>87</v>
      </c>
      <c r="C7" s="551" t="s">
        <v>89</v>
      </c>
      <c r="D7" s="551" t="s">
        <v>398</v>
      </c>
      <c r="E7" s="551" t="s">
        <v>97</v>
      </c>
      <c r="F7" s="552" t="s">
        <v>87</v>
      </c>
      <c r="G7" s="551" t="s">
        <v>89</v>
      </c>
      <c r="H7" s="551" t="s">
        <v>398</v>
      </c>
      <c r="I7" s="551" t="s">
        <v>97</v>
      </c>
      <c r="J7" s="16"/>
      <c r="K7" s="7"/>
      <c r="L7" s="167"/>
      <c r="M7" s="473" t="s">
        <v>380</v>
      </c>
      <c r="N7" s="718" t="s">
        <v>381</v>
      </c>
      <c r="O7" s="476" t="s">
        <v>11</v>
      </c>
      <c r="P7" s="477" t="s">
        <v>383</v>
      </c>
      <c r="Q7" s="477" t="s">
        <v>97</v>
      </c>
      <c r="R7" s="476" t="s">
        <v>11</v>
      </c>
      <c r="S7" s="477" t="s">
        <v>383</v>
      </c>
      <c r="T7" s="477" t="s">
        <v>97</v>
      </c>
      <c r="U7" s="476" t="s">
        <v>11</v>
      </c>
      <c r="V7" s="477" t="s">
        <v>383</v>
      </c>
      <c r="W7" s="477" t="s">
        <v>97</v>
      </c>
      <c r="X7" s="477"/>
      <c r="Y7" s="8"/>
      <c r="Z7" s="51" t="s">
        <v>87</v>
      </c>
      <c r="AA7" s="52" t="s">
        <v>89</v>
      </c>
      <c r="AB7" s="52" t="s">
        <v>306</v>
      </c>
      <c r="AC7" s="52" t="s">
        <v>97</v>
      </c>
    </row>
    <row r="8" spans="1:29" s="61" customFormat="1" ht="16.5" customHeight="1" x14ac:dyDescent="0.2">
      <c r="A8" s="406" t="s">
        <v>56</v>
      </c>
      <c r="B8" s="553">
        <f>IF($M8&gt;0,('Amounts Pivot Table'!I$631/$M8),0)</f>
        <v>5727.7024497413904</v>
      </c>
      <c r="C8" s="553">
        <f>IF($M8&gt;0,('Amounts Pivot Table'!I$634/$M8),0)</f>
        <v>588.45654973040882</v>
      </c>
      <c r="D8" s="553">
        <f>IF($M8&gt;0,('Amounts Pivot Table'!I$640/$M8),0)</f>
        <v>8463.6317574739678</v>
      </c>
      <c r="E8" s="553">
        <f>SUM(B8:D8)</f>
        <v>14779.790756945767</v>
      </c>
      <c r="F8" s="554"/>
      <c r="G8" s="555"/>
      <c r="H8" s="555"/>
      <c r="I8" s="555"/>
      <c r="J8" s="101"/>
      <c r="K8" s="73"/>
      <c r="L8" s="168"/>
      <c r="M8" s="820">
        <f>+'[1]NEW-Tables 80-86'!H70</f>
        <v>2394899.7166666663</v>
      </c>
      <c r="N8" s="821">
        <f>+'[1]NEW-Tables 80-86'!W70</f>
        <v>2389652.5295000002</v>
      </c>
      <c r="O8" s="478">
        <f>+B8+C8</f>
        <v>6316.1589994717997</v>
      </c>
      <c r="P8" s="479">
        <f>+D8</f>
        <v>8463.6317574739678</v>
      </c>
      <c r="Q8" s="480">
        <f>+E8</f>
        <v>14779.790756945767</v>
      </c>
      <c r="R8" s="481">
        <f>IF($N8&gt;0,(('Amounts Pivot Table'!I$630+'Amounts Pivot Table'!I$633)/$N8),0)</f>
        <v>6061.2805636267221</v>
      </c>
      <c r="S8" s="482">
        <f>IF($N8&gt;0,('Amounts Pivot Table'!I$639/$N8),0)</f>
        <v>8202.4989923408066</v>
      </c>
      <c r="T8" s="482">
        <f>+S8+R8</f>
        <v>14263.779555967529</v>
      </c>
      <c r="U8" s="486">
        <f>(O8-R8)/R8</f>
        <v>4.2050262014694292E-2</v>
      </c>
      <c r="V8" s="487">
        <f>(P8-S8)/S8</f>
        <v>3.1835757051234925E-2</v>
      </c>
      <c r="W8" s="487">
        <f>(Q8-T8)/T8</f>
        <v>3.6176330330508752E-2</v>
      </c>
      <c r="X8" s="249"/>
      <c r="Y8" s="73" t="s">
        <v>56</v>
      </c>
      <c r="Z8" s="61">
        <f>B8*$M8</f>
        <v>13717272974.036627</v>
      </c>
      <c r="AA8" s="61">
        <f>C8*$M8</f>
        <v>1409294424.22</v>
      </c>
      <c r="AB8" s="61">
        <f>D8*$M8</f>
        <v>20269549297.945404</v>
      </c>
      <c r="AC8" s="61">
        <f>E8*$M8</f>
        <v>35396116696.202034</v>
      </c>
    </row>
    <row r="9" spans="1:29" s="61" customFormat="1" ht="9" customHeight="1" x14ac:dyDescent="0.2">
      <c r="A9" s="406"/>
      <c r="B9" s="553"/>
      <c r="C9" s="553"/>
      <c r="D9" s="553"/>
      <c r="E9" s="553"/>
      <c r="F9" s="554"/>
      <c r="G9" s="555"/>
      <c r="H9" s="555"/>
      <c r="I9" s="555"/>
      <c r="J9" s="101"/>
      <c r="K9" s="73"/>
      <c r="L9" s="168"/>
      <c r="M9" s="820"/>
      <c r="N9" s="821"/>
      <c r="O9" s="478"/>
      <c r="P9" s="479"/>
      <c r="Q9" s="480"/>
      <c r="R9" s="478"/>
      <c r="S9" s="480"/>
      <c r="T9" s="482"/>
      <c r="U9" s="489"/>
      <c r="V9" s="488"/>
      <c r="W9" s="488"/>
      <c r="X9" s="249"/>
      <c r="Y9" s="73"/>
    </row>
    <row r="10" spans="1:29" s="61" customFormat="1" x14ac:dyDescent="0.2">
      <c r="A10" s="406" t="s">
        <v>320</v>
      </c>
      <c r="B10" s="556">
        <f>IF($M10&gt;0,('Amounts Pivot Table'!I$7/$M10),0)</f>
        <v>4738.0670704215763</v>
      </c>
      <c r="C10" s="556">
        <f>IF($M10&gt;0,('Amounts Pivot Table'!I$10/$M10),0)</f>
        <v>603.85370048343623</v>
      </c>
      <c r="D10" s="556">
        <f>IF($M10&gt;0,('Amounts Pivot Table'!I$16/$M10),0)</f>
        <v>10887.106984462944</v>
      </c>
      <c r="E10" s="556">
        <f>SUM(B10:D10)</f>
        <v>16229.027755367955</v>
      </c>
      <c r="F10" s="557">
        <f t="shared" ref="F10:I13" si="0">IF(B10&gt;0,RANK(B10,B$10:B$28),)</f>
        <v>12</v>
      </c>
      <c r="G10" s="558">
        <f t="shared" si="0"/>
        <v>9</v>
      </c>
      <c r="H10" s="558">
        <f t="shared" si="0"/>
        <v>5</v>
      </c>
      <c r="I10" s="558">
        <f t="shared" si="0"/>
        <v>6</v>
      </c>
      <c r="J10" s="75"/>
      <c r="K10" s="73"/>
      <c r="L10" s="168"/>
      <c r="M10" s="820">
        <f>+'[1]NEW-Tables 80-86'!H72</f>
        <v>128550.20833333334</v>
      </c>
      <c r="N10" s="821">
        <f>+'[1]NEW-Tables 80-86'!W72</f>
        <v>129153.88333333333</v>
      </c>
      <c r="O10" s="478">
        <f t="shared" ref="O10:O28" si="1">+B10+C10</f>
        <v>5341.9207709050124</v>
      </c>
      <c r="P10" s="479">
        <f t="shared" ref="P10:P28" si="2">+D10</f>
        <v>10887.106984462944</v>
      </c>
      <c r="Q10" s="480">
        <f t="shared" ref="Q10:Q28" si="3">+E10</f>
        <v>16229.027755367955</v>
      </c>
      <c r="R10" s="483">
        <f>IF($N10&gt;0,(('Amounts Pivot Table'!I$6+'Amounts Pivot Table'!I$9)/$N10),0)</f>
        <v>5379.1801846711796</v>
      </c>
      <c r="S10" s="482">
        <f>IF($N10&gt;0,('Amounts Pivot Table'!I$15/$N10),0)</f>
        <v>11164.737209476087</v>
      </c>
      <c r="T10" s="482">
        <f t="shared" ref="T10:T29" si="4">+S10+R10</f>
        <v>16543.917394147265</v>
      </c>
      <c r="U10" s="485">
        <f t="shared" ref="U10:U28" si="5">(O10-R10)/R10</f>
        <v>-6.9265970811581588E-3</v>
      </c>
      <c r="V10" s="487">
        <f t="shared" ref="V10:V28" si="6">(P10-S10)/S10</f>
        <v>-2.4866704858713909E-2</v>
      </c>
      <c r="W10" s="487">
        <f t="shared" ref="W10:W28" si="7">(Q10-T10)/T10</f>
        <v>-1.9033559662883021E-2</v>
      </c>
      <c r="X10" s="249"/>
      <c r="Y10" s="73" t="s">
        <v>320</v>
      </c>
      <c r="Z10" s="73">
        <f t="shared" ref="Z10:Z28" si="8">B10*$M10</f>
        <v>609079509</v>
      </c>
      <c r="AA10" s="73">
        <f t="shared" ref="AA10:AA28" si="9">C10*$M10</f>
        <v>77625519</v>
      </c>
      <c r="AB10" s="73">
        <f t="shared" ref="AB10:AB28" si="10">D10*$M10</f>
        <v>1399539871</v>
      </c>
      <c r="AC10" s="73">
        <f t="shared" ref="AC10:AC28" si="11">E10*$M10</f>
        <v>2086244898.9999998</v>
      </c>
    </row>
    <row r="11" spans="1:29" s="61" customFormat="1" x14ac:dyDescent="0.2">
      <c r="A11" s="406" t="s">
        <v>334</v>
      </c>
      <c r="B11" s="556">
        <f>IF($M11&gt;0,('Amounts Pivot Table'!I$46/$M11),0)</f>
        <v>5433.8225790567285</v>
      </c>
      <c r="C11" s="556">
        <f>IF($M11&gt;0,('Amounts Pivot Table'!I$49/$M11),0)</f>
        <v>1163.6953302733309</v>
      </c>
      <c r="D11" s="556">
        <f>IF($M11&gt;0,('Amounts Pivot Table'!I$55/$M11),0)</f>
        <v>7801.498311125968</v>
      </c>
      <c r="E11" s="556">
        <f t="shared" ref="E11:E28" si="12">SUM(B11:D11)</f>
        <v>14399.016220456027</v>
      </c>
      <c r="F11" s="557">
        <f t="shared" si="0"/>
        <v>9</v>
      </c>
      <c r="G11" s="558">
        <f t="shared" si="0"/>
        <v>2</v>
      </c>
      <c r="H11" s="558">
        <f t="shared" si="0"/>
        <v>10</v>
      </c>
      <c r="I11" s="558">
        <f t="shared" si="0"/>
        <v>9</v>
      </c>
      <c r="J11" s="75"/>
      <c r="K11" s="73"/>
      <c r="L11" s="168"/>
      <c r="M11" s="820">
        <f>+'[1]NEW-Tables 80-86'!H73</f>
        <v>80978.508333333317</v>
      </c>
      <c r="N11" s="821">
        <f>+'[1]NEW-Tables 80-86'!W73</f>
        <v>80386.45</v>
      </c>
      <c r="O11" s="478">
        <f t="shared" si="1"/>
        <v>6597.5179093300594</v>
      </c>
      <c r="P11" s="479">
        <f t="shared" si="2"/>
        <v>7801.498311125968</v>
      </c>
      <c r="Q11" s="480">
        <f t="shared" si="3"/>
        <v>14399.016220456027</v>
      </c>
      <c r="R11" s="483">
        <f>IF($N11&gt;0,(('Amounts Pivot Table'!I$45+'Amounts Pivot Table'!I$48)/$N11),0)</f>
        <v>6563.7147180899274</v>
      </c>
      <c r="S11" s="482">
        <f>IF($N11&gt;0,('Amounts Pivot Table'!I$54/$N11),0)</f>
        <v>7383.3205720615852</v>
      </c>
      <c r="T11" s="482">
        <f t="shared" si="4"/>
        <v>13947.035290151513</v>
      </c>
      <c r="U11" s="485">
        <f t="shared" si="5"/>
        <v>5.150009208500294E-3</v>
      </c>
      <c r="V11" s="487">
        <f t="shared" si="6"/>
        <v>5.6638166389085622E-2</v>
      </c>
      <c r="W11" s="487">
        <f t="shared" si="7"/>
        <v>3.2406953944088344E-2</v>
      </c>
      <c r="X11" s="249"/>
      <c r="Y11" s="73" t="s">
        <v>334</v>
      </c>
      <c r="Z11" s="73">
        <f t="shared" si="8"/>
        <v>440022847</v>
      </c>
      <c r="AA11" s="73">
        <f t="shared" si="9"/>
        <v>94234312</v>
      </c>
      <c r="AB11" s="73">
        <f t="shared" si="10"/>
        <v>631753696</v>
      </c>
      <c r="AC11" s="73">
        <f t="shared" si="11"/>
        <v>1166010855</v>
      </c>
    </row>
    <row r="12" spans="1:29" s="61" customFormat="1" x14ac:dyDescent="0.2">
      <c r="A12" s="406" t="s">
        <v>321</v>
      </c>
      <c r="B12" s="559">
        <f>IF($M12&gt;0,('Amounts Pivot Table'!I$85/$M12),0)</f>
        <v>6292.5310774194895</v>
      </c>
      <c r="C12" s="559">
        <f>IF($M12&gt;0,('Amounts Pivot Table'!I$88/$M12),0)</f>
        <v>262.4552092167043</v>
      </c>
      <c r="D12" s="559">
        <f>IF($M12&gt;0,('Amounts Pivot Table'!I$94/$M12),0)</f>
        <v>23140.681241855753</v>
      </c>
      <c r="E12" s="559">
        <f>SUM(B12:D12)</f>
        <v>29695.667528491947</v>
      </c>
      <c r="F12" s="560">
        <f t="shared" si="0"/>
        <v>3</v>
      </c>
      <c r="G12" s="561">
        <f t="shared" si="0"/>
        <v>15</v>
      </c>
      <c r="H12" s="561">
        <f t="shared" si="0"/>
        <v>1</v>
      </c>
      <c r="I12" s="561">
        <f t="shared" si="0"/>
        <v>1</v>
      </c>
      <c r="J12" s="75"/>
      <c r="K12" s="73"/>
      <c r="L12" s="168"/>
      <c r="M12" s="820">
        <f>+'[1]NEW-Tables 80-86'!H74</f>
        <v>24173.499999999996</v>
      </c>
      <c r="N12" s="821">
        <f>+'[1]NEW-Tables 80-86'!W74</f>
        <v>23940.275000000001</v>
      </c>
      <c r="O12" s="478">
        <f t="shared" si="1"/>
        <v>6554.9862866361937</v>
      </c>
      <c r="P12" s="479">
        <f t="shared" si="2"/>
        <v>23140.681241855753</v>
      </c>
      <c r="Q12" s="480">
        <f t="shared" si="3"/>
        <v>29695.667528491947</v>
      </c>
      <c r="R12" s="483">
        <f>IF($N12&gt;0,(('Amounts Pivot Table'!I$84+'Amounts Pivot Table'!I$87)/$N12),0)</f>
        <v>6508.0873131156595</v>
      </c>
      <c r="S12" s="482">
        <f>IF($N12&gt;0,('Amounts Pivot Table'!I$93/$N12),0)</f>
        <v>21976.473829143564</v>
      </c>
      <c r="T12" s="482">
        <f t="shared" ref="T12" si="13">+S12+R12</f>
        <v>28484.561142259223</v>
      </c>
      <c r="U12" s="485">
        <f t="shared" si="5"/>
        <v>7.20626065142354E-3</v>
      </c>
      <c r="V12" s="487">
        <f t="shared" si="6"/>
        <v>5.2975168890302293E-2</v>
      </c>
      <c r="W12" s="487">
        <f t="shared" si="7"/>
        <v>4.2517993525831341E-2</v>
      </c>
      <c r="X12" s="249"/>
      <c r="Y12" s="73" t="s">
        <v>321</v>
      </c>
      <c r="Z12" s="73">
        <f t="shared" si="8"/>
        <v>152112500</v>
      </c>
      <c r="AA12" s="73">
        <f t="shared" si="9"/>
        <v>6344461.0000000009</v>
      </c>
      <c r="AB12" s="73">
        <f t="shared" si="10"/>
        <v>559391258</v>
      </c>
      <c r="AC12" s="73">
        <f t="shared" si="11"/>
        <v>717848219</v>
      </c>
    </row>
    <row r="13" spans="1:29" s="61" customFormat="1" x14ac:dyDescent="0.2">
      <c r="A13" s="406" t="s">
        <v>328</v>
      </c>
      <c r="B13" s="556">
        <f>IF($M13&gt;0,('Amounts Pivot Table'!I$124/$M13),0)</f>
        <v>5834.7304478169826</v>
      </c>
      <c r="C13" s="556">
        <f>IF($M13&gt;0,('Amounts Pivot Table'!I$127/$M13),0)</f>
        <v>723.38042588188398</v>
      </c>
      <c r="D13" s="556">
        <f>IF($M13&gt;0,('Amounts Pivot Table'!I$133/$M13),0)</f>
        <v>5837.1162527758561</v>
      </c>
      <c r="E13" s="556">
        <f t="shared" si="12"/>
        <v>12395.227126474721</v>
      </c>
      <c r="F13" s="557">
        <f t="shared" si="0"/>
        <v>5</v>
      </c>
      <c r="G13" s="558">
        <f t="shared" si="0"/>
        <v>6</v>
      </c>
      <c r="H13" s="558">
        <f t="shared" si="0"/>
        <v>16</v>
      </c>
      <c r="I13" s="558">
        <f t="shared" si="0"/>
        <v>14</v>
      </c>
      <c r="J13" s="75"/>
      <c r="K13" s="73"/>
      <c r="L13" s="168"/>
      <c r="M13" s="820">
        <f>+'[1]NEW-Tables 80-86'!H75</f>
        <v>292548.64166666666</v>
      </c>
      <c r="N13" s="821">
        <f>+'[1]NEW-Tables 80-86'!W75</f>
        <v>295499.88750000001</v>
      </c>
      <c r="O13" s="478">
        <f t="shared" si="1"/>
        <v>6558.1108736988663</v>
      </c>
      <c r="P13" s="479">
        <f t="shared" si="2"/>
        <v>5837.1162527758561</v>
      </c>
      <c r="Q13" s="480">
        <f t="shared" si="3"/>
        <v>12395.227126474721</v>
      </c>
      <c r="R13" s="483">
        <f>IF($N13&gt;0,(('Amounts Pivot Table'!I$123+'Amounts Pivot Table'!I$126)/$N13),0)</f>
        <v>4957.0923068456323</v>
      </c>
      <c r="S13" s="482">
        <f>IF($N13&gt;0,('Amounts Pivot Table'!I$132/$N13),0)</f>
        <v>5429.5620704762523</v>
      </c>
      <c r="T13" s="482">
        <f t="shared" si="4"/>
        <v>10386.654377321884</v>
      </c>
      <c r="U13" s="485">
        <f t="shared" si="5"/>
        <v>0.32297533871666334</v>
      </c>
      <c r="V13" s="487">
        <f t="shared" si="6"/>
        <v>7.5062072596189203E-2</v>
      </c>
      <c r="W13" s="487">
        <f t="shared" si="7"/>
        <v>0.19338014688717622</v>
      </c>
      <c r="X13" s="249"/>
      <c r="Y13" s="73" t="s">
        <v>328</v>
      </c>
      <c r="Z13" s="73">
        <f t="shared" si="8"/>
        <v>1706942467</v>
      </c>
      <c r="AA13" s="73">
        <f t="shared" si="9"/>
        <v>211623961</v>
      </c>
      <c r="AB13" s="73">
        <f t="shared" si="10"/>
        <v>1707640431</v>
      </c>
      <c r="AC13" s="73">
        <f t="shared" si="11"/>
        <v>3626206858.9999995</v>
      </c>
    </row>
    <row r="14" spans="1:29" s="61" customFormat="1" x14ac:dyDescent="0.2">
      <c r="A14" s="406"/>
      <c r="B14" s="556"/>
      <c r="C14" s="556"/>
      <c r="D14" s="556"/>
      <c r="E14" s="556"/>
      <c r="F14" s="557"/>
      <c r="G14" s="558"/>
      <c r="H14" s="558"/>
      <c r="I14" s="558"/>
      <c r="J14" s="75"/>
      <c r="K14" s="73"/>
      <c r="L14" s="168"/>
      <c r="M14" s="820"/>
      <c r="N14" s="821"/>
      <c r="O14" s="478"/>
      <c r="P14" s="479"/>
      <c r="Q14" s="480"/>
      <c r="R14" s="483"/>
      <c r="S14" s="482"/>
      <c r="T14" s="482"/>
      <c r="U14" s="485"/>
      <c r="V14" s="487"/>
      <c r="W14" s="487"/>
      <c r="X14" s="249"/>
      <c r="Y14" s="73"/>
      <c r="Z14" s="73"/>
      <c r="AA14" s="73"/>
      <c r="AB14" s="73"/>
      <c r="AC14" s="73"/>
    </row>
    <row r="15" spans="1:29" s="61" customFormat="1" x14ac:dyDescent="0.2">
      <c r="A15" s="406" t="s">
        <v>329</v>
      </c>
      <c r="B15" s="556">
        <f>IF($M15&gt;0,('Amounts Pivot Table'!I$163/$M15),0)</f>
        <v>5683.579666917356</v>
      </c>
      <c r="C15" s="556">
        <f>IF($M15&gt;0,('Amounts Pivot Table'!I$166/$M15),0)</f>
        <v>383.35210991172096</v>
      </c>
      <c r="D15" s="556">
        <f>IF($M15&gt;0,('Amounts Pivot Table'!I$172/$M15),0)</f>
        <v>7540.7470372412699</v>
      </c>
      <c r="E15" s="556">
        <f t="shared" si="12"/>
        <v>13607.678814070347</v>
      </c>
      <c r="F15" s="557">
        <f t="shared" ref="F15:I18" si="14">IF(B15&gt;0,RANK(B15,B$10:B$28),)</f>
        <v>7</v>
      </c>
      <c r="G15" s="558">
        <f t="shared" si="14"/>
        <v>14</v>
      </c>
      <c r="H15" s="558">
        <f t="shared" si="14"/>
        <v>11</v>
      </c>
      <c r="I15" s="558">
        <f t="shared" si="14"/>
        <v>11</v>
      </c>
      <c r="J15" s="75"/>
      <c r="K15" s="73"/>
      <c r="L15" s="168"/>
      <c r="M15" s="820">
        <f>+'[1]NEW-Tables 80-86'!H77</f>
        <v>228769.05000000002</v>
      </c>
      <c r="N15" s="821">
        <f>+'[1]NEW-Tables 80-86'!W77</f>
        <v>228526.42583333331</v>
      </c>
      <c r="O15" s="478">
        <f t="shared" si="1"/>
        <v>6066.9317768290766</v>
      </c>
      <c r="P15" s="479">
        <f t="shared" si="2"/>
        <v>7540.7470372412699</v>
      </c>
      <c r="Q15" s="480">
        <f t="shared" si="3"/>
        <v>13607.678814070347</v>
      </c>
      <c r="R15" s="483">
        <f>IF($N15&gt;0,(('Amounts Pivot Table'!I$162+'Amounts Pivot Table'!I$165)/$N15),0)</f>
        <v>5668.2057021479914</v>
      </c>
      <c r="S15" s="482">
        <f>IF($N15&gt;0,('Amounts Pivot Table'!I$171/$N15),0)</f>
        <v>7333.587710430761</v>
      </c>
      <c r="T15" s="482">
        <f t="shared" si="4"/>
        <v>13001.793412578752</v>
      </c>
      <c r="U15" s="485">
        <f t="shared" si="5"/>
        <v>7.0344319813585146E-2</v>
      </c>
      <c r="V15" s="487">
        <f t="shared" si="6"/>
        <v>2.8248019249276935E-2</v>
      </c>
      <c r="W15" s="487">
        <f t="shared" si="7"/>
        <v>4.660014063178565E-2</v>
      </c>
      <c r="X15" s="249"/>
      <c r="Y15" s="73" t="s">
        <v>329</v>
      </c>
      <c r="Z15" s="73">
        <f t="shared" si="8"/>
        <v>1300227121</v>
      </c>
      <c r="AA15" s="73">
        <f t="shared" si="9"/>
        <v>87699098</v>
      </c>
      <c r="AB15" s="73">
        <f t="shared" si="10"/>
        <v>1725089536</v>
      </c>
      <c r="AC15" s="73">
        <f t="shared" si="11"/>
        <v>3113015755</v>
      </c>
    </row>
    <row r="16" spans="1:29" s="61" customFormat="1" x14ac:dyDescent="0.2">
      <c r="A16" s="406" t="s">
        <v>322</v>
      </c>
      <c r="B16" s="556">
        <f>IF($M16&gt;0,('Amounts Pivot Table'!I$202/$M16),0)</f>
        <v>5687.7937365112766</v>
      </c>
      <c r="C16" s="556">
        <f>IF($M16&gt;0,('Amounts Pivot Table'!I$205/$M16),0)</f>
        <v>900.69580089921931</v>
      </c>
      <c r="D16" s="556">
        <f>IF($M16&gt;0,('Amounts Pivot Table'!I$211/$M16),0)</f>
        <v>12214.971821300138</v>
      </c>
      <c r="E16" s="556">
        <f t="shared" si="12"/>
        <v>18803.461358710636</v>
      </c>
      <c r="F16" s="557">
        <f t="shared" si="14"/>
        <v>6</v>
      </c>
      <c r="G16" s="558">
        <f t="shared" si="14"/>
        <v>3</v>
      </c>
      <c r="H16" s="558">
        <f t="shared" si="14"/>
        <v>3</v>
      </c>
      <c r="I16" s="558">
        <f t="shared" si="14"/>
        <v>3</v>
      </c>
      <c r="J16" s="75"/>
      <c r="K16" s="73"/>
      <c r="L16" s="168"/>
      <c r="M16" s="820">
        <f>+'[1]NEW-Tables 80-86'!H78</f>
        <v>101137.72500000001</v>
      </c>
      <c r="N16" s="821">
        <f>+'[1]NEW-Tables 80-86'!W78</f>
        <v>101030.05</v>
      </c>
      <c r="O16" s="478">
        <f t="shared" si="1"/>
        <v>6588.4895374104963</v>
      </c>
      <c r="P16" s="479">
        <f t="shared" si="2"/>
        <v>12214.971821300138</v>
      </c>
      <c r="Q16" s="480">
        <f t="shared" si="3"/>
        <v>18803.461358710636</v>
      </c>
      <c r="R16" s="483">
        <f>IF($N16&gt;0,(('Amounts Pivot Table'!I$201+'Amounts Pivot Table'!I$204)/$N16),0)</f>
        <v>6570.0531673497144</v>
      </c>
      <c r="S16" s="482">
        <f>IF($N16&gt;0,('Amounts Pivot Table'!I$210/$N16),0)</f>
        <v>11832.84406410181</v>
      </c>
      <c r="T16" s="482">
        <f t="shared" si="4"/>
        <v>18402.897231451523</v>
      </c>
      <c r="U16" s="485">
        <f t="shared" si="5"/>
        <v>2.8061218975217071E-3</v>
      </c>
      <c r="V16" s="487">
        <f t="shared" si="6"/>
        <v>3.2293821766621433E-2</v>
      </c>
      <c r="W16" s="487">
        <f t="shared" si="7"/>
        <v>2.1766362232058092E-2</v>
      </c>
      <c r="X16" s="249"/>
      <c r="Y16" s="73" t="s">
        <v>322</v>
      </c>
      <c r="Z16" s="73">
        <f t="shared" si="8"/>
        <v>575250518.77999997</v>
      </c>
      <c r="AA16" s="73">
        <f t="shared" si="9"/>
        <v>91094324.219999999</v>
      </c>
      <c r="AB16" s="73">
        <f t="shared" si="10"/>
        <v>1235394460.9454026</v>
      </c>
      <c r="AC16" s="73">
        <f t="shared" si="11"/>
        <v>1901739303.9454029</v>
      </c>
    </row>
    <row r="17" spans="1:29" s="61" customFormat="1" x14ac:dyDescent="0.2">
      <c r="A17" s="406" t="s">
        <v>330</v>
      </c>
      <c r="B17" s="556">
        <f>IF($M17&gt;0,('Amounts Pivot Table'!I$241/$M17),0)</f>
        <v>3285.6311748811891</v>
      </c>
      <c r="C17" s="556">
        <f>IF($M17&gt;0,('Amounts Pivot Table'!I$244/$M17),0)</f>
        <v>633.97279546249626</v>
      </c>
      <c r="D17" s="556">
        <f>IF($M17&gt;0,('Amounts Pivot Table'!I$250/$M17),0)</f>
        <v>7255.4424159645423</v>
      </c>
      <c r="E17" s="556">
        <f t="shared" si="12"/>
        <v>11175.046386308228</v>
      </c>
      <c r="F17" s="557">
        <f t="shared" si="14"/>
        <v>15</v>
      </c>
      <c r="G17" s="558">
        <f t="shared" si="14"/>
        <v>7</v>
      </c>
      <c r="H17" s="558">
        <f t="shared" si="14"/>
        <v>13</v>
      </c>
      <c r="I17" s="558">
        <f t="shared" si="14"/>
        <v>16</v>
      </c>
      <c r="J17" s="75"/>
      <c r="K17" s="73"/>
      <c r="L17" s="168"/>
      <c r="M17" s="820">
        <f>+'[1]NEW-Tables 80-86'!H79</f>
        <v>119437.18333333333</v>
      </c>
      <c r="N17" s="821">
        <f>+'[1]NEW-Tables 80-86'!W79</f>
        <v>123427.8</v>
      </c>
      <c r="O17" s="478">
        <f t="shared" si="1"/>
        <v>3919.6039703436854</v>
      </c>
      <c r="P17" s="479">
        <f t="shared" si="2"/>
        <v>7255.4424159645423</v>
      </c>
      <c r="Q17" s="480">
        <f t="shared" si="3"/>
        <v>11175.046386308228</v>
      </c>
      <c r="R17" s="483">
        <f>IF($N17&gt;0,(('Amounts Pivot Table'!I$240+'Amounts Pivot Table'!I$243)/$N17),0)</f>
        <v>4428.5745350723255</v>
      </c>
      <c r="S17" s="482">
        <f>IF($N17&gt;0,('Amounts Pivot Table'!I$249/$N17),0)</f>
        <v>6445.147948841347</v>
      </c>
      <c r="T17" s="482">
        <f t="shared" si="4"/>
        <v>10873.722483913672</v>
      </c>
      <c r="U17" s="485">
        <f t="shared" si="5"/>
        <v>-0.11492875657795106</v>
      </c>
      <c r="V17" s="487">
        <f t="shared" si="6"/>
        <v>0.12572162401157339</v>
      </c>
      <c r="W17" s="487">
        <f t="shared" si="7"/>
        <v>2.771120035850894E-2</v>
      </c>
      <c r="X17" s="249"/>
      <c r="Y17" s="73" t="s">
        <v>330</v>
      </c>
      <c r="Z17" s="73">
        <f t="shared" si="8"/>
        <v>392426533</v>
      </c>
      <c r="AA17" s="73">
        <f t="shared" si="9"/>
        <v>75719925</v>
      </c>
      <c r="AB17" s="73">
        <f t="shared" si="10"/>
        <v>866569606</v>
      </c>
      <c r="AC17" s="73">
        <f t="shared" si="11"/>
        <v>1334716064</v>
      </c>
    </row>
    <row r="18" spans="1:29" s="61" customFormat="1" x14ac:dyDescent="0.2">
      <c r="A18" s="406" t="s">
        <v>333</v>
      </c>
      <c r="B18" s="556">
        <f>IF($M18&gt;0,('Amounts Pivot Table'!I$280/$M18),0)</f>
        <v>9631.2134522349115</v>
      </c>
      <c r="C18" s="556">
        <f>IF($M18&gt;0,('Amounts Pivot Table'!I$283/$M18),0)</f>
        <v>588.11135596405893</v>
      </c>
      <c r="D18" s="556">
        <f>IF($M18&gt;0,('Amounts Pivot Table'!I$289/$M18),0)</f>
        <v>10671.265903698224</v>
      </c>
      <c r="E18" s="556">
        <f t="shared" si="12"/>
        <v>20890.590711897195</v>
      </c>
      <c r="F18" s="557">
        <f t="shared" si="14"/>
        <v>1</v>
      </c>
      <c r="G18" s="558">
        <f t="shared" si="14"/>
        <v>10</v>
      </c>
      <c r="H18" s="558">
        <f t="shared" si="14"/>
        <v>6</v>
      </c>
      <c r="I18" s="558">
        <f t="shared" si="14"/>
        <v>2</v>
      </c>
      <c r="J18" s="75"/>
      <c r="K18" s="73"/>
      <c r="L18" s="168"/>
      <c r="M18" s="820">
        <f>+'[1]NEW-Tables 80-86'!H80</f>
        <v>103486.15000000001</v>
      </c>
      <c r="N18" s="821">
        <f>+'[1]NEW-Tables 80-86'!W80</f>
        <v>103770.45000000001</v>
      </c>
      <c r="O18" s="478">
        <f t="shared" si="1"/>
        <v>10219.32480819897</v>
      </c>
      <c r="P18" s="479">
        <f t="shared" si="2"/>
        <v>10671.265903698224</v>
      </c>
      <c r="Q18" s="480">
        <f t="shared" si="3"/>
        <v>20890.590711897195</v>
      </c>
      <c r="R18" s="483">
        <f>IF($N18&gt;0,(('Amounts Pivot Table'!I$279+'Amounts Pivot Table'!I$282)/$N18),0)</f>
        <v>9186.1376721407669</v>
      </c>
      <c r="S18" s="482">
        <f>IF($N18&gt;0,('Amounts Pivot Table'!I$288/$N18),0)</f>
        <v>10427.281668336216</v>
      </c>
      <c r="T18" s="482">
        <f t="shared" si="4"/>
        <v>19613.419340476983</v>
      </c>
      <c r="U18" s="485">
        <f t="shared" si="5"/>
        <v>0.11247242017628345</v>
      </c>
      <c r="V18" s="487">
        <f t="shared" si="6"/>
        <v>2.3398642438412061E-2</v>
      </c>
      <c r="W18" s="487">
        <f t="shared" si="7"/>
        <v>6.5117221492555541E-2</v>
      </c>
      <c r="X18" s="249"/>
      <c r="Y18" s="73" t="s">
        <v>333</v>
      </c>
      <c r="Z18" s="73">
        <f t="shared" si="8"/>
        <v>996697200</v>
      </c>
      <c r="AA18" s="73">
        <f t="shared" si="9"/>
        <v>60861380</v>
      </c>
      <c r="AB18" s="73">
        <f t="shared" si="10"/>
        <v>1104328224</v>
      </c>
      <c r="AC18" s="73">
        <f t="shared" si="11"/>
        <v>2161886804</v>
      </c>
    </row>
    <row r="19" spans="1:29" s="61" customFormat="1" x14ac:dyDescent="0.2">
      <c r="A19" s="406"/>
      <c r="B19" s="556"/>
      <c r="C19" s="556"/>
      <c r="D19" s="556"/>
      <c r="E19" s="556"/>
      <c r="F19" s="557"/>
      <c r="G19" s="558"/>
      <c r="H19" s="558"/>
      <c r="I19" s="558"/>
      <c r="J19" s="75"/>
      <c r="K19" s="73"/>
      <c r="L19" s="168"/>
      <c r="M19" s="820"/>
      <c r="N19" s="821"/>
      <c r="O19" s="478"/>
      <c r="P19" s="479"/>
      <c r="Q19" s="480"/>
      <c r="R19" s="483"/>
      <c r="S19" s="482"/>
      <c r="T19" s="482"/>
      <c r="U19" s="485"/>
      <c r="V19" s="487"/>
      <c r="W19" s="487"/>
      <c r="X19" s="249"/>
      <c r="Y19" s="73"/>
      <c r="Z19" s="73"/>
      <c r="AA19" s="73"/>
      <c r="AB19" s="73"/>
      <c r="AC19" s="73"/>
    </row>
    <row r="20" spans="1:29" s="61" customFormat="1" x14ac:dyDescent="0.2">
      <c r="A20" s="406" t="s">
        <v>323</v>
      </c>
      <c r="B20" s="556">
        <f>IF($M20&gt;0,('Amounts Pivot Table'!I$319/$M20),0)</f>
        <v>5547.5347874632953</v>
      </c>
      <c r="C20" s="556">
        <f>IF($M20&gt;0,('Amounts Pivot Table'!I$322/$M20),0)</f>
        <v>1199.0969682054815</v>
      </c>
      <c r="D20" s="556">
        <f>IF($M20&gt;0,('Amounts Pivot Table'!I$328/$M20),0)</f>
        <v>8874.3390144641362</v>
      </c>
      <c r="E20" s="556">
        <f t="shared" si="12"/>
        <v>15620.970770132913</v>
      </c>
      <c r="F20" s="557">
        <f t="shared" ref="F20:I23" si="15">IF(B20&gt;0,RANK(B20,B$10:B$28),)</f>
        <v>8</v>
      </c>
      <c r="G20" s="558">
        <f t="shared" si="15"/>
        <v>1</v>
      </c>
      <c r="H20" s="558">
        <f t="shared" si="15"/>
        <v>8</v>
      </c>
      <c r="I20" s="558">
        <f t="shared" si="15"/>
        <v>8</v>
      </c>
      <c r="J20" s="75"/>
      <c r="K20" s="73"/>
      <c r="L20" s="168"/>
      <c r="M20" s="820">
        <f>+'[1]NEW-Tables 80-86'!H82</f>
        <v>68469.350000000006</v>
      </c>
      <c r="N20" s="821">
        <f>+'[1]NEW-Tables 80-86'!W82</f>
        <v>67881.925000000003</v>
      </c>
      <c r="O20" s="478">
        <f t="shared" si="1"/>
        <v>6746.6317556687773</v>
      </c>
      <c r="P20" s="479">
        <f t="shared" si="2"/>
        <v>8874.3390144641362</v>
      </c>
      <c r="Q20" s="480">
        <f t="shared" si="3"/>
        <v>15620.970770132913</v>
      </c>
      <c r="R20" s="483">
        <f>IF($N20&gt;0,(('Amounts Pivot Table'!I$318+'Amounts Pivot Table'!I$321)/$N20),0)</f>
        <v>6442.3425528960761</v>
      </c>
      <c r="S20" s="482">
        <f>IF($N20&gt;0,('Amounts Pivot Table'!I$327/$N20),0)</f>
        <v>8480.7031916080741</v>
      </c>
      <c r="T20" s="482">
        <f t="shared" si="4"/>
        <v>14923.04574450415</v>
      </c>
      <c r="U20" s="485">
        <f t="shared" si="5"/>
        <v>4.723269529278782E-2</v>
      </c>
      <c r="V20" s="487">
        <f t="shared" si="6"/>
        <v>4.6415469798020671E-2</v>
      </c>
      <c r="W20" s="487">
        <f t="shared" si="7"/>
        <v>4.6768269532765763E-2</v>
      </c>
      <c r="X20" s="249"/>
      <c r="Y20" s="73" t="s">
        <v>323</v>
      </c>
      <c r="Z20" s="73">
        <f t="shared" si="8"/>
        <v>379836101</v>
      </c>
      <c r="AA20" s="73">
        <f t="shared" si="9"/>
        <v>82101390</v>
      </c>
      <c r="AB20" s="73">
        <f t="shared" si="10"/>
        <v>607620224</v>
      </c>
      <c r="AC20" s="73">
        <f t="shared" si="11"/>
        <v>1069557715.0000001</v>
      </c>
    </row>
    <row r="21" spans="1:29" s="61" customFormat="1" x14ac:dyDescent="0.2">
      <c r="A21" s="406" t="s">
        <v>324</v>
      </c>
      <c r="B21" s="556">
        <f>IF($M21&gt;0,('Amounts Pivot Table'!I$358/$M21),0)</f>
        <v>9582.9513315516215</v>
      </c>
      <c r="C21" s="556">
        <f>IF($M21&gt;0,('Amounts Pivot Table'!I$361/$M21),0)</f>
        <v>466.49772796718975</v>
      </c>
      <c r="D21" s="556">
        <f>IF($M21&gt;0,('Amounts Pivot Table'!I$367/$M21),0)</f>
        <v>6551.617396408581</v>
      </c>
      <c r="E21" s="556">
        <f t="shared" si="12"/>
        <v>16601.066455927394</v>
      </c>
      <c r="F21" s="557">
        <f t="shared" si="15"/>
        <v>2</v>
      </c>
      <c r="G21" s="558">
        <f t="shared" si="15"/>
        <v>13</v>
      </c>
      <c r="H21" s="558">
        <f t="shared" si="15"/>
        <v>15</v>
      </c>
      <c r="I21" s="558">
        <f t="shared" si="15"/>
        <v>5</v>
      </c>
      <c r="J21" s="75"/>
      <c r="K21" s="73"/>
      <c r="L21" s="168"/>
      <c r="M21" s="820">
        <f>+'[1]NEW-Tables 80-86'!H83</f>
        <v>196767.625</v>
      </c>
      <c r="N21" s="821">
        <f>+'[1]NEW-Tables 80-86'!W83</f>
        <v>196043.05000000002</v>
      </c>
      <c r="O21" s="478">
        <f t="shared" si="1"/>
        <v>10049.449059518811</v>
      </c>
      <c r="P21" s="479">
        <f t="shared" si="2"/>
        <v>6551.617396408581</v>
      </c>
      <c r="Q21" s="480">
        <f t="shared" si="3"/>
        <v>16601.066455927394</v>
      </c>
      <c r="R21" s="483">
        <f>IF($N21&gt;0,(('Amounts Pivot Table'!I$357+'Amounts Pivot Table'!I$360)/$N21),0)</f>
        <v>10293.605001554504</v>
      </c>
      <c r="S21" s="482">
        <f>IF($N21&gt;0,('Amounts Pivot Table'!I$366/$N21),0)</f>
        <v>6140.4698653178466</v>
      </c>
      <c r="T21" s="482">
        <f t="shared" si="4"/>
        <v>16434.07486687235</v>
      </c>
      <c r="U21" s="485">
        <f t="shared" si="5"/>
        <v>-2.371918700968435E-2</v>
      </c>
      <c r="V21" s="487">
        <f t="shared" si="6"/>
        <v>6.695701470875183E-2</v>
      </c>
      <c r="W21" s="487">
        <f t="shared" si="7"/>
        <v>1.0161301467091632E-2</v>
      </c>
      <c r="X21" s="249"/>
      <c r="Y21" s="73" t="s">
        <v>324</v>
      </c>
      <c r="Z21" s="73">
        <f t="shared" si="8"/>
        <v>1885614574.0000002</v>
      </c>
      <c r="AA21" s="73">
        <f t="shared" si="9"/>
        <v>91791650</v>
      </c>
      <c r="AB21" s="73">
        <f t="shared" si="10"/>
        <v>1289146195</v>
      </c>
      <c r="AC21" s="73">
        <f t="shared" si="11"/>
        <v>3266552419.0000005</v>
      </c>
    </row>
    <row r="22" spans="1:29" s="61" customFormat="1" x14ac:dyDescent="0.2">
      <c r="A22" s="406" t="s">
        <v>331</v>
      </c>
      <c r="B22" s="556">
        <f>IF($M22&gt;0,('Amounts Pivot Table'!I$397/$M22),0)</f>
        <v>4848.7888655384786</v>
      </c>
      <c r="C22" s="556">
        <f>IF($M22&gt;0,('Amounts Pivot Table'!I$400/$M22),0)</f>
        <v>0</v>
      </c>
      <c r="D22" s="556">
        <f>IF($M22&gt;0,('Amounts Pivot Table'!I$406/$M22),0)</f>
        <v>7474.372135778709</v>
      </c>
      <c r="E22" s="556">
        <f t="shared" si="12"/>
        <v>12323.161001317188</v>
      </c>
      <c r="F22" s="557">
        <f t="shared" si="15"/>
        <v>11</v>
      </c>
      <c r="G22" s="558">
        <f t="shared" si="15"/>
        <v>0</v>
      </c>
      <c r="H22" s="558">
        <f t="shared" si="15"/>
        <v>12</v>
      </c>
      <c r="I22" s="558">
        <f t="shared" si="15"/>
        <v>15</v>
      </c>
      <c r="J22" s="75"/>
      <c r="K22" s="73"/>
      <c r="L22" s="168"/>
      <c r="M22" s="820">
        <f>+'[1]NEW-Tables 80-86'!H84</f>
        <v>104034.96666666665</v>
      </c>
      <c r="N22" s="821">
        <f>+'[1]NEW-Tables 80-86'!W84</f>
        <v>96887.483333333337</v>
      </c>
      <c r="O22" s="478">
        <f t="shared" si="1"/>
        <v>4848.7888655384786</v>
      </c>
      <c r="P22" s="479">
        <f t="shared" si="2"/>
        <v>7474.372135778709</v>
      </c>
      <c r="Q22" s="480">
        <f t="shared" si="3"/>
        <v>12323.161001317188</v>
      </c>
      <c r="R22" s="483">
        <f>IF($N22&gt;0,(('Amounts Pivot Table'!I$396+'Amounts Pivot Table'!I$399)/$N22),0)</f>
        <v>5728.5007918979554</v>
      </c>
      <c r="S22" s="482">
        <f>IF($N22&gt;0,('Amounts Pivot Table'!I$405/$N22),0)</f>
        <v>7445.0683843062625</v>
      </c>
      <c r="T22" s="482">
        <f t="shared" si="4"/>
        <v>13173.569176204219</v>
      </c>
      <c r="U22" s="485">
        <f t="shared" si="5"/>
        <v>-0.15356756650949374</v>
      </c>
      <c r="V22" s="487">
        <f t="shared" si="6"/>
        <v>3.9359949378325338E-3</v>
      </c>
      <c r="W22" s="487">
        <f t="shared" si="7"/>
        <v>-6.4554120717955923E-2</v>
      </c>
      <c r="X22" s="249"/>
      <c r="Y22" s="73" t="s">
        <v>331</v>
      </c>
      <c r="Z22" s="73">
        <f t="shared" si="8"/>
        <v>504443588</v>
      </c>
      <c r="AA22" s="73">
        <f t="shared" si="9"/>
        <v>0</v>
      </c>
      <c r="AB22" s="73">
        <f t="shared" si="10"/>
        <v>777596056</v>
      </c>
      <c r="AC22" s="73">
        <f t="shared" si="11"/>
        <v>1282039644</v>
      </c>
    </row>
    <row r="23" spans="1:29" s="61" customFormat="1" x14ac:dyDescent="0.2">
      <c r="A23" s="406" t="s">
        <v>325</v>
      </c>
      <c r="B23" s="556">
        <f>IF($M23&gt;0,('Amounts Pivot Table'!I$436/$M23),0)</f>
        <v>2560.8071923823991</v>
      </c>
      <c r="C23" s="556">
        <f>IF($M23&gt;0,('Amounts Pivot Table'!I$439/$M23),0)</f>
        <v>740.14580241383646</v>
      </c>
      <c r="D23" s="556">
        <f>IF($M23&gt;0,('Amounts Pivot Table'!I$445/$M23),0)</f>
        <v>14185.488061891972</v>
      </c>
      <c r="E23" s="556">
        <f t="shared" si="12"/>
        <v>17486.441056688207</v>
      </c>
      <c r="F23" s="557">
        <f t="shared" si="15"/>
        <v>16</v>
      </c>
      <c r="G23" s="558">
        <f t="shared" si="15"/>
        <v>5</v>
      </c>
      <c r="H23" s="558">
        <f t="shared" si="15"/>
        <v>2</v>
      </c>
      <c r="I23" s="558">
        <f t="shared" si="15"/>
        <v>4</v>
      </c>
      <c r="J23" s="75"/>
      <c r="K23" s="73"/>
      <c r="L23" s="168"/>
      <c r="M23" s="820">
        <f>+'[1]NEW-Tables 80-86'!H85</f>
        <v>96891.400000000009</v>
      </c>
      <c r="N23" s="821">
        <f>+'[1]NEW-Tables 80-86'!W85</f>
        <v>96195.59616666667</v>
      </c>
      <c r="O23" s="478">
        <f t="shared" si="1"/>
        <v>3300.9529947962355</v>
      </c>
      <c r="P23" s="479">
        <f t="shared" si="2"/>
        <v>14185.488061891972</v>
      </c>
      <c r="Q23" s="480">
        <f t="shared" si="3"/>
        <v>17486.441056688207</v>
      </c>
      <c r="R23" s="483">
        <f>IF($N23&gt;0,(('Amounts Pivot Table'!I$435+'Amounts Pivot Table'!I$438)/$N23),0)</f>
        <v>3253.3866878663434</v>
      </c>
      <c r="S23" s="482">
        <f>IF($N23&gt;0,('Amounts Pivot Table'!I$444/$N23),0)</f>
        <v>14288.094806529925</v>
      </c>
      <c r="T23" s="482">
        <f t="shared" si="4"/>
        <v>17541.48149439627</v>
      </c>
      <c r="U23" s="485">
        <f t="shared" si="5"/>
        <v>1.4620551288075549E-2</v>
      </c>
      <c r="V23" s="487">
        <f t="shared" si="6"/>
        <v>-7.1812754623562375E-3</v>
      </c>
      <c r="W23" s="487">
        <f t="shared" si="7"/>
        <v>-3.1377302838215861E-3</v>
      </c>
      <c r="X23" s="249"/>
      <c r="Y23" s="73" t="s">
        <v>325</v>
      </c>
      <c r="Z23" s="73">
        <f t="shared" si="8"/>
        <v>248120194</v>
      </c>
      <c r="AA23" s="73">
        <f t="shared" si="9"/>
        <v>71713763</v>
      </c>
      <c r="AB23" s="73">
        <f t="shared" si="10"/>
        <v>1374451798</v>
      </c>
      <c r="AC23" s="73">
        <f t="shared" si="11"/>
        <v>1694285755</v>
      </c>
    </row>
    <row r="24" spans="1:29" s="61" customFormat="1" x14ac:dyDescent="0.2">
      <c r="A24" s="406"/>
      <c r="B24" s="556"/>
      <c r="C24" s="556"/>
      <c r="D24" s="556"/>
      <c r="E24" s="556"/>
      <c r="F24" s="557"/>
      <c r="G24" s="558"/>
      <c r="H24" s="558"/>
      <c r="I24" s="558"/>
      <c r="J24" s="75"/>
      <c r="K24" s="73"/>
      <c r="L24" s="168"/>
      <c r="M24" s="820"/>
      <c r="N24" s="821"/>
      <c r="O24" s="478"/>
      <c r="P24" s="479"/>
      <c r="Q24" s="480"/>
      <c r="R24" s="483"/>
      <c r="S24" s="482"/>
      <c r="T24" s="482"/>
      <c r="U24" s="485"/>
      <c r="V24" s="487"/>
      <c r="W24" s="487"/>
      <c r="X24" s="249"/>
      <c r="Y24" s="73"/>
      <c r="Z24" s="73"/>
      <c r="AA24" s="73"/>
      <c r="AB24" s="73"/>
      <c r="AC24" s="73"/>
    </row>
    <row r="25" spans="1:29" s="61" customFormat="1" x14ac:dyDescent="0.2">
      <c r="A25" s="406" t="s">
        <v>90</v>
      </c>
      <c r="B25" s="556">
        <f>IF($M25&gt;0,('Amounts Pivot Table'!I$475/$M25),0)</f>
        <v>5011.097448651808</v>
      </c>
      <c r="C25" s="556">
        <f>IF($M25&gt;0,('Amounts Pivot Table'!I$478/$M25),0)</f>
        <v>609.42885666330858</v>
      </c>
      <c r="D25" s="556">
        <f>IF($M25&gt;0,('Amounts Pivot Table'!I$484/$M25),0)</f>
        <v>8693.617957000748</v>
      </c>
      <c r="E25" s="556">
        <f t="shared" si="12"/>
        <v>14314.144262315865</v>
      </c>
      <c r="F25" s="557">
        <f t="shared" ref="F25:I28" si="16">IF(B25&gt;0,RANK(B25,B$10:B$28),)</f>
        <v>10</v>
      </c>
      <c r="G25" s="558">
        <f t="shared" si="16"/>
        <v>8</v>
      </c>
      <c r="H25" s="558">
        <f t="shared" si="16"/>
        <v>9</v>
      </c>
      <c r="I25" s="558">
        <f t="shared" si="16"/>
        <v>10</v>
      </c>
      <c r="J25" s="75"/>
      <c r="K25" s="73"/>
      <c r="L25" s="168"/>
      <c r="M25" s="820">
        <f>+'[1]NEW-Tables 80-86'!H87</f>
        <v>119124.94166666667</v>
      </c>
      <c r="N25" s="821">
        <f>+'[1]NEW-Tables 80-86'!W87</f>
        <v>121770.39166666666</v>
      </c>
      <c r="O25" s="478">
        <f t="shared" si="1"/>
        <v>5620.5263053151166</v>
      </c>
      <c r="P25" s="479">
        <f t="shared" si="2"/>
        <v>8693.617957000748</v>
      </c>
      <c r="Q25" s="480">
        <f t="shared" si="3"/>
        <v>14314.144262315865</v>
      </c>
      <c r="R25" s="483">
        <f>IF($N25&gt;0,(('Amounts Pivot Table'!I$474+'Amounts Pivot Table'!I$477)/$N25),0)</f>
        <v>5152.9125125705477</v>
      </c>
      <c r="S25" s="482">
        <f>IF($N25&gt;0,('Amounts Pivot Table'!I$483/$N25),0)</f>
        <v>8200.8607292125689</v>
      </c>
      <c r="T25" s="482">
        <f t="shared" si="4"/>
        <v>13353.773241783118</v>
      </c>
      <c r="U25" s="485">
        <f t="shared" si="5"/>
        <v>9.0747473706146456E-2</v>
      </c>
      <c r="V25" s="487">
        <f t="shared" si="6"/>
        <v>6.0086037802460364E-2</v>
      </c>
      <c r="W25" s="487">
        <f t="shared" si="7"/>
        <v>7.1917577387626094E-2</v>
      </c>
      <c r="X25" s="249"/>
      <c r="Y25" s="73" t="s">
        <v>90</v>
      </c>
      <c r="Z25" s="73">
        <f t="shared" si="8"/>
        <v>596946691.25662875</v>
      </c>
      <c r="AA25" s="73">
        <f t="shared" si="9"/>
        <v>72598177</v>
      </c>
      <c r="AB25" s="73">
        <f t="shared" si="10"/>
        <v>1035626731.9999999</v>
      </c>
      <c r="AC25" s="73">
        <f t="shared" si="11"/>
        <v>1705171600.2566288</v>
      </c>
    </row>
    <row r="26" spans="1:29" s="61" customFormat="1" x14ac:dyDescent="0.2">
      <c r="A26" s="406" t="s">
        <v>326</v>
      </c>
      <c r="B26" s="556">
        <f>IF($M26&gt;0,('Amounts Pivot Table'!I$514/$M26),0)</f>
        <v>5992.2015441744998</v>
      </c>
      <c r="C26" s="556">
        <f>IF($M26&gt;0,('Amounts Pivot Table'!I$517/$M26),0)</f>
        <v>478.20393882103224</v>
      </c>
      <c r="D26" s="556">
        <f>IF($M26&gt;0,('Amounts Pivot Table'!I$523/$M26),0)</f>
        <v>6933.3556832747599</v>
      </c>
      <c r="E26" s="556">
        <f t="shared" si="12"/>
        <v>13403.761166270291</v>
      </c>
      <c r="F26" s="557">
        <f t="shared" si="16"/>
        <v>4</v>
      </c>
      <c r="G26" s="558">
        <f t="shared" si="16"/>
        <v>12</v>
      </c>
      <c r="H26" s="558">
        <f t="shared" si="16"/>
        <v>14</v>
      </c>
      <c r="I26" s="558">
        <f t="shared" si="16"/>
        <v>12</v>
      </c>
      <c r="J26" s="75"/>
      <c r="K26" s="73"/>
      <c r="L26" s="168"/>
      <c r="M26" s="820">
        <f>+'[1]NEW-Tables 80-86'!H88</f>
        <v>478504.85833333328</v>
      </c>
      <c r="N26" s="821">
        <f>+'[1]NEW-Tables 80-86'!W88</f>
        <v>472795.48333333328</v>
      </c>
      <c r="O26" s="478">
        <f t="shared" si="1"/>
        <v>6470.4054829955321</v>
      </c>
      <c r="P26" s="479">
        <f t="shared" si="2"/>
        <v>6933.3556832747599</v>
      </c>
      <c r="Q26" s="480">
        <f t="shared" si="3"/>
        <v>13403.761166270291</v>
      </c>
      <c r="R26" s="483">
        <f>IF($N26&gt;0,(('Amounts Pivot Table'!I$513+'Amounts Pivot Table'!I$516)/$N26),0)</f>
        <v>6396.7295281197876</v>
      </c>
      <c r="S26" s="482">
        <f>IF($N26&gt;0,('Amounts Pivot Table'!I$522/$N26),0)</f>
        <v>6844.0944574731384</v>
      </c>
      <c r="T26" s="482">
        <f t="shared" si="4"/>
        <v>13240.823985592926</v>
      </c>
      <c r="U26" s="485">
        <f t="shared" si="5"/>
        <v>1.1517753650809801E-2</v>
      </c>
      <c r="V26" s="487">
        <f t="shared" si="6"/>
        <v>1.3042079760333565E-2</v>
      </c>
      <c r="W26" s="487">
        <f t="shared" si="7"/>
        <v>1.2305667748068688E-2</v>
      </c>
      <c r="X26" s="249"/>
      <c r="Y26" s="73" t="s">
        <v>326</v>
      </c>
      <c r="Z26" s="73">
        <f t="shared" si="8"/>
        <v>2867297551</v>
      </c>
      <c r="AA26" s="73">
        <f t="shared" si="9"/>
        <v>228822908</v>
      </c>
      <c r="AB26" s="73">
        <f t="shared" si="10"/>
        <v>3317644379</v>
      </c>
      <c r="AC26" s="73">
        <f t="shared" si="11"/>
        <v>6413764838</v>
      </c>
    </row>
    <row r="27" spans="1:29" s="76" customFormat="1" ht="12.75" customHeight="1" x14ac:dyDescent="0.2">
      <c r="A27" s="406" t="s">
        <v>327</v>
      </c>
      <c r="B27" s="556">
        <f>IF($M27&gt;0,('Amounts Pivot Table'!I$553/$M27),0)</f>
        <v>4480.5657911321687</v>
      </c>
      <c r="C27" s="556">
        <f>IF($M27&gt;0,('Amounts Pivot Table'!I$556/$M27),0)</f>
        <v>573.76702086359467</v>
      </c>
      <c r="D27" s="556">
        <f>IF($M27&gt;0,('Amounts Pivot Table'!I$562/$M27),0)</f>
        <v>10931.16660351887</v>
      </c>
      <c r="E27" s="556">
        <f t="shared" si="12"/>
        <v>15985.499415514634</v>
      </c>
      <c r="F27" s="557">
        <f t="shared" si="16"/>
        <v>13</v>
      </c>
      <c r="G27" s="558">
        <f t="shared" si="16"/>
        <v>11</v>
      </c>
      <c r="H27" s="558">
        <f t="shared" si="16"/>
        <v>4</v>
      </c>
      <c r="I27" s="558">
        <f t="shared" si="16"/>
        <v>7</v>
      </c>
      <c r="J27" s="75"/>
      <c r="L27" s="169"/>
      <c r="M27" s="820">
        <f>+'[1]NEW-Tables 80-86'!H89</f>
        <v>194983.4966666667</v>
      </c>
      <c r="N27" s="821">
        <f>+'[1]NEW-Tables 80-86'!W89</f>
        <v>194555.27500000002</v>
      </c>
      <c r="O27" s="478">
        <f t="shared" si="1"/>
        <v>5054.3328119957632</v>
      </c>
      <c r="P27" s="479">
        <f t="shared" si="2"/>
        <v>10931.16660351887</v>
      </c>
      <c r="Q27" s="480">
        <f t="shared" si="3"/>
        <v>15985.499415514634</v>
      </c>
      <c r="R27" s="483">
        <f>IF($N27&gt;0,(('Amounts Pivot Table'!I$552+'Amounts Pivot Table'!I$555)/$N27),0)</f>
        <v>4870.8325590246777</v>
      </c>
      <c r="S27" s="482">
        <f>IF($N27&gt;0,('Amounts Pivot Table'!I$561/$N27),0)</f>
        <v>10774.038992260681</v>
      </c>
      <c r="T27" s="482">
        <f t="shared" si="4"/>
        <v>15644.87155128536</v>
      </c>
      <c r="U27" s="485">
        <f t="shared" si="5"/>
        <v>3.7673282903370651E-2</v>
      </c>
      <c r="V27" s="487">
        <f t="shared" si="6"/>
        <v>1.4583909652736414E-2</v>
      </c>
      <c r="W27" s="487">
        <f t="shared" si="7"/>
        <v>2.1772493504511329E-2</v>
      </c>
      <c r="X27" s="249"/>
      <c r="Y27" s="73" t="s">
        <v>327</v>
      </c>
      <c r="Z27" s="73">
        <f t="shared" si="8"/>
        <v>873636385.00000012</v>
      </c>
      <c r="AA27" s="73">
        <f t="shared" si="9"/>
        <v>111875100</v>
      </c>
      <c r="AB27" s="73">
        <f t="shared" si="10"/>
        <v>2131397087</v>
      </c>
      <c r="AC27" s="73">
        <f t="shared" si="11"/>
        <v>3116908572</v>
      </c>
    </row>
    <row r="28" spans="1:29" s="61" customFormat="1" x14ac:dyDescent="0.2">
      <c r="A28" s="407" t="s">
        <v>332</v>
      </c>
      <c r="B28" s="562">
        <f>IF($M28&gt;0,('Amounts Pivot Table'!I$592/$M28),0)</f>
        <v>3306.6656981814049</v>
      </c>
      <c r="C28" s="562">
        <f>IF($M28&gt;0,('Amounts Pivot Table'!I$595/$M28),0)</f>
        <v>792.19465548654443</v>
      </c>
      <c r="D28" s="562">
        <f>IF($M28&gt;0,('Amounts Pivot Table'!I$601/$M28),0)</f>
        <v>8876.945982627396</v>
      </c>
      <c r="E28" s="563">
        <f t="shared" si="12"/>
        <v>12975.806336295345</v>
      </c>
      <c r="F28" s="564">
        <f t="shared" si="16"/>
        <v>14</v>
      </c>
      <c r="G28" s="565">
        <f t="shared" si="16"/>
        <v>4</v>
      </c>
      <c r="H28" s="565">
        <f t="shared" si="16"/>
        <v>7</v>
      </c>
      <c r="I28" s="565">
        <f t="shared" si="16"/>
        <v>13</v>
      </c>
      <c r="J28" s="75"/>
      <c r="K28" s="73"/>
      <c r="L28" s="170"/>
      <c r="M28" s="820">
        <f>+'[1]NEW-Tables 80-86'!H90</f>
        <v>57042.111666666671</v>
      </c>
      <c r="N28" s="821">
        <f>+'[1]NEW-Tables 80-86'!W90</f>
        <v>57788.103333333333</v>
      </c>
      <c r="O28" s="478">
        <f t="shared" si="1"/>
        <v>4098.8603536679493</v>
      </c>
      <c r="P28" s="479">
        <f t="shared" si="2"/>
        <v>8876.945982627396</v>
      </c>
      <c r="Q28" s="480">
        <f t="shared" si="3"/>
        <v>12975.806336295345</v>
      </c>
      <c r="R28" s="483">
        <f>IF($N28&gt;0,(('Amounts Pivot Table'!I$591+'Amounts Pivot Table'!I$594)/$N28),0)</f>
        <v>4492.8560901606561</v>
      </c>
      <c r="S28" s="482">
        <f>IF($N28&gt;0,('Amounts Pivot Table'!I$600/$N28),0)</f>
        <v>8310.3138760221173</v>
      </c>
      <c r="T28" s="482">
        <f t="shared" si="4"/>
        <v>12803.169966182773</v>
      </c>
      <c r="U28" s="485">
        <f t="shared" si="5"/>
        <v>-8.7693825171822545E-2</v>
      </c>
      <c r="V28" s="487">
        <f t="shared" si="6"/>
        <v>6.8184200387447644E-2</v>
      </c>
      <c r="W28" s="487">
        <f t="shared" si="7"/>
        <v>1.3483877084234552E-2</v>
      </c>
      <c r="X28" s="249"/>
      <c r="Y28" s="74" t="s">
        <v>332</v>
      </c>
      <c r="Z28" s="74">
        <f t="shared" si="8"/>
        <v>188619194</v>
      </c>
      <c r="AA28" s="74">
        <f t="shared" si="9"/>
        <v>45188456</v>
      </c>
      <c r="AB28" s="74">
        <f t="shared" si="10"/>
        <v>506359744</v>
      </c>
      <c r="AC28" s="74">
        <f t="shared" si="11"/>
        <v>740167394</v>
      </c>
    </row>
    <row r="29" spans="1:29" s="61" customFormat="1" ht="13.5" customHeight="1" x14ac:dyDescent="0.2">
      <c r="A29" s="99"/>
      <c r="B29" s="75"/>
      <c r="C29" s="75"/>
      <c r="D29" s="75"/>
      <c r="E29" s="75"/>
      <c r="F29" s="107"/>
      <c r="G29" s="107"/>
      <c r="H29" s="107"/>
      <c r="I29" s="107"/>
      <c r="J29" s="75"/>
      <c r="K29" s="75"/>
      <c r="L29" s="174"/>
      <c r="M29" s="296"/>
      <c r="N29" s="73"/>
      <c r="O29" s="73"/>
      <c r="P29" s="73"/>
      <c r="R29" s="472"/>
      <c r="T29" s="482">
        <f t="shared" si="4"/>
        <v>0</v>
      </c>
      <c r="V29" s="73"/>
    </row>
    <row r="30" spans="1:29" s="61" customFormat="1" ht="40.5" customHeight="1" x14ac:dyDescent="0.2">
      <c r="A30" s="1558" t="s">
        <v>17</v>
      </c>
      <c r="B30" s="1558"/>
      <c r="C30" s="1558"/>
      <c r="D30" s="1558"/>
      <c r="E30" s="1558"/>
      <c r="F30" s="1558"/>
      <c r="G30" s="1558"/>
      <c r="H30" s="1558"/>
      <c r="I30" s="1558"/>
      <c r="J30" s="106"/>
      <c r="K30" s="106"/>
      <c r="L30" s="171"/>
      <c r="M30" s="296"/>
      <c r="N30" s="220"/>
      <c r="O30" s="220"/>
      <c r="P30" s="220"/>
      <c r="Q30" s="73"/>
      <c r="R30" s="222"/>
    </row>
    <row r="31" spans="1:29" s="76" customFormat="1" ht="17.25" customHeight="1" x14ac:dyDescent="0.2">
      <c r="A31" s="1558" t="s">
        <v>54</v>
      </c>
      <c r="B31" s="1558"/>
      <c r="C31" s="1558"/>
      <c r="D31" s="1558"/>
      <c r="E31" s="1558"/>
      <c r="F31" s="1558"/>
      <c r="G31" s="1558"/>
      <c r="H31" s="1558"/>
      <c r="I31" s="1558"/>
      <c r="J31" s="106"/>
      <c r="L31" s="169"/>
      <c r="M31" s="296"/>
      <c r="N31" s="90"/>
      <c r="O31" s="90"/>
      <c r="P31" s="90"/>
      <c r="Q31" s="90"/>
      <c r="R31" s="490"/>
      <c r="S31" s="491"/>
    </row>
    <row r="32" spans="1:29" s="61" customFormat="1" ht="15.75" customHeight="1" x14ac:dyDescent="0.2">
      <c r="A32" s="1558" t="s">
        <v>60</v>
      </c>
      <c r="B32" s="1583"/>
      <c r="C32" s="1583"/>
      <c r="D32" s="1583"/>
      <c r="E32" s="1583"/>
      <c r="F32" s="1583"/>
      <c r="G32" s="1584"/>
      <c r="H32" s="1584"/>
      <c r="I32" s="1584"/>
      <c r="J32" s="188"/>
      <c r="K32" s="188"/>
      <c r="L32" s="171"/>
      <c r="M32" s="296"/>
      <c r="N32" s="73"/>
      <c r="O32" s="73"/>
      <c r="P32" s="73"/>
      <c r="Q32" s="73"/>
      <c r="R32" s="491"/>
      <c r="S32" s="491"/>
      <c r="T32" s="491"/>
    </row>
    <row r="33" spans="1:17" s="61" customFormat="1" x14ac:dyDescent="0.2">
      <c r="A33" s="187"/>
      <c r="B33" s="106"/>
      <c r="C33" s="106"/>
      <c r="D33" s="106"/>
      <c r="E33" s="106"/>
      <c r="F33" s="106"/>
      <c r="G33" s="188"/>
      <c r="H33" s="188"/>
      <c r="I33" s="535" t="s">
        <v>1898</v>
      </c>
      <c r="J33" s="188"/>
      <c r="K33" s="188"/>
      <c r="L33" s="171"/>
      <c r="M33" s="296"/>
      <c r="N33" s="221"/>
      <c r="O33" s="73"/>
      <c r="P33" s="73"/>
      <c r="Q33" s="73"/>
    </row>
    <row r="34" spans="1:17" s="61" customFormat="1" ht="18" x14ac:dyDescent="0.15">
      <c r="A34" s="135" t="s">
        <v>359</v>
      </c>
      <c r="B34" s="135"/>
      <c r="C34" s="135"/>
      <c r="D34" s="135"/>
      <c r="E34" s="135"/>
      <c r="F34" s="135"/>
      <c r="G34" s="135"/>
      <c r="H34" s="135"/>
      <c r="I34" s="135"/>
      <c r="J34" s="95" t="s">
        <v>91</v>
      </c>
      <c r="K34" s="95"/>
      <c r="L34" s="170"/>
      <c r="M34" s="299"/>
      <c r="N34" s="73"/>
      <c r="O34" s="73"/>
      <c r="P34" s="73"/>
      <c r="Q34" s="73"/>
    </row>
    <row r="35" spans="1:17" s="61" customFormat="1" ht="12" customHeight="1" x14ac:dyDescent="0.15">
      <c r="A35" s="135"/>
      <c r="B35" s="135"/>
      <c r="C35" s="135"/>
      <c r="D35" s="135"/>
      <c r="E35" s="135"/>
      <c r="F35" s="135"/>
      <c r="G35" s="135"/>
      <c r="H35" s="135"/>
      <c r="I35" s="135"/>
      <c r="J35" s="95"/>
      <c r="K35" s="95"/>
      <c r="L35" s="170"/>
      <c r="M35" s="299"/>
      <c r="N35" s="73"/>
      <c r="O35" s="73"/>
      <c r="P35" s="73"/>
      <c r="Q35" s="73"/>
    </row>
    <row r="36" spans="1:17" s="61" customFormat="1" ht="18.75" x14ac:dyDescent="0.2">
      <c r="A36" s="1557" t="s">
        <v>18</v>
      </c>
      <c r="B36" s="1557"/>
      <c r="C36" s="1557"/>
      <c r="D36" s="1557"/>
      <c r="E36" s="1557"/>
      <c r="F36" s="1557"/>
      <c r="G36" s="1557"/>
      <c r="H36" s="1557"/>
      <c r="I36" s="1557"/>
      <c r="J36" s="95"/>
      <c r="K36" s="95"/>
      <c r="L36" s="170"/>
      <c r="M36" s="298"/>
      <c r="N36" s="73"/>
      <c r="O36" s="73"/>
      <c r="P36" s="73"/>
      <c r="Q36" s="73"/>
    </row>
    <row r="37" spans="1:17" s="61" customFormat="1" ht="15.75" x14ac:dyDescent="0.2">
      <c r="A37" s="1557" t="s">
        <v>1902</v>
      </c>
      <c r="B37" s="1557"/>
      <c r="C37" s="1557"/>
      <c r="D37" s="1557"/>
      <c r="E37" s="1557"/>
      <c r="F37" s="1557"/>
      <c r="G37" s="1557"/>
      <c r="H37" s="1557"/>
      <c r="I37" s="1557"/>
      <c r="J37" s="95"/>
      <c r="K37" s="95"/>
      <c r="L37" s="165"/>
      <c r="M37" s="298"/>
      <c r="N37" s="73"/>
      <c r="O37" s="73"/>
      <c r="P37" s="73"/>
      <c r="Q37" s="73"/>
    </row>
    <row r="38" spans="1:17" s="61" customFormat="1" ht="9.75" customHeight="1" x14ac:dyDescent="0.2">
      <c r="A38" s="91"/>
      <c r="B38" s="91"/>
      <c r="C38" s="91"/>
      <c r="D38" s="91"/>
      <c r="E38" s="91"/>
      <c r="F38" s="91"/>
      <c r="G38" s="108"/>
      <c r="H38" s="91"/>
      <c r="I38" s="91"/>
      <c r="J38" s="91"/>
      <c r="K38" s="91"/>
      <c r="L38" s="165"/>
      <c r="M38" s="298"/>
      <c r="N38" s="73"/>
      <c r="O38" s="73"/>
      <c r="P38" s="73"/>
      <c r="Q38" s="73"/>
    </row>
    <row r="39" spans="1:17" s="61" customFormat="1" ht="17.25" customHeight="1" x14ac:dyDescent="0.2">
      <c r="A39" s="60"/>
      <c r="B39" s="567" t="s">
        <v>55</v>
      </c>
      <c r="C39" s="568"/>
      <c r="D39" s="568"/>
      <c r="E39" s="568"/>
      <c r="F39" s="569" t="s">
        <v>119</v>
      </c>
      <c r="G39" s="570"/>
      <c r="H39" s="570"/>
      <c r="I39" s="570"/>
      <c r="L39" s="165"/>
      <c r="M39" s="296"/>
      <c r="N39" s="73"/>
      <c r="O39" s="73"/>
      <c r="P39" s="73"/>
      <c r="Q39" s="73"/>
    </row>
    <row r="40" spans="1:17" s="6" customFormat="1" ht="48" x14ac:dyDescent="0.2">
      <c r="A40" s="50"/>
      <c r="B40" s="550" t="s">
        <v>87</v>
      </c>
      <c r="C40" s="551" t="s">
        <v>89</v>
      </c>
      <c r="D40" s="551" t="s">
        <v>398</v>
      </c>
      <c r="E40" s="551" t="s">
        <v>97</v>
      </c>
      <c r="F40" s="552" t="s">
        <v>87</v>
      </c>
      <c r="G40" s="551" t="s">
        <v>89</v>
      </c>
      <c r="H40" s="551" t="s">
        <v>398</v>
      </c>
      <c r="I40" s="551" t="s">
        <v>97</v>
      </c>
      <c r="L40" s="172"/>
      <c r="M40" s="298" t="s">
        <v>260</v>
      </c>
      <c r="N40" s="7"/>
      <c r="O40" s="7"/>
      <c r="P40" s="7"/>
      <c r="Q40" s="7"/>
    </row>
    <row r="41" spans="1:17" s="61" customFormat="1" ht="16.5" customHeight="1" x14ac:dyDescent="0.2">
      <c r="A41" s="73" t="s">
        <v>56</v>
      </c>
      <c r="B41" s="102">
        <f>IF($M41&gt;0,('Amounts Pivot Table'!C$631/$M41),0)</f>
        <v>6329.1717318174333</v>
      </c>
      <c r="C41" s="102">
        <f>IF($M41&gt;0,('Amounts Pivot Table'!C$634/$M41),0)</f>
        <v>1142.3941317191202</v>
      </c>
      <c r="D41" s="102">
        <f>IF($M41&gt;0,('Amounts Pivot Table'!C$640/$M41),0)</f>
        <v>9951.00778175294</v>
      </c>
      <c r="E41" s="102">
        <f>SUM(B41:D41)</f>
        <v>17422.573645289493</v>
      </c>
      <c r="F41" s="114"/>
      <c r="G41" s="115"/>
      <c r="H41" s="115"/>
      <c r="I41" s="115"/>
      <c r="J41" s="75"/>
      <c r="L41" s="168"/>
      <c r="M41" s="840">
        <f>+'[1]NEW-Tables 80-86'!B70</f>
        <v>1092923.1458333333</v>
      </c>
      <c r="N41" s="73"/>
      <c r="O41" s="73"/>
      <c r="P41" s="73"/>
      <c r="Q41" s="73"/>
    </row>
    <row r="42" spans="1:17" s="112" customFormat="1" x14ac:dyDescent="0.2">
      <c r="A42" s="110"/>
      <c r="B42" s="190"/>
      <c r="C42" s="190"/>
      <c r="D42" s="190"/>
      <c r="E42" s="190"/>
      <c r="F42" s="191"/>
      <c r="G42" s="192"/>
      <c r="H42" s="192"/>
      <c r="I42" s="192"/>
      <c r="J42" s="111"/>
      <c r="L42" s="175"/>
      <c r="M42" s="840"/>
      <c r="N42" s="110"/>
      <c r="O42" s="110"/>
      <c r="P42" s="110"/>
      <c r="Q42" s="110"/>
    </row>
    <row r="43" spans="1:17" s="61" customFormat="1" ht="12.75" customHeight="1" x14ac:dyDescent="0.2">
      <c r="A43" s="73" t="s">
        <v>320</v>
      </c>
      <c r="B43" s="75">
        <f>IF($M43&gt;0,('Amounts Pivot Table'!C$7/$M43),0)</f>
        <v>4959.8316095318705</v>
      </c>
      <c r="C43" s="75">
        <f>IF($M43&gt;0,('Amounts Pivot Table'!C$10/$M43),0)</f>
        <v>1191.3331297193731</v>
      </c>
      <c r="D43" s="75">
        <f>IF($M43&gt;0,('Amounts Pivot Table'!C$16/$M43),0)</f>
        <v>14070.148832277993</v>
      </c>
      <c r="E43" s="75">
        <f>SUM(B43:D43)</f>
        <v>20221.313571529237</v>
      </c>
      <c r="F43" s="116">
        <f>IF(B43&gt;0,RANK(B43,$B$43:$B$61),)</f>
        <v>11</v>
      </c>
      <c r="G43" s="107">
        <f>IF(C43&gt;0,RANK(C43,C$43:C$61),)</f>
        <v>9</v>
      </c>
      <c r="H43" s="107">
        <f>IF(D43&gt;0,RANK(D43,D$43:D$61),)</f>
        <v>5</v>
      </c>
      <c r="I43" s="107">
        <f>IF(E43&gt;0,RANK(E43,E$43:E$61),)</f>
        <v>6</v>
      </c>
      <c r="J43" s="75"/>
      <c r="L43" s="168"/>
      <c r="M43" s="840">
        <f>+'[1]NEW-Tables 80-86'!B72</f>
        <v>54815.058333333327</v>
      </c>
      <c r="N43" s="73"/>
      <c r="O43" s="73"/>
      <c r="P43" s="73"/>
      <c r="Q43" s="73"/>
    </row>
    <row r="44" spans="1:17" s="61" customFormat="1" ht="12.75" customHeight="1" x14ac:dyDescent="0.2">
      <c r="A44" s="73" t="s">
        <v>334</v>
      </c>
      <c r="B44" s="75">
        <f>IF($M44&gt;0,('Amounts Pivot Table'!C$46/$M44),0)</f>
        <v>5397.9723064353138</v>
      </c>
      <c r="C44" s="75">
        <f>IF($M44&gt;0,('Amounts Pivot Table'!C$49/$M44),0)</f>
        <v>3569.3904405598914</v>
      </c>
      <c r="D44" s="75">
        <f>IF($M44&gt;0,('Amounts Pivot Table'!C$55/$M44),0)</f>
        <v>9527.3591777935453</v>
      </c>
      <c r="E44" s="75">
        <f>SUM(B44:D44)</f>
        <v>18494.721924788748</v>
      </c>
      <c r="F44" s="116">
        <f t="shared" ref="F44:F61" si="17">IF(B44&gt;0,RANK(B44,$B$43:$B$61),)</f>
        <v>10</v>
      </c>
      <c r="G44" s="107">
        <f t="shared" ref="G44:G61" si="18">IF(C44&gt;0,RANK(C44,C$43:C$61),)</f>
        <v>1</v>
      </c>
      <c r="H44" s="107">
        <f t="shared" ref="H44:H61" si="19">IF(D44&gt;0,RANK(D44,D$43:D$61),)</f>
        <v>10</v>
      </c>
      <c r="I44" s="107">
        <f t="shared" ref="I44:I61" si="20">IF(E44&gt;0,RANK(E44,E$43:E$61),)</f>
        <v>8</v>
      </c>
      <c r="J44" s="75"/>
      <c r="L44" s="168"/>
      <c r="M44" s="840">
        <f>+'[1]NEW-Tables 80-86'!B73</f>
        <v>23254.5</v>
      </c>
      <c r="N44" s="73"/>
      <c r="O44" s="73"/>
      <c r="P44" s="73"/>
      <c r="Q44" s="73"/>
    </row>
    <row r="45" spans="1:17" s="61" customFormat="1" ht="12.75" customHeight="1" x14ac:dyDescent="0.2">
      <c r="A45" s="73" t="s">
        <v>321</v>
      </c>
      <c r="B45" s="75">
        <f>IF($M45&gt;0,('Amounts Pivot Table'!C$85/$M45),0)</f>
        <v>5872.2251212321653</v>
      </c>
      <c r="C45" s="75">
        <f>IF($M45&gt;0,('Amounts Pivot Table'!C$88/$M45),0)</f>
        <v>316.30681459372687</v>
      </c>
      <c r="D45" s="75">
        <f>IF($M45&gt;0,('Amounts Pivot Table'!C$94/$M45),0)</f>
        <v>25439.802871016956</v>
      </c>
      <c r="E45" s="75">
        <f>SUM(B45:D45)</f>
        <v>31628.33480684285</v>
      </c>
      <c r="F45" s="116">
        <f t="shared" si="17"/>
        <v>7</v>
      </c>
      <c r="G45" s="107">
        <f t="shared" si="18"/>
        <v>15</v>
      </c>
      <c r="H45" s="107">
        <f t="shared" si="19"/>
        <v>1</v>
      </c>
      <c r="I45" s="107">
        <f t="shared" si="20"/>
        <v>1</v>
      </c>
      <c r="J45" s="75"/>
      <c r="L45" s="168"/>
      <c r="M45" s="840">
        <f>+'[1]NEW-Tables 80-86'!B74</f>
        <v>20057.933333333331</v>
      </c>
      <c r="N45" s="220"/>
      <c r="O45" s="220"/>
      <c r="P45" s="220"/>
      <c r="Q45" s="73"/>
    </row>
    <row r="46" spans="1:17" s="61" customFormat="1" ht="12.75" customHeight="1" x14ac:dyDescent="0.2">
      <c r="A46" s="73" t="s">
        <v>328</v>
      </c>
      <c r="B46" s="75">
        <f>IF($M46&gt;0,('Amounts Pivot Table'!C$124/$M46),0)</f>
        <v>5721.8861309759413</v>
      </c>
      <c r="C46" s="75">
        <f>IF($M46&gt;0,('Amounts Pivot Table'!C$127/$M46),0)</f>
        <v>839.81882983946093</v>
      </c>
      <c r="D46" s="75">
        <f>IF($M46&gt;0,('Amounts Pivot Table'!C$133/$M46),0)</f>
        <v>5991.1636837585338</v>
      </c>
      <c r="E46" s="75">
        <f>SUM(B46:D46)</f>
        <v>12552.868644573937</v>
      </c>
      <c r="F46" s="116">
        <f t="shared" si="17"/>
        <v>8</v>
      </c>
      <c r="G46" s="107">
        <f t="shared" si="18"/>
        <v>13</v>
      </c>
      <c r="H46" s="107">
        <f t="shared" si="19"/>
        <v>16</v>
      </c>
      <c r="I46" s="107">
        <f t="shared" si="20"/>
        <v>16</v>
      </c>
      <c r="J46" s="75"/>
      <c r="L46" s="168"/>
      <c r="M46" s="840">
        <f>+'[1]NEW-Tables 80-86'!B75</f>
        <v>220737.23333333328</v>
      </c>
      <c r="N46" s="73"/>
      <c r="O46" s="73"/>
      <c r="P46" s="73"/>
      <c r="Q46" s="73"/>
    </row>
    <row r="47" spans="1:17" s="112" customFormat="1" ht="9.75" customHeight="1" x14ac:dyDescent="0.2">
      <c r="A47" s="110"/>
      <c r="B47" s="190"/>
      <c r="C47" s="190"/>
      <c r="D47" s="190"/>
      <c r="E47" s="190"/>
      <c r="F47" s="116"/>
      <c r="G47" s="107"/>
      <c r="H47" s="107"/>
      <c r="I47" s="107"/>
      <c r="J47" s="111"/>
      <c r="L47" s="175"/>
      <c r="M47" s="840"/>
      <c r="N47" s="110"/>
      <c r="O47" s="110"/>
      <c r="P47" s="110"/>
      <c r="Q47" s="110"/>
    </row>
    <row r="48" spans="1:17" s="61" customFormat="1" ht="12.75" customHeight="1" x14ac:dyDescent="0.2">
      <c r="A48" s="73" t="s">
        <v>329</v>
      </c>
      <c r="B48" s="75">
        <f>IF($M48&gt;0,('Amounts Pivot Table'!C$163/$M48),0)</f>
        <v>7310.9628129418297</v>
      </c>
      <c r="C48" s="75">
        <f>IF($M48&gt;0,('Amounts Pivot Table'!C$166/$M48),0)</f>
        <v>1123.7253751102385</v>
      </c>
      <c r="D48" s="75">
        <f>IF($M48&gt;0,('Amounts Pivot Table'!C$172/$M48),0)</f>
        <v>9114.2528641963963</v>
      </c>
      <c r="E48" s="75">
        <f>SUM(B48:D48)</f>
        <v>17548.941052248465</v>
      </c>
      <c r="F48" s="116">
        <f t="shared" si="17"/>
        <v>3</v>
      </c>
      <c r="G48" s="107">
        <f t="shared" si="18"/>
        <v>10</v>
      </c>
      <c r="H48" s="107">
        <f t="shared" si="19"/>
        <v>11</v>
      </c>
      <c r="I48" s="107">
        <f t="shared" si="20"/>
        <v>9</v>
      </c>
      <c r="J48" s="75"/>
      <c r="L48" s="168"/>
      <c r="M48" s="840">
        <f>+'[1]NEW-Tables 80-86'!B77</f>
        <v>66673.733333333323</v>
      </c>
      <c r="N48" s="73"/>
      <c r="O48" s="73"/>
      <c r="P48" s="73"/>
      <c r="Q48" s="73"/>
    </row>
    <row r="49" spans="1:17" s="61" customFormat="1" ht="12.75" customHeight="1" x14ac:dyDescent="0.2">
      <c r="A49" s="73" t="s">
        <v>322</v>
      </c>
      <c r="B49" s="75">
        <f>IF($M49&gt;0,('Amounts Pivot Table'!C$202/$M49),0)</f>
        <v>7249.1733003692734</v>
      </c>
      <c r="C49" s="75">
        <f>IF($M49&gt;0,('Amounts Pivot Table'!C$205/$M49),0)</f>
        <v>1997.1020522264887</v>
      </c>
      <c r="D49" s="75">
        <f>IF($M49&gt;0,('Amounts Pivot Table'!C$211/$M49),0)</f>
        <v>14422.942483594639</v>
      </c>
      <c r="E49" s="75">
        <f>SUM(B49:D49)</f>
        <v>23669.217836190401</v>
      </c>
      <c r="F49" s="116">
        <f t="shared" si="17"/>
        <v>4</v>
      </c>
      <c r="G49" s="107">
        <f t="shared" si="18"/>
        <v>4</v>
      </c>
      <c r="H49" s="107">
        <f t="shared" si="19"/>
        <v>4</v>
      </c>
      <c r="I49" s="107">
        <f t="shared" si="20"/>
        <v>3</v>
      </c>
      <c r="J49" s="75"/>
      <c r="L49" s="168"/>
      <c r="M49" s="840">
        <f>+'[1]NEW-Tables 80-86'!B78</f>
        <v>39760.474999999999</v>
      </c>
      <c r="N49" s="73"/>
      <c r="O49" s="73"/>
      <c r="P49" s="73"/>
      <c r="Q49" s="73"/>
    </row>
    <row r="50" spans="1:17" s="61" customFormat="1" ht="12.75" customHeight="1" x14ac:dyDescent="0.2">
      <c r="A50" s="73" t="s">
        <v>330</v>
      </c>
      <c r="B50" s="75">
        <f>IF($M50&gt;0,('Amounts Pivot Table'!C$241/$M50),0)</f>
        <v>3466.0453398077234</v>
      </c>
      <c r="C50" s="75">
        <f>IF($M50&gt;0,('Amounts Pivot Table'!C$244/$M50),0)</f>
        <v>2397.1773729930333</v>
      </c>
      <c r="D50" s="75">
        <f>IF($M50&gt;0,('Amounts Pivot Table'!C$250/$M50),0)</f>
        <v>10468.386682922532</v>
      </c>
      <c r="E50" s="75">
        <f>SUM(B50:D50)</f>
        <v>16331.609395723288</v>
      </c>
      <c r="F50" s="116">
        <f t="shared" si="17"/>
        <v>14</v>
      </c>
      <c r="G50" s="107">
        <f t="shared" si="18"/>
        <v>2</v>
      </c>
      <c r="H50" s="107">
        <f t="shared" si="19"/>
        <v>8</v>
      </c>
      <c r="I50" s="107">
        <f t="shared" si="20"/>
        <v>12</v>
      </c>
      <c r="J50" s="75"/>
      <c r="L50" s="168"/>
      <c r="M50" s="840">
        <f>+'[1]NEW-Tables 80-86'!B79</f>
        <v>29411.608333333334</v>
      </c>
      <c r="N50" s="73"/>
      <c r="O50" s="73"/>
      <c r="P50" s="73"/>
      <c r="Q50" s="73"/>
    </row>
    <row r="51" spans="1:17" s="61" customFormat="1" ht="12.75" customHeight="1" x14ac:dyDescent="0.2">
      <c r="A51" s="73" t="s">
        <v>333</v>
      </c>
      <c r="B51" s="75">
        <f>IF($M51&gt;0,('Amounts Pivot Table'!C$280/$M51),0)</f>
        <v>13876.789608552424</v>
      </c>
      <c r="C51" s="75">
        <f>IF($M51&gt;0,('Amounts Pivot Table'!C$283/$M51),0)</f>
        <v>1855.5270495014488</v>
      </c>
      <c r="D51" s="75">
        <f>IF($M51&gt;0,('Amounts Pivot Table'!C$289/$M51),0)</f>
        <v>14892.68132213213</v>
      </c>
      <c r="E51" s="75">
        <f>SUM(B51:D51)</f>
        <v>30624.997980186003</v>
      </c>
      <c r="F51" s="116">
        <f t="shared" si="17"/>
        <v>1</v>
      </c>
      <c r="G51" s="107">
        <f t="shared" si="18"/>
        <v>5</v>
      </c>
      <c r="H51" s="107">
        <f t="shared" si="19"/>
        <v>3</v>
      </c>
      <c r="I51" s="107">
        <f t="shared" si="20"/>
        <v>2</v>
      </c>
      <c r="J51" s="75"/>
      <c r="L51" s="168"/>
      <c r="M51" s="840">
        <f>+'[1]NEW-Tables 80-86'!B80</f>
        <v>32800.050000000003</v>
      </c>
      <c r="N51" s="73"/>
      <c r="O51" s="73"/>
      <c r="P51" s="73"/>
      <c r="Q51" s="73"/>
    </row>
    <row r="52" spans="1:17" s="112" customFormat="1" ht="11.25" customHeight="1" x14ac:dyDescent="0.2">
      <c r="A52" s="110"/>
      <c r="B52" s="190"/>
      <c r="C52" s="190"/>
      <c r="D52" s="190"/>
      <c r="E52" s="190"/>
      <c r="F52" s="116"/>
      <c r="G52" s="107"/>
      <c r="H52" s="107"/>
      <c r="I52" s="107"/>
      <c r="J52" s="111"/>
      <c r="L52" s="175"/>
      <c r="M52" s="840"/>
      <c r="N52" s="110"/>
      <c r="O52" s="110"/>
      <c r="P52" s="110"/>
      <c r="Q52" s="110"/>
    </row>
    <row r="53" spans="1:17" s="61" customFormat="1" ht="12.75" customHeight="1" x14ac:dyDescent="0.2">
      <c r="A53" s="73" t="s">
        <v>323</v>
      </c>
      <c r="B53" s="75">
        <f>IF($M53&gt;0,('Amounts Pivot Table'!C$319/$M53),0)</f>
        <v>5455.9831119746541</v>
      </c>
      <c r="C53" s="75">
        <f>IF($M53&gt;0,('Amounts Pivot Table'!C$322/$M53),0)</f>
        <v>2168.5225808920791</v>
      </c>
      <c r="D53" s="75">
        <f>IF($M53&gt;0,('Amounts Pivot Table'!C$328/$M53),0)</f>
        <v>8640.0293175952229</v>
      </c>
      <c r="E53" s="75">
        <f>SUM(B53:D53)</f>
        <v>16264.535010461956</v>
      </c>
      <c r="F53" s="116">
        <f t="shared" si="17"/>
        <v>9</v>
      </c>
      <c r="G53" s="107">
        <f t="shared" si="18"/>
        <v>3</v>
      </c>
      <c r="H53" s="107">
        <f t="shared" si="19"/>
        <v>13</v>
      </c>
      <c r="I53" s="107">
        <f t="shared" si="20"/>
        <v>13</v>
      </c>
      <c r="J53" s="75"/>
      <c r="L53" s="168"/>
      <c r="M53" s="840">
        <f>+'[1]NEW-Tables 80-86'!B82</f>
        <v>31789.783333333333</v>
      </c>
      <c r="N53" s="73"/>
      <c r="O53" s="73"/>
      <c r="P53" s="73"/>
      <c r="Q53" s="73"/>
    </row>
    <row r="54" spans="1:17" s="61" customFormat="1" ht="12.75" customHeight="1" x14ac:dyDescent="0.2">
      <c r="A54" s="73" t="s">
        <v>324</v>
      </c>
      <c r="B54" s="75">
        <f>IF($M54&gt;0,('Amounts Pivot Table'!C$358/$M54),0)</f>
        <v>10723.189316407106</v>
      </c>
      <c r="C54" s="75">
        <f>IF($M54&gt;0,('Amounts Pivot Table'!C$361/$M54),0)</f>
        <v>1293.6845281292169</v>
      </c>
      <c r="D54" s="75">
        <f>IF($M54&gt;0,('Amounts Pivot Table'!C$367/$M54),0)</f>
        <v>8843.0280938062988</v>
      </c>
      <c r="E54" s="75">
        <f>SUM(B54:D54)</f>
        <v>20859.90193834262</v>
      </c>
      <c r="F54" s="116">
        <f t="shared" si="17"/>
        <v>2</v>
      </c>
      <c r="G54" s="107">
        <f t="shared" si="18"/>
        <v>8</v>
      </c>
      <c r="H54" s="107">
        <f t="shared" si="19"/>
        <v>12</v>
      </c>
      <c r="I54" s="107">
        <f t="shared" si="20"/>
        <v>4</v>
      </c>
      <c r="J54" s="75"/>
      <c r="L54" s="168"/>
      <c r="M54" s="840">
        <f>+'[1]NEW-Tables 80-86'!B83</f>
        <v>70953.658333333326</v>
      </c>
      <c r="N54" s="73"/>
      <c r="O54" s="73"/>
      <c r="P54" s="73"/>
      <c r="Q54" s="73"/>
    </row>
    <row r="55" spans="1:17" s="61" customFormat="1" ht="12.75" customHeight="1" x14ac:dyDescent="0.2">
      <c r="A55" s="73" t="s">
        <v>331</v>
      </c>
      <c r="B55" s="75">
        <f>IF($M55&gt;0,('Amounts Pivot Table'!C$397/$M55),0)</f>
        <v>4852.2383372530803</v>
      </c>
      <c r="C55" s="75">
        <f>IF($M55&gt;0,('Amounts Pivot Table'!C$400/$M55),0)</f>
        <v>0</v>
      </c>
      <c r="D55" s="75">
        <f>IF($M55&gt;0,('Amounts Pivot Table'!C$406/$M55),0)</f>
        <v>8547.0861949688551</v>
      </c>
      <c r="E55" s="75">
        <f>SUM(B55:D55)</f>
        <v>13399.324532221935</v>
      </c>
      <c r="F55" s="116">
        <f t="shared" si="17"/>
        <v>12</v>
      </c>
      <c r="G55" s="107">
        <f t="shared" si="18"/>
        <v>0</v>
      </c>
      <c r="H55" s="107">
        <f t="shared" si="19"/>
        <v>14</v>
      </c>
      <c r="I55" s="107">
        <f t="shared" si="20"/>
        <v>15</v>
      </c>
      <c r="J55" s="75"/>
      <c r="L55" s="168"/>
      <c r="M55" s="840">
        <f>+'[1]NEW-Tables 80-86'!B84</f>
        <v>56675.291666666664</v>
      </c>
      <c r="N55" s="73"/>
      <c r="O55" s="73"/>
      <c r="P55" s="73"/>
      <c r="Q55" s="73"/>
    </row>
    <row r="56" spans="1:17" s="61" customFormat="1" ht="12.75" customHeight="1" x14ac:dyDescent="0.2">
      <c r="A56" s="73" t="s">
        <v>325</v>
      </c>
      <c r="B56" s="75">
        <f>IF($M56&gt;0,('Amounts Pivot Table'!C$436/$M56),0)</f>
        <v>3124.8667882901891</v>
      </c>
      <c r="C56" s="75">
        <f>IF($M56&gt;0,('Amounts Pivot Table'!C$439/$M56),0)</f>
        <v>1014.8498102683336</v>
      </c>
      <c r="D56" s="75">
        <f>IF($M56&gt;0,('Amounts Pivot Table'!C$445/$M56),0)</f>
        <v>16263.769491244082</v>
      </c>
      <c r="E56" s="75">
        <f>SUM(B56:D56)</f>
        <v>20403.486089802605</v>
      </c>
      <c r="F56" s="116">
        <f t="shared" si="17"/>
        <v>15</v>
      </c>
      <c r="G56" s="107">
        <f t="shared" si="18"/>
        <v>11</v>
      </c>
      <c r="H56" s="107">
        <f t="shared" si="19"/>
        <v>2</v>
      </c>
      <c r="I56" s="107">
        <f t="shared" si="20"/>
        <v>5</v>
      </c>
      <c r="J56" s="75"/>
      <c r="L56" s="168"/>
      <c r="M56" s="840">
        <f>+'[1]NEW-Tables 80-86'!B85</f>
        <v>48597.14166666667</v>
      </c>
      <c r="N56" s="73"/>
      <c r="O56" s="73"/>
      <c r="P56" s="73"/>
      <c r="Q56" s="73"/>
    </row>
    <row r="57" spans="1:17" s="112" customFormat="1" ht="8.25" customHeight="1" x14ac:dyDescent="0.2">
      <c r="A57" s="110"/>
      <c r="B57" s="190"/>
      <c r="C57" s="190"/>
      <c r="D57" s="190"/>
      <c r="E57" s="190"/>
      <c r="F57" s="116"/>
      <c r="G57" s="107"/>
      <c r="H57" s="107"/>
      <c r="I57" s="107"/>
      <c r="J57" s="111"/>
      <c r="L57" s="175"/>
      <c r="M57" s="840"/>
      <c r="N57" s="110"/>
      <c r="O57" s="110"/>
      <c r="P57" s="110"/>
      <c r="Q57" s="110"/>
    </row>
    <row r="58" spans="1:17" s="61" customFormat="1" ht="12.75" customHeight="1" x14ac:dyDescent="0.2">
      <c r="A58" s="73" t="s">
        <v>90</v>
      </c>
      <c r="B58" s="75">
        <f>IF($M58&gt;0,('Amounts Pivot Table'!C$475/$M58),0)</f>
        <v>6761.6085510618841</v>
      </c>
      <c r="C58" s="75">
        <f>IF($M58&gt;0,('Amounts Pivot Table'!C$478/$M58),0)</f>
        <v>1584.8492358168407</v>
      </c>
      <c r="D58" s="75">
        <f>IF($M58&gt;0,('Amounts Pivot Table'!C$484/$M58),0)</f>
        <v>10323.040502760548</v>
      </c>
      <c r="E58" s="75">
        <f>SUM(B58:D58)</f>
        <v>18669.498289639276</v>
      </c>
      <c r="F58" s="116">
        <f t="shared" si="17"/>
        <v>6</v>
      </c>
      <c r="G58" s="107">
        <f t="shared" si="18"/>
        <v>6</v>
      </c>
      <c r="H58" s="107">
        <f t="shared" si="19"/>
        <v>9</v>
      </c>
      <c r="I58" s="107">
        <f t="shared" si="20"/>
        <v>7</v>
      </c>
      <c r="J58" s="75"/>
      <c r="K58" s="101"/>
      <c r="L58" s="168"/>
      <c r="M58" s="840">
        <f>+'[1]NEW-Tables 80-86'!B87</f>
        <v>41939.116666666669</v>
      </c>
      <c r="N58" s="73"/>
      <c r="O58" s="73"/>
      <c r="P58" s="73"/>
      <c r="Q58" s="73"/>
    </row>
    <row r="59" spans="1:17" s="61" customFormat="1" ht="12.75" customHeight="1" x14ac:dyDescent="0.2">
      <c r="A59" s="73" t="s">
        <v>326</v>
      </c>
      <c r="B59" s="75">
        <f>IF($M59&gt;0,('Amounts Pivot Table'!C$514/$M59),0)</f>
        <v>7242.9794903930615</v>
      </c>
      <c r="C59" s="75">
        <f>IF($M59&gt;0,('Amounts Pivot Table'!C$517/$M59),0)</f>
        <v>1004.2722005076205</v>
      </c>
      <c r="D59" s="75">
        <f>IF($M59&gt;0,('Amounts Pivot Table'!C$523/$M59),0)</f>
        <v>8509.4611001370558</v>
      </c>
      <c r="E59" s="75">
        <f>SUM(B59:D59)</f>
        <v>16756.712791037738</v>
      </c>
      <c r="F59" s="116">
        <f t="shared" si="17"/>
        <v>5</v>
      </c>
      <c r="G59" s="107">
        <f t="shared" si="18"/>
        <v>12</v>
      </c>
      <c r="H59" s="107">
        <f t="shared" si="19"/>
        <v>15</v>
      </c>
      <c r="I59" s="107">
        <f t="shared" si="20"/>
        <v>11</v>
      </c>
      <c r="J59" s="75"/>
      <c r="K59" s="101"/>
      <c r="L59" s="168"/>
      <c r="M59" s="840">
        <f>+'[1]NEW-Tables 80-86'!B88</f>
        <v>226616.15833333333</v>
      </c>
      <c r="N59" s="73"/>
      <c r="O59" s="73"/>
      <c r="P59" s="73"/>
      <c r="Q59" s="73"/>
    </row>
    <row r="60" spans="1:17" s="76" customFormat="1" ht="12.75" customHeight="1" x14ac:dyDescent="0.2">
      <c r="A60" s="73" t="s">
        <v>327</v>
      </c>
      <c r="B60" s="75">
        <f>IF($M60&gt;0,('Amounts Pivot Table'!C$553/$M60),0)</f>
        <v>4442.3490139460237</v>
      </c>
      <c r="C60" s="75">
        <f>IF($M60&gt;0,('Amounts Pivot Table'!C$556/$M60),0)</f>
        <v>754.68561203563377</v>
      </c>
      <c r="D60" s="75">
        <f>IF($M60&gt;0,('Amounts Pivot Table'!C$562/$M60),0)</f>
        <v>12196.84894008728</v>
      </c>
      <c r="E60" s="75">
        <f>SUM(B60:D60)</f>
        <v>17393.883566068936</v>
      </c>
      <c r="F60" s="116">
        <f t="shared" si="17"/>
        <v>13</v>
      </c>
      <c r="G60" s="107">
        <f t="shared" si="18"/>
        <v>14</v>
      </c>
      <c r="H60" s="107">
        <f t="shared" si="19"/>
        <v>6</v>
      </c>
      <c r="I60" s="107">
        <f t="shared" si="20"/>
        <v>10</v>
      </c>
      <c r="J60" s="75"/>
      <c r="K60" s="101"/>
      <c r="L60" s="169"/>
      <c r="M60" s="840">
        <f>+'[1]NEW-Tables 80-86'!B89</f>
        <v>102137.53750000001</v>
      </c>
      <c r="N60" s="90"/>
      <c r="O60" s="90"/>
      <c r="P60" s="90"/>
      <c r="Q60" s="90"/>
    </row>
    <row r="61" spans="1:17" s="61" customFormat="1" ht="12.75" customHeight="1" x14ac:dyDescent="0.2">
      <c r="A61" s="74" t="s">
        <v>332</v>
      </c>
      <c r="B61" s="104">
        <f>IF($M61&gt;0,('Amounts Pivot Table'!C$592/$M61),0)</f>
        <v>2488.786580220592</v>
      </c>
      <c r="C61" s="104">
        <f>IF($M61&gt;0,('Amounts Pivot Table'!C$595/$M61),0)</f>
        <v>1559.4151783262348</v>
      </c>
      <c r="D61" s="104">
        <f>IF($M61&gt;0,('Amounts Pivot Table'!C$601/$M61),0)</f>
        <v>10809.258696618217</v>
      </c>
      <c r="E61" s="105">
        <f>SUM(B61:D61)</f>
        <v>14857.460455165045</v>
      </c>
      <c r="F61" s="117">
        <f t="shared" si="17"/>
        <v>16</v>
      </c>
      <c r="G61" s="118">
        <f t="shared" si="18"/>
        <v>7</v>
      </c>
      <c r="H61" s="118">
        <f t="shared" si="19"/>
        <v>7</v>
      </c>
      <c r="I61" s="118">
        <f t="shared" si="20"/>
        <v>14</v>
      </c>
      <c r="J61" s="75"/>
      <c r="K61" s="101"/>
      <c r="L61" s="170"/>
      <c r="M61" s="840">
        <f>+'[1]NEW-Tables 80-86'!B90</f>
        <v>26703.866666666669</v>
      </c>
      <c r="N61" s="73"/>
      <c r="O61" s="73"/>
      <c r="P61" s="73"/>
      <c r="Q61" s="73"/>
    </row>
    <row r="62" spans="1:17" s="61" customFormat="1" ht="39.75" customHeight="1" x14ac:dyDescent="0.2">
      <c r="A62" s="1558" t="s">
        <v>17</v>
      </c>
      <c r="B62" s="1583"/>
      <c r="C62" s="1583"/>
      <c r="D62" s="1583"/>
      <c r="E62" s="1583"/>
      <c r="F62" s="1583"/>
      <c r="G62" s="1584"/>
      <c r="H62" s="1584"/>
      <c r="I62" s="1584"/>
      <c r="J62" s="101"/>
      <c r="K62" s="101"/>
      <c r="L62" s="171"/>
      <c r="M62" s="300"/>
      <c r="N62" s="73"/>
      <c r="O62" s="73"/>
      <c r="P62" s="73"/>
      <c r="Q62" s="73"/>
    </row>
    <row r="63" spans="1:17" s="76" customFormat="1" ht="19.5" customHeight="1" x14ac:dyDescent="0.2">
      <c r="A63" s="1558" t="s">
        <v>54</v>
      </c>
      <c r="B63" s="1586"/>
      <c r="C63" s="1586"/>
      <c r="D63" s="1586"/>
      <c r="E63" s="1586"/>
      <c r="F63" s="1586"/>
      <c r="G63" s="1586"/>
      <c r="H63" s="1586"/>
      <c r="I63" s="1586"/>
      <c r="J63" s="106"/>
      <c r="L63" s="169"/>
      <c r="M63" s="296"/>
      <c r="N63" s="90"/>
      <c r="O63" s="90"/>
      <c r="P63" s="90"/>
      <c r="Q63" s="90"/>
    </row>
    <row r="64" spans="1:17" s="61" customFormat="1" x14ac:dyDescent="0.2">
      <c r="A64" s="1558" t="s">
        <v>233</v>
      </c>
      <c r="B64" s="1583"/>
      <c r="C64" s="1583"/>
      <c r="D64" s="1583"/>
      <c r="E64" s="1583"/>
      <c r="F64" s="1583"/>
      <c r="G64" s="1584"/>
      <c r="H64" s="1584"/>
      <c r="I64" s="1584"/>
      <c r="J64" s="1584"/>
      <c r="K64" s="1584"/>
      <c r="L64" s="171"/>
      <c r="M64" s="296"/>
      <c r="N64" s="73"/>
      <c r="O64" s="73"/>
      <c r="P64" s="73"/>
      <c r="Q64" s="73"/>
    </row>
    <row r="65" spans="1:17" s="61" customFormat="1" ht="10.5" customHeight="1" x14ac:dyDescent="0.2">
      <c r="A65" s="187"/>
      <c r="B65" s="106"/>
      <c r="C65" s="106"/>
      <c r="D65" s="106"/>
      <c r="E65" s="106"/>
      <c r="F65" s="106"/>
      <c r="G65" s="188"/>
      <c r="H65" s="188"/>
      <c r="I65" s="188"/>
      <c r="J65" s="188"/>
      <c r="K65" s="188"/>
      <c r="L65" s="171"/>
      <c r="M65" s="296"/>
      <c r="N65" s="73"/>
      <c r="O65" s="73"/>
      <c r="P65" s="73"/>
      <c r="Q65" s="73"/>
    </row>
    <row r="66" spans="1:17" s="61" customFormat="1" x14ac:dyDescent="0.2">
      <c r="A66" s="187"/>
      <c r="B66" s="106"/>
      <c r="C66" s="106"/>
      <c r="D66" s="106"/>
      <c r="E66" s="106"/>
      <c r="F66" s="106"/>
      <c r="G66" s="188"/>
      <c r="H66" s="188"/>
      <c r="I66" s="535" t="s">
        <v>1898</v>
      </c>
      <c r="J66" s="188"/>
      <c r="K66" s="188"/>
      <c r="L66" s="171"/>
      <c r="M66" s="296"/>
      <c r="N66" s="73"/>
      <c r="O66" s="73"/>
      <c r="P66" s="73"/>
      <c r="Q66" s="73"/>
    </row>
    <row r="67" spans="1:17" s="61" customFormat="1" ht="18" x14ac:dyDescent="0.2">
      <c r="A67" s="135" t="s">
        <v>360</v>
      </c>
      <c r="B67" s="135"/>
      <c r="C67" s="135"/>
      <c r="D67" s="135"/>
      <c r="E67" s="135"/>
      <c r="F67" s="135"/>
      <c r="G67" s="135"/>
      <c r="H67" s="135"/>
      <c r="I67" s="135"/>
      <c r="J67" s="95" t="s">
        <v>91</v>
      </c>
      <c r="L67" s="170"/>
      <c r="M67" s="296"/>
      <c r="N67" s="73"/>
      <c r="O67" s="73"/>
      <c r="P67" s="73"/>
      <c r="Q67" s="73"/>
    </row>
    <row r="68" spans="1:17" s="61" customFormat="1" ht="18" x14ac:dyDescent="0.2">
      <c r="A68" s="135"/>
      <c r="B68" s="135"/>
      <c r="C68" s="135"/>
      <c r="D68" s="135"/>
      <c r="E68" s="135"/>
      <c r="F68" s="135"/>
      <c r="G68" s="135"/>
      <c r="H68" s="135"/>
      <c r="I68" s="135"/>
      <c r="J68" s="95"/>
      <c r="L68" s="170"/>
      <c r="M68" s="296"/>
      <c r="N68" s="73"/>
      <c r="O68" s="73"/>
      <c r="P68" s="73"/>
      <c r="Q68" s="73"/>
    </row>
    <row r="69" spans="1:17" s="61" customFormat="1" ht="18.75" x14ac:dyDescent="0.2">
      <c r="A69" s="1557" t="s">
        <v>18</v>
      </c>
      <c r="B69" s="1557"/>
      <c r="C69" s="1557"/>
      <c r="D69" s="1557"/>
      <c r="E69" s="1557"/>
      <c r="F69" s="1557"/>
      <c r="G69" s="1557"/>
      <c r="H69" s="1557"/>
      <c r="I69" s="1557"/>
      <c r="J69" s="95"/>
      <c r="K69" s="95"/>
      <c r="L69" s="170"/>
      <c r="M69" s="296"/>
      <c r="N69" s="73"/>
      <c r="O69" s="73"/>
      <c r="P69" s="73"/>
      <c r="Q69" s="73"/>
    </row>
    <row r="70" spans="1:17" s="61" customFormat="1" ht="15.75" x14ac:dyDescent="0.2">
      <c r="A70" s="1557" t="s">
        <v>1903</v>
      </c>
      <c r="B70" s="1557"/>
      <c r="C70" s="1557"/>
      <c r="D70" s="1557"/>
      <c r="E70" s="1557"/>
      <c r="F70" s="1557"/>
      <c r="G70" s="1557"/>
      <c r="H70" s="1557"/>
      <c r="I70" s="1557"/>
      <c r="J70" s="95"/>
      <c r="K70" s="95"/>
      <c r="L70" s="165"/>
      <c r="M70" s="296"/>
      <c r="N70" s="73"/>
      <c r="O70" s="73"/>
      <c r="P70" s="73"/>
      <c r="Q70" s="73"/>
    </row>
    <row r="71" spans="1:17" s="61" customFormat="1" ht="6.75" customHeight="1" x14ac:dyDescent="0.2">
      <c r="A71" s="91"/>
      <c r="B71" s="91"/>
      <c r="C71" s="91"/>
      <c r="D71" s="91"/>
      <c r="E71" s="91"/>
      <c r="F71" s="91"/>
      <c r="G71" s="108" t="s">
        <v>91</v>
      </c>
      <c r="H71" s="91"/>
      <c r="I71" s="91"/>
      <c r="J71" s="91"/>
      <c r="K71" s="91"/>
      <c r="L71" s="165"/>
      <c r="M71" s="296"/>
      <c r="N71" s="73"/>
      <c r="O71" s="73"/>
      <c r="P71" s="73"/>
      <c r="Q71" s="73"/>
    </row>
    <row r="72" spans="1:17" s="61" customFormat="1" ht="15.75" customHeight="1" x14ac:dyDescent="0.2">
      <c r="A72" s="60"/>
      <c r="B72" s="567" t="s">
        <v>55</v>
      </c>
      <c r="C72" s="568"/>
      <c r="D72" s="568"/>
      <c r="E72" s="568"/>
      <c r="F72" s="569" t="s">
        <v>119</v>
      </c>
      <c r="G72" s="570"/>
      <c r="H72" s="570"/>
      <c r="I72" s="570"/>
      <c r="L72" s="165"/>
      <c r="M72" s="296"/>
      <c r="N72" s="73"/>
      <c r="O72" s="73"/>
      <c r="P72" s="73"/>
      <c r="Q72" s="73"/>
    </row>
    <row r="73" spans="1:17" s="6" customFormat="1" ht="48" x14ac:dyDescent="0.2">
      <c r="A73" s="50"/>
      <c r="B73" s="550" t="s">
        <v>87</v>
      </c>
      <c r="C73" s="551" t="s">
        <v>89</v>
      </c>
      <c r="D73" s="551" t="s">
        <v>398</v>
      </c>
      <c r="E73" s="551" t="s">
        <v>97</v>
      </c>
      <c r="F73" s="552" t="s">
        <v>87</v>
      </c>
      <c r="G73" s="551" t="s">
        <v>89</v>
      </c>
      <c r="H73" s="551" t="s">
        <v>398</v>
      </c>
      <c r="I73" s="551" t="s">
        <v>97</v>
      </c>
      <c r="L73" s="172"/>
      <c r="M73" s="296" t="s">
        <v>260</v>
      </c>
      <c r="N73" s="7"/>
      <c r="O73" s="7"/>
      <c r="P73" s="7"/>
      <c r="Q73" s="7"/>
    </row>
    <row r="74" spans="1:17" s="61" customFormat="1" ht="16.5" customHeight="1" x14ac:dyDescent="0.2">
      <c r="A74" s="73" t="s">
        <v>56</v>
      </c>
      <c r="B74" s="102">
        <f>IF($M74&gt;0,('Amounts Pivot Table'!D$631/$M74),0)</f>
        <v>6029.1337837208839</v>
      </c>
      <c r="C74" s="102">
        <f>IF($M74&gt;0,('Amounts Pivot Table'!D$634/$M74),0)</f>
        <v>258.07773914554025</v>
      </c>
      <c r="D74" s="102">
        <f>IF($M74&gt;0,('Amounts Pivot Table'!D$640/$M74),0)</f>
        <v>8325.3509338772656</v>
      </c>
      <c r="E74" s="102">
        <f>SUM(B74:D74)</f>
        <v>14612.56245674369</v>
      </c>
      <c r="F74" s="114"/>
      <c r="G74" s="115"/>
      <c r="H74" s="115"/>
      <c r="I74" s="115"/>
      <c r="J74" s="102"/>
      <c r="L74" s="168"/>
      <c r="M74" s="840">
        <f>+'[1]NEW-Tables 80-86'!C70</f>
        <v>282679.14250000002</v>
      </c>
      <c r="N74" s="73"/>
      <c r="O74" s="73"/>
      <c r="P74" s="73"/>
      <c r="Q74" s="73"/>
    </row>
    <row r="75" spans="1:17" s="61" customFormat="1" ht="10.5" customHeight="1" x14ac:dyDescent="0.2">
      <c r="A75" s="73"/>
      <c r="B75" s="102"/>
      <c r="C75" s="102"/>
      <c r="D75" s="102"/>
      <c r="E75" s="102"/>
      <c r="F75" s="114"/>
      <c r="G75" s="115"/>
      <c r="H75" s="115"/>
      <c r="I75" s="115"/>
      <c r="J75" s="102"/>
      <c r="L75" s="168"/>
      <c r="M75" s="840"/>
      <c r="N75" s="73"/>
      <c r="O75" s="73"/>
      <c r="P75" s="73"/>
      <c r="Q75" s="73"/>
    </row>
    <row r="76" spans="1:17" s="61" customFormat="1" x14ac:dyDescent="0.2">
      <c r="A76" s="73" t="s">
        <v>320</v>
      </c>
      <c r="B76" s="75">
        <f>IF($M76&gt;0,('Amounts Pivot Table'!D$7/$M76),0)</f>
        <v>4396.2423291570476</v>
      </c>
      <c r="C76" s="75">
        <f>IF($M76&gt;0,('Amounts Pivot Table'!D$10/$M76),0)</f>
        <v>54.292967553473638</v>
      </c>
      <c r="D76" s="75">
        <f>IF($M76&gt;0,('Amounts Pivot Table'!D$16/$M76),0)</f>
        <v>11905.363844872283</v>
      </c>
      <c r="E76" s="75">
        <f>SUM(B76:D76)</f>
        <v>16355.899141582804</v>
      </c>
      <c r="F76" s="116">
        <f>IF(B76&gt;0,RANK(B76,$B$76:$B$94),)</f>
        <v>8</v>
      </c>
      <c r="G76" s="107">
        <f>IF(C76&gt;0,RANK(C76,$C$76:$C$94),)</f>
        <v>6</v>
      </c>
      <c r="H76" s="107">
        <f>IF(D76&gt;0,RANK(D76,$D$76:$D$94),)</f>
        <v>3</v>
      </c>
      <c r="I76" s="107">
        <f>IF(E76&gt;0,RANK(E76,$E$76:$E$94),)</f>
        <v>4</v>
      </c>
      <c r="J76" s="75"/>
      <c r="L76" s="168"/>
      <c r="M76" s="840">
        <f>+'[1]NEW-Tables 80-86'!C72</f>
        <v>16731.375</v>
      </c>
      <c r="N76" s="73"/>
      <c r="O76" s="73"/>
      <c r="P76" s="73"/>
      <c r="Q76" s="73"/>
    </row>
    <row r="77" spans="1:17" s="61" customFormat="1" x14ac:dyDescent="0.2">
      <c r="A77" s="73" t="s">
        <v>334</v>
      </c>
      <c r="B77" s="75">
        <f>IF($M77&gt;0,('Amounts Pivot Table'!D$46/$M77),0)</f>
        <v>0</v>
      </c>
      <c r="C77" s="75">
        <f>IF($M77&gt;0,('Amounts Pivot Table'!D$49/$M77),0)</f>
        <v>0</v>
      </c>
      <c r="D77" s="75">
        <f>IF($M77&gt;0,('Amounts Pivot Table'!D$55/$M77),0)</f>
        <v>0</v>
      </c>
      <c r="E77" s="75">
        <f>SUM(B77:D77)</f>
        <v>0</v>
      </c>
      <c r="F77" s="116">
        <f t="shared" ref="F77:F94" si="21">IF(B77&gt;0,RANK(B77,$B$76:$B$94),)</f>
        <v>0</v>
      </c>
      <c r="G77" s="107">
        <f t="shared" ref="G77:G94" si="22">IF(C77&gt;0,RANK(C77,$C$76:$C$94),)</f>
        <v>0</v>
      </c>
      <c r="H77" s="107">
        <f t="shared" ref="H77:H94" si="23">IF(D77&gt;0,RANK(D77,$D$76:$D$94),)</f>
        <v>0</v>
      </c>
      <c r="I77" s="107">
        <f t="shared" ref="I77:I94" si="24">IF(E77&gt;0,RANK(E77,$E$76:$E$94),)</f>
        <v>0</v>
      </c>
      <c r="J77" s="75"/>
      <c r="L77" s="168"/>
      <c r="M77" s="840">
        <f>+'[1]NEW-Tables 80-86'!C73</f>
        <v>0</v>
      </c>
      <c r="N77" s="73"/>
      <c r="O77" s="73"/>
      <c r="P77" s="73"/>
      <c r="Q77" s="73"/>
    </row>
    <row r="78" spans="1:17" s="61" customFormat="1" x14ac:dyDescent="0.2">
      <c r="A78" s="73" t="s">
        <v>321</v>
      </c>
      <c r="B78" s="75">
        <f>IF($M78&gt;0,('Amounts Pivot Table'!D$85/$M78),0)</f>
        <v>0</v>
      </c>
      <c r="C78" s="75">
        <f>IF($M78&gt;0,('Amounts Pivot Table'!D$88/$M78),0)</f>
        <v>0</v>
      </c>
      <c r="D78" s="75">
        <f>IF($M78&gt;0,('Amounts Pivot Table'!D$94/$M78),0)</f>
        <v>0</v>
      </c>
      <c r="E78" s="75">
        <f>SUM(B78:D78)</f>
        <v>0</v>
      </c>
      <c r="F78" s="116">
        <f t="shared" si="21"/>
        <v>0</v>
      </c>
      <c r="G78" s="107">
        <f t="shared" si="22"/>
        <v>0</v>
      </c>
      <c r="H78" s="107">
        <f t="shared" si="23"/>
        <v>0</v>
      </c>
      <c r="I78" s="107">
        <f t="shared" si="24"/>
        <v>0</v>
      </c>
      <c r="J78" s="75"/>
      <c r="L78" s="168"/>
      <c r="M78" s="840">
        <f>+'[1]NEW-Tables 80-86'!C74</f>
        <v>0</v>
      </c>
      <c r="N78" s="73"/>
      <c r="O78" s="73"/>
      <c r="P78" s="73"/>
      <c r="Q78" s="73"/>
    </row>
    <row r="79" spans="1:17" s="61" customFormat="1" x14ac:dyDescent="0.2">
      <c r="A79" s="73" t="s">
        <v>328</v>
      </c>
      <c r="B79" s="75">
        <f>IF($M79&gt;0,('Amounts Pivot Table'!D$124/$M79),0)</f>
        <v>5574.2181491610936</v>
      </c>
      <c r="C79" s="75">
        <f>IF($M79&gt;0,('Amounts Pivot Table'!D$127/$M79),0)</f>
        <v>739.15832789807098</v>
      </c>
      <c r="D79" s="75">
        <f>IF($M79&gt;0,('Amounts Pivot Table'!D$133/$M79),0)</f>
        <v>5098.6076912213921</v>
      </c>
      <c r="E79" s="75">
        <f>SUM(B79:D79)</f>
        <v>11411.984168280556</v>
      </c>
      <c r="F79" s="116">
        <f t="shared" si="21"/>
        <v>4</v>
      </c>
      <c r="G79" s="107">
        <f t="shared" si="22"/>
        <v>3</v>
      </c>
      <c r="H79" s="107">
        <f t="shared" si="23"/>
        <v>10</v>
      </c>
      <c r="I79" s="107">
        <f t="shared" si="24"/>
        <v>8</v>
      </c>
      <c r="J79" s="75"/>
      <c r="L79" s="168"/>
      <c r="M79" s="840">
        <f>+'[1]NEW-Tables 80-86'!C75</f>
        <v>24135.091666666667</v>
      </c>
      <c r="N79" s="73"/>
      <c r="O79" s="73"/>
      <c r="P79" s="73"/>
      <c r="Q79" s="73"/>
    </row>
    <row r="80" spans="1:17" s="61" customFormat="1" ht="7.5" customHeight="1" x14ac:dyDescent="0.2">
      <c r="A80" s="73"/>
      <c r="B80" s="75"/>
      <c r="C80" s="75"/>
      <c r="D80" s="75"/>
      <c r="E80" s="75"/>
      <c r="F80" s="116"/>
      <c r="G80" s="107"/>
      <c r="H80" s="107"/>
      <c r="I80" s="107"/>
      <c r="J80" s="75"/>
      <c r="L80" s="168"/>
      <c r="M80" s="840"/>
      <c r="N80" s="73"/>
      <c r="O80" s="73"/>
      <c r="P80" s="73"/>
      <c r="Q80" s="73"/>
    </row>
    <row r="81" spans="1:17" s="61" customFormat="1" x14ac:dyDescent="0.2">
      <c r="A81" s="73" t="s">
        <v>329</v>
      </c>
      <c r="B81" s="75">
        <f>IF($M81&gt;0,('Amounts Pivot Table'!D$163/$M81),0)</f>
        <v>8714.8410028456765</v>
      </c>
      <c r="C81" s="75">
        <f>IF($M81&gt;0,('Amounts Pivot Table'!D$166/$M81),0)</f>
        <v>531.337225764349</v>
      </c>
      <c r="D81" s="75">
        <f>IF($M81&gt;0,('Amounts Pivot Table'!D$172/$M81),0)</f>
        <v>13714.053016033316</v>
      </c>
      <c r="E81" s="75">
        <f>SUM(B81:D81)</f>
        <v>22960.231244643343</v>
      </c>
      <c r="F81" s="116">
        <f t="shared" si="21"/>
        <v>3</v>
      </c>
      <c r="G81" s="107">
        <f t="shared" si="22"/>
        <v>4</v>
      </c>
      <c r="H81" s="107">
        <f t="shared" si="23"/>
        <v>1</v>
      </c>
      <c r="I81" s="107">
        <f t="shared" si="24"/>
        <v>1</v>
      </c>
      <c r="J81" s="75"/>
      <c r="L81" s="168"/>
      <c r="M81" s="840">
        <f>+'[1]NEW-Tables 80-86'!C77</f>
        <v>24045.241666666669</v>
      </c>
      <c r="N81" s="73"/>
      <c r="O81" s="73"/>
      <c r="P81" s="73"/>
      <c r="Q81" s="73"/>
    </row>
    <row r="82" spans="1:17" s="61" customFormat="1" x14ac:dyDescent="0.2">
      <c r="A82" s="73" t="s">
        <v>322</v>
      </c>
      <c r="B82" s="75">
        <f>IF($M82&gt;0,('Amounts Pivot Table'!D$202/$M82),0)</f>
        <v>0</v>
      </c>
      <c r="C82" s="75">
        <f>IF($M82&gt;0,('Amounts Pivot Table'!D$205/$M82),0)</f>
        <v>0</v>
      </c>
      <c r="D82" s="75">
        <f>IF($M82&gt;0,('Amounts Pivot Table'!D$211/$M82),0)</f>
        <v>0</v>
      </c>
      <c r="E82" s="75">
        <f>SUM(B82:D82)</f>
        <v>0</v>
      </c>
      <c r="F82" s="116">
        <f t="shared" si="21"/>
        <v>0</v>
      </c>
      <c r="G82" s="107">
        <f t="shared" si="22"/>
        <v>0</v>
      </c>
      <c r="H82" s="107">
        <f t="shared" si="23"/>
        <v>0</v>
      </c>
      <c r="I82" s="107">
        <f t="shared" si="24"/>
        <v>0</v>
      </c>
      <c r="J82" s="75"/>
      <c r="L82" s="168"/>
      <c r="M82" s="840">
        <f>+'[1]NEW-Tables 80-86'!C78</f>
        <v>0</v>
      </c>
      <c r="N82" s="73"/>
      <c r="O82" s="73"/>
      <c r="P82" s="73"/>
      <c r="Q82" s="73"/>
    </row>
    <row r="83" spans="1:17" s="61" customFormat="1" x14ac:dyDescent="0.2">
      <c r="A83" s="73" t="s">
        <v>330</v>
      </c>
      <c r="B83" s="75">
        <f>IF($M83&gt;0,('Amounts Pivot Table'!D$241/$M83),0)</f>
        <v>3545.2205789719542</v>
      </c>
      <c r="C83" s="75">
        <f>IF($M83&gt;0,('Amounts Pivot Table'!D$244/$M83),0)</f>
        <v>0</v>
      </c>
      <c r="D83" s="75">
        <f>IF($M83&gt;0,('Amounts Pivot Table'!D$250/$M83),0)</f>
        <v>6578.7121474836895</v>
      </c>
      <c r="E83" s="75">
        <f>SUM(B83:D83)</f>
        <v>10123.932726455643</v>
      </c>
      <c r="F83" s="116">
        <f t="shared" si="21"/>
        <v>10</v>
      </c>
      <c r="G83" s="107">
        <f t="shared" si="22"/>
        <v>0</v>
      </c>
      <c r="H83" s="107">
        <f t="shared" si="23"/>
        <v>7</v>
      </c>
      <c r="I83" s="107">
        <f t="shared" si="24"/>
        <v>10</v>
      </c>
      <c r="J83" s="75"/>
      <c r="L83" s="168"/>
      <c r="M83" s="840">
        <f>+'[1]NEW-Tables 80-86'!C79</f>
        <v>31023.091666666664</v>
      </c>
      <c r="N83" s="73"/>
      <c r="O83" s="73"/>
      <c r="P83" s="73"/>
      <c r="Q83" s="73"/>
    </row>
    <row r="84" spans="1:17" s="61" customFormat="1" x14ac:dyDescent="0.2">
      <c r="A84" s="73" t="s">
        <v>333</v>
      </c>
      <c r="B84" s="75">
        <f>IF($M84&gt;0,('Amounts Pivot Table'!D$280/$M84),0)</f>
        <v>9958.4978758806246</v>
      </c>
      <c r="C84" s="75">
        <f>IF($M84&gt;0,('Amounts Pivot Table'!D$283/$M84),0)</f>
        <v>0</v>
      </c>
      <c r="D84" s="75">
        <f>IF($M84&gt;0,('Amounts Pivot Table'!D$289/$M84),0)</f>
        <v>8699.2177930399703</v>
      </c>
      <c r="E84" s="75">
        <f>SUM(B84:D84)</f>
        <v>18657.715668920595</v>
      </c>
      <c r="F84" s="116">
        <f t="shared" si="21"/>
        <v>1</v>
      </c>
      <c r="G84" s="107">
        <f t="shared" si="22"/>
        <v>0</v>
      </c>
      <c r="H84" s="107">
        <f t="shared" si="23"/>
        <v>6</v>
      </c>
      <c r="I84" s="107">
        <f t="shared" si="24"/>
        <v>2</v>
      </c>
      <c r="J84" s="75"/>
      <c r="L84" s="168"/>
      <c r="M84" s="840">
        <f>+'[1]NEW-Tables 80-86'!C80</f>
        <v>18831.333333333332</v>
      </c>
      <c r="N84" s="73"/>
      <c r="O84" s="73"/>
      <c r="P84" s="73"/>
      <c r="Q84" s="73"/>
    </row>
    <row r="85" spans="1:17" s="61" customFormat="1" ht="6.75" customHeight="1" x14ac:dyDescent="0.2">
      <c r="A85" s="73"/>
      <c r="B85" s="75"/>
      <c r="C85" s="75"/>
      <c r="D85" s="75"/>
      <c r="E85" s="75"/>
      <c r="F85" s="116"/>
      <c r="G85" s="107"/>
      <c r="H85" s="107"/>
      <c r="I85" s="107"/>
      <c r="J85" s="75"/>
      <c r="L85" s="168"/>
      <c r="M85" s="840"/>
      <c r="N85" s="73"/>
      <c r="O85" s="73"/>
      <c r="P85" s="73"/>
      <c r="Q85" s="73"/>
    </row>
    <row r="86" spans="1:17" s="61" customFormat="1" x14ac:dyDescent="0.2">
      <c r="A86" s="73" t="s">
        <v>323</v>
      </c>
      <c r="B86" s="75">
        <f>IF($M86&gt;0,('Amounts Pivot Table'!D$319/$M86),0)</f>
        <v>5023.3089565573218</v>
      </c>
      <c r="C86" s="75">
        <f>IF($M86&gt;0,('Amounts Pivot Table'!D$322/$M86),0)</f>
        <v>289.94571145493563</v>
      </c>
      <c r="D86" s="75">
        <f>IF($M86&gt;0,('Amounts Pivot Table'!D$328/$M86),0)</f>
        <v>10021.822271461146</v>
      </c>
      <c r="E86" s="75">
        <f>SUM(B86:D86)</f>
        <v>15335.076939473403</v>
      </c>
      <c r="F86" s="116">
        <f t="shared" si="21"/>
        <v>5</v>
      </c>
      <c r="G86" s="107">
        <f t="shared" si="22"/>
        <v>5</v>
      </c>
      <c r="H86" s="107">
        <f t="shared" si="23"/>
        <v>4</v>
      </c>
      <c r="I86" s="107">
        <f t="shared" si="24"/>
        <v>5</v>
      </c>
      <c r="J86" s="75"/>
      <c r="L86" s="168"/>
      <c r="M86" s="840">
        <f>+'[1]NEW-Tables 80-86'!C82</f>
        <v>25333.766666666666</v>
      </c>
      <c r="N86" s="73"/>
      <c r="O86" s="73"/>
      <c r="P86" s="73"/>
      <c r="Q86" s="73"/>
    </row>
    <row r="87" spans="1:17" s="61" customFormat="1" x14ac:dyDescent="0.2">
      <c r="A87" s="73" t="s">
        <v>324</v>
      </c>
      <c r="B87" s="75">
        <f>IF($M87&gt;0,('Amounts Pivot Table'!D$358/$M87),0)</f>
        <v>8821.5934495596975</v>
      </c>
      <c r="C87" s="75">
        <f>IF($M87&gt;0,('Amounts Pivot Table'!D$361/$M87),0)</f>
        <v>0</v>
      </c>
      <c r="D87" s="75">
        <f>IF($M87&gt;0,('Amounts Pivot Table'!D$367/$M87),0)</f>
        <v>5989.1513057002476</v>
      </c>
      <c r="E87" s="75">
        <f>SUM(B87:D87)</f>
        <v>14810.744755259944</v>
      </c>
      <c r="F87" s="116">
        <f t="shared" si="21"/>
        <v>2</v>
      </c>
      <c r="G87" s="107">
        <f t="shared" si="22"/>
        <v>0</v>
      </c>
      <c r="H87" s="107">
        <f t="shared" si="23"/>
        <v>8</v>
      </c>
      <c r="I87" s="107">
        <f t="shared" si="24"/>
        <v>7</v>
      </c>
      <c r="J87" s="75"/>
      <c r="L87" s="168"/>
      <c r="M87" s="840">
        <f>+'[1]NEW-Tables 80-86'!C83</f>
        <v>46036.6</v>
      </c>
      <c r="N87" s="73"/>
      <c r="O87" s="73"/>
      <c r="P87" s="73"/>
      <c r="Q87" s="73"/>
    </row>
    <row r="88" spans="1:17" s="61" customFormat="1" x14ac:dyDescent="0.2">
      <c r="A88" s="73" t="s">
        <v>331</v>
      </c>
      <c r="B88" s="75">
        <f>IF($M88&gt;0,('Amounts Pivot Table'!D$397/$M88),0)</f>
        <v>0</v>
      </c>
      <c r="C88" s="75">
        <f>IF($M88&gt;0,('Amounts Pivot Table'!D$400/$M88),0)</f>
        <v>0</v>
      </c>
      <c r="D88" s="75">
        <f>IF($M88&gt;0,('Amounts Pivot Table'!D$406/$M88),0)</f>
        <v>0</v>
      </c>
      <c r="E88" s="75">
        <f>SUM(B88:D88)</f>
        <v>0</v>
      </c>
      <c r="F88" s="116">
        <f t="shared" si="21"/>
        <v>0</v>
      </c>
      <c r="G88" s="107">
        <f t="shared" si="22"/>
        <v>0</v>
      </c>
      <c r="H88" s="107">
        <f t="shared" si="23"/>
        <v>0</v>
      </c>
      <c r="I88" s="107">
        <f t="shared" si="24"/>
        <v>0</v>
      </c>
      <c r="J88" s="75"/>
      <c r="L88" s="168"/>
      <c r="M88" s="840">
        <f>+'[1]NEW-Tables 80-86'!C84</f>
        <v>0</v>
      </c>
      <c r="N88" s="73"/>
      <c r="O88" s="73"/>
      <c r="P88" s="73"/>
      <c r="Q88" s="73"/>
    </row>
    <row r="89" spans="1:17" s="61" customFormat="1" x14ac:dyDescent="0.2">
      <c r="A89" s="73" t="s">
        <v>325</v>
      </c>
      <c r="B89" s="75">
        <f>IF($M89&gt;0,('Amounts Pivot Table'!D$436/$M89),0)</f>
        <v>0</v>
      </c>
      <c r="C89" s="75">
        <f>IF($M89&gt;0,('Amounts Pivot Table'!D$439/$M89),0)</f>
        <v>0</v>
      </c>
      <c r="D89" s="75">
        <f>IF($M89&gt;0,('Amounts Pivot Table'!D$445/$M89),0)</f>
        <v>0</v>
      </c>
      <c r="E89" s="75">
        <f>SUM(B89:D89)</f>
        <v>0</v>
      </c>
      <c r="F89" s="116">
        <f t="shared" si="21"/>
        <v>0</v>
      </c>
      <c r="G89" s="107">
        <f t="shared" si="22"/>
        <v>0</v>
      </c>
      <c r="H89" s="107">
        <f t="shared" si="23"/>
        <v>0</v>
      </c>
      <c r="I89" s="107">
        <f t="shared" si="24"/>
        <v>0</v>
      </c>
      <c r="J89" s="75"/>
      <c r="L89" s="168"/>
      <c r="M89" s="840">
        <f>+'[1]NEW-Tables 80-86'!C85</f>
        <v>0</v>
      </c>
      <c r="N89" s="73"/>
      <c r="O89" s="73"/>
      <c r="P89" s="73"/>
      <c r="Q89" s="73"/>
    </row>
    <row r="90" spans="1:17" s="61" customFormat="1" ht="7.5" customHeight="1" x14ac:dyDescent="0.2">
      <c r="A90" s="73"/>
      <c r="B90" s="75"/>
      <c r="C90" s="75"/>
      <c r="D90" s="75"/>
      <c r="E90" s="75"/>
      <c r="F90" s="116"/>
      <c r="G90" s="107"/>
      <c r="H90" s="107"/>
      <c r="I90" s="107"/>
      <c r="J90" s="101"/>
      <c r="K90" s="101"/>
      <c r="L90" s="168"/>
      <c r="M90" s="840"/>
      <c r="N90" s="73"/>
      <c r="O90" s="73"/>
      <c r="P90" s="73"/>
      <c r="Q90" s="73"/>
    </row>
    <row r="91" spans="1:17" s="61" customFormat="1" x14ac:dyDescent="0.2">
      <c r="A91" s="73" t="s">
        <v>90</v>
      </c>
      <c r="B91" s="75">
        <f>IF($M91&gt;0,('Amounts Pivot Table'!D$475/$M91),0)</f>
        <v>4830.4316311624671</v>
      </c>
      <c r="C91" s="75">
        <f>IF($M91&gt;0,('Amounts Pivot Table'!D$478/$M91),0)</f>
        <v>817.90470007270562</v>
      </c>
      <c r="D91" s="75">
        <f>IF($M91&gt;0,('Amounts Pivot Table'!D$484/$M91),0)</f>
        <v>9259.1854748876613</v>
      </c>
      <c r="E91" s="75">
        <f>SUM(B91:D91)</f>
        <v>14907.521806122833</v>
      </c>
      <c r="F91" s="116">
        <f t="shared" si="21"/>
        <v>7</v>
      </c>
      <c r="G91" s="107">
        <f t="shared" si="22"/>
        <v>1</v>
      </c>
      <c r="H91" s="107">
        <f t="shared" si="23"/>
        <v>5</v>
      </c>
      <c r="I91" s="107">
        <f t="shared" si="24"/>
        <v>6</v>
      </c>
      <c r="J91" s="101"/>
      <c r="K91" s="101"/>
      <c r="L91" s="168"/>
      <c r="M91" s="840">
        <f>+'[1]NEW-Tables 80-86'!C87</f>
        <v>7495.9833333333336</v>
      </c>
      <c r="N91" s="73"/>
      <c r="O91" s="73"/>
      <c r="P91" s="73"/>
      <c r="Q91" s="73"/>
    </row>
    <row r="92" spans="1:17" s="61" customFormat="1" x14ac:dyDescent="0.2">
      <c r="A92" s="73" t="s">
        <v>326</v>
      </c>
      <c r="B92" s="75">
        <f>IF($M92&gt;0,('Amounts Pivot Table'!D$514/$M92),0)</f>
        <v>4956.3849446895647</v>
      </c>
      <c r="C92" s="75">
        <f>IF($M92&gt;0,('Amounts Pivot Table'!D$517/$M92),0)</f>
        <v>4.1825513797733214</v>
      </c>
      <c r="D92" s="75">
        <f>IF($M92&gt;0,('Amounts Pivot Table'!D$523/$M92),0)</f>
        <v>5711.475786893734</v>
      </c>
      <c r="E92" s="75">
        <f>SUM(B92:D92)</f>
        <v>10672.043282963072</v>
      </c>
      <c r="F92" s="116">
        <f t="shared" si="21"/>
        <v>6</v>
      </c>
      <c r="G92" s="107">
        <f t="shared" si="22"/>
        <v>7</v>
      </c>
      <c r="H92" s="107">
        <f t="shared" si="23"/>
        <v>9</v>
      </c>
      <c r="I92" s="107">
        <f t="shared" si="24"/>
        <v>9</v>
      </c>
      <c r="J92" s="101"/>
      <c r="K92" s="101"/>
      <c r="L92" s="168"/>
      <c r="M92" s="840">
        <f>+'[1]NEW-Tables 80-86'!C88</f>
        <v>53346.625000000007</v>
      </c>
      <c r="N92" s="73"/>
      <c r="O92" s="73"/>
      <c r="P92" s="73"/>
      <c r="Q92" s="73"/>
    </row>
    <row r="93" spans="1:17" s="76" customFormat="1" ht="14.25" customHeight="1" x14ac:dyDescent="0.2">
      <c r="A93" s="73" t="s">
        <v>327</v>
      </c>
      <c r="B93" s="75">
        <f>IF($M93&gt;0,('Amounts Pivot Table'!D$553/$M93),0)</f>
        <v>4346.3325070113733</v>
      </c>
      <c r="C93" s="75">
        <f>IF($M93&gt;0,('Amounts Pivot Table'!D$556/$M93),0)</f>
        <v>776.73511096779771</v>
      </c>
      <c r="D93" s="75">
        <f>IF($M93&gt;0,('Amounts Pivot Table'!D$562/$M93),0)</f>
        <v>12038.691167452431</v>
      </c>
      <c r="E93" s="75">
        <f>SUM(B93:D93)</f>
        <v>17161.758785431601</v>
      </c>
      <c r="F93" s="116">
        <f t="shared" si="21"/>
        <v>9</v>
      </c>
      <c r="G93" s="107">
        <f t="shared" si="22"/>
        <v>2</v>
      </c>
      <c r="H93" s="107">
        <f t="shared" si="23"/>
        <v>2</v>
      </c>
      <c r="I93" s="107">
        <f t="shared" si="24"/>
        <v>3</v>
      </c>
      <c r="J93" s="101"/>
      <c r="K93" s="101"/>
      <c r="L93" s="169"/>
      <c r="M93" s="840">
        <f>+'[1]NEW-Tables 80-86'!C89</f>
        <v>35700.034166666665</v>
      </c>
      <c r="N93" s="90"/>
      <c r="O93" s="90"/>
      <c r="P93" s="90"/>
      <c r="Q93" s="90"/>
    </row>
    <row r="94" spans="1:17" s="61" customFormat="1" x14ac:dyDescent="0.2">
      <c r="A94" s="74" t="s">
        <v>332</v>
      </c>
      <c r="B94" s="104">
        <f>IF($M94&gt;0,('Amounts Pivot Table'!D$592/$M94),0)</f>
        <v>0</v>
      </c>
      <c r="C94" s="104">
        <f>IF($M94&gt;0,('Amounts Pivot Table'!D$595/$M94),0)</f>
        <v>0</v>
      </c>
      <c r="D94" s="104">
        <f>IF($M94&gt;0,('Amounts Pivot Table'!D$601/$M94),0)</f>
        <v>0</v>
      </c>
      <c r="E94" s="105">
        <f>SUM(B94:D94)</f>
        <v>0</v>
      </c>
      <c r="F94" s="117">
        <f t="shared" si="21"/>
        <v>0</v>
      </c>
      <c r="G94" s="118">
        <f t="shared" si="22"/>
        <v>0</v>
      </c>
      <c r="H94" s="118">
        <f t="shared" si="23"/>
        <v>0</v>
      </c>
      <c r="I94" s="118">
        <f t="shared" si="24"/>
        <v>0</v>
      </c>
      <c r="J94" s="101"/>
      <c r="K94" s="101"/>
      <c r="L94" s="170"/>
      <c r="M94" s="840">
        <f>+'[1]NEW-Tables 80-86'!C90</f>
        <v>0</v>
      </c>
      <c r="N94" s="73"/>
      <c r="O94" s="73"/>
      <c r="P94" s="73"/>
      <c r="Q94" s="73"/>
    </row>
    <row r="95" spans="1:17" s="61" customFormat="1" ht="39" customHeight="1" x14ac:dyDescent="0.2">
      <c r="A95" s="1558" t="s">
        <v>17</v>
      </c>
      <c r="B95" s="1583"/>
      <c r="C95" s="1583"/>
      <c r="D95" s="1583"/>
      <c r="E95" s="1583"/>
      <c r="F95" s="1583"/>
      <c r="G95" s="1584"/>
      <c r="H95" s="1584"/>
      <c r="I95" s="1584"/>
      <c r="J95" s="101"/>
      <c r="K95" s="101"/>
      <c r="L95" s="171"/>
      <c r="M95" s="300"/>
      <c r="N95" s="73"/>
      <c r="O95" s="73"/>
      <c r="P95" s="73"/>
      <c r="Q95" s="73"/>
    </row>
    <row r="96" spans="1:17" s="76" customFormat="1" ht="22.5" customHeight="1" x14ac:dyDescent="0.2">
      <c r="A96" s="1558" t="s">
        <v>54</v>
      </c>
      <c r="B96" s="1586"/>
      <c r="C96" s="1586"/>
      <c r="D96" s="1586"/>
      <c r="E96" s="1586"/>
      <c r="F96" s="1586"/>
      <c r="G96" s="1586"/>
      <c r="H96" s="1586"/>
      <c r="I96" s="1586"/>
      <c r="J96" s="106"/>
      <c r="L96" s="169"/>
      <c r="M96" s="296"/>
      <c r="N96" s="90"/>
      <c r="O96" s="90"/>
      <c r="P96" s="90"/>
      <c r="Q96" s="90"/>
    </row>
    <row r="97" spans="1:17" s="61" customFormat="1" x14ac:dyDescent="0.2">
      <c r="A97" s="189" t="s">
        <v>233</v>
      </c>
      <c r="B97" s="73"/>
      <c r="C97" s="73"/>
      <c r="D97" s="73"/>
      <c r="E97" s="73"/>
      <c r="F97" s="73"/>
      <c r="L97" s="171"/>
      <c r="M97" s="296"/>
      <c r="N97" s="73"/>
      <c r="O97" s="73"/>
      <c r="P97" s="73"/>
      <c r="Q97" s="73"/>
    </row>
    <row r="98" spans="1:17" s="61" customFormat="1" x14ac:dyDescent="0.2">
      <c r="A98" s="189"/>
      <c r="B98" s="73"/>
      <c r="C98" s="73"/>
      <c r="D98" s="73"/>
      <c r="E98" s="73"/>
      <c r="F98" s="73"/>
      <c r="L98" s="171"/>
      <c r="M98" s="296"/>
      <c r="N98" s="73"/>
      <c r="O98" s="73"/>
      <c r="P98" s="73"/>
      <c r="Q98" s="73"/>
    </row>
    <row r="99" spans="1:17" s="61" customFormat="1" x14ac:dyDescent="0.2">
      <c r="A99" s="189"/>
      <c r="B99" s="73"/>
      <c r="C99" s="73"/>
      <c r="D99" s="73"/>
      <c r="E99" s="73"/>
      <c r="F99" s="73"/>
      <c r="I99" s="535" t="s">
        <v>1898</v>
      </c>
      <c r="L99" s="171"/>
      <c r="M99" s="296"/>
      <c r="N99" s="73"/>
      <c r="O99" s="73"/>
      <c r="P99" s="73"/>
      <c r="Q99" s="73"/>
    </row>
    <row r="100" spans="1:17" s="61" customFormat="1" ht="18" x14ac:dyDescent="0.2">
      <c r="A100" s="135" t="s">
        <v>361</v>
      </c>
      <c r="B100" s="135"/>
      <c r="C100" s="135"/>
      <c r="D100" s="135"/>
      <c r="E100" s="135"/>
      <c r="F100" s="135"/>
      <c r="G100" s="135"/>
      <c r="H100" s="135"/>
      <c r="I100" s="135"/>
      <c r="J100" s="566" t="s">
        <v>91</v>
      </c>
      <c r="K100" s="101"/>
      <c r="L100" s="170"/>
      <c r="M100" s="296"/>
      <c r="N100" s="73"/>
      <c r="O100" s="73"/>
      <c r="P100" s="73"/>
      <c r="Q100" s="73"/>
    </row>
    <row r="101" spans="1:17" s="61" customFormat="1" ht="14.25" customHeight="1" x14ac:dyDescent="0.2">
      <c r="A101" s="135"/>
      <c r="B101" s="135"/>
      <c r="C101" s="135"/>
      <c r="D101" s="135"/>
      <c r="E101" s="135"/>
      <c r="F101" s="135"/>
      <c r="G101" s="135"/>
      <c r="H101" s="135"/>
      <c r="I101" s="135"/>
      <c r="J101" s="566"/>
      <c r="K101" s="101"/>
      <c r="L101" s="170"/>
      <c r="M101" s="296"/>
      <c r="N101" s="73"/>
      <c r="O101" s="73"/>
      <c r="P101" s="73"/>
      <c r="Q101" s="73"/>
    </row>
    <row r="102" spans="1:17" s="61" customFormat="1" ht="18.75" x14ac:dyDescent="0.2">
      <c r="A102" s="1557" t="s">
        <v>18</v>
      </c>
      <c r="B102" s="1557"/>
      <c r="C102" s="1557"/>
      <c r="D102" s="1557"/>
      <c r="E102" s="1557"/>
      <c r="F102" s="1557"/>
      <c r="G102" s="1557"/>
      <c r="H102" s="1557"/>
      <c r="I102" s="1557"/>
      <c r="J102" s="101"/>
      <c r="K102" s="101"/>
      <c r="L102" s="170"/>
      <c r="M102" s="296"/>
      <c r="N102" s="73"/>
      <c r="O102" s="73"/>
      <c r="P102" s="73"/>
      <c r="Q102" s="73"/>
    </row>
    <row r="103" spans="1:17" s="61" customFormat="1" ht="15.75" x14ac:dyDescent="0.2">
      <c r="A103" s="1557" t="s">
        <v>1904</v>
      </c>
      <c r="B103" s="1557"/>
      <c r="C103" s="1557"/>
      <c r="D103" s="1557"/>
      <c r="E103" s="1557"/>
      <c r="F103" s="1557"/>
      <c r="G103" s="1557"/>
      <c r="H103" s="1557"/>
      <c r="I103" s="1557"/>
      <c r="J103" s="91"/>
      <c r="K103" s="91"/>
      <c r="L103" s="165"/>
      <c r="M103" s="296"/>
      <c r="N103" s="73"/>
      <c r="O103" s="73"/>
      <c r="P103" s="73"/>
      <c r="Q103" s="73"/>
    </row>
    <row r="104" spans="1:17" s="61" customFormat="1" ht="9" customHeight="1" x14ac:dyDescent="0.2">
      <c r="A104" s="91"/>
      <c r="B104" s="91"/>
      <c r="C104" s="91"/>
      <c r="D104" s="91"/>
      <c r="E104" s="91"/>
      <c r="F104" s="91"/>
      <c r="G104" s="108"/>
      <c r="H104" s="91"/>
      <c r="I104" s="91"/>
      <c r="J104" s="91"/>
      <c r="K104" s="91"/>
      <c r="L104" s="165"/>
      <c r="M104" s="296"/>
      <c r="N104" s="73"/>
      <c r="O104" s="73"/>
      <c r="P104" s="73"/>
      <c r="Q104" s="73"/>
    </row>
    <row r="105" spans="1:17" s="61" customFormat="1" ht="15.75" customHeight="1" x14ac:dyDescent="0.2">
      <c r="A105" s="60"/>
      <c r="B105" s="567" t="s">
        <v>55</v>
      </c>
      <c r="C105" s="568"/>
      <c r="D105" s="568"/>
      <c r="E105" s="568"/>
      <c r="F105" s="569" t="s">
        <v>119</v>
      </c>
      <c r="G105" s="570"/>
      <c r="H105" s="570"/>
      <c r="I105" s="570"/>
      <c r="L105" s="165"/>
      <c r="M105" s="296"/>
      <c r="N105" s="73"/>
      <c r="O105" s="73"/>
      <c r="P105" s="73"/>
      <c r="Q105" s="73"/>
    </row>
    <row r="106" spans="1:17" s="6" customFormat="1" ht="48" x14ac:dyDescent="0.2">
      <c r="A106" s="54"/>
      <c r="B106" s="550" t="s">
        <v>87</v>
      </c>
      <c r="C106" s="551" t="s">
        <v>89</v>
      </c>
      <c r="D106" s="551" t="s">
        <v>398</v>
      </c>
      <c r="E106" s="551" t="s">
        <v>97</v>
      </c>
      <c r="F106" s="552" t="s">
        <v>87</v>
      </c>
      <c r="G106" s="551" t="s">
        <v>89</v>
      </c>
      <c r="H106" s="551" t="s">
        <v>398</v>
      </c>
      <c r="I106" s="551" t="s">
        <v>97</v>
      </c>
      <c r="L106" s="172"/>
      <c r="M106" s="296" t="s">
        <v>260</v>
      </c>
      <c r="N106" s="7"/>
      <c r="O106" s="7"/>
      <c r="P106" s="7"/>
      <c r="Q106" s="7"/>
    </row>
    <row r="107" spans="1:17" s="61" customFormat="1" ht="16.5" customHeight="1" x14ac:dyDescent="0.2">
      <c r="A107" s="73" t="s">
        <v>56</v>
      </c>
      <c r="B107" s="102">
        <f>IF($M107&gt;0,('Amounts Pivot Table'!E$631/$M107),0)</f>
        <v>4901.9623123633746</v>
      </c>
      <c r="C107" s="102">
        <f>IF($M107&gt;0,('Amounts Pivot Table'!E$634/$M107),0)</f>
        <v>79.242660832150307</v>
      </c>
      <c r="D107" s="102">
        <f>IF($M107&gt;0,('Amounts Pivot Table'!E$640/$M107),0)</f>
        <v>6954.240156506271</v>
      </c>
      <c r="E107" s="102">
        <f>SUM(B107:D107)</f>
        <v>11935.445129701795</v>
      </c>
      <c r="F107" s="114"/>
      <c r="G107" s="115"/>
      <c r="H107" s="115"/>
      <c r="I107" s="115"/>
      <c r="J107" s="102"/>
      <c r="L107" s="168"/>
      <c r="M107" s="840">
        <f>+'[1]NEW-Tables 80-86'!D70</f>
        <v>667270.38749999995</v>
      </c>
      <c r="N107" s="73"/>
      <c r="O107" s="73"/>
      <c r="P107" s="73"/>
      <c r="Q107" s="73"/>
    </row>
    <row r="108" spans="1:17" s="112" customFormat="1" x14ac:dyDescent="0.2">
      <c r="A108" s="110"/>
      <c r="B108" s="111"/>
      <c r="C108" s="111"/>
      <c r="D108" s="111"/>
      <c r="E108" s="111"/>
      <c r="F108" s="119"/>
      <c r="G108" s="120"/>
      <c r="H108" s="120"/>
      <c r="I108" s="120"/>
      <c r="J108" s="111"/>
      <c r="L108" s="175"/>
      <c r="M108" s="840"/>
      <c r="N108" s="110"/>
      <c r="O108" s="110"/>
      <c r="P108" s="110"/>
      <c r="Q108" s="110"/>
    </row>
    <row r="109" spans="1:17" s="61" customFormat="1" ht="12.75" customHeight="1" x14ac:dyDescent="0.2">
      <c r="A109" s="73" t="s">
        <v>320</v>
      </c>
      <c r="B109" s="75">
        <f>IF($M109&gt;0,('Amounts Pivot Table'!E$7/$M109),0)</f>
        <v>4095.3681468158393</v>
      </c>
      <c r="C109" s="75">
        <f>IF($M109&gt;0,('Amounts Pivot Table'!E$10/$M109),0)</f>
        <v>284.02838706284541</v>
      </c>
      <c r="D109" s="75">
        <f>IF($M109&gt;0,('Amounts Pivot Table'!E$16/$M109),0)</f>
        <v>7494.7255839061272</v>
      </c>
      <c r="E109" s="75">
        <f>SUM(B109:D109)</f>
        <v>11874.122117784813</v>
      </c>
      <c r="F109" s="116">
        <f>IF(B109&gt;0,RANK(B109,$B$109:$B$127),)</f>
        <v>12</v>
      </c>
      <c r="G109" s="107">
        <f>IF(C109&gt;0,RANK(C109,$C$109:$C$127),)</f>
        <v>2</v>
      </c>
      <c r="H109" s="107">
        <f>IF(D109&gt;0,RANK(D109,$D$109:$D$127),)</f>
        <v>8</v>
      </c>
      <c r="I109" s="107">
        <f>IF(E109&gt;0,RANK(E109,$E$109:$E$127),)</f>
        <v>10</v>
      </c>
      <c r="J109" s="75"/>
      <c r="L109" s="168"/>
      <c r="M109" s="840">
        <f>+'[1]NEW-Tables 80-86'!D72</f>
        <v>32325.758333333331</v>
      </c>
      <c r="N109" s="73"/>
      <c r="O109" s="73"/>
      <c r="P109" s="73"/>
      <c r="Q109" s="73"/>
    </row>
    <row r="110" spans="1:17" s="61" customFormat="1" ht="12.75" customHeight="1" x14ac:dyDescent="0.2">
      <c r="A110" s="73" t="s">
        <v>334</v>
      </c>
      <c r="B110" s="75">
        <f>IF($M110&gt;0,('Amounts Pivot Table'!E$46/$M110),0)</f>
        <v>5281.3490984218433</v>
      </c>
      <c r="C110" s="75">
        <f>IF($M110&gt;0,('Amounts Pivot Table'!E$49/$M110),0)</f>
        <v>168.32679949842998</v>
      </c>
      <c r="D110" s="75">
        <f>IF($M110&gt;0,('Amounts Pivot Table'!E$55/$M110),0)</f>
        <v>7395.0318158404334</v>
      </c>
      <c r="E110" s="75">
        <f>SUM(B110:D110)</f>
        <v>12844.707713760707</v>
      </c>
      <c r="F110" s="116">
        <f t="shared" ref="F110:F127" si="25">IF(B110&gt;0,RANK(B110,$B$109:$B$127),)</f>
        <v>4</v>
      </c>
      <c r="G110" s="107">
        <f t="shared" ref="G110:G127" si="26">IF(C110&gt;0,RANK(C110,$C$109:$C$127),)</f>
        <v>6</v>
      </c>
      <c r="H110" s="107">
        <f t="shared" ref="H110:H127" si="27">IF(D110&gt;0,RANK(D110,$D$109:$D$127),)</f>
        <v>9</v>
      </c>
      <c r="I110" s="107">
        <f t="shared" ref="I110:I127" si="28">IF(E110&gt;0,RANK(E110,$E$109:$E$127),)</f>
        <v>7</v>
      </c>
      <c r="J110" s="75"/>
      <c r="L110" s="168"/>
      <c r="M110" s="840">
        <f>+'[1]NEW-Tables 80-86'!D73</f>
        <v>40266.891666666663</v>
      </c>
      <c r="N110" s="73"/>
      <c r="O110" s="73"/>
      <c r="P110" s="73"/>
      <c r="Q110" s="73"/>
    </row>
    <row r="111" spans="1:17" s="61" customFormat="1" ht="12.75" customHeight="1" x14ac:dyDescent="0.2">
      <c r="A111" s="73" t="s">
        <v>321</v>
      </c>
      <c r="B111" s="75">
        <f>IF($M111&gt;0,('Amounts Pivot Table'!E$85/$M111),0)</f>
        <v>8340.9656021447026</v>
      </c>
      <c r="C111" s="75">
        <f>IF($M111&gt;0,('Amounts Pivot Table'!E$88/$M111),0)</f>
        <v>0</v>
      </c>
      <c r="D111" s="75">
        <f>IF($M111&gt;0,('Amounts Pivot Table'!E$94/$M111),0)</f>
        <v>11935.510217305029</v>
      </c>
      <c r="E111" s="75">
        <f>SUM(B111:D111)</f>
        <v>20276.475819449734</v>
      </c>
      <c r="F111" s="116">
        <f t="shared" si="25"/>
        <v>2</v>
      </c>
      <c r="G111" s="107">
        <f t="shared" si="26"/>
        <v>0</v>
      </c>
      <c r="H111" s="107">
        <f t="shared" si="27"/>
        <v>2</v>
      </c>
      <c r="I111" s="107">
        <f t="shared" si="28"/>
        <v>1</v>
      </c>
      <c r="J111" s="75"/>
      <c r="L111" s="168"/>
      <c r="M111" s="840">
        <f>+'[1]NEW-Tables 80-86'!D74</f>
        <v>4115.5666666666666</v>
      </c>
      <c r="N111" s="73"/>
      <c r="O111" s="73"/>
      <c r="P111" s="73"/>
      <c r="Q111" s="73"/>
    </row>
    <row r="112" spans="1:17" s="61" customFormat="1" ht="12.75" customHeight="1" x14ac:dyDescent="0.2">
      <c r="A112" s="73" t="s">
        <v>328</v>
      </c>
      <c r="B112" s="75">
        <f>IF($M112&gt;0,('Amounts Pivot Table'!E$124/$M112),0)</f>
        <v>6744.1909213107838</v>
      </c>
      <c r="C112" s="75">
        <f>IF($M112&gt;0,('Amounts Pivot Table'!E$127/$M112),0)</f>
        <v>204.95711456542591</v>
      </c>
      <c r="D112" s="75">
        <f>IF($M112&gt;0,('Amounts Pivot Table'!E$133/$M112),0)</f>
        <v>5536.2229147893859</v>
      </c>
      <c r="E112" s="75">
        <f>SUM(B112:D112)</f>
        <v>12485.370950665596</v>
      </c>
      <c r="F112" s="116">
        <f t="shared" si="25"/>
        <v>3</v>
      </c>
      <c r="G112" s="107">
        <f t="shared" si="26"/>
        <v>4</v>
      </c>
      <c r="H112" s="107">
        <f t="shared" si="27"/>
        <v>13</v>
      </c>
      <c r="I112" s="107">
        <f t="shared" si="28"/>
        <v>8</v>
      </c>
      <c r="J112" s="75"/>
      <c r="L112" s="168"/>
      <c r="M112" s="840">
        <f>+'[1]NEW-Tables 80-86'!D75</f>
        <v>35207.175000000003</v>
      </c>
      <c r="N112" s="73"/>
      <c r="O112" s="73"/>
      <c r="P112" s="73"/>
      <c r="Q112" s="73"/>
    </row>
    <row r="113" spans="1:17" s="112" customFormat="1" x14ac:dyDescent="0.2">
      <c r="A113" s="110"/>
      <c r="B113" s="111"/>
      <c r="C113" s="111"/>
      <c r="D113" s="111"/>
      <c r="E113" s="111"/>
      <c r="F113" s="116"/>
      <c r="G113" s="107"/>
      <c r="H113" s="107"/>
      <c r="I113" s="107"/>
      <c r="J113" s="111"/>
      <c r="L113" s="175"/>
      <c r="M113" s="840"/>
      <c r="N113" s="110"/>
      <c r="O113" s="110"/>
      <c r="P113" s="110"/>
      <c r="Q113" s="110"/>
    </row>
    <row r="114" spans="1:17" s="61" customFormat="1" ht="12.75" customHeight="1" x14ac:dyDescent="0.2">
      <c r="A114" s="73" t="s">
        <v>329</v>
      </c>
      <c r="B114" s="75">
        <f>IF($M114&gt;0,('Amounts Pivot Table'!E$163/$M114),0)</f>
        <v>4202.102044917202</v>
      </c>
      <c r="C114" s="75">
        <f>IF($M114&gt;0,('Amounts Pivot Table'!E$166/$M114),0)</f>
        <v>0</v>
      </c>
      <c r="D114" s="75">
        <f>IF($M114&gt;0,('Amounts Pivot Table'!E$172/$M114),0)</f>
        <v>6211.2400163751408</v>
      </c>
      <c r="E114" s="75">
        <f>SUM(B114:D114)</f>
        <v>10413.342061292344</v>
      </c>
      <c r="F114" s="116">
        <f t="shared" si="25"/>
        <v>10</v>
      </c>
      <c r="G114" s="107">
        <f t="shared" si="26"/>
        <v>0</v>
      </c>
      <c r="H114" s="107">
        <f t="shared" si="27"/>
        <v>11</v>
      </c>
      <c r="I114" s="107">
        <f t="shared" si="28"/>
        <v>13</v>
      </c>
      <c r="J114" s="75"/>
      <c r="L114" s="168"/>
      <c r="M114" s="840">
        <f>+'[1]NEW-Tables 80-86'!D77</f>
        <v>61169.958333333328</v>
      </c>
      <c r="N114" s="73"/>
      <c r="O114" s="73"/>
      <c r="P114" s="73"/>
      <c r="Q114" s="73"/>
    </row>
    <row r="115" spans="1:17" s="61" customFormat="1" ht="12.75" customHeight="1" x14ac:dyDescent="0.2">
      <c r="A115" s="73" t="s">
        <v>322</v>
      </c>
      <c r="B115" s="75">
        <f>IF($M115&gt;0,('Amounts Pivot Table'!E$202/$M115),0)</f>
        <v>4760.7420856399967</v>
      </c>
      <c r="C115" s="75">
        <f>IF($M115&gt;0,('Amounts Pivot Table'!E$205/$M115),0)</f>
        <v>141.49272604376409</v>
      </c>
      <c r="D115" s="75">
        <f>IF($M115&gt;0,('Amounts Pivot Table'!E$211/$M115),0)</f>
        <v>10607.189239469377</v>
      </c>
      <c r="E115" s="75">
        <f>SUM(B115:D115)</f>
        <v>15509.424051153139</v>
      </c>
      <c r="F115" s="116">
        <f t="shared" si="25"/>
        <v>7</v>
      </c>
      <c r="G115" s="107">
        <f t="shared" si="26"/>
        <v>7</v>
      </c>
      <c r="H115" s="107">
        <f t="shared" si="27"/>
        <v>3</v>
      </c>
      <c r="I115" s="107">
        <f t="shared" si="28"/>
        <v>3</v>
      </c>
      <c r="J115" s="75"/>
      <c r="L115" s="168"/>
      <c r="M115" s="840">
        <f>+'[1]NEW-Tables 80-86'!D78</f>
        <v>46738.091666666667</v>
      </c>
      <c r="N115" s="73"/>
      <c r="O115" s="73"/>
      <c r="P115" s="73"/>
      <c r="Q115" s="73"/>
    </row>
    <row r="116" spans="1:17" s="61" customFormat="1" ht="12.75" customHeight="1" x14ac:dyDescent="0.2">
      <c r="A116" s="73" t="s">
        <v>330</v>
      </c>
      <c r="B116" s="75">
        <f>IF($M116&gt;0,('Amounts Pivot Table'!E$241/$M116),0)</f>
        <v>3278.2459024282989</v>
      </c>
      <c r="C116" s="75">
        <f>IF($M116&gt;0,('Amounts Pivot Table'!E$244/$M116),0)</f>
        <v>196.84888266917551</v>
      </c>
      <c r="D116" s="75">
        <f>IF($M116&gt;0,('Amounts Pivot Table'!E$250/$M116),0)</f>
        <v>6041.3892440689133</v>
      </c>
      <c r="E116" s="75">
        <f>SUM(B116:D116)</f>
        <v>9516.4840291663877</v>
      </c>
      <c r="F116" s="116">
        <f t="shared" si="25"/>
        <v>14</v>
      </c>
      <c r="G116" s="107">
        <f t="shared" si="26"/>
        <v>5</v>
      </c>
      <c r="H116" s="107">
        <f t="shared" si="27"/>
        <v>12</v>
      </c>
      <c r="I116" s="107">
        <f t="shared" si="28"/>
        <v>15</v>
      </c>
      <c r="J116" s="75"/>
      <c r="L116" s="168"/>
      <c r="M116" s="840">
        <f>+'[1]NEW-Tables 80-86'!D79</f>
        <v>26492.825000000001</v>
      </c>
      <c r="N116" s="73"/>
      <c r="O116" s="73"/>
      <c r="P116" s="73"/>
      <c r="Q116" s="73"/>
    </row>
    <row r="117" spans="1:17" s="61" customFormat="1" ht="12.75" customHeight="1" x14ac:dyDescent="0.2">
      <c r="A117" s="73" t="s">
        <v>333</v>
      </c>
      <c r="B117" s="75">
        <f>IF($M117&gt;0,('Amounts Pivot Table'!E$280/$M117),0)</f>
        <v>5064.1000400348548</v>
      </c>
      <c r="C117" s="75">
        <f>IF($M117&gt;0,('Amounts Pivot Table'!E$283/$M117),0)</f>
        <v>0</v>
      </c>
      <c r="D117" s="75">
        <f>IF($M117&gt;0,('Amounts Pivot Table'!E$289/$M117),0)</f>
        <v>8738.8430156477734</v>
      </c>
      <c r="E117" s="75">
        <f>SUM(B117:D117)</f>
        <v>13802.943055682628</v>
      </c>
      <c r="F117" s="116">
        <f t="shared" si="25"/>
        <v>5</v>
      </c>
      <c r="G117" s="107">
        <f t="shared" si="26"/>
        <v>0</v>
      </c>
      <c r="H117" s="107">
        <f t="shared" si="27"/>
        <v>4</v>
      </c>
      <c r="I117" s="107">
        <f t="shared" si="28"/>
        <v>4</v>
      </c>
      <c r="J117" s="75"/>
      <c r="L117" s="168"/>
      <c r="M117" s="840">
        <f>+'[1]NEW-Tables 80-86'!D80</f>
        <v>19992.995833333331</v>
      </c>
      <c r="N117" s="73"/>
      <c r="O117" s="73"/>
      <c r="P117" s="73"/>
      <c r="Q117" s="73"/>
    </row>
    <row r="118" spans="1:17" s="112" customFormat="1" x14ac:dyDescent="0.2">
      <c r="A118" s="110"/>
      <c r="B118" s="111"/>
      <c r="C118" s="111"/>
      <c r="D118" s="111"/>
      <c r="E118" s="111"/>
      <c r="F118" s="116"/>
      <c r="G118" s="107"/>
      <c r="H118" s="107"/>
      <c r="I118" s="107"/>
      <c r="J118" s="111"/>
      <c r="L118" s="175"/>
      <c r="M118" s="840"/>
      <c r="N118" s="110"/>
      <c r="O118" s="110"/>
      <c r="P118" s="110"/>
      <c r="Q118" s="110"/>
    </row>
    <row r="119" spans="1:17" s="61" customFormat="1" ht="12.75" customHeight="1" x14ac:dyDescent="0.2">
      <c r="A119" s="73" t="s">
        <v>323</v>
      </c>
      <c r="B119" s="75">
        <f>IF($M119&gt;0,('Amounts Pivot Table'!E$319/$M119),0)</f>
        <v>0</v>
      </c>
      <c r="C119" s="75">
        <f>IF($M119&gt;0,('Amounts Pivot Table'!E$322/$M119),0)</f>
        <v>0</v>
      </c>
      <c r="D119" s="75">
        <f>IF($M119&gt;0,('Amounts Pivot Table'!E$328/$M119),0)</f>
        <v>0</v>
      </c>
      <c r="E119" s="75">
        <f>SUM(B119:D119)</f>
        <v>0</v>
      </c>
      <c r="F119" s="116">
        <f t="shared" si="25"/>
        <v>0</v>
      </c>
      <c r="G119" s="107">
        <f t="shared" si="26"/>
        <v>0</v>
      </c>
      <c r="H119" s="107">
        <f t="shared" si="27"/>
        <v>0</v>
      </c>
      <c r="I119" s="107">
        <f t="shared" si="28"/>
        <v>0</v>
      </c>
      <c r="J119" s="75"/>
      <c r="L119" s="168"/>
      <c r="M119" s="840">
        <f>+'[1]NEW-Tables 80-86'!D82</f>
        <v>0</v>
      </c>
      <c r="N119" s="73"/>
      <c r="O119" s="73"/>
      <c r="P119" s="73"/>
      <c r="Q119" s="73"/>
    </row>
    <row r="120" spans="1:17" s="61" customFormat="1" ht="12.75" customHeight="1" x14ac:dyDescent="0.2">
      <c r="A120" s="73" t="s">
        <v>324</v>
      </c>
      <c r="B120" s="75">
        <f>IF($M120&gt;0,('Amounts Pivot Table'!E$358/$M120),0)</f>
        <v>8402.398931296626</v>
      </c>
      <c r="C120" s="75">
        <f>IF($M120&gt;0,('Amounts Pivot Table'!E$361/$M120),0)</f>
        <v>0</v>
      </c>
      <c r="D120" s="75">
        <f>IF($M120&gt;0,('Amounts Pivot Table'!E$367/$M120),0)</f>
        <v>5116.667503734564</v>
      </c>
      <c r="E120" s="75">
        <f>SUM(B120:D120)</f>
        <v>13519.066435031189</v>
      </c>
      <c r="F120" s="116">
        <f t="shared" si="25"/>
        <v>1</v>
      </c>
      <c r="G120" s="107">
        <f t="shared" si="26"/>
        <v>0</v>
      </c>
      <c r="H120" s="107">
        <f t="shared" si="27"/>
        <v>15</v>
      </c>
      <c r="I120" s="107">
        <f t="shared" si="28"/>
        <v>5</v>
      </c>
      <c r="J120" s="75"/>
      <c r="L120" s="168"/>
      <c r="M120" s="840">
        <f>+'[1]NEW-Tables 80-86'!D83</f>
        <v>57508.941666666666</v>
      </c>
      <c r="N120" s="73"/>
      <c r="O120" s="73"/>
      <c r="P120" s="73"/>
      <c r="Q120" s="73"/>
    </row>
    <row r="121" spans="1:17" s="61" customFormat="1" ht="12.75" customHeight="1" x14ac:dyDescent="0.2">
      <c r="A121" s="73" t="s">
        <v>331</v>
      </c>
      <c r="B121" s="75">
        <f>IF($M121&gt;0,('Amounts Pivot Table'!E$397/$M121),0)</f>
        <v>4242.0742335294872</v>
      </c>
      <c r="C121" s="75">
        <f>IF($M121&gt;0,('Amounts Pivot Table'!E$400/$M121),0)</f>
        <v>0</v>
      </c>
      <c r="D121" s="75">
        <f>IF($M121&gt;0,('Amounts Pivot Table'!E$406/$M121),0)</f>
        <v>6303.6074676721737</v>
      </c>
      <c r="E121" s="75">
        <f>SUM(B121:D121)</f>
        <v>10545.681701201662</v>
      </c>
      <c r="F121" s="116">
        <f t="shared" si="25"/>
        <v>9</v>
      </c>
      <c r="G121" s="107">
        <f t="shared" si="26"/>
        <v>0</v>
      </c>
      <c r="H121" s="107">
        <f t="shared" si="27"/>
        <v>10</v>
      </c>
      <c r="I121" s="107">
        <f t="shared" si="28"/>
        <v>12</v>
      </c>
      <c r="J121" s="75"/>
      <c r="L121" s="168"/>
      <c r="M121" s="840">
        <f>+'[1]NEW-Tables 80-86'!D84</f>
        <v>21322.575000000001</v>
      </c>
      <c r="N121" s="73"/>
      <c r="O121" s="73"/>
      <c r="P121" s="73"/>
      <c r="Q121" s="73"/>
    </row>
    <row r="122" spans="1:17" s="61" customFormat="1" ht="12.75" customHeight="1" x14ac:dyDescent="0.2">
      <c r="A122" s="73" t="s">
        <v>325</v>
      </c>
      <c r="B122" s="75">
        <f>IF($M122&gt;0,('Amounts Pivot Table'!E$436/$M122),0)</f>
        <v>2060.4489780784329</v>
      </c>
      <c r="C122" s="75">
        <f>IF($M122&gt;0,('Amounts Pivot Table'!E$439/$M122),0)</f>
        <v>348.40291848110439</v>
      </c>
      <c r="D122" s="75">
        <f>IF($M122&gt;0,('Amounts Pivot Table'!E$445/$M122),0)</f>
        <v>13451.644838482422</v>
      </c>
      <c r="E122" s="75">
        <f>SUM(B122:D122)</f>
        <v>15860.496735041959</v>
      </c>
      <c r="F122" s="116">
        <f t="shared" si="25"/>
        <v>15</v>
      </c>
      <c r="G122" s="107">
        <f t="shared" si="26"/>
        <v>1</v>
      </c>
      <c r="H122" s="107">
        <f t="shared" si="27"/>
        <v>1</v>
      </c>
      <c r="I122" s="107">
        <f t="shared" si="28"/>
        <v>2</v>
      </c>
      <c r="J122" s="75"/>
      <c r="L122" s="168"/>
      <c r="M122" s="840">
        <f>+'[1]NEW-Tables 80-86'!D85</f>
        <v>20227.416666666668</v>
      </c>
      <c r="N122" s="73"/>
      <c r="O122" s="73"/>
      <c r="P122" s="73"/>
      <c r="Q122" s="73"/>
    </row>
    <row r="123" spans="1:17" s="112" customFormat="1" ht="12" customHeight="1" x14ac:dyDescent="0.2">
      <c r="A123" s="110"/>
      <c r="B123" s="111"/>
      <c r="C123" s="111"/>
      <c r="D123" s="111"/>
      <c r="E123" s="111"/>
      <c r="F123" s="116"/>
      <c r="G123" s="107"/>
      <c r="H123" s="107"/>
      <c r="I123" s="107"/>
      <c r="J123" s="111"/>
      <c r="L123" s="175"/>
      <c r="M123" s="840"/>
      <c r="N123" s="110"/>
      <c r="O123" s="110"/>
      <c r="P123" s="110"/>
      <c r="Q123" s="110"/>
    </row>
    <row r="124" spans="1:17" s="61" customFormat="1" ht="12.75" customHeight="1" x14ac:dyDescent="0.2">
      <c r="A124" s="73" t="s">
        <v>90</v>
      </c>
      <c r="B124" s="75">
        <f>IF($M124&gt;0,('Amounts Pivot Table'!E$475/$M124),0)</f>
        <v>3986.3942253666905</v>
      </c>
      <c r="C124" s="75">
        <f>IF($M124&gt;0,('Amounts Pivot Table'!E$478/$M124),0)</f>
        <v>0</v>
      </c>
      <c r="D124" s="75">
        <f>IF($M124&gt;0,('Amounts Pivot Table'!E$484/$M124),0)</f>
        <v>7648.8145924966429</v>
      </c>
      <c r="E124" s="75">
        <f>SUM(B124:D124)</f>
        <v>11635.208817863333</v>
      </c>
      <c r="F124" s="116">
        <f t="shared" si="25"/>
        <v>13</v>
      </c>
      <c r="G124" s="107">
        <f t="shared" si="26"/>
        <v>0</v>
      </c>
      <c r="H124" s="107">
        <f t="shared" si="27"/>
        <v>7</v>
      </c>
      <c r="I124" s="107">
        <f t="shared" si="28"/>
        <v>11</v>
      </c>
      <c r="J124" s="75"/>
      <c r="L124" s="168"/>
      <c r="M124" s="840">
        <f>+'[1]NEW-Tables 80-86'!D87</f>
        <v>62808.991666666661</v>
      </c>
      <c r="N124" s="73"/>
      <c r="O124" s="73"/>
      <c r="P124" s="73"/>
      <c r="Q124" s="73"/>
    </row>
    <row r="125" spans="1:17" s="61" customFormat="1" ht="12.75" customHeight="1" x14ac:dyDescent="0.2">
      <c r="A125" s="73" t="s">
        <v>326</v>
      </c>
      <c r="B125" s="75">
        <f>IF($M125&gt;0,('Amounts Pivot Table'!E$514/$M125),0)</f>
        <v>4770.5187174190223</v>
      </c>
      <c r="C125" s="75">
        <f>IF($M125&gt;0,('Amounts Pivot Table'!E$517/$M125),0)</f>
        <v>5.7153738476983742</v>
      </c>
      <c r="D125" s="75">
        <f>IF($M125&gt;0,('Amounts Pivot Table'!E$523/$M125),0)</f>
        <v>5416.5714632791314</v>
      </c>
      <c r="E125" s="75">
        <f>SUM(B125:D125)</f>
        <v>10192.805554545852</v>
      </c>
      <c r="F125" s="116">
        <f t="shared" si="25"/>
        <v>6</v>
      </c>
      <c r="G125" s="107">
        <f t="shared" si="26"/>
        <v>9</v>
      </c>
      <c r="H125" s="107">
        <f t="shared" si="27"/>
        <v>14</v>
      </c>
      <c r="I125" s="107">
        <f t="shared" si="28"/>
        <v>14</v>
      </c>
      <c r="J125" s="75"/>
      <c r="K125" s="75"/>
      <c r="L125" s="168"/>
      <c r="M125" s="840">
        <f>+'[1]NEW-Tables 80-86'!D88</f>
        <v>177674.29166666669</v>
      </c>
      <c r="N125" s="73"/>
      <c r="O125" s="73"/>
      <c r="P125" s="73"/>
      <c r="Q125" s="73"/>
    </row>
    <row r="126" spans="1:17" s="76" customFormat="1" ht="12.75" customHeight="1" x14ac:dyDescent="0.2">
      <c r="A126" s="73" t="s">
        <v>327</v>
      </c>
      <c r="B126" s="75">
        <f>IF($M126&gt;0,('Amounts Pivot Table'!E$553/$M126),0)</f>
        <v>4525.3382087734371</v>
      </c>
      <c r="C126" s="75">
        <f>IF($M126&gt;0,('Amounts Pivot Table'!E$556/$M126),0)</f>
        <v>140.62090196194882</v>
      </c>
      <c r="D126" s="75">
        <f>IF($M126&gt;0,('Amounts Pivot Table'!E$562/$M126),0)</f>
        <v>8219.8487567345728</v>
      </c>
      <c r="E126" s="75">
        <f>SUM(B126:D126)</f>
        <v>12885.807867469959</v>
      </c>
      <c r="F126" s="116">
        <f t="shared" si="25"/>
        <v>8</v>
      </c>
      <c r="G126" s="107">
        <f t="shared" si="26"/>
        <v>8</v>
      </c>
      <c r="H126" s="107">
        <f t="shared" si="27"/>
        <v>5</v>
      </c>
      <c r="I126" s="107">
        <f t="shared" si="28"/>
        <v>6</v>
      </c>
      <c r="J126" s="75"/>
      <c r="K126" s="75"/>
      <c r="L126" s="169"/>
      <c r="M126" s="840">
        <f>+'[1]NEW-Tables 80-86'!D89</f>
        <v>50233.641666666663</v>
      </c>
      <c r="N126" s="90"/>
      <c r="O126" s="90"/>
      <c r="P126" s="90"/>
      <c r="Q126" s="90"/>
    </row>
    <row r="127" spans="1:17" s="61" customFormat="1" ht="12.75" customHeight="1" x14ac:dyDescent="0.2">
      <c r="A127" s="74" t="s">
        <v>332</v>
      </c>
      <c r="B127" s="104">
        <f>IF($M127&gt;0,('Amounts Pivot Table'!E$592/$M127),0)</f>
        <v>4096.4178472872054</v>
      </c>
      <c r="C127" s="104">
        <f>IF($M127&gt;0,('Amounts Pivot Table'!E$595/$M127),0)</f>
        <v>245.50518837279995</v>
      </c>
      <c r="D127" s="104">
        <f>IF($M127&gt;0,('Amounts Pivot Table'!E$601/$M127),0)</f>
        <v>7986.9772140732748</v>
      </c>
      <c r="E127" s="105">
        <f>SUM(B127:D127)</f>
        <v>12328.90024973328</v>
      </c>
      <c r="F127" s="117">
        <f t="shared" si="25"/>
        <v>11</v>
      </c>
      <c r="G127" s="118">
        <f t="shared" si="26"/>
        <v>3</v>
      </c>
      <c r="H127" s="118">
        <f t="shared" si="27"/>
        <v>6</v>
      </c>
      <c r="I127" s="118">
        <f t="shared" si="28"/>
        <v>9</v>
      </c>
      <c r="J127" s="75"/>
      <c r="K127" s="75"/>
      <c r="L127" s="170"/>
      <c r="M127" s="840">
        <f>+'[1]NEW-Tables 80-86'!D90</f>
        <v>11185.266666666666</v>
      </c>
      <c r="N127" s="73"/>
      <c r="O127" s="73"/>
      <c r="P127" s="73"/>
      <c r="Q127" s="73"/>
    </row>
    <row r="128" spans="1:17" s="61" customFormat="1" ht="41.25" customHeight="1" x14ac:dyDescent="0.2">
      <c r="A128" s="1558" t="s">
        <v>17</v>
      </c>
      <c r="B128" s="1583"/>
      <c r="C128" s="1583"/>
      <c r="D128" s="1583"/>
      <c r="E128" s="1583"/>
      <c r="F128" s="1583"/>
      <c r="G128" s="1584"/>
      <c r="H128" s="1584"/>
      <c r="I128" s="1584"/>
      <c r="J128" s="75"/>
      <c r="K128" s="75"/>
      <c r="L128" s="171"/>
      <c r="M128" s="300"/>
      <c r="N128" s="73"/>
      <c r="O128" s="73"/>
      <c r="P128" s="73"/>
      <c r="Q128" s="73"/>
    </row>
    <row r="129" spans="1:17" s="76" customFormat="1" ht="20.25" customHeight="1" x14ac:dyDescent="0.2">
      <c r="A129" s="1558" t="s">
        <v>54</v>
      </c>
      <c r="B129" s="1586"/>
      <c r="C129" s="1586"/>
      <c r="D129" s="1586"/>
      <c r="E129" s="1586"/>
      <c r="F129" s="1586"/>
      <c r="G129" s="1586"/>
      <c r="H129" s="1586"/>
      <c r="I129" s="1586"/>
      <c r="J129" s="106"/>
      <c r="L129" s="169"/>
      <c r="M129" s="296"/>
      <c r="N129" s="90"/>
      <c r="O129" s="90"/>
      <c r="P129" s="90"/>
      <c r="Q129" s="90"/>
    </row>
    <row r="130" spans="1:17" s="61" customFormat="1" x14ac:dyDescent="0.2">
      <c r="A130" s="189" t="s">
        <v>233</v>
      </c>
      <c r="B130" s="73"/>
      <c r="C130" s="73"/>
      <c r="D130" s="73"/>
      <c r="E130" s="73"/>
      <c r="F130" s="73"/>
      <c r="L130" s="171"/>
      <c r="M130" s="296"/>
      <c r="N130" s="73"/>
      <c r="O130" s="73"/>
      <c r="P130" s="73"/>
      <c r="Q130" s="73"/>
    </row>
    <row r="131" spans="1:17" s="61" customFormat="1" ht="14.25" customHeight="1" x14ac:dyDescent="0.2">
      <c r="A131" s="187"/>
      <c r="B131" s="106"/>
      <c r="C131" s="106"/>
      <c r="D131" s="106"/>
      <c r="E131" s="106"/>
      <c r="F131" s="106"/>
      <c r="G131" s="188"/>
      <c r="H131" s="188"/>
      <c r="I131" s="535" t="s">
        <v>1898</v>
      </c>
      <c r="J131" s="188"/>
      <c r="K131" s="188"/>
      <c r="L131" s="171"/>
      <c r="M131" s="296"/>
      <c r="N131" s="73"/>
      <c r="O131" s="73"/>
      <c r="P131" s="73"/>
      <c r="Q131" s="73"/>
    </row>
    <row r="132" spans="1:17" s="61" customFormat="1" ht="18" x14ac:dyDescent="0.2">
      <c r="A132" s="135" t="s">
        <v>362</v>
      </c>
      <c r="B132" s="135"/>
      <c r="C132" s="135"/>
      <c r="D132" s="135"/>
      <c r="E132" s="135"/>
      <c r="F132" s="135"/>
      <c r="G132" s="135"/>
      <c r="H132" s="135"/>
      <c r="I132" s="135"/>
      <c r="J132" s="566" t="s">
        <v>91</v>
      </c>
      <c r="K132" s="101"/>
      <c r="L132" s="170"/>
      <c r="M132" s="296"/>
      <c r="N132" s="73"/>
      <c r="O132" s="73"/>
      <c r="P132" s="73"/>
      <c r="Q132" s="73"/>
    </row>
    <row r="133" spans="1:17" s="61" customFormat="1" ht="12" customHeight="1" x14ac:dyDescent="0.2">
      <c r="A133" s="135"/>
      <c r="B133" s="135"/>
      <c r="C133" s="135"/>
      <c r="D133" s="135"/>
      <c r="E133" s="135"/>
      <c r="F133" s="135"/>
      <c r="G133" s="135"/>
      <c r="H133" s="135"/>
      <c r="I133" s="135"/>
      <c r="J133" s="566"/>
      <c r="K133" s="101"/>
      <c r="L133" s="170"/>
      <c r="M133" s="296"/>
      <c r="N133" s="73"/>
      <c r="O133" s="73"/>
      <c r="P133" s="73"/>
      <c r="Q133" s="73"/>
    </row>
    <row r="134" spans="1:17" s="61" customFormat="1" ht="18.75" x14ac:dyDescent="0.2">
      <c r="A134" s="1557" t="s">
        <v>18</v>
      </c>
      <c r="B134" s="1557"/>
      <c r="C134" s="1557"/>
      <c r="D134" s="1557"/>
      <c r="E134" s="1557"/>
      <c r="F134" s="1557"/>
      <c r="G134" s="1557"/>
      <c r="H134" s="1557"/>
      <c r="I134" s="1557"/>
      <c r="J134" s="101"/>
      <c r="K134" s="101"/>
      <c r="L134" s="165"/>
      <c r="M134" s="296"/>
      <c r="N134" s="73"/>
      <c r="O134" s="73"/>
      <c r="P134" s="73"/>
      <c r="Q134" s="73"/>
    </row>
    <row r="135" spans="1:17" s="61" customFormat="1" ht="15.75" x14ac:dyDescent="0.2">
      <c r="A135" s="1557" t="s">
        <v>1905</v>
      </c>
      <c r="B135" s="1557"/>
      <c r="C135" s="1557"/>
      <c r="D135" s="1557"/>
      <c r="E135" s="1557"/>
      <c r="F135" s="1557"/>
      <c r="G135" s="1557"/>
      <c r="H135" s="1557"/>
      <c r="I135" s="1557"/>
      <c r="J135" s="91"/>
      <c r="K135" s="91"/>
      <c r="L135" s="165"/>
      <c r="M135" s="296"/>
      <c r="N135" s="73"/>
      <c r="O135" s="73"/>
      <c r="P135" s="73"/>
      <c r="Q135" s="73"/>
    </row>
    <row r="136" spans="1:17" s="61" customFormat="1" ht="12" customHeight="1" x14ac:dyDescent="0.15">
      <c r="A136" s="91"/>
      <c r="B136" s="91"/>
      <c r="C136" s="91"/>
      <c r="D136" s="91"/>
      <c r="E136" s="91"/>
      <c r="F136" s="91"/>
      <c r="G136" s="108"/>
      <c r="H136" s="91"/>
      <c r="I136" s="91"/>
      <c r="J136" s="91"/>
      <c r="K136" s="91"/>
      <c r="L136" s="165"/>
      <c r="M136" s="299"/>
      <c r="N136" s="73"/>
      <c r="O136" s="73"/>
      <c r="P136" s="73"/>
      <c r="Q136" s="73"/>
    </row>
    <row r="137" spans="1:17" s="61" customFormat="1" ht="15.75" x14ac:dyDescent="0.2">
      <c r="A137" s="60"/>
      <c r="B137" s="567" t="s">
        <v>55</v>
      </c>
      <c r="C137" s="568"/>
      <c r="D137" s="568"/>
      <c r="E137" s="568"/>
      <c r="F137" s="569" t="s">
        <v>119</v>
      </c>
      <c r="G137" s="570"/>
      <c r="H137" s="570"/>
      <c r="I137" s="570"/>
      <c r="L137" s="173"/>
      <c r="M137" s="296"/>
      <c r="N137" s="73"/>
      <c r="O137" s="73"/>
      <c r="P137" s="73"/>
      <c r="Q137" s="73"/>
    </row>
    <row r="138" spans="1:17" s="6" customFormat="1" ht="48" x14ac:dyDescent="0.2">
      <c r="A138" s="50"/>
      <c r="B138" s="550" t="s">
        <v>87</v>
      </c>
      <c r="C138" s="551" t="s">
        <v>89</v>
      </c>
      <c r="D138" s="551" t="s">
        <v>398</v>
      </c>
      <c r="E138" s="551" t="s">
        <v>97</v>
      </c>
      <c r="F138" s="552" t="s">
        <v>87</v>
      </c>
      <c r="G138" s="551" t="s">
        <v>89</v>
      </c>
      <c r="H138" s="551" t="s">
        <v>398</v>
      </c>
      <c r="I138" s="551" t="s">
        <v>97</v>
      </c>
      <c r="L138" s="167"/>
      <c r="M138" s="298" t="s">
        <v>260</v>
      </c>
      <c r="N138" s="7"/>
      <c r="O138" s="7"/>
      <c r="P138" s="7"/>
      <c r="Q138" s="7"/>
    </row>
    <row r="139" spans="1:17" s="61" customFormat="1" ht="14.25" x14ac:dyDescent="0.2">
      <c r="A139" s="73" t="s">
        <v>56</v>
      </c>
      <c r="B139" s="102">
        <f>IF($M139&gt;0,('Amounts Pivot Table'!F$631/$M139),0)</f>
        <v>5109.4305417393671</v>
      </c>
      <c r="C139" s="102">
        <f>IF($M139&gt;0,('Amounts Pivot Table'!F$634/$M139),0)</f>
        <v>73.18884334650383</v>
      </c>
      <c r="D139" s="102">
        <f>IF($M139&gt;0,('Amounts Pivot Table'!F$640/$M139),0)</f>
        <v>6981.096012678142</v>
      </c>
      <c r="E139" s="102">
        <f>SUM(B139:D139)</f>
        <v>12163.715397764012</v>
      </c>
      <c r="F139" s="114"/>
      <c r="G139" s="115"/>
      <c r="H139" s="115"/>
      <c r="I139" s="115"/>
      <c r="J139" s="102"/>
      <c r="L139" s="168"/>
      <c r="M139" s="840">
        <f>+'[1]NEW-Tables 80-86'!E70</f>
        <v>172683.05416666664</v>
      </c>
      <c r="N139" s="73"/>
      <c r="O139" s="73"/>
      <c r="P139" s="73"/>
      <c r="Q139" s="73"/>
    </row>
    <row r="140" spans="1:17" s="61" customFormat="1" ht="9.75" customHeight="1" x14ac:dyDescent="0.2">
      <c r="A140" s="73"/>
      <c r="B140" s="102"/>
      <c r="C140" s="102"/>
      <c r="D140" s="102"/>
      <c r="E140" s="102"/>
      <c r="F140" s="114"/>
      <c r="G140" s="115"/>
      <c r="H140" s="115"/>
      <c r="I140" s="115"/>
      <c r="J140" s="102"/>
      <c r="L140" s="168"/>
      <c r="M140" s="840"/>
      <c r="N140" s="73"/>
      <c r="O140" s="73"/>
      <c r="P140" s="73"/>
      <c r="Q140" s="73"/>
    </row>
    <row r="141" spans="1:17" s="61" customFormat="1" ht="12.75" customHeight="1" x14ac:dyDescent="0.2">
      <c r="A141" s="73" t="s">
        <v>320</v>
      </c>
      <c r="B141" s="75">
        <f>IF($M141&gt;0,('Amounts Pivot Table'!F$7/$M141),0)</f>
        <v>5644.8226142091235</v>
      </c>
      <c r="C141" s="75">
        <f>IF($M141&gt;0,('Amounts Pivot Table'!F$10/$M141),0)</f>
        <v>52.533835367600531</v>
      </c>
      <c r="D141" s="75">
        <f>IF($M141&gt;0,('Amounts Pivot Table'!F$16/$M141),0)</f>
        <v>7867.4358788695417</v>
      </c>
      <c r="E141" s="75">
        <f>SUM(B141:D141)</f>
        <v>13564.792328446267</v>
      </c>
      <c r="F141" s="116">
        <f>IF(B141&gt;0,RANK(B141,$B$141:$B$159),)</f>
        <v>7</v>
      </c>
      <c r="G141" s="107">
        <f>IF(C141&gt;0,RANK(C141,$C$141:$C$159),)</f>
        <v>4</v>
      </c>
      <c r="H141" s="107">
        <f>IF(D141&gt;0,RANK(D141,$D$141:$D$159),)</f>
        <v>4</v>
      </c>
      <c r="I141" s="107">
        <f>IF(E141&gt;0,RANK(E141,$E$141:$E$159),)</f>
        <v>5</v>
      </c>
      <c r="J141" s="75"/>
      <c r="L141" s="168"/>
      <c r="M141" s="840">
        <f>+'[1]NEW-Tables 80-86'!E72</f>
        <v>15882.05</v>
      </c>
      <c r="N141" s="73"/>
      <c r="O141" s="73"/>
      <c r="P141" s="73"/>
      <c r="Q141" s="73"/>
    </row>
    <row r="142" spans="1:17" s="61" customFormat="1" ht="12.75" customHeight="1" x14ac:dyDescent="0.2">
      <c r="A142" s="73" t="s">
        <v>334</v>
      </c>
      <c r="B142" s="75">
        <f>IF($M142&gt;0,('Amounts Pivot Table'!F$46/$M142),0)</f>
        <v>5715.3935629804291</v>
      </c>
      <c r="C142" s="75">
        <f>IF($M142&gt;0,('Amounts Pivot Table'!F$49/$M142),0)</f>
        <v>32.29397895221117</v>
      </c>
      <c r="D142" s="75">
        <f>IF($M142&gt;0,('Amounts Pivot Table'!F$55/$M142),0)</f>
        <v>7530.9854889106155</v>
      </c>
      <c r="E142" s="75">
        <f>SUM(B142:D142)</f>
        <v>13278.673030843256</v>
      </c>
      <c r="F142" s="116">
        <f t="shared" ref="F142:F159" si="29">IF(B142&gt;0,RANK(B142,$B$141:$B$159),)</f>
        <v>6</v>
      </c>
      <c r="G142" s="107">
        <f t="shared" ref="G142:G159" si="30">IF(C142&gt;0,RANK(C142,$C$141:$C$159),)</f>
        <v>5</v>
      </c>
      <c r="H142" s="107">
        <f t="shared" ref="H142:H159" si="31">IF(D142&gt;0,RANK(D142,$D$141:$D$159),)</f>
        <v>5</v>
      </c>
      <c r="I142" s="107">
        <f t="shared" ref="I142:I159" si="32">IF(E142&gt;0,RANK(E142,$E$141:$E$159),)</f>
        <v>6</v>
      </c>
      <c r="J142" s="75"/>
      <c r="L142" s="168"/>
      <c r="M142" s="840">
        <f>+'[1]NEW-Tables 80-86'!E73</f>
        <v>6520.8749999999991</v>
      </c>
      <c r="N142" s="73"/>
      <c r="O142" s="73"/>
      <c r="P142" s="73"/>
      <c r="Q142" s="73"/>
    </row>
    <row r="143" spans="1:17" s="61" customFormat="1" ht="12.75" customHeight="1" x14ac:dyDescent="0.2">
      <c r="A143" s="73" t="s">
        <v>321</v>
      </c>
      <c r="B143" s="75">
        <f>IF($M143&gt;0,('Amounts Pivot Table'!F$85/$M143),0)</f>
        <v>0</v>
      </c>
      <c r="C143" s="75">
        <f>IF($M143&gt;0,('Amounts Pivot Table'!F$88/$M143),0)</f>
        <v>0</v>
      </c>
      <c r="D143" s="75">
        <f>IF($M143&gt;0,('Amounts Pivot Table'!F$94/$M143),0)</f>
        <v>0</v>
      </c>
      <c r="E143" s="75">
        <f>SUM(B143:D143)</f>
        <v>0</v>
      </c>
      <c r="F143" s="116">
        <f>IF(B143&gt;0,RANK(B143,$B$141:$B$159),)</f>
        <v>0</v>
      </c>
      <c r="G143" s="107">
        <f>IF(C143&gt;0,RANK(C143,$C$141:$C$159),)</f>
        <v>0</v>
      </c>
      <c r="H143" s="107">
        <f>IF(D143&gt;0,RANK(D143,$D$141:$D$159),)</f>
        <v>0</v>
      </c>
      <c r="I143" s="107">
        <f>IF(E143&gt;0,RANK(E143,$E$141:$E$159),)</f>
        <v>0</v>
      </c>
      <c r="J143" s="75"/>
      <c r="L143" s="168"/>
      <c r="M143" s="840">
        <f>+'[1]NEW-Tables 80-86'!E74</f>
        <v>0</v>
      </c>
      <c r="N143" s="220"/>
      <c r="O143" s="220"/>
      <c r="P143" s="220"/>
      <c r="Q143" s="73"/>
    </row>
    <row r="144" spans="1:17" s="61" customFormat="1" ht="12.75" customHeight="1" x14ac:dyDescent="0.2">
      <c r="A144" s="73" t="s">
        <v>328</v>
      </c>
      <c r="B144" s="75">
        <f>IF($M144&gt;0,('Amounts Pivot Table'!F$124/$M144),0)</f>
        <v>4780.9547720918545</v>
      </c>
      <c r="C144" s="75">
        <f>IF($M144&gt;0,('Amounts Pivot Table'!F$127/$M144),0)</f>
        <v>60.545610865150763</v>
      </c>
      <c r="D144" s="75">
        <f>IF($M144&gt;0,('Amounts Pivot Table'!F$133/$M144),0)</f>
        <v>5287.5773078663915</v>
      </c>
      <c r="E144" s="75">
        <f>SUM(B144:D144)</f>
        <v>10129.077690823397</v>
      </c>
      <c r="F144" s="116">
        <f t="shared" si="29"/>
        <v>8</v>
      </c>
      <c r="G144" s="107">
        <f t="shared" si="30"/>
        <v>3</v>
      </c>
      <c r="H144" s="107">
        <f t="shared" si="31"/>
        <v>9</v>
      </c>
      <c r="I144" s="107">
        <f t="shared" si="32"/>
        <v>9</v>
      </c>
      <c r="J144" s="75"/>
      <c r="L144" s="168"/>
      <c r="M144" s="840">
        <f>+'[1]NEW-Tables 80-86'!E75</f>
        <v>11543.941666666668</v>
      </c>
      <c r="N144" s="73"/>
      <c r="O144" s="73"/>
      <c r="P144" s="73"/>
      <c r="Q144" s="73"/>
    </row>
    <row r="145" spans="1:17" s="61" customFormat="1" ht="9.75" customHeight="1" x14ac:dyDescent="0.2">
      <c r="A145" s="73"/>
      <c r="B145" s="75"/>
      <c r="C145" s="75"/>
      <c r="D145" s="75"/>
      <c r="E145" s="75"/>
      <c r="F145" s="116"/>
      <c r="G145" s="107"/>
      <c r="H145" s="107"/>
      <c r="I145" s="107"/>
      <c r="J145" s="75"/>
      <c r="L145" s="168"/>
      <c r="M145" s="840"/>
      <c r="N145" s="73"/>
      <c r="O145" s="73"/>
      <c r="P145" s="73"/>
      <c r="Q145" s="73"/>
    </row>
    <row r="146" spans="1:17" s="61" customFormat="1" ht="12.75" customHeight="1" x14ac:dyDescent="0.2">
      <c r="A146" s="73" t="s">
        <v>329</v>
      </c>
      <c r="B146" s="75">
        <f>IF($M146&gt;0,('Amounts Pivot Table'!F$163/$M146),0)</f>
        <v>4236.2183022310446</v>
      </c>
      <c r="C146" s="75">
        <f>IF($M146&gt;0,('Amounts Pivot Table'!F$166/$M146),0)</f>
        <v>0</v>
      </c>
      <c r="D146" s="75">
        <f>IF($M146&gt;0,('Amounts Pivot Table'!F$172/$M146),0)</f>
        <v>5851.4923979484665</v>
      </c>
      <c r="E146" s="75">
        <f>SUM(B146:D146)</f>
        <v>10087.710700179512</v>
      </c>
      <c r="F146" s="116">
        <f t="shared" si="29"/>
        <v>10</v>
      </c>
      <c r="G146" s="107">
        <f t="shared" si="30"/>
        <v>0</v>
      </c>
      <c r="H146" s="107">
        <f t="shared" si="31"/>
        <v>8</v>
      </c>
      <c r="I146" s="107">
        <f t="shared" si="32"/>
        <v>10</v>
      </c>
      <c r="J146" s="75"/>
      <c r="L146" s="168"/>
      <c r="M146" s="840">
        <f>+'[1]NEW-Tables 80-86'!E77</f>
        <v>42490.175000000003</v>
      </c>
      <c r="N146" s="73"/>
      <c r="O146" s="73"/>
      <c r="P146" s="73"/>
      <c r="Q146" s="73"/>
    </row>
    <row r="147" spans="1:17" s="61" customFormat="1" ht="12.75" customHeight="1" x14ac:dyDescent="0.2">
      <c r="A147" s="73" t="s">
        <v>322</v>
      </c>
      <c r="B147" s="75">
        <f>IF($M147&gt;0,('Amounts Pivot Table'!F$202/$M147),0)</f>
        <v>4406.8069714845851</v>
      </c>
      <c r="C147" s="75">
        <f>IF($M147&gt;0,('Amounts Pivot Table'!F$205/$M147),0)</f>
        <v>346.70695435017609</v>
      </c>
      <c r="D147" s="75">
        <f>IF($M147&gt;0,('Amounts Pivot Table'!F$211/$M147),0)</f>
        <v>11351.174030383121</v>
      </c>
      <c r="E147" s="75">
        <f>SUM(B147:D147)</f>
        <v>16104.687956217882</v>
      </c>
      <c r="F147" s="116">
        <f t="shared" si="29"/>
        <v>9</v>
      </c>
      <c r="G147" s="107">
        <f t="shared" si="30"/>
        <v>2</v>
      </c>
      <c r="H147" s="107">
        <f t="shared" si="31"/>
        <v>1</v>
      </c>
      <c r="I147" s="107">
        <f t="shared" si="32"/>
        <v>1</v>
      </c>
      <c r="J147" s="75"/>
      <c r="L147" s="168"/>
      <c r="M147" s="840">
        <f>+'[1]NEW-Tables 80-86'!E78</f>
        <v>14639.158333333335</v>
      </c>
      <c r="N147" s="73"/>
      <c r="O147" s="73"/>
      <c r="P147" s="73"/>
      <c r="Q147" s="73"/>
    </row>
    <row r="148" spans="1:17" s="61" customFormat="1" ht="12.75" customHeight="1" x14ac:dyDescent="0.2">
      <c r="A148" s="73" t="s">
        <v>330</v>
      </c>
      <c r="B148" s="75">
        <f>IF($M148&gt;0,('Amounts Pivot Table'!F$241/$M148),0)</f>
        <v>2854.9495065111482</v>
      </c>
      <c r="C148" s="75">
        <f>IF($M148&gt;0,('Amounts Pivot Table'!F$244/$M148),0)</f>
        <v>0</v>
      </c>
      <c r="D148" s="75">
        <f>IF($M148&gt;0,('Amounts Pivot Table'!F$250/$M148),0)</f>
        <v>5983.0467243953644</v>
      </c>
      <c r="E148" s="75">
        <f>SUM(B148:D148)</f>
        <v>8837.9962309065122</v>
      </c>
      <c r="F148" s="116">
        <f t="shared" si="29"/>
        <v>11</v>
      </c>
      <c r="G148" s="107">
        <f t="shared" si="30"/>
        <v>0</v>
      </c>
      <c r="H148" s="107">
        <f t="shared" si="31"/>
        <v>7</v>
      </c>
      <c r="I148" s="107">
        <f t="shared" si="32"/>
        <v>11</v>
      </c>
      <c r="J148" s="75"/>
      <c r="L148" s="168"/>
      <c r="M148" s="840">
        <f>+'[1]NEW-Tables 80-86'!E79</f>
        <v>30869.491666666665</v>
      </c>
      <c r="N148" s="73"/>
      <c r="O148" s="73"/>
      <c r="P148" s="73"/>
      <c r="Q148" s="73"/>
    </row>
    <row r="149" spans="1:17" s="61" customFormat="1" ht="12.75" customHeight="1" x14ac:dyDescent="0.2">
      <c r="A149" s="73" t="s">
        <v>333</v>
      </c>
      <c r="B149" s="75">
        <f>IF($M149&gt;0,('Amounts Pivot Table'!F$280/$M149),0)</f>
        <v>7065.4149830185124</v>
      </c>
      <c r="C149" s="75">
        <f>IF($M149&gt;0,('Amounts Pivot Table'!F$283/$M149),0)</f>
        <v>0</v>
      </c>
      <c r="D149" s="75">
        <f>IF($M149&gt;0,('Amounts Pivot Table'!F$289/$M149),0)</f>
        <v>8657.5403284266085</v>
      </c>
      <c r="E149" s="75">
        <f>SUM(B149:D149)</f>
        <v>15722.955311445121</v>
      </c>
      <c r="F149" s="116">
        <f t="shared" si="29"/>
        <v>4</v>
      </c>
      <c r="G149" s="107">
        <f t="shared" si="30"/>
        <v>0</v>
      </c>
      <c r="H149" s="107">
        <f t="shared" si="31"/>
        <v>2</v>
      </c>
      <c r="I149" s="107">
        <f t="shared" si="32"/>
        <v>2</v>
      </c>
      <c r="J149" s="75"/>
      <c r="L149" s="168"/>
      <c r="M149" s="840">
        <f>+'[1]NEW-Tables 80-86'!E80</f>
        <v>26986.495833333334</v>
      </c>
      <c r="N149" s="73"/>
      <c r="O149" s="73"/>
      <c r="P149" s="73"/>
      <c r="Q149" s="73"/>
    </row>
    <row r="150" spans="1:17" s="61" customFormat="1" ht="9.75" customHeight="1" x14ac:dyDescent="0.2">
      <c r="A150" s="73"/>
      <c r="B150" s="75"/>
      <c r="C150" s="75"/>
      <c r="D150" s="75"/>
      <c r="E150" s="75"/>
      <c r="F150" s="116"/>
      <c r="G150" s="107"/>
      <c r="H150" s="107"/>
      <c r="I150" s="107"/>
      <c r="J150" s="75"/>
      <c r="L150" s="168"/>
      <c r="M150" s="840"/>
      <c r="N150" s="73"/>
      <c r="O150" s="73"/>
      <c r="P150" s="73"/>
      <c r="Q150" s="73"/>
    </row>
    <row r="151" spans="1:17" s="61" customFormat="1" ht="12.75" customHeight="1" x14ac:dyDescent="0.2">
      <c r="A151" s="73" t="s">
        <v>323</v>
      </c>
      <c r="B151" s="75">
        <f>IF($M151&gt;0,('Amounts Pivot Table'!F$319/$M151),0)</f>
        <v>7192.7364740574321</v>
      </c>
      <c r="C151" s="75">
        <f>IF($M151&gt;0,('Amounts Pivot Table'!F$322/$M151),0)</f>
        <v>653.69486765428633</v>
      </c>
      <c r="D151" s="75">
        <f>IF($M151&gt;0,('Amounts Pivot Table'!F$328/$M151),0)</f>
        <v>6828.5427508249668</v>
      </c>
      <c r="E151" s="75">
        <f>SUM(B151:D151)</f>
        <v>14674.974092536686</v>
      </c>
      <c r="F151" s="116">
        <f t="shared" si="29"/>
        <v>3</v>
      </c>
      <c r="G151" s="107">
        <f t="shared" si="30"/>
        <v>1</v>
      </c>
      <c r="H151" s="107">
        <f t="shared" si="31"/>
        <v>6</v>
      </c>
      <c r="I151" s="107">
        <f t="shared" si="32"/>
        <v>3</v>
      </c>
      <c r="J151" s="75"/>
      <c r="L151" s="168"/>
      <c r="M151" s="840">
        <f>+'[1]NEW-Tables 80-86'!E82</f>
        <v>8901.875</v>
      </c>
      <c r="N151" s="73"/>
      <c r="O151" s="73"/>
      <c r="P151" s="73"/>
      <c r="Q151" s="73"/>
    </row>
    <row r="152" spans="1:17" s="61" customFormat="1" ht="12.75" customHeight="1" x14ac:dyDescent="0.2">
      <c r="A152" s="73" t="s">
        <v>324</v>
      </c>
      <c r="B152" s="75">
        <f>IF($M152&gt;0,('Amounts Pivot Table'!F$358/$M152),0)</f>
        <v>8743.2277491599307</v>
      </c>
      <c r="C152" s="75">
        <f>IF($M152&gt;0,('Amounts Pivot Table'!F$361/$M152),0)</f>
        <v>0</v>
      </c>
      <c r="D152" s="75">
        <f>IF($M152&gt;0,('Amounts Pivot Table'!F$367/$M152),0)</f>
        <v>3409.5580035029457</v>
      </c>
      <c r="E152" s="75">
        <f>SUM(B152:D152)</f>
        <v>12152.785752662876</v>
      </c>
      <c r="F152" s="116">
        <f t="shared" si="29"/>
        <v>1</v>
      </c>
      <c r="G152" s="107">
        <f t="shared" si="30"/>
        <v>0</v>
      </c>
      <c r="H152" s="107">
        <f t="shared" si="31"/>
        <v>11</v>
      </c>
      <c r="I152" s="107">
        <f t="shared" si="32"/>
        <v>8</v>
      </c>
      <c r="J152" s="75"/>
      <c r="L152" s="168"/>
      <c r="M152" s="840">
        <f>+'[1]NEW-Tables 80-86'!E83</f>
        <v>5490.6166666666668</v>
      </c>
      <c r="N152" s="73"/>
      <c r="O152" s="73"/>
      <c r="P152" s="73"/>
      <c r="Q152" s="103"/>
    </row>
    <row r="153" spans="1:17" s="61" customFormat="1" ht="12.75" customHeight="1" x14ac:dyDescent="0.2">
      <c r="A153" s="73" t="s">
        <v>331</v>
      </c>
      <c r="B153" s="75">
        <f>IF($M153&gt;0,('Amounts Pivot Table'!F$397/$M153),0)</f>
        <v>5831.3465173430159</v>
      </c>
      <c r="C153" s="75">
        <f>IF($M153&gt;0,('Amounts Pivot Table'!F$400/$M153),0)</f>
        <v>0</v>
      </c>
      <c r="D153" s="75">
        <f>IF($M153&gt;0,('Amounts Pivot Table'!F$406/$M153),0)</f>
        <v>8162.91186277215</v>
      </c>
      <c r="E153" s="75">
        <f>SUM(B153:D153)</f>
        <v>13994.258380115167</v>
      </c>
      <c r="F153" s="116">
        <f t="shared" si="29"/>
        <v>5</v>
      </c>
      <c r="G153" s="107">
        <f t="shared" si="30"/>
        <v>0</v>
      </c>
      <c r="H153" s="107">
        <f t="shared" si="31"/>
        <v>3</v>
      </c>
      <c r="I153" s="107">
        <f t="shared" si="32"/>
        <v>4</v>
      </c>
      <c r="J153" s="75"/>
      <c r="L153" s="168"/>
      <c r="M153" s="840">
        <f>+'[1]NEW-Tables 80-86'!E84</f>
        <v>3231.6083333333331</v>
      </c>
      <c r="N153" s="73"/>
      <c r="O153" s="73"/>
      <c r="P153" s="73"/>
      <c r="Q153" s="103"/>
    </row>
    <row r="154" spans="1:17" s="61" customFormat="1" ht="12.75" customHeight="1" x14ac:dyDescent="0.2">
      <c r="A154" s="73" t="s">
        <v>325</v>
      </c>
      <c r="B154" s="75">
        <f>IF($M154&gt;0,('Amounts Pivot Table'!F$436/$M154),0)</f>
        <v>0</v>
      </c>
      <c r="C154" s="75">
        <f>IF($M154&gt;0,('Amounts Pivot Table'!F$439/$M154),0)</f>
        <v>0</v>
      </c>
      <c r="D154" s="75">
        <f>IF($M154&gt;0,('Amounts Pivot Table'!F$445/$M154),0)</f>
        <v>0</v>
      </c>
      <c r="E154" s="75">
        <f>SUM(B154:D154)</f>
        <v>0</v>
      </c>
      <c r="F154" s="116">
        <f>IF(B154&gt;0,RANK(B154,$B$141:$B$159),)</f>
        <v>0</v>
      </c>
      <c r="G154" s="107">
        <f t="shared" si="30"/>
        <v>0</v>
      </c>
      <c r="H154" s="107">
        <f t="shared" si="31"/>
        <v>0</v>
      </c>
      <c r="I154" s="107">
        <f t="shared" si="32"/>
        <v>0</v>
      </c>
      <c r="J154" s="75"/>
      <c r="L154" s="168"/>
      <c r="M154" s="840">
        <f>+'[1]NEW-Tables 80-86'!E85</f>
        <v>0</v>
      </c>
      <c r="N154" s="73"/>
      <c r="O154" s="73"/>
      <c r="P154" s="73"/>
      <c r="Q154" s="103"/>
    </row>
    <row r="155" spans="1:17" s="61" customFormat="1" ht="9.75" customHeight="1" x14ac:dyDescent="0.2">
      <c r="A155" s="73"/>
      <c r="B155" s="75"/>
      <c r="C155" s="75"/>
      <c r="D155" s="75"/>
      <c r="E155" s="75"/>
      <c r="F155" s="116"/>
      <c r="G155" s="107"/>
      <c r="H155" s="107"/>
      <c r="I155" s="107"/>
      <c r="J155" s="75"/>
      <c r="L155" s="168"/>
      <c r="M155" s="840"/>
      <c r="N155" s="73"/>
      <c r="O155" s="73"/>
      <c r="P155" s="73"/>
      <c r="Q155" s="73"/>
    </row>
    <row r="156" spans="1:17" s="61" customFormat="1" ht="12.75" customHeight="1" x14ac:dyDescent="0.2">
      <c r="A156" s="73" t="s">
        <v>90</v>
      </c>
      <c r="B156" s="75">
        <f>IF($M156&gt;0,('Amounts Pivot Table'!F$475/$M156),0)</f>
        <v>0</v>
      </c>
      <c r="C156" s="75">
        <f>IF($M156&gt;0,('Amounts Pivot Table'!F$478/$M156),0)</f>
        <v>0</v>
      </c>
      <c r="D156" s="75">
        <f>IF($M156&gt;0,('Amounts Pivot Table'!F$484/$M156),0)</f>
        <v>0</v>
      </c>
      <c r="E156" s="75">
        <f>SUM(B156:D156)</f>
        <v>0</v>
      </c>
      <c r="F156" s="116">
        <f t="shared" si="29"/>
        <v>0</v>
      </c>
      <c r="G156" s="107">
        <f t="shared" si="30"/>
        <v>0</v>
      </c>
      <c r="H156" s="107">
        <f t="shared" si="31"/>
        <v>0</v>
      </c>
      <c r="I156" s="107">
        <f t="shared" si="32"/>
        <v>0</v>
      </c>
      <c r="J156" s="75"/>
      <c r="L156" s="174"/>
      <c r="M156" s="840">
        <f>+'[1]NEW-Tables 80-86'!E87</f>
        <v>0</v>
      </c>
      <c r="N156" s="73"/>
      <c r="O156" s="73"/>
      <c r="P156" s="73"/>
      <c r="Q156" s="73"/>
    </row>
    <row r="157" spans="1:17" s="76" customFormat="1" ht="12.75" customHeight="1" x14ac:dyDescent="0.2">
      <c r="A157" s="73" t="s">
        <v>326</v>
      </c>
      <c r="B157" s="75">
        <f>IF($M157&gt;0,('Amounts Pivot Table'!F$514/$M157),0)</f>
        <v>7509.6496248701051</v>
      </c>
      <c r="C157" s="75">
        <f>IF($M157&gt;0,('Amounts Pivot Table'!F$517/$M157),0)</f>
        <v>0</v>
      </c>
      <c r="D157" s="75">
        <f>IF($M157&gt;0,('Amounts Pivot Table'!F$523/$M157),0)</f>
        <v>5124.7701615316391</v>
      </c>
      <c r="E157" s="75">
        <f>SUM(B157:D157)</f>
        <v>12634.419786401744</v>
      </c>
      <c r="F157" s="116">
        <f t="shared" si="29"/>
        <v>2</v>
      </c>
      <c r="G157" s="107">
        <f t="shared" si="30"/>
        <v>0</v>
      </c>
      <c r="H157" s="107">
        <f t="shared" si="31"/>
        <v>10</v>
      </c>
      <c r="I157" s="107">
        <f t="shared" si="32"/>
        <v>7</v>
      </c>
      <c r="J157" s="75"/>
      <c r="K157" s="75"/>
      <c r="L157" s="174"/>
      <c r="M157" s="840">
        <f>+'[1]NEW-Tables 80-86'!E88</f>
        <v>6126.7666666666673</v>
      </c>
      <c r="N157" s="90"/>
      <c r="O157" s="90"/>
      <c r="P157" s="90"/>
      <c r="Q157" s="90"/>
    </row>
    <row r="158" spans="1:17" s="61" customFormat="1" ht="12.75" customHeight="1" x14ac:dyDescent="0.2">
      <c r="A158" s="73" t="s">
        <v>327</v>
      </c>
      <c r="B158" s="75">
        <f>IF($M158&gt;0,('Amounts Pivot Table'!F$553/$M158),0)</f>
        <v>0</v>
      </c>
      <c r="C158" s="75">
        <f>IF($M158&gt;0,('Amounts Pivot Table'!F$556/$M158),0)</f>
        <v>0</v>
      </c>
      <c r="D158" s="75">
        <f>IF($M158&gt;0,('Amounts Pivot Table'!F$562/$M158),0)</f>
        <v>0</v>
      </c>
      <c r="E158" s="75">
        <f>SUM(B158:D158)</f>
        <v>0</v>
      </c>
      <c r="F158" s="116">
        <f t="shared" si="29"/>
        <v>0</v>
      </c>
      <c r="G158" s="107">
        <f t="shared" si="30"/>
        <v>0</v>
      </c>
      <c r="H158" s="107">
        <f t="shared" si="31"/>
        <v>0</v>
      </c>
      <c r="I158" s="107">
        <f t="shared" si="32"/>
        <v>0</v>
      </c>
      <c r="J158" s="75"/>
      <c r="K158" s="75"/>
      <c r="L158" s="174"/>
      <c r="M158" s="840">
        <f>+'[1]NEW-Tables 80-86'!E89</f>
        <v>0</v>
      </c>
      <c r="N158" s="73"/>
      <c r="O158" s="73"/>
      <c r="P158" s="73"/>
      <c r="Q158" s="73"/>
    </row>
    <row r="159" spans="1:17" s="61" customFormat="1" ht="13.5" customHeight="1" x14ac:dyDescent="0.2">
      <c r="A159" s="74" t="s">
        <v>332</v>
      </c>
      <c r="B159" s="104">
        <f>IF($M159&gt;0,('Amounts Pivot Table'!F$592/$M159),0)</f>
        <v>0</v>
      </c>
      <c r="C159" s="104">
        <f>IF($M159&gt;0,('Amounts Pivot Table'!F$595/$M159),0)</f>
        <v>0</v>
      </c>
      <c r="D159" s="104">
        <f>IF($M159&gt;0,('Amounts Pivot Table'!F$601/$M159),0)</f>
        <v>0</v>
      </c>
      <c r="E159" s="105">
        <f>SUM(B159:D159)</f>
        <v>0</v>
      </c>
      <c r="F159" s="117">
        <f t="shared" si="29"/>
        <v>0</v>
      </c>
      <c r="G159" s="118">
        <f t="shared" si="30"/>
        <v>0</v>
      </c>
      <c r="H159" s="118">
        <f t="shared" si="31"/>
        <v>0</v>
      </c>
      <c r="I159" s="118">
        <f t="shared" si="32"/>
        <v>0</v>
      </c>
      <c r="J159" s="75"/>
      <c r="K159" s="75"/>
      <c r="L159" s="174"/>
      <c r="M159" s="840">
        <f>+'[1]NEW-Tables 80-86'!E90</f>
        <v>0</v>
      </c>
      <c r="N159" s="73"/>
      <c r="O159" s="73"/>
      <c r="P159" s="73"/>
      <c r="Q159" s="73"/>
    </row>
    <row r="160" spans="1:17" s="76" customFormat="1" ht="40.5" customHeight="1" x14ac:dyDescent="0.2">
      <c r="A160" s="1558" t="s">
        <v>17</v>
      </c>
      <c r="B160" s="1583"/>
      <c r="C160" s="1583"/>
      <c r="D160" s="1583"/>
      <c r="E160" s="1583"/>
      <c r="F160" s="1583"/>
      <c r="G160" s="1584"/>
      <c r="H160" s="1584"/>
      <c r="I160" s="1584"/>
      <c r="J160" s="75"/>
      <c r="K160" s="75"/>
      <c r="L160" s="169"/>
      <c r="M160" s="300"/>
      <c r="N160" s="90"/>
      <c r="O160" s="90"/>
      <c r="P160" s="90"/>
      <c r="Q160" s="90"/>
    </row>
    <row r="161" spans="1:17" s="76" customFormat="1" ht="17.25" customHeight="1" x14ac:dyDescent="0.2">
      <c r="A161" s="1558" t="s">
        <v>54</v>
      </c>
      <c r="B161" s="1586"/>
      <c r="C161" s="1586"/>
      <c r="D161" s="1586"/>
      <c r="E161" s="1586"/>
      <c r="F161" s="1586"/>
      <c r="G161" s="1586"/>
      <c r="H161" s="1586"/>
      <c r="I161" s="1586"/>
      <c r="J161" s="106"/>
      <c r="L161" s="169"/>
      <c r="M161" s="296"/>
      <c r="N161" s="90"/>
      <c r="O161" s="90"/>
      <c r="P161" s="90"/>
      <c r="Q161" s="90"/>
    </row>
    <row r="162" spans="1:17" s="61" customFormat="1" ht="15" customHeight="1" x14ac:dyDescent="0.2">
      <c r="A162" s="1558" t="s">
        <v>233</v>
      </c>
      <c r="B162" s="1583"/>
      <c r="C162" s="1583"/>
      <c r="D162" s="1583"/>
      <c r="E162" s="1583"/>
      <c r="F162" s="1583"/>
      <c r="G162" s="1584"/>
      <c r="H162" s="1584"/>
      <c r="I162" s="1584"/>
      <c r="L162" s="171"/>
      <c r="M162" s="296"/>
      <c r="N162" s="73"/>
      <c r="O162" s="73"/>
      <c r="P162" s="73"/>
      <c r="Q162" s="73"/>
    </row>
    <row r="163" spans="1:17" s="61" customFormat="1" x14ac:dyDescent="0.2">
      <c r="A163" s="187"/>
      <c r="B163" s="106"/>
      <c r="C163" s="106"/>
      <c r="D163" s="106"/>
      <c r="E163" s="106"/>
      <c r="F163" s="106"/>
      <c r="G163" s="188"/>
      <c r="H163" s="188"/>
      <c r="I163" s="535" t="s">
        <v>1898</v>
      </c>
      <c r="J163" s="188"/>
      <c r="K163" s="188"/>
      <c r="L163" s="171"/>
      <c r="M163" s="296"/>
      <c r="N163" s="73"/>
      <c r="O163" s="73"/>
      <c r="P163" s="73"/>
      <c r="Q163" s="73"/>
    </row>
    <row r="164" spans="1:17" s="61" customFormat="1" ht="18" x14ac:dyDescent="0.2">
      <c r="A164" s="135" t="s">
        <v>363</v>
      </c>
      <c r="B164" s="135"/>
      <c r="C164" s="135"/>
      <c r="D164" s="135"/>
      <c r="E164" s="135"/>
      <c r="F164" s="135"/>
      <c r="G164" s="135"/>
      <c r="H164" s="135"/>
      <c r="I164" s="135"/>
      <c r="J164" s="566" t="s">
        <v>91</v>
      </c>
      <c r="K164" s="101"/>
      <c r="L164" s="170"/>
      <c r="M164" s="296"/>
      <c r="N164" s="73"/>
      <c r="O164" s="73"/>
      <c r="P164" s="73"/>
      <c r="Q164" s="73"/>
    </row>
    <row r="165" spans="1:17" s="61" customFormat="1" ht="15.75" customHeight="1" x14ac:dyDescent="0.2">
      <c r="A165" s="135"/>
      <c r="B165" s="135"/>
      <c r="C165" s="135"/>
      <c r="D165" s="135"/>
      <c r="E165" s="135"/>
      <c r="F165" s="135"/>
      <c r="G165" s="135"/>
      <c r="H165" s="135"/>
      <c r="I165" s="135"/>
      <c r="J165" s="566"/>
      <c r="K165" s="101"/>
      <c r="L165" s="170"/>
      <c r="M165" s="296"/>
      <c r="N165" s="73"/>
      <c r="O165" s="73"/>
      <c r="P165" s="73"/>
      <c r="Q165" s="73"/>
    </row>
    <row r="166" spans="1:17" s="61" customFormat="1" ht="18.75" x14ac:dyDescent="0.2">
      <c r="A166" s="1557" t="s">
        <v>18</v>
      </c>
      <c r="B166" s="1557"/>
      <c r="C166" s="1557"/>
      <c r="D166" s="1557"/>
      <c r="E166" s="1557"/>
      <c r="F166" s="1557"/>
      <c r="G166" s="1557"/>
      <c r="H166" s="1557"/>
      <c r="I166" s="1557"/>
      <c r="J166" s="101"/>
      <c r="K166" s="101"/>
      <c r="L166" s="165"/>
      <c r="M166" s="296"/>
      <c r="N166" s="73"/>
      <c r="O166" s="73"/>
      <c r="P166" s="73"/>
      <c r="Q166" s="73"/>
    </row>
    <row r="167" spans="1:17" s="61" customFormat="1" ht="16.5" customHeight="1" x14ac:dyDescent="0.2">
      <c r="A167" s="1557" t="s">
        <v>1906</v>
      </c>
      <c r="B167" s="1557"/>
      <c r="C167" s="1557"/>
      <c r="D167" s="1557"/>
      <c r="E167" s="1557"/>
      <c r="F167" s="1557"/>
      <c r="G167" s="1557"/>
      <c r="H167" s="1557"/>
      <c r="I167" s="1557"/>
      <c r="J167" s="91"/>
      <c r="K167" s="91"/>
      <c r="L167" s="165"/>
      <c r="M167" s="296"/>
      <c r="N167" s="73"/>
      <c r="O167" s="73"/>
      <c r="P167" s="73"/>
      <c r="Q167" s="73"/>
    </row>
    <row r="168" spans="1:17" s="112" customFormat="1" ht="8.25" x14ac:dyDescent="0.15">
      <c r="A168" s="194"/>
      <c r="B168" s="194"/>
      <c r="C168" s="194"/>
      <c r="D168" s="194"/>
      <c r="E168" s="194"/>
      <c r="F168" s="194"/>
      <c r="G168" s="195"/>
      <c r="H168" s="194"/>
      <c r="I168" s="194"/>
      <c r="J168" s="194"/>
      <c r="K168" s="194"/>
      <c r="L168" s="196"/>
      <c r="M168" s="301"/>
      <c r="N168" s="110"/>
      <c r="O168" s="110"/>
      <c r="P168" s="110"/>
      <c r="Q168" s="110"/>
    </row>
    <row r="169" spans="1:17" s="61" customFormat="1" ht="15.75" x14ac:dyDescent="0.15">
      <c r="A169" s="60"/>
      <c r="B169" s="567" t="s">
        <v>55</v>
      </c>
      <c r="C169" s="568"/>
      <c r="D169" s="568"/>
      <c r="E169" s="568"/>
      <c r="F169" s="569" t="s">
        <v>119</v>
      </c>
      <c r="G169" s="570"/>
      <c r="H169" s="570"/>
      <c r="I169" s="570"/>
      <c r="L169" s="173"/>
      <c r="M169" s="299"/>
      <c r="N169" s="73"/>
      <c r="O169" s="73"/>
      <c r="P169" s="73"/>
      <c r="Q169" s="73"/>
    </row>
    <row r="170" spans="1:17" s="6" customFormat="1" ht="48" x14ac:dyDescent="0.2">
      <c r="A170" s="50"/>
      <c r="B170" s="550" t="s">
        <v>87</v>
      </c>
      <c r="C170" s="551" t="s">
        <v>89</v>
      </c>
      <c r="D170" s="551" t="s">
        <v>398</v>
      </c>
      <c r="E170" s="551" t="s">
        <v>97</v>
      </c>
      <c r="F170" s="552" t="s">
        <v>87</v>
      </c>
      <c r="G170" s="551" t="s">
        <v>89</v>
      </c>
      <c r="H170" s="551" t="s">
        <v>398</v>
      </c>
      <c r="I170" s="551" t="s">
        <v>97</v>
      </c>
      <c r="L170" s="167"/>
      <c r="M170" s="298" t="s">
        <v>260</v>
      </c>
      <c r="N170" s="7"/>
      <c r="O170" s="7"/>
      <c r="P170" s="7"/>
      <c r="Q170" s="7"/>
    </row>
    <row r="171" spans="1:17" s="61" customFormat="1" ht="14.25" x14ac:dyDescent="0.2">
      <c r="A171" s="73" t="s">
        <v>56</v>
      </c>
      <c r="B171" s="102">
        <f>IF($M171&gt;0,('Amounts Pivot Table'!G$631/$M171),0)</f>
        <v>5180.7257594572602</v>
      </c>
      <c r="C171" s="102">
        <f>IF($M171&gt;0,('Amounts Pivot Table'!G$634/$M171),0)</f>
        <v>123.64414842036301</v>
      </c>
      <c r="D171" s="102">
        <f>IF($M171&gt;0,('Amounts Pivot Table'!G$640/$M171),0)</f>
        <v>6868.1448756888967</v>
      </c>
      <c r="E171" s="102">
        <f>SUM(B171:D171)</f>
        <v>12172.514783566519</v>
      </c>
      <c r="F171" s="114"/>
      <c r="G171" s="115"/>
      <c r="H171" s="115"/>
      <c r="I171" s="115"/>
      <c r="L171" s="168"/>
      <c r="M171" s="840">
        <f>+'[1]NEW-Tables 80-86'!F70</f>
        <v>106225.09166666667</v>
      </c>
      <c r="N171" s="73"/>
      <c r="O171" s="73"/>
      <c r="P171" s="73"/>
      <c r="Q171" s="73"/>
    </row>
    <row r="172" spans="1:17" s="61" customFormat="1" ht="9.75" customHeight="1" x14ac:dyDescent="0.2">
      <c r="A172" s="73"/>
      <c r="B172" s="102"/>
      <c r="C172" s="102"/>
      <c r="D172" s="102"/>
      <c r="E172" s="102"/>
      <c r="F172" s="114"/>
      <c r="G172" s="115"/>
      <c r="H172" s="115"/>
      <c r="I172" s="115"/>
      <c r="L172" s="168"/>
      <c r="M172" s="840"/>
      <c r="N172" s="73"/>
      <c r="O172" s="73"/>
      <c r="P172" s="73"/>
      <c r="Q172" s="73"/>
    </row>
    <row r="173" spans="1:17" s="61" customFormat="1" ht="12.75" customHeight="1" x14ac:dyDescent="0.2">
      <c r="A173" s="73" t="s">
        <v>320</v>
      </c>
      <c r="B173" s="75">
        <f>IF($M173&gt;0,('Amounts Pivot Table'!G$7/$M173),0)</f>
        <v>4944.1633994026615</v>
      </c>
      <c r="C173" s="75">
        <f>IF($M173&gt;0,('Amounts Pivot Table'!G$10/$M173),0)</f>
        <v>192.86521857181646</v>
      </c>
      <c r="D173" s="75">
        <f>IF($M173&gt;0,('Amounts Pivot Table'!G$16/$M173),0)</f>
        <v>7309.5121368449636</v>
      </c>
      <c r="E173" s="75">
        <f>SUM(B173:D173)</f>
        <v>12446.540754819442</v>
      </c>
      <c r="F173" s="116">
        <f>IF(B173&gt;0,RANK(B173,$B$173:$B$191),)</f>
        <v>6</v>
      </c>
      <c r="G173" s="107">
        <f>IF(C173&gt;0,RANK(C173,$C$173:$C$191),)</f>
        <v>3</v>
      </c>
      <c r="H173" s="107">
        <f>IF(D173&gt;0,RANK(D173,$D$173:$D$191),)</f>
        <v>4</v>
      </c>
      <c r="I173" s="107">
        <f>IF(E173&gt;0,RANK(E173,$E$173:$E$191),)</f>
        <v>6</v>
      </c>
      <c r="L173" s="168"/>
      <c r="M173" s="840">
        <f>+'[1]NEW-Tables 80-86'!F72</f>
        <v>6138.333333333333</v>
      </c>
      <c r="N173" s="73"/>
      <c r="O173" s="73"/>
      <c r="P173" s="73"/>
      <c r="Q173" s="73"/>
    </row>
    <row r="174" spans="1:17" s="61" customFormat="1" ht="12.75" customHeight="1" x14ac:dyDescent="0.2">
      <c r="A174" s="73" t="s">
        <v>334</v>
      </c>
      <c r="B174" s="75">
        <f>IF($M174&gt;0,('Amounts Pivot Table'!G$46/$M174),0)</f>
        <v>5831.9911798968214</v>
      </c>
      <c r="C174" s="75">
        <f>IF($M174&gt;0,('Amounts Pivot Table'!G$49/$M174),0)</f>
        <v>1764.5781328007988</v>
      </c>
      <c r="D174" s="75">
        <f>IF($M174&gt;0,('Amounts Pivot Table'!G$55/$M174),0)</f>
        <v>6814.7033616242306</v>
      </c>
      <c r="E174" s="75">
        <f>SUM(B174:D174)</f>
        <v>14411.272674321852</v>
      </c>
      <c r="F174" s="116">
        <f t="shared" ref="F174:F191" si="33">IF(B174&gt;0,RANK(B174,$B$173:$B$191),)</f>
        <v>4</v>
      </c>
      <c r="G174" s="107">
        <f t="shared" ref="G174:G191" si="34">IF(C174&gt;0,RANK(C174,$C$173:$C$191),)</f>
        <v>1</v>
      </c>
      <c r="H174" s="107">
        <f t="shared" ref="H174:H191" si="35">IF(D174&gt;0,RANK(D174,$D$173:$D$191),)</f>
        <v>6</v>
      </c>
      <c r="I174" s="107">
        <f t="shared" ref="I174:I191" si="36">IF(E174&gt;0,RANK(E174,$E$173:$E$191),)</f>
        <v>4</v>
      </c>
      <c r="L174" s="168"/>
      <c r="M174" s="840">
        <f>+'[1]NEW-Tables 80-86'!F73</f>
        <v>2403.6</v>
      </c>
      <c r="N174" s="73"/>
      <c r="O174" s="73"/>
      <c r="P174" s="73"/>
      <c r="Q174" s="73"/>
    </row>
    <row r="175" spans="1:17" s="61" customFormat="1" ht="12.75" customHeight="1" x14ac:dyDescent="0.2">
      <c r="A175" s="73" t="s">
        <v>321</v>
      </c>
      <c r="B175" s="75">
        <f>IF($M175&gt;0,('Amounts Pivot Table'!G$85/$M175),0)</f>
        <v>0</v>
      </c>
      <c r="C175" s="75">
        <f>IF($M175&gt;0,('Amounts Pivot Table'!G$88/$M175),0)</f>
        <v>0</v>
      </c>
      <c r="D175" s="75">
        <f>IF($M175&gt;0,('Amounts Pivot Table'!G$94/$M175),0)</f>
        <v>0</v>
      </c>
      <c r="E175" s="75">
        <f>SUM(B175:D175)</f>
        <v>0</v>
      </c>
      <c r="F175" s="116">
        <f t="shared" si="33"/>
        <v>0</v>
      </c>
      <c r="G175" s="107">
        <f t="shared" si="34"/>
        <v>0</v>
      </c>
      <c r="H175" s="107">
        <f t="shared" si="35"/>
        <v>0</v>
      </c>
      <c r="I175" s="107">
        <f t="shared" si="36"/>
        <v>0</v>
      </c>
      <c r="L175" s="168"/>
      <c r="M175" s="840">
        <f>+'[1]NEW-Tables 80-86'!F74</f>
        <v>0</v>
      </c>
      <c r="N175" s="73"/>
      <c r="O175" s="73"/>
      <c r="P175" s="73"/>
      <c r="Q175" s="73"/>
    </row>
    <row r="176" spans="1:17" s="61" customFormat="1" ht="12.75" customHeight="1" x14ac:dyDescent="0.2">
      <c r="A176" s="73" t="s">
        <v>328</v>
      </c>
      <c r="B176" s="75">
        <f>IF($M176&gt;0,('Amounts Pivot Table'!G$124/$M176),0)</f>
        <v>0</v>
      </c>
      <c r="C176" s="75">
        <f>IF($M176&gt;0,('Amounts Pivot Table'!G$127/$M176),0)</f>
        <v>0</v>
      </c>
      <c r="D176" s="75">
        <f>IF($M176&gt;0,('Amounts Pivot Table'!G$133/$M176),0)</f>
        <v>0</v>
      </c>
      <c r="E176" s="75">
        <f>SUM(B176:D176)</f>
        <v>0</v>
      </c>
      <c r="F176" s="116">
        <f t="shared" si="33"/>
        <v>0</v>
      </c>
      <c r="G176" s="107">
        <f t="shared" si="34"/>
        <v>0</v>
      </c>
      <c r="H176" s="107">
        <f t="shared" si="35"/>
        <v>0</v>
      </c>
      <c r="I176" s="107">
        <f t="shared" si="36"/>
        <v>0</v>
      </c>
      <c r="L176" s="168"/>
      <c r="M176" s="840">
        <f>+'[1]NEW-Tables 80-86'!F75</f>
        <v>0</v>
      </c>
      <c r="N176" s="73"/>
      <c r="O176" s="73"/>
      <c r="P176" s="73"/>
      <c r="Q176" s="73"/>
    </row>
    <row r="177" spans="1:17" s="61" customFormat="1" ht="12.75" customHeight="1" x14ac:dyDescent="0.2">
      <c r="A177" s="73"/>
      <c r="B177" s="75"/>
      <c r="C177" s="75"/>
      <c r="D177" s="75"/>
      <c r="E177" s="75"/>
      <c r="F177" s="116"/>
      <c r="G177" s="107"/>
      <c r="H177" s="107"/>
      <c r="I177" s="107"/>
      <c r="L177" s="168"/>
      <c r="M177" s="840"/>
      <c r="N177" s="73"/>
      <c r="O177" s="73"/>
      <c r="P177" s="73"/>
      <c r="Q177" s="73"/>
    </row>
    <row r="178" spans="1:17" s="61" customFormat="1" ht="12.75" customHeight="1" x14ac:dyDescent="0.2">
      <c r="A178" s="73" t="s">
        <v>329</v>
      </c>
      <c r="B178" s="75">
        <f>IF($M178&gt;0,('Amounts Pivot Table'!G$163/$M178),0)</f>
        <v>4943.6853360924679</v>
      </c>
      <c r="C178" s="75">
        <f>IF($M178&gt;0,('Amounts Pivot Table'!G$166/$M178),0)</f>
        <v>0</v>
      </c>
      <c r="D178" s="75">
        <f>IF($M178&gt;0,('Amounts Pivot Table'!G$172/$M178),0)</f>
        <v>5419.631585817021</v>
      </c>
      <c r="E178" s="75">
        <f>SUM(B178:D178)</f>
        <v>10363.316921909489</v>
      </c>
      <c r="F178" s="116">
        <f t="shared" si="33"/>
        <v>7</v>
      </c>
      <c r="G178" s="107">
        <f t="shared" si="34"/>
        <v>0</v>
      </c>
      <c r="H178" s="107">
        <f t="shared" si="35"/>
        <v>11</v>
      </c>
      <c r="I178" s="107">
        <f t="shared" si="36"/>
        <v>10</v>
      </c>
      <c r="L178" s="168"/>
      <c r="M178" s="840">
        <f>+'[1]NEW-Tables 80-86'!F77</f>
        <v>15769.841666666667</v>
      </c>
      <c r="N178" s="73"/>
      <c r="O178" s="73"/>
      <c r="P178" s="73"/>
      <c r="Q178" s="73"/>
    </row>
    <row r="179" spans="1:17" s="61" customFormat="1" ht="12.75" customHeight="1" x14ac:dyDescent="0.2">
      <c r="A179" s="73" t="s">
        <v>322</v>
      </c>
      <c r="B179" s="75">
        <f>IF($M179&gt;0,('Amounts Pivot Table'!G$202/$M179),0)</f>
        <v>0</v>
      </c>
      <c r="C179" s="75">
        <f>IF($M179&gt;0,('Amounts Pivot Table'!G$205/$M179),0)</f>
        <v>0</v>
      </c>
      <c r="D179" s="75">
        <f>IF($M179&gt;0,('Amounts Pivot Table'!G$211/$M179),0)</f>
        <v>0</v>
      </c>
      <c r="E179" s="75">
        <f>SUM(B179:D179)</f>
        <v>0</v>
      </c>
      <c r="F179" s="116">
        <f t="shared" si="33"/>
        <v>0</v>
      </c>
      <c r="G179" s="107">
        <f t="shared" si="34"/>
        <v>0</v>
      </c>
      <c r="H179" s="107">
        <f t="shared" si="35"/>
        <v>0</v>
      </c>
      <c r="I179" s="107">
        <f t="shared" si="36"/>
        <v>0</v>
      </c>
      <c r="L179" s="168"/>
      <c r="M179" s="840">
        <f>+'[1]NEW-Tables 80-86'!F78</f>
        <v>0</v>
      </c>
      <c r="N179" s="73"/>
      <c r="O179" s="73"/>
      <c r="P179" s="73"/>
      <c r="Q179" s="73"/>
    </row>
    <row r="180" spans="1:17" s="61" customFormat="1" ht="12.75" customHeight="1" x14ac:dyDescent="0.2">
      <c r="A180" s="73" t="s">
        <v>330</v>
      </c>
      <c r="B180" s="75">
        <f>IF($M180&gt;0,('Amounts Pivot Table'!G$241/$M180),0)</f>
        <v>0</v>
      </c>
      <c r="C180" s="75">
        <f>IF($M180&gt;0,('Amounts Pivot Table'!G$244/$M180),0)</f>
        <v>0</v>
      </c>
      <c r="D180" s="75">
        <f>IF($M180&gt;0,('Amounts Pivot Table'!G$250/$M180),0)</f>
        <v>0</v>
      </c>
      <c r="E180" s="75">
        <f>SUM(B180:D180)</f>
        <v>0</v>
      </c>
      <c r="F180" s="116">
        <f t="shared" si="33"/>
        <v>0</v>
      </c>
      <c r="G180" s="107">
        <f t="shared" si="34"/>
        <v>0</v>
      </c>
      <c r="H180" s="107">
        <f t="shared" si="35"/>
        <v>0</v>
      </c>
      <c r="I180" s="107">
        <f t="shared" si="36"/>
        <v>0</v>
      </c>
      <c r="L180" s="168"/>
      <c r="M180" s="840">
        <f>+'[1]NEW-Tables 80-86'!F79</f>
        <v>0</v>
      </c>
      <c r="N180" s="73"/>
      <c r="O180" s="73"/>
      <c r="P180" s="73"/>
      <c r="Q180" s="73"/>
    </row>
    <row r="181" spans="1:17" s="61" customFormat="1" ht="12.75" customHeight="1" x14ac:dyDescent="0.2">
      <c r="A181" s="73" t="s">
        <v>333</v>
      </c>
      <c r="B181" s="75">
        <f>IF($M181&gt;0,('Amounts Pivot Table'!G$280/$M181),0)</f>
        <v>14295.616837633874</v>
      </c>
      <c r="C181" s="75">
        <f>IF($M181&gt;0,('Amounts Pivot Table'!G$283/$M181),0)</f>
        <v>0</v>
      </c>
      <c r="D181" s="75">
        <f>IF($M181&gt;0,('Amounts Pivot Table'!G$289/$M181),0)</f>
        <v>5459.8227439107059</v>
      </c>
      <c r="E181" s="75">
        <f>SUM(B181:D181)</f>
        <v>19755.439581544579</v>
      </c>
      <c r="F181" s="116">
        <f t="shared" si="33"/>
        <v>1</v>
      </c>
      <c r="G181" s="107">
        <f t="shared" si="34"/>
        <v>0</v>
      </c>
      <c r="H181" s="107">
        <f t="shared" si="35"/>
        <v>10</v>
      </c>
      <c r="I181" s="107">
        <f t="shared" si="36"/>
        <v>1</v>
      </c>
      <c r="L181" s="168"/>
      <c r="M181" s="840">
        <f>+'[1]NEW-Tables 80-86'!F80</f>
        <v>2950.5333333333333</v>
      </c>
      <c r="N181" s="73"/>
      <c r="O181" s="73"/>
      <c r="P181" s="73"/>
      <c r="Q181" s="73"/>
    </row>
    <row r="182" spans="1:17" s="61" customFormat="1" ht="9.75" customHeight="1" x14ac:dyDescent="0.2">
      <c r="A182" s="73"/>
      <c r="B182" s="75"/>
      <c r="C182" s="75"/>
      <c r="D182" s="75"/>
      <c r="E182" s="75"/>
      <c r="F182" s="116"/>
      <c r="G182" s="107"/>
      <c r="H182" s="107"/>
      <c r="I182" s="107"/>
      <c r="L182" s="168"/>
      <c r="M182" s="840"/>
      <c r="N182" s="73"/>
      <c r="O182" s="73"/>
      <c r="P182" s="73"/>
      <c r="Q182" s="73"/>
    </row>
    <row r="183" spans="1:17" s="61" customFormat="1" ht="12.75" customHeight="1" x14ac:dyDescent="0.2">
      <c r="A183" s="73" t="s">
        <v>323</v>
      </c>
      <c r="B183" s="75">
        <f>IF($M183&gt;0,('Amounts Pivot Table'!G$319/$M183),0)</f>
        <v>6179.9776998066627</v>
      </c>
      <c r="C183" s="75">
        <f>IF($M183&gt;0,('Amounts Pivot Table'!G$322/$M183),0)</f>
        <v>0</v>
      </c>
      <c r="D183" s="75">
        <f>IF($M183&gt;0,('Amounts Pivot Table'!G$328/$M183),0)</f>
        <v>7479.0441605204733</v>
      </c>
      <c r="E183" s="75">
        <f>SUM(B183:D183)</f>
        <v>13659.021860327135</v>
      </c>
      <c r="F183" s="116">
        <f t="shared" si="33"/>
        <v>3</v>
      </c>
      <c r="G183" s="107">
        <f t="shared" si="34"/>
        <v>0</v>
      </c>
      <c r="H183" s="107">
        <f t="shared" si="35"/>
        <v>3</v>
      </c>
      <c r="I183" s="107">
        <f t="shared" si="36"/>
        <v>5</v>
      </c>
      <c r="L183" s="168"/>
      <c r="M183" s="840">
        <f>+'[1]NEW-Tables 80-86'!F82</f>
        <v>2443.9250000000002</v>
      </c>
      <c r="N183" s="73"/>
      <c r="O183" s="73"/>
      <c r="P183" s="73"/>
      <c r="Q183" s="73"/>
    </row>
    <row r="184" spans="1:17" s="61" customFormat="1" ht="12.75" customHeight="1" x14ac:dyDescent="0.2">
      <c r="A184" s="73" t="s">
        <v>324</v>
      </c>
      <c r="B184" s="75">
        <f>IF($M184&gt;0,('Amounts Pivot Table'!G$358/$M184),0)</f>
        <v>10792.333398101922</v>
      </c>
      <c r="C184" s="75">
        <f>IF($M184&gt;0,('Amounts Pivot Table'!G$361/$M184),0)</f>
        <v>0</v>
      </c>
      <c r="D184" s="75">
        <f>IF($M184&gt;0,('Amounts Pivot Table'!G$367/$M184),0)</f>
        <v>4199.319501414454</v>
      </c>
      <c r="E184" s="75">
        <f>SUM(B184:D184)</f>
        <v>14991.652899516375</v>
      </c>
      <c r="F184" s="116">
        <f t="shared" si="33"/>
        <v>2</v>
      </c>
      <c r="G184" s="107">
        <f t="shared" si="34"/>
        <v>0</v>
      </c>
      <c r="H184" s="107">
        <f t="shared" si="35"/>
        <v>12</v>
      </c>
      <c r="I184" s="107">
        <f t="shared" si="36"/>
        <v>2</v>
      </c>
      <c r="L184" s="168"/>
      <c r="M184" s="840">
        <f>+'[1]NEW-Tables 80-86'!F83</f>
        <v>10893.483333333334</v>
      </c>
      <c r="N184" s="73"/>
      <c r="O184" s="73"/>
      <c r="P184" s="73"/>
      <c r="Q184" s="73"/>
    </row>
    <row r="185" spans="1:17" s="61" customFormat="1" ht="12.75" customHeight="1" x14ac:dyDescent="0.2">
      <c r="A185" s="73" t="s">
        <v>331</v>
      </c>
      <c r="B185" s="75">
        <f>IF($M185&gt;0,('Amounts Pivot Table'!G$397/$M185),0)</f>
        <v>5259.9094235173279</v>
      </c>
      <c r="C185" s="75">
        <f>IF($M185&gt;0,('Amounts Pivot Table'!G$400/$M185),0)</f>
        <v>0</v>
      </c>
      <c r="D185" s="75">
        <f>IF($M185&gt;0,('Amounts Pivot Table'!G$406/$M185),0)</f>
        <v>5783.3685596552887</v>
      </c>
      <c r="E185" s="75">
        <f>SUM(B185:D185)</f>
        <v>11043.277983172617</v>
      </c>
      <c r="F185" s="116">
        <f t="shared" si="33"/>
        <v>5</v>
      </c>
      <c r="G185" s="107">
        <f t="shared" si="34"/>
        <v>0</v>
      </c>
      <c r="H185" s="107">
        <f t="shared" si="35"/>
        <v>9</v>
      </c>
      <c r="I185" s="107">
        <f t="shared" si="36"/>
        <v>9</v>
      </c>
      <c r="L185" s="168"/>
      <c r="M185" s="840">
        <f>+'[1]NEW-Tables 80-86'!F84</f>
        <v>17353.658333333333</v>
      </c>
      <c r="N185" s="73"/>
      <c r="O185" s="73"/>
      <c r="P185" s="73"/>
      <c r="Q185" s="73"/>
    </row>
    <row r="186" spans="1:17" s="61" customFormat="1" ht="12.75" customHeight="1" x14ac:dyDescent="0.2">
      <c r="A186" s="73" t="s">
        <v>325</v>
      </c>
      <c r="B186" s="75">
        <f>IF($M186&gt;0,('Amounts Pivot Table'!G$436/$M186),0)</f>
        <v>2039.1676337816011</v>
      </c>
      <c r="C186" s="75">
        <f>IF($M186&gt;0,('Amounts Pivot Table'!G$439/$M186),0)</f>
        <v>480.56691093226726</v>
      </c>
      <c r="D186" s="75">
        <f>IF($M186&gt;0,('Amounts Pivot Table'!G$445/$M186),0)</f>
        <v>11993.661157664208</v>
      </c>
      <c r="E186" s="75">
        <f>SUM(B186:D186)</f>
        <v>14513.395702378077</v>
      </c>
      <c r="F186" s="116">
        <f t="shared" si="33"/>
        <v>12</v>
      </c>
      <c r="G186" s="107">
        <f t="shared" si="34"/>
        <v>2</v>
      </c>
      <c r="H186" s="107">
        <f t="shared" si="35"/>
        <v>1</v>
      </c>
      <c r="I186" s="107">
        <f t="shared" si="36"/>
        <v>3</v>
      </c>
      <c r="L186" s="168"/>
      <c r="M186" s="840">
        <f>+'[1]NEW-Tables 80-86'!F85</f>
        <v>15833.174999999999</v>
      </c>
      <c r="N186" s="73"/>
      <c r="O186" s="73"/>
      <c r="P186" s="73"/>
      <c r="Q186" s="73"/>
    </row>
    <row r="187" spans="1:17" s="61" customFormat="1" ht="9.75" customHeight="1" x14ac:dyDescent="0.2">
      <c r="A187" s="73"/>
      <c r="B187" s="75"/>
      <c r="C187" s="75"/>
      <c r="D187" s="75"/>
      <c r="E187" s="75"/>
      <c r="F187" s="116"/>
      <c r="G187" s="107"/>
      <c r="H187" s="107"/>
      <c r="I187" s="107"/>
      <c r="L187" s="168"/>
      <c r="M187" s="840"/>
      <c r="N187" s="73"/>
      <c r="O187" s="73"/>
      <c r="P187" s="73"/>
      <c r="Q187" s="73"/>
    </row>
    <row r="188" spans="1:17" s="61" customFormat="1" ht="12.75" customHeight="1" x14ac:dyDescent="0.2">
      <c r="A188" s="73" t="s">
        <v>90</v>
      </c>
      <c r="B188" s="75">
        <f>IF($M188&gt;0,('Amounts Pivot Table'!G$475/$M188),0)</f>
        <v>3892.0430903462197</v>
      </c>
      <c r="C188" s="75">
        <f>IF($M188&gt;0,('Amounts Pivot Table'!G$478/$M188),0)</f>
        <v>0</v>
      </c>
      <c r="D188" s="75">
        <f>IF($M188&gt;0,('Amounts Pivot Table'!G$484/$M188),0)</f>
        <v>7683.1350777883545</v>
      </c>
      <c r="E188" s="75">
        <f>SUM(B188:D188)</f>
        <v>11575.178168134575</v>
      </c>
      <c r="F188" s="116">
        <f t="shared" si="33"/>
        <v>10</v>
      </c>
      <c r="G188" s="107">
        <f t="shared" si="34"/>
        <v>0</v>
      </c>
      <c r="H188" s="107">
        <f t="shared" si="35"/>
        <v>2</v>
      </c>
      <c r="I188" s="107">
        <f t="shared" si="36"/>
        <v>8</v>
      </c>
      <c r="L188" s="168"/>
      <c r="M188" s="840">
        <f>+'[1]NEW-Tables 80-86'!F87</f>
        <v>6880.85</v>
      </c>
      <c r="N188" s="73"/>
      <c r="O188" s="73"/>
      <c r="P188" s="73"/>
      <c r="Q188" s="73"/>
    </row>
    <row r="189" spans="1:17" s="76" customFormat="1" ht="12.75" customHeight="1" x14ac:dyDescent="0.2">
      <c r="A189" s="73" t="s">
        <v>326</v>
      </c>
      <c r="B189" s="75">
        <f>IF($M189&gt;0,('Amounts Pivot Table'!G$514/$M189),0)</f>
        <v>4077.3140798171321</v>
      </c>
      <c r="C189" s="75">
        <f>IF($M189&gt;0,('Amounts Pivot Table'!G$517/$M189),0)</f>
        <v>0</v>
      </c>
      <c r="D189" s="75">
        <f>IF($M189&gt;0,('Amounts Pivot Table'!G$523/$M189),0)</f>
        <v>5841.2334451956895</v>
      </c>
      <c r="E189" s="75">
        <f>SUM(B189:D189)</f>
        <v>9918.547525012822</v>
      </c>
      <c r="F189" s="116">
        <f t="shared" si="33"/>
        <v>9</v>
      </c>
      <c r="G189" s="107">
        <f t="shared" si="34"/>
        <v>0</v>
      </c>
      <c r="H189" s="107">
        <f t="shared" si="35"/>
        <v>8</v>
      </c>
      <c r="I189" s="107">
        <f t="shared" si="36"/>
        <v>12</v>
      </c>
      <c r="J189" s="61"/>
      <c r="K189" s="61"/>
      <c r="L189" s="169"/>
      <c r="M189" s="840">
        <f>+'[1]NEW-Tables 80-86'!F88</f>
        <v>12803.433333333334</v>
      </c>
      <c r="N189" s="90"/>
      <c r="O189" s="90"/>
      <c r="P189" s="90"/>
      <c r="Q189" s="90"/>
    </row>
    <row r="190" spans="1:17" s="61" customFormat="1" ht="12.75" customHeight="1" x14ac:dyDescent="0.2">
      <c r="A190" s="73" t="s">
        <v>327</v>
      </c>
      <c r="B190" s="75">
        <f>IF($M190&gt;0,('Amounts Pivot Table'!G$553/$M190),0)</f>
        <v>4805.4564549532306</v>
      </c>
      <c r="C190" s="75">
        <f>IF($M190&gt;0,('Amounts Pivot Table'!G$556/$M190),0)</f>
        <v>0</v>
      </c>
      <c r="D190" s="75">
        <f>IF($M190&gt;0,('Amounts Pivot Table'!G$562/$M190),0)</f>
        <v>6852.2787903771978</v>
      </c>
      <c r="E190" s="75">
        <f>SUM(B190:D190)</f>
        <v>11657.735245330428</v>
      </c>
      <c r="F190" s="116">
        <f t="shared" si="33"/>
        <v>8</v>
      </c>
      <c r="G190" s="107">
        <f t="shared" si="34"/>
        <v>0</v>
      </c>
      <c r="H190" s="107">
        <f t="shared" si="35"/>
        <v>5</v>
      </c>
      <c r="I190" s="107">
        <f t="shared" si="36"/>
        <v>7</v>
      </c>
      <c r="J190" s="76"/>
      <c r="K190" s="76"/>
      <c r="L190" s="170"/>
      <c r="M190" s="840">
        <f>+'[1]NEW-Tables 80-86'!F89</f>
        <v>5094.1499999999996</v>
      </c>
      <c r="N190" s="73"/>
      <c r="O190" s="73"/>
      <c r="P190" s="73"/>
      <c r="Q190" s="73"/>
    </row>
    <row r="191" spans="1:17" s="61" customFormat="1" ht="15.75" customHeight="1" x14ac:dyDescent="0.2">
      <c r="A191" s="74" t="s">
        <v>332</v>
      </c>
      <c r="B191" s="104">
        <f>IF($M191&gt;0,('Amounts Pivot Table'!G$592/$M191),0)</f>
        <v>3409.4776292328324</v>
      </c>
      <c r="C191" s="104">
        <f>IF($M191&gt;0,('Amounts Pivot Table'!G$595/$M191),0)</f>
        <v>13.054645658840768</v>
      </c>
      <c r="D191" s="104">
        <f>IF($M191&gt;0,('Amounts Pivot Table'!G$601/$M191),0)</f>
        <v>6514.3331958969238</v>
      </c>
      <c r="E191" s="105">
        <f>SUM(B191:D191)</f>
        <v>9936.865470788598</v>
      </c>
      <c r="F191" s="117">
        <f t="shared" si="33"/>
        <v>11</v>
      </c>
      <c r="G191" s="118">
        <f t="shared" si="34"/>
        <v>4</v>
      </c>
      <c r="H191" s="118">
        <f t="shared" si="35"/>
        <v>7</v>
      </c>
      <c r="I191" s="118">
        <f t="shared" si="36"/>
        <v>11</v>
      </c>
      <c r="J191" s="76"/>
      <c r="K191" s="76"/>
      <c r="L191" s="171"/>
      <c r="M191" s="840">
        <f>+'[1]NEW-Tables 80-86'!F90</f>
        <v>7660.1083333333345</v>
      </c>
      <c r="N191" s="73"/>
      <c r="O191" s="73"/>
      <c r="P191" s="73"/>
      <c r="Q191" s="73"/>
    </row>
    <row r="192" spans="1:17" s="76" customFormat="1" ht="36.75" customHeight="1" x14ac:dyDescent="0.2">
      <c r="A192" s="1558" t="s">
        <v>17</v>
      </c>
      <c r="B192" s="1583"/>
      <c r="C192" s="1583"/>
      <c r="D192" s="1583"/>
      <c r="E192" s="1583"/>
      <c r="F192" s="1583"/>
      <c r="G192" s="1584"/>
      <c r="H192" s="1584"/>
      <c r="I192" s="1584"/>
      <c r="L192" s="169"/>
      <c r="M192" s="300"/>
      <c r="N192" s="90"/>
      <c r="O192" s="90"/>
      <c r="P192" s="90"/>
      <c r="Q192" s="90"/>
    </row>
    <row r="193" spans="1:17" s="76" customFormat="1" ht="18" x14ac:dyDescent="0.2">
      <c r="A193" s="1558" t="s">
        <v>54</v>
      </c>
      <c r="B193" s="1586"/>
      <c r="C193" s="1586"/>
      <c r="D193" s="1586"/>
      <c r="E193" s="1586"/>
      <c r="F193" s="1586"/>
      <c r="G193" s="1586"/>
      <c r="H193" s="1586"/>
      <c r="I193" s="1586"/>
      <c r="J193" s="106"/>
      <c r="L193" s="169"/>
      <c r="M193" s="296"/>
      <c r="N193" s="90"/>
      <c r="O193" s="90"/>
      <c r="P193" s="90"/>
      <c r="Q193" s="90"/>
    </row>
    <row r="194" spans="1:17" s="61" customFormat="1" x14ac:dyDescent="0.2">
      <c r="A194" s="1558" t="s">
        <v>233</v>
      </c>
      <c r="B194" s="1583"/>
      <c r="C194" s="1583"/>
      <c r="D194" s="1583"/>
      <c r="E194" s="1583"/>
      <c r="F194" s="1583"/>
      <c r="G194" s="1584"/>
      <c r="H194" s="1584"/>
      <c r="I194" s="1584"/>
      <c r="J194" s="1584"/>
      <c r="K194" s="1584"/>
      <c r="L194" s="171"/>
      <c r="M194" s="296"/>
      <c r="N194" s="73"/>
      <c r="O194" s="73"/>
      <c r="P194" s="73"/>
      <c r="Q194" s="73"/>
    </row>
    <row r="195" spans="1:17" s="61" customFormat="1" x14ac:dyDescent="0.2">
      <c r="A195" s="187"/>
      <c r="B195" s="106"/>
      <c r="C195" s="106"/>
      <c r="D195" s="106"/>
      <c r="E195" s="106"/>
      <c r="F195" s="106"/>
      <c r="G195" s="188"/>
      <c r="H195" s="188"/>
      <c r="I195" s="188"/>
      <c r="J195" s="188"/>
      <c r="K195" s="188"/>
      <c r="L195" s="171"/>
      <c r="M195" s="296"/>
      <c r="N195" s="73"/>
      <c r="O195" s="73"/>
      <c r="P195" s="73"/>
      <c r="Q195" s="73"/>
    </row>
    <row r="196" spans="1:17" s="61" customFormat="1" x14ac:dyDescent="0.2">
      <c r="A196" s="187"/>
      <c r="B196" s="106"/>
      <c r="C196" s="106"/>
      <c r="D196" s="106"/>
      <c r="E196" s="106"/>
      <c r="F196" s="106"/>
      <c r="G196" s="188"/>
      <c r="H196" s="188"/>
      <c r="I196" s="535" t="s">
        <v>1898</v>
      </c>
      <c r="J196" s="188"/>
      <c r="K196" s="188"/>
      <c r="L196" s="171"/>
      <c r="M196" s="296"/>
      <c r="N196" s="73"/>
      <c r="O196" s="73"/>
      <c r="P196" s="73"/>
      <c r="Q196" s="73"/>
    </row>
    <row r="197" spans="1:17" s="61" customFormat="1" ht="18" x14ac:dyDescent="0.2">
      <c r="A197" s="135" t="s">
        <v>364</v>
      </c>
      <c r="B197" s="135"/>
      <c r="C197" s="135"/>
      <c r="D197" s="135"/>
      <c r="E197" s="135"/>
      <c r="F197" s="135"/>
      <c r="G197" s="135"/>
      <c r="H197" s="135"/>
      <c r="I197" s="135"/>
      <c r="J197" s="566" t="s">
        <v>91</v>
      </c>
      <c r="K197" s="101"/>
      <c r="L197" s="170"/>
      <c r="M197" s="296"/>
      <c r="N197" s="73"/>
      <c r="O197" s="73"/>
      <c r="P197" s="73"/>
      <c r="Q197" s="73"/>
    </row>
    <row r="198" spans="1:17" s="61" customFormat="1" ht="12" customHeight="1" x14ac:dyDescent="0.2">
      <c r="A198" s="135"/>
      <c r="B198" s="135"/>
      <c r="C198" s="135"/>
      <c r="D198" s="135"/>
      <c r="E198" s="135"/>
      <c r="F198" s="135"/>
      <c r="G198" s="135"/>
      <c r="H198" s="135"/>
      <c r="I198" s="135"/>
      <c r="J198" s="566"/>
      <c r="K198" s="101"/>
      <c r="L198" s="170"/>
      <c r="M198" s="296"/>
      <c r="N198" s="73"/>
      <c r="O198" s="73"/>
      <c r="P198" s="73"/>
      <c r="Q198" s="73"/>
    </row>
    <row r="199" spans="1:17" s="61" customFormat="1" ht="18.75" x14ac:dyDescent="0.2">
      <c r="A199" s="1557" t="s">
        <v>18</v>
      </c>
      <c r="B199" s="1557"/>
      <c r="C199" s="1557"/>
      <c r="D199" s="1557"/>
      <c r="E199" s="1557"/>
      <c r="F199" s="1557"/>
      <c r="G199" s="1557"/>
      <c r="H199" s="1557"/>
      <c r="I199" s="1557"/>
      <c r="J199" s="101"/>
      <c r="K199" s="101"/>
      <c r="L199" s="165"/>
      <c r="M199" s="296"/>
      <c r="N199" s="73"/>
      <c r="O199" s="73"/>
      <c r="P199" s="73"/>
      <c r="Q199" s="73"/>
    </row>
    <row r="200" spans="1:17" s="61" customFormat="1" ht="15.75" x14ac:dyDescent="0.2">
      <c r="A200" s="1557" t="s">
        <v>1907</v>
      </c>
      <c r="B200" s="1557"/>
      <c r="C200" s="1557"/>
      <c r="D200" s="1557"/>
      <c r="E200" s="1557"/>
      <c r="F200" s="1557"/>
      <c r="G200" s="1557"/>
      <c r="H200" s="1557"/>
      <c r="I200" s="1557"/>
      <c r="J200" s="91"/>
      <c r="K200" s="91"/>
      <c r="L200" s="165"/>
      <c r="M200" s="296"/>
      <c r="N200" s="73"/>
      <c r="O200" s="73"/>
      <c r="P200" s="73"/>
      <c r="Q200" s="73"/>
    </row>
    <row r="201" spans="1:17" s="61" customFormat="1" ht="15.75" customHeight="1" x14ac:dyDescent="0.15">
      <c r="A201" s="91"/>
      <c r="B201" s="91"/>
      <c r="C201" s="91"/>
      <c r="D201" s="91"/>
      <c r="E201" s="91"/>
      <c r="F201" s="91"/>
      <c r="G201" s="108"/>
      <c r="H201" s="91"/>
      <c r="I201" s="91"/>
      <c r="J201" s="91"/>
      <c r="K201" s="91"/>
      <c r="L201" s="165"/>
      <c r="M201" s="299"/>
      <c r="N201" s="73"/>
      <c r="O201" s="73"/>
      <c r="P201" s="73"/>
      <c r="Q201" s="73"/>
    </row>
    <row r="202" spans="1:17" s="61" customFormat="1" ht="15.75" x14ac:dyDescent="0.2">
      <c r="A202" s="60"/>
      <c r="B202" s="567" t="s">
        <v>55</v>
      </c>
      <c r="C202" s="568"/>
      <c r="D202" s="568"/>
      <c r="E202" s="568"/>
      <c r="F202" s="569" t="s">
        <v>119</v>
      </c>
      <c r="G202" s="570"/>
      <c r="H202" s="570"/>
      <c r="I202" s="570"/>
      <c r="L202" s="173"/>
      <c r="M202" s="298"/>
      <c r="N202" s="73"/>
      <c r="O202" s="73"/>
      <c r="P202" s="73"/>
      <c r="Q202" s="73"/>
    </row>
    <row r="203" spans="1:17" s="6" customFormat="1" ht="48" x14ac:dyDescent="0.2">
      <c r="A203" s="50"/>
      <c r="B203" s="550" t="s">
        <v>87</v>
      </c>
      <c r="C203" s="551" t="s">
        <v>89</v>
      </c>
      <c r="D203" s="551" t="s">
        <v>398</v>
      </c>
      <c r="E203" s="551" t="s">
        <v>97</v>
      </c>
      <c r="F203" s="552" t="s">
        <v>87</v>
      </c>
      <c r="G203" s="551" t="s">
        <v>89</v>
      </c>
      <c r="H203" s="551" t="s">
        <v>398</v>
      </c>
      <c r="I203" s="551" t="s">
        <v>97</v>
      </c>
      <c r="L203" s="167"/>
      <c r="M203" s="297" t="s">
        <v>260</v>
      </c>
      <c r="N203" s="7"/>
      <c r="O203" s="7"/>
      <c r="P203" s="7"/>
      <c r="Q203" s="7"/>
    </row>
    <row r="204" spans="1:17" s="61" customFormat="1" ht="14.25" x14ac:dyDescent="0.2">
      <c r="A204" s="73" t="s">
        <v>56</v>
      </c>
      <c r="B204" s="102">
        <f>IF($M204&gt;0,('Amounts Pivot Table'!H$631/$M204),0)</f>
        <v>5362.4291641715872</v>
      </c>
      <c r="C204" s="102">
        <f>IF($M204&gt;0,('Amounts Pivot Table'!H$634/$M204),0)</f>
        <v>125.04807409904105</v>
      </c>
      <c r="D204" s="102">
        <f>IF($M204&gt;0,('Amounts Pivot Table'!H$640/$M204),0)</f>
        <v>6359.7060923855597</v>
      </c>
      <c r="E204" s="102">
        <f>SUM(B204:D204)</f>
        <v>11847.183330656188</v>
      </c>
      <c r="F204" s="114"/>
      <c r="G204" s="115"/>
      <c r="H204" s="115"/>
      <c r="I204" s="115"/>
      <c r="L204" s="168"/>
      <c r="M204" s="840">
        <f>+'[1]NEW-Tables 80-86'!G70</f>
        <v>73118.89499999999</v>
      </c>
      <c r="N204" s="73"/>
      <c r="O204" s="73"/>
      <c r="P204" s="73"/>
      <c r="Q204" s="73"/>
    </row>
    <row r="205" spans="1:17" s="112" customFormat="1" x14ac:dyDescent="0.2">
      <c r="A205" s="110"/>
      <c r="B205" s="111"/>
      <c r="C205" s="111"/>
      <c r="D205" s="111"/>
      <c r="E205" s="111"/>
      <c r="F205" s="119"/>
      <c r="G205" s="120"/>
      <c r="H205" s="120"/>
      <c r="I205" s="120"/>
      <c r="L205" s="175"/>
      <c r="M205" s="840"/>
      <c r="N205" s="110"/>
      <c r="O205" s="110"/>
      <c r="P205" s="110"/>
      <c r="Q205" s="110"/>
    </row>
    <row r="206" spans="1:17" s="61" customFormat="1" ht="12.75" customHeight="1" x14ac:dyDescent="0.2">
      <c r="A206" s="73" t="s">
        <v>320</v>
      </c>
      <c r="B206" s="75">
        <f>IF($M206&gt;0,('Amounts Pivot Table'!H$7/$M206),0)</f>
        <v>4238.6253433505999</v>
      </c>
      <c r="C206" s="75">
        <f>IF($M206&gt;0,('Amounts Pivot Table'!H$10/$M206),0)</f>
        <v>80.703006434296185</v>
      </c>
      <c r="D206" s="75">
        <f>IF($M206&gt;0,('Amounts Pivot Table'!H$16/$M206),0)</f>
        <v>6396.2228298360696</v>
      </c>
      <c r="E206" s="75">
        <f>SUM(B206:D206)</f>
        <v>10715.551179620965</v>
      </c>
      <c r="F206" s="116">
        <f>IF(B206&gt;0,RANK(B206,$B$206:$B$224),)</f>
        <v>10</v>
      </c>
      <c r="G206" s="107">
        <f>IF(C206&gt;0,RANK(C206,$C$206:$C$224),)</f>
        <v>3</v>
      </c>
      <c r="H206" s="107">
        <f>IF(D206&gt;0,RANK(D206,$D$206:$D$224),)</f>
        <v>6</v>
      </c>
      <c r="I206" s="107">
        <f>IF(E206&gt;0,RANK(E206,$E$206:$E$224),)</f>
        <v>10</v>
      </c>
      <c r="L206" s="168"/>
      <c r="M206" s="840">
        <f>+'[1]NEW-Tables 80-86'!G72</f>
        <v>2657.6333333333332</v>
      </c>
      <c r="N206" s="73"/>
      <c r="O206" s="73"/>
      <c r="P206" s="73"/>
      <c r="Q206" s="73"/>
    </row>
    <row r="207" spans="1:17" s="61" customFormat="1" ht="12.75" customHeight="1" x14ac:dyDescent="0.2">
      <c r="A207" s="73" t="s">
        <v>334</v>
      </c>
      <c r="B207" s="75">
        <f>IF($M207&gt;0,('Amounts Pivot Table'!H$46/$M207),0)</f>
        <v>5923.7278412215055</v>
      </c>
      <c r="C207" s="75">
        <f>IF($M207&gt;0,('Amounts Pivot Table'!H$49/$M207),0)</f>
        <v>0</v>
      </c>
      <c r="D207" s="75">
        <f>IF($M207&gt;0,('Amounts Pivot Table'!H$55/$M207),0)</f>
        <v>5500.7983264268496</v>
      </c>
      <c r="E207" s="75">
        <f>SUM(B207:D207)</f>
        <v>11424.526167648355</v>
      </c>
      <c r="F207" s="116">
        <f>IF(B207&gt;0,RANK(B207,$B$206:$B$224),)</f>
        <v>6</v>
      </c>
      <c r="G207" s="107">
        <f t="shared" ref="G207:G224" si="37">IF(C207&gt;0,RANK(C207,$C$206:$C$224),)</f>
        <v>0</v>
      </c>
      <c r="H207" s="107">
        <f t="shared" ref="H207:H224" si="38">IF(D207&gt;0,RANK(D207,$D$206:$D$224),)</f>
        <v>9</v>
      </c>
      <c r="I207" s="107">
        <f t="shared" ref="I207:I224" si="39">IF(E207&gt;0,RANK(E207,$E$206:$E$224),)</f>
        <v>7</v>
      </c>
      <c r="L207" s="168"/>
      <c r="M207" s="840">
        <f>+'[1]NEW-Tables 80-86'!G73</f>
        <v>8532.6416666666664</v>
      </c>
      <c r="N207" s="73"/>
      <c r="O207" s="73"/>
      <c r="P207" s="73"/>
      <c r="Q207" s="73"/>
    </row>
    <row r="208" spans="1:17" s="61" customFormat="1" ht="12.75" customHeight="1" x14ac:dyDescent="0.2">
      <c r="A208" s="73" t="s">
        <v>321</v>
      </c>
      <c r="B208" s="75">
        <f>IF($M208&gt;0,('Amounts Pivot Table'!H$85/$M208),0)</f>
        <v>0</v>
      </c>
      <c r="C208" s="75">
        <f>IF($M208&gt;0,('Amounts Pivot Table'!H$88/$M208),0)</f>
        <v>0</v>
      </c>
      <c r="D208" s="75">
        <f>IF($M208&gt;0,('Amounts Pivot Table'!H$94/$M208),0)</f>
        <v>0</v>
      </c>
      <c r="E208" s="75">
        <f>SUM(B208:D208)</f>
        <v>0</v>
      </c>
      <c r="F208" s="116">
        <f>IF(B208&gt;0,RANK(B208,$B$206:$B$224),)</f>
        <v>0</v>
      </c>
      <c r="G208" s="107">
        <f t="shared" si="37"/>
        <v>0</v>
      </c>
      <c r="H208" s="107">
        <f t="shared" si="38"/>
        <v>0</v>
      </c>
      <c r="I208" s="107">
        <f t="shared" si="39"/>
        <v>0</v>
      </c>
      <c r="L208" s="168"/>
      <c r="M208" s="840">
        <f>+'[1]NEW-Tables 80-86'!G74</f>
        <v>0</v>
      </c>
      <c r="N208" s="73"/>
      <c r="O208" s="73"/>
      <c r="P208" s="73"/>
      <c r="Q208" s="73"/>
    </row>
    <row r="209" spans="1:17" s="61" customFormat="1" ht="12.75" customHeight="1" x14ac:dyDescent="0.2">
      <c r="A209" s="73" t="s">
        <v>328</v>
      </c>
      <c r="B209" s="75">
        <f>IF($M209&gt;0,('Amounts Pivot Table'!H$124/$M209),0)</f>
        <v>18093.292261132727</v>
      </c>
      <c r="C209" s="75">
        <f>IF($M209&gt;0,('Amounts Pivot Table'!H$127/$M209),0)</f>
        <v>529.75140510159963</v>
      </c>
      <c r="D209" s="75">
        <f>IF($M209&gt;0,('Amounts Pivot Table'!H$133/$M209),0)</f>
        <v>6655.7695633376561</v>
      </c>
      <c r="E209" s="75">
        <f>SUM(B209:D209)</f>
        <v>25278.813229571984</v>
      </c>
      <c r="F209" s="116">
        <f>IF(B209&gt;0,RANK(B209,$B$206:$B$224),)</f>
        <v>1</v>
      </c>
      <c r="G209" s="107">
        <f t="shared" si="37"/>
        <v>2</v>
      </c>
      <c r="H209" s="107">
        <f t="shared" si="38"/>
        <v>5</v>
      </c>
      <c r="I209" s="107">
        <f t="shared" si="39"/>
        <v>1</v>
      </c>
      <c r="L209" s="168"/>
      <c r="M209" s="840">
        <f>+'[1]NEW-Tables 80-86'!G75</f>
        <v>925.2</v>
      </c>
      <c r="N209" s="73"/>
      <c r="O209" s="73"/>
      <c r="P209" s="73"/>
      <c r="Q209" s="73"/>
    </row>
    <row r="210" spans="1:17" s="112" customFormat="1" x14ac:dyDescent="0.2">
      <c r="A210" s="110"/>
      <c r="B210" s="111"/>
      <c r="C210" s="111"/>
      <c r="D210" s="111"/>
      <c r="E210" s="111"/>
      <c r="F210" s="119"/>
      <c r="G210" s="120"/>
      <c r="H210" s="120"/>
      <c r="I210" s="120"/>
      <c r="L210" s="175"/>
      <c r="M210" s="840"/>
      <c r="N210" s="110"/>
      <c r="O210" s="110"/>
      <c r="P210" s="110"/>
      <c r="Q210" s="110"/>
    </row>
    <row r="211" spans="1:17" s="61" customFormat="1" ht="12.75" customHeight="1" x14ac:dyDescent="0.2">
      <c r="A211" s="73" t="s">
        <v>329</v>
      </c>
      <c r="B211" s="75">
        <f>IF($M211&gt;0,('Amounts Pivot Table'!H$163/$M211),0)</f>
        <v>4738.2279901826523</v>
      </c>
      <c r="C211" s="75">
        <f>IF($M211&gt;0,('Amounts Pivot Table'!H$166/$M211),0)</f>
        <v>0</v>
      </c>
      <c r="D211" s="75">
        <f>IF($M211&gt;0,('Amounts Pivot Table'!H$172/$M211),0)</f>
        <v>3953.3402613304979</v>
      </c>
      <c r="E211" s="75">
        <f>SUM(B211:D211)</f>
        <v>8691.5682515131502</v>
      </c>
      <c r="F211" s="116">
        <f t="shared" ref="F211:F224" si="40">IF(B211&gt;0,RANK(B211,$B$206:$B$224),)</f>
        <v>8</v>
      </c>
      <c r="G211" s="107">
        <f t="shared" si="37"/>
        <v>0</v>
      </c>
      <c r="H211" s="107">
        <f t="shared" si="38"/>
        <v>12</v>
      </c>
      <c r="I211" s="107">
        <f t="shared" si="39"/>
        <v>12</v>
      </c>
      <c r="L211" s="168"/>
      <c r="M211" s="840">
        <f>+'[1]NEW-Tables 80-86'!G77</f>
        <v>18620.099999999999</v>
      </c>
      <c r="N211" s="73"/>
      <c r="O211" s="73"/>
      <c r="P211" s="73"/>
      <c r="Q211" s="73"/>
    </row>
    <row r="212" spans="1:17" s="61" customFormat="1" ht="12.75" customHeight="1" x14ac:dyDescent="0.2">
      <c r="A212" s="73" t="s">
        <v>322</v>
      </c>
      <c r="B212" s="75">
        <f>IF($M212&gt;0,('Amounts Pivot Table'!H$202/$M212),0)</f>
        <v>0</v>
      </c>
      <c r="C212" s="75">
        <f>IF($M212&gt;0,('Amounts Pivot Table'!H$205/$M212),0)</f>
        <v>0</v>
      </c>
      <c r="D212" s="75">
        <f>IF($M212&gt;0,('Amounts Pivot Table'!H$211/$M212),0)</f>
        <v>0</v>
      </c>
      <c r="E212" s="75">
        <f>SUM(B212:D212)</f>
        <v>0</v>
      </c>
      <c r="F212" s="116">
        <f t="shared" si="40"/>
        <v>0</v>
      </c>
      <c r="G212" s="107">
        <f t="shared" si="37"/>
        <v>0</v>
      </c>
      <c r="H212" s="107">
        <f t="shared" si="38"/>
        <v>0</v>
      </c>
      <c r="I212" s="107">
        <f t="shared" si="39"/>
        <v>0</v>
      </c>
      <c r="L212" s="168"/>
      <c r="M212" s="840">
        <f>+'[1]NEW-Tables 80-86'!G78</f>
        <v>0</v>
      </c>
      <c r="N212" s="73"/>
      <c r="O212" s="73"/>
      <c r="P212" s="73"/>
      <c r="Q212" s="73"/>
    </row>
    <row r="213" spans="1:17" s="61" customFormat="1" ht="12.75" customHeight="1" x14ac:dyDescent="0.2">
      <c r="A213" s="73" t="s">
        <v>330</v>
      </c>
      <c r="B213" s="75">
        <f>IF($M213&gt;0,('Amounts Pivot Table'!H$241/$M213),0)</f>
        <v>3365.5280967381364</v>
      </c>
      <c r="C213" s="75">
        <f>IF($M213&gt;0,('Amounts Pivot Table'!H$244/$M213),0)</f>
        <v>0</v>
      </c>
      <c r="D213" s="75">
        <f>IF($M213&gt;0,('Amounts Pivot Table'!H$250/$M213),0)</f>
        <v>5998.4440605629507</v>
      </c>
      <c r="E213" s="75">
        <f>SUM(B213:D213)</f>
        <v>9363.9721573010866</v>
      </c>
      <c r="F213" s="116">
        <f t="shared" si="40"/>
        <v>11</v>
      </c>
      <c r="G213" s="107">
        <f t="shared" si="37"/>
        <v>0</v>
      </c>
      <c r="H213" s="107">
        <f t="shared" si="38"/>
        <v>7</v>
      </c>
      <c r="I213" s="107">
        <f t="shared" si="39"/>
        <v>11</v>
      </c>
      <c r="L213" s="168"/>
      <c r="M213" s="840">
        <f>+'[1]NEW-Tables 80-86'!G79</f>
        <v>1640.1666666666667</v>
      </c>
      <c r="N213" s="73"/>
      <c r="O213" s="73"/>
      <c r="P213" s="73"/>
      <c r="Q213" s="73"/>
    </row>
    <row r="214" spans="1:17" s="61" customFormat="1" ht="12.75" customHeight="1" x14ac:dyDescent="0.2">
      <c r="A214" s="73" t="s">
        <v>333</v>
      </c>
      <c r="B214" s="75">
        <f>IF($M214&gt;0,('Amounts Pivot Table'!H$280/$M214),0)</f>
        <v>10343.724222731189</v>
      </c>
      <c r="C214" s="75">
        <f>IF($M214&gt;0,('Amounts Pivot Table'!H$283/$M214),0)</f>
        <v>0</v>
      </c>
      <c r="D214" s="75">
        <f>IF($M214&gt;0,('Amounts Pivot Table'!H$289/$M214),0)</f>
        <v>14322.932514753064</v>
      </c>
      <c r="E214" s="75">
        <f>SUM(B214:D214)</f>
        <v>24666.656737484253</v>
      </c>
      <c r="F214" s="116">
        <f t="shared" si="40"/>
        <v>3</v>
      </c>
      <c r="G214" s="107">
        <f t="shared" si="37"/>
        <v>0</v>
      </c>
      <c r="H214" s="107">
        <f t="shared" si="38"/>
        <v>1</v>
      </c>
      <c r="I214" s="107">
        <f t="shared" si="39"/>
        <v>2</v>
      </c>
      <c r="L214" s="168"/>
      <c r="M214" s="840">
        <f>+'[1]NEW-Tables 80-86'!G80</f>
        <v>1924.7416666666666</v>
      </c>
      <c r="N214" s="73"/>
      <c r="O214" s="73"/>
      <c r="P214" s="73"/>
      <c r="Q214" s="73"/>
    </row>
    <row r="215" spans="1:17" s="112" customFormat="1" x14ac:dyDescent="0.2">
      <c r="A215" s="110"/>
      <c r="B215" s="111"/>
      <c r="C215" s="111"/>
      <c r="D215" s="111"/>
      <c r="E215" s="111"/>
      <c r="F215" s="119"/>
      <c r="G215" s="120"/>
      <c r="H215" s="120"/>
      <c r="I215" s="120"/>
      <c r="L215" s="175"/>
      <c r="M215" s="840"/>
      <c r="N215" s="110"/>
      <c r="O215" s="110"/>
      <c r="P215" s="110"/>
      <c r="Q215" s="110"/>
    </row>
    <row r="216" spans="1:17" s="61" customFormat="1" ht="12.75" customHeight="1" x14ac:dyDescent="0.2">
      <c r="A216" s="73" t="s">
        <v>323</v>
      </c>
      <c r="B216" s="75">
        <f>IF($M216&gt;0,('Amounts Pivot Table'!H$319/$M216),0)</f>
        <v>0</v>
      </c>
      <c r="C216" s="75">
        <f>IF($M216&gt;0,('Amounts Pivot Table'!H$322/$M216),0)</f>
        <v>0</v>
      </c>
      <c r="D216" s="75">
        <f>IF($M216&gt;0,('Amounts Pivot Table'!H$328/$M216),0)</f>
        <v>0</v>
      </c>
      <c r="E216" s="75">
        <f>SUM(B216:D216)</f>
        <v>0</v>
      </c>
      <c r="F216" s="116">
        <f t="shared" si="40"/>
        <v>0</v>
      </c>
      <c r="G216" s="107">
        <f t="shared" si="37"/>
        <v>0</v>
      </c>
      <c r="H216" s="107">
        <f t="shared" si="38"/>
        <v>0</v>
      </c>
      <c r="I216" s="107">
        <f t="shared" si="39"/>
        <v>0</v>
      </c>
      <c r="L216" s="168"/>
      <c r="M216" s="840">
        <f>+'[1]NEW-Tables 80-86'!G82</f>
        <v>0</v>
      </c>
      <c r="N216" s="73"/>
      <c r="O216" s="73"/>
      <c r="P216" s="73"/>
      <c r="Q216" s="73"/>
    </row>
    <row r="217" spans="1:17" s="61" customFormat="1" ht="12.75" customHeight="1" x14ac:dyDescent="0.2">
      <c r="A217" s="73" t="s">
        <v>324</v>
      </c>
      <c r="B217" s="75">
        <f>IF($M217&gt;0,('Amounts Pivot Table'!H$358/$M217),0)</f>
        <v>11872.900969949822</v>
      </c>
      <c r="C217" s="75">
        <f>IF($M217&gt;0,('Amounts Pivot Table'!H$361/$M217),0)</f>
        <v>0</v>
      </c>
      <c r="D217" s="75">
        <f>IF($M217&gt;0,('Amounts Pivot Table'!H$367/$M217),0)</f>
        <v>4632.801893165316</v>
      </c>
      <c r="E217" s="75">
        <f>SUM(B217:D217)</f>
        <v>16505.702863115137</v>
      </c>
      <c r="F217" s="116">
        <f t="shared" si="40"/>
        <v>2</v>
      </c>
      <c r="G217" s="107">
        <f t="shared" si="37"/>
        <v>0</v>
      </c>
      <c r="H217" s="107">
        <f t="shared" si="38"/>
        <v>10</v>
      </c>
      <c r="I217" s="107">
        <f t="shared" si="39"/>
        <v>3</v>
      </c>
      <c r="L217" s="168"/>
      <c r="M217" s="840">
        <f>+'[1]NEW-Tables 80-86'!G83</f>
        <v>5884.3250000000007</v>
      </c>
      <c r="N217" s="73"/>
      <c r="O217" s="73"/>
      <c r="P217" s="73"/>
      <c r="Q217" s="73"/>
    </row>
    <row r="218" spans="1:17" s="61" customFormat="1" ht="12.75" customHeight="1" x14ac:dyDescent="0.2">
      <c r="A218" s="73" t="s">
        <v>331</v>
      </c>
      <c r="B218" s="75">
        <f>IF($M218&gt;0,('Amounts Pivot Table'!H$397/$M218),0)</f>
        <v>5294.7913545901984</v>
      </c>
      <c r="C218" s="75">
        <f>IF($M218&gt;0,('Amounts Pivot Table'!H$400/$M218),0)</f>
        <v>0</v>
      </c>
      <c r="D218" s="75">
        <f>IF($M218&gt;0,('Amounts Pivot Table'!H$406/$M218),0)</f>
        <v>5876.2570389165721</v>
      </c>
      <c r="E218" s="75">
        <f>SUM(B218:D218)</f>
        <v>11171.048393506771</v>
      </c>
      <c r="F218" s="116">
        <f t="shared" si="40"/>
        <v>7</v>
      </c>
      <c r="G218" s="107">
        <f t="shared" si="37"/>
        <v>0</v>
      </c>
      <c r="H218" s="107">
        <f t="shared" si="38"/>
        <v>8</v>
      </c>
      <c r="I218" s="107">
        <f t="shared" si="39"/>
        <v>9</v>
      </c>
      <c r="L218" s="168"/>
      <c r="M218" s="840">
        <f>+'[1]NEW-Tables 80-86'!G84</f>
        <v>5451.8333333333339</v>
      </c>
      <c r="N218" s="73"/>
      <c r="O218" s="73"/>
      <c r="P218" s="73"/>
      <c r="Q218" s="73"/>
    </row>
    <row r="219" spans="1:17" s="61" customFormat="1" ht="12.75" customHeight="1" x14ac:dyDescent="0.2">
      <c r="A219" s="73" t="s">
        <v>325</v>
      </c>
      <c r="B219" s="75">
        <f>IF($M219&gt;0,('Amounts Pivot Table'!H$436/$M219),0)</f>
        <v>1822.5559521538921</v>
      </c>
      <c r="C219" s="75">
        <f>IF($M219&gt;0,('Amounts Pivot Table'!H$439/$M219),0)</f>
        <v>632.57992970218788</v>
      </c>
      <c r="D219" s="75">
        <f>IF($M219&gt;0,('Amounts Pivot Table'!H$445/$M219),0)</f>
        <v>9979.7820495354335</v>
      </c>
      <c r="E219" s="75">
        <f>SUM(B219:D219)</f>
        <v>12434.917931391514</v>
      </c>
      <c r="F219" s="116">
        <f t="shared" si="40"/>
        <v>12</v>
      </c>
      <c r="G219" s="107">
        <f t="shared" si="37"/>
        <v>1</v>
      </c>
      <c r="H219" s="107">
        <f t="shared" si="38"/>
        <v>2</v>
      </c>
      <c r="I219" s="107">
        <f t="shared" si="39"/>
        <v>5</v>
      </c>
      <c r="L219" s="168"/>
      <c r="M219" s="840">
        <f>+'[1]NEW-Tables 80-86'!G85</f>
        <v>12233.666666666668</v>
      </c>
      <c r="N219" s="73"/>
      <c r="O219" s="73"/>
      <c r="P219" s="73"/>
      <c r="Q219" s="73"/>
    </row>
    <row r="220" spans="1:17" s="112" customFormat="1" x14ac:dyDescent="0.2">
      <c r="A220" s="110"/>
      <c r="B220" s="111"/>
      <c r="C220" s="111"/>
      <c r="D220" s="111"/>
      <c r="E220" s="111"/>
      <c r="F220" s="119"/>
      <c r="G220" s="120"/>
      <c r="H220" s="120"/>
      <c r="I220" s="120"/>
      <c r="L220" s="175"/>
      <c r="M220" s="840"/>
      <c r="N220" s="110"/>
      <c r="O220" s="110"/>
      <c r="P220" s="110"/>
      <c r="Q220" s="110"/>
    </row>
    <row r="221" spans="1:17" s="61" customFormat="1" ht="12.75" customHeight="1" x14ac:dyDescent="0.2">
      <c r="A221" s="73" t="s">
        <v>90</v>
      </c>
      <c r="B221" s="75">
        <f>IF($M221&gt;0,('Amounts Pivot Table'!H$475/$M221),0)</f>
        <v>0</v>
      </c>
      <c r="C221" s="75">
        <f>IF($M221&gt;0,('Amounts Pivot Table'!H$478/$M221),0)</f>
        <v>0</v>
      </c>
      <c r="D221" s="75">
        <f>IF($M221&gt;0,('Amounts Pivot Table'!H$484/$M221),0)</f>
        <v>0</v>
      </c>
      <c r="E221" s="75">
        <f>SUM(B221:D221)</f>
        <v>0</v>
      </c>
      <c r="F221" s="116">
        <f t="shared" si="40"/>
        <v>0</v>
      </c>
      <c r="G221" s="107">
        <f t="shared" si="37"/>
        <v>0</v>
      </c>
      <c r="H221" s="107">
        <f t="shared" si="38"/>
        <v>0</v>
      </c>
      <c r="I221" s="107">
        <f t="shared" si="39"/>
        <v>0</v>
      </c>
      <c r="L221" s="168"/>
      <c r="M221" s="840">
        <f>+'[1]NEW-Tables 80-86'!G87</f>
        <v>0</v>
      </c>
      <c r="N221" s="73"/>
      <c r="O221" s="73"/>
      <c r="P221" s="73"/>
      <c r="Q221" s="73"/>
    </row>
    <row r="222" spans="1:17" s="76" customFormat="1" ht="12.75" customHeight="1" x14ac:dyDescent="0.2">
      <c r="A222" s="73" t="s">
        <v>326</v>
      </c>
      <c r="B222" s="75">
        <f>IF($M222&gt;0,('Amounts Pivot Table'!H$514/$M222),0)</f>
        <v>8104.3900047309799</v>
      </c>
      <c r="C222" s="75">
        <f>IF($M222&gt;0,('Amounts Pivot Table'!H$517/$M222),0)</f>
        <v>0</v>
      </c>
      <c r="D222" s="75">
        <f>IF($M222&gt;0,('Amounts Pivot Table'!H$523/$M222),0)</f>
        <v>8259.4775278482648</v>
      </c>
      <c r="E222" s="75">
        <f>SUM(B222:D222)</f>
        <v>16363.867532579245</v>
      </c>
      <c r="F222" s="116">
        <f t="shared" si="40"/>
        <v>4</v>
      </c>
      <c r="G222" s="107">
        <f t="shared" si="37"/>
        <v>0</v>
      </c>
      <c r="H222" s="107">
        <f t="shared" si="38"/>
        <v>3</v>
      </c>
      <c r="I222" s="107">
        <f t="shared" si="39"/>
        <v>4</v>
      </c>
      <c r="J222" s="61"/>
      <c r="K222" s="61"/>
      <c r="L222" s="169"/>
      <c r="M222" s="840">
        <f>+'[1]NEW-Tables 80-86'!G88</f>
        <v>1937.5833333333333</v>
      </c>
      <c r="N222" s="90"/>
      <c r="O222" s="90"/>
      <c r="P222" s="90"/>
      <c r="Q222" s="90"/>
    </row>
    <row r="223" spans="1:17" s="61" customFormat="1" ht="12.75" customHeight="1" x14ac:dyDescent="0.2">
      <c r="A223" s="73" t="s">
        <v>327</v>
      </c>
      <c r="B223" s="75">
        <f>IF($M223&gt;0,('Amounts Pivot Table'!H$553/$M223),0)</f>
        <v>7115.8934071575241</v>
      </c>
      <c r="C223" s="75">
        <f>IF($M223&gt;0,('Amounts Pivot Table'!H$556/$M223),0)</f>
        <v>0</v>
      </c>
      <c r="D223" s="75">
        <f>IF($M223&gt;0,('Amounts Pivot Table'!H$562/$M223),0)</f>
        <v>4422.0145203872098</v>
      </c>
      <c r="E223" s="75">
        <f>SUM(B223:D223)</f>
        <v>11537.907927544733</v>
      </c>
      <c r="F223" s="116">
        <f t="shared" si="40"/>
        <v>5</v>
      </c>
      <c r="G223" s="107">
        <f t="shared" si="37"/>
        <v>0</v>
      </c>
      <c r="H223" s="107">
        <f t="shared" si="38"/>
        <v>11</v>
      </c>
      <c r="I223" s="107">
        <f t="shared" si="39"/>
        <v>6</v>
      </c>
      <c r="L223" s="170"/>
      <c r="M223" s="840">
        <f>+'[1]NEW-Tables 80-86'!G89</f>
        <v>1818.1333333333334</v>
      </c>
      <c r="N223" s="73"/>
      <c r="O223" s="73"/>
      <c r="P223" s="73"/>
      <c r="Q223" s="73"/>
    </row>
    <row r="224" spans="1:17" s="61" customFormat="1" ht="15" customHeight="1" x14ac:dyDescent="0.2">
      <c r="A224" s="74" t="s">
        <v>332</v>
      </c>
      <c r="B224" s="104">
        <f>IF($M224&gt;0,('Amounts Pivot Table'!H$592/$M224),0)</f>
        <v>4369.8810653909768</v>
      </c>
      <c r="C224" s="104">
        <f>IF($M224&gt;0,('Amounts Pivot Table'!H$595/$M224),0)</f>
        <v>60.907327760602875</v>
      </c>
      <c r="D224" s="104">
        <f>IF($M224&gt;0,('Amounts Pivot Table'!H$601/$M224),0)</f>
        <v>6828.0397324602118</v>
      </c>
      <c r="E224" s="105">
        <f>SUM(B224:D224)</f>
        <v>11258.828125611792</v>
      </c>
      <c r="F224" s="117">
        <f t="shared" si="40"/>
        <v>9</v>
      </c>
      <c r="G224" s="118">
        <f t="shared" si="37"/>
        <v>4</v>
      </c>
      <c r="H224" s="118">
        <f t="shared" si="38"/>
        <v>4</v>
      </c>
      <c r="I224" s="118">
        <f t="shared" si="39"/>
        <v>8</v>
      </c>
      <c r="L224" s="170"/>
      <c r="M224" s="840">
        <f>+'[1]NEW-Tables 80-86'!G90</f>
        <v>11492.87</v>
      </c>
      <c r="N224" s="73"/>
      <c r="O224" s="73"/>
      <c r="P224" s="73"/>
      <c r="Q224" s="73"/>
    </row>
    <row r="225" spans="1:30" s="76" customFormat="1" ht="36" customHeight="1" x14ac:dyDescent="0.2">
      <c r="A225" s="1558" t="s">
        <v>17</v>
      </c>
      <c r="B225" s="1583"/>
      <c r="C225" s="1583"/>
      <c r="D225" s="1583"/>
      <c r="E225" s="1583"/>
      <c r="F225" s="1583"/>
      <c r="G225" s="1584"/>
      <c r="H225" s="1584"/>
      <c r="I225" s="1584"/>
      <c r="J225" s="61"/>
      <c r="K225" s="61"/>
      <c r="L225" s="169"/>
      <c r="M225" s="300"/>
      <c r="N225" s="90"/>
      <c r="O225" s="90"/>
      <c r="P225" s="90"/>
      <c r="Q225" s="90"/>
    </row>
    <row r="226" spans="1:30" s="76" customFormat="1" ht="18" x14ac:dyDescent="0.2">
      <c r="A226" s="1558" t="s">
        <v>54</v>
      </c>
      <c r="B226" s="1586"/>
      <c r="C226" s="1586"/>
      <c r="D226" s="1586"/>
      <c r="E226" s="1586"/>
      <c r="F226" s="1586"/>
      <c r="G226" s="1586"/>
      <c r="H226" s="1586"/>
      <c r="I226" s="1586"/>
      <c r="J226" s="106"/>
      <c r="L226" s="169"/>
      <c r="M226" s="296"/>
      <c r="N226" s="90"/>
      <c r="O226" s="90"/>
      <c r="P226" s="90"/>
      <c r="Q226" s="90"/>
    </row>
    <row r="227" spans="1:30" s="61" customFormat="1" x14ac:dyDescent="0.2">
      <c r="A227" s="189" t="s">
        <v>233</v>
      </c>
      <c r="B227" s="73"/>
      <c r="C227" s="73"/>
      <c r="D227" s="73"/>
      <c r="E227" s="73"/>
      <c r="F227" s="73"/>
      <c r="L227" s="171"/>
      <c r="M227" s="296"/>
      <c r="N227" s="73"/>
      <c r="O227" s="73"/>
      <c r="P227" s="73"/>
      <c r="Q227" s="73"/>
    </row>
    <row r="228" spans="1:30" s="61" customFormat="1" x14ac:dyDescent="0.2">
      <c r="A228" s="187"/>
      <c r="B228" s="106"/>
      <c r="C228" s="106"/>
      <c r="D228" s="106"/>
      <c r="E228" s="106"/>
      <c r="F228" s="106"/>
      <c r="G228" s="188"/>
      <c r="H228" s="188"/>
      <c r="I228" s="535" t="s">
        <v>1898</v>
      </c>
      <c r="J228" s="188"/>
      <c r="K228" s="188"/>
      <c r="L228" s="171"/>
      <c r="M228" s="296"/>
      <c r="N228" s="73"/>
      <c r="O228" s="73"/>
      <c r="P228" s="73"/>
      <c r="Q228" s="73"/>
    </row>
    <row r="229" spans="1:30" s="61" customFormat="1" ht="18" x14ac:dyDescent="0.2">
      <c r="A229" s="135" t="s">
        <v>365</v>
      </c>
      <c r="B229" s="135"/>
      <c r="C229" s="135"/>
      <c r="D229" s="135"/>
      <c r="E229" s="135"/>
      <c r="F229" s="135"/>
      <c r="G229" s="135"/>
      <c r="H229" s="135"/>
      <c r="I229" s="135"/>
      <c r="J229" s="566"/>
      <c r="K229" s="135"/>
      <c r="L229" s="170"/>
      <c r="M229" s="296"/>
      <c r="N229" s="73"/>
      <c r="O229" s="73"/>
      <c r="P229" s="73"/>
      <c r="Q229" s="73"/>
    </row>
    <row r="230" spans="1:30" s="61" customFormat="1" ht="18" x14ac:dyDescent="0.2">
      <c r="A230" s="135"/>
      <c r="B230" s="135"/>
      <c r="C230" s="135"/>
      <c r="D230" s="135"/>
      <c r="E230" s="135"/>
      <c r="F230" s="135"/>
      <c r="G230" s="135"/>
      <c r="H230" s="135"/>
      <c r="I230" s="135"/>
      <c r="J230" s="566"/>
      <c r="K230" s="135"/>
      <c r="L230" s="170"/>
      <c r="M230" s="296"/>
      <c r="N230" s="73"/>
      <c r="O230" s="73"/>
      <c r="P230" s="73"/>
      <c r="Q230" s="73"/>
    </row>
    <row r="231" spans="1:30" s="61" customFormat="1" ht="18.75" x14ac:dyDescent="0.2">
      <c r="A231" s="1557" t="s">
        <v>18</v>
      </c>
      <c r="B231" s="1557"/>
      <c r="C231" s="1557"/>
      <c r="D231" s="1557"/>
      <c r="E231" s="1557"/>
      <c r="F231" s="1557"/>
      <c r="G231" s="1557"/>
      <c r="H231" s="1557"/>
      <c r="I231" s="1557"/>
      <c r="J231" s="1557"/>
      <c r="K231" s="1557"/>
      <c r="L231" s="165"/>
      <c r="M231" s="296"/>
      <c r="O231" s="73"/>
      <c r="P231" s="73"/>
      <c r="Q231" s="73"/>
    </row>
    <row r="232" spans="1:30" s="61" customFormat="1" ht="15.75" x14ac:dyDescent="0.2">
      <c r="A232" s="1557" t="s">
        <v>1894</v>
      </c>
      <c r="B232" s="1557"/>
      <c r="C232" s="1557"/>
      <c r="D232" s="1557"/>
      <c r="E232" s="1557"/>
      <c r="F232" s="1557"/>
      <c r="G232" s="1557"/>
      <c r="H232" s="1557"/>
      <c r="I232" s="1557"/>
      <c r="J232" s="1557"/>
      <c r="K232" s="1557"/>
      <c r="L232" s="165"/>
      <c r="M232" s="296"/>
      <c r="N232" s="73"/>
      <c r="O232" s="73"/>
      <c r="P232" s="73"/>
      <c r="Q232" s="73"/>
    </row>
    <row r="233" spans="1:30" s="61" customFormat="1" ht="6.75" customHeight="1" x14ac:dyDescent="0.2">
      <c r="A233" s="91"/>
      <c r="B233" s="91"/>
      <c r="C233" s="91"/>
      <c r="D233" s="91"/>
      <c r="E233" s="91"/>
      <c r="F233" s="91"/>
      <c r="G233" s="108"/>
      <c r="H233" s="91"/>
      <c r="I233" s="91"/>
      <c r="J233" s="91"/>
      <c r="K233" s="91"/>
      <c r="L233" s="165"/>
      <c r="M233" s="296"/>
      <c r="N233" s="73"/>
      <c r="O233" s="73"/>
      <c r="P233" s="73"/>
      <c r="Q233" s="73"/>
    </row>
    <row r="234" spans="1:30" s="61" customFormat="1" ht="15" customHeight="1" x14ac:dyDescent="0.2">
      <c r="A234" s="60"/>
      <c r="B234" s="1580" t="s">
        <v>55</v>
      </c>
      <c r="C234" s="1581"/>
      <c r="D234" s="1581"/>
      <c r="E234" s="1581"/>
      <c r="F234" s="1581"/>
      <c r="G234" s="569" t="s">
        <v>119</v>
      </c>
      <c r="H234" s="570"/>
      <c r="I234" s="570"/>
      <c r="J234" s="570"/>
      <c r="K234" s="570"/>
      <c r="L234" s="173"/>
      <c r="M234" s="296"/>
      <c r="N234" s="73"/>
      <c r="O234" s="474" t="s">
        <v>384</v>
      </c>
      <c r="P234" s="474"/>
      <c r="Q234" s="475"/>
      <c r="R234" s="474" t="s">
        <v>385</v>
      </c>
      <c r="S234" s="474"/>
      <c r="T234" s="475"/>
      <c r="U234" s="474" t="s">
        <v>387</v>
      </c>
      <c r="V234" s="474"/>
      <c r="W234" s="475"/>
      <c r="Y234" s="484" t="s">
        <v>410</v>
      </c>
    </row>
    <row r="235" spans="1:30" s="6" customFormat="1" ht="48" x14ac:dyDescent="0.2">
      <c r="A235" s="50"/>
      <c r="B235" s="550" t="s">
        <v>87</v>
      </c>
      <c r="C235" s="551" t="s">
        <v>89</v>
      </c>
      <c r="D235" s="551" t="s">
        <v>88</v>
      </c>
      <c r="E235" s="551" t="s">
        <v>398</v>
      </c>
      <c r="F235" s="551" t="s">
        <v>97</v>
      </c>
      <c r="G235" s="552" t="s">
        <v>87</v>
      </c>
      <c r="H235" s="551" t="s">
        <v>89</v>
      </c>
      <c r="I235" s="551" t="s">
        <v>88</v>
      </c>
      <c r="J235" s="551" t="s">
        <v>398</v>
      </c>
      <c r="K235" s="551" t="s">
        <v>97</v>
      </c>
      <c r="L235" s="167"/>
      <c r="M235" s="298" t="s">
        <v>380</v>
      </c>
      <c r="N235" s="719" t="s">
        <v>381</v>
      </c>
      <c r="O235" s="476" t="s">
        <v>386</v>
      </c>
      <c r="P235" s="477" t="s">
        <v>383</v>
      </c>
      <c r="Q235" s="477" t="s">
        <v>97</v>
      </c>
      <c r="R235" s="476" t="s">
        <v>386</v>
      </c>
      <c r="S235" s="477" t="s">
        <v>383</v>
      </c>
      <c r="T235" s="477" t="s">
        <v>97</v>
      </c>
      <c r="U235" s="476" t="s">
        <v>386</v>
      </c>
      <c r="V235" s="477" t="s">
        <v>383</v>
      </c>
      <c r="W235" s="477" t="s">
        <v>97</v>
      </c>
      <c r="Y235" s="314"/>
      <c r="Z235" s="51" t="s">
        <v>87</v>
      </c>
      <c r="AA235" s="52" t="s">
        <v>89</v>
      </c>
      <c r="AB235" s="52" t="s">
        <v>88</v>
      </c>
      <c r="AC235" s="52" t="s">
        <v>306</v>
      </c>
      <c r="AD235" s="52" t="s">
        <v>97</v>
      </c>
    </row>
    <row r="236" spans="1:30" s="61" customFormat="1" ht="14.25" x14ac:dyDescent="0.2">
      <c r="A236" s="73" t="s">
        <v>56</v>
      </c>
      <c r="B236" s="102">
        <f>IF($M236&gt;0,('Amounts Pivot Table'!O$631/$M236),0)</f>
        <v>3037.9418533572061</v>
      </c>
      <c r="C236" s="102">
        <f>IF($M236&gt;0,('Amounts Pivot Table'!O$634/$M236),0)</f>
        <v>115.91141809820998</v>
      </c>
      <c r="D236" s="102">
        <f>IF($M236&gt;0,('Amounts Pivot Table'!O$637/$M236),0)</f>
        <v>1296.2791845667157</v>
      </c>
      <c r="E236" s="102">
        <f>IF($M236&gt;0,('Amounts Pivot Table'!O$640/$M236),0)</f>
        <v>2901.9177243968943</v>
      </c>
      <c r="F236" s="102">
        <f>SUM(B236:E236)</f>
        <v>7352.0501804190262</v>
      </c>
      <c r="G236" s="114"/>
      <c r="H236" s="115"/>
      <c r="I236" s="115"/>
      <c r="J236" s="115"/>
      <c r="K236" s="115"/>
      <c r="L236" s="168"/>
      <c r="M236" s="840">
        <f>+'[1]NEW-Tables 80-86'!AI161</f>
        <v>1770437.6922222222</v>
      </c>
      <c r="N236" s="821">
        <f>+'[1]NEW-Tables 80-86'!AP161</f>
        <v>1843113.3230000001</v>
      </c>
      <c r="O236" s="582">
        <f>+B236+C236+D236</f>
        <v>4450.1324560221319</v>
      </c>
      <c r="P236" s="585">
        <f>+E236</f>
        <v>2901.9177243968943</v>
      </c>
      <c r="Q236" s="575">
        <f>+F236</f>
        <v>7352.0501804190262</v>
      </c>
      <c r="R236" s="481">
        <f>IF($N236&gt;0,(('Amounts Pivot Table'!O$630+'Amounts Pivot Table'!O$633++'Amounts Pivot Table'!O$636)/$N236),0)</f>
        <v>4090.7918223366637</v>
      </c>
      <c r="S236" s="482">
        <f>IF($N236&gt;0,('Amounts Pivot Table'!O$639/$N236),0)</f>
        <v>2815.5053172170028</v>
      </c>
      <c r="T236" s="482">
        <f>+S236+R236</f>
        <v>6906.2971395536661</v>
      </c>
      <c r="U236" s="579">
        <f>(O236-R236)/R236</f>
        <v>8.7841339596746462E-2</v>
      </c>
      <c r="V236" s="583">
        <f>(P236-S236)/S236</f>
        <v>3.0691615693805959E-2</v>
      </c>
      <c r="W236" s="573">
        <f>(Q236-T236)/T236</f>
        <v>6.4542986184658702E-2</v>
      </c>
      <c r="Y236" s="73" t="s">
        <v>56</v>
      </c>
      <c r="Z236" s="61">
        <f>B236*$M236</f>
        <v>5378486763.9630327</v>
      </c>
      <c r="AA236" s="61">
        <f>C236*$M236</f>
        <v>205213943.56</v>
      </c>
      <c r="AB236" s="61">
        <f>D236*$M236</f>
        <v>2294981528</v>
      </c>
      <c r="AC236" s="61">
        <f>E236*$M236</f>
        <v>5137664519</v>
      </c>
      <c r="AD236" s="61">
        <f>F236*$M236</f>
        <v>13016346754.523033</v>
      </c>
    </row>
    <row r="237" spans="1:30" s="61" customFormat="1" ht="12.75" customHeight="1" x14ac:dyDescent="0.2">
      <c r="A237" s="73"/>
      <c r="B237" s="102"/>
      <c r="C237" s="102"/>
      <c r="D237" s="102"/>
      <c r="E237" s="102"/>
      <c r="F237" s="102"/>
      <c r="G237" s="114"/>
      <c r="H237" s="115"/>
      <c r="I237" s="115"/>
      <c r="J237" s="115"/>
      <c r="K237" s="115"/>
      <c r="L237" s="168"/>
      <c r="M237" s="840"/>
      <c r="N237" s="821">
        <f>+'[1]NEW-Tables 80-86'!AP162</f>
        <v>0</v>
      </c>
      <c r="O237" s="582">
        <f t="shared" ref="O237:O256" si="41">+B237+C237+D237</f>
        <v>0</v>
      </c>
      <c r="P237" s="585">
        <f t="shared" ref="P237:P256" si="42">+E237</f>
        <v>0</v>
      </c>
      <c r="Q237" s="575">
        <f t="shared" ref="Q237:Q256" si="43">+F237</f>
        <v>0</v>
      </c>
      <c r="R237" s="478"/>
      <c r="S237" s="480"/>
      <c r="T237" s="482">
        <f t="shared" ref="T237:T256" si="44">+S237+R237</f>
        <v>0</v>
      </c>
      <c r="U237" s="580"/>
      <c r="V237" s="584"/>
      <c r="W237" s="574"/>
      <c r="Y237" s="73"/>
    </row>
    <row r="238" spans="1:30" s="61" customFormat="1" ht="12.75" customHeight="1" x14ac:dyDescent="0.2">
      <c r="A238" s="73" t="s">
        <v>320</v>
      </c>
      <c r="B238" s="75">
        <f>IF($M238&gt;0,('Amounts Pivot Table'!O$7/$M238),0)</f>
        <v>4064.7520538890112</v>
      </c>
      <c r="C238" s="75">
        <f>IF($M238&gt;0,('Amounts Pivot Table'!O$10/$M238),0)</f>
        <v>248.26453460921024</v>
      </c>
      <c r="D238" s="75">
        <f>IF($M238&gt;0,('Amounts Pivot Table'!O$13/$M238),0)</f>
        <v>42.730334602914795</v>
      </c>
      <c r="E238" s="75">
        <f>IF($M238&gt;0,('Amounts Pivot Table'!O$16/$M238),0)</f>
        <v>3932.4863388838176</v>
      </c>
      <c r="F238" s="75">
        <f t="shared" ref="F238:F256" si="45">SUM(B238:E238)</f>
        <v>8288.2332619849549</v>
      </c>
      <c r="G238" s="116">
        <f>IF(B238&gt;0,RANK(B238,$B$238:$B$256),)</f>
        <v>3</v>
      </c>
      <c r="H238" s="107">
        <f>IF(C238&gt;0,RANK(C238,$C$238:$C$256),)</f>
        <v>3</v>
      </c>
      <c r="I238" s="107">
        <f>IF(D238&gt;0,RANK(D238,$D$238:$D$256),)</f>
        <v>9</v>
      </c>
      <c r="J238" s="107">
        <f>IF(E238&gt;0,RANK(E238,$E$238:$E$256),)</f>
        <v>8</v>
      </c>
      <c r="K238" s="107">
        <f>IF(F238&gt;0,RANK(F238,$F$238:$F$256),)</f>
        <v>4</v>
      </c>
      <c r="L238" s="168"/>
      <c r="M238" s="840">
        <f>+'[1]NEW-Tables 80-86'!AI163</f>
        <v>63538</v>
      </c>
      <c r="N238" s="821">
        <f>+'[1]NEW-Tables 80-86'!AP163</f>
        <v>67231.166666666672</v>
      </c>
      <c r="O238" s="582">
        <f t="shared" si="41"/>
        <v>4355.7469231011364</v>
      </c>
      <c r="P238" s="585">
        <f t="shared" si="42"/>
        <v>3932.4863388838176</v>
      </c>
      <c r="Q238" s="575">
        <f t="shared" si="43"/>
        <v>8288.2332619849549</v>
      </c>
      <c r="R238" s="483">
        <f>IF($N238&gt;0,(('Amounts Pivot Table'!O$6+'Amounts Pivot Table'!O$9++'Amounts Pivot Table'!O$12)/$N238),0)</f>
        <v>3987.4905983583999</v>
      </c>
      <c r="S238" s="482">
        <f>IF($N238&gt;0,('Amounts Pivot Table'!O$15/$N238),0)</f>
        <v>3628.4667527709121</v>
      </c>
      <c r="T238" s="482">
        <f t="shared" si="44"/>
        <v>7615.957351129312</v>
      </c>
      <c r="U238" s="581">
        <f t="shared" ref="U238:U256" si="46">(O238-R238)/R238</f>
        <v>9.2352901068743096E-2</v>
      </c>
      <c r="V238" s="583">
        <f>(P238-S238)/S238</f>
        <v>8.3787342375602064E-2</v>
      </c>
      <c r="W238" s="573">
        <f t="shared" ref="W238:W256" si="47">(Q238-T238)/T238</f>
        <v>8.8272016223404443E-2</v>
      </c>
      <c r="Y238" s="73" t="s">
        <v>320</v>
      </c>
      <c r="Z238" s="61">
        <f t="shared" ref="Z238:Z256" si="48">B238*$M238</f>
        <v>258266216</v>
      </c>
      <c r="AA238" s="61">
        <f t="shared" ref="AA238:AA256" si="49">C238*$M238</f>
        <v>15774232</v>
      </c>
      <c r="AB238" s="61">
        <f t="shared" ref="AB238:AB256" si="50">D238*$M238</f>
        <v>2715000</v>
      </c>
      <c r="AC238" s="61">
        <f t="shared" ref="AC238:AC256" si="51">E238*$M238</f>
        <v>249862317</v>
      </c>
      <c r="AD238" s="61">
        <f t="shared" ref="AD238:AD256" si="52">F238*$M238</f>
        <v>526617765.00000006</v>
      </c>
    </row>
    <row r="239" spans="1:30" s="61" customFormat="1" ht="12.75" customHeight="1" x14ac:dyDescent="0.2">
      <c r="A239" s="73" t="s">
        <v>334</v>
      </c>
      <c r="B239" s="75">
        <f>IF($M239&gt;0,('Amounts Pivot Table'!O$46/$M239),0)</f>
        <v>4204.8838804731686</v>
      </c>
      <c r="C239" s="75">
        <f>IF($M239&gt;0,('Amounts Pivot Table'!O$49/$M239),0)</f>
        <v>52.408561385397924</v>
      </c>
      <c r="D239" s="75">
        <f>IF($M239&gt;0,('Amounts Pivot Table'!O$52/$M239),0)</f>
        <v>420.25407782246083</v>
      </c>
      <c r="E239" s="75">
        <f>IF($M239&gt;0,('Amounts Pivot Table'!O$55/$M239),0)</f>
        <v>3694.3423786453759</v>
      </c>
      <c r="F239" s="75">
        <f t="shared" si="45"/>
        <v>8371.8888983264042</v>
      </c>
      <c r="G239" s="116">
        <f>IF(B239&gt;0,RANK(B239,$B$238:$B$256),)</f>
        <v>2</v>
      </c>
      <c r="H239" s="107">
        <f>IF(C239&gt;0,RANK(C239,$C$238:$C$256),)</f>
        <v>5</v>
      </c>
      <c r="I239" s="107">
        <f>IF(D239&gt;0,RANK(D239,$D$238:$D$256),)</f>
        <v>7</v>
      </c>
      <c r="J239" s="107">
        <f>IF(E239&gt;0,RANK(E239,$E$238:$E$256),)</f>
        <v>9</v>
      </c>
      <c r="K239" s="107">
        <f>IF(F239&gt;0,RANK(F239,$F$238:$F$256),)</f>
        <v>3</v>
      </c>
      <c r="L239" s="168"/>
      <c r="M239" s="840">
        <f>+'[1]NEW-Tables 80-86'!AI164</f>
        <v>40814.266666666663</v>
      </c>
      <c r="N239" s="821">
        <f>+'[1]NEW-Tables 80-86'!AP164</f>
        <v>42199.966666666667</v>
      </c>
      <c r="O239" s="582">
        <f t="shared" si="41"/>
        <v>4677.5465196810273</v>
      </c>
      <c r="P239" s="585">
        <f t="shared" si="42"/>
        <v>3694.3423786453759</v>
      </c>
      <c r="Q239" s="575">
        <f t="shared" si="43"/>
        <v>8371.8888983264042</v>
      </c>
      <c r="R239" s="483">
        <f>IF($N239&gt;0,(('Amounts Pivot Table'!O$45+'Amounts Pivot Table'!O$48++'Amounts Pivot Table'!O$51)/$N239),0)</f>
        <v>4445.8496965637414</v>
      </c>
      <c r="S239" s="482">
        <f>IF($N239&gt;0,('Amounts Pivot Table'!O$54/$N239),0)</f>
        <v>3352.6204951188743</v>
      </c>
      <c r="T239" s="482">
        <f t="shared" si="44"/>
        <v>7798.4701916826161</v>
      </c>
      <c r="U239" s="581">
        <f t="shared" si="46"/>
        <v>5.211530729353437E-2</v>
      </c>
      <c r="V239" s="583">
        <f t="shared" ref="V239:V256" si="53">(P239-S239)/S239</f>
        <v>0.10192680144502463</v>
      </c>
      <c r="W239" s="573">
        <f t="shared" si="47"/>
        <v>7.3529640115232123E-2</v>
      </c>
      <c r="Y239" s="73" t="s">
        <v>334</v>
      </c>
      <c r="Z239" s="61">
        <f t="shared" si="48"/>
        <v>171619252</v>
      </c>
      <c r="AA239" s="61">
        <f t="shared" si="49"/>
        <v>2139017</v>
      </c>
      <c r="AB239" s="61">
        <f t="shared" si="50"/>
        <v>17152362</v>
      </c>
      <c r="AC239" s="61">
        <f t="shared" si="51"/>
        <v>150781875</v>
      </c>
      <c r="AD239" s="61">
        <f t="shared" si="52"/>
        <v>341692506.00000006</v>
      </c>
    </row>
    <row r="240" spans="1:30" s="61" customFormat="1" ht="12.75" customHeight="1" x14ac:dyDescent="0.2">
      <c r="A240" s="73" t="s">
        <v>321</v>
      </c>
      <c r="B240" s="75">
        <f>IF($M240&gt;0,('Amounts Pivot Table'!O$85/$M240),0)</f>
        <v>5928.6211308388138</v>
      </c>
      <c r="C240" s="75">
        <f>IF($M240&gt;0,('Amounts Pivot Table'!O$88/$M240),0)</f>
        <v>0</v>
      </c>
      <c r="D240" s="75">
        <f>IF($M240&gt;0,('Amounts Pivot Table'!O$91/$M240),0)</f>
        <v>0</v>
      </c>
      <c r="E240" s="75">
        <f>IF($M240&gt;0,('Amounts Pivot Table'!O$94/$M240),0)</f>
        <v>4638.3182035355949</v>
      </c>
      <c r="F240" s="75">
        <f t="shared" si="45"/>
        <v>10566.939334374409</v>
      </c>
      <c r="G240" s="116">
        <f>IF(B240&gt;0,RANK(B240,$B$238:$B$256),)</f>
        <v>1</v>
      </c>
      <c r="H240" s="107">
        <f>IF(C240&gt;0,RANK(C240,$C$238:$C$256),)</f>
        <v>0</v>
      </c>
      <c r="I240" s="107">
        <f>IF(D240&gt;0,RANK(D240,$D$238:$D$256),)</f>
        <v>0</v>
      </c>
      <c r="J240" s="107">
        <f>IF(E240&gt;0,RANK(E240,$E$238:$E$256),)</f>
        <v>3</v>
      </c>
      <c r="K240" s="107">
        <f>IF(F240&gt;0,RANK(F240,$F$238:$F$256),)</f>
        <v>2</v>
      </c>
      <c r="L240" s="168"/>
      <c r="M240" s="840">
        <f>+'[1]NEW-Tables 80-86'!AI165</f>
        <v>10395.233333333334</v>
      </c>
      <c r="N240" s="821">
        <f>+'[1]NEW-Tables 80-86'!AP165</f>
        <v>10774.966666666667</v>
      </c>
      <c r="O240" s="582">
        <f t="shared" si="41"/>
        <v>5928.6211308388138</v>
      </c>
      <c r="P240" s="585">
        <f t="shared" si="42"/>
        <v>4638.3182035355949</v>
      </c>
      <c r="Q240" s="575">
        <f t="shared" si="43"/>
        <v>10566.939334374409</v>
      </c>
      <c r="R240" s="483">
        <f>IF($N240&gt;0,(('Amounts Pivot Table'!O$84+'Amounts Pivot Table'!O$87++'Amounts Pivot Table'!O$90)/$N240),0)</f>
        <v>5341.4550393040654</v>
      </c>
      <c r="S240" s="482">
        <f>IF($N240&gt;0,('Amounts Pivot Table'!O$93/$N240),0)</f>
        <v>4381.5912810248446</v>
      </c>
      <c r="T240" s="482">
        <f t="shared" si="44"/>
        <v>9723.046320328911</v>
      </c>
      <c r="U240" s="581">
        <f t="shared" si="46"/>
        <v>0.1099262442937739</v>
      </c>
      <c r="V240" s="583">
        <f t="shared" si="53"/>
        <v>5.8592165732697543E-2</v>
      </c>
      <c r="W240" s="573">
        <f t="shared" si="47"/>
        <v>8.679306734156858E-2</v>
      </c>
      <c r="Y240" s="73" t="s">
        <v>321</v>
      </c>
      <c r="Z240" s="61">
        <f t="shared" si="48"/>
        <v>61629400</v>
      </c>
      <c r="AA240" s="61">
        <f t="shared" si="49"/>
        <v>0</v>
      </c>
      <c r="AB240" s="61">
        <f t="shared" si="50"/>
        <v>0</v>
      </c>
      <c r="AC240" s="61">
        <f t="shared" si="51"/>
        <v>48216400</v>
      </c>
      <c r="AD240" s="61">
        <f t="shared" si="52"/>
        <v>109845800</v>
      </c>
    </row>
    <row r="241" spans="1:30" s="61" customFormat="1" ht="12.75" customHeight="1" x14ac:dyDescent="0.2">
      <c r="A241" s="73" t="s">
        <v>328</v>
      </c>
      <c r="B241" s="75">
        <f>IF($M241&gt;0,('Amounts Pivot Table'!O$124/$M241),0)</f>
        <v>3185.2952089205833</v>
      </c>
      <c r="C241" s="75">
        <f>IF($M241&gt;0,('Amounts Pivot Table'!O$127/$M241),0)</f>
        <v>0</v>
      </c>
      <c r="D241" s="75">
        <f>IF($M241&gt;0,('Amounts Pivot Table'!O$130/$M241),0)</f>
        <v>0</v>
      </c>
      <c r="E241" s="75">
        <f>IF($M241&gt;0,('Amounts Pivot Table'!O$133/$M241),0)</f>
        <v>2433.5321016618518</v>
      </c>
      <c r="F241" s="75">
        <f t="shared" si="45"/>
        <v>5618.8273105824355</v>
      </c>
      <c r="G241" s="116">
        <f>IF(B241&gt;0,RANK(B241,$B$238:$B$256),)</f>
        <v>10</v>
      </c>
      <c r="H241" s="107">
        <f>IF(C241&gt;0,RANK(C241,$C$238:$C$256),)</f>
        <v>0</v>
      </c>
      <c r="I241" s="107">
        <f>IF(D241&gt;0,RANK(D241,$D$238:$D$256),)</f>
        <v>0</v>
      </c>
      <c r="J241" s="107">
        <f>IF(E241&gt;0,RANK(E241,$E$238:$E$256),)</f>
        <v>14</v>
      </c>
      <c r="K241" s="107">
        <f>IF(F241&gt;0,RANK(F241,$F$238:$F$256),)</f>
        <v>16</v>
      </c>
      <c r="L241" s="168"/>
      <c r="M241" s="840">
        <f>+'[1]NEW-Tables 80-86'!AI166</f>
        <v>345458.94111111108</v>
      </c>
      <c r="N241" s="821">
        <f>+'[1]NEW-Tables 80-86'!AP166</f>
        <v>359004.58</v>
      </c>
      <c r="O241" s="582">
        <f t="shared" si="41"/>
        <v>3185.2952089205833</v>
      </c>
      <c r="P241" s="585">
        <f t="shared" si="42"/>
        <v>2433.5321016618518</v>
      </c>
      <c r="Q241" s="575">
        <f t="shared" si="43"/>
        <v>5618.8273105824355</v>
      </c>
      <c r="R241" s="483">
        <f>IF($N241&gt;0,(('Amounts Pivot Table'!O$123+'Amounts Pivot Table'!O$126++'Amounts Pivot Table'!O$129)/$N241),0)</f>
        <v>2929.740545371315</v>
      </c>
      <c r="S241" s="482">
        <f>IF($N241&gt;0,('Amounts Pivot Table'!O$132/$N241),0)</f>
        <v>2430.3251117297723</v>
      </c>
      <c r="T241" s="482">
        <f t="shared" si="44"/>
        <v>5360.0656571010877</v>
      </c>
      <c r="U241" s="581">
        <f t="shared" si="46"/>
        <v>8.7227745799203296E-2</v>
      </c>
      <c r="V241" s="583">
        <f t="shared" si="53"/>
        <v>1.3195723965494326E-3</v>
      </c>
      <c r="W241" s="573">
        <f t="shared" si="47"/>
        <v>4.8275836535423194E-2</v>
      </c>
      <c r="Y241" s="73" t="s">
        <v>328</v>
      </c>
      <c r="Z241" s="61">
        <f t="shared" si="48"/>
        <v>1100388710</v>
      </c>
      <c r="AA241" s="61">
        <f t="shared" si="49"/>
        <v>0</v>
      </c>
      <c r="AB241" s="61">
        <f t="shared" si="50"/>
        <v>0</v>
      </c>
      <c r="AC241" s="61">
        <f t="shared" si="51"/>
        <v>840685423</v>
      </c>
      <c r="AD241" s="61">
        <f t="shared" si="52"/>
        <v>1941074133.0000002</v>
      </c>
    </row>
    <row r="242" spans="1:30" s="61" customFormat="1" ht="12.75" customHeight="1" x14ac:dyDescent="0.2">
      <c r="A242" s="73"/>
      <c r="B242" s="75"/>
      <c r="C242" s="75"/>
      <c r="D242" s="75"/>
      <c r="E242" s="75"/>
      <c r="F242" s="75"/>
      <c r="G242" s="116"/>
      <c r="H242" s="107"/>
      <c r="I242" s="107"/>
      <c r="J242" s="107"/>
      <c r="K242" s="107"/>
      <c r="L242" s="168"/>
      <c r="M242" s="840"/>
      <c r="N242" s="821"/>
      <c r="O242" s="582"/>
      <c r="P242" s="585"/>
      <c r="Q242" s="575"/>
      <c r="R242" s="483"/>
      <c r="S242" s="482"/>
      <c r="T242" s="482"/>
      <c r="U242" s="581"/>
      <c r="V242" s="583"/>
      <c r="W242" s="573"/>
      <c r="Y242" s="73"/>
    </row>
    <row r="243" spans="1:30" s="61" customFormat="1" ht="12.75" customHeight="1" x14ac:dyDescent="0.2">
      <c r="A243" s="73" t="s">
        <v>329</v>
      </c>
      <c r="B243" s="75">
        <f>IF($M243&gt;0,('Amounts Pivot Table'!O$163/$M243),0)</f>
        <v>3869.4904013409655</v>
      </c>
      <c r="C243" s="75">
        <f>IF($M243&gt;0,('Amounts Pivot Table'!O$166/$M243),0)</f>
        <v>0</v>
      </c>
      <c r="D243" s="75">
        <f>IF($M243&gt;0,('Amounts Pivot Table'!O$169/$M243),0)</f>
        <v>0</v>
      </c>
      <c r="E243" s="75">
        <f>IF($M243&gt;0,('Amounts Pivot Table'!O$172/$M243),0)</f>
        <v>3469.3758262437136</v>
      </c>
      <c r="F243" s="75">
        <f t="shared" si="45"/>
        <v>7338.8662275846791</v>
      </c>
      <c r="G243" s="116">
        <f>IF(B243&gt;0,RANK(B243,$B$238:$B$256),)</f>
        <v>4</v>
      </c>
      <c r="H243" s="107">
        <f>IF(C243&gt;0,RANK(C243,$C$238:$C$256),)</f>
        <v>0</v>
      </c>
      <c r="I243" s="107">
        <f>IF(D243&gt;0,RANK(D243,$D$238:$D$256),)</f>
        <v>0</v>
      </c>
      <c r="J243" s="107">
        <f>IF(E243&gt;0,RANK(E243,$E$238:$E$256),)</f>
        <v>11</v>
      </c>
      <c r="K243" s="107">
        <f>IF(F243&gt;0,RANK(F243,$F$238:$F$256),)</f>
        <v>11</v>
      </c>
      <c r="L243" s="168"/>
      <c r="M243" s="840">
        <f>+'[1]NEW-Tables 80-86'!AI168</f>
        <v>42158.666666666672</v>
      </c>
      <c r="N243" s="821">
        <f>+'[1]NEW-Tables 80-86'!AP168</f>
        <v>46477.016666666663</v>
      </c>
      <c r="O243" s="582">
        <f t="shared" si="41"/>
        <v>3869.4904013409655</v>
      </c>
      <c r="P243" s="585">
        <f t="shared" si="42"/>
        <v>3469.3758262437136</v>
      </c>
      <c r="Q243" s="575">
        <f t="shared" si="43"/>
        <v>7338.8662275846791</v>
      </c>
      <c r="R243" s="483">
        <f>IF($N243&gt;0,(('Amounts Pivot Table'!O$162+'Amounts Pivot Table'!O$165+'Amounts Pivot Table'!O$168)/$N243),0)</f>
        <v>3075.9251830922885</v>
      </c>
      <c r="S243" s="482">
        <f>IF($N243&gt;0,('Amounts Pivot Table'!O$171/$N243),0)</f>
        <v>3347.4225145690293</v>
      </c>
      <c r="T243" s="482">
        <f t="shared" si="44"/>
        <v>6423.3476976613183</v>
      </c>
      <c r="U243" s="581">
        <f t="shared" si="46"/>
        <v>0.25799236685298377</v>
      </c>
      <c r="V243" s="583">
        <f t="shared" si="53"/>
        <v>3.6432004368706181E-2</v>
      </c>
      <c r="W243" s="573">
        <f t="shared" si="47"/>
        <v>0.14252981046887633</v>
      </c>
      <c r="Y243" s="73" t="s">
        <v>329</v>
      </c>
      <c r="Z243" s="61">
        <f t="shared" si="48"/>
        <v>163132556</v>
      </c>
      <c r="AA243" s="61">
        <f t="shared" si="49"/>
        <v>0</v>
      </c>
      <c r="AB243" s="61">
        <f t="shared" si="50"/>
        <v>0</v>
      </c>
      <c r="AC243" s="61">
        <f t="shared" si="51"/>
        <v>146264259</v>
      </c>
      <c r="AD243" s="61">
        <f t="shared" si="52"/>
        <v>309396815</v>
      </c>
    </row>
    <row r="244" spans="1:30" s="61" customFormat="1" ht="12.75" customHeight="1" x14ac:dyDescent="0.2">
      <c r="A244" s="73" t="s">
        <v>322</v>
      </c>
      <c r="B244" s="75">
        <f>IF($M244&gt;0,('Amounts Pivot Table'!O$202/$M244),0)</f>
        <v>2903.3116564032725</v>
      </c>
      <c r="C244" s="75">
        <f>IF($M244&gt;0,('Amounts Pivot Table'!O$205/$M244),0)</f>
        <v>0</v>
      </c>
      <c r="D244" s="75">
        <f>IF($M244&gt;0,('Amounts Pivot Table'!O$208/$M244),0)</f>
        <v>0</v>
      </c>
      <c r="E244" s="75">
        <f>IF($M244&gt;0,('Amounts Pivot Table'!O$211/$M244),0)</f>
        <v>4160.584764630391</v>
      </c>
      <c r="F244" s="75">
        <f t="shared" si="45"/>
        <v>7063.8964210336635</v>
      </c>
      <c r="G244" s="116">
        <f>IF(B244&gt;0,RANK(B244,$B$238:$B$256),)</f>
        <v>11</v>
      </c>
      <c r="H244" s="107">
        <f>IF(C244&gt;0,RANK(C244,$C$238:$C$256),)</f>
        <v>0</v>
      </c>
      <c r="I244" s="107">
        <f>IF(D244&gt;0,RANK(D244,$D$238:$D$256),)</f>
        <v>0</v>
      </c>
      <c r="J244" s="107">
        <f>IF(E244&gt;0,RANK(E244,$E$238:$E$256),)</f>
        <v>6</v>
      </c>
      <c r="K244" s="107">
        <f>IF(F244&gt;0,RANK(F244,$F$238:$F$256),)</f>
        <v>13</v>
      </c>
      <c r="L244" s="168"/>
      <c r="M244" s="840">
        <f>+'[1]NEW-Tables 80-86'!AI169</f>
        <v>48778.6</v>
      </c>
      <c r="N244" s="821">
        <f>+'[1]NEW-Tables 80-86'!AP169</f>
        <v>51219.366666666669</v>
      </c>
      <c r="O244" s="582">
        <f t="shared" si="41"/>
        <v>2903.3116564032725</v>
      </c>
      <c r="P244" s="585">
        <f t="shared" si="42"/>
        <v>4160.584764630391</v>
      </c>
      <c r="Q244" s="575">
        <f t="shared" si="43"/>
        <v>7063.8964210336635</v>
      </c>
      <c r="R244" s="483">
        <f>IF($N244&gt;0,(('Amounts Pivot Table'!O$201+'Amounts Pivot Table'!O$204++'Amounts Pivot Table'!O$207)/$N244),0)</f>
        <v>2808.8204823856672</v>
      </c>
      <c r="S244" s="482">
        <f>IF($N244&gt;0,('Amounts Pivot Table'!O$210/$N244),0)</f>
        <v>4208.7010056742856</v>
      </c>
      <c r="T244" s="482">
        <f t="shared" si="44"/>
        <v>7017.5214880599524</v>
      </c>
      <c r="U244" s="581">
        <f t="shared" si="46"/>
        <v>3.3640873316812821E-2</v>
      </c>
      <c r="V244" s="583">
        <f t="shared" si="53"/>
        <v>-1.1432563391655295E-2</v>
      </c>
      <c r="W244" s="573">
        <f t="shared" si="47"/>
        <v>6.6084490161685012E-3</v>
      </c>
      <c r="Y244" s="73" t="s">
        <v>322</v>
      </c>
      <c r="Z244" s="61">
        <f t="shared" si="48"/>
        <v>141619477.96303266</v>
      </c>
      <c r="AA244" s="61">
        <f t="shared" si="49"/>
        <v>0</v>
      </c>
      <c r="AB244" s="61">
        <f t="shared" si="50"/>
        <v>0</v>
      </c>
      <c r="AC244" s="61">
        <f t="shared" si="51"/>
        <v>202947499.99999997</v>
      </c>
      <c r="AD244" s="61">
        <f t="shared" si="52"/>
        <v>344566977.96303266</v>
      </c>
    </row>
    <row r="245" spans="1:30" s="61" customFormat="1" ht="12.75" customHeight="1" x14ac:dyDescent="0.2">
      <c r="A245" s="73" t="s">
        <v>330</v>
      </c>
      <c r="B245" s="75">
        <f>IF($M245&gt;0,('Amounts Pivot Table'!O$241/$M245),0)</f>
        <v>2245.0571368897199</v>
      </c>
      <c r="C245" s="75">
        <f>IF($M245&gt;0,('Amounts Pivot Table'!O$244/$M245),0)</f>
        <v>0</v>
      </c>
      <c r="D245" s="75">
        <f>IF($M245&gt;0,('Amounts Pivot Table'!O$247/$M245),0)</f>
        <v>0</v>
      </c>
      <c r="E245" s="75">
        <f>IF($M245&gt;0,('Amounts Pivot Table'!O$250/$M245),0)</f>
        <v>3579.7260857590059</v>
      </c>
      <c r="F245" s="75">
        <f t="shared" si="45"/>
        <v>5824.7832226487262</v>
      </c>
      <c r="G245" s="116">
        <f>IF(B245&gt;0,RANK(B245,$B$238:$B$256),)</f>
        <v>15</v>
      </c>
      <c r="H245" s="107">
        <f>IF(C245&gt;0,RANK(C245,$C$238:$C$256),)</f>
        <v>0</v>
      </c>
      <c r="I245" s="107">
        <f>IF(D245&gt;0,RANK(D245,$D$238:$D$256),)</f>
        <v>0</v>
      </c>
      <c r="J245" s="107">
        <f>IF(E245&gt;0,RANK(E245,$E$238:$E$256),)</f>
        <v>10</v>
      </c>
      <c r="K245" s="107">
        <f>IF(F245&gt;0,RANK(F245,$F$238:$F$256),)</f>
        <v>15</v>
      </c>
      <c r="L245" s="168"/>
      <c r="M245" s="840">
        <f>+'[1]NEW-Tables 80-86'!AI170</f>
        <v>40058.766666666663</v>
      </c>
      <c r="N245" s="821">
        <f>+'[1]NEW-Tables 80-86'!AP170</f>
        <v>41072.162222222214</v>
      </c>
      <c r="O245" s="582">
        <f t="shared" si="41"/>
        <v>2245.0571368897199</v>
      </c>
      <c r="P245" s="585">
        <f t="shared" si="42"/>
        <v>3579.7260857590059</v>
      </c>
      <c r="Q245" s="575">
        <f t="shared" si="43"/>
        <v>5824.7832226487262</v>
      </c>
      <c r="R245" s="483">
        <f>IF($N245&gt;0,(('Amounts Pivot Table'!O$240+'Amounts Pivot Table'!O$243++'Amounts Pivot Table'!O$247)/$N245),0)</f>
        <v>2144.8859332839284</v>
      </c>
      <c r="S245" s="482">
        <f>IF($N245&gt;0,('Amounts Pivot Table'!O$249/$N245),0)</f>
        <v>3309.5849754521491</v>
      </c>
      <c r="T245" s="482">
        <f t="shared" si="44"/>
        <v>5454.470908736077</v>
      </c>
      <c r="U245" s="581">
        <f t="shared" si="46"/>
        <v>4.670234535615813E-2</v>
      </c>
      <c r="V245" s="583">
        <f t="shared" si="53"/>
        <v>8.1623862904426733E-2</v>
      </c>
      <c r="W245" s="573">
        <f t="shared" si="47"/>
        <v>6.7891518739158302E-2</v>
      </c>
      <c r="Y245" s="73" t="s">
        <v>330</v>
      </c>
      <c r="Z245" s="61">
        <f t="shared" si="48"/>
        <v>89934220</v>
      </c>
      <c r="AA245" s="61">
        <f t="shared" si="49"/>
        <v>0</v>
      </c>
      <c r="AB245" s="61">
        <f t="shared" si="50"/>
        <v>0</v>
      </c>
      <c r="AC245" s="61">
        <f t="shared" si="51"/>
        <v>143399412</v>
      </c>
      <c r="AD245" s="61">
        <f t="shared" si="52"/>
        <v>233333632.00000003</v>
      </c>
    </row>
    <row r="246" spans="1:30" s="61" customFormat="1" ht="12.75" customHeight="1" x14ac:dyDescent="0.2">
      <c r="A246" s="73" t="s">
        <v>333</v>
      </c>
      <c r="B246" s="75">
        <f>IF($M246&gt;0,('Amounts Pivot Table'!O$280/$M246),0)</f>
        <v>2740.0019361302484</v>
      </c>
      <c r="C246" s="75">
        <f>IF($M246&gt;0,('Amounts Pivot Table'!O$283/$M246),0)</f>
        <v>0</v>
      </c>
      <c r="D246" s="75">
        <f>IF($M246&gt;0,('Amounts Pivot Table'!O$286/$M246),0)</f>
        <v>3531.981511208709</v>
      </c>
      <c r="E246" s="75">
        <f>IF($M246&gt;0,('Amounts Pivot Table'!O$289/$M246),0)</f>
        <v>5057.9736195990781</v>
      </c>
      <c r="F246" s="75">
        <f t="shared" si="45"/>
        <v>11329.957066938035</v>
      </c>
      <c r="G246" s="116">
        <f>IF(B246&gt;0,RANK(B246,$B$238:$B$256),)</f>
        <v>12</v>
      </c>
      <c r="H246" s="107">
        <f>IF(C246&gt;0,RANK(C246,$C$238:$C$256),)</f>
        <v>0</v>
      </c>
      <c r="I246" s="107">
        <f>IF(D246&gt;0,RANK(D246,$D$238:$D$256),)</f>
        <v>1</v>
      </c>
      <c r="J246" s="107">
        <f>IF(E246&gt;0,RANK(E246,$E$238:$E$256),)</f>
        <v>1</v>
      </c>
      <c r="K246" s="107">
        <f>IF(F246&gt;0,RANK(F246,$F$238:$F$256),)</f>
        <v>1</v>
      </c>
      <c r="L246" s="168"/>
      <c r="M246" s="840">
        <f>+'[1]NEW-Tables 80-86'!AI171</f>
        <v>93141.116666666669</v>
      </c>
      <c r="N246" s="821">
        <f>+'[1]NEW-Tables 80-86'!AP171</f>
        <v>104485.51666666666</v>
      </c>
      <c r="O246" s="582">
        <f t="shared" si="41"/>
        <v>6271.9834473389574</v>
      </c>
      <c r="P246" s="585">
        <f t="shared" si="42"/>
        <v>5057.9736195990781</v>
      </c>
      <c r="Q246" s="575">
        <f t="shared" si="43"/>
        <v>11329.957066938035</v>
      </c>
      <c r="R246" s="483">
        <f>IF($N246&gt;0,(('Amounts Pivot Table'!O$279+'Amounts Pivot Table'!O$282++'Amounts Pivot Table'!O$285)/$N246),0)</f>
        <v>5368.3184415830519</v>
      </c>
      <c r="S246" s="482">
        <f>IF($N246&gt;0,('Amounts Pivot Table'!O$288/$N246),0)</f>
        <v>4536.581883517827</v>
      </c>
      <c r="T246" s="482">
        <f t="shared" si="44"/>
        <v>9904.9003251008799</v>
      </c>
      <c r="U246" s="581">
        <f t="shared" si="46"/>
        <v>0.16833297346075946</v>
      </c>
      <c r="V246" s="583">
        <f t="shared" si="53"/>
        <v>0.11493052467002875</v>
      </c>
      <c r="W246" s="573">
        <f t="shared" si="47"/>
        <v>0.14387391039421102</v>
      </c>
      <c r="Y246" s="73" t="s">
        <v>333</v>
      </c>
      <c r="Z246" s="61">
        <f t="shared" si="48"/>
        <v>255206840.00000003</v>
      </c>
      <c r="AA246" s="61">
        <f t="shared" si="49"/>
        <v>0</v>
      </c>
      <c r="AB246" s="61">
        <f t="shared" si="50"/>
        <v>328972702</v>
      </c>
      <c r="AC246" s="61">
        <f t="shared" si="51"/>
        <v>471105311.00000006</v>
      </c>
      <c r="AD246" s="61">
        <f t="shared" si="52"/>
        <v>1055284853.0000001</v>
      </c>
    </row>
    <row r="247" spans="1:30" s="61" customFormat="1" ht="12.75" customHeight="1" x14ac:dyDescent="0.2">
      <c r="A247" s="73"/>
      <c r="B247" s="75"/>
      <c r="C247" s="75"/>
      <c r="D247" s="75"/>
      <c r="E247" s="75"/>
      <c r="F247" s="75"/>
      <c r="G247" s="116"/>
      <c r="H247" s="107"/>
      <c r="I247" s="107"/>
      <c r="J247" s="107"/>
      <c r="K247" s="107"/>
      <c r="L247" s="168"/>
      <c r="M247" s="840"/>
      <c r="N247" s="821"/>
      <c r="O247" s="582"/>
      <c r="P247" s="585"/>
      <c r="Q247" s="575"/>
      <c r="R247" s="483"/>
      <c r="S247" s="482"/>
      <c r="T247" s="482"/>
      <c r="U247" s="581"/>
      <c r="V247" s="583"/>
      <c r="W247" s="573"/>
      <c r="Y247" s="73"/>
    </row>
    <row r="248" spans="1:30" s="61" customFormat="1" ht="12.75" customHeight="1" x14ac:dyDescent="0.2">
      <c r="A248" s="73" t="s">
        <v>323</v>
      </c>
      <c r="B248" s="75">
        <f>IF($M248&gt;0,('Amounts Pivot Table'!O$319/$M248),0)</f>
        <v>3752.6760927666178</v>
      </c>
      <c r="C248" s="75">
        <f>IF($M248&gt;0,('Amounts Pivot Table'!O$322/$M248),0)</f>
        <v>427.27046329025814</v>
      </c>
      <c r="D248" s="75">
        <f>IF($M248&gt;0,('Amounts Pivot Table'!O$325/$M248),0)</f>
        <v>849.37612757166164</v>
      </c>
      <c r="E248" s="75">
        <f>IF($M248&gt;0,('Amounts Pivot Table'!O$328/$M248),0)</f>
        <v>3021.2440089024276</v>
      </c>
      <c r="F248" s="75">
        <f t="shared" si="45"/>
        <v>8050.5666925309652</v>
      </c>
      <c r="G248" s="116">
        <f>IF(B248&gt;0,RANK(B248,$B$238:$B$256),)</f>
        <v>5</v>
      </c>
      <c r="H248" s="107">
        <f>IF(C248&gt;0,RANK(C248,$C$238:$C$256),)</f>
        <v>2</v>
      </c>
      <c r="I248" s="107">
        <f>IF(D248&gt;0,RANK(D248,$D$238:$D$256),)</f>
        <v>5</v>
      </c>
      <c r="J248" s="107">
        <f>IF(E248&gt;0,RANK(E248,$E$238:$E$256),)</f>
        <v>13</v>
      </c>
      <c r="K248" s="107">
        <f>IF(F248&gt;0,RANK(F248,$F$238:$F$256),)</f>
        <v>5</v>
      </c>
      <c r="L248" s="168"/>
      <c r="M248" s="840">
        <f>+'[1]NEW-Tables 80-86'!AI173</f>
        <v>62634.6</v>
      </c>
      <c r="N248" s="821">
        <f>+'[1]NEW-Tables 80-86'!AP173</f>
        <v>65850.266666666663</v>
      </c>
      <c r="O248" s="582">
        <f t="shared" si="41"/>
        <v>5029.3226836285376</v>
      </c>
      <c r="P248" s="585">
        <f t="shared" si="42"/>
        <v>3021.2440089024276</v>
      </c>
      <c r="Q248" s="575">
        <f t="shared" si="43"/>
        <v>8050.5666925309652</v>
      </c>
      <c r="R248" s="483">
        <f>IF($N248&gt;0,(('Amounts Pivot Table'!O$318+'Amounts Pivot Table'!O$321++'Amounts Pivot Table'!O$324)/$N248),0)</f>
        <v>4645.8113530291957</v>
      </c>
      <c r="S248" s="482">
        <f>IF($N248&gt;0,('Amounts Pivot Table'!O$327/$N248),0)</f>
        <v>2836.3428191634762</v>
      </c>
      <c r="T248" s="482">
        <f t="shared" si="44"/>
        <v>7482.1541721926715</v>
      </c>
      <c r="U248" s="581">
        <f t="shared" si="46"/>
        <v>8.2549914634239718E-2</v>
      </c>
      <c r="V248" s="583">
        <f t="shared" si="53"/>
        <v>6.5190000478674293E-2</v>
      </c>
      <c r="W248" s="573">
        <f t="shared" si="47"/>
        <v>7.5969100242653576E-2</v>
      </c>
      <c r="Y248" s="73" t="s">
        <v>323</v>
      </c>
      <c r="Z248" s="61">
        <f t="shared" si="48"/>
        <v>235047366</v>
      </c>
      <c r="AA248" s="61">
        <f t="shared" si="49"/>
        <v>26761914.560000002</v>
      </c>
      <c r="AB248" s="61">
        <f t="shared" si="50"/>
        <v>53200334</v>
      </c>
      <c r="AC248" s="61">
        <f t="shared" si="51"/>
        <v>189234410</v>
      </c>
      <c r="AD248" s="61">
        <f t="shared" si="52"/>
        <v>504244024.56</v>
      </c>
    </row>
    <row r="249" spans="1:30" s="61" customFormat="1" ht="12.75" customHeight="1" x14ac:dyDescent="0.2">
      <c r="A249" s="73" t="s">
        <v>324</v>
      </c>
      <c r="B249" s="75">
        <f>IF($M249&gt;0,('Amounts Pivot Table'!O$358/$M249),0)</f>
        <v>3611.8923203821541</v>
      </c>
      <c r="C249" s="75">
        <f>IF($M249&gt;0,('Amounts Pivot Table'!O$361/$M249),0)</f>
        <v>703.68245767693986</v>
      </c>
      <c r="D249" s="75">
        <f>IF($M249&gt;0,('Amounts Pivot Table'!O$364/$M249),0)</f>
        <v>1067.780343404645</v>
      </c>
      <c r="E249" s="75">
        <f>IF($M249&gt;0,('Amounts Pivot Table'!O$367/$M249),0)</f>
        <v>1782.455401842858</v>
      </c>
      <c r="F249" s="75">
        <f t="shared" si="45"/>
        <v>7165.8105233065971</v>
      </c>
      <c r="G249" s="116">
        <f>IF(B249&gt;0,RANK(B249,$B$238:$B$256),)</f>
        <v>7</v>
      </c>
      <c r="H249" s="107">
        <f>IF(C249&gt;0,RANK(C249,$C$238:$C$256),)</f>
        <v>1</v>
      </c>
      <c r="I249" s="107">
        <f>IF(D249&gt;0,RANK(D249,$D$238:$D$256),)</f>
        <v>3</v>
      </c>
      <c r="J249" s="107">
        <f>IF(E249&gt;0,RANK(E249,$E$238:$E$256),)</f>
        <v>16</v>
      </c>
      <c r="K249" s="107">
        <f>IF(F249&gt;0,RANK(F249,$F$238:$F$256),)</f>
        <v>12</v>
      </c>
      <c r="L249" s="168"/>
      <c r="M249" s="840">
        <f>+'[1]NEW-Tables 80-86'!AI174</f>
        <v>205949.71555555551</v>
      </c>
      <c r="N249" s="821">
        <f>+'[1]NEW-Tables 80-86'!AP174</f>
        <v>209716.12666666668</v>
      </c>
      <c r="O249" s="582">
        <f t="shared" si="41"/>
        <v>5383.3551214637391</v>
      </c>
      <c r="P249" s="585">
        <f t="shared" si="42"/>
        <v>1782.455401842858</v>
      </c>
      <c r="Q249" s="575">
        <f t="shared" si="43"/>
        <v>7165.8105233065971</v>
      </c>
      <c r="R249" s="483">
        <f>IF($N249&gt;0,(('Amounts Pivot Table'!O$357+'Amounts Pivot Table'!O$360+'Amounts Pivot Table'!O$363)/$N249),0)</f>
        <v>5338.9507511725606</v>
      </c>
      <c r="S249" s="482">
        <f>IF($N249&gt;0,('Amounts Pivot Table'!O$366/$N249),0)</f>
        <v>1752.6794807927502</v>
      </c>
      <c r="T249" s="482">
        <f t="shared" si="44"/>
        <v>7091.6302319653105</v>
      </c>
      <c r="U249" s="581">
        <f t="shared" si="46"/>
        <v>8.3170593550476769E-3</v>
      </c>
      <c r="V249" s="583">
        <f t="shared" si="53"/>
        <v>1.6988799935422294E-2</v>
      </c>
      <c r="W249" s="573">
        <f t="shared" si="47"/>
        <v>1.0460259335987543E-2</v>
      </c>
      <c r="Y249" s="73" t="s">
        <v>324</v>
      </c>
      <c r="Z249" s="61">
        <f t="shared" si="48"/>
        <v>743868196</v>
      </c>
      <c r="AA249" s="61">
        <f t="shared" si="49"/>
        <v>144923202</v>
      </c>
      <c r="AB249" s="61">
        <f t="shared" si="50"/>
        <v>219909058.00000003</v>
      </c>
      <c r="AC249" s="61">
        <f t="shared" si="51"/>
        <v>367096183</v>
      </c>
      <c r="AD249" s="61">
        <f t="shared" si="52"/>
        <v>1475796639</v>
      </c>
    </row>
    <row r="250" spans="1:30" s="61" customFormat="1" ht="12.75" customHeight="1" x14ac:dyDescent="0.2">
      <c r="A250" s="73" t="s">
        <v>331</v>
      </c>
      <c r="B250" s="75">
        <f>IF($M250&gt;0,('Amounts Pivot Table'!O$397/$M250),0)</f>
        <v>3487.6074496832975</v>
      </c>
      <c r="C250" s="75">
        <f>IF($M250&gt;0,('Amounts Pivot Table'!O$400/$M250),0)</f>
        <v>0</v>
      </c>
      <c r="D250" s="75">
        <f>IF($M250&gt;0,('Amounts Pivot Table'!O$403/$M250),0)</f>
        <v>940.72844381733069</v>
      </c>
      <c r="E250" s="75">
        <f>IF($M250&gt;0,('Amounts Pivot Table'!O$406/$M250),0)</f>
        <v>3284.6829069152773</v>
      </c>
      <c r="F250" s="75">
        <f t="shared" si="45"/>
        <v>7713.0188004159054</v>
      </c>
      <c r="G250" s="116">
        <f>IF(B250&gt;0,RANK(B250,$B$238:$B$256),)</f>
        <v>9</v>
      </c>
      <c r="H250" s="107">
        <f>IF(C250&gt;0,RANK(C250,$C$238:$C$256),)</f>
        <v>0</v>
      </c>
      <c r="I250" s="107">
        <f>IF(D250&gt;0,RANK(D250,$D$238:$D$256),)</f>
        <v>4</v>
      </c>
      <c r="J250" s="107">
        <f>IF(E250&gt;0,RANK(E250,$E$238:$E$256),)</f>
        <v>12</v>
      </c>
      <c r="K250" s="107">
        <f>IF(F250&gt;0,RANK(F250,$F$238:$F$256),)</f>
        <v>8</v>
      </c>
      <c r="L250" s="168"/>
      <c r="M250" s="840">
        <f>+'[1]NEW-Tables 80-86'!AI175</f>
        <v>49562.733333333323</v>
      </c>
      <c r="N250" s="821">
        <f>+'[1]NEW-Tables 80-86'!AP175</f>
        <v>53969.066666666666</v>
      </c>
      <c r="O250" s="582">
        <f t="shared" si="41"/>
        <v>4428.3358935006281</v>
      </c>
      <c r="P250" s="585">
        <f t="shared" si="42"/>
        <v>3284.6829069152773</v>
      </c>
      <c r="Q250" s="575">
        <f t="shared" si="43"/>
        <v>7713.0188004159054</v>
      </c>
      <c r="R250" s="483">
        <f>IF($N250&gt;0,(('Amounts Pivot Table'!O$396+'Amounts Pivot Table'!O$399++'Amounts Pivot Table'!O$402)/$N250),0)</f>
        <v>3912.8597739939919</v>
      </c>
      <c r="S250" s="482">
        <f>IF($N250&gt;0,('Amounts Pivot Table'!O$405/$N250),0)</f>
        <v>3106.0229934184522</v>
      </c>
      <c r="T250" s="482">
        <f t="shared" si="44"/>
        <v>7018.8827674124441</v>
      </c>
      <c r="U250" s="581">
        <f t="shared" si="46"/>
        <v>0.13173897079896421</v>
      </c>
      <c r="V250" s="583">
        <f t="shared" si="53"/>
        <v>5.7520473568740099E-2</v>
      </c>
      <c r="W250" s="573">
        <f t="shared" si="47"/>
        <v>9.8895515996680339E-2</v>
      </c>
      <c r="Y250" s="73" t="s">
        <v>331</v>
      </c>
      <c r="Z250" s="61">
        <f t="shared" si="48"/>
        <v>172855358</v>
      </c>
      <c r="AA250" s="61">
        <f t="shared" si="49"/>
        <v>0</v>
      </c>
      <c r="AB250" s="61">
        <f t="shared" si="50"/>
        <v>46625073</v>
      </c>
      <c r="AC250" s="61">
        <f t="shared" si="51"/>
        <v>162797863</v>
      </c>
      <c r="AD250" s="61">
        <f t="shared" si="52"/>
        <v>382278294</v>
      </c>
    </row>
    <row r="251" spans="1:30" s="61" customFormat="1" ht="12.75" customHeight="1" x14ac:dyDescent="0.2">
      <c r="A251" s="73" t="s">
        <v>325</v>
      </c>
      <c r="B251" s="75">
        <f>IF($M251&gt;0,('Amounts Pivot Table'!O$436/$M251),0)</f>
        <v>1341.459947431782</v>
      </c>
      <c r="C251" s="75">
        <f>IF($M251&gt;0,('Amounts Pivot Table'!O$439/$M251),0)</f>
        <v>188.97313906694575</v>
      </c>
      <c r="D251" s="75">
        <f>IF($M251&gt;0,('Amounts Pivot Table'!O$442/$M251),0)</f>
        <v>782.48824726050714</v>
      </c>
      <c r="E251" s="75">
        <f>IF($M251&gt;0,('Amounts Pivot Table'!O$445/$M251),0)</f>
        <v>5028.4112144406045</v>
      </c>
      <c r="F251" s="75">
        <f t="shared" si="45"/>
        <v>7341.3325481998399</v>
      </c>
      <c r="G251" s="116">
        <f>IF(B251&gt;0,RANK(B251,$B$238:$B$256),)</f>
        <v>16</v>
      </c>
      <c r="H251" s="107">
        <f>IF(C251&gt;0,RANK(C251,$C$238:$C$256),)</f>
        <v>4</v>
      </c>
      <c r="I251" s="107">
        <f>IF(D251&gt;0,RANK(D251,$D$238:$D$256),)</f>
        <v>6</v>
      </c>
      <c r="J251" s="107">
        <f>IF(E251&gt;0,RANK(E251,$E$238:$E$256),)</f>
        <v>2</v>
      </c>
      <c r="K251" s="107">
        <f>IF(F251&gt;0,RANK(F251,$F$238:$F$256),)</f>
        <v>10</v>
      </c>
      <c r="L251" s="168"/>
      <c r="M251" s="840">
        <f>+'[1]NEW-Tables 80-86'!AI176</f>
        <v>78995.766666666677</v>
      </c>
      <c r="N251" s="821">
        <f>+'[1]NEW-Tables 80-86'!AP176</f>
        <v>82579.409666666674</v>
      </c>
      <c r="O251" s="582">
        <f t="shared" si="41"/>
        <v>2312.921333759235</v>
      </c>
      <c r="P251" s="585">
        <f t="shared" si="42"/>
        <v>5028.4112144406045</v>
      </c>
      <c r="Q251" s="575">
        <f t="shared" si="43"/>
        <v>7341.3325481998399</v>
      </c>
      <c r="R251" s="483">
        <f>IF($N251&gt;0,(('Amounts Pivot Table'!O$435+'Amounts Pivot Table'!O$438++'Amounts Pivot Table'!O$441)/$N251),0)</f>
        <v>2334.1287710585834</v>
      </c>
      <c r="S251" s="482">
        <f>IF($N251&gt;0,('Amounts Pivot Table'!O$444/$N251),0)</f>
        <v>4810.1966410682617</v>
      </c>
      <c r="T251" s="482">
        <f t="shared" si="44"/>
        <v>7144.3254121268455</v>
      </c>
      <c r="U251" s="581">
        <f t="shared" si="46"/>
        <v>-9.0858043319222287E-3</v>
      </c>
      <c r="V251" s="583">
        <f t="shared" si="53"/>
        <v>4.5365000571760634E-2</v>
      </c>
      <c r="W251" s="573">
        <f t="shared" si="47"/>
        <v>2.7575330728719694E-2</v>
      </c>
      <c r="Y251" s="73" t="s">
        <v>325</v>
      </c>
      <c r="Z251" s="61">
        <f t="shared" si="48"/>
        <v>105969657</v>
      </c>
      <c r="AA251" s="61">
        <f t="shared" si="49"/>
        <v>14928078</v>
      </c>
      <c r="AB251" s="61">
        <f t="shared" si="50"/>
        <v>61813259</v>
      </c>
      <c r="AC251" s="61">
        <f t="shared" si="51"/>
        <v>397223199</v>
      </c>
      <c r="AD251" s="61">
        <f t="shared" si="52"/>
        <v>579934193</v>
      </c>
    </row>
    <row r="252" spans="1:30" s="61" customFormat="1" ht="12.75" customHeight="1" x14ac:dyDescent="0.2">
      <c r="A252" s="73"/>
      <c r="B252" s="75"/>
      <c r="C252" s="75"/>
      <c r="D252" s="75"/>
      <c r="E252" s="75"/>
      <c r="F252" s="75"/>
      <c r="G252" s="116"/>
      <c r="H252" s="107"/>
      <c r="I252" s="107"/>
      <c r="J252" s="107"/>
      <c r="K252" s="107"/>
      <c r="L252" s="168"/>
      <c r="M252" s="840"/>
      <c r="N252" s="821"/>
      <c r="O252" s="582"/>
      <c r="P252" s="585"/>
      <c r="Q252" s="575"/>
      <c r="R252" s="483"/>
      <c r="S252" s="482"/>
      <c r="T252" s="482"/>
      <c r="U252" s="581"/>
      <c r="V252" s="583"/>
      <c r="W252" s="573"/>
      <c r="Y252" s="73"/>
    </row>
    <row r="253" spans="1:30" s="61" customFormat="1" ht="12.75" customHeight="1" x14ac:dyDescent="0.2">
      <c r="A253" s="73" t="s">
        <v>90</v>
      </c>
      <c r="B253" s="75">
        <f>IF($M253&gt;0,('Amounts Pivot Table'!O$475/$M253),0)</f>
        <v>3578.3831887160786</v>
      </c>
      <c r="C253" s="75">
        <f>IF($M253&gt;0,('Amounts Pivot Table'!O$478/$M253),0)</f>
        <v>0</v>
      </c>
      <c r="D253" s="75">
        <f>IF($M253&gt;0,('Amounts Pivot Table'!O$481/$M253),0)</f>
        <v>0</v>
      </c>
      <c r="E253" s="75">
        <f>IF($M253&gt;0,('Amounts Pivot Table'!O$484/$M253),0)</f>
        <v>4432.308464495668</v>
      </c>
      <c r="F253" s="75">
        <f t="shared" si="45"/>
        <v>8010.6916532117466</v>
      </c>
      <c r="G253" s="116">
        <f>IF(B253&gt;0,RANK(B253,$B$238:$B$256),)</f>
        <v>8</v>
      </c>
      <c r="H253" s="107">
        <f>IF(C253&gt;0,RANK(C253,$C$238:$C$256),)</f>
        <v>0</v>
      </c>
      <c r="I253" s="107">
        <f>IF(D253&gt;0,RANK(D253,$D$238:$D$256),)</f>
        <v>0</v>
      </c>
      <c r="J253" s="107">
        <f>IF(E253&gt;0,RANK(E253,$E$238:$E$256),)</f>
        <v>4</v>
      </c>
      <c r="K253" s="107">
        <f>IF(F253&gt;0,RANK(F253,$F$238:$F$256),)</f>
        <v>6</v>
      </c>
      <c r="L253" s="168"/>
      <c r="M253" s="840">
        <f>+'[1]NEW-Tables 80-86'!AI178</f>
        <v>60035.866666666669</v>
      </c>
      <c r="N253" s="821">
        <f>+'[1]NEW-Tables 80-86'!AP178</f>
        <v>62992.066666666658</v>
      </c>
      <c r="O253" s="582">
        <f t="shared" si="41"/>
        <v>3578.3831887160786</v>
      </c>
      <c r="P253" s="585">
        <f t="shared" si="42"/>
        <v>4432.308464495668</v>
      </c>
      <c r="Q253" s="575">
        <f t="shared" si="43"/>
        <v>8010.6916532117466</v>
      </c>
      <c r="R253" s="483">
        <f>IF($N253&gt;0,(('Amounts Pivot Table'!O$474+'Amounts Pivot Table'!O$477++'Amounts Pivot Table'!O$481)/$N253),0)</f>
        <v>3215.9822564957917</v>
      </c>
      <c r="S253" s="482">
        <f>IF($N253&gt;0,('Amounts Pivot Table'!O$483/$N253),0)</f>
        <v>4249.5906891978993</v>
      </c>
      <c r="T253" s="482">
        <f t="shared" si="44"/>
        <v>7465.5729456936915</v>
      </c>
      <c r="U253" s="581">
        <f t="shared" si="46"/>
        <v>0.11268747875965189</v>
      </c>
      <c r="V253" s="583">
        <f t="shared" si="53"/>
        <v>4.2996558647923858E-2</v>
      </c>
      <c r="W253" s="573">
        <f t="shared" si="47"/>
        <v>7.3017665420105723E-2</v>
      </c>
      <c r="Y253" s="73" t="s">
        <v>90</v>
      </c>
      <c r="Z253" s="61">
        <f t="shared" si="48"/>
        <v>214831336</v>
      </c>
      <c r="AA253" s="61">
        <f t="shared" si="49"/>
        <v>0</v>
      </c>
      <c r="AB253" s="61">
        <f t="shared" si="50"/>
        <v>0</v>
      </c>
      <c r="AC253" s="61">
        <f t="shared" si="51"/>
        <v>266097480</v>
      </c>
      <c r="AD253" s="61">
        <f t="shared" si="52"/>
        <v>480928816</v>
      </c>
    </row>
    <row r="254" spans="1:30" s="76" customFormat="1" ht="12.75" customHeight="1" x14ac:dyDescent="0.2">
      <c r="A254" s="73" t="s">
        <v>326</v>
      </c>
      <c r="B254" s="75">
        <f>IF($M254&gt;0,('Amounts Pivot Table'!O$514/$M254),0)</f>
        <v>2604.5374445310126</v>
      </c>
      <c r="C254" s="75">
        <f>IF($M254&gt;0,('Amounts Pivot Table'!O$517/$M254),0)</f>
        <v>0</v>
      </c>
      <c r="D254" s="75">
        <f>IF($M254&gt;0,('Amounts Pivot Table'!O$520/$M254),0)</f>
        <v>3185.2806401426178</v>
      </c>
      <c r="E254" s="75">
        <f>IF($M254&gt;0,('Amounts Pivot Table'!O$523/$M254),0)</f>
        <v>1839.8883559163432</v>
      </c>
      <c r="F254" s="75">
        <f t="shared" si="45"/>
        <v>7629.7064405899737</v>
      </c>
      <c r="G254" s="116">
        <f>IF(B254&gt;0,RANK(B254,$B$238:$B$256),)</f>
        <v>14</v>
      </c>
      <c r="H254" s="107">
        <f>IF(C254&gt;0,RANK(C254,$C$238:$C$256),)</f>
        <v>0</v>
      </c>
      <c r="I254" s="107">
        <f>IF(D254&gt;0,RANK(D254,$D$238:$D$256),)</f>
        <v>2</v>
      </c>
      <c r="J254" s="107">
        <f>IF(E254&gt;0,RANK(E254,$E$238:$E$256),)</f>
        <v>15</v>
      </c>
      <c r="K254" s="107">
        <f>IF(F254&gt;0,RANK(F254,$F$238:$F$256),)</f>
        <v>9</v>
      </c>
      <c r="L254" s="169"/>
      <c r="M254" s="840">
        <f>+'[1]NEW-Tables 80-86'!AI179</f>
        <v>487766.30555555562</v>
      </c>
      <c r="N254" s="821">
        <f>+'[1]NEW-Tables 80-86'!AP179</f>
        <v>498206.86444444442</v>
      </c>
      <c r="O254" s="582">
        <f t="shared" si="41"/>
        <v>5789.8180846736304</v>
      </c>
      <c r="P254" s="585">
        <f t="shared" si="42"/>
        <v>1839.8883559163432</v>
      </c>
      <c r="Q254" s="575">
        <f t="shared" si="43"/>
        <v>7629.7064405899737</v>
      </c>
      <c r="R254" s="483">
        <f>IF($N254&gt;0,(('Amounts Pivot Table'!O$513+'Amounts Pivot Table'!O$516++'Amounts Pivot Table'!O$519)/$N254),0)</f>
        <v>5228.6052399233413</v>
      </c>
      <c r="S254" s="482">
        <f>IF($N254&gt;0,('Amounts Pivot Table'!O$522/$N254),0)</f>
        <v>1788.9020577703893</v>
      </c>
      <c r="T254" s="482">
        <f t="shared" si="44"/>
        <v>7017.5072976937308</v>
      </c>
      <c r="U254" s="581">
        <f t="shared" si="46"/>
        <v>0.1073350958808505</v>
      </c>
      <c r="V254" s="583">
        <f t="shared" si="53"/>
        <v>2.850144753564712E-2</v>
      </c>
      <c r="W254" s="573">
        <f t="shared" si="47"/>
        <v>8.7238832383892087E-2</v>
      </c>
      <c r="Y254" s="73" t="s">
        <v>326</v>
      </c>
      <c r="Z254" s="61">
        <f t="shared" si="48"/>
        <v>1270405607</v>
      </c>
      <c r="AA254" s="61">
        <f t="shared" si="49"/>
        <v>0</v>
      </c>
      <c r="AB254" s="61">
        <f t="shared" si="50"/>
        <v>1553672570</v>
      </c>
      <c r="AC254" s="61">
        <f t="shared" si="51"/>
        <v>897435546</v>
      </c>
      <c r="AD254" s="61">
        <f t="shared" si="52"/>
        <v>3721513723</v>
      </c>
    </row>
    <row r="255" spans="1:30" s="61" customFormat="1" ht="12.75" customHeight="1" x14ac:dyDescent="0.2">
      <c r="A255" s="73" t="s">
        <v>327</v>
      </c>
      <c r="B255" s="75">
        <f>IF($M255&gt;0,('Amounts Pivot Table'!O$553/$M255),0)</f>
        <v>2671.1522885717886</v>
      </c>
      <c r="C255" s="75">
        <f>IF($M255&gt;0,('Amounts Pivot Table'!O$556/$M255),0)</f>
        <v>0</v>
      </c>
      <c r="D255" s="75">
        <f>IF($M255&gt;0,('Amounts Pivot Table'!O$559/$M255),0)</f>
        <v>88.296282601917255</v>
      </c>
      <c r="E255" s="75">
        <f>IF($M255&gt;0,('Amounts Pivot Table'!O$562/$M255),0)</f>
        <v>4301.00173474445</v>
      </c>
      <c r="F255" s="75">
        <f t="shared" si="45"/>
        <v>7060.4503059181561</v>
      </c>
      <c r="G255" s="116">
        <f>IF(B255&gt;0,RANK(B255,$B$238:$B$256),)</f>
        <v>13</v>
      </c>
      <c r="H255" s="107">
        <f>IF(C255&gt;0,RANK(C255,$C$238:$C$256),)</f>
        <v>0</v>
      </c>
      <c r="I255" s="107">
        <f>IF(D255&gt;0,RANK(D255,$D$238:$D$256),)</f>
        <v>8</v>
      </c>
      <c r="J255" s="107">
        <f>IF(E255&gt;0,RANK(E255,$E$238:$E$256),)</f>
        <v>5</v>
      </c>
      <c r="K255" s="107">
        <f>IF(F255&gt;0,RANK(F255,$F$238:$F$256),)</f>
        <v>14</v>
      </c>
      <c r="L255" s="170"/>
      <c r="M255" s="840">
        <f>+'[1]NEW-Tables 80-86'!AI180</f>
        <v>123687.76666666665</v>
      </c>
      <c r="N255" s="821">
        <f>+'[1]NEW-Tables 80-86'!AP180</f>
        <v>128968.7</v>
      </c>
      <c r="O255" s="582">
        <f t="shared" si="41"/>
        <v>2759.4485711737061</v>
      </c>
      <c r="P255" s="585">
        <f t="shared" si="42"/>
        <v>4301.00173474445</v>
      </c>
      <c r="Q255" s="575">
        <f t="shared" si="43"/>
        <v>7060.4503059181561</v>
      </c>
      <c r="R255" s="483">
        <f>IF($N255&gt;0,(('Amounts Pivot Table'!O$552+'Amounts Pivot Table'!O$555++'Amounts Pivot Table'!O$558)/$N255),0)</f>
        <v>2579.8843983074962</v>
      </c>
      <c r="S255" s="482">
        <f>IF($N255&gt;0,('Amounts Pivot Table'!O$561/$N255),0)</f>
        <v>4297.1679252407757</v>
      </c>
      <c r="T255" s="482">
        <f t="shared" si="44"/>
        <v>6877.0523235482724</v>
      </c>
      <c r="U255" s="581">
        <f t="shared" si="46"/>
        <v>6.9601635245366389E-2</v>
      </c>
      <c r="V255" s="583">
        <f t="shared" si="53"/>
        <v>8.9217120912477748E-4</v>
      </c>
      <c r="W255" s="573">
        <f t="shared" si="47"/>
        <v>2.6668109204563681E-2</v>
      </c>
      <c r="Y255" s="73" t="s">
        <v>327</v>
      </c>
      <c r="Z255" s="61">
        <f t="shared" si="48"/>
        <v>330388861</v>
      </c>
      <c r="AA255" s="61">
        <f t="shared" si="49"/>
        <v>0</v>
      </c>
      <c r="AB255" s="61">
        <f t="shared" si="50"/>
        <v>10921170</v>
      </c>
      <c r="AC255" s="61">
        <f t="shared" si="51"/>
        <v>531981299</v>
      </c>
      <c r="AD255" s="61">
        <f t="shared" si="52"/>
        <v>873291330</v>
      </c>
    </row>
    <row r="256" spans="1:30" s="61" customFormat="1" ht="13.5" customHeight="1" x14ac:dyDescent="0.2">
      <c r="A256" s="74" t="s">
        <v>332</v>
      </c>
      <c r="B256" s="104">
        <f>IF($M256&gt;0,('Amounts Pivot Table'!O$592/$M256),0)</f>
        <v>3626.5078638455525</v>
      </c>
      <c r="C256" s="104">
        <f>IF($M256&gt;0,('Amounts Pivot Table'!O$595/$M256),0)</f>
        <v>39.372679159530264</v>
      </c>
      <c r="D256" s="104">
        <f>IF($M256&gt;0,('Amounts Pivot Table'!O$598/$M256),0)</f>
        <v>0</v>
      </c>
      <c r="E256" s="104">
        <f>IF($M256&gt;0,('Amounts Pivot Table'!O$601/$M256),0)</f>
        <v>4154.0920860628539</v>
      </c>
      <c r="F256" s="105">
        <f t="shared" si="45"/>
        <v>7819.9726290679373</v>
      </c>
      <c r="G256" s="117">
        <f>IF(B256&gt;0,RANK(B256,$B$238:$B$256),)</f>
        <v>6</v>
      </c>
      <c r="H256" s="118">
        <f>IF(C256&gt;0,RANK(C256,$C$238:$C$256),)</f>
        <v>6</v>
      </c>
      <c r="I256" s="118">
        <f>IF(D256&gt;0,RANK(D256,$D$238:$D$256),)</f>
        <v>0</v>
      </c>
      <c r="J256" s="118">
        <f>IF(E256&gt;0,RANK(E256,$E$238:$E$256),)</f>
        <v>7</v>
      </c>
      <c r="K256" s="118">
        <f>IF(F256&gt;0,RANK(F256,$F$238:$F$256),)</f>
        <v>7</v>
      </c>
      <c r="L256" s="171"/>
      <c r="M256" s="840">
        <f>+'[1]NEW-Tables 80-86'!AI181</f>
        <v>17461.346666666668</v>
      </c>
      <c r="N256" s="821">
        <f>+'[1]NEW-Tables 80-86'!AP181</f>
        <v>18366.080000000002</v>
      </c>
      <c r="O256" s="582">
        <f t="shared" si="41"/>
        <v>3665.8805430050829</v>
      </c>
      <c r="P256" s="585">
        <f t="shared" si="42"/>
        <v>4154.0920860628539</v>
      </c>
      <c r="Q256" s="575">
        <f t="shared" si="43"/>
        <v>7819.9726290679373</v>
      </c>
      <c r="R256" s="483">
        <f>IF($N256&gt;0,(('Amounts Pivot Table'!O$591+'Amounts Pivot Table'!O$594++'Amounts Pivot Table'!O$597)/$N256),0)</f>
        <v>3766.1132914590371</v>
      </c>
      <c r="S256" s="482">
        <f>IF($N256&gt;0,('Amounts Pivot Table'!O$600/$N256),0)</f>
        <v>3852.208745687702</v>
      </c>
      <c r="T256" s="482">
        <f t="shared" si="44"/>
        <v>7618.3220371467396</v>
      </c>
      <c r="U256" s="581">
        <f t="shared" si="46"/>
        <v>-2.6614374209418118E-2</v>
      </c>
      <c r="V256" s="583">
        <f t="shared" si="53"/>
        <v>7.8366298480862628E-2</v>
      </c>
      <c r="W256" s="573">
        <f t="shared" si="47"/>
        <v>2.6469160917319413E-2</v>
      </c>
      <c r="Y256" s="74" t="s">
        <v>332</v>
      </c>
      <c r="Z256" s="74">
        <f t="shared" si="48"/>
        <v>63323711</v>
      </c>
      <c r="AA256" s="74">
        <f t="shared" si="49"/>
        <v>687500</v>
      </c>
      <c r="AB256" s="74">
        <f t="shared" si="50"/>
        <v>0</v>
      </c>
      <c r="AC256" s="74">
        <f t="shared" si="51"/>
        <v>72536042</v>
      </c>
      <c r="AD256" s="74">
        <f t="shared" si="52"/>
        <v>136547253</v>
      </c>
    </row>
    <row r="257" spans="1:21" s="76" customFormat="1" ht="34.5" customHeight="1" x14ac:dyDescent="0.2">
      <c r="A257" s="1558" t="s">
        <v>17</v>
      </c>
      <c r="B257" s="1582"/>
      <c r="C257" s="1582"/>
      <c r="D257" s="1582"/>
      <c r="E257" s="1582"/>
      <c r="F257" s="1582"/>
      <c r="G257" s="1582"/>
      <c r="H257" s="1582"/>
      <c r="I257" s="1582"/>
      <c r="J257" s="1582"/>
      <c r="K257" s="1582"/>
      <c r="L257" s="169"/>
      <c r="M257" s="296"/>
      <c r="N257" s="90"/>
      <c r="O257" s="90"/>
      <c r="P257" s="90"/>
      <c r="Q257" s="90"/>
      <c r="U257" s="61"/>
    </row>
    <row r="258" spans="1:21" s="205" customFormat="1" ht="13.5" customHeight="1" x14ac:dyDescent="0.2">
      <c r="A258" s="1558" t="s">
        <v>54</v>
      </c>
      <c r="B258" s="1582"/>
      <c r="C258" s="1582"/>
      <c r="D258" s="1582"/>
      <c r="E258" s="1582"/>
      <c r="F258" s="1582"/>
      <c r="G258" s="1582"/>
      <c r="H258" s="1582"/>
      <c r="I258" s="1582"/>
      <c r="J258" s="1582"/>
      <c r="K258" s="1582"/>
      <c r="L258" s="204"/>
      <c r="M258" s="296"/>
      <c r="N258" s="206"/>
      <c r="O258" s="206"/>
      <c r="P258" s="206"/>
      <c r="Q258" s="206"/>
    </row>
    <row r="259" spans="1:21" s="61" customFormat="1" ht="13.5" customHeight="1" x14ac:dyDescent="0.2">
      <c r="A259" s="1558" t="s">
        <v>233</v>
      </c>
      <c r="B259" s="1583"/>
      <c r="C259" s="1583"/>
      <c r="D259" s="1583"/>
      <c r="E259" s="1583"/>
      <c r="F259" s="1583"/>
      <c r="G259" s="1584"/>
      <c r="H259" s="1584"/>
      <c r="I259" s="1584"/>
      <c r="J259" s="1584"/>
      <c r="K259" s="1584"/>
      <c r="L259" s="171"/>
      <c r="M259" s="300"/>
      <c r="N259" s="73"/>
      <c r="O259" s="73"/>
      <c r="P259" s="73"/>
      <c r="Q259" s="73"/>
    </row>
    <row r="260" spans="1:21" s="61" customFormat="1" ht="13.5" customHeight="1" x14ac:dyDescent="0.2">
      <c r="A260" s="187"/>
      <c r="B260" s="106"/>
      <c r="C260" s="106"/>
      <c r="D260" s="106"/>
      <c r="E260" s="106"/>
      <c r="F260" s="106"/>
      <c r="G260" s="188"/>
      <c r="H260" s="188"/>
      <c r="I260" s="188"/>
      <c r="J260" s="188"/>
      <c r="K260" s="188"/>
      <c r="L260" s="171"/>
      <c r="M260" s="300"/>
      <c r="N260" s="73"/>
      <c r="O260" s="73"/>
      <c r="P260" s="73"/>
      <c r="Q260" s="73"/>
    </row>
    <row r="261" spans="1:21" s="61" customFormat="1" x14ac:dyDescent="0.2">
      <c r="A261" s="187"/>
      <c r="B261" s="106"/>
      <c r="C261" s="106"/>
      <c r="D261" s="106"/>
      <c r="E261" s="106"/>
      <c r="F261" s="106"/>
      <c r="G261" s="188"/>
      <c r="H261" s="188"/>
      <c r="I261" s="188"/>
      <c r="J261" s="188"/>
      <c r="K261" s="535" t="s">
        <v>1898</v>
      </c>
      <c r="L261" s="171"/>
      <c r="M261" s="300"/>
      <c r="N261" s="73"/>
      <c r="O261" s="73"/>
      <c r="P261" s="73"/>
      <c r="Q261" s="73"/>
    </row>
    <row r="262" spans="1:21" s="61" customFormat="1" ht="18" x14ac:dyDescent="0.2">
      <c r="A262" s="135" t="s">
        <v>366</v>
      </c>
      <c r="B262" s="135"/>
      <c r="C262" s="135"/>
      <c r="D262" s="135"/>
      <c r="E262" s="135"/>
      <c r="F262" s="135"/>
      <c r="G262" s="135"/>
      <c r="H262" s="135"/>
      <c r="I262" s="135"/>
      <c r="J262" s="566"/>
      <c r="K262" s="135"/>
      <c r="L262" s="170"/>
      <c r="M262" s="300"/>
      <c r="N262" s="73"/>
      <c r="O262" s="73"/>
      <c r="P262" s="73"/>
      <c r="Q262" s="73"/>
    </row>
    <row r="263" spans="1:21" s="61" customFormat="1" ht="15" customHeight="1" x14ac:dyDescent="0.2">
      <c r="A263" s="135"/>
      <c r="B263" s="135"/>
      <c r="C263" s="135"/>
      <c r="D263" s="135"/>
      <c r="E263" s="135"/>
      <c r="F263" s="135"/>
      <c r="G263" s="135"/>
      <c r="H263" s="135"/>
      <c r="I263" s="135"/>
      <c r="J263" s="566"/>
      <c r="K263" s="135"/>
      <c r="L263" s="170"/>
      <c r="M263" s="300"/>
      <c r="N263" s="73"/>
      <c r="O263" s="73"/>
      <c r="P263" s="73"/>
      <c r="Q263" s="73"/>
    </row>
    <row r="264" spans="1:21" s="61" customFormat="1" ht="18.75" x14ac:dyDescent="0.2">
      <c r="A264" s="1557" t="s">
        <v>18</v>
      </c>
      <c r="B264" s="1557"/>
      <c r="C264" s="1557"/>
      <c r="D264" s="1557"/>
      <c r="E264" s="1557"/>
      <c r="F264" s="1557"/>
      <c r="G264" s="1557"/>
      <c r="H264" s="1557"/>
      <c r="I264" s="1557"/>
      <c r="J264" s="1557"/>
      <c r="K264" s="1557"/>
      <c r="L264" s="165"/>
      <c r="M264" s="300"/>
      <c r="N264" s="73"/>
      <c r="O264" s="73"/>
      <c r="P264" s="73"/>
      <c r="Q264" s="73"/>
    </row>
    <row r="265" spans="1:21" s="61" customFormat="1" ht="15.75" x14ac:dyDescent="0.2">
      <c r="A265" s="1557" t="s">
        <v>1908</v>
      </c>
      <c r="B265" s="1557"/>
      <c r="C265" s="1557"/>
      <c r="D265" s="1557"/>
      <c r="E265" s="1557"/>
      <c r="F265" s="1557"/>
      <c r="G265" s="1557"/>
      <c r="H265" s="1557"/>
      <c r="I265" s="1557"/>
      <c r="J265" s="1557"/>
      <c r="K265" s="1557"/>
      <c r="L265" s="165"/>
      <c r="M265" s="296"/>
      <c r="N265" s="73"/>
      <c r="O265" s="73"/>
      <c r="P265" s="73"/>
      <c r="Q265" s="73"/>
    </row>
    <row r="266" spans="1:21" s="61" customFormat="1" ht="9.75" customHeight="1" x14ac:dyDescent="0.2">
      <c r="A266" s="91"/>
      <c r="B266" s="91"/>
      <c r="C266" s="91"/>
      <c r="D266" s="91"/>
      <c r="E266" s="91"/>
      <c r="F266" s="91"/>
      <c r="G266" s="108"/>
      <c r="H266" s="91"/>
      <c r="I266" s="91"/>
      <c r="J266" s="91"/>
      <c r="K266" s="91"/>
      <c r="L266" s="165"/>
      <c r="M266" s="296"/>
      <c r="N266" s="73"/>
      <c r="O266" s="73"/>
      <c r="P266" s="73"/>
      <c r="Q266" s="73"/>
    </row>
    <row r="267" spans="1:21" s="59" customFormat="1" ht="13.5" customHeight="1" x14ac:dyDescent="0.2">
      <c r="A267" s="56"/>
      <c r="B267" s="1580" t="s">
        <v>55</v>
      </c>
      <c r="C267" s="1581"/>
      <c r="D267" s="1581"/>
      <c r="E267" s="1581"/>
      <c r="F267" s="1581"/>
      <c r="G267" s="569" t="s">
        <v>119</v>
      </c>
      <c r="H267" s="570"/>
      <c r="I267" s="570"/>
      <c r="J267" s="570"/>
      <c r="K267" s="570"/>
      <c r="L267" s="173"/>
      <c r="M267" s="296"/>
      <c r="N267" s="89"/>
      <c r="O267" s="89"/>
      <c r="P267" s="89"/>
      <c r="Q267" s="89"/>
    </row>
    <row r="268" spans="1:21" s="6" customFormat="1" ht="48" x14ac:dyDescent="0.2">
      <c r="A268" s="50"/>
      <c r="B268" s="550" t="s">
        <v>87</v>
      </c>
      <c r="C268" s="551" t="s">
        <v>89</v>
      </c>
      <c r="D268" s="551" t="s">
        <v>88</v>
      </c>
      <c r="E268" s="551" t="s">
        <v>398</v>
      </c>
      <c r="F268" s="551" t="s">
        <v>97</v>
      </c>
      <c r="G268" s="552" t="s">
        <v>87</v>
      </c>
      <c r="H268" s="551" t="s">
        <v>89</v>
      </c>
      <c r="I268" s="551" t="s">
        <v>88</v>
      </c>
      <c r="J268" s="551" t="s">
        <v>398</v>
      </c>
      <c r="K268" s="551" t="s">
        <v>97</v>
      </c>
      <c r="L268" s="167"/>
      <c r="M268" s="298" t="s">
        <v>260</v>
      </c>
      <c r="N268" s="7"/>
      <c r="O268" s="7"/>
      <c r="P268" s="7"/>
      <c r="Q268" s="7"/>
    </row>
    <row r="269" spans="1:21" s="61" customFormat="1" ht="14.25" x14ac:dyDescent="0.2">
      <c r="A269" s="73" t="s">
        <v>56</v>
      </c>
      <c r="B269" s="102">
        <f>IF($M269&gt;0,('Amounts Pivot Table'!J$631/$M269),0)</f>
        <v>3141.7652328604131</v>
      </c>
      <c r="C269" s="102">
        <f>IF($M269&gt;0,('Amounts Pivot Table'!J$634/$M269),0)</f>
        <v>0.80075795653258541</v>
      </c>
      <c r="D269" s="102">
        <f>IF($M269&gt;0,('Amounts Pivot Table'!J$637/$M269),0)</f>
        <v>319.82064393889038</v>
      </c>
      <c r="E269" s="102">
        <f>IF($M269&gt;0,('Amounts Pivot Table'!J$640/$M269),0)</f>
        <v>2467.2433143035219</v>
      </c>
      <c r="F269" s="102">
        <f>SUM(B269:E269)</f>
        <v>5929.6299490593574</v>
      </c>
      <c r="G269" s="114"/>
      <c r="H269" s="115"/>
      <c r="I269" s="115"/>
      <c r="J269" s="115"/>
      <c r="K269" s="115"/>
      <c r="L269" s="168"/>
      <c r="M269" s="840">
        <f>+'[1]NEW-Tables 80-86'!AD161</f>
        <v>259129.48888888894</v>
      </c>
      <c r="N269" s="73"/>
      <c r="O269" s="73"/>
      <c r="P269" s="73"/>
      <c r="Q269" s="73"/>
    </row>
    <row r="270" spans="1:21" s="61" customFormat="1" ht="12.75" customHeight="1" x14ac:dyDescent="0.2">
      <c r="A270" s="73"/>
      <c r="B270" s="102"/>
      <c r="C270" s="102"/>
      <c r="D270" s="102"/>
      <c r="E270" s="102"/>
      <c r="F270" s="102"/>
      <c r="G270" s="114"/>
      <c r="H270" s="115"/>
      <c r="I270" s="115"/>
      <c r="J270" s="115"/>
      <c r="K270" s="115"/>
      <c r="L270" s="168"/>
      <c r="M270" s="840"/>
      <c r="N270" s="73"/>
      <c r="O270" s="73"/>
      <c r="P270" s="73"/>
      <c r="Q270" s="73"/>
    </row>
    <row r="271" spans="1:21" s="61" customFormat="1" ht="12.75" customHeight="1" x14ac:dyDescent="0.2">
      <c r="A271" s="73" t="s">
        <v>320</v>
      </c>
      <c r="B271" s="75">
        <f>IF($M271&gt;0,('Amounts Pivot Table'!J$7/$M271),0)</f>
        <v>0</v>
      </c>
      <c r="C271" s="75">
        <f>IF($M271&gt;0,('Amounts Pivot Table'!J$10/$M271),0)</f>
        <v>0</v>
      </c>
      <c r="D271" s="75">
        <f>IF($M271&gt;0,('Amounts Pivot Table'!J$13/$M271),0)</f>
        <v>0</v>
      </c>
      <c r="E271" s="75">
        <f>IF($M271&gt;0,('Amounts Pivot Table'!J$16/$M271),0)</f>
        <v>0</v>
      </c>
      <c r="F271" s="75">
        <f t="shared" ref="F271:F289" si="54">SUM(B271:E271)</f>
        <v>0</v>
      </c>
      <c r="G271" s="116">
        <f>IF(B271&gt;0,RANK(B271,$B$271:$B$289),)</f>
        <v>0</v>
      </c>
      <c r="H271" s="107">
        <f>IF(C271&gt;0,RANK(C271,$C$271:$C$289),)</f>
        <v>0</v>
      </c>
      <c r="I271" s="107">
        <f>IF(D271&gt;0,RANK(D271,$D$271:$D$289),)</f>
        <v>0</v>
      </c>
      <c r="J271" s="107">
        <f>IF(E271&gt;0,RANK(E271,$E$271:$E$289),)</f>
        <v>0</v>
      </c>
      <c r="K271" s="107">
        <f>IF(F271&gt;0,RANK(F271,$F$271:$F$289),)</f>
        <v>0</v>
      </c>
      <c r="L271" s="168"/>
      <c r="M271" s="840">
        <f>+'[1]NEW-Tables 80-86'!AD163</f>
        <v>0</v>
      </c>
      <c r="N271" s="73"/>
      <c r="O271" s="73"/>
      <c r="P271" s="73"/>
      <c r="Q271" s="73"/>
    </row>
    <row r="272" spans="1:21" s="61" customFormat="1" ht="12.75" customHeight="1" x14ac:dyDescent="0.2">
      <c r="A272" s="73" t="s">
        <v>334</v>
      </c>
      <c r="B272" s="75">
        <f>IF($M272&gt;0,('Amounts Pivot Table'!J$46/$M272),0)</f>
        <v>0</v>
      </c>
      <c r="C272" s="75">
        <f>IF($M272&gt;0,('Amounts Pivot Table'!J$49/$M272),0)</f>
        <v>0</v>
      </c>
      <c r="D272" s="75">
        <f>IF($M272&gt;0,('Amounts Pivot Table'!J$52/$M272),0)</f>
        <v>0</v>
      </c>
      <c r="E272" s="75">
        <f>IF($M272&gt;0,('Amounts Pivot Table'!J$55/$M272),0)</f>
        <v>0</v>
      </c>
      <c r="F272" s="75">
        <f t="shared" si="54"/>
        <v>0</v>
      </c>
      <c r="G272" s="116">
        <f>IF(B272&gt;0,RANK(B272,$B$271:$B$289),)</f>
        <v>0</v>
      </c>
      <c r="H272" s="107">
        <f>IF(C272&gt;0,RANK(C272,$C$271:$C$289),)</f>
        <v>0</v>
      </c>
      <c r="I272" s="107">
        <f>IF(D272&gt;0,RANK(D272,$D$271:$D$289),)</f>
        <v>0</v>
      </c>
      <c r="J272" s="107">
        <f>IF(E272&gt;0,RANK(E272,$E$271:$E$289),)</f>
        <v>0</v>
      </c>
      <c r="K272" s="107">
        <f>IF(F272&gt;0,RANK(F272,$F$271:$F$289),)</f>
        <v>0</v>
      </c>
      <c r="L272" s="168"/>
      <c r="M272" s="840">
        <f>+'[1]NEW-Tables 80-86'!AD164</f>
        <v>0</v>
      </c>
      <c r="N272" s="73"/>
      <c r="O272" s="73"/>
      <c r="P272" s="73"/>
      <c r="Q272" s="73"/>
    </row>
    <row r="273" spans="1:17" s="61" customFormat="1" ht="12.75" customHeight="1" x14ac:dyDescent="0.2">
      <c r="A273" s="73" t="s">
        <v>321</v>
      </c>
      <c r="B273" s="75">
        <f>IF($M273&gt;0,('Amounts Pivot Table'!J$85/$M273),0)</f>
        <v>0</v>
      </c>
      <c r="C273" s="75">
        <f>IF($M273&gt;0,('Amounts Pivot Table'!J$88/$M273),0)</f>
        <v>0</v>
      </c>
      <c r="D273" s="75">
        <f>IF($M273&gt;0,('Amounts Pivot Table'!J$91/$M273),0)</f>
        <v>0</v>
      </c>
      <c r="E273" s="75">
        <f>IF($M273&gt;0,('Amounts Pivot Table'!J$94/$M273),0)</f>
        <v>0</v>
      </c>
      <c r="F273" s="75">
        <f t="shared" si="54"/>
        <v>0</v>
      </c>
      <c r="G273" s="116">
        <f>IF(B273&gt;0,RANK(B273,$B$271:$B$289),)</f>
        <v>0</v>
      </c>
      <c r="H273" s="107">
        <f>IF(C273&gt;0,RANK(C273,$C$271:$C$289),)</f>
        <v>0</v>
      </c>
      <c r="I273" s="107">
        <f>IF(D273&gt;0,RANK(D273,$D$271:$D$289),)</f>
        <v>0</v>
      </c>
      <c r="J273" s="107">
        <f>IF(E273&gt;0,RANK(E273,$E$271:$E$289),)</f>
        <v>0</v>
      </c>
      <c r="K273" s="107">
        <f>IF(F273&gt;0,RANK(F273,$F$271:$F$289),)</f>
        <v>0</v>
      </c>
      <c r="L273" s="168"/>
      <c r="M273" s="840">
        <f>+'[1]NEW-Tables 80-86'!AD165</f>
        <v>0</v>
      </c>
      <c r="N273" s="73"/>
      <c r="O273" s="73"/>
      <c r="P273" s="73"/>
      <c r="Q273" s="73"/>
    </row>
    <row r="274" spans="1:17" s="61" customFormat="1" ht="12.75" customHeight="1" x14ac:dyDescent="0.2">
      <c r="A274" s="73" t="s">
        <v>328</v>
      </c>
      <c r="B274" s="75">
        <f>IF($M274&gt;0,('Amounts Pivot Table'!J$124/$M274),0)</f>
        <v>3194.9459483825685</v>
      </c>
      <c r="C274" s="75">
        <f>IF($M274&gt;0,('Amounts Pivot Table'!J$127/$M274),0)</f>
        <v>0</v>
      </c>
      <c r="D274" s="75">
        <f>IF($M274&gt;0,('Amounts Pivot Table'!J$130/$M274),0)</f>
        <v>0</v>
      </c>
      <c r="E274" s="75">
        <f>IF($M274&gt;0,('Amounts Pivot Table'!J$133/$M274),0)</f>
        <v>2462.1434114495014</v>
      </c>
      <c r="F274" s="75">
        <f t="shared" si="54"/>
        <v>5657.0893598320699</v>
      </c>
      <c r="G274" s="116">
        <f>IF(B274&gt;0,RANK(B274,$B$271:$B$289),)</f>
        <v>3</v>
      </c>
      <c r="H274" s="107">
        <f>IF(C274&gt;0,RANK(C274,$C$271:$C$289),)</f>
        <v>0</v>
      </c>
      <c r="I274" s="107">
        <f>IF(D274&gt;0,RANK(D274,$D$271:$D$289),)</f>
        <v>0</v>
      </c>
      <c r="J274" s="107">
        <f>IF(E274&gt;0,RANK(E274,$E$271:$E$289),)</f>
        <v>4</v>
      </c>
      <c r="K274" s="107">
        <f>IF(F274&gt;0,RANK(F274,$F$271:$F$289),)</f>
        <v>5</v>
      </c>
      <c r="L274" s="168"/>
      <c r="M274" s="840">
        <f>+'[1]NEW-Tables 80-86'!AD166</f>
        <v>212066.73444444448</v>
      </c>
      <c r="N274" s="73"/>
      <c r="O274" s="73"/>
      <c r="P274" s="73"/>
      <c r="Q274" s="73"/>
    </row>
    <row r="275" spans="1:17" s="61" customFormat="1" ht="12.75" customHeight="1" x14ac:dyDescent="0.2">
      <c r="A275" s="73"/>
      <c r="B275" s="75"/>
      <c r="C275" s="75"/>
      <c r="D275" s="75"/>
      <c r="E275" s="75"/>
      <c r="F275" s="75"/>
      <c r="G275" s="116"/>
      <c r="H275" s="107"/>
      <c r="I275" s="107"/>
      <c r="J275" s="107"/>
      <c r="K275" s="107"/>
      <c r="L275" s="168"/>
      <c r="M275" s="840"/>
      <c r="N275" s="73"/>
      <c r="O275" s="73"/>
      <c r="P275" s="73"/>
      <c r="Q275" s="73"/>
    </row>
    <row r="276" spans="1:17" s="61" customFormat="1" ht="12.75" customHeight="1" x14ac:dyDescent="0.2">
      <c r="A276" s="73" t="s">
        <v>329</v>
      </c>
      <c r="B276" s="75">
        <f>IF($M276&gt;0,('Amounts Pivot Table'!J$163/$M276),0)</f>
        <v>4644.6969884992131</v>
      </c>
      <c r="C276" s="75">
        <f>IF($M276&gt;0,('Amounts Pivot Table'!J$166/$M276),0)</f>
        <v>0</v>
      </c>
      <c r="D276" s="75">
        <f>IF($M276&gt;0,('Amounts Pivot Table'!J$169/$M276),0)</f>
        <v>0</v>
      </c>
      <c r="E276" s="75">
        <f>IF($M276&gt;0,('Amounts Pivot Table'!J$172/$M276),0)</f>
        <v>3690.6462137072722</v>
      </c>
      <c r="F276" s="75">
        <f t="shared" si="54"/>
        <v>8335.3432022064844</v>
      </c>
      <c r="G276" s="116">
        <f>IF(B276&gt;0,RANK(B276,$B$271:$B$289),)</f>
        <v>1</v>
      </c>
      <c r="H276" s="107">
        <f>IF(C276&gt;0,RANK(C276,$C$271:$C$289),)</f>
        <v>0</v>
      </c>
      <c r="I276" s="107">
        <f>IF(D276&gt;0,RANK(D276,$D$271:$D$289),)</f>
        <v>0</v>
      </c>
      <c r="J276" s="107">
        <f>IF(E276&gt;0,RANK(E276,$E$271:$E$289),)</f>
        <v>2</v>
      </c>
      <c r="K276" s="107">
        <f>IF(F276&gt;0,RANK(F276,$F$271:$F$289),)</f>
        <v>1</v>
      </c>
      <c r="L276" s="168"/>
      <c r="M276" s="840">
        <f>+'[1]NEW-Tables 80-86'!AD168</f>
        <v>8326.9666666666672</v>
      </c>
      <c r="N276" s="73"/>
      <c r="O276" s="73"/>
      <c r="P276" s="73"/>
      <c r="Q276" s="73"/>
    </row>
    <row r="277" spans="1:17" s="61" customFormat="1" ht="12.75" customHeight="1" x14ac:dyDescent="0.2">
      <c r="A277" s="73" t="s">
        <v>322</v>
      </c>
      <c r="B277" s="75">
        <f>IF($M277&gt;0,('Amounts Pivot Table'!J$202/$M277),0)</f>
        <v>0</v>
      </c>
      <c r="C277" s="75">
        <f>IF($M277&gt;0,('Amounts Pivot Table'!J$205/$M277),0)</f>
        <v>0</v>
      </c>
      <c r="D277" s="75">
        <f>IF($M277&gt;0,('Amounts Pivot Table'!J$208/$M277),0)</f>
        <v>0</v>
      </c>
      <c r="E277" s="75">
        <f>IF($M277&gt;0,('Amounts Pivot Table'!J$211/$M277),0)</f>
        <v>0</v>
      </c>
      <c r="F277" s="75">
        <f t="shared" si="54"/>
        <v>0</v>
      </c>
      <c r="G277" s="116">
        <f>IF(B277&gt;0,RANK(B277,$B$271:$B$289),)</f>
        <v>0</v>
      </c>
      <c r="H277" s="107">
        <f>IF(C277&gt;0,RANK(C277,$C$271:$C$289),)</f>
        <v>0</v>
      </c>
      <c r="I277" s="107">
        <f>IF(D277&gt;0,RANK(D277,$D$271:$D$289),)</f>
        <v>0</v>
      </c>
      <c r="J277" s="107">
        <f>IF(E277&gt;0,RANK(E277,$E$271:$E$289),)</f>
        <v>0</v>
      </c>
      <c r="K277" s="107">
        <f>IF(F277&gt;0,RANK(F277,$F$271:$F$289),)</f>
        <v>0</v>
      </c>
      <c r="L277" s="168"/>
      <c r="M277" s="840">
        <f>+'[1]NEW-Tables 80-86'!AD169</f>
        <v>0</v>
      </c>
      <c r="N277" s="73"/>
      <c r="O277" s="73"/>
      <c r="P277" s="73"/>
      <c r="Q277" s="73"/>
    </row>
    <row r="278" spans="1:17" s="61" customFormat="1" ht="12.75" customHeight="1" x14ac:dyDescent="0.2">
      <c r="A278" s="73" t="s">
        <v>330</v>
      </c>
      <c r="B278" s="75">
        <f>IF($M278&gt;0,('Amounts Pivot Table'!J$241/$M278),0)</f>
        <v>0</v>
      </c>
      <c r="C278" s="75">
        <f>IF($M278&gt;0,('Amounts Pivot Table'!J$244/$M278),0)</f>
        <v>0</v>
      </c>
      <c r="D278" s="75">
        <f>IF($M278&gt;0,('Amounts Pivot Table'!J$247/$M278),0)</f>
        <v>0</v>
      </c>
      <c r="E278" s="75">
        <f>IF($M278&gt;0,('Amounts Pivot Table'!J$250/$M278),0)</f>
        <v>0</v>
      </c>
      <c r="F278" s="75">
        <f t="shared" si="54"/>
        <v>0</v>
      </c>
      <c r="G278" s="116">
        <f>IF(B278&gt;0,RANK(B278,$B$271:$B$289),)</f>
        <v>0</v>
      </c>
      <c r="H278" s="107">
        <f>IF(C278&gt;0,RANK(C278,$C$271:$C$289),)</f>
        <v>0</v>
      </c>
      <c r="I278" s="107">
        <f>IF(D278&gt;0,RANK(D278,$D$271:$D$289),)</f>
        <v>0</v>
      </c>
      <c r="J278" s="107">
        <f>IF(E278&gt;0,RANK(E278,$E$271:$E$289),)</f>
        <v>0</v>
      </c>
      <c r="K278" s="107">
        <f>IF(F278&gt;0,RANK(F278,$F$271:$F$289),)</f>
        <v>0</v>
      </c>
      <c r="L278" s="168"/>
      <c r="M278" s="840">
        <f>+'[1]NEW-Tables 80-86'!AD170</f>
        <v>0</v>
      </c>
      <c r="N278" s="73"/>
      <c r="O278" s="73"/>
      <c r="P278" s="73"/>
      <c r="Q278" s="73"/>
    </row>
    <row r="279" spans="1:17" s="61" customFormat="1" ht="12.75" customHeight="1" x14ac:dyDescent="0.2">
      <c r="A279" s="73" t="s">
        <v>333</v>
      </c>
      <c r="B279" s="75">
        <f>IF($M279&gt;0,('Amounts Pivot Table'!J$280/$M279),0)</f>
        <v>0</v>
      </c>
      <c r="C279" s="75">
        <f>IF($M279&gt;0,('Amounts Pivot Table'!J$283/$M279),0)</f>
        <v>0</v>
      </c>
      <c r="D279" s="75">
        <f>IF($M279&gt;0,('Amounts Pivot Table'!J$286/$M279),0)</f>
        <v>0</v>
      </c>
      <c r="E279" s="75">
        <f>IF($M279&gt;0,('Amounts Pivot Table'!J$289/$M279),0)</f>
        <v>0</v>
      </c>
      <c r="F279" s="75">
        <f t="shared" si="54"/>
        <v>0</v>
      </c>
      <c r="G279" s="116">
        <f>IF(B279&gt;0,RANK(B279,$B$271:$B$289),)</f>
        <v>0</v>
      </c>
      <c r="H279" s="107">
        <f>IF(C279&gt;0,RANK(C279,$C$271:$C$289),)</f>
        <v>0</v>
      </c>
      <c r="I279" s="107">
        <f>IF(D279&gt;0,RANK(D279,$D$271:$D$289),)</f>
        <v>0</v>
      </c>
      <c r="J279" s="107">
        <f>IF(E279&gt;0,RANK(E279,$E$271:$E$289),)</f>
        <v>0</v>
      </c>
      <c r="K279" s="107">
        <f>IF(F279&gt;0,RANK(F279,$F$271:$F$289),)</f>
        <v>0</v>
      </c>
      <c r="L279" s="168"/>
      <c r="M279" s="840">
        <f>+'[1]NEW-Tables 80-86'!AD171</f>
        <v>0</v>
      </c>
      <c r="N279" s="73"/>
      <c r="O279" s="73"/>
      <c r="P279" s="73"/>
      <c r="Q279" s="73"/>
    </row>
    <row r="280" spans="1:17" s="61" customFormat="1" ht="12.75" customHeight="1" x14ac:dyDescent="0.2">
      <c r="A280" s="73"/>
      <c r="B280" s="75"/>
      <c r="C280" s="75"/>
      <c r="D280" s="75"/>
      <c r="E280" s="75"/>
      <c r="F280" s="75"/>
      <c r="G280" s="116"/>
      <c r="H280" s="107"/>
      <c r="I280" s="107"/>
      <c r="J280" s="107"/>
      <c r="K280" s="107"/>
      <c r="L280" s="168"/>
      <c r="M280" s="840"/>
      <c r="N280" s="73"/>
      <c r="O280" s="73"/>
      <c r="P280" s="73"/>
      <c r="Q280" s="73"/>
    </row>
    <row r="281" spans="1:17" s="61" customFormat="1" ht="12.75" customHeight="1" x14ac:dyDescent="0.2">
      <c r="A281" s="73" t="s">
        <v>323</v>
      </c>
      <c r="B281" s="75">
        <f>IF($M281&gt;0,('Amounts Pivot Table'!J$319/$M281),0)</f>
        <v>0</v>
      </c>
      <c r="C281" s="75">
        <f>IF($M281&gt;0,('Amounts Pivot Table'!J$322/$M281),0)</f>
        <v>0</v>
      </c>
      <c r="D281" s="75">
        <f>IF($M281&gt;0,('Amounts Pivot Table'!J$325/$M281),0)</f>
        <v>0</v>
      </c>
      <c r="E281" s="75">
        <f>IF($M281&gt;0,('Amounts Pivot Table'!J$328/$M281),0)</f>
        <v>0</v>
      </c>
      <c r="F281" s="75">
        <f t="shared" si="54"/>
        <v>0</v>
      </c>
      <c r="G281" s="116">
        <f>IF(B281&gt;0,RANK(B281,$B$271:$B$289),)</f>
        <v>0</v>
      </c>
      <c r="H281" s="107">
        <f>IF(C281&gt;0,RANK(C281,$C$271:$C$289),)</f>
        <v>0</v>
      </c>
      <c r="I281" s="107">
        <f>IF(D281&gt;0,RANK(D281,$D$271:$D$289),)</f>
        <v>0</v>
      </c>
      <c r="J281" s="107">
        <f>IF(E281&gt;0,RANK(E281,$E$271:$E$289),)</f>
        <v>0</v>
      </c>
      <c r="K281" s="107">
        <f>IF(F281&gt;0,RANK(F281,$F$271:$F$289),)</f>
        <v>0</v>
      </c>
      <c r="L281" s="168"/>
      <c r="M281" s="840">
        <f>+'[1]NEW-Tables 80-86'!AD173</f>
        <v>0</v>
      </c>
      <c r="N281" s="73"/>
      <c r="O281" s="73"/>
      <c r="P281" s="73"/>
      <c r="Q281" s="73"/>
    </row>
    <row r="282" spans="1:17" s="61" customFormat="1" ht="12.75" customHeight="1" x14ac:dyDescent="0.2">
      <c r="A282" s="73" t="s">
        <v>324</v>
      </c>
      <c r="B282" s="75">
        <f>IF($M282&gt;0,('Amounts Pivot Table'!J$358/$M282),0)</f>
        <v>0</v>
      </c>
      <c r="C282" s="75">
        <f>IF($M282&gt;0,('Amounts Pivot Table'!J$361/$M282),0)</f>
        <v>0</v>
      </c>
      <c r="D282" s="75">
        <f>IF($M282&gt;0,('Amounts Pivot Table'!J$364/$M282),0)</f>
        <v>0</v>
      </c>
      <c r="E282" s="75">
        <f>IF($M282&gt;0,('Amounts Pivot Table'!J$367/$M282),0)</f>
        <v>0</v>
      </c>
      <c r="F282" s="75">
        <f t="shared" si="54"/>
        <v>0</v>
      </c>
      <c r="G282" s="116">
        <f>IF(B282&gt;0,RANK(B282,$B$271:$B$289),)</f>
        <v>0</v>
      </c>
      <c r="H282" s="107">
        <f>IF(C282&gt;0,RANK(C282,$C$271:$C$289),)</f>
        <v>0</v>
      </c>
      <c r="I282" s="107">
        <f>IF(D282&gt;0,RANK(D282,$D$271:$D$289),)</f>
        <v>0</v>
      </c>
      <c r="J282" s="107">
        <f>IF(E282&gt;0,RANK(E282,$E$271:$E$289),)</f>
        <v>0</v>
      </c>
      <c r="K282" s="107">
        <f>IF(F282&gt;0,RANK(F282,$F$271:$F$289),)</f>
        <v>0</v>
      </c>
      <c r="L282" s="168"/>
      <c r="M282" s="840">
        <f>+'[1]NEW-Tables 80-86'!AD174</f>
        <v>0</v>
      </c>
      <c r="N282" s="73"/>
      <c r="O282" s="73"/>
      <c r="P282" s="73"/>
      <c r="Q282" s="73"/>
    </row>
    <row r="283" spans="1:17" s="61" customFormat="1" ht="12.75" customHeight="1" x14ac:dyDescent="0.2">
      <c r="A283" s="73" t="s">
        <v>331</v>
      </c>
      <c r="B283" s="75">
        <f>IF($M283&gt;0,('Amounts Pivot Table'!J$397/$M283),0)</f>
        <v>3155.1103596014054</v>
      </c>
      <c r="C283" s="75">
        <f>IF($M283&gt;0,('Amounts Pivot Table'!J$400/$M283),0)</f>
        <v>0</v>
      </c>
      <c r="D283" s="75">
        <f>IF($M283&gt;0,('Amounts Pivot Table'!J$403/$M283),0)</f>
        <v>0</v>
      </c>
      <c r="E283" s="75">
        <f>IF($M283&gt;0,('Amounts Pivot Table'!J$406/$M283),0)</f>
        <v>3430.5795985173058</v>
      </c>
      <c r="F283" s="75">
        <f t="shared" si="54"/>
        <v>6585.6899581187117</v>
      </c>
      <c r="G283" s="116">
        <f>IF(B283&gt;0,RANK(B283,$B$271:$B$289),)</f>
        <v>4</v>
      </c>
      <c r="H283" s="107">
        <f>IF(C283&gt;0,RANK(C283,$C$271:$C$289),)</f>
        <v>0</v>
      </c>
      <c r="I283" s="107">
        <f>IF(D283&gt;0,RANK(D283,$D$271:$D$289),)</f>
        <v>0</v>
      </c>
      <c r="J283" s="107">
        <f>IF(E283&gt;0,RANK(E283,$E$271:$E$289),)</f>
        <v>3</v>
      </c>
      <c r="K283" s="107">
        <f>IF(F283&gt;0,RANK(F283,$F$271:$F$289),)</f>
        <v>4</v>
      </c>
      <c r="L283" s="168"/>
      <c r="M283" s="840">
        <f>+'[1]NEW-Tables 80-86'!AD175</f>
        <v>8309.2000000000007</v>
      </c>
      <c r="N283" s="73"/>
      <c r="O283" s="73"/>
      <c r="P283" s="73"/>
      <c r="Q283" s="73"/>
    </row>
    <row r="284" spans="1:17" s="61" customFormat="1" ht="12.75" customHeight="1" x14ac:dyDescent="0.2">
      <c r="A284" s="73" t="s">
        <v>325</v>
      </c>
      <c r="B284" s="75">
        <f>IF($M284&gt;0,('Amounts Pivot Table'!J$436/$M284),0)</f>
        <v>0</v>
      </c>
      <c r="C284" s="75">
        <f>IF($M284&gt;0,('Amounts Pivot Table'!J$439/$M284),0)</f>
        <v>0</v>
      </c>
      <c r="D284" s="75">
        <f>IF($M284&gt;0,('Amounts Pivot Table'!J$442/$M284),0)</f>
        <v>0</v>
      </c>
      <c r="E284" s="75">
        <f>IF($M284&gt;0,('Amounts Pivot Table'!J$445/$M284),0)</f>
        <v>0</v>
      </c>
      <c r="F284" s="75">
        <f t="shared" si="54"/>
        <v>0</v>
      </c>
      <c r="G284" s="116">
        <f>IF(B284&gt;0,RANK(B284,$B$271:$B$289),)</f>
        <v>0</v>
      </c>
      <c r="H284" s="107">
        <f>IF(C284&gt;0,RANK(C284,$C$271:$C$289),)</f>
        <v>0</v>
      </c>
      <c r="I284" s="107">
        <f>IF(D284&gt;0,RANK(D284,$D$271:$D$289),)</f>
        <v>0</v>
      </c>
      <c r="J284" s="107">
        <f>IF(E284&gt;0,RANK(E284,$E$271:$E$289),)</f>
        <v>0</v>
      </c>
      <c r="K284" s="107">
        <f>IF(F284&gt;0,RANK(F284,$F$271:$F$289),)</f>
        <v>0</v>
      </c>
      <c r="L284" s="168"/>
      <c r="M284" s="840">
        <f>+'[1]NEW-Tables 80-86'!AD176</f>
        <v>0</v>
      </c>
      <c r="N284" s="73"/>
      <c r="O284" s="73"/>
      <c r="P284" s="73"/>
      <c r="Q284" s="73"/>
    </row>
    <row r="285" spans="1:17" s="61" customFormat="1" ht="12.75" customHeight="1" x14ac:dyDescent="0.2">
      <c r="A285" s="73"/>
      <c r="B285" s="75"/>
      <c r="C285" s="75"/>
      <c r="D285" s="75"/>
      <c r="E285" s="75"/>
      <c r="F285" s="75"/>
      <c r="G285" s="116"/>
      <c r="H285" s="107"/>
      <c r="I285" s="107"/>
      <c r="J285" s="107"/>
      <c r="K285" s="107"/>
      <c r="L285" s="168"/>
      <c r="M285" s="840"/>
      <c r="N285" s="73"/>
      <c r="O285" s="73"/>
      <c r="P285" s="73"/>
      <c r="Q285" s="73"/>
    </row>
    <row r="286" spans="1:17" s="61" customFormat="1" ht="12.75" customHeight="1" x14ac:dyDescent="0.2">
      <c r="A286" s="73" t="s">
        <v>90</v>
      </c>
      <c r="B286" s="75">
        <f>IF($M286&gt;0,('Amounts Pivot Table'!J$475/$M286),0)</f>
        <v>0</v>
      </c>
      <c r="C286" s="75">
        <f>IF($M286&gt;0,('Amounts Pivot Table'!J$478/$M286),0)</f>
        <v>0</v>
      </c>
      <c r="D286" s="75">
        <f>IF($M286&gt;0,('Amounts Pivot Table'!J$481/$M286),0)</f>
        <v>0</v>
      </c>
      <c r="E286" s="75">
        <f>IF($M286&gt;0,('Amounts Pivot Table'!J$484/$M286),0)</f>
        <v>0</v>
      </c>
      <c r="F286" s="75">
        <f t="shared" si="54"/>
        <v>0</v>
      </c>
      <c r="G286" s="116">
        <f>IF(B286&gt;0,RANK(B286,$B$271:$B$289),)</f>
        <v>0</v>
      </c>
      <c r="H286" s="107">
        <f>IF(C286&gt;0,RANK(C286,$C$271:$C$289),)</f>
        <v>0</v>
      </c>
      <c r="I286" s="107">
        <f>IF(D286&gt;0,RANK(D286,$D$271:$D$289),)</f>
        <v>0</v>
      </c>
      <c r="J286" s="107">
        <f>IF(E286&gt;0,RANK(E286,$E$271:$E$289),)</f>
        <v>0</v>
      </c>
      <c r="K286" s="107">
        <f>IF(F286&gt;0,RANK(F286,$F$271:$F$289),)</f>
        <v>0</v>
      </c>
      <c r="L286" s="168"/>
      <c r="M286" s="840">
        <f>+'[1]NEW-Tables 80-86'!AD178</f>
        <v>0</v>
      </c>
      <c r="N286" s="73"/>
      <c r="O286" s="73"/>
      <c r="P286" s="73"/>
      <c r="Q286" s="73"/>
    </row>
    <row r="287" spans="1:17" s="76" customFormat="1" ht="12.75" customHeight="1" x14ac:dyDescent="0.2">
      <c r="A287" s="73" t="s">
        <v>326</v>
      </c>
      <c r="B287" s="75">
        <f>IF($M287&gt;0,('Amounts Pivot Table'!J$514/$M287),0)</f>
        <v>2188.0528148458925</v>
      </c>
      <c r="C287" s="75">
        <f>IF($M287&gt;0,('Amounts Pivot Table'!J$517/$M287),0)</f>
        <v>0</v>
      </c>
      <c r="D287" s="75">
        <f>IF($M287&gt;0,('Amounts Pivot Table'!J$520/$M287),0)</f>
        <v>3156.794052582321</v>
      </c>
      <c r="E287" s="75">
        <f>IF($M287&gt;0,('Amounts Pivot Table'!J$523/$M287),0)</f>
        <v>1526.9631417055962</v>
      </c>
      <c r="F287" s="75">
        <f t="shared" si="54"/>
        <v>6871.8100091338101</v>
      </c>
      <c r="G287" s="116">
        <f>IF(B287&gt;0,RANK(B287,$B$271:$B$289),)</f>
        <v>5</v>
      </c>
      <c r="H287" s="107">
        <f>IF(C287&gt;0,RANK(C287,$C$271:$C$289),)</f>
        <v>0</v>
      </c>
      <c r="I287" s="107">
        <f>IF(D287&gt;0,RANK(D287,$D$271:$D$289),)</f>
        <v>1</v>
      </c>
      <c r="J287" s="107">
        <f>IF(E287&gt;0,RANK(E287,$E$271:$E$289),)</f>
        <v>5</v>
      </c>
      <c r="K287" s="107">
        <f>IF(F287&gt;0,RANK(F287,$F$271:$F$289),)</f>
        <v>3</v>
      </c>
      <c r="L287" s="169"/>
      <c r="M287" s="840">
        <f>+'[1]NEW-Tables 80-86'!AD179</f>
        <v>26252.887777777778</v>
      </c>
      <c r="N287" s="90"/>
      <c r="O287" s="90"/>
      <c r="P287" s="90"/>
      <c r="Q287" s="90"/>
    </row>
    <row r="288" spans="1:17" s="61" customFormat="1" ht="12.75" customHeight="1" x14ac:dyDescent="0.2">
      <c r="A288" s="73" t="s">
        <v>327</v>
      </c>
      <c r="B288" s="75">
        <f>IF($M288&gt;0,('Amounts Pivot Table'!J$553/$M288),0)</f>
        <v>0</v>
      </c>
      <c r="C288" s="75">
        <f>IF($M288&gt;0,('Amounts Pivot Table'!J$556/$M288),0)</f>
        <v>0</v>
      </c>
      <c r="D288" s="75">
        <f>IF($M288&gt;0,('Amounts Pivot Table'!J$559/$M288),0)</f>
        <v>0</v>
      </c>
      <c r="E288" s="75">
        <f>IF($M288&gt;0,('Amounts Pivot Table'!J$562/$M288),0)</f>
        <v>0</v>
      </c>
      <c r="F288" s="75">
        <f t="shared" si="54"/>
        <v>0</v>
      </c>
      <c r="G288" s="116">
        <f>IF(B288&gt;0,RANK(B288,$B$271:$B$289),)</f>
        <v>0</v>
      </c>
      <c r="H288" s="107">
        <f>IF(C288&gt;0,RANK(C288,$C$271:$C$289),)</f>
        <v>0</v>
      </c>
      <c r="I288" s="107">
        <f>IF(D288&gt;0,RANK(D288,$D$271:$D$289),)</f>
        <v>0</v>
      </c>
      <c r="J288" s="107">
        <f>IF(E288&gt;0,RANK(E288,$E$271:$E$289),)</f>
        <v>0</v>
      </c>
      <c r="K288" s="107">
        <f>IF(F288&gt;0,RANK(F288,$F$271:$F$289),)</f>
        <v>0</v>
      </c>
      <c r="L288" s="170"/>
      <c r="M288" s="840">
        <f>+'[1]NEW-Tables 80-86'!AD180</f>
        <v>0</v>
      </c>
      <c r="N288" s="73"/>
      <c r="O288" s="73"/>
      <c r="P288" s="73"/>
      <c r="Q288" s="73"/>
    </row>
    <row r="289" spans="1:17" s="61" customFormat="1" ht="15.75" customHeight="1" x14ac:dyDescent="0.2">
      <c r="A289" s="74" t="s">
        <v>332</v>
      </c>
      <c r="B289" s="104">
        <f>IF($M289&gt;0,('Amounts Pivot Table'!J$592/$M289),0)</f>
        <v>3413.4892301794571</v>
      </c>
      <c r="C289" s="104">
        <f>IF($M289&gt;0,('Amounts Pivot Table'!J$595/$M289),0)</f>
        <v>49.71607925821214</v>
      </c>
      <c r="D289" s="104">
        <f>IF($M289&gt;0,('Amounts Pivot Table'!J$598/$M289),0)</f>
        <v>0</v>
      </c>
      <c r="E289" s="104">
        <f>IF($M289&gt;0,('Amounts Pivot Table'!J$601/$M289),0)</f>
        <v>4282.1319213168172</v>
      </c>
      <c r="F289" s="105">
        <f t="shared" si="54"/>
        <v>7745.3372307544869</v>
      </c>
      <c r="G289" s="117">
        <f>IF(B289&gt;0,RANK(B289,$B$271:$B$289),)</f>
        <v>2</v>
      </c>
      <c r="H289" s="118">
        <f>IF(C289&gt;0,RANK(C289,$C$271:$C$289),)</f>
        <v>1</v>
      </c>
      <c r="I289" s="118">
        <f>IF(D289&gt;0,RANK(D289,$D$271:$D$289),)</f>
        <v>0</v>
      </c>
      <c r="J289" s="118">
        <f>IF(E289&gt;0,RANK(E289,$E$271:$E$289),)</f>
        <v>1</v>
      </c>
      <c r="K289" s="118">
        <f>IF(F289&gt;0,RANK(F289,$F$271:$F$289),)</f>
        <v>2</v>
      </c>
      <c r="L289" s="170"/>
      <c r="M289" s="840">
        <f>+'[1]NEW-Tables 80-86'!AD181</f>
        <v>4173.7</v>
      </c>
      <c r="N289" s="73"/>
      <c r="O289" s="73"/>
      <c r="P289" s="73"/>
      <c r="Q289" s="73"/>
    </row>
    <row r="290" spans="1:17" s="76" customFormat="1" ht="34.5" customHeight="1" x14ac:dyDescent="0.2">
      <c r="A290" s="1558" t="s">
        <v>17</v>
      </c>
      <c r="B290" s="1582"/>
      <c r="C290" s="1582"/>
      <c r="D290" s="1582"/>
      <c r="E290" s="1582"/>
      <c r="F290" s="1582"/>
      <c r="G290" s="1582"/>
      <c r="H290" s="1582"/>
      <c r="I290" s="1582"/>
      <c r="J290" s="1582"/>
      <c r="K290" s="1582"/>
      <c r="L290" s="169"/>
      <c r="M290" s="296"/>
      <c r="N290" s="90"/>
      <c r="O290" s="90"/>
      <c r="P290" s="90"/>
      <c r="Q290" s="90"/>
    </row>
    <row r="291" spans="1:17" s="205" customFormat="1" ht="13.5" customHeight="1" x14ac:dyDescent="0.15">
      <c r="A291" s="1558" t="s">
        <v>54</v>
      </c>
      <c r="B291" s="1582"/>
      <c r="C291" s="1582"/>
      <c r="D291" s="1582"/>
      <c r="E291" s="1582"/>
      <c r="F291" s="1582"/>
      <c r="G291" s="1582"/>
      <c r="H291" s="1582"/>
      <c r="I291" s="1582"/>
      <c r="J291" s="1582"/>
      <c r="K291" s="1582"/>
      <c r="L291" s="204"/>
      <c r="M291" s="302"/>
      <c r="N291" s="206"/>
      <c r="O291" s="206"/>
      <c r="P291" s="206"/>
      <c r="Q291" s="206"/>
    </row>
    <row r="292" spans="1:17" s="61" customFormat="1" ht="13.5" customHeight="1" x14ac:dyDescent="0.2">
      <c r="A292" s="1558" t="s">
        <v>233</v>
      </c>
      <c r="B292" s="1583"/>
      <c r="C292" s="1583"/>
      <c r="D292" s="1583"/>
      <c r="E292" s="1583"/>
      <c r="F292" s="1583"/>
      <c r="G292" s="1584"/>
      <c r="H292" s="1584"/>
      <c r="I292" s="1584"/>
      <c r="J292" s="1584"/>
      <c r="K292" s="1584"/>
      <c r="L292" s="171"/>
      <c r="M292" s="300"/>
      <c r="N292" s="73"/>
      <c r="O292" s="73"/>
      <c r="P292" s="73"/>
      <c r="Q292" s="73"/>
    </row>
    <row r="293" spans="1:17" s="61" customFormat="1" ht="13.5" customHeight="1" x14ac:dyDescent="0.2">
      <c r="A293" s="187"/>
      <c r="B293" s="106"/>
      <c r="C293" s="106"/>
      <c r="D293" s="106"/>
      <c r="E293" s="106"/>
      <c r="F293" s="106"/>
      <c r="G293" s="188"/>
      <c r="H293" s="188"/>
      <c r="I293" s="188"/>
      <c r="J293" s="188"/>
      <c r="K293" s="188"/>
      <c r="L293" s="171"/>
      <c r="M293" s="300"/>
      <c r="N293" s="73"/>
      <c r="O293" s="73"/>
      <c r="P293" s="73"/>
      <c r="Q293" s="73"/>
    </row>
    <row r="294" spans="1:17" s="61" customFormat="1" x14ac:dyDescent="0.2">
      <c r="A294" s="187"/>
      <c r="B294" s="106"/>
      <c r="C294" s="106"/>
      <c r="D294" s="106"/>
      <c r="E294" s="106"/>
      <c r="F294" s="106"/>
      <c r="G294" s="188"/>
      <c r="H294" s="188"/>
      <c r="I294" s="188"/>
      <c r="J294" s="188"/>
      <c r="K294" s="535" t="s">
        <v>1898</v>
      </c>
      <c r="L294" s="171"/>
      <c r="M294" s="303"/>
      <c r="N294" s="73"/>
      <c r="O294" s="73"/>
      <c r="P294" s="73"/>
      <c r="Q294" s="73"/>
    </row>
    <row r="295" spans="1:17" s="61" customFormat="1" ht="18" x14ac:dyDescent="0.2">
      <c r="A295" s="135" t="s">
        <v>367</v>
      </c>
      <c r="B295" s="135"/>
      <c r="C295" s="135"/>
      <c r="D295" s="135"/>
      <c r="E295" s="135"/>
      <c r="F295" s="135"/>
      <c r="G295" s="135"/>
      <c r="H295" s="135"/>
      <c r="I295" s="135"/>
      <c r="J295" s="566"/>
      <c r="K295" s="135"/>
      <c r="L295" s="170"/>
      <c r="M295" s="296"/>
      <c r="N295" s="73"/>
      <c r="O295" s="73"/>
      <c r="P295" s="73"/>
      <c r="Q295" s="73"/>
    </row>
    <row r="296" spans="1:17" s="61" customFormat="1" ht="9.75" customHeight="1" x14ac:dyDescent="0.2">
      <c r="A296" s="135"/>
      <c r="B296" s="135"/>
      <c r="C296" s="135"/>
      <c r="D296" s="135"/>
      <c r="E296" s="135"/>
      <c r="F296" s="135"/>
      <c r="G296" s="135"/>
      <c r="H296" s="135"/>
      <c r="I296" s="135"/>
      <c r="J296" s="566"/>
      <c r="K296" s="135"/>
      <c r="L296" s="170"/>
      <c r="M296" s="296"/>
      <c r="N296" s="73"/>
      <c r="O296" s="73"/>
      <c r="P296" s="73"/>
      <c r="Q296" s="73"/>
    </row>
    <row r="297" spans="1:17" s="61" customFormat="1" ht="18.75" x14ac:dyDescent="0.2">
      <c r="A297" s="1557" t="s">
        <v>18</v>
      </c>
      <c r="B297" s="1557"/>
      <c r="C297" s="1557"/>
      <c r="D297" s="1557"/>
      <c r="E297" s="1557"/>
      <c r="F297" s="1557"/>
      <c r="G297" s="1557"/>
      <c r="H297" s="1557"/>
      <c r="I297" s="1557"/>
      <c r="J297" s="1557"/>
      <c r="K297" s="1557"/>
      <c r="L297" s="165"/>
      <c r="M297" s="296"/>
      <c r="N297" s="73"/>
      <c r="O297" s="73"/>
      <c r="P297" s="73"/>
      <c r="Q297" s="73"/>
    </row>
    <row r="298" spans="1:17" s="61" customFormat="1" ht="15.75" x14ac:dyDescent="0.15">
      <c r="A298" s="1557" t="s">
        <v>1909</v>
      </c>
      <c r="B298" s="1557"/>
      <c r="C298" s="1557"/>
      <c r="D298" s="1557"/>
      <c r="E298" s="1557"/>
      <c r="F298" s="1557"/>
      <c r="G298" s="1557"/>
      <c r="H298" s="1557"/>
      <c r="I298" s="1557"/>
      <c r="J298" s="1557"/>
      <c r="K298" s="1557"/>
      <c r="L298" s="165"/>
      <c r="M298" s="299"/>
      <c r="N298" s="73"/>
      <c r="O298" s="73"/>
      <c r="P298" s="73"/>
      <c r="Q298" s="73"/>
    </row>
    <row r="299" spans="1:17" s="61" customFormat="1" ht="9" customHeight="1" x14ac:dyDescent="0.2">
      <c r="A299" s="91"/>
      <c r="B299" s="91"/>
      <c r="C299" s="91"/>
      <c r="D299" s="91"/>
      <c r="E299" s="91"/>
      <c r="F299" s="91"/>
      <c r="G299" s="108"/>
      <c r="H299" s="91"/>
      <c r="I299" s="91"/>
      <c r="J299" s="91"/>
      <c r="K299" s="91"/>
      <c r="L299" s="165"/>
      <c r="M299" s="296"/>
      <c r="N299" s="73"/>
      <c r="O299" s="73"/>
      <c r="P299" s="73"/>
      <c r="Q299" s="73"/>
    </row>
    <row r="300" spans="1:17" s="61" customFormat="1" ht="16.5" customHeight="1" x14ac:dyDescent="0.2">
      <c r="A300" s="60"/>
      <c r="B300" s="1580" t="s">
        <v>55</v>
      </c>
      <c r="C300" s="1581"/>
      <c r="D300" s="1581"/>
      <c r="E300" s="1581"/>
      <c r="F300" s="1581"/>
      <c r="G300" s="569" t="s">
        <v>119</v>
      </c>
      <c r="H300" s="570"/>
      <c r="I300" s="570"/>
      <c r="J300" s="570"/>
      <c r="K300" s="570"/>
      <c r="L300" s="173"/>
      <c r="M300" s="296"/>
      <c r="N300" s="73"/>
      <c r="O300" s="73"/>
      <c r="P300" s="73"/>
      <c r="Q300" s="73"/>
    </row>
    <row r="301" spans="1:17" s="6" customFormat="1" ht="48" x14ac:dyDescent="0.2">
      <c r="A301" s="50"/>
      <c r="B301" s="550" t="s">
        <v>87</v>
      </c>
      <c r="C301" s="551" t="s">
        <v>89</v>
      </c>
      <c r="D301" s="551" t="s">
        <v>88</v>
      </c>
      <c r="E301" s="551" t="s">
        <v>398</v>
      </c>
      <c r="F301" s="551" t="s">
        <v>97</v>
      </c>
      <c r="G301" s="552" t="s">
        <v>87</v>
      </c>
      <c r="H301" s="551" t="s">
        <v>89</v>
      </c>
      <c r="I301" s="551" t="s">
        <v>88</v>
      </c>
      <c r="J301" s="551" t="s">
        <v>398</v>
      </c>
      <c r="K301" s="551" t="s">
        <v>97</v>
      </c>
      <c r="L301" s="167"/>
      <c r="M301" s="296" t="s">
        <v>260</v>
      </c>
      <c r="N301" s="7"/>
      <c r="O301" s="7"/>
      <c r="P301" s="7"/>
      <c r="Q301" s="7"/>
    </row>
    <row r="302" spans="1:17" s="61" customFormat="1" ht="14.25" x14ac:dyDescent="0.2">
      <c r="A302" s="73" t="s">
        <v>56</v>
      </c>
      <c r="B302" s="102">
        <f>IF($M302&gt;0,('Amounts Pivot Table'!K$631/$M302),0)</f>
        <v>2341.0299658990461</v>
      </c>
      <c r="C302" s="102">
        <f>IF($M302&gt;0,('Amounts Pivot Table'!K$634/$M302),0)</f>
        <v>76.458639835661742</v>
      </c>
      <c r="D302" s="102">
        <f>IF($M302&gt;0,('Amounts Pivot Table'!K$637/$M302),0)</f>
        <v>1608.5489950633098</v>
      </c>
      <c r="E302" s="102">
        <f>IF($M302&gt;0,('Amounts Pivot Table'!K$640/$M302),0)</f>
        <v>2565.2736948300253</v>
      </c>
      <c r="F302" s="102">
        <f>SUM(B302:E302)</f>
        <v>6591.3112956280429</v>
      </c>
      <c r="G302" s="114"/>
      <c r="H302" s="115"/>
      <c r="I302" s="115"/>
      <c r="J302" s="115"/>
      <c r="K302" s="115"/>
      <c r="L302" s="168"/>
      <c r="M302" s="840">
        <f>+'[1]NEW-Tables 80-86'!AE161</f>
        <v>890297.59888888896</v>
      </c>
      <c r="N302" s="73"/>
      <c r="O302" s="73"/>
      <c r="P302" s="73"/>
      <c r="Q302" s="73"/>
    </row>
    <row r="303" spans="1:17" s="112" customFormat="1" ht="9.75" customHeight="1" x14ac:dyDescent="0.2">
      <c r="A303" s="110"/>
      <c r="B303" s="111"/>
      <c r="C303" s="111"/>
      <c r="D303" s="111"/>
      <c r="E303" s="111"/>
      <c r="F303" s="111"/>
      <c r="G303" s="119"/>
      <c r="H303" s="120"/>
      <c r="I303" s="120"/>
      <c r="J303" s="120"/>
      <c r="K303" s="120"/>
      <c r="L303" s="175"/>
      <c r="M303" s="840"/>
      <c r="N303" s="110"/>
      <c r="O303" s="110"/>
      <c r="P303" s="110"/>
      <c r="Q303" s="110"/>
    </row>
    <row r="304" spans="1:17" s="61" customFormat="1" ht="12.75" customHeight="1" x14ac:dyDescent="0.2">
      <c r="A304" s="73" t="s">
        <v>320</v>
      </c>
      <c r="B304" s="75">
        <f>IF($M304&gt;0,('Amounts Pivot Table'!K$7/$M304),0)</f>
        <v>3584.2030500150649</v>
      </c>
      <c r="C304" s="75">
        <f>IF($M304&gt;0,('Amounts Pivot Table'!K$10/$M304),0)</f>
        <v>169.23291116761982</v>
      </c>
      <c r="D304" s="75">
        <f>IF($M304&gt;0,('Amounts Pivot Table'!K$13/$M304),0)</f>
        <v>72.051038335519124</v>
      </c>
      <c r="E304" s="75">
        <f>IF($M304&gt;0,('Amounts Pivot Table'!K$16/$M304),0)</f>
        <v>3801.685048172305</v>
      </c>
      <c r="F304" s="75">
        <f t="shared" ref="F304:F322" si="55">SUM(B304:E304)</f>
        <v>7627.1720476905084</v>
      </c>
      <c r="G304" s="116">
        <f>IF(B304&gt;0,RANK(B304,$B$304:$B$322),)</f>
        <v>3</v>
      </c>
      <c r="H304" s="107">
        <f>IF(C304&gt;0,RANK(C304,$C$304:$C$322),)</f>
        <v>3</v>
      </c>
      <c r="I304" s="107">
        <f>IF(D304&gt;0,RANK(D304,$D$304:$D$322),)</f>
        <v>8</v>
      </c>
      <c r="J304" s="107">
        <f>IF(E304&gt;0,RANK(E304,$E$304:$E$322),)</f>
        <v>8</v>
      </c>
      <c r="K304" s="107">
        <f>IF(F304&gt;0,RANK(F304,$F$304:$F$322),)</f>
        <v>6</v>
      </c>
      <c r="L304" s="168"/>
      <c r="M304" s="840">
        <f>+'[1]NEW-Tables 80-86'!AE163</f>
        <v>22900.433333333334</v>
      </c>
      <c r="N304" s="73"/>
      <c r="O304" s="73"/>
      <c r="P304" s="73"/>
      <c r="Q304" s="73"/>
    </row>
    <row r="305" spans="1:17" s="61" customFormat="1" ht="12.75" customHeight="1" x14ac:dyDescent="0.2">
      <c r="A305" s="73" t="s">
        <v>334</v>
      </c>
      <c r="B305" s="75">
        <f>IF($M305&gt;0,('Amounts Pivot Table'!K$46/$M305),0)</f>
        <v>2159.0593011029996</v>
      </c>
      <c r="C305" s="75">
        <f>IF($M305&gt;0,('Amounts Pivot Table'!K$49/$M305),0)</f>
        <v>0</v>
      </c>
      <c r="D305" s="75">
        <f>IF($M305&gt;0,('Amounts Pivot Table'!K$52/$M305),0)</f>
        <v>442.80374642913824</v>
      </c>
      <c r="E305" s="75">
        <f>IF($M305&gt;0,('Amounts Pivot Table'!K$55/$M305),0)</f>
        <v>3942.850936359308</v>
      </c>
      <c r="F305" s="75">
        <f t="shared" si="55"/>
        <v>6544.7139838914463</v>
      </c>
      <c r="G305" s="116">
        <f>IF(B305&gt;0,RANK(B305,$B$304:$B$322),)</f>
        <v>11</v>
      </c>
      <c r="H305" s="107">
        <f>IF(C305&gt;0,RANK(C305,$C$304:$C$322),)</f>
        <v>0</v>
      </c>
      <c r="I305" s="107">
        <f>IF(D305&gt;0,RANK(D305,$D$304:$D$322),)</f>
        <v>7</v>
      </c>
      <c r="J305" s="107">
        <f>IF(E305&gt;0,RANK(E305,$E$304:$E$322),)</f>
        <v>6</v>
      </c>
      <c r="K305" s="107">
        <f>IF(F305&gt;0,RANK(F305,$F$304:$F$322),)</f>
        <v>11</v>
      </c>
      <c r="L305" s="168"/>
      <c r="M305" s="840">
        <f>+'[1]NEW-Tables 80-86'!AE164</f>
        <v>13442.133333333333</v>
      </c>
      <c r="N305" s="73"/>
      <c r="O305" s="73"/>
      <c r="P305" s="73"/>
      <c r="Q305" s="73"/>
    </row>
    <row r="306" spans="1:17" s="61" customFormat="1" ht="12.75" customHeight="1" x14ac:dyDescent="0.2">
      <c r="A306" s="73" t="s">
        <v>321</v>
      </c>
      <c r="B306" s="75">
        <f>IF($M306&gt;0,('Amounts Pivot Table'!K$85/$M306),0)</f>
        <v>6188.6467274678107</v>
      </c>
      <c r="C306" s="75">
        <f>IF($M306&gt;0,('Amounts Pivot Table'!K$88/$M306),0)</f>
        <v>0</v>
      </c>
      <c r="D306" s="75">
        <f>IF($M306&gt;0,('Amounts Pivot Table'!K$91/$M306),0)</f>
        <v>0</v>
      </c>
      <c r="E306" s="75">
        <f>IF($M306&gt;0,('Amounts Pivot Table'!K$94/$M306),0)</f>
        <v>4755.619635193133</v>
      </c>
      <c r="F306" s="75">
        <f t="shared" si="55"/>
        <v>10944.266362660943</v>
      </c>
      <c r="G306" s="116">
        <f>IF(B306&gt;0,RANK(B306,$B$304:$B$322),)</f>
        <v>1</v>
      </c>
      <c r="H306" s="107">
        <f>IF(C306&gt;0,RANK(C306,$C$304:$C$322),)</f>
        <v>0</v>
      </c>
      <c r="I306" s="107">
        <f>IF(D306&gt;0,RANK(D306,$D$304:$D$322),)</f>
        <v>0</v>
      </c>
      <c r="J306" s="107">
        <f>IF(E306&gt;0,RANK(E306,$E$304:$E$322),)</f>
        <v>3</v>
      </c>
      <c r="K306" s="107">
        <f>IF(F306&gt;0,RANK(F306,$F$304:$F$322),)</f>
        <v>2</v>
      </c>
      <c r="L306" s="168"/>
      <c r="M306" s="840">
        <f>+'[1]NEW-Tables 80-86'!AE165</f>
        <v>4970.666666666667</v>
      </c>
      <c r="N306" s="73"/>
      <c r="O306" s="73"/>
      <c r="P306" s="73"/>
      <c r="Q306" s="73"/>
    </row>
    <row r="307" spans="1:17" s="61" customFormat="1" ht="12.75" customHeight="1" x14ac:dyDescent="0.2">
      <c r="A307" s="73" t="s">
        <v>328</v>
      </c>
      <c r="B307" s="75">
        <f>IF($M307&gt;0,('Amounts Pivot Table'!K$124/$M307),0)</f>
        <v>2876.3062077212362</v>
      </c>
      <c r="C307" s="75">
        <f>IF($M307&gt;0,('Amounts Pivot Table'!K$127/$M307),0)</f>
        <v>0</v>
      </c>
      <c r="D307" s="75">
        <f>IF($M307&gt;0,('Amounts Pivot Table'!K$130/$M307),0)</f>
        <v>0</v>
      </c>
      <c r="E307" s="75">
        <f>IF($M307&gt;0,('Amounts Pivot Table'!K$133/$M307),0)</f>
        <v>2418.5387871303674</v>
      </c>
      <c r="F307" s="75">
        <f t="shared" si="55"/>
        <v>5294.8449948516036</v>
      </c>
      <c r="G307" s="116">
        <f>IF(B307&gt;0,RANK(B307,$B$304:$B$322),)</f>
        <v>8</v>
      </c>
      <c r="H307" s="107">
        <f>IF(C307&gt;0,RANK(C307,$C$304:$C$322),)</f>
        <v>0</v>
      </c>
      <c r="I307" s="107">
        <f>IF(D307&gt;0,RANK(D307,$D$304:$D$322),)</f>
        <v>0</v>
      </c>
      <c r="J307" s="107">
        <f>IF(E307&gt;0,RANK(E307,$E$304:$E$322),)</f>
        <v>12</v>
      </c>
      <c r="K307" s="107">
        <f>IF(F307&gt;0,RANK(F307,$F$304:$F$322),)</f>
        <v>14</v>
      </c>
      <c r="L307" s="168"/>
      <c r="M307" s="840">
        <f>+'[1]NEW-Tables 80-86'!AE166</f>
        <v>120199.23333333332</v>
      </c>
      <c r="N307" s="73"/>
      <c r="O307" s="73"/>
      <c r="P307" s="73"/>
      <c r="Q307" s="73"/>
    </row>
    <row r="308" spans="1:17" s="61" customFormat="1" ht="8.25" customHeight="1" x14ac:dyDescent="0.2">
      <c r="A308" s="73"/>
      <c r="B308" s="75"/>
      <c r="C308" s="75"/>
      <c r="D308" s="75"/>
      <c r="E308" s="75"/>
      <c r="F308" s="75"/>
      <c r="G308" s="116"/>
      <c r="H308" s="107"/>
      <c r="I308" s="107"/>
      <c r="J308" s="107"/>
      <c r="K308" s="107"/>
      <c r="L308" s="168"/>
      <c r="M308" s="840"/>
      <c r="N308" s="73"/>
      <c r="O308" s="73"/>
      <c r="P308" s="73"/>
      <c r="Q308" s="73"/>
    </row>
    <row r="309" spans="1:17" s="61" customFormat="1" ht="12.75" customHeight="1" x14ac:dyDescent="0.2">
      <c r="A309" s="73" t="s">
        <v>329</v>
      </c>
      <c r="B309" s="75">
        <f>IF($M309&gt;0,('Amounts Pivot Table'!K$163/$M309),0)</f>
        <v>3618.7247297509339</v>
      </c>
      <c r="C309" s="75">
        <f>IF($M309&gt;0,('Amounts Pivot Table'!K$166/$M309),0)</f>
        <v>0</v>
      </c>
      <c r="D309" s="75">
        <f>IF($M309&gt;0,('Amounts Pivot Table'!K$169/$M309),0)</f>
        <v>0</v>
      </c>
      <c r="E309" s="75">
        <f>IF($M309&gt;0,('Amounts Pivot Table'!K$172/$M309),0)</f>
        <v>3652.1918270066708</v>
      </c>
      <c r="F309" s="75">
        <f t="shared" si="55"/>
        <v>7270.9165567576047</v>
      </c>
      <c r="G309" s="116">
        <f>IF(B309&gt;0,RANK(B309,$B$304:$B$322),)</f>
        <v>2</v>
      </c>
      <c r="H309" s="107">
        <f>IF(C309&gt;0,RANK(C309,$C$304:$C$322),)</f>
        <v>0</v>
      </c>
      <c r="I309" s="107">
        <f>IF(D309&gt;0,RANK(D309,$D$304:$D$322),)</f>
        <v>0</v>
      </c>
      <c r="J309" s="107">
        <f>IF(E309&gt;0,RANK(E309,$E$304:$E$322),)</f>
        <v>9</v>
      </c>
      <c r="K309" s="107">
        <f>IF(F309&gt;0,RANK(F309,$F$304:$F$322),)</f>
        <v>8</v>
      </c>
      <c r="L309" s="168"/>
      <c r="M309" s="840">
        <f>+'[1]NEW-Tables 80-86'!AE168</f>
        <v>15720.066666666668</v>
      </c>
      <c r="N309" s="73"/>
      <c r="O309" s="73"/>
      <c r="P309" s="73"/>
      <c r="Q309" s="73"/>
    </row>
    <row r="310" spans="1:17" s="61" customFormat="1" ht="12.75" customHeight="1" x14ac:dyDescent="0.2">
      <c r="A310" s="73" t="s">
        <v>322</v>
      </c>
      <c r="B310" s="75">
        <f>IF($M310&gt;0,('Amounts Pivot Table'!K$202/$M310),0)</f>
        <v>1761.5566855452407</v>
      </c>
      <c r="C310" s="75">
        <f>IF($M310&gt;0,('Amounts Pivot Table'!K$205/$M310),0)</f>
        <v>0</v>
      </c>
      <c r="D310" s="75">
        <f>IF($M310&gt;0,('Amounts Pivot Table'!K$208/$M310),0)</f>
        <v>0</v>
      </c>
      <c r="E310" s="75">
        <f>IF($M310&gt;0,('Amounts Pivot Table'!K$211/$M310),0)</f>
        <v>4391.2016148691127</v>
      </c>
      <c r="F310" s="75">
        <f t="shared" si="55"/>
        <v>6152.7583004143535</v>
      </c>
      <c r="G310" s="116">
        <f>IF(B310&gt;0,RANK(B310,$B$304:$B$322),)</f>
        <v>13</v>
      </c>
      <c r="H310" s="107">
        <f>IF(C310&gt;0,RANK(C310,$C$304:$C$322),)</f>
        <v>0</v>
      </c>
      <c r="I310" s="107">
        <f>IF(D310&gt;0,RANK(D310,$D$304:$D$322),)</f>
        <v>0</v>
      </c>
      <c r="J310" s="107">
        <f>IF(E310&gt;0,RANK(E310,$E$304:$E$322),)</f>
        <v>5</v>
      </c>
      <c r="K310" s="107">
        <f>IF(F310&gt;0,RANK(F310,$F$304:$F$322),)</f>
        <v>12</v>
      </c>
      <c r="L310" s="168"/>
      <c r="M310" s="840">
        <f>+'[1]NEW-Tables 80-86'!AE169</f>
        <v>15588.466666666667</v>
      </c>
      <c r="N310" s="73"/>
      <c r="O310" s="73"/>
      <c r="P310" s="73"/>
      <c r="Q310" s="73"/>
    </row>
    <row r="311" spans="1:17" s="61" customFormat="1" ht="12.75" customHeight="1" x14ac:dyDescent="0.2">
      <c r="A311" s="73" t="s">
        <v>330</v>
      </c>
      <c r="B311" s="75">
        <f>IF($M311&gt;0,('Amounts Pivot Table'!K$241/$M311),0)</f>
        <v>1983.4699919272662</v>
      </c>
      <c r="C311" s="75">
        <f>IF($M311&gt;0,('Amounts Pivot Table'!K$244/$M311),0)</f>
        <v>0</v>
      </c>
      <c r="D311" s="75">
        <f>IF($M311&gt;0,('Amounts Pivot Table'!K$247/$M311),0)</f>
        <v>0</v>
      </c>
      <c r="E311" s="75">
        <f>IF($M311&gt;0,('Amounts Pivot Table'!K$250/$M311),0)</f>
        <v>3851.9154348027478</v>
      </c>
      <c r="F311" s="75">
        <f t="shared" si="55"/>
        <v>5835.3854267300139</v>
      </c>
      <c r="G311" s="116">
        <f>IF(B311&gt;0,RANK(B311,$B$304:$B$322),)</f>
        <v>12</v>
      </c>
      <c r="H311" s="107">
        <f>IF(C311&gt;0,RANK(C311,$C$304:$C$322),)</f>
        <v>0</v>
      </c>
      <c r="I311" s="107">
        <f>IF(D311&gt;0,RANK(D311,$D$304:$D$322),)</f>
        <v>0</v>
      </c>
      <c r="J311" s="107">
        <f>IF(E311&gt;0,RANK(E311,$E$304:$E$322),)</f>
        <v>7</v>
      </c>
      <c r="K311" s="107">
        <f>IF(F311&gt;0,RANK(F311,$F$304:$F$322),)</f>
        <v>13</v>
      </c>
      <c r="L311" s="168"/>
      <c r="M311" s="840">
        <f>+'[1]NEW-Tables 80-86'!AE170</f>
        <v>25187.666666666664</v>
      </c>
      <c r="N311" s="73"/>
      <c r="O311" s="73"/>
      <c r="P311" s="73"/>
      <c r="Q311" s="73"/>
    </row>
    <row r="312" spans="1:17" s="61" customFormat="1" ht="12.75" customHeight="1" x14ac:dyDescent="0.2">
      <c r="A312" s="73" t="s">
        <v>333</v>
      </c>
      <c r="B312" s="75">
        <f>IF($M312&gt;0,('Amounts Pivot Table'!K$280/$M312),0)</f>
        <v>2288.7271170131489</v>
      </c>
      <c r="C312" s="75">
        <f>IF($M312&gt;0,('Amounts Pivot Table'!K$283/$M312),0)</f>
        <v>0</v>
      </c>
      <c r="D312" s="75">
        <f>IF($M312&gt;0,('Amounts Pivot Table'!K$286/$M312),0)</f>
        <v>3721.3606643460184</v>
      </c>
      <c r="E312" s="75">
        <f>IF($M312&gt;0,('Amounts Pivot Table'!K$289/$M312),0)</f>
        <v>5108.5381825246623</v>
      </c>
      <c r="F312" s="75">
        <f t="shared" si="55"/>
        <v>11118.625963883829</v>
      </c>
      <c r="G312" s="116">
        <f>IF(B312&gt;0,RANK(B312,$B$304:$B$322),)</f>
        <v>9</v>
      </c>
      <c r="H312" s="107">
        <f>IF(C312&gt;0,RANK(C312,$C$304:$C$322),)</f>
        <v>0</v>
      </c>
      <c r="I312" s="107">
        <f>IF(D312&gt;0,RANK(D312,$D$304:$D$322),)</f>
        <v>1</v>
      </c>
      <c r="J312" s="107">
        <f>IF(E312&gt;0,RANK(E312,$E$304:$E$322),)</f>
        <v>1</v>
      </c>
      <c r="K312" s="107">
        <f>IF(F312&gt;0,RANK(F312,$F$304:$F$322),)</f>
        <v>1</v>
      </c>
      <c r="L312" s="168"/>
      <c r="M312" s="840">
        <f>+'[1]NEW-Tables 80-86'!AE171</f>
        <v>67256.116666666669</v>
      </c>
      <c r="N312" s="73"/>
      <c r="O312" s="73"/>
      <c r="P312" s="73"/>
      <c r="Q312" s="73"/>
    </row>
    <row r="313" spans="1:17" s="61" customFormat="1" ht="7.5" customHeight="1" x14ac:dyDescent="0.2">
      <c r="A313" s="73"/>
      <c r="B313" s="75"/>
      <c r="C313" s="75"/>
      <c r="D313" s="75"/>
      <c r="E313" s="75"/>
      <c r="F313" s="75"/>
      <c r="G313" s="116"/>
      <c r="H313" s="107"/>
      <c r="I313" s="107"/>
      <c r="J313" s="107"/>
      <c r="K313" s="107"/>
      <c r="L313" s="168"/>
      <c r="M313" s="840"/>
      <c r="N313" s="73"/>
      <c r="O313" s="73"/>
      <c r="P313" s="73"/>
      <c r="Q313" s="73"/>
    </row>
    <row r="314" spans="1:17" s="61" customFormat="1" ht="12.75" customHeight="1" x14ac:dyDescent="0.2">
      <c r="A314" s="73" t="s">
        <v>323</v>
      </c>
      <c r="B314" s="75">
        <f>IF($M314&gt;0,('Amounts Pivot Table'!K$319/$M314),0)</f>
        <v>3435.7300219350914</v>
      </c>
      <c r="C314" s="75">
        <f>IF($M314&gt;0,('Amounts Pivot Table'!K$322/$M314),0)</f>
        <v>388.58129222391324</v>
      </c>
      <c r="D314" s="75">
        <f>IF($M314&gt;0,('Amounts Pivot Table'!K$325/$M314),0)</f>
        <v>1035.0549970916368</v>
      </c>
      <c r="E314" s="75">
        <f>IF($M314&gt;0,('Amounts Pivot Table'!K$328/$M314),0)</f>
        <v>2948.206331011575</v>
      </c>
      <c r="F314" s="75">
        <f t="shared" si="55"/>
        <v>7807.5726422622174</v>
      </c>
      <c r="G314" s="116">
        <f>IF(B314&gt;0,RANK(B314,$B$304:$B$322),)</f>
        <v>4</v>
      </c>
      <c r="H314" s="107">
        <f>IF(C314&gt;0,RANK(C314,$C$304:$C$322),)</f>
        <v>2</v>
      </c>
      <c r="I314" s="107">
        <f>IF(D314&gt;0,RANK(D314,$D$304:$D$322),)</f>
        <v>5</v>
      </c>
      <c r="J314" s="107">
        <f>IF(E314&gt;0,RANK(E314,$E$304:$E$322),)</f>
        <v>11</v>
      </c>
      <c r="K314" s="107">
        <f>IF(F314&gt;0,RANK(F314,$F$304:$F$322),)</f>
        <v>5</v>
      </c>
      <c r="L314" s="168"/>
      <c r="M314" s="840">
        <f>+'[1]NEW-Tables 80-86'!AE173</f>
        <v>29283.366666666669</v>
      </c>
      <c r="N314" s="73"/>
      <c r="O314" s="73"/>
      <c r="P314" s="73"/>
      <c r="Q314" s="73"/>
    </row>
    <row r="315" spans="1:17" s="61" customFormat="1" ht="12.75" customHeight="1" x14ac:dyDescent="0.2">
      <c r="A315" s="73" t="s">
        <v>324</v>
      </c>
      <c r="B315" s="75">
        <f>IF($M315&gt;0,('Amounts Pivot Table'!K$358/$M315),0)</f>
        <v>3240.7057314678455</v>
      </c>
      <c r="C315" s="75">
        <f>IF($M315&gt;0,('Amounts Pivot Table'!K$361/$M315),0)</f>
        <v>490.63344347073064</v>
      </c>
      <c r="D315" s="75">
        <f>IF($M315&gt;0,('Amounts Pivot Table'!K$364/$M315),0)</f>
        <v>1140.4031364632153</v>
      </c>
      <c r="E315" s="75">
        <f>IF($M315&gt;0,('Amounts Pivot Table'!K$367/$M315),0)</f>
        <v>1713.4801545929911</v>
      </c>
      <c r="F315" s="75">
        <f t="shared" si="55"/>
        <v>6585.2224659947824</v>
      </c>
      <c r="G315" s="116">
        <f>IF(B315&gt;0,RANK(B315,$B$304:$B$322),)</f>
        <v>7</v>
      </c>
      <c r="H315" s="107">
        <f>IF(C315&gt;0,RANK(C315,$C$304:$C$322),)</f>
        <v>1</v>
      </c>
      <c r="I315" s="107">
        <f>IF(D315&gt;0,RANK(D315,$D$304:$D$322),)</f>
        <v>4</v>
      </c>
      <c r="J315" s="107">
        <f>IF(E315&gt;0,RANK(E315,$E$304:$E$322),)</f>
        <v>14</v>
      </c>
      <c r="K315" s="107">
        <f>IF(F315&gt;0,RANK(F315,$F$304:$F$322),)</f>
        <v>10</v>
      </c>
      <c r="L315" s="168"/>
      <c r="M315" s="840">
        <f>+'[1]NEW-Tables 80-86'!AE174</f>
        <v>91761.814444444433</v>
      </c>
      <c r="N315" s="73"/>
      <c r="O315" s="73"/>
      <c r="P315" s="73"/>
      <c r="Q315" s="73"/>
    </row>
    <row r="316" spans="1:17" s="61" customFormat="1" ht="12.75" customHeight="1" x14ac:dyDescent="0.2">
      <c r="A316" s="73" t="s">
        <v>331</v>
      </c>
      <c r="B316" s="75">
        <f>IF($M316&gt;0,('Amounts Pivot Table'!K$397/$M316),0)</f>
        <v>3312.0291234755391</v>
      </c>
      <c r="C316" s="75">
        <f>IF($M316&gt;0,('Amounts Pivot Table'!K$400/$M316),0)</f>
        <v>0</v>
      </c>
      <c r="D316" s="75">
        <f>IF($M316&gt;0,('Amounts Pivot Table'!K$403/$M316),0)</f>
        <v>1851.996962663535</v>
      </c>
      <c r="E316" s="75">
        <f>IF($M316&gt;0,('Amounts Pivot Table'!K$406/$M316),0)</f>
        <v>3028.5573313808231</v>
      </c>
      <c r="F316" s="75">
        <f t="shared" si="55"/>
        <v>8192.5834175198979</v>
      </c>
      <c r="G316" s="116">
        <f>IF(B316&gt;0,RANK(B316,$B$304:$B$322),)</f>
        <v>6</v>
      </c>
      <c r="H316" s="107">
        <f>IF(C316&gt;0,RANK(C316,$C$304:$C$322),)</f>
        <v>0</v>
      </c>
      <c r="I316" s="107">
        <f>IF(D316&gt;0,RANK(D316,$D$304:$D$322),)</f>
        <v>3</v>
      </c>
      <c r="J316" s="107">
        <f>IF(E316&gt;0,RANK(E316,$E$304:$E$322),)</f>
        <v>10</v>
      </c>
      <c r="K316" s="107">
        <f>IF(F316&gt;0,RANK(F316,$F$304:$F$322),)</f>
        <v>3</v>
      </c>
      <c r="L316" s="168"/>
      <c r="M316" s="840">
        <f>+'[1]NEW-Tables 80-86'!AE175</f>
        <v>25175.566666666666</v>
      </c>
      <c r="N316" s="73"/>
      <c r="O316" s="73"/>
      <c r="P316" s="73"/>
      <c r="Q316" s="73"/>
    </row>
    <row r="317" spans="1:17" s="61" customFormat="1" ht="12.75" customHeight="1" x14ac:dyDescent="0.2">
      <c r="A317" s="73" t="s">
        <v>325</v>
      </c>
      <c r="B317" s="75">
        <f>IF($M317&gt;0,('Amounts Pivot Table'!K$436/$M317),0)</f>
        <v>1259.5770205089805</v>
      </c>
      <c r="C317" s="75">
        <f>IF($M317&gt;0,('Amounts Pivot Table'!K$439/$M317),0)</f>
        <v>142.13068154191748</v>
      </c>
      <c r="D317" s="75">
        <f>IF($M317&gt;0,('Amounts Pivot Table'!K$442/$M317),0)</f>
        <v>784.56113309929685</v>
      </c>
      <c r="E317" s="75">
        <f>IF($M317&gt;0,('Amounts Pivot Table'!K$445/$M317),0)</f>
        <v>5104.2486482938357</v>
      </c>
      <c r="F317" s="75">
        <f t="shared" si="55"/>
        <v>7290.5174834440304</v>
      </c>
      <c r="G317" s="116">
        <f>IF(B317&gt;0,RANK(B317,$B$304:$B$322),)</f>
        <v>14</v>
      </c>
      <c r="H317" s="107">
        <f>IF(C317&gt;0,RANK(C317,$C$304:$C$322),)</f>
        <v>4</v>
      </c>
      <c r="I317" s="107">
        <f>IF(D317&gt;0,RANK(D317,$D$304:$D$322),)</f>
        <v>6</v>
      </c>
      <c r="J317" s="107">
        <f>IF(E317&gt;0,RANK(E317,$E$304:$E$322),)</f>
        <v>2</v>
      </c>
      <c r="K317" s="107">
        <f>IF(F317&gt;0,RANK(F317,$F$304:$F$322),)</f>
        <v>7</v>
      </c>
      <c r="L317" s="168"/>
      <c r="M317" s="840">
        <f>+'[1]NEW-Tables 80-86'!AE176</f>
        <v>54844.26666666667</v>
      </c>
      <c r="N317" s="73"/>
      <c r="O317" s="73"/>
      <c r="P317" s="73"/>
      <c r="Q317" s="73"/>
    </row>
    <row r="318" spans="1:17" s="61" customFormat="1" ht="9.75" customHeight="1" x14ac:dyDescent="0.2">
      <c r="A318" s="73"/>
      <c r="B318" s="75"/>
      <c r="C318" s="75"/>
      <c r="D318" s="75"/>
      <c r="E318" s="75"/>
      <c r="F318" s="75"/>
      <c r="G318" s="116"/>
      <c r="H318" s="107"/>
      <c r="I318" s="107"/>
      <c r="J318" s="107"/>
      <c r="K318" s="107"/>
      <c r="L318" s="168"/>
      <c r="M318" s="840"/>
      <c r="N318" s="73"/>
      <c r="O318" s="73"/>
      <c r="P318" s="73"/>
      <c r="Q318" s="73"/>
    </row>
    <row r="319" spans="1:17" s="61" customFormat="1" ht="12.75" customHeight="1" x14ac:dyDescent="0.2">
      <c r="A319" s="73" t="s">
        <v>90</v>
      </c>
      <c r="B319" s="75">
        <f>IF($M319&gt;0,('Amounts Pivot Table'!K$475/$M319),0)</f>
        <v>3329.3138362536388</v>
      </c>
      <c r="C319" s="75">
        <f>IF($M319&gt;0,('Amounts Pivot Table'!K$478/$M319),0)</f>
        <v>0</v>
      </c>
      <c r="D319" s="75">
        <f>IF($M319&gt;0,('Amounts Pivot Table'!K$481/$M319),0)</f>
        <v>0</v>
      </c>
      <c r="E319" s="75">
        <f>IF($M319&gt;0,('Amounts Pivot Table'!K$484/$M319),0)</f>
        <v>4493.2224411175894</v>
      </c>
      <c r="F319" s="75">
        <f t="shared" si="55"/>
        <v>7822.5362773712277</v>
      </c>
      <c r="G319" s="116">
        <f>IF(B319&gt;0,RANK(B319,$B$304:$B$322),)</f>
        <v>5</v>
      </c>
      <c r="H319" s="107">
        <f>IF(C319&gt;0,RANK(C319,$C$304:$C$322),)</f>
        <v>0</v>
      </c>
      <c r="I319" s="107">
        <f>IF(D319&gt;0,RANK(D319,$D$304:$D$322),)</f>
        <v>0</v>
      </c>
      <c r="J319" s="107">
        <f>IF(E319&gt;0,RANK(E319,$E$304:$E$322),)</f>
        <v>4</v>
      </c>
      <c r="K319" s="107">
        <f>IF(F319&gt;0,RANK(F319,$F$304:$F$322),)</f>
        <v>4</v>
      </c>
      <c r="L319" s="168"/>
      <c r="M319" s="840">
        <f>+'[1]NEW-Tables 80-86'!AE178</f>
        <v>33433.866666666669</v>
      </c>
      <c r="N319" s="73"/>
      <c r="O319" s="73"/>
      <c r="P319" s="73"/>
      <c r="Q319" s="73"/>
    </row>
    <row r="320" spans="1:17" s="76" customFormat="1" ht="12.75" customHeight="1" x14ac:dyDescent="0.2">
      <c r="A320" s="73" t="s">
        <v>177</v>
      </c>
      <c r="B320" s="75">
        <f>IF($M320&gt;0,('Amounts Pivot Table'!K$514/$M320),0)</f>
        <v>2205.7071541598311</v>
      </c>
      <c r="C320" s="75">
        <f>IF($M320&gt;0,('Amounts Pivot Table'!K$517/$M320),0)</f>
        <v>0</v>
      </c>
      <c r="D320" s="75">
        <f>IF($M320&gt;0,('Amounts Pivot Table'!K$520/$M320),0)</f>
        <v>3239.1548017555997</v>
      </c>
      <c r="E320" s="75">
        <f>IF($M320&gt;0,('Amounts Pivot Table'!K$523/$M320),0)</f>
        <v>1749.9286319623779</v>
      </c>
      <c r="F320" s="75">
        <f t="shared" si="55"/>
        <v>7194.7905878778083</v>
      </c>
      <c r="G320" s="116">
        <f>IF(B320&gt;0,RANK(B320,$B$304:$B$322),)</f>
        <v>10</v>
      </c>
      <c r="H320" s="107">
        <f>IF(C320&gt;0,RANK(C320,$C$304:$C$322),)</f>
        <v>0</v>
      </c>
      <c r="I320" s="107">
        <f>IF(D320&gt;0,RANK(D320,$D$304:$D$322),)</f>
        <v>2</v>
      </c>
      <c r="J320" s="107">
        <f>IF(E320&gt;0,RANK(E320,$E$304:$E$322),)</f>
        <v>13</v>
      </c>
      <c r="K320" s="107">
        <f>IF(F320&gt;0,RANK(F320,$F$304:$F$322),)</f>
        <v>9</v>
      </c>
      <c r="L320" s="169"/>
      <c r="M320" s="840">
        <f>+'[1]NEW-Tables 80-86'!AE179</f>
        <v>293160.33444444451</v>
      </c>
      <c r="N320" s="90"/>
      <c r="O320" s="90"/>
      <c r="P320" s="90"/>
      <c r="Q320" s="90"/>
    </row>
    <row r="321" spans="1:17" s="61" customFormat="1" ht="12.75" customHeight="1" x14ac:dyDescent="0.2">
      <c r="A321" s="73" t="s">
        <v>327</v>
      </c>
      <c r="B321" s="75">
        <f>IF($M321&gt;0,('Amounts Pivot Table'!K$553/$M321),0)</f>
        <v>0</v>
      </c>
      <c r="C321" s="75">
        <f>IF($M321&gt;0,('Amounts Pivot Table'!K$556/$M321),0)</f>
        <v>0</v>
      </c>
      <c r="D321" s="75">
        <f>IF($M321&gt;0,('Amounts Pivot Table'!K$559/$M321),0)</f>
        <v>0</v>
      </c>
      <c r="E321" s="75">
        <f>IF($M321&gt;0,('Amounts Pivot Table'!K$562/$M321),0)</f>
        <v>0</v>
      </c>
      <c r="F321" s="75">
        <f t="shared" si="55"/>
        <v>0</v>
      </c>
      <c r="G321" s="116">
        <f>IF(B321&gt;0,RANK(B321,$B$304:$B$322),)</f>
        <v>0</v>
      </c>
      <c r="H321" s="107">
        <f>IF(C321&gt;0,RANK(C321,$C$304:$C$322),)</f>
        <v>0</v>
      </c>
      <c r="I321" s="107">
        <f>IF(D321&gt;0,RANK(D321,$D$304:$D$322),)</f>
        <v>0</v>
      </c>
      <c r="J321" s="107">
        <f>IF(E321&gt;0,RANK(E321,$E$304:$E$322),)</f>
        <v>0</v>
      </c>
      <c r="K321" s="107">
        <f>IF(F321&gt;0,RANK(F321,$F$304:$F$322),)</f>
        <v>0</v>
      </c>
      <c r="L321" s="170"/>
      <c r="M321" s="840">
        <f>+'[1]NEW-Tables 80-86'!AE180</f>
        <v>77373.599999999991</v>
      </c>
      <c r="N321" s="73"/>
      <c r="O321" s="73"/>
      <c r="P321" s="73"/>
      <c r="Q321" s="73"/>
    </row>
    <row r="322" spans="1:17" s="61" customFormat="1" ht="15.75" customHeight="1" x14ac:dyDescent="0.2">
      <c r="A322" s="74" t="s">
        <v>332</v>
      </c>
      <c r="B322" s="104">
        <f>IF($M322&gt;0,('Amounts Pivot Table'!K$592/$M322),0)</f>
        <v>0</v>
      </c>
      <c r="C322" s="104">
        <f>IF($M322&gt;0,('Amounts Pivot Table'!K$595/$M322),0)</f>
        <v>0</v>
      </c>
      <c r="D322" s="104">
        <f>IF($M322&gt;0,('Amounts Pivot Table'!K$598/$M322),0)</f>
        <v>0</v>
      </c>
      <c r="E322" s="104">
        <f>IF($M322&gt;0,('Amounts Pivot Table'!K$601/$M322),0)</f>
        <v>0</v>
      </c>
      <c r="F322" s="105">
        <f t="shared" si="55"/>
        <v>0</v>
      </c>
      <c r="G322" s="117">
        <f>IF(B322&gt;0,RANK(B322,$B$304:$B$322),)</f>
        <v>0</v>
      </c>
      <c r="H322" s="118">
        <f>IF(C322&gt;0,RANK(C322,$C$304:$C$322),)</f>
        <v>0</v>
      </c>
      <c r="I322" s="118">
        <f>IF(D322&gt;0,RANK(D322,$D$304:$D$322),)</f>
        <v>0</v>
      </c>
      <c r="J322" s="118">
        <f>IF(E322&gt;0,RANK(E322,$E$304:$E$322),)</f>
        <v>0</v>
      </c>
      <c r="K322" s="118">
        <f>IF(F322&gt;0,RANK(F322,$F$304:$F$322),)</f>
        <v>0</v>
      </c>
      <c r="L322" s="171"/>
      <c r="M322" s="840">
        <f>+'[1]NEW-Tables 80-86'!AE181</f>
        <v>0</v>
      </c>
      <c r="N322" s="73"/>
      <c r="O322" s="73"/>
      <c r="P322" s="73"/>
      <c r="Q322" s="73"/>
    </row>
    <row r="323" spans="1:17" s="76" customFormat="1" ht="18" x14ac:dyDescent="0.2">
      <c r="A323" s="1585" t="s">
        <v>201</v>
      </c>
      <c r="B323" s="1585"/>
      <c r="C323" s="1585"/>
      <c r="D323" s="1585"/>
      <c r="E323" s="1585"/>
      <c r="F323" s="1585"/>
      <c r="G323" s="1585"/>
      <c r="H323" s="1585"/>
      <c r="I323" s="1585"/>
      <c r="J323" s="1585"/>
      <c r="K323" s="1585"/>
      <c r="L323" s="169"/>
      <c r="M323" s="300"/>
      <c r="N323" s="90"/>
      <c r="O323" s="90"/>
      <c r="P323" s="90"/>
      <c r="Q323" s="90"/>
    </row>
    <row r="324" spans="1:17" s="76" customFormat="1" ht="32.25" customHeight="1" x14ac:dyDescent="0.2">
      <c r="A324" s="1558" t="s">
        <v>17</v>
      </c>
      <c r="B324" s="1582"/>
      <c r="C324" s="1582"/>
      <c r="D324" s="1582"/>
      <c r="E324" s="1582"/>
      <c r="F324" s="1582"/>
      <c r="G324" s="1582"/>
      <c r="H324" s="1582"/>
      <c r="I324" s="1582"/>
      <c r="J324" s="1582"/>
      <c r="K324" s="1582"/>
      <c r="L324" s="169"/>
      <c r="M324" s="296"/>
      <c r="N324" s="90"/>
      <c r="O324" s="90"/>
      <c r="P324" s="90"/>
      <c r="Q324" s="90"/>
    </row>
    <row r="325" spans="1:17" s="205" customFormat="1" ht="13.5" customHeight="1" x14ac:dyDescent="0.15">
      <c r="A325" s="1558" t="s">
        <v>54</v>
      </c>
      <c r="B325" s="1582"/>
      <c r="C325" s="1582"/>
      <c r="D325" s="1582"/>
      <c r="E325" s="1582"/>
      <c r="F325" s="1582"/>
      <c r="G325" s="1582"/>
      <c r="H325" s="1582"/>
      <c r="I325" s="1582"/>
      <c r="J325" s="1582"/>
      <c r="K325" s="1582"/>
      <c r="L325" s="204"/>
      <c r="M325" s="302"/>
      <c r="N325" s="206"/>
      <c r="O325" s="206"/>
      <c r="P325" s="206"/>
      <c r="Q325" s="206"/>
    </row>
    <row r="326" spans="1:17" s="61" customFormat="1" ht="13.5" customHeight="1" x14ac:dyDescent="0.2">
      <c r="A326" s="1558" t="s">
        <v>233</v>
      </c>
      <c r="B326" s="1583"/>
      <c r="C326" s="1583"/>
      <c r="D326" s="1583"/>
      <c r="E326" s="1583"/>
      <c r="F326" s="1583"/>
      <c r="G326" s="1584"/>
      <c r="H326" s="1584"/>
      <c r="I326" s="1584"/>
      <c r="J326" s="1584"/>
      <c r="K326" s="1584"/>
      <c r="L326" s="171"/>
      <c r="M326" s="300"/>
      <c r="N326" s="73"/>
      <c r="O326" s="73"/>
      <c r="P326" s="73"/>
      <c r="Q326" s="73"/>
    </row>
    <row r="327" spans="1:17" s="61" customFormat="1" ht="13.5" customHeight="1" x14ac:dyDescent="0.2">
      <c r="A327" s="187"/>
      <c r="B327" s="106"/>
      <c r="C327" s="106"/>
      <c r="D327" s="106"/>
      <c r="E327" s="106"/>
      <c r="F327" s="106"/>
      <c r="G327" s="188"/>
      <c r="H327" s="188"/>
      <c r="I327" s="188"/>
      <c r="J327" s="188"/>
      <c r="K327" s="188"/>
      <c r="L327" s="171"/>
      <c r="M327" s="300"/>
      <c r="N327" s="73"/>
      <c r="O327" s="73"/>
      <c r="P327" s="73"/>
      <c r="Q327" s="73"/>
    </row>
    <row r="328" spans="1:17" s="61" customFormat="1" x14ac:dyDescent="0.2">
      <c r="A328" s="187"/>
      <c r="B328" s="106"/>
      <c r="C328" s="106"/>
      <c r="D328" s="106"/>
      <c r="E328" s="106"/>
      <c r="F328" s="106"/>
      <c r="G328" s="188"/>
      <c r="H328" s="188"/>
      <c r="I328" s="188"/>
      <c r="J328" s="188"/>
      <c r="K328" s="535" t="s">
        <v>1898</v>
      </c>
      <c r="L328" s="193"/>
      <c r="M328" s="296"/>
      <c r="N328" s="73"/>
      <c r="O328" s="73"/>
      <c r="P328" s="73"/>
      <c r="Q328" s="73"/>
    </row>
    <row r="329" spans="1:17" s="61" customFormat="1" ht="18" x14ac:dyDescent="0.2">
      <c r="A329" s="135" t="s">
        <v>368</v>
      </c>
      <c r="B329" s="135"/>
      <c r="C329" s="135"/>
      <c r="D329" s="135"/>
      <c r="E329" s="135"/>
      <c r="F329" s="135"/>
      <c r="G329" s="135"/>
      <c r="H329" s="135"/>
      <c r="I329" s="135"/>
      <c r="J329" s="566"/>
      <c r="K329" s="135"/>
      <c r="L329" s="170"/>
      <c r="M329" s="296"/>
      <c r="N329" s="73"/>
      <c r="O329" s="73"/>
      <c r="P329" s="73"/>
      <c r="Q329" s="73"/>
    </row>
    <row r="330" spans="1:17" s="61" customFormat="1" ht="12.75" customHeight="1" x14ac:dyDescent="0.2">
      <c r="A330" s="135"/>
      <c r="B330" s="135"/>
      <c r="C330" s="135"/>
      <c r="D330" s="135"/>
      <c r="E330" s="135"/>
      <c r="F330" s="135"/>
      <c r="G330" s="135"/>
      <c r="H330" s="135"/>
      <c r="I330" s="135"/>
      <c r="J330" s="566"/>
      <c r="K330" s="135"/>
      <c r="L330" s="170"/>
      <c r="M330" s="296"/>
      <c r="N330" s="73"/>
      <c r="O330" s="73"/>
      <c r="P330" s="73"/>
      <c r="Q330" s="73"/>
    </row>
    <row r="331" spans="1:17" s="61" customFormat="1" ht="18.75" x14ac:dyDescent="0.2">
      <c r="A331" s="1557" t="s">
        <v>18</v>
      </c>
      <c r="B331" s="1557"/>
      <c r="C331" s="1557"/>
      <c r="D331" s="1557"/>
      <c r="E331" s="1557"/>
      <c r="F331" s="1557"/>
      <c r="G331" s="1557"/>
      <c r="H331" s="1557"/>
      <c r="I331" s="1557"/>
      <c r="J331" s="1557"/>
      <c r="K331" s="1557"/>
      <c r="L331" s="165"/>
      <c r="M331" s="296"/>
      <c r="N331" s="73"/>
      <c r="O331" s="73"/>
      <c r="P331" s="73"/>
      <c r="Q331" s="73"/>
    </row>
    <row r="332" spans="1:17" s="61" customFormat="1" ht="15.75" x14ac:dyDescent="0.15">
      <c r="A332" s="1557" t="s">
        <v>1910</v>
      </c>
      <c r="B332" s="1557"/>
      <c r="C332" s="1557"/>
      <c r="D332" s="1557"/>
      <c r="E332" s="1557"/>
      <c r="F332" s="1557"/>
      <c r="G332" s="1557"/>
      <c r="H332" s="1557"/>
      <c r="I332" s="1557"/>
      <c r="J332" s="1557"/>
      <c r="K332" s="1557"/>
      <c r="L332" s="165"/>
      <c r="M332" s="299"/>
      <c r="N332" s="73"/>
      <c r="O332" s="73"/>
      <c r="P332" s="73"/>
      <c r="Q332" s="73"/>
    </row>
    <row r="333" spans="1:17" s="61" customFormat="1" ht="9" customHeight="1" x14ac:dyDescent="0.15">
      <c r="A333" s="91"/>
      <c r="B333" s="91"/>
      <c r="C333" s="91"/>
      <c r="D333" s="91"/>
      <c r="E333" s="91"/>
      <c r="F333" s="91"/>
      <c r="G333" s="108"/>
      <c r="H333" s="91"/>
      <c r="I333" s="91"/>
      <c r="J333" s="91"/>
      <c r="K333" s="91"/>
      <c r="L333" s="165"/>
      <c r="M333" s="299"/>
      <c r="N333" s="73"/>
      <c r="O333" s="73"/>
      <c r="P333" s="73"/>
      <c r="Q333" s="73"/>
    </row>
    <row r="334" spans="1:17" s="61" customFormat="1" ht="14.25" customHeight="1" x14ac:dyDescent="0.2">
      <c r="A334" s="60"/>
      <c r="B334" s="1580" t="s">
        <v>55</v>
      </c>
      <c r="C334" s="1581"/>
      <c r="D334" s="1581"/>
      <c r="E334" s="1581"/>
      <c r="F334" s="1581"/>
      <c r="G334" s="569" t="s">
        <v>119</v>
      </c>
      <c r="H334" s="570"/>
      <c r="I334" s="570"/>
      <c r="J334" s="570"/>
      <c r="K334" s="570"/>
      <c r="L334" s="173"/>
      <c r="M334" s="296"/>
      <c r="N334" s="73"/>
      <c r="O334" s="73"/>
      <c r="P334" s="73"/>
      <c r="Q334" s="73"/>
    </row>
    <row r="335" spans="1:17" s="178" customFormat="1" ht="48" customHeight="1" x14ac:dyDescent="0.2">
      <c r="A335" s="50"/>
      <c r="B335" s="550" t="s">
        <v>87</v>
      </c>
      <c r="C335" s="551" t="s">
        <v>89</v>
      </c>
      <c r="D335" s="551" t="s">
        <v>88</v>
      </c>
      <c r="E335" s="551" t="s">
        <v>398</v>
      </c>
      <c r="F335" s="551" t="s">
        <v>97</v>
      </c>
      <c r="G335" s="552" t="s">
        <v>87</v>
      </c>
      <c r="H335" s="551" t="s">
        <v>89</v>
      </c>
      <c r="I335" s="551" t="s">
        <v>88</v>
      </c>
      <c r="J335" s="551" t="s">
        <v>398</v>
      </c>
      <c r="K335" s="551" t="s">
        <v>97</v>
      </c>
      <c r="L335" s="176"/>
      <c r="M335" s="298" t="s">
        <v>260</v>
      </c>
      <c r="N335" s="177"/>
      <c r="O335" s="177"/>
      <c r="P335" s="177"/>
      <c r="Q335" s="177"/>
    </row>
    <row r="336" spans="1:17" s="61" customFormat="1" ht="14.25" x14ac:dyDescent="0.2">
      <c r="A336" s="73" t="s">
        <v>56</v>
      </c>
      <c r="B336" s="102">
        <f>IF($M336&gt;0,('Amounts Pivot Table'!L$631/$M336),0)</f>
        <v>3266.458912532978</v>
      </c>
      <c r="C336" s="102">
        <f>IF($M336&gt;0,('Amounts Pivot Table'!L$634/$M336),0)</f>
        <v>216.0613315573047</v>
      </c>
      <c r="D336" s="102">
        <f>IF($M336&gt;0,('Amounts Pivot Table'!L$637/$M336),0)</f>
        <v>792.45560971707494</v>
      </c>
      <c r="E336" s="102">
        <f>IF($M336&gt;0,('Amounts Pivot Table'!L$640/$M336),0)</f>
        <v>2930.0990655277105</v>
      </c>
      <c r="F336" s="102">
        <f>SUM(B336:E336)</f>
        <v>7205.0749193350675</v>
      </c>
      <c r="G336" s="114"/>
      <c r="H336" s="115"/>
      <c r="I336" s="115"/>
      <c r="J336" s="115"/>
      <c r="K336" s="115"/>
      <c r="L336" s="168"/>
      <c r="M336" s="840">
        <f>+'[1]NEW-Tables 80-86'!AF161</f>
        <v>409768.17</v>
      </c>
      <c r="N336" s="73"/>
      <c r="O336" s="73"/>
      <c r="P336" s="73"/>
      <c r="Q336" s="73"/>
    </row>
    <row r="337" spans="1:17" s="61" customFormat="1" ht="10.5" customHeight="1" x14ac:dyDescent="0.2">
      <c r="A337" s="73"/>
      <c r="B337" s="102"/>
      <c r="C337" s="102"/>
      <c r="D337" s="102"/>
      <c r="E337" s="102"/>
      <c r="F337" s="102"/>
      <c r="G337" s="114"/>
      <c r="H337" s="115"/>
      <c r="I337" s="115"/>
      <c r="J337" s="115"/>
      <c r="K337" s="115"/>
      <c r="L337" s="168"/>
      <c r="M337" s="840"/>
      <c r="N337" s="73"/>
      <c r="O337" s="73"/>
      <c r="P337" s="73"/>
      <c r="Q337" s="73"/>
    </row>
    <row r="338" spans="1:17" s="61" customFormat="1" ht="12.75" customHeight="1" x14ac:dyDescent="0.2">
      <c r="A338" s="73" t="s">
        <v>320</v>
      </c>
      <c r="B338" s="75">
        <f>IF($M338&gt;0,('Amounts Pivot Table'!L$7/$M338),0)</f>
        <v>4261.6116069395748</v>
      </c>
      <c r="C338" s="75">
        <f>IF($M338&gt;0,('Amounts Pivot Table'!L$10/$M338),0)</f>
        <v>306.27663295677047</v>
      </c>
      <c r="D338" s="75">
        <f>IF($M338&gt;0,('Amounts Pivot Table'!L$13/$M338),0)</f>
        <v>30.581071403438326</v>
      </c>
      <c r="E338" s="75">
        <f>IF($M338&gt;0,('Amounts Pivot Table'!L$16/$M338),0)</f>
        <v>4006.5207330350081</v>
      </c>
      <c r="F338" s="75">
        <f t="shared" ref="F338:F356" si="56">SUM(B338:E338)</f>
        <v>8604.9900443347924</v>
      </c>
      <c r="G338" s="116">
        <f>IF(B338&gt;0,RANK(B338,$B$338:$B$356),)</f>
        <v>4</v>
      </c>
      <c r="H338" s="107">
        <f>IF(C338&gt;0,RANK(C338,$C$338:$C$356),)</f>
        <v>3</v>
      </c>
      <c r="I338" s="107">
        <f>IF(D338&gt;0,RANK(D338,$D$338:$D$356),)</f>
        <v>7</v>
      </c>
      <c r="J338" s="107">
        <f>IF(E338&gt;0,RANK(E338,$E$338:$E$356),)</f>
        <v>7</v>
      </c>
      <c r="K338" s="107">
        <f>IF(F338&gt;0,RANK(F338,$F$338:$F$356),)</f>
        <v>3</v>
      </c>
      <c r="L338" s="168"/>
      <c r="M338" s="840">
        <f>+'[1]NEW-Tables 80-86'!AF163</f>
        <v>32209.466666666667</v>
      </c>
      <c r="N338" s="73"/>
      <c r="O338" s="73"/>
      <c r="P338" s="73"/>
      <c r="Q338" s="73"/>
    </row>
    <row r="339" spans="1:17" s="61" customFormat="1" ht="12.75" customHeight="1" x14ac:dyDescent="0.2">
      <c r="A339" s="73" t="s">
        <v>334</v>
      </c>
      <c r="B339" s="75">
        <f>IF($M339&gt;0,('Amounts Pivot Table'!L$46/$M339),0)</f>
        <v>4586.0522148985528</v>
      </c>
      <c r="C339" s="75">
        <f>IF($M339&gt;0,('Amounts Pivot Table'!L$49/$M339),0)</f>
        <v>0</v>
      </c>
      <c r="D339" s="75">
        <f>IF($M339&gt;0,('Amounts Pivot Table'!L$52/$M339),0)</f>
        <v>327.67684206650222</v>
      </c>
      <c r="E339" s="75">
        <f>IF($M339&gt;0,('Amounts Pivot Table'!L$55/$M339),0)</f>
        <v>3228.4342895017862</v>
      </c>
      <c r="F339" s="75">
        <f t="shared" si="56"/>
        <v>8142.1633464668412</v>
      </c>
      <c r="G339" s="116">
        <f>IF(B339&gt;0,RANK(B339,$B$338:$B$356),)</f>
        <v>3</v>
      </c>
      <c r="H339" s="107">
        <f>IF(C339&gt;0,RANK(C339,$C$338:$C$356),)</f>
        <v>0</v>
      </c>
      <c r="I339" s="107">
        <f>IF(D339&gt;0,RANK(D339,$D$338:$D$356),)</f>
        <v>6</v>
      </c>
      <c r="J339" s="107">
        <f>IF(E339&gt;0,RANK(E339,$E$338:$E$356),)</f>
        <v>9</v>
      </c>
      <c r="K339" s="107">
        <f>IF(F339&gt;0,RANK(F339,$F$338:$F$356),)</f>
        <v>5</v>
      </c>
      <c r="L339" s="168"/>
      <c r="M339" s="840">
        <f>+'[1]NEW-Tables 80-86'!AF164</f>
        <v>5431.4</v>
      </c>
      <c r="N339" s="73"/>
      <c r="O339" s="73"/>
      <c r="P339" s="73"/>
      <c r="Q339" s="73"/>
    </row>
    <row r="340" spans="1:17" s="61" customFormat="1" ht="12.75" customHeight="1" x14ac:dyDescent="0.2">
      <c r="A340" s="73" t="s">
        <v>321</v>
      </c>
      <c r="B340" s="75">
        <f>IF($M340&gt;0,('Amounts Pivot Table'!L$85/$M340),0)</f>
        <v>5690.3531464878906</v>
      </c>
      <c r="C340" s="75">
        <f>IF($M340&gt;0,('Amounts Pivot Table'!L$88/$M340),0)</f>
        <v>0</v>
      </c>
      <c r="D340" s="75">
        <f>IF($M340&gt;0,('Amounts Pivot Table'!L$91/$M340),0)</f>
        <v>0</v>
      </c>
      <c r="E340" s="75">
        <f>IF($M340&gt;0,('Amounts Pivot Table'!L$94/$M340),0)</f>
        <v>4530.831955855152</v>
      </c>
      <c r="F340" s="75">
        <f t="shared" si="56"/>
        <v>10221.185102343043</v>
      </c>
      <c r="G340" s="116">
        <f>IF(B340&gt;0,RANK(B340,$B$338:$B$356),)</f>
        <v>1</v>
      </c>
      <c r="H340" s="107">
        <f>IF(C340&gt;0,RANK(C340,$C$338:$C$356),)</f>
        <v>0</v>
      </c>
      <c r="I340" s="107">
        <f>IF(D340&gt;0,RANK(D340,$D$338:$D$356),)</f>
        <v>0</v>
      </c>
      <c r="J340" s="107">
        <f>IF(E340&gt;0,RANK(E340,$E$338:$E$356),)</f>
        <v>3</v>
      </c>
      <c r="K340" s="107">
        <f>IF(F340&gt;0,RANK(F340,$F$338:$F$356),)</f>
        <v>2</v>
      </c>
      <c r="L340" s="168"/>
      <c r="M340" s="840">
        <f>+'[1]NEW-Tables 80-86'!AF165</f>
        <v>5424.5666666666675</v>
      </c>
      <c r="N340" s="73"/>
      <c r="O340" s="73"/>
      <c r="P340" s="73"/>
      <c r="Q340" s="73"/>
    </row>
    <row r="341" spans="1:17" s="61" customFormat="1" ht="12.75" customHeight="1" x14ac:dyDescent="0.2">
      <c r="A341" s="73" t="s">
        <v>328</v>
      </c>
      <c r="B341" s="75">
        <f>IF($M341&gt;0,('Amounts Pivot Table'!L$124/$M341),0)</f>
        <v>5521.209946484827</v>
      </c>
      <c r="C341" s="75">
        <f>IF($M341&gt;0,('Amounts Pivot Table'!L$127/$M341),0)</f>
        <v>0</v>
      </c>
      <c r="D341" s="75">
        <f>IF($M341&gt;0,('Amounts Pivot Table'!L$130/$M341),0)</f>
        <v>0</v>
      </c>
      <c r="E341" s="75">
        <f>IF($M341&gt;0,('Amounts Pivot Table'!L$133/$M341),0)</f>
        <v>2051.9842159056893</v>
      </c>
      <c r="F341" s="75">
        <f t="shared" si="56"/>
        <v>7573.1941623905168</v>
      </c>
      <c r="G341" s="116">
        <f>IF(B341&gt;0,RANK(B341,$B$338:$B$356),)</f>
        <v>2</v>
      </c>
      <c r="H341" s="107">
        <f>IF(C341&gt;0,RANK(C341,$C$338:$C$356),)</f>
        <v>0</v>
      </c>
      <c r="I341" s="107">
        <f>IF(D341&gt;0,RANK(D341,$D$338:$D$356),)</f>
        <v>0</v>
      </c>
      <c r="J341" s="107">
        <f>IF(E341&gt;0,RANK(E341,$E$338:$E$356),)</f>
        <v>14</v>
      </c>
      <c r="K341" s="107">
        <f>IF(F341&gt;0,RANK(F341,$F$338:$F$356),)</f>
        <v>9</v>
      </c>
      <c r="L341" s="168"/>
      <c r="M341" s="840">
        <f>+'[1]NEW-Tables 80-86'!AF166</f>
        <v>11548.334444444445</v>
      </c>
      <c r="N341" s="73"/>
      <c r="O341" s="73"/>
      <c r="P341" s="73"/>
      <c r="Q341" s="73"/>
    </row>
    <row r="342" spans="1:17" s="61" customFormat="1" ht="10.5" customHeight="1" x14ac:dyDescent="0.2">
      <c r="A342" s="73"/>
      <c r="B342" s="75"/>
      <c r="C342" s="75"/>
      <c r="D342" s="75"/>
      <c r="E342" s="75"/>
      <c r="F342" s="75"/>
      <c r="G342" s="116"/>
      <c r="H342" s="107"/>
      <c r="I342" s="107"/>
      <c r="J342" s="107"/>
      <c r="K342" s="107"/>
      <c r="L342" s="168"/>
      <c r="M342" s="840"/>
      <c r="N342" s="73"/>
      <c r="O342" s="73"/>
      <c r="P342" s="73"/>
      <c r="Q342" s="73"/>
    </row>
    <row r="343" spans="1:17" s="61" customFormat="1" ht="12.75" customHeight="1" x14ac:dyDescent="0.2">
      <c r="A343" s="73" t="s">
        <v>329</v>
      </c>
      <c r="B343" s="75">
        <f>IF($M343&gt;0,('Amounts Pivot Table'!L$163/$M343),0)</f>
        <v>3730.7361382831291</v>
      </c>
      <c r="C343" s="75">
        <f>IF($M343&gt;0,('Amounts Pivot Table'!L$166/$M343),0)</f>
        <v>0</v>
      </c>
      <c r="D343" s="75">
        <f>IF($M343&gt;0,('Amounts Pivot Table'!L$169/$M343),0)</f>
        <v>0</v>
      </c>
      <c r="E343" s="75">
        <f>IF($M343&gt;0,('Amounts Pivot Table'!L$172/$M343),0)</f>
        <v>3208.9691156144572</v>
      </c>
      <c r="F343" s="75">
        <f t="shared" si="56"/>
        <v>6939.7052538975859</v>
      </c>
      <c r="G343" s="116">
        <f>IF(B343&gt;0,RANK(B343,$B$338:$B$356),)</f>
        <v>9</v>
      </c>
      <c r="H343" s="107">
        <f>IF(C343&gt;0,RANK(C343,$C$338:$C$356),)</f>
        <v>0</v>
      </c>
      <c r="I343" s="107">
        <f>IF(D343&gt;0,RANK(D343,$D$338:$D$356),)</f>
        <v>0</v>
      </c>
      <c r="J343" s="107">
        <f>IF(E343&gt;0,RANK(E343,$E$338:$E$356),)</f>
        <v>10</v>
      </c>
      <c r="K343" s="107">
        <f>IF(F343&gt;0,RANK(F343,$F$338:$F$356),)</f>
        <v>14</v>
      </c>
      <c r="L343" s="168"/>
      <c r="M343" s="840">
        <f>+'[1]NEW-Tables 80-86'!AF168</f>
        <v>18111.633333333335</v>
      </c>
      <c r="N343" s="73"/>
      <c r="O343" s="73"/>
      <c r="P343" s="73"/>
      <c r="Q343" s="73"/>
    </row>
    <row r="344" spans="1:17" s="61" customFormat="1" ht="12.75" customHeight="1" x14ac:dyDescent="0.2">
      <c r="A344" s="73" t="s">
        <v>322</v>
      </c>
      <c r="B344" s="75">
        <f>IF($M344&gt;0,('Amounts Pivot Table'!L$202/$M344),0)</f>
        <v>3423.9318327776823</v>
      </c>
      <c r="C344" s="75">
        <f>IF($M344&gt;0,('Amounts Pivot Table'!L$205/$M344),0)</f>
        <v>0</v>
      </c>
      <c r="D344" s="75">
        <f>IF($M344&gt;0,('Amounts Pivot Table'!L$208/$M344),0)</f>
        <v>0</v>
      </c>
      <c r="E344" s="75">
        <f>IF($M344&gt;0,('Amounts Pivot Table'!L$211/$M344),0)</f>
        <v>4058.8318309496954</v>
      </c>
      <c r="F344" s="75">
        <f t="shared" si="56"/>
        <v>7482.7636637273772</v>
      </c>
      <c r="G344" s="116">
        <f>IF(B344&gt;0,RANK(B344,$B$338:$B$356),)</f>
        <v>11</v>
      </c>
      <c r="H344" s="107">
        <f>IF(C344&gt;0,RANK(C344,$C$338:$C$356),)</f>
        <v>0</v>
      </c>
      <c r="I344" s="107">
        <f>IF(D344&gt;0,RANK(D344,$D$338:$D$356),)</f>
        <v>0</v>
      </c>
      <c r="J344" s="107">
        <f>IF(E344&gt;0,RANK(E344,$E$338:$E$356),)</f>
        <v>6</v>
      </c>
      <c r="K344" s="107">
        <f>IF(F344&gt;0,RANK(F344,$F$338:$F$356),)</f>
        <v>10</v>
      </c>
      <c r="L344" s="168"/>
      <c r="M344" s="840">
        <f>+'[1]NEW-Tables 80-86'!AF169</f>
        <v>31886.366666666665</v>
      </c>
      <c r="N344" s="73"/>
      <c r="O344" s="73"/>
      <c r="P344" s="73"/>
      <c r="Q344" s="73"/>
    </row>
    <row r="345" spans="1:17" s="61" customFormat="1" ht="12.75" customHeight="1" x14ac:dyDescent="0.2">
      <c r="A345" s="73" t="s">
        <v>330</v>
      </c>
      <c r="B345" s="75">
        <f>IF($M345&gt;0,('Amounts Pivot Table'!L$241/$M345),0)</f>
        <v>2866.2490152627192</v>
      </c>
      <c r="C345" s="75">
        <f>IF($M345&gt;0,('Amounts Pivot Table'!L$244/$M345),0)</f>
        <v>0</v>
      </c>
      <c r="D345" s="75">
        <f>IF($M345&gt;0,('Amounts Pivot Table'!L$247/$M345),0)</f>
        <v>0</v>
      </c>
      <c r="E345" s="75">
        <f>IF($M345&gt;0,('Amounts Pivot Table'!L$250/$M345),0)</f>
        <v>3170.1316572490832</v>
      </c>
      <c r="F345" s="75">
        <f t="shared" si="56"/>
        <v>6036.3806725118029</v>
      </c>
      <c r="G345" s="116">
        <f>IF(B345&gt;0,RANK(B345,$B$338:$B$356),)</f>
        <v>14</v>
      </c>
      <c r="H345" s="107">
        <f>IF(C345&gt;0,RANK(C345,$C$338:$C$356),)</f>
        <v>0</v>
      </c>
      <c r="I345" s="107">
        <f>IF(D345&gt;0,RANK(D345,$D$338:$D$356),)</f>
        <v>0</v>
      </c>
      <c r="J345" s="107">
        <f>IF(E345&gt;0,RANK(E345,$E$338:$E$356),)</f>
        <v>11</v>
      </c>
      <c r="K345" s="107">
        <f>IF(F345&gt;0,RANK(F345,$F$338:$F$356),)</f>
        <v>15</v>
      </c>
      <c r="L345" s="168"/>
      <c r="M345" s="840">
        <f>+'[1]NEW-Tables 80-86'!AF170</f>
        <v>11762.866666666667</v>
      </c>
      <c r="N345" s="73"/>
      <c r="O345" s="73"/>
      <c r="P345" s="73"/>
      <c r="Q345" s="73"/>
    </row>
    <row r="346" spans="1:17" s="61" customFormat="1" ht="12.75" customHeight="1" x14ac:dyDescent="0.2">
      <c r="A346" s="73" t="s">
        <v>333</v>
      </c>
      <c r="B346" s="75">
        <f>IF($M346&gt;0,('Amounts Pivot Table'!L$280/$M346),0)</f>
        <v>3971.3876195342173</v>
      </c>
      <c r="C346" s="75">
        <f>IF($M346&gt;0,('Amounts Pivot Table'!L$283/$M346),0)</f>
        <v>0</v>
      </c>
      <c r="D346" s="75">
        <f>IF($M346&gt;0,('Amounts Pivot Table'!L$286/$M346),0)</f>
        <v>2720.6520713729933</v>
      </c>
      <c r="E346" s="75">
        <f>IF($M346&gt;0,('Amounts Pivot Table'!L$289/$M346),0)</f>
        <v>4847.1499178514741</v>
      </c>
      <c r="F346" s="75">
        <f t="shared" si="56"/>
        <v>11539.189608758685</v>
      </c>
      <c r="G346" s="116">
        <f>IF(B346&gt;0,RANK(B346,$B$338:$B$356),)</f>
        <v>5</v>
      </c>
      <c r="H346" s="107">
        <f>IF(C346&gt;0,RANK(C346,$C$338:$C$356),)</f>
        <v>0</v>
      </c>
      <c r="I346" s="107">
        <f>IF(D346&gt;0,RANK(D346,$D$338:$D$356),)</f>
        <v>1</v>
      </c>
      <c r="J346" s="107">
        <f>IF(E346&gt;0,RANK(E346,$E$338:$E$356),)</f>
        <v>1</v>
      </c>
      <c r="K346" s="107">
        <f>IF(F346&gt;0,RANK(F346,$F$338:$F$356),)</f>
        <v>1</v>
      </c>
      <c r="L346" s="168"/>
      <c r="M346" s="840">
        <f>+'[1]NEW-Tables 80-86'!AF171</f>
        <v>22083.983333333334</v>
      </c>
      <c r="N346" s="73"/>
      <c r="O346" s="73"/>
      <c r="P346" s="73"/>
      <c r="Q346" s="73"/>
    </row>
    <row r="347" spans="1:17" s="61" customFormat="1" ht="10.5" customHeight="1" x14ac:dyDescent="0.2">
      <c r="A347" s="73"/>
      <c r="B347" s="75"/>
      <c r="C347" s="75"/>
      <c r="D347" s="75"/>
      <c r="E347" s="75"/>
      <c r="F347" s="75"/>
      <c r="G347" s="116"/>
      <c r="H347" s="107"/>
      <c r="I347" s="107"/>
      <c r="J347" s="107"/>
      <c r="K347" s="107"/>
      <c r="L347" s="168"/>
      <c r="M347" s="840"/>
      <c r="N347" s="73"/>
      <c r="O347" s="73"/>
      <c r="P347" s="73"/>
      <c r="Q347" s="73"/>
    </row>
    <row r="348" spans="1:17" s="61" customFormat="1" ht="12.75" customHeight="1" x14ac:dyDescent="0.2">
      <c r="A348" s="73" t="s">
        <v>323</v>
      </c>
      <c r="B348" s="75">
        <f>IF($M348&gt;0,('Amounts Pivot Table'!L$319/$M348),0)</f>
        <v>3929.6217677641444</v>
      </c>
      <c r="C348" s="75">
        <f>IF($M348&gt;0,('Amounts Pivot Table'!L$322/$M348),0)</f>
        <v>431.01759435038514</v>
      </c>
      <c r="D348" s="75">
        <f>IF($M348&gt;0,('Amounts Pivot Table'!L$325/$M348),0)</f>
        <v>652.92114596093734</v>
      </c>
      <c r="E348" s="75">
        <f>IF($M348&gt;0,('Amounts Pivot Table'!L$328/$M348),0)</f>
        <v>3058.7997780381857</v>
      </c>
      <c r="F348" s="75">
        <f t="shared" si="56"/>
        <v>8072.3602861136524</v>
      </c>
      <c r="G348" s="116">
        <f>IF(B348&gt;0,RANK(B348,$B$338:$B$356),)</f>
        <v>6</v>
      </c>
      <c r="H348" s="107">
        <f>IF(C348&gt;0,RANK(C348,$C$338:$C$356),)</f>
        <v>2</v>
      </c>
      <c r="I348" s="107">
        <f>IF(D348&gt;0,RANK(D348,$D$338:$D$356),)</f>
        <v>5</v>
      </c>
      <c r="J348" s="107">
        <f>IF(E348&gt;0,RANK(E348,$E$338:$E$356),)</f>
        <v>12</v>
      </c>
      <c r="K348" s="107">
        <f>IF(F348&gt;0,RANK(F348,$F$338:$F$356),)</f>
        <v>6</v>
      </c>
      <c r="L348" s="168"/>
      <c r="M348" s="840">
        <f>+'[1]NEW-Tables 80-86'!AF173</f>
        <v>30095.266666666666</v>
      </c>
      <c r="N348" s="73"/>
      <c r="O348" s="73"/>
      <c r="P348" s="73"/>
      <c r="Q348" s="73"/>
    </row>
    <row r="349" spans="1:17" s="61" customFormat="1" ht="12.75" customHeight="1" x14ac:dyDescent="0.2">
      <c r="A349" s="73" t="s">
        <v>324</v>
      </c>
      <c r="B349" s="75">
        <f>IF($M349&gt;0,('Amounts Pivot Table'!L$358/$M349),0)</f>
        <v>3747.1031767973209</v>
      </c>
      <c r="C349" s="75">
        <f>IF($M349&gt;0,('Amounts Pivot Table'!L$361/$M349),0)</f>
        <v>788.22628295482684</v>
      </c>
      <c r="D349" s="75">
        <f>IF($M349&gt;0,('Amounts Pivot Table'!L$364/$M349),0)</f>
        <v>953.08591726137456</v>
      </c>
      <c r="E349" s="75">
        <f>IF($M349&gt;0,('Amounts Pivot Table'!L$367/$M349),0)</f>
        <v>1835.6272301230781</v>
      </c>
      <c r="F349" s="75">
        <f t="shared" si="56"/>
        <v>7324.042607136601</v>
      </c>
      <c r="G349" s="116">
        <f>IF(B349&gt;0,RANK(B349,$B$338:$B$356),)</f>
        <v>8</v>
      </c>
      <c r="H349" s="107">
        <f>IF(C349&gt;0,RANK(C349,$C$338:$C$356),)</f>
        <v>1</v>
      </c>
      <c r="I349" s="107">
        <f>IF(D349&gt;0,RANK(D349,$D$338:$D$356),)</f>
        <v>3</v>
      </c>
      <c r="J349" s="107">
        <f>IF(E349&gt;0,RANK(E349,$E$338:$E$356),)</f>
        <v>15</v>
      </c>
      <c r="K349" s="107">
        <f>IF(F349&gt;0,RANK(F349,$F$338:$F$356),)</f>
        <v>12</v>
      </c>
      <c r="L349" s="168"/>
      <c r="M349" s="840">
        <f>+'[1]NEW-Tables 80-86'!AF174</f>
        <v>79114.65444444443</v>
      </c>
      <c r="N349" s="73"/>
      <c r="O349" s="73"/>
      <c r="P349" s="73"/>
      <c r="Q349" s="73"/>
    </row>
    <row r="350" spans="1:17" s="61" customFormat="1" ht="12.75" customHeight="1" x14ac:dyDescent="0.2">
      <c r="A350" s="73" t="s">
        <v>331</v>
      </c>
      <c r="B350" s="75">
        <f>IF($M350&gt;0,('Amounts Pivot Table'!L$397/$M350),0)</f>
        <v>3173.6635966488266</v>
      </c>
      <c r="C350" s="75">
        <f>IF($M350&gt;0,('Amounts Pivot Table'!L$400/$M350),0)</f>
        <v>0</v>
      </c>
      <c r="D350" s="75">
        <f>IF($M350&gt;0,('Amounts Pivot Table'!L$403/$M350),0)</f>
        <v>0</v>
      </c>
      <c r="E350" s="75">
        <f>IF($M350&gt;0,('Amounts Pivot Table'!L$406/$M350),0)</f>
        <v>3772.0835145715528</v>
      </c>
      <c r="F350" s="75">
        <f t="shared" si="56"/>
        <v>6945.7471112203793</v>
      </c>
      <c r="G350" s="116">
        <f>IF(B350&gt;0,RANK(B350,$B$338:$B$356),)</f>
        <v>12</v>
      </c>
      <c r="H350" s="107">
        <f>IF(C350&gt;0,RANK(C350,$C$338:$C$356),)</f>
        <v>0</v>
      </c>
      <c r="I350" s="107">
        <f>IF(D350&gt;0,RANK(D350,$D$338:$D$356),)</f>
        <v>0</v>
      </c>
      <c r="J350" s="107">
        <f>IF(E350&gt;0,RANK(E350,$E$338:$E$356),)</f>
        <v>8</v>
      </c>
      <c r="K350" s="107">
        <f>IF(F350&gt;0,RANK(F350,$F$338:$F$356),)</f>
        <v>13</v>
      </c>
      <c r="L350" s="168"/>
      <c r="M350" s="840">
        <f>+'[1]NEW-Tables 80-86'!AF175</f>
        <v>5287.7</v>
      </c>
      <c r="N350" s="73"/>
      <c r="O350" s="73"/>
      <c r="P350" s="73"/>
      <c r="Q350" s="73"/>
    </row>
    <row r="351" spans="1:17" s="61" customFormat="1" ht="12.75" customHeight="1" x14ac:dyDescent="0.2">
      <c r="A351" s="73" t="s">
        <v>325</v>
      </c>
      <c r="B351" s="75">
        <f>IF($M351&gt;0,('Amounts Pivot Table'!L$436/$M351),0)</f>
        <v>1460.940697053185</v>
      </c>
      <c r="C351" s="75">
        <f>IF($M351&gt;0,('Amounts Pivot Table'!L$439/$M351),0)</f>
        <v>209.8205512314187</v>
      </c>
      <c r="D351" s="75">
        <f>IF($M351&gt;0,('Amounts Pivot Table'!L$442/$M351),0)</f>
        <v>943.59674834222017</v>
      </c>
      <c r="E351" s="75">
        <f>IF($M351&gt;0,('Amounts Pivot Table'!L$445/$M351),0)</f>
        <v>4805.3398422359332</v>
      </c>
      <c r="F351" s="75">
        <f t="shared" si="56"/>
        <v>7419.6978388627576</v>
      </c>
      <c r="G351" s="116">
        <f>IF(B351&gt;0,RANK(B351,$B$338:$B$356),)</f>
        <v>15</v>
      </c>
      <c r="H351" s="107">
        <f>IF(C351&gt;0,RANK(C351,$C$338:$C$356),)</f>
        <v>4</v>
      </c>
      <c r="I351" s="107">
        <f>IF(D351&gt;0,RANK(D351,$D$338:$D$356),)</f>
        <v>4</v>
      </c>
      <c r="J351" s="107">
        <f>IF(E351&gt;0,RANK(E351,$E$338:$E$356),)</f>
        <v>2</v>
      </c>
      <c r="K351" s="107">
        <f>IF(F351&gt;0,RANK(F351,$F$338:$F$356),)</f>
        <v>11</v>
      </c>
      <c r="L351" s="168"/>
      <c r="M351" s="840">
        <f>+'[1]NEW-Tables 80-86'!AF176</f>
        <v>15909.833333333334</v>
      </c>
      <c r="N351" s="73"/>
      <c r="O351" s="73"/>
      <c r="P351" s="73"/>
      <c r="Q351" s="73"/>
    </row>
    <row r="352" spans="1:17" s="61" customFormat="1" ht="10.5" customHeight="1" x14ac:dyDescent="0.2">
      <c r="A352" s="73"/>
      <c r="B352" s="75"/>
      <c r="C352" s="75"/>
      <c r="D352" s="75"/>
      <c r="E352" s="75"/>
      <c r="F352" s="75"/>
      <c r="G352" s="116"/>
      <c r="H352" s="107"/>
      <c r="I352" s="107"/>
      <c r="J352" s="107"/>
      <c r="K352" s="107"/>
      <c r="L352" s="168"/>
      <c r="M352" s="840"/>
      <c r="N352" s="73"/>
      <c r="O352" s="73"/>
      <c r="P352" s="73"/>
      <c r="Q352" s="73"/>
    </row>
    <row r="353" spans="1:17" s="61" customFormat="1" ht="12.75" customHeight="1" x14ac:dyDescent="0.2">
      <c r="A353" s="73" t="s">
        <v>90</v>
      </c>
      <c r="B353" s="75">
        <f>IF($M353&gt;0,('Amounts Pivot Table'!L$475/$M353),0)</f>
        <v>3891.4179801220707</v>
      </c>
      <c r="C353" s="75">
        <f>IF($M353&gt;0,('Amounts Pivot Table'!L$478/$M353),0)</f>
        <v>0</v>
      </c>
      <c r="D353" s="75">
        <f>IF($M353&gt;0,('Amounts Pivot Table'!L$481/$M353),0)</f>
        <v>0</v>
      </c>
      <c r="E353" s="75">
        <f>IF($M353&gt;0,('Amounts Pivot Table'!L$484/$M353),0)</f>
        <v>4355.7506954364335</v>
      </c>
      <c r="F353" s="75">
        <f t="shared" si="56"/>
        <v>8247.1686755585033</v>
      </c>
      <c r="G353" s="116">
        <f>IF(B353&gt;0,RANK(B353,$B$338:$B$356),)</f>
        <v>7</v>
      </c>
      <c r="H353" s="107">
        <f>IF(C353&gt;0,RANK(C353,$C$338:$C$356),)</f>
        <v>0</v>
      </c>
      <c r="I353" s="107">
        <f>IF(D353&gt;0,RANK(D353,$D$338:$D$356),)</f>
        <v>0</v>
      </c>
      <c r="J353" s="107">
        <f>IF(E353&gt;0,RANK(E353,$E$338:$E$356),)</f>
        <v>4</v>
      </c>
      <c r="K353" s="107">
        <f>IF(F353&gt;0,RANK(F353,$F$338:$F$356),)</f>
        <v>4</v>
      </c>
      <c r="L353" s="168"/>
      <c r="M353" s="840">
        <f>+'[1]NEW-Tables 80-86'!AF178</f>
        <v>26602</v>
      </c>
      <c r="N353" s="73"/>
      <c r="O353" s="73"/>
      <c r="P353" s="73"/>
      <c r="Q353" s="73"/>
    </row>
    <row r="354" spans="1:17" s="76" customFormat="1" ht="12.75" customHeight="1" x14ac:dyDescent="0.2">
      <c r="A354" s="73" t="s">
        <v>177</v>
      </c>
      <c r="B354" s="75">
        <f>IF($M354&gt;0,('Amounts Pivot Table'!L$514/$M354),0)</f>
        <v>2959.7750760188278</v>
      </c>
      <c r="C354" s="75">
        <f>IF($M354&gt;0,('Amounts Pivot Table'!L$517/$M354),0)</f>
        <v>0</v>
      </c>
      <c r="D354" s="75">
        <f>IF($M354&gt;0,('Amounts Pivot Table'!L$520/$M354),0)</f>
        <v>2196.9099282553093</v>
      </c>
      <c r="E354" s="75">
        <f>IF($M354&gt;0,('Amounts Pivot Table'!L$523/$M354),0)</f>
        <v>2907.3819122005111</v>
      </c>
      <c r="F354" s="75">
        <f t="shared" si="56"/>
        <v>8064.0669164746487</v>
      </c>
      <c r="G354" s="116">
        <f>IF(B354&gt;0,RANK(B354,$B$338:$B$356),)</f>
        <v>13</v>
      </c>
      <c r="H354" s="107">
        <f>IF(C354&gt;0,RANK(C354,$C$338:$C$356),)</f>
        <v>0</v>
      </c>
      <c r="I354" s="107">
        <f>IF(D354&gt;0,RANK(D354,$D$338:$D$356),)</f>
        <v>2</v>
      </c>
      <c r="J354" s="107">
        <f>IF(E354&gt;0,RANK(E354,$E$338:$E$356),)</f>
        <v>13</v>
      </c>
      <c r="K354" s="107">
        <f>IF(F354&gt;0,RANK(F354,$F$338:$F$356),)</f>
        <v>7</v>
      </c>
      <c r="L354" s="169"/>
      <c r="M354" s="840">
        <f>+'[1]NEW-Tables 80-86'!AF179</f>
        <v>69101.66777777778</v>
      </c>
      <c r="N354" s="90"/>
      <c r="O354" s="90"/>
      <c r="P354" s="90"/>
      <c r="Q354" s="90"/>
    </row>
    <row r="355" spans="1:17" s="61" customFormat="1" ht="12.75" customHeight="1" x14ac:dyDescent="0.2">
      <c r="A355" s="73" t="s">
        <v>327</v>
      </c>
      <c r="B355" s="75">
        <f>IF($M355&gt;0,('Amounts Pivot Table'!L$553/$M355),0)</f>
        <v>0</v>
      </c>
      <c r="C355" s="75">
        <f>IF($M355&gt;0,('Amounts Pivot Table'!L$556/$M355),0)</f>
        <v>0</v>
      </c>
      <c r="D355" s="75">
        <f>IF($M355&gt;0,('Amounts Pivot Table'!L$559/$M355),0)</f>
        <v>0</v>
      </c>
      <c r="E355" s="75">
        <f>IF($M355&gt;0,('Amounts Pivot Table'!L$562/$M355),0)</f>
        <v>0</v>
      </c>
      <c r="F355" s="75">
        <f t="shared" si="56"/>
        <v>0</v>
      </c>
      <c r="G355" s="116">
        <f>IF(B355&gt;0,RANK(B355,$B$338:$B$356),)</f>
        <v>0</v>
      </c>
      <c r="H355" s="107">
        <f>IF(C355&gt;0,RANK(C355,$C$338:$C$356),)</f>
        <v>0</v>
      </c>
      <c r="I355" s="107">
        <f>IF(D355&gt;0,RANK(D355,$D$338:$D$356),)</f>
        <v>0</v>
      </c>
      <c r="J355" s="107">
        <f>IF(E355&gt;0,RANK(E355,$E$338:$E$356),)</f>
        <v>0</v>
      </c>
      <c r="K355" s="107">
        <f>IF(F355&gt;0,RANK(F355,$F$338:$F$356),)</f>
        <v>0</v>
      </c>
      <c r="L355" s="170"/>
      <c r="M355" s="840">
        <f>+'[1]NEW-Tables 80-86'!AF180</f>
        <v>39417.46666666666</v>
      </c>
      <c r="N355" s="73"/>
      <c r="O355" s="73"/>
      <c r="P355" s="73"/>
      <c r="Q355" s="73"/>
    </row>
    <row r="356" spans="1:17" s="61" customFormat="1" ht="15" customHeight="1" x14ac:dyDescent="0.2">
      <c r="A356" s="74" t="s">
        <v>332</v>
      </c>
      <c r="B356" s="104">
        <f>IF($M356&gt;0,('Amounts Pivot Table'!L$592/$M356),0)</f>
        <v>3587.6840595771523</v>
      </c>
      <c r="C356" s="104">
        <f>IF($M356&gt;0,('Amounts Pivot Table'!L$595/$M356),0)</f>
        <v>0</v>
      </c>
      <c r="D356" s="104">
        <f>IF($M356&gt;0,('Amounts Pivot Table'!L$598/$M356),0)</f>
        <v>0</v>
      </c>
      <c r="E356" s="104">
        <f>IF($M356&gt;0,('Amounts Pivot Table'!L$601/$M356),0)</f>
        <v>4060.5000665978969</v>
      </c>
      <c r="F356" s="105">
        <f t="shared" si="56"/>
        <v>7648.1841261750487</v>
      </c>
      <c r="G356" s="117">
        <f>IF(B356&gt;0,RANK(B356,$B$338:$B$356),)</f>
        <v>10</v>
      </c>
      <c r="H356" s="118">
        <f>IF(C356&gt;0,RANK(C356,$C$338:$C$356),)</f>
        <v>0</v>
      </c>
      <c r="I356" s="118">
        <f>IF(D356&gt;0,RANK(D356,$D$338:$D$356),)</f>
        <v>0</v>
      </c>
      <c r="J356" s="118">
        <f>IF(E356&gt;0,RANK(E356,$E$338:$E$356),)</f>
        <v>5</v>
      </c>
      <c r="K356" s="118">
        <f>IF(F356&gt;0,RANK(F356,$F$338:$F$356),)</f>
        <v>8</v>
      </c>
      <c r="L356" s="171"/>
      <c r="M356" s="840">
        <f>+'[1]NEW-Tables 80-86'!AF181</f>
        <v>5780.9633333333331</v>
      </c>
      <c r="N356" s="73"/>
      <c r="O356" s="73"/>
      <c r="P356" s="73"/>
      <c r="Q356" s="73"/>
    </row>
    <row r="357" spans="1:17" s="76" customFormat="1" ht="24.75" customHeight="1" x14ac:dyDescent="0.2">
      <c r="A357" s="1585" t="s">
        <v>201</v>
      </c>
      <c r="B357" s="1585"/>
      <c r="C357" s="1585"/>
      <c r="D357" s="1585"/>
      <c r="E357" s="1585"/>
      <c r="F357" s="1585"/>
      <c r="G357" s="1585"/>
      <c r="H357" s="1585"/>
      <c r="I357" s="1585"/>
      <c r="J357" s="1585"/>
      <c r="K357" s="1585"/>
      <c r="L357" s="169"/>
      <c r="M357" s="300"/>
      <c r="N357" s="90"/>
      <c r="O357" s="90"/>
      <c r="P357" s="90"/>
      <c r="Q357" s="90"/>
    </row>
    <row r="358" spans="1:17" s="76" customFormat="1" ht="34.5" customHeight="1" x14ac:dyDescent="0.2">
      <c r="A358" s="1558" t="s">
        <v>17</v>
      </c>
      <c r="B358" s="1582"/>
      <c r="C358" s="1582"/>
      <c r="D358" s="1582"/>
      <c r="E358" s="1582"/>
      <c r="F358" s="1582"/>
      <c r="G358" s="1582"/>
      <c r="H358" s="1582"/>
      <c r="I358" s="1582"/>
      <c r="J358" s="1582"/>
      <c r="K358" s="1582"/>
      <c r="L358" s="169"/>
      <c r="M358" s="296"/>
      <c r="N358" s="90"/>
      <c r="O358" s="90"/>
      <c r="P358" s="90"/>
      <c r="Q358" s="90"/>
    </row>
    <row r="359" spans="1:17" s="205" customFormat="1" ht="13.5" customHeight="1" x14ac:dyDescent="0.15">
      <c r="A359" s="1558" t="s">
        <v>54</v>
      </c>
      <c r="B359" s="1582"/>
      <c r="C359" s="1582"/>
      <c r="D359" s="1582"/>
      <c r="E359" s="1582"/>
      <c r="F359" s="1582"/>
      <c r="G359" s="1582"/>
      <c r="H359" s="1582"/>
      <c r="I359" s="1582"/>
      <c r="J359" s="1582"/>
      <c r="K359" s="1582"/>
      <c r="L359" s="204"/>
      <c r="M359" s="302"/>
      <c r="N359" s="206"/>
      <c r="O359" s="206"/>
      <c r="P359" s="206"/>
      <c r="Q359" s="206"/>
    </row>
    <row r="360" spans="1:17" s="61" customFormat="1" ht="13.5" customHeight="1" x14ac:dyDescent="0.2">
      <c r="A360" s="1558" t="s">
        <v>233</v>
      </c>
      <c r="B360" s="1583"/>
      <c r="C360" s="1583"/>
      <c r="D360" s="1583"/>
      <c r="E360" s="1583"/>
      <c r="F360" s="1583"/>
      <c r="G360" s="1584"/>
      <c r="H360" s="1584"/>
      <c r="I360" s="1584"/>
      <c r="J360" s="1584"/>
      <c r="K360" s="1584"/>
      <c r="L360" s="171"/>
      <c r="M360" s="300"/>
      <c r="N360" s="73"/>
      <c r="O360" s="73"/>
      <c r="P360" s="73"/>
      <c r="Q360" s="73"/>
    </row>
    <row r="361" spans="1:17" s="61" customFormat="1" x14ac:dyDescent="0.2">
      <c r="A361" s="187"/>
      <c r="B361" s="106"/>
      <c r="C361" s="106"/>
      <c r="D361" s="106"/>
      <c r="E361" s="106"/>
      <c r="F361" s="106"/>
      <c r="G361" s="188"/>
      <c r="H361" s="188"/>
      <c r="I361" s="188"/>
      <c r="J361" s="188"/>
      <c r="K361" s="535" t="s">
        <v>1898</v>
      </c>
      <c r="L361" s="193"/>
      <c r="M361" s="296"/>
      <c r="N361" s="73"/>
      <c r="O361" s="73"/>
      <c r="P361" s="73"/>
      <c r="Q361" s="73"/>
    </row>
    <row r="362" spans="1:17" s="61" customFormat="1" ht="18" x14ac:dyDescent="0.2">
      <c r="A362" s="135" t="s">
        <v>369</v>
      </c>
      <c r="B362" s="135"/>
      <c r="C362" s="135"/>
      <c r="D362" s="135"/>
      <c r="E362" s="135"/>
      <c r="F362" s="135"/>
      <c r="G362" s="135"/>
      <c r="H362" s="135"/>
      <c r="I362" s="135"/>
      <c r="J362" s="566"/>
      <c r="K362" s="135"/>
      <c r="L362" s="170"/>
      <c r="M362" s="296"/>
      <c r="N362" s="73"/>
      <c r="O362" s="73"/>
      <c r="P362" s="73"/>
      <c r="Q362" s="73"/>
    </row>
    <row r="363" spans="1:17" s="61" customFormat="1" ht="12" customHeight="1" x14ac:dyDescent="0.2">
      <c r="A363" s="135"/>
      <c r="B363" s="135"/>
      <c r="C363" s="135"/>
      <c r="D363" s="135"/>
      <c r="E363" s="135"/>
      <c r="F363" s="135"/>
      <c r="G363" s="135"/>
      <c r="H363" s="135"/>
      <c r="I363" s="135"/>
      <c r="J363" s="566"/>
      <c r="K363" s="135"/>
      <c r="L363" s="170"/>
      <c r="M363" s="296"/>
      <c r="N363" s="73"/>
      <c r="O363" s="73"/>
      <c r="P363" s="73"/>
      <c r="Q363" s="73"/>
    </row>
    <row r="364" spans="1:17" s="61" customFormat="1" ht="18.75" x14ac:dyDescent="0.2">
      <c r="A364" s="1557" t="s">
        <v>18</v>
      </c>
      <c r="B364" s="1557"/>
      <c r="C364" s="1557"/>
      <c r="D364" s="1557"/>
      <c r="E364" s="1557"/>
      <c r="F364" s="1557"/>
      <c r="G364" s="1557"/>
      <c r="H364" s="1557"/>
      <c r="I364" s="1557"/>
      <c r="J364" s="1557"/>
      <c r="K364" s="1557"/>
      <c r="L364" s="165"/>
      <c r="M364" s="296"/>
      <c r="N364" s="73"/>
      <c r="O364" s="73"/>
      <c r="P364" s="73"/>
      <c r="Q364" s="73"/>
    </row>
    <row r="365" spans="1:17" s="61" customFormat="1" ht="15.75" x14ac:dyDescent="0.15">
      <c r="A365" s="1557" t="s">
        <v>1911</v>
      </c>
      <c r="B365" s="1557"/>
      <c r="C365" s="1557"/>
      <c r="D365" s="1557"/>
      <c r="E365" s="1557"/>
      <c r="F365" s="1557"/>
      <c r="G365" s="1557"/>
      <c r="H365" s="1557"/>
      <c r="I365" s="1557"/>
      <c r="J365" s="1557"/>
      <c r="K365" s="1557"/>
      <c r="L365" s="165"/>
      <c r="M365" s="299"/>
      <c r="N365" s="73"/>
      <c r="O365" s="73"/>
      <c r="P365" s="73"/>
      <c r="Q365" s="73"/>
    </row>
    <row r="366" spans="1:17" s="61" customFormat="1" ht="8.25" customHeight="1" x14ac:dyDescent="0.2">
      <c r="A366" s="91"/>
      <c r="B366" s="91"/>
      <c r="C366" s="91"/>
      <c r="D366" s="91"/>
      <c r="E366" s="91"/>
      <c r="F366" s="91"/>
      <c r="G366" s="108"/>
      <c r="H366" s="91"/>
      <c r="I366" s="91"/>
      <c r="J366" s="91"/>
      <c r="K366" s="91"/>
      <c r="L366" s="165"/>
      <c r="M366" s="296"/>
      <c r="N366" s="73"/>
      <c r="O366" s="73"/>
      <c r="P366" s="73"/>
      <c r="Q366" s="73"/>
    </row>
    <row r="367" spans="1:17" s="61" customFormat="1" ht="17.25" customHeight="1" x14ac:dyDescent="0.2">
      <c r="A367" s="60"/>
      <c r="B367" s="1580" t="s">
        <v>55</v>
      </c>
      <c r="C367" s="1581"/>
      <c r="D367" s="1581"/>
      <c r="E367" s="1581"/>
      <c r="F367" s="1581"/>
      <c r="G367" s="569" t="s">
        <v>119</v>
      </c>
      <c r="H367" s="570"/>
      <c r="I367" s="570"/>
      <c r="J367" s="570"/>
      <c r="K367" s="570"/>
      <c r="L367" s="173"/>
      <c r="M367" s="296"/>
      <c r="N367" s="73"/>
      <c r="O367" s="73"/>
      <c r="P367" s="73"/>
      <c r="Q367" s="73"/>
    </row>
    <row r="368" spans="1:17" s="6" customFormat="1" ht="48" x14ac:dyDescent="0.2">
      <c r="A368" s="50"/>
      <c r="B368" s="550" t="s">
        <v>87</v>
      </c>
      <c r="C368" s="551" t="s">
        <v>89</v>
      </c>
      <c r="D368" s="551" t="s">
        <v>88</v>
      </c>
      <c r="E368" s="551" t="s">
        <v>398</v>
      </c>
      <c r="F368" s="551" t="s">
        <v>97</v>
      </c>
      <c r="G368" s="552" t="s">
        <v>87</v>
      </c>
      <c r="H368" s="551" t="s">
        <v>89</v>
      </c>
      <c r="I368" s="551" t="s">
        <v>88</v>
      </c>
      <c r="J368" s="551" t="s">
        <v>398</v>
      </c>
      <c r="K368" s="551" t="s">
        <v>97</v>
      </c>
      <c r="L368" s="167"/>
      <c r="M368" s="298" t="s">
        <v>260</v>
      </c>
      <c r="N368" s="7"/>
      <c r="O368" s="7"/>
      <c r="P368" s="7"/>
      <c r="Q368" s="7"/>
    </row>
    <row r="369" spans="1:17" s="61" customFormat="1" ht="14.25" x14ac:dyDescent="0.2">
      <c r="A369" s="73" t="s">
        <v>56</v>
      </c>
      <c r="B369" s="102">
        <f>IF($M369&gt;0,('Amounts Pivot Table'!M$631/$M369),0)</f>
        <v>4281.1237138180813</v>
      </c>
      <c r="C369" s="102">
        <f>IF($M369&gt;0,('Amounts Pivot Table'!M$634/$M369),0)</f>
        <v>411.03163790784737</v>
      </c>
      <c r="D369" s="102">
        <f>IF($M369&gt;0,('Amounts Pivot Table'!M$637/$M369),0)</f>
        <v>843.38662620426294</v>
      </c>
      <c r="E369" s="102">
        <f>IF($M369&gt;0,('Amounts Pivot Table'!M$640/$M369),0)</f>
        <v>3089.9789206677997</v>
      </c>
      <c r="F369" s="102">
        <f>SUM(B369:E369)</f>
        <v>8625.5208985979916</v>
      </c>
      <c r="G369" s="114"/>
      <c r="H369" s="115"/>
      <c r="I369" s="115"/>
      <c r="J369" s="115"/>
      <c r="K369" s="115"/>
      <c r="L369" s="168"/>
      <c r="M369" s="840">
        <f>+'[1]NEW-Tables 80-86'!AG161</f>
        <v>117753.57222222221</v>
      </c>
      <c r="N369" s="73"/>
      <c r="O369" s="73"/>
      <c r="P369" s="73"/>
      <c r="Q369" s="73"/>
    </row>
    <row r="370" spans="1:17" s="112" customFormat="1" ht="9" customHeight="1" x14ac:dyDescent="0.2">
      <c r="A370" s="110"/>
      <c r="B370" s="111"/>
      <c r="C370" s="111"/>
      <c r="D370" s="111"/>
      <c r="E370" s="111"/>
      <c r="F370" s="111"/>
      <c r="G370" s="119"/>
      <c r="H370" s="120"/>
      <c r="I370" s="120"/>
      <c r="J370" s="120"/>
      <c r="K370" s="120"/>
      <c r="L370" s="175"/>
      <c r="M370" s="840"/>
      <c r="N370" s="110"/>
      <c r="O370" s="110"/>
      <c r="P370" s="110"/>
      <c r="Q370" s="110"/>
    </row>
    <row r="371" spans="1:17" s="61" customFormat="1" ht="12.75" customHeight="1" x14ac:dyDescent="0.2">
      <c r="A371" s="73" t="s">
        <v>320</v>
      </c>
      <c r="B371" s="75">
        <f>IF($M371&gt;0,('Amounts Pivot Table'!M$7/$M371),0)</f>
        <v>4618.1435910822138</v>
      </c>
      <c r="C371" s="75">
        <f>IF($M371&gt;0,('Amounts Pivot Table'!M$10/$M371),0)</f>
        <v>241.30207282780228</v>
      </c>
      <c r="D371" s="75">
        <f>IF($M371&gt;0,('Amounts Pivot Table'!M$13/$M371),0)</f>
        <v>9.4920563353543521</v>
      </c>
      <c r="E371" s="75">
        <f>IF($M371&gt;0,('Amounts Pivot Table'!M$16/$M371),0)</f>
        <v>4004.9579383253645</v>
      </c>
      <c r="F371" s="75">
        <f t="shared" ref="F371:F389" si="57">SUM(B371:E371)</f>
        <v>8873.8956585707347</v>
      </c>
      <c r="G371" s="116">
        <f>IF(B371&gt;0,RANK(B371,$B$371:$B$389),)</f>
        <v>5</v>
      </c>
      <c r="H371" s="107">
        <f>IF(C371&gt;0,RANK(C371,$C$371:$C$389),)</f>
        <v>4</v>
      </c>
      <c r="I371" s="107">
        <f>IF(D371&gt;0,RANK(D371,$D$371:$D$389),)</f>
        <v>7</v>
      </c>
      <c r="J371" s="107">
        <f>IF(E371&gt;0,RANK(E371,$E$371:$E$389),)</f>
        <v>5</v>
      </c>
      <c r="K371" s="107">
        <f>IF(F371&gt;0,RANK(F371,$F$371:$F$389),)</f>
        <v>6</v>
      </c>
      <c r="L371" s="168"/>
      <c r="M371" s="840">
        <f>+'[1]NEW-Tables 80-86'!AG163</f>
        <v>8428.0999999999985</v>
      </c>
      <c r="N371" s="73"/>
      <c r="O371" s="73"/>
      <c r="P371" s="73"/>
      <c r="Q371" s="73"/>
    </row>
    <row r="372" spans="1:17" s="61" customFormat="1" ht="12.75" customHeight="1" x14ac:dyDescent="0.2">
      <c r="A372" s="73" t="s">
        <v>334</v>
      </c>
      <c r="B372" s="75">
        <f>IF($M372&gt;0,('Amounts Pivot Table'!M$46/$M372),0)</f>
        <v>5363.9139226583138</v>
      </c>
      <c r="C372" s="75">
        <f>IF($M372&gt;0,('Amounts Pivot Table'!M$49/$M372),0)</f>
        <v>97.490679436421161</v>
      </c>
      <c r="D372" s="75">
        <f>IF($M372&gt;0,('Amounts Pivot Table'!M$52/$M372),0)</f>
        <v>429.35625062668834</v>
      </c>
      <c r="E372" s="75">
        <f>IF($M372&gt;0,('Amounts Pivot Table'!M$55/$M372),0)</f>
        <v>3657.4269319469727</v>
      </c>
      <c r="F372" s="75">
        <f t="shared" si="57"/>
        <v>9548.1877846683965</v>
      </c>
      <c r="G372" s="116">
        <f>IF(B372&gt;0,RANK(B372,$B$371:$B$389),)</f>
        <v>2</v>
      </c>
      <c r="H372" s="107">
        <f>IF(C372&gt;0,RANK(C372,$C$371:$C$389),)</f>
        <v>5</v>
      </c>
      <c r="I372" s="107">
        <f>IF(D372&gt;0,RANK(D372,$D$371:$D$389),)</f>
        <v>6</v>
      </c>
      <c r="J372" s="107">
        <f>IF(E372&gt;0,RANK(E372,$E$371:$E$389),)</f>
        <v>7</v>
      </c>
      <c r="K372" s="107">
        <f>IF(F372&gt;0,RANK(F372,$F$371:$F$389),)</f>
        <v>4</v>
      </c>
      <c r="L372" s="168"/>
      <c r="M372" s="840">
        <f>+'[1]NEW-Tables 80-86'!AG164</f>
        <v>21940.73333333333</v>
      </c>
      <c r="N372" s="73"/>
      <c r="O372" s="73"/>
      <c r="P372" s="73"/>
      <c r="Q372" s="73"/>
    </row>
    <row r="373" spans="1:17" s="61" customFormat="1" ht="12.75" customHeight="1" x14ac:dyDescent="0.2">
      <c r="A373" s="73" t="s">
        <v>321</v>
      </c>
      <c r="B373" s="75">
        <f>IF($M373&gt;0,('Amounts Pivot Table'!M$85/$M373),0)</f>
        <v>0</v>
      </c>
      <c r="C373" s="75">
        <f>IF($M373&gt;0,('Amounts Pivot Table'!M$88/$M373),0)</f>
        <v>0</v>
      </c>
      <c r="D373" s="75">
        <f>IF($M373&gt;0,('Amounts Pivot Table'!M$91/$M373),0)</f>
        <v>0</v>
      </c>
      <c r="E373" s="75">
        <f>IF($M373&gt;0,('Amounts Pivot Table'!M$94/$M373),0)</f>
        <v>0</v>
      </c>
      <c r="F373" s="75">
        <f t="shared" si="57"/>
        <v>0</v>
      </c>
      <c r="G373" s="116">
        <f>IF(B373&gt;0,RANK(B373,$B$371:$B$389),)</f>
        <v>0</v>
      </c>
      <c r="H373" s="107">
        <f>IF(C373&gt;0,RANK(C373,$C$371:$C$389),)</f>
        <v>0</v>
      </c>
      <c r="I373" s="107">
        <f>IF(D373&gt;0,RANK(D373,$D$371:$D$389),)</f>
        <v>0</v>
      </c>
      <c r="J373" s="107">
        <f>IF(E373&gt;0,RANK(E373,$E$371:$E$389),)</f>
        <v>0</v>
      </c>
      <c r="K373" s="107">
        <f>IF(F373&gt;0,RANK(F373,$F$371:$F$389),)</f>
        <v>0</v>
      </c>
      <c r="L373" s="168"/>
      <c r="M373" s="840">
        <f>+'[1]NEW-Tables 80-86'!AG165</f>
        <v>0</v>
      </c>
      <c r="N373" s="73"/>
      <c r="O373" s="73"/>
      <c r="P373" s="73"/>
      <c r="Q373" s="73"/>
    </row>
    <row r="374" spans="1:17" s="61" customFormat="1" ht="12.75" customHeight="1" x14ac:dyDescent="0.2">
      <c r="A374" s="73" t="s">
        <v>328</v>
      </c>
      <c r="B374" s="75">
        <f>IF($M374&gt;0,('Amounts Pivot Table'!M$124/$M374),0)</f>
        <v>8121.160268211529</v>
      </c>
      <c r="C374" s="75">
        <f>IF($M374&gt;0,('Amounts Pivot Table'!M$127/$M374),0)</f>
        <v>0</v>
      </c>
      <c r="D374" s="75">
        <f>IF($M374&gt;0,('Amounts Pivot Table'!M$130/$M374),0)</f>
        <v>0</v>
      </c>
      <c r="E374" s="75">
        <f>IF($M374&gt;0,('Amounts Pivot Table'!M$133/$M374),0)</f>
        <v>2519.2168493590284</v>
      </c>
      <c r="F374" s="75">
        <f t="shared" si="57"/>
        <v>10640.377117570557</v>
      </c>
      <c r="G374" s="116">
        <f>IF(B374&gt;0,RANK(B374,$B$371:$B$389),)</f>
        <v>1</v>
      </c>
      <c r="H374" s="107">
        <f>IF(C374&gt;0,RANK(C374,$C$371:$C$389),)</f>
        <v>0</v>
      </c>
      <c r="I374" s="107">
        <f>IF(D374&gt;0,RANK(D374,$D$371:$D$389),)</f>
        <v>0</v>
      </c>
      <c r="J374" s="107">
        <f>IF(E374&gt;0,RANK(E374,$E$371:$E$389),)</f>
        <v>11</v>
      </c>
      <c r="K374" s="107">
        <f>IF(F374&gt;0,RANK(F374,$F$371:$F$389),)</f>
        <v>2</v>
      </c>
      <c r="L374" s="168"/>
      <c r="M374" s="840">
        <f>+'[1]NEW-Tables 80-86'!AG166</f>
        <v>1644.6388888888889</v>
      </c>
      <c r="N374" s="73"/>
      <c r="O374" s="73"/>
      <c r="P374" s="73"/>
      <c r="Q374" s="73"/>
    </row>
    <row r="375" spans="1:17" s="112" customFormat="1" ht="9" customHeight="1" x14ac:dyDescent="0.2">
      <c r="A375" s="110"/>
      <c r="B375" s="111"/>
      <c r="C375" s="111"/>
      <c r="D375" s="111"/>
      <c r="E375" s="111"/>
      <c r="F375" s="111"/>
      <c r="G375" s="119"/>
      <c r="H375" s="120"/>
      <c r="I375" s="120"/>
      <c r="J375" s="120"/>
      <c r="K375" s="120"/>
      <c r="L375" s="175"/>
      <c r="M375" s="840"/>
      <c r="N375" s="110"/>
      <c r="O375" s="110"/>
      <c r="P375" s="110"/>
      <c r="Q375" s="110"/>
    </row>
    <row r="376" spans="1:17" s="61" customFormat="1" ht="12.75" customHeight="1" x14ac:dyDescent="0.2">
      <c r="A376" s="73" t="s">
        <v>329</v>
      </c>
      <c r="B376" s="75">
        <f>IF($M376&gt;0,('Amounts Pivot Table'!M$163/$M376),0)</f>
        <v>0</v>
      </c>
      <c r="C376" s="75">
        <f>IF($M376&gt;0,('Amounts Pivot Table'!M$166/$M376),0)</f>
        <v>0</v>
      </c>
      <c r="D376" s="75">
        <f>IF($M376&gt;0,('Amounts Pivot Table'!M$169/$M376),0)</f>
        <v>0</v>
      </c>
      <c r="E376" s="75">
        <f>IF($M376&gt;0,('Amounts Pivot Table'!M$172/$M376),0)</f>
        <v>0</v>
      </c>
      <c r="F376" s="75">
        <f t="shared" si="57"/>
        <v>0</v>
      </c>
      <c r="G376" s="116">
        <f>IF(B376&gt;0,RANK(B376,$B$371:$B$389),)</f>
        <v>0</v>
      </c>
      <c r="H376" s="107">
        <f>IF(C376&gt;0,RANK(C376,$C$371:$C$389),)</f>
        <v>0</v>
      </c>
      <c r="I376" s="107">
        <f>IF(D376&gt;0,RANK(D376,$D$371:$D$389),)</f>
        <v>0</v>
      </c>
      <c r="J376" s="107">
        <f>IF(E376&gt;0,RANK(E376,$E$371:$E$389),)</f>
        <v>0</v>
      </c>
      <c r="K376" s="107">
        <f>IF(F376&gt;0,RANK(F376,$F$371:$F$389),)</f>
        <v>0</v>
      </c>
      <c r="L376" s="168"/>
      <c r="M376" s="840">
        <f>+'[1]NEW-Tables 80-86'!AG168</f>
        <v>0</v>
      </c>
      <c r="N376" s="73"/>
      <c r="O376" s="73"/>
      <c r="P376" s="73"/>
      <c r="Q376" s="73"/>
    </row>
    <row r="377" spans="1:17" s="61" customFormat="1" ht="12.75" customHeight="1" x14ac:dyDescent="0.2">
      <c r="A377" s="73" t="s">
        <v>322</v>
      </c>
      <c r="B377" s="75">
        <f>IF($M377&gt;0,('Amounts Pivot Table'!M$202/$M377),0)</f>
        <v>3821.8222284245567</v>
      </c>
      <c r="C377" s="75">
        <f>IF($M377&gt;0,('Amounts Pivot Table'!M$205/$M377),0)</f>
        <v>0</v>
      </c>
      <c r="D377" s="75">
        <f>IF($M377&gt;0,('Amounts Pivot Table'!M$208/$M377),0)</f>
        <v>0</v>
      </c>
      <c r="E377" s="75">
        <f>IF($M377&gt;0,('Amounts Pivot Table'!M$211/$M377),0)</f>
        <v>3891.8006800807916</v>
      </c>
      <c r="F377" s="75">
        <f t="shared" si="57"/>
        <v>7713.6229085053483</v>
      </c>
      <c r="G377" s="116">
        <f>IF(B377&gt;0,RANK(B377,$B$371:$B$389),)</f>
        <v>9</v>
      </c>
      <c r="H377" s="107">
        <f>IF(C377&gt;0,RANK(C377,$C$371:$C$389),)</f>
        <v>0</v>
      </c>
      <c r="I377" s="107">
        <f>IF(D377&gt;0,RANK(D377,$D$371:$D$389),)</f>
        <v>0</v>
      </c>
      <c r="J377" s="107">
        <f>IF(E377&gt;0,RANK(E377,$E$371:$E$389),)</f>
        <v>6</v>
      </c>
      <c r="K377" s="107">
        <f>IF(F377&gt;0,RANK(F377,$F$371:$F$389),)</f>
        <v>11</v>
      </c>
      <c r="L377" s="168"/>
      <c r="M377" s="840">
        <f>+'[1]NEW-Tables 80-86'!AG169</f>
        <v>1303.7666666666667</v>
      </c>
      <c r="N377" s="73"/>
      <c r="O377" s="73"/>
      <c r="P377" s="73"/>
      <c r="Q377" s="73"/>
    </row>
    <row r="378" spans="1:17" s="61" customFormat="1" ht="12.75" customHeight="1" x14ac:dyDescent="0.2">
      <c r="A378" s="73" t="s">
        <v>330</v>
      </c>
      <c r="B378" s="75">
        <f>IF($M378&gt;0,('Amounts Pivot Table'!M$241/$M378),0)</f>
        <v>2013.984578592341</v>
      </c>
      <c r="C378" s="75">
        <f>IF($M378&gt;0,('Amounts Pivot Table'!M$244/$M378),0)</f>
        <v>0</v>
      </c>
      <c r="D378" s="75">
        <f>IF($M378&gt;0,('Amounts Pivot Table'!M$247/$M378),0)</f>
        <v>0</v>
      </c>
      <c r="E378" s="75">
        <f>IF($M378&gt;0,('Amounts Pivot Table'!M$250/$M378),0)</f>
        <v>2924.1093011035209</v>
      </c>
      <c r="F378" s="75">
        <f t="shared" si="57"/>
        <v>4938.0938796958617</v>
      </c>
      <c r="G378" s="116">
        <f>IF(B378&gt;0,RANK(B378,$B$371:$B$389),)</f>
        <v>12</v>
      </c>
      <c r="H378" s="107">
        <f>IF(C378&gt;0,RANK(C378,$C$371:$C$389),)</f>
        <v>0</v>
      </c>
      <c r="I378" s="107">
        <f>IF(D378&gt;0,RANK(D378,$D$371:$D$389),)</f>
        <v>0</v>
      </c>
      <c r="J378" s="107">
        <f>IF(E378&gt;0,RANK(E378,$E$371:$E$389),)</f>
        <v>10</v>
      </c>
      <c r="K378" s="107">
        <f>IF(F378&gt;0,RANK(F378,$F$371:$F$389),)</f>
        <v>13</v>
      </c>
      <c r="L378" s="168"/>
      <c r="M378" s="840">
        <f>+'[1]NEW-Tables 80-86'!AG170</f>
        <v>3108.2333333333331</v>
      </c>
      <c r="N378" s="73"/>
      <c r="O378" s="73"/>
      <c r="P378" s="73"/>
      <c r="Q378" s="73"/>
    </row>
    <row r="379" spans="1:17" s="61" customFormat="1" ht="12.75" customHeight="1" x14ac:dyDescent="0.2">
      <c r="A379" s="73" t="s">
        <v>333</v>
      </c>
      <c r="B379" s="75">
        <f>IF($M379&gt;0,('Amounts Pivot Table'!M$280/$M379),0)</f>
        <v>3570.5931307851847</v>
      </c>
      <c r="C379" s="75">
        <f>IF($M379&gt;0,('Amounts Pivot Table'!M$283/$M379),0)</f>
        <v>0</v>
      </c>
      <c r="D379" s="75">
        <f>IF($M379&gt;0,('Amounts Pivot Table'!M$286/$M379),0)</f>
        <v>4894.9009256295467</v>
      </c>
      <c r="E379" s="75">
        <f>IF($M379&gt;0,('Amounts Pivot Table'!M$289/$M379),0)</f>
        <v>5388.1618514344846</v>
      </c>
      <c r="F379" s="75">
        <f t="shared" si="57"/>
        <v>13853.655907849216</v>
      </c>
      <c r="G379" s="116">
        <f>IF(B379&gt;0,RANK(B379,$B$371:$B$389),)</f>
        <v>11</v>
      </c>
      <c r="H379" s="107">
        <f>IF(C379&gt;0,RANK(C379,$C$371:$C$389),)</f>
        <v>0</v>
      </c>
      <c r="I379" s="107">
        <f>IF(D379&gt;0,RANK(D379,$D$371:$D$389),)</f>
        <v>1</v>
      </c>
      <c r="J379" s="107">
        <f>IF(E379&gt;0,RANK(E379,$E$371:$E$389),)</f>
        <v>1</v>
      </c>
      <c r="K379" s="107">
        <f>IF(F379&gt;0,RANK(F379,$F$371:$F$389),)</f>
        <v>1</v>
      </c>
      <c r="L379" s="168"/>
      <c r="M379" s="840">
        <f>+'[1]NEW-Tables 80-86'!AG171</f>
        <v>3801.0166666666664</v>
      </c>
      <c r="N379" s="73"/>
      <c r="O379" s="73"/>
      <c r="P379" s="73"/>
      <c r="Q379" s="73"/>
    </row>
    <row r="380" spans="1:17" s="112" customFormat="1" ht="8.25" customHeight="1" x14ac:dyDescent="0.2">
      <c r="A380" s="110"/>
      <c r="B380" s="111"/>
      <c r="C380" s="111"/>
      <c r="D380" s="111"/>
      <c r="E380" s="111"/>
      <c r="F380" s="111"/>
      <c r="G380" s="119"/>
      <c r="H380" s="120"/>
      <c r="I380" s="120"/>
      <c r="J380" s="120"/>
      <c r="K380" s="120"/>
      <c r="L380" s="175"/>
      <c r="M380" s="840"/>
      <c r="N380" s="110"/>
      <c r="O380" s="110"/>
      <c r="P380" s="110"/>
      <c r="Q380" s="110"/>
    </row>
    <row r="381" spans="1:17" s="61" customFormat="1" ht="12.75" customHeight="1" x14ac:dyDescent="0.2">
      <c r="A381" s="73" t="s">
        <v>323</v>
      </c>
      <c r="B381" s="75">
        <f>IF($M381&gt;0,('Amounts Pivot Table'!M$319/$M381),0)</f>
        <v>4967.6826134583689</v>
      </c>
      <c r="C381" s="75">
        <f>IF($M381&gt;0,('Amounts Pivot Table'!M$322/$M381),0)</f>
        <v>740.59623665270942</v>
      </c>
      <c r="D381" s="75">
        <f>IF($M381&gt;0,('Amounts Pivot Table'!M$325/$M381),0)</f>
        <v>995.28138084951729</v>
      </c>
      <c r="E381" s="75">
        <f>IF($M381&gt;0,('Amounts Pivot Table'!M$328/$M381),0)</f>
        <v>3330.994789053942</v>
      </c>
      <c r="F381" s="75">
        <f t="shared" si="57"/>
        <v>10034.555020014537</v>
      </c>
      <c r="G381" s="116">
        <f>IF(B381&gt;0,RANK(B381,$B$371:$B$389),)</f>
        <v>4</v>
      </c>
      <c r="H381" s="107">
        <f>IF(C381&gt;0,RANK(C381,$C$371:$C$389),)</f>
        <v>2</v>
      </c>
      <c r="I381" s="107">
        <f>IF(D381&gt;0,RANK(D381,$D$371:$D$389),)</f>
        <v>4</v>
      </c>
      <c r="J381" s="107">
        <f>IF(E381&gt;0,RANK(E381,$E$371:$E$389),)</f>
        <v>9</v>
      </c>
      <c r="K381" s="107">
        <f>IF(F381&gt;0,RANK(F381,$F$371:$F$389),)</f>
        <v>3</v>
      </c>
      <c r="L381" s="168"/>
      <c r="M381" s="840">
        <f>+'[1]NEW-Tables 80-86'!AG173</f>
        <v>3255.9666666666667</v>
      </c>
      <c r="N381" s="73"/>
      <c r="O381" s="73"/>
      <c r="P381" s="73"/>
      <c r="Q381" s="73"/>
    </row>
    <row r="382" spans="1:17" s="61" customFormat="1" ht="12.75" customHeight="1" x14ac:dyDescent="0.2">
      <c r="A382" s="73" t="s">
        <v>324</v>
      </c>
      <c r="B382" s="75">
        <f>IF($M382&gt;0,('Amounts Pivot Table'!M$358/$M382),0)</f>
        <v>4278.0295313407923</v>
      </c>
      <c r="C382" s="75">
        <f>IF($M382&gt;0,('Amounts Pivot Table'!M$361/$M382),0)</f>
        <v>1070.3753022008989</v>
      </c>
      <c r="D382" s="75">
        <f>IF($M382&gt;0,('Amounts Pivot Table'!M$364/$M382),0)</f>
        <v>1136.4939886755089</v>
      </c>
      <c r="E382" s="75">
        <f>IF($M382&gt;0,('Amounts Pivot Table'!M$367/$M382),0)</f>
        <v>1842.9751204479312</v>
      </c>
      <c r="F382" s="75">
        <f t="shared" si="57"/>
        <v>8327.8739426651318</v>
      </c>
      <c r="G382" s="116">
        <f>IF(B382&gt;0,RANK(B382,$B$371:$B$389),)</f>
        <v>7</v>
      </c>
      <c r="H382" s="107">
        <f>IF(C382&gt;0,RANK(C382,$C$371:$C$389),)</f>
        <v>1</v>
      </c>
      <c r="I382" s="107">
        <f>IF(D382&gt;0,RANK(D382,$D$371:$D$389),)</f>
        <v>3</v>
      </c>
      <c r="J382" s="107">
        <f>IF(E382&gt;0,RANK(E382,$E$371:$E$389),)</f>
        <v>12</v>
      </c>
      <c r="K382" s="107">
        <f>IF(F382&gt;0,RANK(F382,$F$371:$F$389),)</f>
        <v>7</v>
      </c>
      <c r="L382" s="168"/>
      <c r="M382" s="840">
        <f>+'[1]NEW-Tables 80-86'!AG174</f>
        <v>35073.246666666666</v>
      </c>
      <c r="N382" s="73"/>
      <c r="O382" s="73"/>
      <c r="P382" s="73"/>
      <c r="Q382" s="73"/>
    </row>
    <row r="383" spans="1:17" s="61" customFormat="1" ht="12.75" customHeight="1" x14ac:dyDescent="0.2">
      <c r="A383" s="73" t="s">
        <v>331</v>
      </c>
      <c r="B383" s="75">
        <f>IF($M383&gt;0,('Amounts Pivot Table'!M$397/$M383),0)</f>
        <v>4307.1524954588713</v>
      </c>
      <c r="C383" s="75">
        <f>IF($M383&gt;0,('Amounts Pivot Table'!M$400/$M383),0)</f>
        <v>0</v>
      </c>
      <c r="D383" s="75">
        <f>IF($M383&gt;0,('Amounts Pivot Table'!M$403/$M383),0)</f>
        <v>0</v>
      </c>
      <c r="E383" s="75">
        <f>IF($M383&gt;0,('Amounts Pivot Table'!M$406/$M383),0)</f>
        <v>3531.0710269749288</v>
      </c>
      <c r="F383" s="75">
        <f t="shared" si="57"/>
        <v>7838.2235224338001</v>
      </c>
      <c r="G383" s="116">
        <f>IF(B383&gt;0,RANK(B383,$B$371:$B$389),)</f>
        <v>6</v>
      </c>
      <c r="H383" s="107">
        <f>IF(C383&gt;0,RANK(C383,$C$371:$C$389),)</f>
        <v>0</v>
      </c>
      <c r="I383" s="107">
        <f>IF(D383&gt;0,RANK(D383,$D$371:$D$389),)</f>
        <v>0</v>
      </c>
      <c r="J383" s="107">
        <f>IF(E383&gt;0,RANK(E383,$E$371:$E$389),)</f>
        <v>8</v>
      </c>
      <c r="K383" s="107">
        <f>IF(F383&gt;0,RANK(F383,$F$371:$F$389),)</f>
        <v>10</v>
      </c>
      <c r="L383" s="168"/>
      <c r="M383" s="840">
        <f>+'[1]NEW-Tables 80-86'!AG175</f>
        <v>10790.266666666665</v>
      </c>
      <c r="N383" s="73"/>
      <c r="O383" s="73"/>
      <c r="P383" s="73"/>
      <c r="Q383" s="73"/>
    </row>
    <row r="384" spans="1:17" s="61" customFormat="1" ht="12.75" customHeight="1" x14ac:dyDescent="0.2">
      <c r="A384" s="73" t="s">
        <v>325</v>
      </c>
      <c r="B384" s="75">
        <f>IF($M384&gt;0,('Amounts Pivot Table'!M$436/$M384),0)</f>
        <v>1655.7034580384225</v>
      </c>
      <c r="C384" s="75">
        <f>IF($M384&gt;0,('Amounts Pivot Table'!M$439/$M384),0)</f>
        <v>460.44266936299283</v>
      </c>
      <c r="D384" s="75">
        <f>IF($M384&gt;0,('Amounts Pivot Table'!M$442/$M384),0)</f>
        <v>457.68800808897868</v>
      </c>
      <c r="E384" s="75">
        <f>IF($M384&gt;0,('Amounts Pivot Table'!M$445/$M384),0)</f>
        <v>4954.3703538928203</v>
      </c>
      <c r="F384" s="75">
        <f t="shared" si="57"/>
        <v>7528.2044893832144</v>
      </c>
      <c r="G384" s="116">
        <f>IF(B384&gt;0,RANK(B384,$B$371:$B$389),)</f>
        <v>13</v>
      </c>
      <c r="H384" s="107">
        <f>IF(C384&gt;0,RANK(C384,$C$371:$C$389),)</f>
        <v>3</v>
      </c>
      <c r="I384" s="107">
        <f>IF(D384&gt;0,RANK(D384,$D$371:$D$389),)</f>
        <v>5</v>
      </c>
      <c r="J384" s="107">
        <f>IF(E384&gt;0,RANK(E384,$E$371:$E$389),)</f>
        <v>2</v>
      </c>
      <c r="K384" s="107">
        <f>IF(F384&gt;0,RANK(F384,$F$371:$F$389),)</f>
        <v>12</v>
      </c>
      <c r="L384" s="168"/>
      <c r="M384" s="840">
        <f>+'[1]NEW-Tables 80-86'!AG176</f>
        <v>8241.6666666666679</v>
      </c>
      <c r="N384" s="73"/>
      <c r="O384" s="73"/>
      <c r="P384" s="73"/>
      <c r="Q384" s="73"/>
    </row>
    <row r="385" spans="1:17" s="112" customFormat="1" ht="7.5" customHeight="1" x14ac:dyDescent="0.2">
      <c r="A385" s="110"/>
      <c r="B385" s="111"/>
      <c r="C385" s="111"/>
      <c r="D385" s="111"/>
      <c r="E385" s="111"/>
      <c r="F385" s="111"/>
      <c r="G385" s="119"/>
      <c r="H385" s="120"/>
      <c r="I385" s="120"/>
      <c r="J385" s="120"/>
      <c r="K385" s="120"/>
      <c r="L385" s="175"/>
      <c r="M385" s="840"/>
      <c r="N385" s="110"/>
      <c r="O385" s="110"/>
      <c r="P385" s="110"/>
      <c r="Q385" s="110"/>
    </row>
    <row r="386" spans="1:17" s="61" customFormat="1" ht="12.75" customHeight="1" x14ac:dyDescent="0.2">
      <c r="A386" s="73" t="s">
        <v>90</v>
      </c>
      <c r="B386" s="75">
        <f>IF($M386&gt;0,('Amounts Pivot Table'!M$475/$M386),0)</f>
        <v>0</v>
      </c>
      <c r="C386" s="75">
        <f>IF($M386&gt;0,('Amounts Pivot Table'!M$478/$M386),0)</f>
        <v>0</v>
      </c>
      <c r="D386" s="75">
        <f>IF($M386&gt;0,('Amounts Pivot Table'!M$481/$M386),0)</f>
        <v>0</v>
      </c>
      <c r="E386" s="75">
        <f>IF($M386&gt;0,('Amounts Pivot Table'!M$484/$M386),0)</f>
        <v>0</v>
      </c>
      <c r="F386" s="75">
        <f t="shared" si="57"/>
        <v>0</v>
      </c>
      <c r="G386" s="116">
        <f>IF(B386&gt;0,RANK(B386,$B$371:$B$389),)</f>
        <v>0</v>
      </c>
      <c r="H386" s="107">
        <f>IF(C386&gt;0,RANK(C386,$C$371:$C$389),)</f>
        <v>0</v>
      </c>
      <c r="I386" s="107">
        <f>IF(D386&gt;0,RANK(D386,$D$371:$D$389),)</f>
        <v>0</v>
      </c>
      <c r="J386" s="107">
        <f>IF(E386&gt;0,RANK(E386,$E$371:$E$389),)</f>
        <v>0</v>
      </c>
      <c r="K386" s="107">
        <f>IF(F386&gt;0,RANK(F386,$F$371:$F$389),)</f>
        <v>0</v>
      </c>
      <c r="L386" s="168"/>
      <c r="M386" s="840">
        <f>+'[1]NEW-Tables 80-86'!AG178</f>
        <v>0</v>
      </c>
      <c r="N386" s="73"/>
      <c r="O386" s="73"/>
      <c r="P386" s="73"/>
      <c r="Q386" s="73"/>
    </row>
    <row r="387" spans="1:17" s="76" customFormat="1" ht="12.75" customHeight="1" x14ac:dyDescent="0.2">
      <c r="A387" s="73" t="s">
        <v>177</v>
      </c>
      <c r="B387" s="75">
        <f>IF($M387&gt;0,('Amounts Pivot Table'!M$514/$M387),0)</f>
        <v>4236.8182162734556</v>
      </c>
      <c r="C387" s="75">
        <f>IF($M387&gt;0,('Amounts Pivot Table'!M$517/$M387),0)</f>
        <v>0</v>
      </c>
      <c r="D387" s="75">
        <f>IF($M387&gt;0,('Amounts Pivot Table'!M$520/$M387),0)</f>
        <v>2095.9614973802504</v>
      </c>
      <c r="E387" s="75">
        <f>IF($M387&gt;0,('Amounts Pivot Table'!M$523/$M387),0)</f>
        <v>1809.5068990942857</v>
      </c>
      <c r="F387" s="75">
        <f t="shared" si="57"/>
        <v>8142.286612747992</v>
      </c>
      <c r="G387" s="116">
        <f>IF(B387&gt;0,RANK(B387,$B$371:$B$389),)</f>
        <v>8</v>
      </c>
      <c r="H387" s="107">
        <f>IF(C387&gt;0,RANK(C387,$C$371:$C$389),)</f>
        <v>0</v>
      </c>
      <c r="I387" s="107">
        <f>IF(D387&gt;0,RANK(D387,$D$371:$D$389),)</f>
        <v>2</v>
      </c>
      <c r="J387" s="107">
        <f>IF(E387&gt;0,RANK(E387,$E$371:$E$389),)</f>
        <v>13</v>
      </c>
      <c r="K387" s="107">
        <f>IF(F387&gt;0,RANK(F387,$F$371:$F$389),)</f>
        <v>8</v>
      </c>
      <c r="L387" s="169"/>
      <c r="M387" s="840">
        <f>+'[1]NEW-Tables 80-86'!AG179</f>
        <v>11609.253333333334</v>
      </c>
      <c r="N387" s="90"/>
      <c r="O387" s="90"/>
      <c r="P387" s="90"/>
      <c r="Q387" s="90"/>
    </row>
    <row r="388" spans="1:17" s="61" customFormat="1" ht="12.75" customHeight="1" x14ac:dyDescent="0.2">
      <c r="A388" s="73" t="s">
        <v>27</v>
      </c>
      <c r="B388" s="75">
        <f>IF($M388&gt;0,('Amounts Pivot Table'!M$553/$M388),0)</f>
        <v>5212.7047619047617</v>
      </c>
      <c r="C388" s="75">
        <f>IF($M388&gt;0,('Amounts Pivot Table'!M$556/$M388),0)</f>
        <v>0</v>
      </c>
      <c r="D388" s="75">
        <f>IF($M388&gt;0,('Amounts Pivot Table'!M$559/$M388),0)</f>
        <v>0</v>
      </c>
      <c r="E388" s="75">
        <f>IF($M388&gt;0,('Amounts Pivot Table'!M$562/$M388),0)</f>
        <v>4241.339047619048</v>
      </c>
      <c r="F388" s="75">
        <f>SUM(B388:E388)</f>
        <v>9454.0438095238096</v>
      </c>
      <c r="G388" s="116">
        <f>IF(B388&gt;0,RANK(B388,$B$371:$B$389),)</f>
        <v>3</v>
      </c>
      <c r="H388" s="107">
        <f>IF(C388&gt;0,RANK(C388,$C$371:$C$389),)</f>
        <v>0</v>
      </c>
      <c r="I388" s="107">
        <f>IF(D388&gt;0,RANK(D388,$D$371:$D$389),)</f>
        <v>0</v>
      </c>
      <c r="J388" s="107">
        <f>IF(E388&gt;0,RANK(E388,$E$371:$E$389),)</f>
        <v>3</v>
      </c>
      <c r="K388" s="107">
        <f>IF(F388&gt;0,RANK(F388,$F$371:$F$389),)</f>
        <v>5</v>
      </c>
      <c r="L388" s="170"/>
      <c r="M388" s="840">
        <f>+'[1]NEW-Tables 80-86'!AG180</f>
        <v>1050</v>
      </c>
      <c r="N388" s="73"/>
      <c r="O388" s="73"/>
      <c r="P388" s="73"/>
      <c r="Q388" s="73"/>
    </row>
    <row r="389" spans="1:17" s="61" customFormat="1" ht="13.5" customHeight="1" x14ac:dyDescent="0.2">
      <c r="A389" s="74" t="s">
        <v>332</v>
      </c>
      <c r="B389" s="104">
        <f>IF($M389&gt;0,('Amounts Pivot Table'!M$592/$M389),0)</f>
        <v>3774.8443276102848</v>
      </c>
      <c r="C389" s="104">
        <f>IF($M389&gt;0,('Amounts Pivot Table'!M$595/$M389),0)</f>
        <v>63.943019664698788</v>
      </c>
      <c r="D389" s="104">
        <f>IF($M389&gt;0,('Amounts Pivot Table'!M$598/$M389),0)</f>
        <v>0</v>
      </c>
      <c r="E389" s="104">
        <f>IF($M389&gt;0,('Amounts Pivot Table'!M$601/$M389),0)</f>
        <v>4154.9782527125826</v>
      </c>
      <c r="F389" s="105">
        <f t="shared" si="57"/>
        <v>7993.765599987566</v>
      </c>
      <c r="G389" s="117">
        <f>IF(B389&gt;0,RANK(B389,$B$371:$B$389),)</f>
        <v>10</v>
      </c>
      <c r="H389" s="118">
        <f>IF(C389&gt;0,RANK(C389,$C$371:$C$389),)</f>
        <v>6</v>
      </c>
      <c r="I389" s="118">
        <f>IF(D389&gt;0,RANK(D389,$D$371:$D$389),)</f>
        <v>0</v>
      </c>
      <c r="J389" s="118">
        <f>IF(E389&gt;0,RANK(E389,$E$371:$E$389),)</f>
        <v>4</v>
      </c>
      <c r="K389" s="118">
        <f>IF(F389&gt;0,RANK(F389,$F$371:$F$389),)</f>
        <v>9</v>
      </c>
      <c r="L389" s="171"/>
      <c r="M389" s="840">
        <f>+'[1]NEW-Tables 80-86'!AG181</f>
        <v>7506.6833333333334</v>
      </c>
      <c r="N389" s="73"/>
      <c r="O389" s="73"/>
      <c r="P389" s="73"/>
      <c r="Q389" s="73"/>
    </row>
    <row r="390" spans="1:17" s="76" customFormat="1" ht="15" customHeight="1" x14ac:dyDescent="0.2">
      <c r="A390" s="1585" t="s">
        <v>201</v>
      </c>
      <c r="B390" s="1585"/>
      <c r="C390" s="1585"/>
      <c r="D390" s="1585"/>
      <c r="E390" s="1585"/>
      <c r="F390" s="1585"/>
      <c r="G390" s="1585"/>
      <c r="H390" s="1585"/>
      <c r="I390" s="1585"/>
      <c r="J390" s="1585"/>
      <c r="K390" s="1585"/>
      <c r="L390" s="169"/>
      <c r="M390" s="300"/>
      <c r="N390" s="90"/>
      <c r="O390" s="90"/>
      <c r="P390" s="90"/>
      <c r="Q390" s="90"/>
    </row>
    <row r="391" spans="1:17" s="76" customFormat="1" ht="14.25" customHeight="1" x14ac:dyDescent="0.2">
      <c r="A391" s="99" t="s">
        <v>448</v>
      </c>
      <c r="B391" s="113"/>
      <c r="C391" s="113"/>
      <c r="D391" s="113"/>
      <c r="E391" s="113"/>
      <c r="F391" s="113"/>
      <c r="G391" s="113"/>
      <c r="H391" s="113"/>
      <c r="I391" s="113"/>
      <c r="J391" s="113"/>
      <c r="K391" s="113"/>
      <c r="L391" s="169"/>
      <c r="M391" s="300"/>
      <c r="N391" s="90"/>
      <c r="O391" s="90"/>
      <c r="P391" s="90"/>
      <c r="Q391" s="90"/>
    </row>
    <row r="392" spans="1:17" s="76" customFormat="1" ht="24.75" customHeight="1" x14ac:dyDescent="0.2">
      <c r="A392" s="1558" t="s">
        <v>17</v>
      </c>
      <c r="B392" s="1582"/>
      <c r="C392" s="1582"/>
      <c r="D392" s="1582"/>
      <c r="E392" s="1582"/>
      <c r="F392" s="1582"/>
      <c r="G392" s="1582"/>
      <c r="H392" s="1582"/>
      <c r="I392" s="1582"/>
      <c r="J392" s="1582"/>
      <c r="K392" s="1582"/>
      <c r="L392" s="169"/>
      <c r="M392" s="296"/>
      <c r="N392" s="90"/>
      <c r="O392" s="90"/>
      <c r="P392" s="90"/>
      <c r="Q392" s="90"/>
    </row>
    <row r="393" spans="1:17" s="205" customFormat="1" ht="13.5" customHeight="1" x14ac:dyDescent="0.15">
      <c r="A393" s="1558" t="s">
        <v>54</v>
      </c>
      <c r="B393" s="1582"/>
      <c r="C393" s="1582"/>
      <c r="D393" s="1582"/>
      <c r="E393" s="1582"/>
      <c r="F393" s="1582"/>
      <c r="G393" s="1582"/>
      <c r="H393" s="1582"/>
      <c r="I393" s="1582"/>
      <c r="J393" s="1582"/>
      <c r="K393" s="1582"/>
      <c r="L393" s="204"/>
      <c r="M393" s="302"/>
      <c r="N393" s="206"/>
      <c r="O393" s="206"/>
      <c r="P393" s="206"/>
      <c r="Q393" s="206"/>
    </row>
    <row r="394" spans="1:17" s="61" customFormat="1" ht="13.5" customHeight="1" x14ac:dyDescent="0.2">
      <c r="A394" s="1558" t="s">
        <v>233</v>
      </c>
      <c r="B394" s="1583"/>
      <c r="C394" s="1583"/>
      <c r="D394" s="1583"/>
      <c r="E394" s="1583"/>
      <c r="F394" s="1583"/>
      <c r="G394" s="1584"/>
      <c r="H394" s="1584"/>
      <c r="I394" s="1584"/>
      <c r="J394" s="1584"/>
      <c r="K394" s="1584"/>
      <c r="L394" s="171"/>
      <c r="M394" s="300"/>
      <c r="N394" s="73"/>
      <c r="O394" s="73"/>
      <c r="P394" s="73"/>
      <c r="Q394" s="73"/>
    </row>
    <row r="395" spans="1:17" s="61" customFormat="1" x14ac:dyDescent="0.2">
      <c r="A395" s="187"/>
      <c r="B395" s="106"/>
      <c r="C395" s="106"/>
      <c r="D395" s="106"/>
      <c r="E395" s="106"/>
      <c r="F395" s="106"/>
      <c r="G395" s="188"/>
      <c r="H395" s="188"/>
      <c r="I395" s="188"/>
      <c r="J395" s="188"/>
      <c r="K395" s="535" t="s">
        <v>1898</v>
      </c>
      <c r="L395" s="171"/>
      <c r="M395" s="303"/>
      <c r="N395" s="73"/>
      <c r="O395" s="73"/>
      <c r="P395" s="73"/>
      <c r="Q395" s="73"/>
    </row>
    <row r="396" spans="1:17" s="61" customFormat="1" ht="18" x14ac:dyDescent="0.2">
      <c r="A396" s="135" t="s">
        <v>370</v>
      </c>
      <c r="B396" s="135"/>
      <c r="C396" s="135"/>
      <c r="D396" s="135"/>
      <c r="E396" s="135"/>
      <c r="F396" s="135"/>
      <c r="G396" s="135"/>
      <c r="H396" s="135"/>
      <c r="I396" s="135"/>
      <c r="J396" s="566"/>
      <c r="K396" s="135"/>
      <c r="M396" s="304"/>
      <c r="N396" s="73"/>
      <c r="O396" s="73"/>
      <c r="P396" s="73"/>
      <c r="Q396" s="73"/>
    </row>
    <row r="397" spans="1:17" s="61" customFormat="1" ht="12" customHeight="1" x14ac:dyDescent="0.2">
      <c r="A397" s="135"/>
      <c r="B397" s="135"/>
      <c r="C397" s="135"/>
      <c r="D397" s="135"/>
      <c r="E397" s="135"/>
      <c r="F397" s="135"/>
      <c r="G397" s="135"/>
      <c r="H397" s="135"/>
      <c r="I397" s="135"/>
      <c r="J397" s="566"/>
      <c r="K397" s="135"/>
      <c r="M397" s="304"/>
      <c r="N397" s="73"/>
      <c r="O397" s="73"/>
      <c r="P397" s="73"/>
      <c r="Q397" s="73"/>
    </row>
    <row r="398" spans="1:17" s="61" customFormat="1" ht="18.75" x14ac:dyDescent="0.2">
      <c r="A398" s="1557" t="s">
        <v>18</v>
      </c>
      <c r="B398" s="1557"/>
      <c r="C398" s="1557"/>
      <c r="D398" s="1557"/>
      <c r="E398" s="1557"/>
      <c r="F398" s="1557"/>
      <c r="G398" s="1557"/>
      <c r="H398" s="1557"/>
      <c r="I398" s="1557"/>
      <c r="J398" s="1557"/>
      <c r="K398" s="1557"/>
      <c r="L398" s="165"/>
      <c r="M398" s="296"/>
      <c r="N398" s="73"/>
      <c r="O398" s="73"/>
      <c r="P398" s="73"/>
      <c r="Q398" s="73"/>
    </row>
    <row r="399" spans="1:17" s="61" customFormat="1" ht="15.75" x14ac:dyDescent="0.15">
      <c r="A399" s="1557" t="s">
        <v>1912</v>
      </c>
      <c r="B399" s="1557"/>
      <c r="C399" s="1557"/>
      <c r="D399" s="1557"/>
      <c r="E399" s="1557"/>
      <c r="F399" s="1557"/>
      <c r="G399" s="1557"/>
      <c r="H399" s="1557"/>
      <c r="I399" s="1557"/>
      <c r="J399" s="1557"/>
      <c r="K399" s="1557"/>
      <c r="L399" s="165"/>
      <c r="M399" s="299"/>
      <c r="N399" s="73"/>
      <c r="O399" s="73"/>
      <c r="P399" s="73"/>
      <c r="Q399" s="73"/>
    </row>
    <row r="400" spans="1:17" s="61" customFormat="1" ht="10.5" customHeight="1" x14ac:dyDescent="0.2">
      <c r="A400" s="91"/>
      <c r="B400" s="91"/>
      <c r="C400" s="91"/>
      <c r="D400" s="91"/>
      <c r="E400" s="91"/>
      <c r="F400" s="91"/>
      <c r="G400" s="108"/>
      <c r="H400" s="91"/>
      <c r="I400" s="91"/>
      <c r="J400" s="91"/>
      <c r="K400" s="91"/>
      <c r="L400" s="165"/>
      <c r="M400" s="296"/>
      <c r="N400" s="73"/>
      <c r="O400" s="73"/>
      <c r="P400" s="73"/>
      <c r="Q400" s="73"/>
    </row>
    <row r="401" spans="1:17" s="61" customFormat="1" ht="17.25" customHeight="1" x14ac:dyDescent="0.2">
      <c r="A401" s="60"/>
      <c r="B401" s="1580" t="s">
        <v>55</v>
      </c>
      <c r="C401" s="1581"/>
      <c r="D401" s="1581"/>
      <c r="E401" s="1581"/>
      <c r="F401" s="1581"/>
      <c r="G401" s="569" t="s">
        <v>119</v>
      </c>
      <c r="H401" s="570"/>
      <c r="I401" s="570"/>
      <c r="J401" s="570"/>
      <c r="K401" s="570"/>
      <c r="L401" s="173"/>
      <c r="M401" s="296"/>
      <c r="N401" s="73"/>
      <c r="O401" s="73"/>
      <c r="P401" s="73"/>
      <c r="Q401" s="73"/>
    </row>
    <row r="402" spans="1:17" s="6" customFormat="1" ht="48" x14ac:dyDescent="0.2">
      <c r="A402" s="50"/>
      <c r="B402" s="550" t="s">
        <v>87</v>
      </c>
      <c r="C402" s="551" t="s">
        <v>89</v>
      </c>
      <c r="D402" s="551" t="s">
        <v>88</v>
      </c>
      <c r="E402" s="551" t="s">
        <v>398</v>
      </c>
      <c r="F402" s="551" t="s">
        <v>97</v>
      </c>
      <c r="G402" s="552" t="s">
        <v>87</v>
      </c>
      <c r="H402" s="551" t="s">
        <v>89</v>
      </c>
      <c r="I402" s="551" t="s">
        <v>88</v>
      </c>
      <c r="J402" s="551" t="s">
        <v>398</v>
      </c>
      <c r="K402" s="551" t="s">
        <v>97</v>
      </c>
      <c r="L402" s="167"/>
      <c r="M402" s="298" t="s">
        <v>260</v>
      </c>
      <c r="N402" s="7"/>
      <c r="O402" s="7"/>
      <c r="P402" s="7"/>
      <c r="Q402" s="7"/>
    </row>
    <row r="403" spans="1:17" s="61" customFormat="1" ht="14.25" x14ac:dyDescent="0.2">
      <c r="A403" s="73" t="s">
        <v>56</v>
      </c>
      <c r="B403" s="102">
        <f>IF($M403&gt;0,('Amounts Pivot Table'!N$631/$M403),0)</f>
        <v>7274.3628161919933</v>
      </c>
      <c r="C403" s="102">
        <f>IF($M403&gt;0,('Amounts Pivot Table'!N$634/$M403),0)</f>
        <v>0</v>
      </c>
      <c r="D403" s="102">
        <f>IF($M403&gt;0,('Amounts Pivot Table'!N$637/$M403),0)</f>
        <v>4061.7937528444263</v>
      </c>
      <c r="E403" s="102">
        <f>IF($M403&gt;0,('Amounts Pivot Table'!N$640/$M403),0)</f>
        <v>7416.0039474151627</v>
      </c>
      <c r="F403" s="102">
        <f>SUM(B403:E403)</f>
        <v>18752.160516451582</v>
      </c>
      <c r="G403" s="114"/>
      <c r="H403" s="115"/>
      <c r="I403" s="115"/>
      <c r="J403" s="115"/>
      <c r="K403" s="115"/>
      <c r="L403" s="168"/>
      <c r="M403" s="840">
        <f>+'[1]NEW-Tables 80-86'!AH161</f>
        <v>87642.162222222221</v>
      </c>
      <c r="N403" s="73"/>
      <c r="O403" s="73"/>
      <c r="P403" s="73"/>
      <c r="Q403" s="73"/>
    </row>
    <row r="404" spans="1:17" s="112" customFormat="1" ht="9.75" customHeight="1" x14ac:dyDescent="0.2">
      <c r="A404" s="110"/>
      <c r="B404" s="111"/>
      <c r="C404" s="111"/>
      <c r="D404" s="111"/>
      <c r="E404" s="111"/>
      <c r="F404" s="111"/>
      <c r="G404" s="119"/>
      <c r="H404" s="120"/>
      <c r="I404" s="120"/>
      <c r="J404" s="120"/>
      <c r="K404" s="120"/>
      <c r="L404" s="175"/>
      <c r="M404" s="840"/>
      <c r="N404" s="110"/>
      <c r="O404" s="110"/>
      <c r="P404" s="110"/>
      <c r="Q404" s="110"/>
    </row>
    <row r="405" spans="1:17" s="61" customFormat="1" ht="12.75" customHeight="1" x14ac:dyDescent="0.2">
      <c r="A405" s="73" t="s">
        <v>320</v>
      </c>
      <c r="B405" s="75">
        <f>IF($M405&gt;0,('Amounts Pivot Table'!N$7/$M405),0)</f>
        <v>0</v>
      </c>
      <c r="C405" s="75">
        <f>IF($M405&gt;0,('Amounts Pivot Table'!N$10/$M405),0)</f>
        <v>0</v>
      </c>
      <c r="D405" s="75">
        <f>IF($M405&gt;0,('Amounts Pivot Table'!N$13/$M405),0)</f>
        <v>0</v>
      </c>
      <c r="E405" s="75">
        <f>IF($M405&gt;0,('Amounts Pivot Table'!N$16/$M405),0)</f>
        <v>0</v>
      </c>
      <c r="F405" s="75">
        <f t="shared" ref="F405:F423" si="58">SUM(B405:E405)</f>
        <v>0</v>
      </c>
      <c r="G405" s="116">
        <f t="shared" ref="G405:G423" si="59">IF(B405&gt;0,RANK(B405,$B$405:$B$423),)</f>
        <v>0</v>
      </c>
      <c r="H405" s="107">
        <f t="shared" ref="H405:H423" si="60">IF(C405&gt;0,RANK(C405,$C$405:$C$423),)</f>
        <v>0</v>
      </c>
      <c r="I405" s="107">
        <f t="shared" ref="I405:I423" si="61">IF(D405&gt;0,RANK(D405,$D$405:$D$423),)</f>
        <v>0</v>
      </c>
      <c r="J405" s="107">
        <f t="shared" ref="J405:J423" si="62">IF(E405&gt;0,RANK(E405,$E$405:$E$423),)</f>
        <v>0</v>
      </c>
      <c r="K405" s="107">
        <f t="shared" ref="K405:K423" si="63">IF(F405&gt;0,RANK(F405,$F$405:$F$423),)</f>
        <v>0</v>
      </c>
      <c r="L405" s="168"/>
      <c r="M405" s="840">
        <f>+'[1]NEW-Tables 80-86'!AH163</f>
        <v>0</v>
      </c>
      <c r="N405" s="73"/>
      <c r="O405" s="73"/>
      <c r="P405" s="73"/>
      <c r="Q405" s="73"/>
    </row>
    <row r="406" spans="1:17" s="61" customFormat="1" ht="12.75" customHeight="1" x14ac:dyDescent="0.2">
      <c r="A406" s="73" t="s">
        <v>334</v>
      </c>
      <c r="B406" s="75">
        <f>IF($M406&gt;0,('Amounts Pivot Table'!N$46/$M406),0)</f>
        <v>0</v>
      </c>
      <c r="C406" s="75">
        <f>IF($M406&gt;0,('Amounts Pivot Table'!N$49/$M406),0)</f>
        <v>0</v>
      </c>
      <c r="D406" s="75">
        <f>IF($M406&gt;0,('Amounts Pivot Table'!N$52/$M406),0)</f>
        <v>0</v>
      </c>
      <c r="E406" s="75">
        <f>IF($M406&gt;0,('Amounts Pivot Table'!N$55/$M406),0)</f>
        <v>0</v>
      </c>
      <c r="F406" s="75">
        <f t="shared" si="58"/>
        <v>0</v>
      </c>
      <c r="G406" s="116">
        <f t="shared" si="59"/>
        <v>0</v>
      </c>
      <c r="H406" s="107">
        <f t="shared" si="60"/>
        <v>0</v>
      </c>
      <c r="I406" s="107">
        <f t="shared" si="61"/>
        <v>0</v>
      </c>
      <c r="J406" s="107">
        <f t="shared" si="62"/>
        <v>0</v>
      </c>
      <c r="K406" s="107">
        <f t="shared" si="63"/>
        <v>0</v>
      </c>
      <c r="L406" s="168"/>
      <c r="M406" s="840">
        <f>+'[1]NEW-Tables 80-86'!AH164</f>
        <v>0</v>
      </c>
      <c r="N406" s="73"/>
      <c r="O406" s="73"/>
      <c r="P406" s="73"/>
      <c r="Q406" s="73"/>
    </row>
    <row r="407" spans="1:17" s="61" customFormat="1" ht="12.75" customHeight="1" x14ac:dyDescent="0.2">
      <c r="A407" s="73" t="s">
        <v>321</v>
      </c>
      <c r="B407" s="75">
        <f>IF($M407&gt;0,('Amounts Pivot Table'!N$85/$M407),0)</f>
        <v>0</v>
      </c>
      <c r="C407" s="75">
        <f>IF($M407&gt;0,('Amounts Pivot Table'!N$88/$M407),0)</f>
        <v>0</v>
      </c>
      <c r="D407" s="75">
        <f>IF($M407&gt;0,('Amounts Pivot Table'!N$91/$M407),0)</f>
        <v>0</v>
      </c>
      <c r="E407" s="75">
        <f>IF($M407&gt;0,('Amounts Pivot Table'!N$94/$M407),0)</f>
        <v>0</v>
      </c>
      <c r="F407" s="75">
        <f t="shared" si="58"/>
        <v>0</v>
      </c>
      <c r="G407" s="116">
        <f t="shared" si="59"/>
        <v>0</v>
      </c>
      <c r="H407" s="107">
        <f t="shared" si="60"/>
        <v>0</v>
      </c>
      <c r="I407" s="107">
        <f t="shared" si="61"/>
        <v>0</v>
      </c>
      <c r="J407" s="107">
        <f t="shared" si="62"/>
        <v>0</v>
      </c>
      <c r="K407" s="107">
        <f t="shared" si="63"/>
        <v>0</v>
      </c>
      <c r="L407" s="168"/>
      <c r="M407" s="840">
        <f>+'[1]NEW-Tables 80-86'!AH165</f>
        <v>0</v>
      </c>
      <c r="N407" s="73"/>
      <c r="O407" s="73"/>
      <c r="P407" s="73"/>
      <c r="Q407" s="73"/>
    </row>
    <row r="408" spans="1:17" s="61" customFormat="1" ht="12.75" customHeight="1" x14ac:dyDescent="0.2">
      <c r="A408" s="73" t="s">
        <v>328</v>
      </c>
      <c r="B408" s="75">
        <f>IF($M408&gt;0,('Amounts Pivot Table'!N$124/$M408),0)</f>
        <v>0</v>
      </c>
      <c r="C408" s="75">
        <f>IF($M408&gt;0,('Amounts Pivot Table'!N$127/$M408),0)</f>
        <v>0</v>
      </c>
      <c r="D408" s="75">
        <f>IF($M408&gt;0,('Amounts Pivot Table'!N$130/$M408),0)</f>
        <v>0</v>
      </c>
      <c r="E408" s="75">
        <f>IF($M408&gt;0,('Amounts Pivot Table'!N$133/$M408),0)</f>
        <v>0</v>
      </c>
      <c r="F408" s="75">
        <f t="shared" si="58"/>
        <v>0</v>
      </c>
      <c r="G408" s="116">
        <f t="shared" si="59"/>
        <v>0</v>
      </c>
      <c r="H408" s="107">
        <f t="shared" si="60"/>
        <v>0</v>
      </c>
      <c r="I408" s="107">
        <f t="shared" si="61"/>
        <v>0</v>
      </c>
      <c r="J408" s="107">
        <f t="shared" si="62"/>
        <v>0</v>
      </c>
      <c r="K408" s="107">
        <f t="shared" si="63"/>
        <v>0</v>
      </c>
      <c r="L408" s="168"/>
      <c r="M408" s="840">
        <f>+'[1]NEW-Tables 80-86'!AH166</f>
        <v>0</v>
      </c>
      <c r="N408" s="73"/>
      <c r="O408" s="73"/>
      <c r="P408" s="73"/>
      <c r="Q408" s="73"/>
    </row>
    <row r="409" spans="1:17" s="112" customFormat="1" x14ac:dyDescent="0.2">
      <c r="A409" s="110"/>
      <c r="B409" s="111"/>
      <c r="C409" s="111"/>
      <c r="D409" s="111"/>
      <c r="E409" s="111"/>
      <c r="F409" s="111"/>
      <c r="G409" s="119"/>
      <c r="H409" s="120"/>
      <c r="I409" s="120"/>
      <c r="J409" s="120"/>
      <c r="K409" s="120"/>
      <c r="L409" s="175"/>
      <c r="M409" s="840"/>
      <c r="N409" s="110"/>
      <c r="O409" s="110"/>
      <c r="P409" s="110"/>
      <c r="Q409" s="110"/>
    </row>
    <row r="410" spans="1:17" s="61" customFormat="1" ht="12.75" customHeight="1" x14ac:dyDescent="0.2">
      <c r="A410" s="73" t="s">
        <v>329</v>
      </c>
      <c r="B410" s="75">
        <f>IF($M410&gt;0,('Amounts Pivot Table'!N$163/$M410),0)</f>
        <v>0</v>
      </c>
      <c r="C410" s="75">
        <f>IF($M410&gt;0,('Amounts Pivot Table'!N$166/$M410),0)</f>
        <v>0</v>
      </c>
      <c r="D410" s="75">
        <f>IF($M410&gt;0,('Amounts Pivot Table'!N$169/$M410),0)</f>
        <v>0</v>
      </c>
      <c r="E410" s="75">
        <f>IF($M410&gt;0,('Amounts Pivot Table'!N$172/$M410),0)</f>
        <v>0</v>
      </c>
      <c r="F410" s="75">
        <f t="shared" si="58"/>
        <v>0</v>
      </c>
      <c r="G410" s="116">
        <f t="shared" si="59"/>
        <v>0</v>
      </c>
      <c r="H410" s="107">
        <f t="shared" si="60"/>
        <v>0</v>
      </c>
      <c r="I410" s="107">
        <f t="shared" si="61"/>
        <v>0</v>
      </c>
      <c r="J410" s="107">
        <f t="shared" si="62"/>
        <v>0</v>
      </c>
      <c r="K410" s="107">
        <f t="shared" si="63"/>
        <v>0</v>
      </c>
      <c r="L410" s="168"/>
      <c r="M410" s="840">
        <f>+'[1]NEW-Tables 80-86'!AH168</f>
        <v>0</v>
      </c>
      <c r="N410" s="73"/>
      <c r="O410" s="73"/>
      <c r="P410" s="73"/>
      <c r="Q410" s="73"/>
    </row>
    <row r="411" spans="1:17" s="61" customFormat="1" ht="12.75" customHeight="1" x14ac:dyDescent="0.2">
      <c r="A411" s="73" t="s">
        <v>322</v>
      </c>
      <c r="B411" s="75">
        <f>IF($M411&gt;0,('Amounts Pivot Table'!N$202/$M411),0)</f>
        <v>0</v>
      </c>
      <c r="C411" s="75">
        <f>IF($M411&gt;0,('Amounts Pivot Table'!N$205/$M411),0)</f>
        <v>0</v>
      </c>
      <c r="D411" s="75">
        <f>IF($M411&gt;0,('Amounts Pivot Table'!N$208/$M411),0)</f>
        <v>0</v>
      </c>
      <c r="E411" s="75">
        <f>IF($M411&gt;0,('Amounts Pivot Table'!N$211/$M411),0)</f>
        <v>0</v>
      </c>
      <c r="F411" s="75">
        <f t="shared" si="58"/>
        <v>0</v>
      </c>
      <c r="G411" s="116">
        <f t="shared" si="59"/>
        <v>0</v>
      </c>
      <c r="H411" s="107">
        <f t="shared" si="60"/>
        <v>0</v>
      </c>
      <c r="I411" s="107">
        <f t="shared" si="61"/>
        <v>0</v>
      </c>
      <c r="J411" s="107">
        <f t="shared" si="62"/>
        <v>0</v>
      </c>
      <c r="K411" s="107">
        <f t="shared" si="63"/>
        <v>0</v>
      </c>
      <c r="L411" s="168"/>
      <c r="M411" s="840">
        <f>+'[1]NEW-Tables 80-86'!AH169</f>
        <v>0</v>
      </c>
      <c r="N411" s="73"/>
      <c r="O411" s="73"/>
      <c r="P411" s="73"/>
      <c r="Q411" s="73"/>
    </row>
    <row r="412" spans="1:17" s="61" customFormat="1" ht="12.75" customHeight="1" x14ac:dyDescent="0.2">
      <c r="A412" s="73" t="s">
        <v>330</v>
      </c>
      <c r="B412" s="75">
        <f>IF($M412&gt;0,('Amounts Pivot Table'!N$241/$M412),0)</f>
        <v>0</v>
      </c>
      <c r="C412" s="75">
        <f>IF($M412&gt;0,('Amounts Pivot Table'!N$244/$M412),0)</f>
        <v>0</v>
      </c>
      <c r="D412" s="75">
        <f>IF($M412&gt;0,('Amounts Pivot Table'!N$247/$M412),0)</f>
        <v>0</v>
      </c>
      <c r="E412" s="75">
        <f>IF($M412&gt;0,('Amounts Pivot Table'!N$250/$M412),0)</f>
        <v>0</v>
      </c>
      <c r="F412" s="75">
        <f t="shared" si="58"/>
        <v>0</v>
      </c>
      <c r="G412" s="116">
        <f t="shared" si="59"/>
        <v>0</v>
      </c>
      <c r="H412" s="107">
        <f t="shared" si="60"/>
        <v>0</v>
      </c>
      <c r="I412" s="107">
        <f t="shared" si="61"/>
        <v>0</v>
      </c>
      <c r="J412" s="107">
        <f t="shared" si="62"/>
        <v>0</v>
      </c>
      <c r="K412" s="107">
        <f t="shared" si="63"/>
        <v>0</v>
      </c>
      <c r="L412" s="168"/>
      <c r="M412" s="840">
        <f>+'[1]NEW-Tables 80-86'!AH170</f>
        <v>0</v>
      </c>
      <c r="N412" s="73"/>
      <c r="O412" s="73"/>
      <c r="P412" s="73"/>
      <c r="Q412" s="73"/>
    </row>
    <row r="413" spans="1:17" s="61" customFormat="1" ht="12.75" customHeight="1" x14ac:dyDescent="0.2">
      <c r="A413" s="73" t="s">
        <v>333</v>
      </c>
      <c r="B413" s="75">
        <f>IF($M413&gt;0,('Amounts Pivot Table'!N$280/$M413),0)</f>
        <v>0</v>
      </c>
      <c r="C413" s="75">
        <f>IF($M413&gt;0,('Amounts Pivot Table'!N$283/$M413),0)</f>
        <v>0</v>
      </c>
      <c r="D413" s="75">
        <f>IF($M413&gt;0,('Amounts Pivot Table'!N$286/$M413),0)</f>
        <v>0</v>
      </c>
      <c r="E413" s="75">
        <f>IF($M413&gt;0,('Amounts Pivot Table'!N$289/$M413),0)</f>
        <v>0</v>
      </c>
      <c r="F413" s="75">
        <f t="shared" si="58"/>
        <v>0</v>
      </c>
      <c r="G413" s="116">
        <f t="shared" si="59"/>
        <v>0</v>
      </c>
      <c r="H413" s="107">
        <f t="shared" si="60"/>
        <v>0</v>
      </c>
      <c r="I413" s="107">
        <f t="shared" si="61"/>
        <v>0</v>
      </c>
      <c r="J413" s="107">
        <f t="shared" si="62"/>
        <v>0</v>
      </c>
      <c r="K413" s="107">
        <f t="shared" si="63"/>
        <v>0</v>
      </c>
      <c r="L413" s="168"/>
      <c r="M413" s="840">
        <f>+'[1]NEW-Tables 80-86'!AH171</f>
        <v>0</v>
      </c>
      <c r="N413" s="73"/>
      <c r="O413" s="73"/>
      <c r="P413" s="73"/>
      <c r="Q413" s="73"/>
    </row>
    <row r="414" spans="1:17" s="112" customFormat="1" x14ac:dyDescent="0.2">
      <c r="A414" s="110"/>
      <c r="B414" s="111"/>
      <c r="C414" s="111"/>
      <c r="D414" s="111"/>
      <c r="E414" s="111"/>
      <c r="F414" s="111"/>
      <c r="G414" s="119"/>
      <c r="H414" s="120"/>
      <c r="I414" s="120"/>
      <c r="J414" s="120"/>
      <c r="K414" s="120"/>
      <c r="L414" s="175"/>
      <c r="M414" s="840"/>
      <c r="N414" s="110"/>
      <c r="O414" s="110"/>
      <c r="P414" s="110"/>
      <c r="Q414" s="110"/>
    </row>
    <row r="415" spans="1:17" s="61" customFormat="1" ht="12.75" customHeight="1" x14ac:dyDescent="0.2">
      <c r="A415" s="73" t="s">
        <v>323</v>
      </c>
      <c r="B415" s="75">
        <f>IF($M415&gt;0,('Amounts Pivot Table'!N$319/$M415),0)</f>
        <v>0</v>
      </c>
      <c r="C415" s="75">
        <f>IF($M415&gt;0,('Amounts Pivot Table'!N$322/$M415),0)</f>
        <v>0</v>
      </c>
      <c r="D415" s="75">
        <f>IF($M415&gt;0,('Amounts Pivot Table'!N$325/$M415),0)</f>
        <v>0</v>
      </c>
      <c r="E415" s="75">
        <f>IF($M415&gt;0,('Amounts Pivot Table'!N$328/$M415),0)</f>
        <v>0</v>
      </c>
      <c r="F415" s="75">
        <f t="shared" si="58"/>
        <v>0</v>
      </c>
      <c r="G415" s="116">
        <f t="shared" si="59"/>
        <v>0</v>
      </c>
      <c r="H415" s="107">
        <f t="shared" si="60"/>
        <v>0</v>
      </c>
      <c r="I415" s="107">
        <f t="shared" si="61"/>
        <v>0</v>
      </c>
      <c r="J415" s="107">
        <f t="shared" si="62"/>
        <v>0</v>
      </c>
      <c r="K415" s="107">
        <f t="shared" si="63"/>
        <v>0</v>
      </c>
      <c r="L415" s="168"/>
      <c r="M415" s="840">
        <f>+'[1]NEW-Tables 80-86'!AH173</f>
        <v>0</v>
      </c>
      <c r="N415" s="73"/>
      <c r="O415" s="73"/>
      <c r="P415" s="73"/>
      <c r="Q415" s="73"/>
    </row>
    <row r="416" spans="1:17" s="61" customFormat="1" ht="12.75" customHeight="1" x14ac:dyDescent="0.2">
      <c r="A416" s="73" t="s">
        <v>324</v>
      </c>
      <c r="B416" s="75">
        <f>IF($M416&gt;0,('Amounts Pivot Table'!N$358/$M416),0)</f>
        <v>0</v>
      </c>
      <c r="C416" s="75">
        <f>IF($M416&gt;0,('Amounts Pivot Table'!N$361/$M416),0)</f>
        <v>0</v>
      </c>
      <c r="D416" s="75">
        <f>IF($M416&gt;0,('Amounts Pivot Table'!N$364/$M416),0)</f>
        <v>0</v>
      </c>
      <c r="E416" s="75">
        <f>IF($M416&gt;0,('Amounts Pivot Table'!N$367/$M416),0)</f>
        <v>0</v>
      </c>
      <c r="F416" s="75">
        <f t="shared" si="58"/>
        <v>0</v>
      </c>
      <c r="G416" s="116">
        <f t="shared" si="59"/>
        <v>0</v>
      </c>
      <c r="H416" s="107">
        <f t="shared" si="60"/>
        <v>0</v>
      </c>
      <c r="I416" s="107">
        <f t="shared" si="61"/>
        <v>0</v>
      </c>
      <c r="J416" s="107">
        <f t="shared" si="62"/>
        <v>0</v>
      </c>
      <c r="K416" s="107">
        <f t="shared" si="63"/>
        <v>0</v>
      </c>
      <c r="L416" s="168"/>
      <c r="M416" s="840">
        <f>+'[1]NEW-Tables 80-86'!AH174</f>
        <v>0</v>
      </c>
      <c r="N416" s="73"/>
      <c r="O416" s="73"/>
      <c r="P416" s="73"/>
      <c r="Q416" s="73"/>
    </row>
    <row r="417" spans="1:25" s="61" customFormat="1" ht="12.75" customHeight="1" x14ac:dyDescent="0.2">
      <c r="A417" s="73" t="s">
        <v>331</v>
      </c>
      <c r="B417" s="75">
        <f>IF($M417&gt;0,('Amounts Pivot Table'!N$397/$M417),0)</f>
        <v>0</v>
      </c>
      <c r="C417" s="75">
        <f>IF($M417&gt;0,('Amounts Pivot Table'!N$400/$M417),0)</f>
        <v>0</v>
      </c>
      <c r="D417" s="75">
        <f>IF($M417&gt;0,('Amounts Pivot Table'!N$403/$M417),0)</f>
        <v>0</v>
      </c>
      <c r="E417" s="75">
        <f>IF($M417&gt;0,('Amounts Pivot Table'!N$406/$M417),0)</f>
        <v>0</v>
      </c>
      <c r="F417" s="75">
        <f t="shared" si="58"/>
        <v>0</v>
      </c>
      <c r="G417" s="116">
        <f t="shared" si="59"/>
        <v>0</v>
      </c>
      <c r="H417" s="107">
        <f t="shared" si="60"/>
        <v>0</v>
      </c>
      <c r="I417" s="107">
        <f t="shared" si="61"/>
        <v>0</v>
      </c>
      <c r="J417" s="107">
        <f t="shared" si="62"/>
        <v>0</v>
      </c>
      <c r="K417" s="107">
        <f t="shared" si="63"/>
        <v>0</v>
      </c>
      <c r="L417" s="168"/>
      <c r="M417" s="840">
        <f>+'[1]NEW-Tables 80-86'!AH175</f>
        <v>0</v>
      </c>
      <c r="N417" s="73"/>
      <c r="O417" s="73"/>
      <c r="P417" s="73"/>
      <c r="Q417" s="73"/>
    </row>
    <row r="418" spans="1:25" s="61" customFormat="1" ht="12.75" customHeight="1" x14ac:dyDescent="0.2">
      <c r="A418" s="73" t="s">
        <v>325</v>
      </c>
      <c r="B418" s="75">
        <f>IF($M418&gt;0,('Amounts Pivot Table'!N$436/$M418),0)</f>
        <v>0</v>
      </c>
      <c r="C418" s="75">
        <f>IF($M418&gt;0,('Amounts Pivot Table'!N$439/$M418),0)</f>
        <v>0</v>
      </c>
      <c r="D418" s="75">
        <f>IF($M418&gt;0,('Amounts Pivot Table'!N$442/$M418),0)</f>
        <v>0</v>
      </c>
      <c r="E418" s="75">
        <f>IF($M418&gt;0,('Amounts Pivot Table'!N$445/$M418),0)</f>
        <v>0</v>
      </c>
      <c r="F418" s="75">
        <f t="shared" si="58"/>
        <v>0</v>
      </c>
      <c r="G418" s="116">
        <f t="shared" si="59"/>
        <v>0</v>
      </c>
      <c r="H418" s="107">
        <f t="shared" si="60"/>
        <v>0</v>
      </c>
      <c r="I418" s="107">
        <f t="shared" si="61"/>
        <v>0</v>
      </c>
      <c r="J418" s="107">
        <f t="shared" si="62"/>
        <v>0</v>
      </c>
      <c r="K418" s="107">
        <f t="shared" si="63"/>
        <v>0</v>
      </c>
      <c r="L418" s="168"/>
      <c r="M418" s="840">
        <f>+'[1]NEW-Tables 80-86'!AH176</f>
        <v>0</v>
      </c>
      <c r="N418" s="73"/>
      <c r="O418" s="73"/>
      <c r="P418" s="73"/>
      <c r="Q418" s="73"/>
    </row>
    <row r="419" spans="1:25" s="112" customFormat="1" x14ac:dyDescent="0.2">
      <c r="A419" s="110"/>
      <c r="B419" s="111"/>
      <c r="C419" s="111"/>
      <c r="D419" s="111"/>
      <c r="E419" s="111"/>
      <c r="F419" s="111"/>
      <c r="G419" s="119"/>
      <c r="H419" s="120"/>
      <c r="I419" s="120"/>
      <c r="J419" s="120"/>
      <c r="K419" s="120"/>
      <c r="L419" s="175"/>
      <c r="M419" s="840"/>
      <c r="N419" s="110"/>
      <c r="O419" s="110"/>
      <c r="P419" s="110"/>
      <c r="Q419" s="110"/>
    </row>
    <row r="420" spans="1:25" s="61" customFormat="1" ht="12.75" customHeight="1" x14ac:dyDescent="0.2">
      <c r="A420" s="73" t="s">
        <v>90</v>
      </c>
      <c r="B420" s="75">
        <f>IF($M420&gt;0,('Amounts Pivot Table'!N$475/$M420),0)</f>
        <v>0</v>
      </c>
      <c r="C420" s="75">
        <f>IF($M420&gt;0,('Amounts Pivot Table'!N$478/$M420),0)</f>
        <v>0</v>
      </c>
      <c r="D420" s="75">
        <f>IF($M420&gt;0,('Amounts Pivot Table'!N$481/$M420),0)</f>
        <v>0</v>
      </c>
      <c r="E420" s="75">
        <f>IF($M420&gt;0,('Amounts Pivot Table'!N$484/$M420),0)</f>
        <v>0</v>
      </c>
      <c r="F420" s="75">
        <f t="shared" si="58"/>
        <v>0</v>
      </c>
      <c r="G420" s="116">
        <f t="shared" si="59"/>
        <v>0</v>
      </c>
      <c r="H420" s="107">
        <f t="shared" si="60"/>
        <v>0</v>
      </c>
      <c r="I420" s="107">
        <f t="shared" si="61"/>
        <v>0</v>
      </c>
      <c r="J420" s="107">
        <f t="shared" si="62"/>
        <v>0</v>
      </c>
      <c r="K420" s="107">
        <f t="shared" si="63"/>
        <v>0</v>
      </c>
      <c r="L420" s="168"/>
      <c r="M420" s="840">
        <f>+'[1]NEW-Tables 80-86'!AH178</f>
        <v>0</v>
      </c>
      <c r="N420" s="73"/>
      <c r="O420" s="73"/>
      <c r="P420" s="73"/>
      <c r="Q420" s="73"/>
    </row>
    <row r="421" spans="1:25" s="76" customFormat="1" ht="12.75" customHeight="1" x14ac:dyDescent="0.2">
      <c r="A421" s="73" t="s">
        <v>326</v>
      </c>
      <c r="B421" s="75">
        <f>IF($M421&gt;0,('Amounts Pivot Table'!N$514/$M421),0)</f>
        <v>3567.0658627444482</v>
      </c>
      <c r="C421" s="75">
        <f>IF($M421&gt;0,('Amounts Pivot Table'!N$517/$M421),0)</f>
        <v>0</v>
      </c>
      <c r="D421" s="75">
        <f>IF($M421&gt;0,('Amounts Pivot Table'!N$520/$M421),0)</f>
        <v>3937.1828381535188</v>
      </c>
      <c r="E421" s="75">
        <f>IF($M421&gt;0,('Amounts Pivot Table'!N$523/$M421),0)</f>
        <v>1396.8930580418512</v>
      </c>
      <c r="F421" s="75">
        <f t="shared" si="58"/>
        <v>8901.1417589398188</v>
      </c>
      <c r="G421" s="116">
        <f t="shared" si="59"/>
        <v>1</v>
      </c>
      <c r="H421" s="107">
        <f t="shared" si="60"/>
        <v>0</v>
      </c>
      <c r="I421" s="107">
        <f t="shared" si="61"/>
        <v>1</v>
      </c>
      <c r="J421" s="107">
        <f t="shared" si="62"/>
        <v>1</v>
      </c>
      <c r="K421" s="107">
        <f t="shared" si="63"/>
        <v>1</v>
      </c>
      <c r="L421" s="169"/>
      <c r="M421" s="840">
        <f>+'[1]NEW-Tables 80-86'!AH179</f>
        <v>87642.162222222221</v>
      </c>
      <c r="N421" s="90"/>
      <c r="O421" s="90"/>
      <c r="P421" s="90"/>
      <c r="Q421" s="90"/>
    </row>
    <row r="422" spans="1:25" s="61" customFormat="1" ht="12.75" customHeight="1" x14ac:dyDescent="0.2">
      <c r="A422" s="406" t="s">
        <v>327</v>
      </c>
      <c r="B422" s="75">
        <f>IF($M422&gt;0,('Amounts Pivot Table'!N$553/$M422),0)</f>
        <v>0</v>
      </c>
      <c r="C422" s="75">
        <f>IF($M422&gt;0,('Amounts Pivot Table'!N$556/$M422),0)</f>
        <v>0</v>
      </c>
      <c r="D422" s="75">
        <f>IF($M422&gt;0,('Amounts Pivot Table'!N$559/$M422),0)</f>
        <v>0</v>
      </c>
      <c r="E422" s="75">
        <f>IF($M422&gt;0,('Amounts Pivot Table'!N$562/$M422),0)</f>
        <v>0</v>
      </c>
      <c r="F422" s="75">
        <f t="shared" si="58"/>
        <v>0</v>
      </c>
      <c r="G422" s="116">
        <f t="shared" si="59"/>
        <v>0</v>
      </c>
      <c r="H422" s="107">
        <f t="shared" si="60"/>
        <v>0</v>
      </c>
      <c r="I422" s="107">
        <f t="shared" si="61"/>
        <v>0</v>
      </c>
      <c r="J422" s="107">
        <f t="shared" si="62"/>
        <v>0</v>
      </c>
      <c r="K422" s="107">
        <f t="shared" si="63"/>
        <v>0</v>
      </c>
      <c r="L422" s="170"/>
      <c r="M422" s="840">
        <f>+'[1]NEW-Tables 80-86'!AH180</f>
        <v>0</v>
      </c>
      <c r="N422" s="73"/>
      <c r="O422" s="73"/>
      <c r="P422" s="73"/>
      <c r="Q422" s="73"/>
    </row>
    <row r="423" spans="1:25" s="61" customFormat="1" ht="13.5" customHeight="1" x14ac:dyDescent="0.2">
      <c r="A423" s="74" t="s">
        <v>332</v>
      </c>
      <c r="B423" s="104">
        <f>IF($M423&gt;0,('Amounts Pivot Table'!N$592/$M423),0)</f>
        <v>0</v>
      </c>
      <c r="C423" s="104">
        <f>IF($M423&gt;0,('Amounts Pivot Table'!N$595/$M423),0)</f>
        <v>0</v>
      </c>
      <c r="D423" s="104">
        <f>IF($M423&gt;0,('Amounts Pivot Table'!N$598/$M423),0)</f>
        <v>0</v>
      </c>
      <c r="E423" s="104">
        <f>IF($M423&gt;0,('Amounts Pivot Table'!N$601/$M423),0)</f>
        <v>0</v>
      </c>
      <c r="F423" s="105">
        <f t="shared" si="58"/>
        <v>0</v>
      </c>
      <c r="G423" s="117">
        <f t="shared" si="59"/>
        <v>0</v>
      </c>
      <c r="H423" s="118">
        <f t="shared" si="60"/>
        <v>0</v>
      </c>
      <c r="I423" s="118">
        <f t="shared" si="61"/>
        <v>0</v>
      </c>
      <c r="J423" s="118">
        <f t="shared" si="62"/>
        <v>0</v>
      </c>
      <c r="K423" s="118">
        <f t="shared" si="63"/>
        <v>0</v>
      </c>
      <c r="L423" s="171"/>
      <c r="M423" s="840">
        <f>+'[1]NEW-Tables 80-86'!AH181</f>
        <v>0</v>
      </c>
      <c r="N423" s="73"/>
      <c r="O423" s="73"/>
      <c r="P423" s="73"/>
      <c r="Q423" s="73"/>
    </row>
    <row r="424" spans="1:25" s="76" customFormat="1" ht="34.5" customHeight="1" x14ac:dyDescent="0.2">
      <c r="A424" s="1558" t="s">
        <v>17</v>
      </c>
      <c r="B424" s="1582"/>
      <c r="C424" s="1582"/>
      <c r="D424" s="1582"/>
      <c r="E424" s="1582"/>
      <c r="F424" s="1582"/>
      <c r="G424" s="1582"/>
      <c r="H424" s="1582"/>
      <c r="I424" s="1582"/>
      <c r="J424" s="1582"/>
      <c r="K424" s="1582"/>
      <c r="L424" s="169"/>
      <c r="M424" s="296"/>
      <c r="N424" s="90"/>
      <c r="O424" s="90"/>
      <c r="P424" s="90"/>
      <c r="Q424" s="90"/>
    </row>
    <row r="425" spans="1:25" s="205" customFormat="1" ht="13.5" customHeight="1" x14ac:dyDescent="0.15">
      <c r="A425" s="1558" t="s">
        <v>54</v>
      </c>
      <c r="B425" s="1582"/>
      <c r="C425" s="1582"/>
      <c r="D425" s="1582"/>
      <c r="E425" s="1582"/>
      <c r="F425" s="1582"/>
      <c r="G425" s="1582"/>
      <c r="H425" s="1582"/>
      <c r="I425" s="1582"/>
      <c r="J425" s="1582"/>
      <c r="K425" s="1582"/>
      <c r="L425" s="204"/>
      <c r="M425" s="302"/>
      <c r="N425" s="206"/>
      <c r="O425" s="206"/>
      <c r="P425" s="206"/>
      <c r="Q425" s="206"/>
    </row>
    <row r="426" spans="1:25" s="61" customFormat="1" ht="13.5" customHeight="1" x14ac:dyDescent="0.2">
      <c r="A426" s="1558" t="s">
        <v>233</v>
      </c>
      <c r="B426" s="1583"/>
      <c r="C426" s="1583"/>
      <c r="D426" s="1583"/>
      <c r="E426" s="1583"/>
      <c r="F426" s="1583"/>
      <c r="G426" s="1584"/>
      <c r="H426" s="1584"/>
      <c r="I426" s="1584"/>
      <c r="J426" s="1584"/>
      <c r="K426" s="1584"/>
      <c r="L426" s="171"/>
      <c r="M426" s="300"/>
      <c r="N426" s="73"/>
      <c r="O426" s="73"/>
      <c r="P426" s="73"/>
      <c r="Q426" s="73"/>
    </row>
    <row r="427" spans="1:25" s="61" customFormat="1" x14ac:dyDescent="0.2">
      <c r="A427" s="187"/>
      <c r="B427" s="106"/>
      <c r="C427" s="106"/>
      <c r="D427" s="106"/>
      <c r="E427" s="106"/>
      <c r="F427" s="106"/>
      <c r="G427" s="188"/>
      <c r="H427" s="188"/>
      <c r="I427" s="188"/>
      <c r="J427" s="188"/>
      <c r="K427" s="535" t="s">
        <v>1898</v>
      </c>
      <c r="L427" s="171"/>
      <c r="M427" s="303"/>
      <c r="N427" s="73"/>
      <c r="O427" s="73"/>
      <c r="P427" s="73"/>
      <c r="Q427" s="73"/>
    </row>
    <row r="428" spans="1:25" s="61" customFormat="1" ht="18.75" customHeight="1" x14ac:dyDescent="0.2">
      <c r="A428" s="135" t="s">
        <v>371</v>
      </c>
      <c r="B428" s="135"/>
      <c r="C428" s="135"/>
      <c r="D428" s="135"/>
      <c r="E428" s="135"/>
      <c r="F428" s="135"/>
      <c r="G428" s="135"/>
      <c r="H428" s="135"/>
      <c r="I428" s="135"/>
      <c r="J428" s="566"/>
      <c r="K428" s="135"/>
      <c r="L428" s="170"/>
      <c r="M428" s="296"/>
      <c r="N428" s="73"/>
      <c r="O428" s="73"/>
      <c r="P428" s="73"/>
      <c r="Q428" s="73"/>
    </row>
    <row r="429" spans="1:25" s="61" customFormat="1" ht="11.25" customHeight="1" x14ac:dyDescent="0.2">
      <c r="A429" s="135"/>
      <c r="B429" s="135"/>
      <c r="C429" s="135"/>
      <c r="D429" s="135"/>
      <c r="E429" s="135"/>
      <c r="F429" s="135"/>
      <c r="G429" s="135"/>
      <c r="H429" s="135"/>
      <c r="I429" s="135"/>
      <c r="J429" s="566"/>
      <c r="K429" s="135"/>
      <c r="L429" s="170"/>
      <c r="M429" s="296"/>
      <c r="N429" s="73"/>
      <c r="O429" s="73"/>
      <c r="P429" s="73"/>
      <c r="Q429" s="73"/>
    </row>
    <row r="430" spans="1:25" s="61" customFormat="1" ht="18.75" x14ac:dyDescent="0.2">
      <c r="A430" s="1557" t="s">
        <v>18</v>
      </c>
      <c r="B430" s="1557"/>
      <c r="C430" s="1557"/>
      <c r="D430" s="1557"/>
      <c r="E430" s="1557"/>
      <c r="F430" s="1557"/>
      <c r="G430" s="1557"/>
      <c r="H430" s="1557"/>
      <c r="I430" s="1557"/>
      <c r="J430" s="1557"/>
      <c r="K430" s="1557"/>
      <c r="L430" s="165"/>
      <c r="M430" s="296"/>
      <c r="N430" s="73"/>
      <c r="O430" s="73"/>
      <c r="P430" s="73"/>
      <c r="Q430" s="73"/>
    </row>
    <row r="431" spans="1:25" s="61" customFormat="1" ht="15.75" customHeight="1" x14ac:dyDescent="0.15">
      <c r="A431" s="1557" t="s">
        <v>1895</v>
      </c>
      <c r="B431" s="1557"/>
      <c r="C431" s="1557"/>
      <c r="D431" s="1557"/>
      <c r="E431" s="1557"/>
      <c r="F431" s="1557"/>
      <c r="G431" s="1557"/>
      <c r="H431" s="1557"/>
      <c r="I431" s="1557"/>
      <c r="J431" s="1557"/>
      <c r="K431" s="1557"/>
      <c r="L431" s="223"/>
      <c r="M431" s="305"/>
      <c r="N431" s="73"/>
      <c r="O431" s="73"/>
      <c r="P431" s="73"/>
      <c r="Q431" s="73"/>
    </row>
    <row r="432" spans="1:25" s="61" customFormat="1" ht="15.75" customHeight="1" x14ac:dyDescent="0.2">
      <c r="A432" s="91"/>
      <c r="B432" s="91"/>
      <c r="C432" s="91"/>
      <c r="D432" s="91"/>
      <c r="E432" s="91"/>
      <c r="F432" s="91"/>
      <c r="G432" s="108"/>
      <c r="H432" s="91"/>
      <c r="I432" s="91"/>
      <c r="J432" s="91"/>
      <c r="K432" s="91"/>
      <c r="L432" s="165"/>
      <c r="M432" s="296"/>
      <c r="N432" s="73"/>
      <c r="O432" s="406" t="s">
        <v>388</v>
      </c>
      <c r="P432" s="73"/>
      <c r="Y432" s="406" t="s">
        <v>411</v>
      </c>
    </row>
    <row r="433" spans="1:30" s="61" customFormat="1" ht="12" customHeight="1" x14ac:dyDescent="0.2">
      <c r="A433" s="60"/>
      <c r="B433" s="1580" t="s">
        <v>55</v>
      </c>
      <c r="C433" s="1581"/>
      <c r="D433" s="1581"/>
      <c r="E433" s="1581"/>
      <c r="F433" s="1581"/>
      <c r="G433" s="569" t="s">
        <v>119</v>
      </c>
      <c r="H433" s="570"/>
      <c r="I433" s="570"/>
      <c r="J433" s="570"/>
      <c r="K433" s="570"/>
      <c r="L433" s="173"/>
      <c r="M433" s="296"/>
      <c r="N433" s="73"/>
      <c r="O433" s="474" t="s">
        <v>384</v>
      </c>
      <c r="P433" s="474"/>
      <c r="Q433" s="475"/>
      <c r="R433" s="474" t="s">
        <v>385</v>
      </c>
      <c r="S433" s="474"/>
      <c r="T433" s="475"/>
      <c r="U433" s="474" t="s">
        <v>387</v>
      </c>
      <c r="V433" s="474"/>
      <c r="W433" s="475"/>
      <c r="Y433" s="73"/>
    </row>
    <row r="434" spans="1:30" s="6" customFormat="1" ht="48" x14ac:dyDescent="0.2">
      <c r="A434" s="50"/>
      <c r="B434" s="550" t="s">
        <v>87</v>
      </c>
      <c r="C434" s="551" t="s">
        <v>89</v>
      </c>
      <c r="D434" s="551" t="s">
        <v>88</v>
      </c>
      <c r="E434" s="551" t="s">
        <v>398</v>
      </c>
      <c r="F434" s="551" t="s">
        <v>97</v>
      </c>
      <c r="G434" s="552" t="s">
        <v>87</v>
      </c>
      <c r="H434" s="551" t="s">
        <v>89</v>
      </c>
      <c r="I434" s="551" t="s">
        <v>88</v>
      </c>
      <c r="J434" s="551" t="s">
        <v>398</v>
      </c>
      <c r="K434" s="551" t="s">
        <v>97</v>
      </c>
      <c r="L434" s="167"/>
      <c r="M434" s="298" t="s">
        <v>380</v>
      </c>
      <c r="N434" s="719" t="s">
        <v>381</v>
      </c>
      <c r="O434" s="476" t="s">
        <v>386</v>
      </c>
      <c r="P434" s="477" t="s">
        <v>383</v>
      </c>
      <c r="Q434" s="477" t="s">
        <v>97</v>
      </c>
      <c r="R434" s="476" t="s">
        <v>386</v>
      </c>
      <c r="S434" s="477" t="s">
        <v>383</v>
      </c>
      <c r="T434" s="477" t="s">
        <v>97</v>
      </c>
      <c r="U434" s="476" t="s">
        <v>386</v>
      </c>
      <c r="V434" s="477" t="s">
        <v>383</v>
      </c>
      <c r="W434" s="477" t="s">
        <v>97</v>
      </c>
      <c r="Y434" s="7"/>
      <c r="Z434" s="53" t="s">
        <v>87</v>
      </c>
      <c r="AA434" s="52" t="s">
        <v>89</v>
      </c>
      <c r="AB434" s="52" t="s">
        <v>88</v>
      </c>
      <c r="AC434" s="52" t="s">
        <v>306</v>
      </c>
      <c r="AD434" s="52" t="s">
        <v>97</v>
      </c>
    </row>
    <row r="435" spans="1:30" s="61" customFormat="1" ht="14.25" x14ac:dyDescent="0.2">
      <c r="A435" s="73" t="s">
        <v>56</v>
      </c>
      <c r="B435" s="102">
        <f>IF(M435&gt;0,('Amounts Pivot Table'!S$631/M435),0)</f>
        <v>3915.3535818112146</v>
      </c>
      <c r="C435" s="102">
        <f>IF(M435&gt;0,('Amounts Pivot Table'!S$10/M435),0)</f>
        <v>14.338774057723612</v>
      </c>
      <c r="D435" s="179">
        <f>IF(M435&gt;0,('Amounts Pivot Table'!S$637/M435),0)</f>
        <v>2.362343927437156E-2</v>
      </c>
      <c r="E435" s="102">
        <f>IF(M435&gt;0,('Amounts Pivot Table'!S$640/M435),0)</f>
        <v>2941.9967506384678</v>
      </c>
      <c r="F435" s="102">
        <f>SUM(B435:E435)</f>
        <v>6871.7127299466802</v>
      </c>
      <c r="G435" s="114"/>
      <c r="H435" s="115"/>
      <c r="I435" s="115"/>
      <c r="J435" s="115"/>
      <c r="K435" s="115"/>
      <c r="L435" s="168"/>
      <c r="M435" s="840">
        <f>+'[1]NEW-Tables 80-86'!AF191</f>
        <v>126992.51642222224</v>
      </c>
      <c r="N435" s="821">
        <f>+'[1]NEW-Tables 80-86'!AL191</f>
        <v>131640.77333333332</v>
      </c>
      <c r="O435" s="586">
        <f>+B435+C435+D435</f>
        <v>3929.7159793082124</v>
      </c>
      <c r="P435" s="587">
        <f>+E435</f>
        <v>2941.9967506384678</v>
      </c>
      <c r="Q435" s="575">
        <f>+F435</f>
        <v>6871.7127299466802</v>
      </c>
      <c r="R435" s="483">
        <f>IF($N435&gt;0,(('Amounts Pivot Table'!S$636+'Amounts Pivot Table'!S$630+'Amounts Pivot Table'!S$633)/$N435),0)</f>
        <v>3828.8545501442795</v>
      </c>
      <c r="S435" s="482">
        <f>IF($N435&gt;0,('Amounts Pivot Table'!S$639/$N435),0)</f>
        <v>2909.1781775960399</v>
      </c>
      <c r="T435" s="482">
        <f t="shared" ref="T435:T455" si="64">+S435+R435</f>
        <v>6738.0327277403194</v>
      </c>
      <c r="U435" s="576">
        <f>(O435-R435)/R435</f>
        <v>2.6342455124113331E-2</v>
      </c>
      <c r="V435" s="571">
        <f>(P435-S435)/S435</f>
        <v>1.128104606832543E-2</v>
      </c>
      <c r="W435" s="573">
        <f>(Q435-T435)/T435</f>
        <v>1.983961901164466E-2</v>
      </c>
      <c r="Y435" s="73" t="s">
        <v>56</v>
      </c>
      <c r="Z435" s="61">
        <f>B435*$M435</f>
        <v>497220604.03696734</v>
      </c>
      <c r="AA435" s="61">
        <f>C435*$M435</f>
        <v>1820917</v>
      </c>
      <c r="AB435" s="61">
        <f>D435*$M435</f>
        <v>3000</v>
      </c>
      <c r="AC435" s="61">
        <f>E435*$M435</f>
        <v>373611570.6695801</v>
      </c>
      <c r="AD435" s="61">
        <f>F435*$M435</f>
        <v>872656091.70654738</v>
      </c>
    </row>
    <row r="436" spans="1:30" s="61" customFormat="1" ht="12.75" customHeight="1" x14ac:dyDescent="0.2">
      <c r="A436" s="73"/>
      <c r="B436" s="102"/>
      <c r="C436" s="102"/>
      <c r="D436" s="102"/>
      <c r="E436" s="102"/>
      <c r="F436" s="102"/>
      <c r="G436" s="114"/>
      <c r="H436" s="115"/>
      <c r="I436" s="115"/>
      <c r="J436" s="115"/>
      <c r="K436" s="115"/>
      <c r="L436" s="168"/>
      <c r="M436" s="840"/>
      <c r="N436" s="821"/>
      <c r="O436" s="586">
        <f t="shared" ref="O436:O455" si="65">+B436+C436+D436</f>
        <v>0</v>
      </c>
      <c r="P436" s="587">
        <f t="shared" ref="P436:P455" si="66">+E436</f>
        <v>0</v>
      </c>
      <c r="Q436" s="575">
        <f t="shared" ref="Q436:Q455" si="67">+F436</f>
        <v>0</v>
      </c>
      <c r="R436" s="478"/>
      <c r="S436" s="480"/>
      <c r="T436" s="482">
        <f t="shared" si="64"/>
        <v>0</v>
      </c>
      <c r="U436" s="577"/>
      <c r="V436" s="572"/>
      <c r="W436" s="574"/>
      <c r="Y436" s="73"/>
    </row>
    <row r="437" spans="1:30" s="61" customFormat="1" ht="12.75" customHeight="1" x14ac:dyDescent="0.2">
      <c r="A437" s="73" t="s">
        <v>320</v>
      </c>
      <c r="B437" s="75">
        <f>IF($M437&gt;0,('Amounts Pivot Table'!S$7/$M437),0)</f>
        <v>7751.7332740195106</v>
      </c>
      <c r="C437" s="75">
        <f>IF($M437&gt;0,('Amounts Pivot Table'!S$10/$M437),0)</f>
        <v>565.14530162112942</v>
      </c>
      <c r="D437" s="75">
        <f>IF($M437&gt;0,('Amounts Pivot Table'!S$13/$M437),0)</f>
        <v>0.93108906384167334</v>
      </c>
      <c r="E437" s="75">
        <f>IF($M437&gt;0,('Amounts Pivot Table'!S$16/$M437),0)</f>
        <v>3933.332367759489</v>
      </c>
      <c r="F437" s="75">
        <f t="shared" ref="F437:F455" si="68">SUM(B437:E437)</f>
        <v>12251.142032463969</v>
      </c>
      <c r="G437" s="116">
        <f>IF(B437&gt;0,RANK(B437,$B$437:$B$455),)</f>
        <v>1</v>
      </c>
      <c r="H437" s="107">
        <f>IF(C437&gt;0,RANK(C437,$C$437:$C$455),)</f>
        <v>1</v>
      </c>
      <c r="I437" s="107">
        <f>IF(D437&gt;0,RANK(D437,$D$437:$D$455),)</f>
        <v>1</v>
      </c>
      <c r="J437" s="107">
        <f>IF(E437&gt;0,RANK(E437,$E$437:$E$455),)</f>
        <v>1</v>
      </c>
      <c r="K437" s="107">
        <f>IF(F437&gt;0,RANK(F437,$F$437:$F$455),)</f>
        <v>1</v>
      </c>
      <c r="L437" s="168"/>
      <c r="M437" s="840">
        <f>+'[1]NEW-Tables 80-86'!AF193</f>
        <v>3222.0333333333338</v>
      </c>
      <c r="N437" s="821">
        <f>+'[1]NEW-Tables 80-86'!AL193</f>
        <v>3451.3999999999996</v>
      </c>
      <c r="O437" s="586">
        <f t="shared" si="65"/>
        <v>8317.8096647044804</v>
      </c>
      <c r="P437" s="587">
        <f t="shared" si="66"/>
        <v>3933.332367759489</v>
      </c>
      <c r="Q437" s="575">
        <f t="shared" si="67"/>
        <v>12251.142032463969</v>
      </c>
      <c r="R437" s="483">
        <f>IF($N437&gt;0,(('Amounts Pivot Table'!S$6+'Amounts Pivot Table'!S$9+'Amounts Pivot Table'!S$12)/$N437),0)</f>
        <v>7602.2782059454139</v>
      </c>
      <c r="S437" s="482">
        <f>IF($N437&gt;0,('Amounts Pivot Table'!S$15/$N437),0)</f>
        <v>3674.6795503274038</v>
      </c>
      <c r="T437" s="482">
        <f t="shared" si="64"/>
        <v>11276.957756272817</v>
      </c>
      <c r="U437" s="578">
        <f t="shared" ref="U437:U455" si="69">(O437-R437)/R437</f>
        <v>9.412066217196316E-2</v>
      </c>
      <c r="V437" s="571">
        <f t="shared" ref="V437:V455" si="70">(P437-S437)/S437</f>
        <v>7.0387856652436506E-2</v>
      </c>
      <c r="W437" s="573">
        <f t="shared" ref="W437:W455" si="71">(Q437-T437)/T437</f>
        <v>8.6387153099803118E-2</v>
      </c>
      <c r="Y437" s="73" t="s">
        <v>320</v>
      </c>
      <c r="Z437" s="61">
        <f t="shared" ref="Z437:Z455" si="72">B437*$M437</f>
        <v>24976343</v>
      </c>
      <c r="AA437" s="61">
        <f t="shared" ref="AA437:AA455" si="73">C437*$M437</f>
        <v>1820917</v>
      </c>
      <c r="AB437" s="61">
        <f t="shared" ref="AB437:AB455" si="74">D437*$M437</f>
        <v>3000</v>
      </c>
      <c r="AC437" s="61">
        <f t="shared" ref="AC437:AC455" si="75">E437*$M437</f>
        <v>12673328</v>
      </c>
      <c r="AD437" s="61">
        <f t="shared" ref="AD437:AD455" si="76">F437*$M437</f>
        <v>39473588</v>
      </c>
    </row>
    <row r="438" spans="1:30" s="61" customFormat="1" ht="12.75" customHeight="1" x14ac:dyDescent="0.2">
      <c r="A438" s="73" t="s">
        <v>334</v>
      </c>
      <c r="B438" s="75">
        <f>IF($M438&gt;0,('Amounts Pivot Table'!S$46/$M438),0)</f>
        <v>0</v>
      </c>
      <c r="C438" s="75">
        <f>IF($M438&gt;0,('Amounts Pivot Table'!S$49/$M438),0)</f>
        <v>0</v>
      </c>
      <c r="D438" s="75">
        <f>IF($M438&gt;0,('Amounts Pivot Table'!S$52/$M438),0)</f>
        <v>0</v>
      </c>
      <c r="E438" s="75">
        <f>IF($M438&gt;0,('Amounts Pivot Table'!S$55/$M438),0)</f>
        <v>0</v>
      </c>
      <c r="F438" s="75">
        <f t="shared" si="68"/>
        <v>0</v>
      </c>
      <c r="G438" s="116">
        <f>IF(B438&gt;0,RANK(B438,$B$437:$B$455),)</f>
        <v>0</v>
      </c>
      <c r="H438" s="107">
        <f>IF(C438&gt;0,RANK(C438,$C$437:$C$455),)</f>
        <v>0</v>
      </c>
      <c r="I438" s="107">
        <f>IF(D438&gt;0,RANK(D438,$D$437:$D$455),)</f>
        <v>0</v>
      </c>
      <c r="J438" s="107">
        <f>IF(E438&gt;0,RANK(E438,$E$437:$E$455),)</f>
        <v>0</v>
      </c>
      <c r="K438" s="107">
        <f>IF(F438&gt;0,RANK(F438,$F$437:$F$455),)</f>
        <v>0</v>
      </c>
      <c r="L438" s="168"/>
      <c r="M438" s="840">
        <f>+'[1]NEW-Tables 80-86'!AF194</f>
        <v>0</v>
      </c>
      <c r="N438" s="821">
        <f>+'[1]NEW-Tables 80-86'!AL194</f>
        <v>0</v>
      </c>
      <c r="O438" s="586">
        <f t="shared" si="65"/>
        <v>0</v>
      </c>
      <c r="P438" s="587">
        <f t="shared" si="66"/>
        <v>0</v>
      </c>
      <c r="Q438" s="575">
        <f t="shared" si="67"/>
        <v>0</v>
      </c>
      <c r="R438" s="483">
        <f>IF($N438&gt;0,(('Amounts Pivot Table'!S$45+'Amounts Pivot Table'!S$48++'Amounts Pivot Table'!S$51)/$N438),0)</f>
        <v>0</v>
      </c>
      <c r="S438" s="482">
        <f>IF($N438&gt;0,('Amounts Pivot Table'!S$54/$N438),0)</f>
        <v>0</v>
      </c>
      <c r="T438" s="482">
        <f t="shared" si="64"/>
        <v>0</v>
      </c>
      <c r="U438" s="578" t="e">
        <f t="shared" si="69"/>
        <v>#DIV/0!</v>
      </c>
      <c r="V438" s="571" t="e">
        <f t="shared" si="70"/>
        <v>#DIV/0!</v>
      </c>
      <c r="W438" s="573" t="e">
        <f t="shared" si="71"/>
        <v>#DIV/0!</v>
      </c>
      <c r="Y438" s="73" t="s">
        <v>334</v>
      </c>
      <c r="Z438" s="61">
        <f t="shared" si="72"/>
        <v>0</v>
      </c>
      <c r="AA438" s="61">
        <f t="shared" si="73"/>
        <v>0</v>
      </c>
      <c r="AB438" s="61">
        <f t="shared" si="74"/>
        <v>0</v>
      </c>
      <c r="AC438" s="61">
        <f t="shared" si="75"/>
        <v>0</v>
      </c>
      <c r="AD438" s="61">
        <f t="shared" si="76"/>
        <v>0</v>
      </c>
    </row>
    <row r="439" spans="1:30" s="61" customFormat="1" ht="12.75" customHeight="1" x14ac:dyDescent="0.2">
      <c r="A439" s="73" t="s">
        <v>321</v>
      </c>
      <c r="B439" s="75">
        <f>IF($M439&gt;0,('Amounts Pivot Table'!S$85/$M439),0)</f>
        <v>0</v>
      </c>
      <c r="C439" s="75">
        <f>IF($M439&gt;0,('Amounts Pivot Table'!S$88/$M439),0)</f>
        <v>0</v>
      </c>
      <c r="D439" s="75">
        <f>IF($M439&gt;0,('Amounts Pivot Table'!S$91/$M439),0)</f>
        <v>0</v>
      </c>
      <c r="E439" s="75">
        <f>IF($M439&gt;0,('Amounts Pivot Table'!S$94/$M439),0)</f>
        <v>0</v>
      </c>
      <c r="F439" s="75">
        <f t="shared" si="68"/>
        <v>0</v>
      </c>
      <c r="G439" s="116">
        <f>IF(B439&gt;0,RANK(B439,$B$437:$B$455),)</f>
        <v>0</v>
      </c>
      <c r="H439" s="107">
        <f>IF(C439&gt;0,RANK(C439,$C$437:$C$455),)</f>
        <v>0</v>
      </c>
      <c r="I439" s="107">
        <f>IF(D439&gt;0,RANK(D439,$D$437:$D$455),)</f>
        <v>0</v>
      </c>
      <c r="J439" s="107">
        <f>IF(E439&gt;0,RANK(E439,$E$437:$E$455),)</f>
        <v>0</v>
      </c>
      <c r="K439" s="107">
        <f>IF(F439&gt;0,RANK(F439,$F$437:$F$455),)</f>
        <v>0</v>
      </c>
      <c r="L439" s="168"/>
      <c r="M439" s="840">
        <f>+'[1]NEW-Tables 80-86'!AF195</f>
        <v>0</v>
      </c>
      <c r="N439" s="821">
        <f>+'[1]NEW-Tables 80-86'!AL195</f>
        <v>0</v>
      </c>
      <c r="O439" s="586">
        <f t="shared" si="65"/>
        <v>0</v>
      </c>
      <c r="P439" s="587">
        <f t="shared" si="66"/>
        <v>0</v>
      </c>
      <c r="Q439" s="575">
        <f t="shared" si="67"/>
        <v>0</v>
      </c>
      <c r="R439" s="483">
        <f>IF($N439&gt;0,(('Amounts Pivot Table'!S$84+'Amounts Pivot Table'!S$87++'Amounts Pivot Table'!S$90)/$N439),0)</f>
        <v>0</v>
      </c>
      <c r="S439" s="482">
        <f>IF($N439&gt;0,('Amounts Pivot Table'!S$93/$N439),0)</f>
        <v>0</v>
      </c>
      <c r="T439" s="482">
        <f t="shared" si="64"/>
        <v>0</v>
      </c>
      <c r="U439" s="578" t="e">
        <f t="shared" si="69"/>
        <v>#DIV/0!</v>
      </c>
      <c r="V439" s="571" t="e">
        <f t="shared" si="70"/>
        <v>#DIV/0!</v>
      </c>
      <c r="W439" s="573" t="e">
        <f t="shared" si="71"/>
        <v>#DIV/0!</v>
      </c>
      <c r="Y439" s="73" t="s">
        <v>321</v>
      </c>
      <c r="Z439" s="61">
        <f t="shared" si="72"/>
        <v>0</v>
      </c>
      <c r="AA439" s="61">
        <f t="shared" si="73"/>
        <v>0</v>
      </c>
      <c r="AB439" s="61">
        <f t="shared" si="74"/>
        <v>0</v>
      </c>
      <c r="AC439" s="61">
        <f t="shared" si="75"/>
        <v>0</v>
      </c>
      <c r="AD439" s="61">
        <f t="shared" si="76"/>
        <v>0</v>
      </c>
    </row>
    <row r="440" spans="1:30" s="61" customFormat="1" ht="12.75" customHeight="1" x14ac:dyDescent="0.2">
      <c r="A440" s="73" t="s">
        <v>328</v>
      </c>
      <c r="B440" s="75">
        <f>IF($M440&gt;0,('Amounts Pivot Table'!S$124/$M440),0)</f>
        <v>0</v>
      </c>
      <c r="C440" s="75">
        <f>IF($M440&gt;0,('Amounts Pivot Table'!S$127/$M440),0)</f>
        <v>0</v>
      </c>
      <c r="D440" s="75">
        <f>IF($M440&gt;0,('Amounts Pivot Table'!S$130/$M440),0)</f>
        <v>0</v>
      </c>
      <c r="E440" s="75">
        <f>IF($M440&gt;0,('Amounts Pivot Table'!S$133/$M440),0)</f>
        <v>0</v>
      </c>
      <c r="F440" s="75">
        <f t="shared" si="68"/>
        <v>0</v>
      </c>
      <c r="G440" s="116">
        <f>IF(B440&gt;0,RANK(B440,$B$437:$B$455),)</f>
        <v>0</v>
      </c>
      <c r="H440" s="107">
        <f>IF(C440&gt;0,RANK(C440,$C$437:$C$455),)</f>
        <v>0</v>
      </c>
      <c r="I440" s="107">
        <f>IF(D440&gt;0,RANK(D440,$D$437:$D$455),)</f>
        <v>0</v>
      </c>
      <c r="J440" s="107">
        <f>IF(E440&gt;0,RANK(E440,$E$437:$E$455),)</f>
        <v>0</v>
      </c>
      <c r="K440" s="107">
        <f>IF(F440&gt;0,RANK(F440,$F$437:$F$455),)</f>
        <v>0</v>
      </c>
      <c r="L440" s="168"/>
      <c r="M440" s="840">
        <f>+'[1]NEW-Tables 80-86'!AF196</f>
        <v>0</v>
      </c>
      <c r="N440" s="821">
        <f>+'[1]NEW-Tables 80-86'!AL196</f>
        <v>0</v>
      </c>
      <c r="O440" s="586">
        <f t="shared" si="65"/>
        <v>0</v>
      </c>
      <c r="P440" s="587">
        <f t="shared" si="66"/>
        <v>0</v>
      </c>
      <c r="Q440" s="575">
        <f t="shared" si="67"/>
        <v>0</v>
      </c>
      <c r="R440" s="483">
        <f>IF($N440&gt;0,(('Amounts Pivot Table'!S$123+'Amounts Pivot Table'!S$126++'Amounts Pivot Table'!S$129)/$N440),0)</f>
        <v>0</v>
      </c>
      <c r="S440" s="482">
        <f>IF($N440&gt;0,('Amounts Pivot Table'!S$132/$N440),0)</f>
        <v>0</v>
      </c>
      <c r="T440" s="482">
        <f t="shared" si="64"/>
        <v>0</v>
      </c>
      <c r="U440" s="578" t="e">
        <f t="shared" si="69"/>
        <v>#DIV/0!</v>
      </c>
      <c r="V440" s="571" t="e">
        <f t="shared" si="70"/>
        <v>#DIV/0!</v>
      </c>
      <c r="W440" s="573" t="e">
        <f t="shared" si="71"/>
        <v>#DIV/0!</v>
      </c>
      <c r="Y440" s="73" t="s">
        <v>328</v>
      </c>
      <c r="Z440" s="61">
        <f t="shared" si="72"/>
        <v>0</v>
      </c>
      <c r="AA440" s="61">
        <f t="shared" si="73"/>
        <v>0</v>
      </c>
      <c r="AB440" s="61">
        <f t="shared" si="74"/>
        <v>0</v>
      </c>
      <c r="AC440" s="61">
        <f t="shared" si="75"/>
        <v>0</v>
      </c>
      <c r="AD440" s="61">
        <f t="shared" si="76"/>
        <v>0</v>
      </c>
    </row>
    <row r="441" spans="1:30" s="61" customFormat="1" ht="12.75" customHeight="1" x14ac:dyDescent="0.2">
      <c r="A441" s="73"/>
      <c r="B441" s="75"/>
      <c r="C441" s="75"/>
      <c r="D441" s="75"/>
      <c r="E441" s="75"/>
      <c r="F441" s="75"/>
      <c r="G441" s="116"/>
      <c r="H441" s="107"/>
      <c r="I441" s="107"/>
      <c r="J441" s="107"/>
      <c r="K441" s="107"/>
      <c r="L441" s="168"/>
      <c r="M441" s="840"/>
      <c r="N441" s="821"/>
      <c r="O441" s="586"/>
      <c r="P441" s="587"/>
      <c r="Q441" s="575"/>
      <c r="R441" s="483"/>
      <c r="S441" s="482"/>
      <c r="T441" s="482"/>
      <c r="U441" s="578"/>
      <c r="V441" s="571"/>
      <c r="W441" s="573"/>
      <c r="Y441" s="73"/>
    </row>
    <row r="442" spans="1:30" s="61" customFormat="1" ht="12.75" customHeight="1" x14ac:dyDescent="0.2">
      <c r="A442" s="73" t="s">
        <v>329</v>
      </c>
      <c r="B442" s="75">
        <f>IF($M442&gt;0,('Amounts Pivot Table'!S$163/$M442),0)</f>
        <v>3399.5429175971703</v>
      </c>
      <c r="C442" s="75">
        <f>IF($M442&gt;0,('Amounts Pivot Table'!S$166/$M442),0)</f>
        <v>0</v>
      </c>
      <c r="D442" s="75">
        <f>IF($M442&gt;0,('Amounts Pivot Table'!S$169/$M442),0)</f>
        <v>0</v>
      </c>
      <c r="E442" s="75">
        <f>IF($M442&gt;0,('Amounts Pivot Table'!S$172/$M442),0)</f>
        <v>3359.7059680083598</v>
      </c>
      <c r="F442" s="75">
        <f t="shared" si="68"/>
        <v>6759.2488856055297</v>
      </c>
      <c r="G442" s="116">
        <f>IF(B442&gt;0,RANK(B442,$B$437:$B$455),)</f>
        <v>4</v>
      </c>
      <c r="H442" s="107">
        <f>IF(C442&gt;0,RANK(C442,$C$437:$C$455),)</f>
        <v>0</v>
      </c>
      <c r="I442" s="107">
        <f>IF(D442&gt;0,RANK(D442,$D$437:$D$455),)</f>
        <v>0</v>
      </c>
      <c r="J442" s="107">
        <f>IF(E442&gt;0,RANK(E442,$E$437:$E$455),)</f>
        <v>3</v>
      </c>
      <c r="K442" s="121">
        <f>IF(F442&gt;0,RANK(F442,$F$437:$F$455),)</f>
        <v>3</v>
      </c>
      <c r="L442" s="168"/>
      <c r="M442" s="840">
        <f>+'[1]NEW-Tables 80-86'!AF198</f>
        <v>76720.666666666672</v>
      </c>
      <c r="N442" s="821">
        <f>+'[1]NEW-Tables 80-86'!AL198</f>
        <v>77975.723333333342</v>
      </c>
      <c r="O442" s="586">
        <f t="shared" si="65"/>
        <v>3399.5429175971703</v>
      </c>
      <c r="P442" s="587">
        <f t="shared" si="66"/>
        <v>3359.7059680083598</v>
      </c>
      <c r="Q442" s="575">
        <f t="shared" si="67"/>
        <v>6759.2488856055297</v>
      </c>
      <c r="R442" s="483">
        <f>IF($N442&gt;0,(('Amounts Pivot Table'!S$162+'Amounts Pivot Table'!S$165+'Amounts Pivot Table'!S$168)/$N442),0)</f>
        <v>3440.4330563653639</v>
      </c>
      <c r="S442" s="482">
        <f>IF($N442&gt;0,('Amounts Pivot Table'!S$171/$N442),0)</f>
        <v>3373.8060234285736</v>
      </c>
      <c r="T442" s="482">
        <f t="shared" si="64"/>
        <v>6814.239079793937</v>
      </c>
      <c r="U442" s="578">
        <f t="shared" si="69"/>
        <v>-1.1885172040345355E-2</v>
      </c>
      <c r="V442" s="571">
        <f t="shared" si="70"/>
        <v>-4.179272703379899E-3</v>
      </c>
      <c r="W442" s="573">
        <f t="shared" si="71"/>
        <v>-8.0698950454303944E-3</v>
      </c>
      <c r="Y442" s="73" t="s">
        <v>329</v>
      </c>
      <c r="Z442" s="61">
        <f t="shared" si="72"/>
        <v>260815199</v>
      </c>
      <c r="AA442" s="61">
        <f t="shared" si="73"/>
        <v>0</v>
      </c>
      <c r="AB442" s="61">
        <f t="shared" si="74"/>
        <v>0</v>
      </c>
      <c r="AC442" s="61">
        <f t="shared" si="75"/>
        <v>257758881.66958004</v>
      </c>
      <c r="AD442" s="61">
        <f t="shared" si="76"/>
        <v>518574080.66957998</v>
      </c>
    </row>
    <row r="443" spans="1:30" s="61" customFormat="1" ht="12.75" customHeight="1" x14ac:dyDescent="0.2">
      <c r="A443" s="73" t="s">
        <v>322</v>
      </c>
      <c r="B443" s="75">
        <f>IF($M443&gt;0,('Amounts Pivot Table'!S$202/$M443),0)</f>
        <v>2834.2486864850416</v>
      </c>
      <c r="C443" s="75">
        <f>IF($M443&gt;0,('Amounts Pivot Table'!S$205/$M443),0)</f>
        <v>0</v>
      </c>
      <c r="D443" s="75">
        <f>IF($M443&gt;0,('Amounts Pivot Table'!S$208/$M443),0)</f>
        <v>0</v>
      </c>
      <c r="E443" s="75">
        <f>IF($M443&gt;0,('Amounts Pivot Table'!S$211/$M443),0)</f>
        <v>3692.6281336011307</v>
      </c>
      <c r="F443" s="75">
        <f t="shared" si="68"/>
        <v>6526.8768200861723</v>
      </c>
      <c r="G443" s="116">
        <f>IF(B443&gt;0,RANK(B443,$B$437:$B$455),)</f>
        <v>6</v>
      </c>
      <c r="H443" s="107">
        <f>IF(C443&gt;0,RANK(C443,$C$437:$C$455),)</f>
        <v>0</v>
      </c>
      <c r="I443" s="107">
        <f>IF(D443&gt;0,RANK(D443,$D$437:$D$455),)</f>
        <v>0</v>
      </c>
      <c r="J443" s="107">
        <f>IF(E443&gt;0,RANK(E443,$E$437:$E$455),)</f>
        <v>2</v>
      </c>
      <c r="K443" s="107">
        <f>IF(F443&gt;0,RANK(F443,$F$437:$F$455),)</f>
        <v>4</v>
      </c>
      <c r="L443" s="168"/>
      <c r="M443" s="840">
        <f>+'[1]NEW-Tables 80-86'!AF199</f>
        <v>5377.2</v>
      </c>
      <c r="N443" s="821">
        <f>+'[1]NEW-Tables 80-86'!AL199</f>
        <v>5047.0666666666666</v>
      </c>
      <c r="O443" s="586">
        <f t="shared" si="65"/>
        <v>2834.2486864850416</v>
      </c>
      <c r="P443" s="587">
        <f t="shared" si="66"/>
        <v>3692.6281336011307</v>
      </c>
      <c r="Q443" s="575">
        <f t="shared" si="67"/>
        <v>6526.8768200861723</v>
      </c>
      <c r="R443" s="483">
        <f>IF($N443&gt;0,(('Amounts Pivot Table'!S$201+'Amounts Pivot Table'!S$204++'Amounts Pivot Table'!S$207)/$N443),0)</f>
        <v>3018.0290489218105</v>
      </c>
      <c r="S443" s="482">
        <f>IF($N443&gt;0,('Amounts Pivot Table'!S$210/$N443),0)</f>
        <v>4448.3264206271633</v>
      </c>
      <c r="T443" s="482">
        <f t="shared" si="64"/>
        <v>7466.3554695489738</v>
      </c>
      <c r="U443" s="578">
        <f t="shared" si="69"/>
        <v>-6.0894166178560916E-2</v>
      </c>
      <c r="V443" s="571">
        <f t="shared" si="70"/>
        <v>-0.16988373054679917</v>
      </c>
      <c r="W443" s="573">
        <f t="shared" si="71"/>
        <v>-0.12582827770448402</v>
      </c>
      <c r="Y443" s="73" t="s">
        <v>322</v>
      </c>
      <c r="Z443" s="61">
        <f t="shared" si="72"/>
        <v>15240322.036967365</v>
      </c>
      <c r="AA443" s="61">
        <f t="shared" si="73"/>
        <v>0</v>
      </c>
      <c r="AB443" s="61">
        <f t="shared" si="74"/>
        <v>0</v>
      </c>
      <c r="AC443" s="61">
        <f t="shared" si="75"/>
        <v>19856000</v>
      </c>
      <c r="AD443" s="61">
        <f t="shared" si="76"/>
        <v>35096322.036967367</v>
      </c>
    </row>
    <row r="444" spans="1:30" s="61" customFormat="1" ht="12.75" customHeight="1" x14ac:dyDescent="0.2">
      <c r="A444" s="73" t="s">
        <v>330</v>
      </c>
      <c r="B444" s="75">
        <f>IF($M444&gt;0,('Amounts Pivot Table'!S$241/$M444),0)</f>
        <v>2999.2267964629259</v>
      </c>
      <c r="C444" s="75">
        <f>IF($M444&gt;0,('Amounts Pivot Table'!S$244/$M444),0)</f>
        <v>0</v>
      </c>
      <c r="D444" s="75">
        <f>IF($M444&gt;0,('Amounts Pivot Table'!S$247/$M444),0)</f>
        <v>0</v>
      </c>
      <c r="E444" s="75">
        <f>IF($M444&gt;0,('Amounts Pivot Table'!S$250/$M444),0)</f>
        <v>2549.7899674667706</v>
      </c>
      <c r="F444" s="75">
        <f t="shared" si="68"/>
        <v>5549.016763929696</v>
      </c>
      <c r="G444" s="116">
        <f>IF(B444&gt;0,RANK(B444,$B$437:$B$455),)</f>
        <v>5</v>
      </c>
      <c r="H444" s="107">
        <f>IF(C444&gt;0,RANK(C444,$C$437:$C$455),)</f>
        <v>0</v>
      </c>
      <c r="I444" s="107">
        <f>IF(D444&gt;0,RANK(D444,$D$437:$D$455),)</f>
        <v>0</v>
      </c>
      <c r="J444" s="107">
        <f>IF(E444&gt;0,RANK(E444,$E$437:$E$455),)</f>
        <v>4</v>
      </c>
      <c r="K444" s="107">
        <f>IF(F444&gt;0,RANK(F444,$F$437:$F$455),)</f>
        <v>6</v>
      </c>
      <c r="L444" s="168"/>
      <c r="M444" s="840">
        <f>+'[1]NEW-Tables 80-86'!AF200</f>
        <v>10429.336666666668</v>
      </c>
      <c r="N444" s="821">
        <f>+'[1]NEW-Tables 80-86'!AL200</f>
        <v>13854.743333333334</v>
      </c>
      <c r="O444" s="586">
        <f t="shared" si="65"/>
        <v>2999.2267964629259</v>
      </c>
      <c r="P444" s="587">
        <f t="shared" si="66"/>
        <v>2549.7899674667706</v>
      </c>
      <c r="Q444" s="575">
        <f t="shared" si="67"/>
        <v>5549.016763929696</v>
      </c>
      <c r="R444" s="483">
        <f>IF($N444&gt;0,(('Amounts Pivot Table'!S$240+'Amounts Pivot Table'!S$243++'Amounts Pivot Table'!S$247)/$N444),0)</f>
        <v>2876.2680795482074</v>
      </c>
      <c r="S444" s="482">
        <f>IF($N444&gt;0,('Amounts Pivot Table'!S$249/$N444),0)</f>
        <v>1999.1634874506276</v>
      </c>
      <c r="T444" s="482">
        <f t="shared" si="64"/>
        <v>4875.4315669988355</v>
      </c>
      <c r="U444" s="578">
        <f t="shared" si="69"/>
        <v>4.2749393837459106E-2</v>
      </c>
      <c r="V444" s="571">
        <f t="shared" si="70"/>
        <v>0.27542843968119518</v>
      </c>
      <c r="W444" s="573">
        <f t="shared" si="71"/>
        <v>0.13815909169770149</v>
      </c>
      <c r="Y444" s="73" t="s">
        <v>330</v>
      </c>
      <c r="Z444" s="61">
        <f t="shared" si="72"/>
        <v>31279946</v>
      </c>
      <c r="AA444" s="61">
        <f t="shared" si="73"/>
        <v>0</v>
      </c>
      <c r="AB444" s="61">
        <f t="shared" si="74"/>
        <v>0</v>
      </c>
      <c r="AC444" s="61">
        <f t="shared" si="75"/>
        <v>26592618</v>
      </c>
      <c r="AD444" s="61">
        <f t="shared" si="76"/>
        <v>57872564</v>
      </c>
    </row>
    <row r="445" spans="1:30" s="61" customFormat="1" ht="12.75" customHeight="1" x14ac:dyDescent="0.2">
      <c r="A445" s="73" t="s">
        <v>333</v>
      </c>
      <c r="B445" s="75">
        <f>IF($M445&gt;0,('Amounts Pivot Table'!S$280/$M445),0)</f>
        <v>0</v>
      </c>
      <c r="C445" s="75">
        <f>IF($M445&gt;0,('Amounts Pivot Table'!S$283/$M445),0)</f>
        <v>0</v>
      </c>
      <c r="D445" s="75">
        <f>IF($M445&gt;0,('Amounts Pivot Table'!S$286/$M445),0)</f>
        <v>0</v>
      </c>
      <c r="E445" s="75">
        <f>IF($M445&gt;0,('Amounts Pivot Table'!S$289/$M445),0)</f>
        <v>0</v>
      </c>
      <c r="F445" s="75">
        <f t="shared" si="68"/>
        <v>0</v>
      </c>
      <c r="G445" s="116">
        <f>IF(B445&gt;0,RANK(B445,$B$437:$B$455),)</f>
        <v>0</v>
      </c>
      <c r="H445" s="107">
        <f>IF(C445&gt;0,RANK(C445,$C$437:$C$455),)</f>
        <v>0</v>
      </c>
      <c r="I445" s="107">
        <f>IF(D445&gt;0,RANK(D445,$D$437:$D$455),)</f>
        <v>0</v>
      </c>
      <c r="J445" s="107">
        <f>IF(E445&gt;0,RANK(E445,$E$437:$E$455),)</f>
        <v>0</v>
      </c>
      <c r="K445" s="107">
        <f>IF(F445&gt;0,RANK(F445,$F$437:$F$455),)</f>
        <v>0</v>
      </c>
      <c r="L445" s="168"/>
      <c r="M445" s="840">
        <f>+'[1]NEW-Tables 80-86'!AF201</f>
        <v>0</v>
      </c>
      <c r="N445" s="821">
        <f>+'[1]NEW-Tables 80-86'!AL201</f>
        <v>0</v>
      </c>
      <c r="O445" s="586">
        <f t="shared" si="65"/>
        <v>0</v>
      </c>
      <c r="P445" s="587">
        <f t="shared" si="66"/>
        <v>0</v>
      </c>
      <c r="Q445" s="575">
        <f t="shared" si="67"/>
        <v>0</v>
      </c>
      <c r="R445" s="483">
        <f>IF($N445&gt;0,(('Amounts Pivot Table'!S$279+'Amounts Pivot Table'!S$282++'Amounts Pivot Table'!S$285)/$N445),0)</f>
        <v>0</v>
      </c>
      <c r="S445" s="482">
        <f>IF($N445&gt;0,('Amounts Pivot Table'!S$288/$N445),0)</f>
        <v>0</v>
      </c>
      <c r="T445" s="482">
        <f t="shared" si="64"/>
        <v>0</v>
      </c>
      <c r="U445" s="578" t="e">
        <f t="shared" si="69"/>
        <v>#DIV/0!</v>
      </c>
      <c r="V445" s="571" t="e">
        <f t="shared" si="70"/>
        <v>#DIV/0!</v>
      </c>
      <c r="W445" s="573" t="e">
        <f t="shared" si="71"/>
        <v>#DIV/0!</v>
      </c>
      <c r="Y445" s="73" t="s">
        <v>333</v>
      </c>
      <c r="Z445" s="61">
        <f t="shared" si="72"/>
        <v>0</v>
      </c>
      <c r="AA445" s="61">
        <f t="shared" si="73"/>
        <v>0</v>
      </c>
      <c r="AB445" s="61">
        <f t="shared" si="74"/>
        <v>0</v>
      </c>
      <c r="AC445" s="61">
        <f t="shared" si="75"/>
        <v>0</v>
      </c>
      <c r="AD445" s="61">
        <f t="shared" si="76"/>
        <v>0</v>
      </c>
    </row>
    <row r="446" spans="1:30" s="61" customFormat="1" ht="12.75" customHeight="1" x14ac:dyDescent="0.2">
      <c r="A446" s="73"/>
      <c r="B446" s="75"/>
      <c r="C446" s="75"/>
      <c r="D446" s="75"/>
      <c r="E446" s="75"/>
      <c r="F446" s="75"/>
      <c r="G446" s="116"/>
      <c r="H446" s="107"/>
      <c r="I446" s="107"/>
      <c r="J446" s="107"/>
      <c r="K446" s="107"/>
      <c r="L446" s="168"/>
      <c r="M446" s="840"/>
      <c r="N446" s="821"/>
      <c r="O446" s="586"/>
      <c r="P446" s="587"/>
      <c r="Q446" s="575"/>
      <c r="R446" s="483"/>
      <c r="S446" s="482"/>
      <c r="T446" s="482"/>
      <c r="U446" s="578"/>
      <c r="V446" s="571"/>
      <c r="W446" s="573"/>
      <c r="Y446" s="73"/>
    </row>
    <row r="447" spans="1:30" s="61" customFormat="1" ht="12.75" customHeight="1" x14ac:dyDescent="0.2">
      <c r="A447" s="73" t="s">
        <v>323</v>
      </c>
      <c r="B447" s="75">
        <f>IF($M447&gt;0,('Amounts Pivot Table'!S$319/$M447),0)</f>
        <v>0</v>
      </c>
      <c r="C447" s="75">
        <f>IF($M447&gt;0,('Amounts Pivot Table'!S$322/$M447),0)</f>
        <v>0</v>
      </c>
      <c r="D447" s="75">
        <f>IF($M447&gt;0,('Amounts Pivot Table'!S$325/$M447),0)</f>
        <v>0</v>
      </c>
      <c r="E447" s="75">
        <f>IF($M447&gt;0,('Amounts Pivot Table'!S$328/$M447),0)</f>
        <v>0</v>
      </c>
      <c r="F447" s="75">
        <f t="shared" si="68"/>
        <v>0</v>
      </c>
      <c r="G447" s="116">
        <f>IF(B447&gt;0,RANK(B447,$B$437:$B$455),)</f>
        <v>0</v>
      </c>
      <c r="H447" s="107">
        <f>IF(C447&gt;0,RANK(C447,$C$437:$C$455),)</f>
        <v>0</v>
      </c>
      <c r="I447" s="107">
        <f>IF(D447&gt;0,RANK(D447,$D$437:$D$455),)</f>
        <v>0</v>
      </c>
      <c r="J447" s="107">
        <f>IF(E447&gt;0,RANK(E447,$E$437:$E$455),)</f>
        <v>0</v>
      </c>
      <c r="K447" s="107">
        <f>IF(F447&gt;0,RANK(F447,$F$437:$F$455),)</f>
        <v>0</v>
      </c>
      <c r="L447" s="168"/>
      <c r="M447" s="840">
        <f>+'[1]NEW-Tables 80-86'!AF203</f>
        <v>0</v>
      </c>
      <c r="N447" s="821">
        <f>+'[1]NEW-Tables 80-86'!AL203</f>
        <v>0</v>
      </c>
      <c r="O447" s="586">
        <f t="shared" si="65"/>
        <v>0</v>
      </c>
      <c r="P447" s="587">
        <f t="shared" si="66"/>
        <v>0</v>
      </c>
      <c r="Q447" s="575">
        <f t="shared" si="67"/>
        <v>0</v>
      </c>
      <c r="R447" s="483">
        <f>IF($N447&gt;0,(('Amounts Pivot Table'!S$318+'Amounts Pivot Table'!S$321++'Amounts Pivot Table'!S$324)/$N447),0)</f>
        <v>0</v>
      </c>
      <c r="S447" s="482">
        <f>IF($N447&gt;0,('Amounts Pivot Table'!S$327/$N447),0)</f>
        <v>0</v>
      </c>
      <c r="T447" s="482">
        <f t="shared" si="64"/>
        <v>0</v>
      </c>
      <c r="U447" s="578" t="e">
        <f t="shared" si="69"/>
        <v>#DIV/0!</v>
      </c>
      <c r="V447" s="571" t="e">
        <f t="shared" si="70"/>
        <v>#DIV/0!</v>
      </c>
      <c r="W447" s="573" t="e">
        <f t="shared" si="71"/>
        <v>#DIV/0!</v>
      </c>
      <c r="Y447" s="73" t="s">
        <v>323</v>
      </c>
      <c r="Z447" s="61">
        <f t="shared" si="72"/>
        <v>0</v>
      </c>
      <c r="AA447" s="61">
        <f t="shared" si="73"/>
        <v>0</v>
      </c>
      <c r="AB447" s="61">
        <f t="shared" si="74"/>
        <v>0</v>
      </c>
      <c r="AC447" s="61">
        <f t="shared" si="75"/>
        <v>0</v>
      </c>
      <c r="AD447" s="61">
        <f t="shared" si="76"/>
        <v>0</v>
      </c>
    </row>
    <row r="448" spans="1:30" s="61" customFormat="1" ht="12.75" customHeight="1" x14ac:dyDescent="0.2">
      <c r="A448" s="73" t="s">
        <v>324</v>
      </c>
      <c r="B448" s="75">
        <f>IF($M448&gt;0,('Amounts Pivot Table'!S$358/$M448),0)</f>
        <v>0</v>
      </c>
      <c r="C448" s="75">
        <f>IF($M448&gt;0,('Amounts Pivot Table'!S$361/$M448),0)</f>
        <v>0</v>
      </c>
      <c r="D448" s="75">
        <f>IF($M448&gt;0,('Amounts Pivot Table'!S$364/$M448),0)</f>
        <v>0</v>
      </c>
      <c r="E448" s="75">
        <f>IF($M448&gt;0,('Amounts Pivot Table'!S$367/$M448),0)</f>
        <v>0</v>
      </c>
      <c r="F448" s="75">
        <f t="shared" si="68"/>
        <v>0</v>
      </c>
      <c r="G448" s="116">
        <f>IF(B448&gt;0,RANK(B448,$B$437:$B$455),)</f>
        <v>0</v>
      </c>
      <c r="H448" s="107">
        <f>IF(C448&gt;0,RANK(C448,$C$437:$C$455),)</f>
        <v>0</v>
      </c>
      <c r="I448" s="107">
        <f>IF(D448&gt;0,RANK(D448,$D$437:$D$455),)</f>
        <v>0</v>
      </c>
      <c r="J448" s="107">
        <f>IF(E448&gt;0,RANK(E448,$E$437:$E$455),)</f>
        <v>0</v>
      </c>
      <c r="K448" s="107">
        <f>IF(F448&gt;0,RANK(F448,$F$437:$F$455),)</f>
        <v>0</v>
      </c>
      <c r="L448" s="168"/>
      <c r="M448" s="840">
        <f>+'[1]NEW-Tables 80-86'!AF204</f>
        <v>0</v>
      </c>
      <c r="N448" s="821">
        <f>+'[1]NEW-Tables 80-86'!AL204</f>
        <v>0</v>
      </c>
      <c r="O448" s="586">
        <f t="shared" si="65"/>
        <v>0</v>
      </c>
      <c r="P448" s="587">
        <f t="shared" si="66"/>
        <v>0</v>
      </c>
      <c r="Q448" s="575">
        <f t="shared" si="67"/>
        <v>0</v>
      </c>
      <c r="R448" s="483">
        <f>IF($N448&gt;0,(('Amounts Pivot Table'!S$357+'Amounts Pivot Table'!S$360+'Amounts Pivot Table'!S$363)/$N448),0)</f>
        <v>0</v>
      </c>
      <c r="S448" s="482">
        <f>IF($N448&gt;0,('Amounts Pivot Table'!S$366/$N448),0)</f>
        <v>0</v>
      </c>
      <c r="T448" s="482">
        <f t="shared" si="64"/>
        <v>0</v>
      </c>
      <c r="U448" s="578" t="e">
        <f t="shared" si="69"/>
        <v>#DIV/0!</v>
      </c>
      <c r="V448" s="571" t="e">
        <f t="shared" si="70"/>
        <v>#DIV/0!</v>
      </c>
      <c r="W448" s="573" t="e">
        <f t="shared" si="71"/>
        <v>#DIV/0!</v>
      </c>
      <c r="Y448" s="73" t="s">
        <v>324</v>
      </c>
      <c r="Z448" s="61">
        <f t="shared" si="72"/>
        <v>0</v>
      </c>
      <c r="AA448" s="61">
        <f t="shared" si="73"/>
        <v>0</v>
      </c>
      <c r="AB448" s="61">
        <f t="shared" si="74"/>
        <v>0</v>
      </c>
      <c r="AC448" s="61">
        <f t="shared" si="75"/>
        <v>0</v>
      </c>
      <c r="AD448" s="61">
        <f t="shared" si="76"/>
        <v>0</v>
      </c>
    </row>
    <row r="449" spans="1:30" s="61" customFormat="1" ht="12.75" customHeight="1" x14ac:dyDescent="0.2">
      <c r="A449" s="73" t="s">
        <v>331</v>
      </c>
      <c r="B449" s="75">
        <f>IF($M449&gt;0,('Amounts Pivot Table'!S$397/$M449),0)</f>
        <v>4992.4391090050012</v>
      </c>
      <c r="C449" s="75">
        <f>IF($M449&gt;0,('Amounts Pivot Table'!S$400/$M449),0)</f>
        <v>0</v>
      </c>
      <c r="D449" s="75">
        <f>IF($M449&gt;0,('Amounts Pivot Table'!S$403/$M449),0)</f>
        <v>0</v>
      </c>
      <c r="E449" s="75">
        <f>IF($M449&gt;0,('Amounts Pivot Table'!S$406/$M449),0)</f>
        <v>1402.702744792751</v>
      </c>
      <c r="F449" s="75">
        <f t="shared" si="68"/>
        <v>6395.1418537977524</v>
      </c>
      <c r="G449" s="116">
        <f>IF(B449&gt;0,RANK(B449,$B$437:$B$455),)</f>
        <v>3</v>
      </c>
      <c r="H449" s="107">
        <f>IF(C449&gt;0,RANK(C449,$C$437:$C$455),)</f>
        <v>0</v>
      </c>
      <c r="I449" s="107">
        <f>IF(D449&gt;0,RANK(D449,$D$437:$D$455),)</f>
        <v>0</v>
      </c>
      <c r="J449" s="107">
        <f>IF(E449&gt;0,RANK(E449,$E$437:$E$455),)</f>
        <v>6</v>
      </c>
      <c r="K449" s="107">
        <f>IF(F449&gt;0,RANK(F449,$F$437:$F$455),)</f>
        <v>5</v>
      </c>
      <c r="L449" s="168"/>
      <c r="M449" s="840">
        <f>+'[1]NEW-Tables 80-86'!AF205</f>
        <v>19918.6842</v>
      </c>
      <c r="N449" s="821">
        <f>+'[1]NEW-Tables 80-86'!AL205</f>
        <v>19977.49555555555</v>
      </c>
      <c r="O449" s="586">
        <f t="shared" si="65"/>
        <v>4992.4391090050012</v>
      </c>
      <c r="P449" s="587">
        <f t="shared" si="66"/>
        <v>1402.702744792751</v>
      </c>
      <c r="Q449" s="575">
        <f t="shared" si="67"/>
        <v>6395.1418537977524</v>
      </c>
      <c r="R449" s="483">
        <f>IF($N449&gt;0,(('Amounts Pivot Table'!S$396+'Amounts Pivot Table'!S$399++'Amounts Pivot Table'!S$402)/$N449),0)</f>
        <v>4986.9897216568033</v>
      </c>
      <c r="S449" s="482">
        <f>IF($N449&gt;0,('Amounts Pivot Table'!S$405/$N449),0)</f>
        <v>1427.8898934389845</v>
      </c>
      <c r="T449" s="482">
        <f t="shared" si="64"/>
        <v>6414.8796150957878</v>
      </c>
      <c r="U449" s="578">
        <f t="shared" si="69"/>
        <v>1.092720789965347E-3</v>
      </c>
      <c r="V449" s="571">
        <f t="shared" si="70"/>
        <v>-1.7639419371175597E-2</v>
      </c>
      <c r="W449" s="573">
        <f t="shared" si="71"/>
        <v>-3.0768716612526235E-3</v>
      </c>
      <c r="Y449" s="73" t="s">
        <v>331</v>
      </c>
      <c r="Z449" s="61">
        <f t="shared" si="72"/>
        <v>99442818</v>
      </c>
      <c r="AA449" s="61">
        <f t="shared" si="73"/>
        <v>0</v>
      </c>
      <c r="AB449" s="61">
        <f t="shared" si="74"/>
        <v>0</v>
      </c>
      <c r="AC449" s="61">
        <f t="shared" si="75"/>
        <v>27939993</v>
      </c>
      <c r="AD449" s="61">
        <f t="shared" si="76"/>
        <v>127382811</v>
      </c>
    </row>
    <row r="450" spans="1:30" s="61" customFormat="1" ht="12.75" customHeight="1" x14ac:dyDescent="0.2">
      <c r="A450" s="73" t="s">
        <v>325</v>
      </c>
      <c r="B450" s="75">
        <f>IF($M450&gt;0,('Amounts Pivot Table'!S$436/$M450),0)</f>
        <v>0</v>
      </c>
      <c r="C450" s="75">
        <f>IF($M450&gt;0,('Amounts Pivot Table'!S$439/$M450),0)</f>
        <v>0</v>
      </c>
      <c r="D450" s="75">
        <f>IF($M450&gt;0,('Amounts Pivot Table'!S$442/$M450),0)</f>
        <v>0</v>
      </c>
      <c r="E450" s="75">
        <f>IF($M450&gt;0,('Amounts Pivot Table'!S$445/$M450),0)</f>
        <v>0</v>
      </c>
      <c r="F450" s="75">
        <f t="shared" si="68"/>
        <v>0</v>
      </c>
      <c r="G450" s="116">
        <f>IF(B450&gt;0,RANK(B450,$B$437:$B$455),)</f>
        <v>0</v>
      </c>
      <c r="H450" s="107">
        <f>IF(C450&gt;0,RANK(C450,$C$437:$C$455),)</f>
        <v>0</v>
      </c>
      <c r="I450" s="107">
        <f>IF(D450&gt;0,RANK(D450,$D$437:$D$455),)</f>
        <v>0</v>
      </c>
      <c r="J450" s="107">
        <f>IF(E450&gt;0,RANK(E450,$E$437:$E$455),)</f>
        <v>0</v>
      </c>
      <c r="K450" s="107">
        <f>IF(F450&gt;0,RANK(F450,$F$437:$F$455),)</f>
        <v>0</v>
      </c>
      <c r="L450" s="168"/>
      <c r="M450" s="840">
        <f>+'[1]NEW-Tables 80-86'!AF206</f>
        <v>0</v>
      </c>
      <c r="N450" s="821">
        <f>+'[1]NEW-Tables 80-86'!AL206</f>
        <v>0</v>
      </c>
      <c r="O450" s="586">
        <f t="shared" si="65"/>
        <v>0</v>
      </c>
      <c r="P450" s="587">
        <f t="shared" si="66"/>
        <v>0</v>
      </c>
      <c r="Q450" s="575">
        <f t="shared" si="67"/>
        <v>0</v>
      </c>
      <c r="R450" s="483">
        <f>IF($N450&gt;0,(('Amounts Pivot Table'!S$435+'Amounts Pivot Table'!S$438++'Amounts Pivot Table'!S$441)/$N450),0)</f>
        <v>0</v>
      </c>
      <c r="S450" s="482">
        <f>IF($N450&gt;0,('Amounts Pivot Table'!S$444/$N450),0)</f>
        <v>0</v>
      </c>
      <c r="T450" s="482">
        <f t="shared" si="64"/>
        <v>0</v>
      </c>
      <c r="U450" s="578" t="e">
        <f t="shared" si="69"/>
        <v>#DIV/0!</v>
      </c>
      <c r="V450" s="571" t="e">
        <f t="shared" si="70"/>
        <v>#DIV/0!</v>
      </c>
      <c r="W450" s="573" t="e">
        <f t="shared" si="71"/>
        <v>#DIV/0!</v>
      </c>
      <c r="Y450" s="73" t="s">
        <v>325</v>
      </c>
      <c r="Z450" s="61">
        <f t="shared" si="72"/>
        <v>0</v>
      </c>
      <c r="AA450" s="61">
        <f t="shared" si="73"/>
        <v>0</v>
      </c>
      <c r="AB450" s="61">
        <f t="shared" si="74"/>
        <v>0</v>
      </c>
      <c r="AC450" s="61">
        <f t="shared" si="75"/>
        <v>0</v>
      </c>
      <c r="AD450" s="61">
        <f t="shared" si="76"/>
        <v>0</v>
      </c>
    </row>
    <row r="451" spans="1:30" s="61" customFormat="1" ht="12.75" customHeight="1" x14ac:dyDescent="0.2">
      <c r="A451" s="73"/>
      <c r="B451" s="75"/>
      <c r="C451" s="75"/>
      <c r="D451" s="75"/>
      <c r="E451" s="75"/>
      <c r="F451" s="75"/>
      <c r="G451" s="116"/>
      <c r="H451" s="107"/>
      <c r="I451" s="107"/>
      <c r="J451" s="107"/>
      <c r="K451" s="107"/>
      <c r="L451" s="168"/>
      <c r="M451" s="840"/>
      <c r="N451" s="821"/>
      <c r="O451" s="586"/>
      <c r="P451" s="587"/>
      <c r="Q451" s="575"/>
      <c r="R451" s="483"/>
      <c r="S451" s="482"/>
      <c r="T451" s="482"/>
      <c r="U451" s="578"/>
      <c r="V451" s="571"/>
      <c r="W451" s="573"/>
      <c r="Y451" s="73"/>
    </row>
    <row r="452" spans="1:30" s="61" customFormat="1" ht="12.75" customHeight="1" x14ac:dyDescent="0.2">
      <c r="A452" s="73" t="s">
        <v>90</v>
      </c>
      <c r="B452" s="75">
        <f>IF($M452&gt;0,('Amounts Pivot Table'!S$475/$M452),0)</f>
        <v>5084.1462476560364</v>
      </c>
      <c r="C452" s="75">
        <f>IF($M452&gt;0,('Amounts Pivot Table'!S$478/$M452),0)</f>
        <v>0</v>
      </c>
      <c r="D452" s="75">
        <f>IF($M452&gt;0,('Amounts Pivot Table'!S$481/$M452),0)</f>
        <v>0</v>
      </c>
      <c r="E452" s="75">
        <f>IF($M452&gt;0,('Amounts Pivot Table'!S$484/$M452),0)</f>
        <v>2542.3203732760244</v>
      </c>
      <c r="F452" s="75">
        <f t="shared" si="68"/>
        <v>7626.4666209320603</v>
      </c>
      <c r="G452" s="116">
        <f>IF(B452&gt;0,RANK(B452,$B$437:$B$455),)</f>
        <v>2</v>
      </c>
      <c r="H452" s="107">
        <f>IF(C452&gt;0,RANK(C452,$C$437:$C$455),)</f>
        <v>0</v>
      </c>
      <c r="I452" s="107">
        <f>IF(D452&gt;0,RANK(D452,$D$437:$D$455),)</f>
        <v>0</v>
      </c>
      <c r="J452" s="107">
        <f>IF(E452&gt;0,RANK(E452,$E$437:$E$455),)</f>
        <v>5</v>
      </c>
      <c r="K452" s="107">
        <f>IF(F452&gt;0,RANK(F452,$F$437:$F$455),)</f>
        <v>2</v>
      </c>
      <c r="L452" s="168"/>
      <c r="M452" s="840">
        <f>+'[1]NEW-Tables 80-86'!AF208</f>
        <v>11324.595555555554</v>
      </c>
      <c r="N452" s="821">
        <f>+'[1]NEW-Tables 80-86'!AL208</f>
        <v>11334.344444444445</v>
      </c>
      <c r="O452" s="586">
        <f t="shared" si="65"/>
        <v>5084.1462476560364</v>
      </c>
      <c r="P452" s="587">
        <f t="shared" si="66"/>
        <v>2542.3203732760244</v>
      </c>
      <c r="Q452" s="575">
        <f t="shared" si="67"/>
        <v>7626.4666209320603</v>
      </c>
      <c r="R452" s="483">
        <f>IF($N452&gt;0,(('Amounts Pivot Table'!S$474+'Amounts Pivot Table'!S$477++'Amounts Pivot Table'!S$481)/$N452),0)</f>
        <v>4836.1773606472361</v>
      </c>
      <c r="S452" s="482">
        <f>IF($N452&gt;0,('Amounts Pivot Table'!S$483/$N452),0)</f>
        <v>2517.4945176459746</v>
      </c>
      <c r="T452" s="482">
        <f t="shared" si="64"/>
        <v>7353.6718782932112</v>
      </c>
      <c r="U452" s="578">
        <f t="shared" si="69"/>
        <v>5.1273737193049111E-2</v>
      </c>
      <c r="V452" s="571">
        <f t="shared" si="70"/>
        <v>9.861334535601533E-3</v>
      </c>
      <c r="W452" s="573">
        <f t="shared" si="71"/>
        <v>3.7096398527665178E-2</v>
      </c>
      <c r="Y452" s="73" t="s">
        <v>90</v>
      </c>
      <c r="Z452" s="61">
        <f t="shared" si="72"/>
        <v>57575899.999999993</v>
      </c>
      <c r="AA452" s="61">
        <f t="shared" si="73"/>
        <v>0</v>
      </c>
      <c r="AB452" s="61">
        <f t="shared" si="74"/>
        <v>0</v>
      </c>
      <c r="AC452" s="61">
        <f t="shared" si="75"/>
        <v>28790750.000000004</v>
      </c>
      <c r="AD452" s="61">
        <f t="shared" si="76"/>
        <v>86366650</v>
      </c>
    </row>
    <row r="453" spans="1:30" s="76" customFormat="1" ht="12.75" customHeight="1" x14ac:dyDescent="0.2">
      <c r="A453" s="73" t="s">
        <v>326</v>
      </c>
      <c r="B453" s="75">
        <f>IF($M453&gt;0,('Amounts Pivot Table'!S$514/$M453),0)</f>
        <v>0</v>
      </c>
      <c r="C453" s="75">
        <f>IF($M453&gt;0,('Amounts Pivot Table'!S$517/$M453),0)</f>
        <v>0</v>
      </c>
      <c r="D453" s="75">
        <f>IF($M453&gt;0,('Amounts Pivot Table'!S$520/$M453),0)</f>
        <v>0</v>
      </c>
      <c r="E453" s="75">
        <f>IF($M453&gt;0,('Amounts Pivot Table'!S$523/$M453),0)</f>
        <v>0</v>
      </c>
      <c r="F453" s="75">
        <f t="shared" si="68"/>
        <v>0</v>
      </c>
      <c r="G453" s="116">
        <f>IF(B453&gt;0,RANK(B453,$B$437:$B$455),)</f>
        <v>0</v>
      </c>
      <c r="H453" s="107">
        <f>IF(C453&gt;0,RANK(C453,$C$437:$C$455),)</f>
        <v>0</v>
      </c>
      <c r="I453" s="107">
        <f>IF(D453&gt;0,RANK(D453,$D$437:$D$455),)</f>
        <v>0</v>
      </c>
      <c r="J453" s="107">
        <f>IF(E453&gt;0,RANK(E453,$E$437:$E$455),)</f>
        <v>0</v>
      </c>
      <c r="K453" s="107">
        <f>IF(F453&gt;0,RANK(F453,$F$437:$F$455),)</f>
        <v>0</v>
      </c>
      <c r="L453" s="169"/>
      <c r="M453" s="840">
        <f>+'[1]NEW-Tables 80-86'!AF209</f>
        <v>0</v>
      </c>
      <c r="N453" s="821">
        <f>+'[1]NEW-Tables 80-86'!AL209</f>
        <v>0</v>
      </c>
      <c r="O453" s="478">
        <f t="shared" si="65"/>
        <v>0</v>
      </c>
      <c r="P453" s="479">
        <f t="shared" si="66"/>
        <v>0</v>
      </c>
      <c r="Q453" s="480">
        <f t="shared" si="67"/>
        <v>0</v>
      </c>
      <c r="R453" s="483">
        <f>IF($N453&gt;0,(('Amounts Pivot Table'!S$513+'Amounts Pivot Table'!S$516++'Amounts Pivot Table'!S$519)/$N453),0)</f>
        <v>0</v>
      </c>
      <c r="S453" s="482">
        <f>IF($N453&gt;0,('Amounts Pivot Table'!S$522/$N453),0)</f>
        <v>0</v>
      </c>
      <c r="T453" s="482">
        <f t="shared" si="64"/>
        <v>0</v>
      </c>
      <c r="U453" s="485" t="e">
        <f t="shared" si="69"/>
        <v>#DIV/0!</v>
      </c>
      <c r="V453" s="487" t="e">
        <f t="shared" si="70"/>
        <v>#DIV/0!</v>
      </c>
      <c r="W453" s="487" t="e">
        <f t="shared" si="71"/>
        <v>#DIV/0!</v>
      </c>
      <c r="Y453" s="73" t="s">
        <v>326</v>
      </c>
      <c r="Z453" s="61">
        <f t="shared" si="72"/>
        <v>0</v>
      </c>
      <c r="AA453" s="61">
        <f t="shared" si="73"/>
        <v>0</v>
      </c>
      <c r="AB453" s="61">
        <f t="shared" si="74"/>
        <v>0</v>
      </c>
      <c r="AC453" s="61">
        <f t="shared" si="75"/>
        <v>0</v>
      </c>
      <c r="AD453" s="61">
        <f t="shared" si="76"/>
        <v>0</v>
      </c>
    </row>
    <row r="454" spans="1:30" s="61" customFormat="1" ht="12.75" customHeight="1" x14ac:dyDescent="0.2">
      <c r="A454" s="73" t="s">
        <v>327</v>
      </c>
      <c r="B454" s="75">
        <f>IF($M454&gt;0,('Amounts Pivot Table'!S$553/$M454),0)</f>
        <v>0</v>
      </c>
      <c r="C454" s="75">
        <f>IF($M454&gt;0,('Amounts Pivot Table'!S$556/$M454),0)</f>
        <v>0</v>
      </c>
      <c r="D454" s="75">
        <f>IF($M454&gt;0,('Amounts Pivot Table'!S$559/$M454),0)</f>
        <v>0</v>
      </c>
      <c r="E454" s="75">
        <f>IF($M454&gt;0,('Amounts Pivot Table'!S$562/$M454),0)</f>
        <v>0</v>
      </c>
      <c r="F454" s="75">
        <f t="shared" si="68"/>
        <v>0</v>
      </c>
      <c r="G454" s="116">
        <f>IF(B454&gt;0,RANK(B454,$B$437:$B$455),)</f>
        <v>0</v>
      </c>
      <c r="H454" s="107">
        <f>IF(C454&gt;0,RANK(C454,$C$437:$C$455),)</f>
        <v>0</v>
      </c>
      <c r="I454" s="107">
        <f>IF(D454&gt;0,RANK(D454,$D$437:$D$455),)</f>
        <v>0</v>
      </c>
      <c r="J454" s="107">
        <f>IF(E454&gt;0,RANK(E454,$E$437:$E$455),)</f>
        <v>0</v>
      </c>
      <c r="K454" s="107">
        <f>IF(F454&gt;0,RANK(F454,$F$437:$F$455),)</f>
        <v>0</v>
      </c>
      <c r="L454" s="170"/>
      <c r="M454" s="840">
        <f>+'[1]NEW-Tables 80-86'!AF210</f>
        <v>0</v>
      </c>
      <c r="N454" s="821">
        <f>+'[1]NEW-Tables 80-86'!AL210</f>
        <v>0</v>
      </c>
      <c r="O454" s="478">
        <f t="shared" si="65"/>
        <v>0</v>
      </c>
      <c r="P454" s="479">
        <f t="shared" si="66"/>
        <v>0</v>
      </c>
      <c r="Q454" s="480">
        <f t="shared" si="67"/>
        <v>0</v>
      </c>
      <c r="R454" s="483">
        <f>IF($N454&gt;0,(('Amounts Pivot Table'!S$552+'Amounts Pivot Table'!S$555++'Amounts Pivot Table'!S$558)/$N454),0)</f>
        <v>0</v>
      </c>
      <c r="S454" s="482">
        <f>IF($N454&gt;0,('Amounts Pivot Table'!S$561/$N454),0)</f>
        <v>0</v>
      </c>
      <c r="T454" s="482">
        <f t="shared" si="64"/>
        <v>0</v>
      </c>
      <c r="U454" s="485" t="e">
        <f t="shared" si="69"/>
        <v>#DIV/0!</v>
      </c>
      <c r="V454" s="487" t="e">
        <f t="shared" si="70"/>
        <v>#DIV/0!</v>
      </c>
      <c r="W454" s="487" t="e">
        <f t="shared" si="71"/>
        <v>#DIV/0!</v>
      </c>
      <c r="Y454" s="73" t="s">
        <v>327</v>
      </c>
      <c r="Z454" s="61">
        <f t="shared" si="72"/>
        <v>0</v>
      </c>
      <c r="AA454" s="61">
        <f t="shared" si="73"/>
        <v>0</v>
      </c>
      <c r="AB454" s="61">
        <f t="shared" si="74"/>
        <v>0</v>
      </c>
      <c r="AC454" s="61">
        <f t="shared" si="75"/>
        <v>0</v>
      </c>
      <c r="AD454" s="61">
        <f t="shared" si="76"/>
        <v>0</v>
      </c>
    </row>
    <row r="455" spans="1:30" s="61" customFormat="1" ht="15" customHeight="1" x14ac:dyDescent="0.2">
      <c r="A455" s="74" t="s">
        <v>332</v>
      </c>
      <c r="B455" s="104">
        <f>IF($M455&gt;0,('Amounts Pivot Table'!S$592/$M455),0)</f>
        <v>0</v>
      </c>
      <c r="C455" s="104">
        <f>IF($M455&gt;0,('Amounts Pivot Table'!S$595/$M455),0)</f>
        <v>0</v>
      </c>
      <c r="D455" s="104">
        <f>IF($M455&gt;0,('Amounts Pivot Table'!S$598/$M455),0)</f>
        <v>0</v>
      </c>
      <c r="E455" s="104">
        <f>IF($M455&gt;0,('Amounts Pivot Table'!S$601/$M455),0)</f>
        <v>0</v>
      </c>
      <c r="F455" s="105">
        <f t="shared" si="68"/>
        <v>0</v>
      </c>
      <c r="G455" s="117">
        <f>IF(B455&gt;0,RANK(B455,$B$437:$B$455),)</f>
        <v>0</v>
      </c>
      <c r="H455" s="118">
        <f>IF(C455&gt;0,RANK(C455,$C$437:$C$455),)</f>
        <v>0</v>
      </c>
      <c r="I455" s="118">
        <f>IF(D455&gt;0,RANK(D455,$D$437:$D$455),)</f>
        <v>0</v>
      </c>
      <c r="J455" s="118">
        <f>IF(E455&gt;0,RANK(E455,$E$437:$E$455),)</f>
        <v>0</v>
      </c>
      <c r="K455" s="118">
        <f>IF(F455&gt;0,RANK(F455,$F$437:$F$455),)</f>
        <v>0</v>
      </c>
      <c r="L455" s="171"/>
      <c r="M455" s="840">
        <f>+'[1]NEW-Tables 80-86'!AF211</f>
        <v>0</v>
      </c>
      <c r="N455" s="821">
        <f>+'[1]NEW-Tables 80-86'!AL211</f>
        <v>0</v>
      </c>
      <c r="O455" s="478">
        <f t="shared" si="65"/>
        <v>0</v>
      </c>
      <c r="P455" s="479">
        <f t="shared" si="66"/>
        <v>0</v>
      </c>
      <c r="Q455" s="480">
        <f t="shared" si="67"/>
        <v>0</v>
      </c>
      <c r="R455" s="483">
        <f>IF($N455&gt;0,(('Amounts Pivot Table'!S$591+'Amounts Pivot Table'!S$594++'Amounts Pivot Table'!S$597)/$N455),0)</f>
        <v>0</v>
      </c>
      <c r="S455" s="482">
        <f>IF($N455&gt;0,('Amounts Pivot Table'!S$600/$N455),0)</f>
        <v>0</v>
      </c>
      <c r="T455" s="482">
        <f t="shared" si="64"/>
        <v>0</v>
      </c>
      <c r="U455" s="485" t="e">
        <f t="shared" si="69"/>
        <v>#DIV/0!</v>
      </c>
      <c r="V455" s="487" t="e">
        <f t="shared" si="70"/>
        <v>#DIV/0!</v>
      </c>
      <c r="W455" s="487" t="e">
        <f t="shared" si="71"/>
        <v>#DIV/0!</v>
      </c>
      <c r="Y455" s="74" t="s">
        <v>332</v>
      </c>
      <c r="Z455" s="61">
        <f t="shared" si="72"/>
        <v>0</v>
      </c>
      <c r="AA455" s="61">
        <f t="shared" si="73"/>
        <v>0</v>
      </c>
      <c r="AB455" s="61">
        <f t="shared" si="74"/>
        <v>0</v>
      </c>
      <c r="AC455" s="61">
        <f t="shared" si="75"/>
        <v>0</v>
      </c>
      <c r="AD455" s="61">
        <f t="shared" si="76"/>
        <v>0</v>
      </c>
    </row>
    <row r="456" spans="1:30" s="76" customFormat="1" ht="34.5" customHeight="1" x14ac:dyDescent="0.2">
      <c r="A456" s="1558" t="s">
        <v>17</v>
      </c>
      <c r="B456" s="1582"/>
      <c r="C456" s="1582"/>
      <c r="D456" s="1582"/>
      <c r="E456" s="1582"/>
      <c r="F456" s="1582"/>
      <c r="G456" s="1582"/>
      <c r="H456" s="1582"/>
      <c r="I456" s="1582"/>
      <c r="J456" s="1582"/>
      <c r="K456" s="1582"/>
      <c r="L456" s="169"/>
      <c r="M456" s="296"/>
      <c r="N456" s="90"/>
      <c r="O456" s="90"/>
      <c r="P456" s="90"/>
      <c r="Q456" s="90"/>
    </row>
    <row r="457" spans="1:30" s="205" customFormat="1" ht="13.5" customHeight="1" x14ac:dyDescent="0.15">
      <c r="A457" s="1558" t="s">
        <v>54</v>
      </c>
      <c r="B457" s="1582"/>
      <c r="C457" s="1582"/>
      <c r="D457" s="1582"/>
      <c r="E457" s="1582"/>
      <c r="F457" s="1582"/>
      <c r="G457" s="1582"/>
      <c r="H457" s="1582"/>
      <c r="I457" s="1582"/>
      <c r="J457" s="1582"/>
      <c r="K457" s="1582"/>
      <c r="L457" s="204"/>
      <c r="M457" s="302"/>
      <c r="N457" s="206"/>
      <c r="O457" s="206"/>
      <c r="P457" s="206"/>
      <c r="Q457" s="206"/>
    </row>
    <row r="458" spans="1:30" s="61" customFormat="1" ht="13.5" customHeight="1" x14ac:dyDescent="0.2">
      <c r="A458" s="1558" t="s">
        <v>233</v>
      </c>
      <c r="B458" s="1583"/>
      <c r="C458" s="1583"/>
      <c r="D458" s="1583"/>
      <c r="E458" s="1583"/>
      <c r="F458" s="1583"/>
      <c r="G458" s="1584"/>
      <c r="H458" s="1584"/>
      <c r="I458" s="1584"/>
      <c r="J458" s="1584"/>
      <c r="K458" s="1584"/>
      <c r="L458" s="171"/>
      <c r="M458" s="300"/>
      <c r="N458" s="73"/>
      <c r="O458" s="73"/>
      <c r="P458" s="73"/>
      <c r="Q458" s="73"/>
    </row>
    <row r="459" spans="1:30" s="61" customFormat="1" x14ac:dyDescent="0.2">
      <c r="A459" s="187"/>
      <c r="B459" s="106"/>
      <c r="C459" s="106"/>
      <c r="D459" s="106"/>
      <c r="E459" s="106"/>
      <c r="F459" s="106"/>
      <c r="G459" s="188"/>
      <c r="H459" s="188"/>
      <c r="I459" s="188"/>
      <c r="J459" s="188"/>
      <c r="K459" s="535" t="s">
        <v>1898</v>
      </c>
      <c r="L459" s="73"/>
      <c r="M459" s="303"/>
      <c r="N459" s="73"/>
      <c r="O459" s="73"/>
      <c r="P459" s="73"/>
      <c r="Q459" s="73"/>
    </row>
    <row r="460" spans="1:30" s="61" customFormat="1" ht="18.75" customHeight="1" x14ac:dyDescent="0.2">
      <c r="A460" s="135" t="s">
        <v>372</v>
      </c>
      <c r="B460" s="135"/>
      <c r="C460" s="135"/>
      <c r="D460" s="135"/>
      <c r="E460" s="135"/>
      <c r="F460" s="135"/>
      <c r="G460" s="135"/>
      <c r="H460" s="135"/>
      <c r="I460" s="135"/>
      <c r="J460" s="566"/>
      <c r="K460" s="135"/>
      <c r="L460" s="170"/>
      <c r="M460" s="296"/>
      <c r="N460" s="73"/>
      <c r="O460" s="73"/>
      <c r="P460" s="73"/>
      <c r="Q460" s="73"/>
    </row>
    <row r="461" spans="1:30" s="61" customFormat="1" ht="18.75" customHeight="1" x14ac:dyDescent="0.2">
      <c r="A461" s="135"/>
      <c r="B461" s="135"/>
      <c r="C461" s="135"/>
      <c r="D461" s="135"/>
      <c r="E461" s="135"/>
      <c r="F461" s="135"/>
      <c r="G461" s="135"/>
      <c r="H461" s="135"/>
      <c r="I461" s="135"/>
      <c r="J461" s="566"/>
      <c r="K461" s="135"/>
      <c r="L461" s="170"/>
      <c r="M461" s="296"/>
      <c r="N461" s="73"/>
      <c r="O461" s="73"/>
      <c r="P461" s="73"/>
      <c r="Q461" s="73"/>
    </row>
    <row r="462" spans="1:30" s="61" customFormat="1" ht="18.75" x14ac:dyDescent="0.2">
      <c r="A462" s="1557" t="s">
        <v>18</v>
      </c>
      <c r="B462" s="1557"/>
      <c r="C462" s="1557"/>
      <c r="D462" s="1557"/>
      <c r="E462" s="1557"/>
      <c r="F462" s="1557"/>
      <c r="G462" s="1557"/>
      <c r="H462" s="1557"/>
      <c r="I462" s="1557"/>
      <c r="J462" s="1557"/>
      <c r="K462" s="1557"/>
      <c r="L462" s="165"/>
      <c r="M462" s="296"/>
      <c r="N462" s="73"/>
      <c r="O462" s="73"/>
      <c r="P462" s="73"/>
      <c r="Q462" s="73"/>
    </row>
    <row r="463" spans="1:30" s="61" customFormat="1" ht="15.75" customHeight="1" x14ac:dyDescent="0.15">
      <c r="A463" s="1557" t="s">
        <v>1913</v>
      </c>
      <c r="B463" s="1557"/>
      <c r="C463" s="1557"/>
      <c r="D463" s="1557"/>
      <c r="E463" s="1557"/>
      <c r="F463" s="1557"/>
      <c r="G463" s="1557"/>
      <c r="H463" s="1557"/>
      <c r="I463" s="1557"/>
      <c r="J463" s="1557"/>
      <c r="K463" s="1557"/>
      <c r="L463" s="165"/>
      <c r="M463" s="299"/>
      <c r="N463" s="73"/>
      <c r="O463" s="73"/>
      <c r="P463" s="73"/>
      <c r="Q463" s="73"/>
    </row>
    <row r="464" spans="1:30" s="112" customFormat="1" ht="8.25" x14ac:dyDescent="0.15">
      <c r="A464" s="194"/>
      <c r="B464" s="194"/>
      <c r="C464" s="194"/>
      <c r="D464" s="194"/>
      <c r="E464" s="194"/>
      <c r="F464" s="194"/>
      <c r="G464" s="195"/>
      <c r="H464" s="194"/>
      <c r="I464" s="194"/>
      <c r="J464" s="194"/>
      <c r="K464" s="194"/>
      <c r="L464" s="196"/>
      <c r="M464" s="306"/>
      <c r="N464" s="110"/>
      <c r="O464" s="110"/>
      <c r="P464" s="110"/>
      <c r="Q464" s="110"/>
    </row>
    <row r="465" spans="1:17" s="61" customFormat="1" ht="14.25" customHeight="1" x14ac:dyDescent="0.2">
      <c r="A465" s="60"/>
      <c r="B465" s="1580" t="s">
        <v>55</v>
      </c>
      <c r="C465" s="1581"/>
      <c r="D465" s="1581"/>
      <c r="E465" s="1581"/>
      <c r="F465" s="1581"/>
      <c r="G465" s="569" t="s">
        <v>119</v>
      </c>
      <c r="H465" s="570"/>
      <c r="I465" s="570"/>
      <c r="J465" s="570"/>
      <c r="K465" s="570"/>
      <c r="L465" s="173"/>
      <c r="M465" s="296"/>
      <c r="N465" s="73"/>
      <c r="O465" s="73"/>
      <c r="P465" s="73"/>
      <c r="Q465" s="73"/>
    </row>
    <row r="466" spans="1:17" s="6" customFormat="1" ht="48" x14ac:dyDescent="0.2">
      <c r="A466" s="50"/>
      <c r="B466" s="550" t="s">
        <v>87</v>
      </c>
      <c r="C466" s="551" t="s">
        <v>89</v>
      </c>
      <c r="D466" s="551" t="s">
        <v>88</v>
      </c>
      <c r="E466" s="551" t="s">
        <v>398</v>
      </c>
      <c r="F466" s="551" t="s">
        <v>97</v>
      </c>
      <c r="G466" s="552" t="s">
        <v>87</v>
      </c>
      <c r="H466" s="551" t="s">
        <v>89</v>
      </c>
      <c r="I466" s="551" t="s">
        <v>88</v>
      </c>
      <c r="J466" s="551" t="s">
        <v>398</v>
      </c>
      <c r="K466" s="551" t="s">
        <v>97</v>
      </c>
      <c r="L466" s="167"/>
      <c r="M466" s="298" t="s">
        <v>260</v>
      </c>
      <c r="N466" s="7"/>
      <c r="O466" s="7"/>
      <c r="P466" s="7"/>
      <c r="Q466" s="7"/>
    </row>
    <row r="467" spans="1:17" s="61" customFormat="1" ht="14.25" x14ac:dyDescent="0.2">
      <c r="A467" s="73" t="s">
        <v>56</v>
      </c>
      <c r="B467" s="102">
        <f>IF($M467&gt;0,('Amounts Pivot Table'!P$631/$M467),0)</f>
        <v>3381.6632087187681</v>
      </c>
      <c r="C467" s="102">
        <f>IF($M467&gt;0,('Amounts Pivot Table'!P$634/$M467),0)</f>
        <v>6.1919628886718519</v>
      </c>
      <c r="D467" s="102">
        <f>IF($M467&gt;0,('Amounts Pivot Table'!P$637/$M467),0)</f>
        <v>0</v>
      </c>
      <c r="E467" s="102">
        <f>IF($M467&gt;0,('Amounts Pivot Table'!P$640/$M467),0)</f>
        <v>3212.719986721725</v>
      </c>
      <c r="F467" s="102">
        <f>SUM(B467:E467)</f>
        <v>6600.5751583291649</v>
      </c>
      <c r="G467" s="197"/>
      <c r="H467" s="115"/>
      <c r="I467" s="115"/>
      <c r="J467" s="115"/>
      <c r="K467" s="115"/>
      <c r="L467" s="168"/>
      <c r="M467" s="840">
        <f>+'[1]NEW-Tables 80-86'!AD191</f>
        <v>98711.508933333331</v>
      </c>
      <c r="N467" s="73"/>
      <c r="O467" s="73"/>
      <c r="P467" s="73"/>
      <c r="Q467" s="73"/>
    </row>
    <row r="468" spans="1:17" s="112" customFormat="1" x14ac:dyDescent="0.2">
      <c r="A468" s="194"/>
      <c r="B468" s="194"/>
      <c r="C468" s="194"/>
      <c r="D468" s="194"/>
      <c r="E468" s="194"/>
      <c r="F468" s="194"/>
      <c r="G468" s="198"/>
      <c r="H468" s="194"/>
      <c r="I468" s="194"/>
      <c r="J468" s="194"/>
      <c r="K468" s="194"/>
      <c r="L468" s="196"/>
      <c r="M468" s="840"/>
      <c r="N468" s="110"/>
      <c r="O468" s="110"/>
      <c r="P468" s="110"/>
      <c r="Q468" s="110"/>
    </row>
    <row r="469" spans="1:17" s="61" customFormat="1" ht="12.75" customHeight="1" x14ac:dyDescent="0.2">
      <c r="A469" s="73" t="s">
        <v>320</v>
      </c>
      <c r="B469" s="75">
        <f>IF($M469&gt;0,('Amounts Pivot Table'!P$7/$M469),0)</f>
        <v>7424.2705771050141</v>
      </c>
      <c r="C469" s="75">
        <f>IF($M469&gt;0,('Amounts Pivot Table'!P$10/$M469),0)</f>
        <v>495.64914177591561</v>
      </c>
      <c r="D469" s="75">
        <f>IF($M469&gt;0,('Amounts Pivot Table'!P$13/$M469),0)</f>
        <v>0</v>
      </c>
      <c r="E469" s="75">
        <f>IF($M469&gt;0,('Amounts Pivot Table'!P$16/$M469),0)</f>
        <v>4103.8378159210706</v>
      </c>
      <c r="F469" s="75">
        <f t="shared" ref="F469:F487" si="77">SUM(B469:E469)</f>
        <v>12023.757534802</v>
      </c>
      <c r="G469" s="116">
        <f>IF(B469&gt;0,RANK(B469,$B$469:$B$487),)</f>
        <v>1</v>
      </c>
      <c r="H469" s="107">
        <f>IF(C469&gt;0,RANK(C469,$C$469:$C$487),)</f>
        <v>1</v>
      </c>
      <c r="I469" s="107">
        <f>IF(D469&gt;0,RANK(D469,$D$469:$D$487),)</f>
        <v>0</v>
      </c>
      <c r="J469" s="107">
        <f>IF(E469&gt;0,RANK(E469,$E$469:$E$487),)</f>
        <v>1</v>
      </c>
      <c r="K469" s="107">
        <f>IF(F469&gt;0,RANK(F469,$F$469:$F$487),)</f>
        <v>1</v>
      </c>
      <c r="L469" s="168"/>
      <c r="M469" s="840">
        <f>+'[1]NEW-Tables 80-86'!AD193</f>
        <v>1233.1666666666667</v>
      </c>
      <c r="N469" s="73"/>
      <c r="O469" s="73"/>
      <c r="P469" s="73"/>
      <c r="Q469" s="73"/>
    </row>
    <row r="470" spans="1:17" s="61" customFormat="1" ht="12.75" customHeight="1" x14ac:dyDescent="0.2">
      <c r="A470" s="73" t="s">
        <v>334</v>
      </c>
      <c r="B470" s="75">
        <f>IF($M470&gt;0,('Amounts Pivot Table'!P$46/$M470),0)</f>
        <v>0</v>
      </c>
      <c r="C470" s="75">
        <f>IF($M470&gt;0,('Amounts Pivot Table'!P$49/$M470),0)</f>
        <v>0</v>
      </c>
      <c r="D470" s="75">
        <f>IF($M470&gt;0,('Amounts Pivot Table'!P$52/$M470),0)</f>
        <v>0</v>
      </c>
      <c r="E470" s="75">
        <f>IF($M470&gt;0,('Amounts Pivot Table'!P$55/$M470),0)</f>
        <v>0</v>
      </c>
      <c r="F470" s="75">
        <f t="shared" si="77"/>
        <v>0</v>
      </c>
      <c r="G470" s="116">
        <f>IF(B470&gt;0,RANK(B470,$B$469:$B$487),)</f>
        <v>0</v>
      </c>
      <c r="H470" s="107">
        <f>IF(C470&gt;0,RANK(C470,$C$469:$C$487),)</f>
        <v>0</v>
      </c>
      <c r="I470" s="107">
        <f>IF(D470&gt;0,RANK(D470,$D$469:$D$487),)</f>
        <v>0</v>
      </c>
      <c r="J470" s="107">
        <f>IF(E470&gt;0,RANK(E470,$E$469:$E$487),)</f>
        <v>0</v>
      </c>
      <c r="K470" s="107">
        <f>IF(F470&gt;0,RANK(F470,$F$469:$F$487),)</f>
        <v>0</v>
      </c>
      <c r="L470" s="168"/>
      <c r="M470" s="840">
        <f>+'[1]NEW-Tables 80-86'!AD194</f>
        <v>0</v>
      </c>
      <c r="N470" s="73"/>
      <c r="O470" s="73"/>
      <c r="P470" s="73"/>
      <c r="Q470" s="73"/>
    </row>
    <row r="471" spans="1:17" s="61" customFormat="1" ht="12.75" customHeight="1" x14ac:dyDescent="0.2">
      <c r="A471" s="73" t="s">
        <v>321</v>
      </c>
      <c r="B471" s="75">
        <f>IF($M471&gt;0,('Amounts Pivot Table'!P$85/$M471),0)</f>
        <v>0</v>
      </c>
      <c r="C471" s="75">
        <f>IF($M471&gt;0,('Amounts Pivot Table'!P$88/$M471),0)</f>
        <v>0</v>
      </c>
      <c r="D471" s="75">
        <f>IF($M471&gt;0,('Amounts Pivot Table'!P$91/$M471),0)</f>
        <v>0</v>
      </c>
      <c r="E471" s="75">
        <f>IF($M471&gt;0,('Amounts Pivot Table'!P$94/$M471),0)</f>
        <v>0</v>
      </c>
      <c r="F471" s="75">
        <f t="shared" si="77"/>
        <v>0</v>
      </c>
      <c r="G471" s="116">
        <f>IF(B471&gt;0,RANK(B471,$B$469:$B$487),)</f>
        <v>0</v>
      </c>
      <c r="H471" s="107">
        <f>IF(C471&gt;0,RANK(C471,$C$469:$C$487),)</f>
        <v>0</v>
      </c>
      <c r="I471" s="107">
        <f>IF(D471&gt;0,RANK(D471,$D$469:$D$487),)</f>
        <v>0</v>
      </c>
      <c r="J471" s="107">
        <f>IF(E471&gt;0,RANK(E471,$E$469:$E$487),)</f>
        <v>0</v>
      </c>
      <c r="K471" s="107">
        <f>IF(F471&gt;0,RANK(F471,$F$469:$F$487),)</f>
        <v>0</v>
      </c>
      <c r="L471" s="175"/>
      <c r="M471" s="840">
        <f>+'[1]NEW-Tables 80-86'!AD195</f>
        <v>0</v>
      </c>
      <c r="N471" s="73"/>
      <c r="O471" s="73"/>
      <c r="P471" s="73"/>
      <c r="Q471" s="73"/>
    </row>
    <row r="472" spans="1:17" s="61" customFormat="1" ht="12.75" customHeight="1" x14ac:dyDescent="0.2">
      <c r="A472" s="73" t="s">
        <v>328</v>
      </c>
      <c r="B472" s="75">
        <f>IF($M472&gt;0,('Amounts Pivot Table'!P$124/$M472),0)</f>
        <v>0</v>
      </c>
      <c r="C472" s="75">
        <f>IF($M472&gt;0,('Amounts Pivot Table'!P$127/$M472),0)</f>
        <v>0</v>
      </c>
      <c r="D472" s="75">
        <f>IF($M472&gt;0,('Amounts Pivot Table'!P$130/$M472),0)</f>
        <v>0</v>
      </c>
      <c r="E472" s="75">
        <f>IF($M472&gt;0,('Amounts Pivot Table'!P$133/$M472),0)</f>
        <v>0</v>
      </c>
      <c r="F472" s="75">
        <f t="shared" si="77"/>
        <v>0</v>
      </c>
      <c r="G472" s="116">
        <f>IF(B472&gt;0,RANK(B472,$B$469:$B$487),)</f>
        <v>0</v>
      </c>
      <c r="H472" s="107">
        <f>IF(C472&gt;0,RANK(C472,$C$469:$C$487),)</f>
        <v>0</v>
      </c>
      <c r="I472" s="107">
        <f>IF(D472&gt;0,RANK(D472,$D$469:$D$487),)</f>
        <v>0</v>
      </c>
      <c r="J472" s="107">
        <f>IF(E472&gt;0,RANK(E472,$E$469:$E$487),)</f>
        <v>0</v>
      </c>
      <c r="K472" s="107">
        <f>IF(F472&gt;0,RANK(F472,$F$469:$F$487),)</f>
        <v>0</v>
      </c>
      <c r="L472" s="168"/>
      <c r="M472" s="840">
        <f>+'[1]NEW-Tables 80-86'!AD196</f>
        <v>0</v>
      </c>
      <c r="N472" s="73"/>
      <c r="O472" s="73"/>
      <c r="P472" s="73"/>
      <c r="Q472" s="73"/>
    </row>
    <row r="473" spans="1:17" s="112" customFormat="1" x14ac:dyDescent="0.2">
      <c r="A473" s="194"/>
      <c r="B473" s="194"/>
      <c r="C473" s="194"/>
      <c r="D473" s="194"/>
      <c r="E473" s="194"/>
      <c r="F473" s="194"/>
      <c r="G473" s="198"/>
      <c r="H473" s="194"/>
      <c r="I473" s="194"/>
      <c r="J473" s="194"/>
      <c r="K473" s="194"/>
      <c r="L473" s="196"/>
      <c r="M473" s="840"/>
      <c r="N473" s="110"/>
      <c r="O473" s="110"/>
      <c r="P473" s="110"/>
      <c r="Q473" s="110"/>
    </row>
    <row r="474" spans="1:17" s="61" customFormat="1" ht="12.75" customHeight="1" x14ac:dyDescent="0.2">
      <c r="A474" s="73" t="s">
        <v>329</v>
      </c>
      <c r="B474" s="75">
        <f>IF($M474&gt;0,('Amounts Pivot Table'!P$163/$M474),0)</f>
        <v>3399.5429175971703</v>
      </c>
      <c r="C474" s="75">
        <f>IF($M474&gt;0,('Amounts Pivot Table'!P$166/$M474),0)</f>
        <v>0</v>
      </c>
      <c r="D474" s="75">
        <f>IF($M474&gt;0,('Amounts Pivot Table'!P$169/$M474),0)</f>
        <v>0</v>
      </c>
      <c r="E474" s="75">
        <f>IF($M474&gt;0,('Amounts Pivot Table'!P$172/$M474),0)</f>
        <v>3359.7059680083598</v>
      </c>
      <c r="F474" s="75">
        <f t="shared" si="77"/>
        <v>6759.2488856055297</v>
      </c>
      <c r="G474" s="116">
        <f>IF(B474&gt;0,RANK(B474,$B$469:$B$487),)</f>
        <v>3</v>
      </c>
      <c r="H474" s="107">
        <f>IF(C474&gt;0,RANK(C474,$C$469:$C$487),)</f>
        <v>0</v>
      </c>
      <c r="I474" s="107">
        <f>IF(D474&gt;0,RANK(D474,$D$469:$D$487),)</f>
        <v>0</v>
      </c>
      <c r="J474" s="107">
        <f>IF(E474&gt;0,RANK(E474,$E$469:$E$487),)</f>
        <v>3</v>
      </c>
      <c r="K474" s="107">
        <f>IF(F474&gt;0,RANK(F474,$F$469:$F$487),)</f>
        <v>2</v>
      </c>
      <c r="L474" s="175"/>
      <c r="M474" s="840">
        <f>+'[1]NEW-Tables 80-86'!AD198</f>
        <v>76720.666666666672</v>
      </c>
      <c r="N474" s="73"/>
      <c r="O474" s="73"/>
      <c r="P474" s="73"/>
      <c r="Q474" s="73"/>
    </row>
    <row r="475" spans="1:17" s="61" customFormat="1" ht="12.75" customHeight="1" x14ac:dyDescent="0.2">
      <c r="A475" s="73" t="s">
        <v>322</v>
      </c>
      <c r="B475" s="75">
        <f>IF($M475&gt;0,('Amounts Pivot Table'!P$202/$M475),0)</f>
        <v>2834.2486864850416</v>
      </c>
      <c r="C475" s="75">
        <f>IF($M475&gt;0,('Amounts Pivot Table'!P$205/$M475),0)</f>
        <v>0</v>
      </c>
      <c r="D475" s="75">
        <f>IF($M475&gt;0,('Amounts Pivot Table'!P$208/$M475),0)</f>
        <v>0</v>
      </c>
      <c r="E475" s="75">
        <f>IF($M475&gt;0,('Amounts Pivot Table'!P$211/$M475),0)</f>
        <v>3692.6281336011307</v>
      </c>
      <c r="F475" s="75">
        <f t="shared" si="77"/>
        <v>6526.8768200861723</v>
      </c>
      <c r="G475" s="116">
        <f>IF(B475&gt;0,RANK(B475,$B$469:$B$487),)</f>
        <v>6</v>
      </c>
      <c r="H475" s="107">
        <f>IF(C475&gt;0,RANK(C475,$C$469:$C$487),)</f>
        <v>0</v>
      </c>
      <c r="I475" s="107">
        <f>IF(D475&gt;0,RANK(D475,$D$469:$D$487),)</f>
        <v>0</v>
      </c>
      <c r="J475" s="107">
        <f>IF(E475&gt;0,RANK(E475,$E$469:$E$487),)</f>
        <v>2</v>
      </c>
      <c r="K475" s="107">
        <f>IF(F475&gt;0,RANK(F475,$F$469:$F$487),)</f>
        <v>3</v>
      </c>
      <c r="L475" s="168"/>
      <c r="M475" s="840">
        <f>+'[1]NEW-Tables 80-86'!AD199</f>
        <v>5377.2</v>
      </c>
      <c r="N475" s="73"/>
      <c r="O475" s="73"/>
      <c r="P475" s="73"/>
      <c r="Q475" s="73"/>
    </row>
    <row r="476" spans="1:17" s="61" customFormat="1" ht="12.75" customHeight="1" x14ac:dyDescent="0.2">
      <c r="A476" s="73" t="s">
        <v>330</v>
      </c>
      <c r="B476" s="75">
        <f>IF($M476&gt;0,('Amounts Pivot Table'!P$241/$M476),0)</f>
        <v>2999.2267964629259</v>
      </c>
      <c r="C476" s="75">
        <f>IF($M476&gt;0,('Amounts Pivot Table'!P$244/$M476),0)</f>
        <v>0</v>
      </c>
      <c r="D476" s="75">
        <f>IF($M476&gt;0,('Amounts Pivot Table'!P$247/$M476),0)</f>
        <v>0</v>
      </c>
      <c r="E476" s="75">
        <f>IF($M476&gt;0,('Amounts Pivot Table'!P$250/$M476),0)</f>
        <v>2549.7899674667706</v>
      </c>
      <c r="F476" s="75">
        <f t="shared" si="77"/>
        <v>5549.016763929696</v>
      </c>
      <c r="G476" s="116">
        <f>IF(B476&gt;0,RANK(B476,$B$469:$B$487),)</f>
        <v>5</v>
      </c>
      <c r="H476" s="107">
        <f>IF(C476&gt;0,RANK(C476,$C$469:$C$487),)</f>
        <v>0</v>
      </c>
      <c r="I476" s="107">
        <f>IF(D476&gt;0,RANK(D476,$D$469:$D$487),)</f>
        <v>0</v>
      </c>
      <c r="J476" s="107">
        <f>IF(E476&gt;0,RANK(E476,$E$469:$E$487),)</f>
        <v>4</v>
      </c>
      <c r="K476" s="107">
        <f>IF(F476&gt;0,RANK(F476,$F$469:$F$487),)</f>
        <v>5</v>
      </c>
      <c r="L476" s="168"/>
      <c r="M476" s="840">
        <f>+'[1]NEW-Tables 80-86'!AD200</f>
        <v>10429.336666666668</v>
      </c>
      <c r="N476" s="73"/>
      <c r="O476" s="73"/>
      <c r="P476" s="73"/>
      <c r="Q476" s="73"/>
    </row>
    <row r="477" spans="1:17" s="61" customFormat="1" ht="12.75" customHeight="1" x14ac:dyDescent="0.2">
      <c r="A477" s="73" t="s">
        <v>333</v>
      </c>
      <c r="B477" s="75">
        <f>IF($M477&gt;0,('Amounts Pivot Table'!P$280/$M477),0)</f>
        <v>0</v>
      </c>
      <c r="C477" s="75">
        <f>IF($M477&gt;0,('Amounts Pivot Table'!P$283/$M477),0)</f>
        <v>0</v>
      </c>
      <c r="D477" s="75">
        <f>IF($M477&gt;0,('Amounts Pivot Table'!P$286/$M477),0)</f>
        <v>0</v>
      </c>
      <c r="E477" s="75">
        <f>IF($M477&gt;0,('Amounts Pivot Table'!P$289/$M477),0)</f>
        <v>0</v>
      </c>
      <c r="F477" s="75">
        <f t="shared" si="77"/>
        <v>0</v>
      </c>
      <c r="G477" s="116">
        <f>IF(B477&gt;0,RANK(B477,$B$469:$B$487),)</f>
        <v>0</v>
      </c>
      <c r="H477" s="107">
        <f>IF(C477&gt;0,RANK(C477,$C$469:$C$487),)</f>
        <v>0</v>
      </c>
      <c r="I477" s="107">
        <f>IF(D477&gt;0,RANK(D477,$D$469:$D$487),)</f>
        <v>0</v>
      </c>
      <c r="J477" s="107">
        <f>IF(E477&gt;0,RANK(E477,$E$469:$E$487),)</f>
        <v>0</v>
      </c>
      <c r="K477" s="107">
        <f>IF(F477&gt;0,RANK(F477,$F$469:$F$487),)</f>
        <v>0</v>
      </c>
      <c r="L477" s="175"/>
      <c r="M477" s="840">
        <f>+'[1]NEW-Tables 80-86'!AD201</f>
        <v>0</v>
      </c>
      <c r="N477" s="73"/>
      <c r="O477" s="73"/>
      <c r="P477" s="73"/>
      <c r="Q477" s="73"/>
    </row>
    <row r="478" spans="1:17" s="112" customFormat="1" x14ac:dyDescent="0.2">
      <c r="A478" s="194"/>
      <c r="B478" s="194"/>
      <c r="C478" s="194"/>
      <c r="D478" s="194"/>
      <c r="E478" s="194"/>
      <c r="F478" s="194"/>
      <c r="G478" s="198"/>
      <c r="H478" s="194"/>
      <c r="I478" s="194"/>
      <c r="J478" s="194"/>
      <c r="K478" s="194"/>
      <c r="L478" s="196"/>
      <c r="M478" s="840"/>
      <c r="N478" s="110"/>
      <c r="O478" s="110"/>
      <c r="P478" s="110"/>
      <c r="Q478" s="110"/>
    </row>
    <row r="479" spans="1:17" s="61" customFormat="1" ht="12.75" customHeight="1" x14ac:dyDescent="0.2">
      <c r="A479" s="73" t="s">
        <v>323</v>
      </c>
      <c r="B479" s="75">
        <f>IF($M479&gt;0,('Amounts Pivot Table'!P$319/$M479),0)</f>
        <v>0</v>
      </c>
      <c r="C479" s="75">
        <f>IF($M479&gt;0,('Amounts Pivot Table'!P$322/$M479),0)</f>
        <v>0</v>
      </c>
      <c r="D479" s="75">
        <f>IF($M479&gt;0,('Amounts Pivot Table'!P$325/$M479),0)</f>
        <v>0</v>
      </c>
      <c r="E479" s="75">
        <f>IF($M479&gt;0,('Amounts Pivot Table'!P$328/$M479),0)</f>
        <v>0</v>
      </c>
      <c r="F479" s="75">
        <f t="shared" si="77"/>
        <v>0</v>
      </c>
      <c r="G479" s="116">
        <f>IF(B479&gt;0,RANK(B479,$B$469:$B$487),)</f>
        <v>0</v>
      </c>
      <c r="H479" s="107">
        <f>IF(C479&gt;0,RANK(C479,$C$469:$C$487),)</f>
        <v>0</v>
      </c>
      <c r="I479" s="107">
        <f>IF(D479&gt;0,RANK(D479,$D$469:$D$487),)</f>
        <v>0</v>
      </c>
      <c r="J479" s="107">
        <f>IF(E479&gt;0,RANK(E479,$E$469:$E$487),)</f>
        <v>0</v>
      </c>
      <c r="K479" s="107">
        <f>IF(F479&gt;0,RANK(F479,$F$469:$F$487),)</f>
        <v>0</v>
      </c>
      <c r="L479" s="168"/>
      <c r="M479" s="840">
        <f>+'[1]NEW-Tables 80-86'!AD203</f>
        <v>0</v>
      </c>
      <c r="N479" s="73"/>
      <c r="O479" s="73"/>
      <c r="P479" s="73"/>
      <c r="Q479" s="73"/>
    </row>
    <row r="480" spans="1:17" s="61" customFormat="1" ht="12.75" customHeight="1" x14ac:dyDescent="0.2">
      <c r="A480" s="73" t="s">
        <v>324</v>
      </c>
      <c r="B480" s="75">
        <f>IF($M480&gt;0,('Amounts Pivot Table'!P$358/$M480),0)</f>
        <v>0</v>
      </c>
      <c r="C480" s="75">
        <f>IF($M480&gt;0,('Amounts Pivot Table'!P$361/$M480),0)</f>
        <v>0</v>
      </c>
      <c r="D480" s="75">
        <f>IF($M480&gt;0,('Amounts Pivot Table'!P$364/$M480),0)</f>
        <v>0</v>
      </c>
      <c r="E480" s="75">
        <f>IF($M480&gt;0,('Amounts Pivot Table'!P$367/$M480),0)</f>
        <v>0</v>
      </c>
      <c r="F480" s="75">
        <f t="shared" si="77"/>
        <v>0</v>
      </c>
      <c r="G480" s="116">
        <f>IF(B480&gt;0,RANK(B480,$B$469:$B$487),)</f>
        <v>0</v>
      </c>
      <c r="H480" s="107">
        <f>IF(C480&gt;0,RANK(C480,$C$469:$C$487),)</f>
        <v>0</v>
      </c>
      <c r="I480" s="107">
        <f>IF(D480&gt;0,RANK(D480,$D$469:$D$487),)</f>
        <v>0</v>
      </c>
      <c r="J480" s="107">
        <f>IF(E480&gt;0,RANK(E480,$E$469:$E$487),)</f>
        <v>0</v>
      </c>
      <c r="K480" s="107">
        <f>IF(F480&gt;0,RANK(F480,$F$469:$F$487),)</f>
        <v>0</v>
      </c>
      <c r="L480" s="175"/>
      <c r="M480" s="840">
        <f>+'[1]NEW-Tables 80-86'!AD204</f>
        <v>0</v>
      </c>
      <c r="N480" s="73"/>
      <c r="O480" s="73"/>
      <c r="P480" s="73"/>
      <c r="Q480" s="73"/>
    </row>
    <row r="481" spans="1:17" s="61" customFormat="1" ht="12.75" customHeight="1" x14ac:dyDescent="0.2">
      <c r="A481" s="73" t="s">
        <v>331</v>
      </c>
      <c r="B481" s="75">
        <f>IF($M481&gt;0,('Amounts Pivot Table'!P$397/$M481),0)</f>
        <v>3604.7000487650603</v>
      </c>
      <c r="C481" s="75">
        <f>IF($M481&gt;0,('Amounts Pivot Table'!P$400/$M481),0)</f>
        <v>0</v>
      </c>
      <c r="D481" s="75">
        <f>IF($M481&gt;0,('Amounts Pivot Table'!P$403/$M481),0)</f>
        <v>0</v>
      </c>
      <c r="E481" s="75">
        <f>IF($M481&gt;0,('Amounts Pivot Table'!P$406/$M481),0)</f>
        <v>1342.496763016886</v>
      </c>
      <c r="F481" s="75">
        <f t="shared" si="77"/>
        <v>4947.1968117819461</v>
      </c>
      <c r="G481" s="116">
        <f>IF(B481&gt;0,RANK(B481,$B$469:$B$487),)</f>
        <v>2</v>
      </c>
      <c r="H481" s="107">
        <f>IF(C481&gt;0,RANK(C481,$C$469:$C$487),)</f>
        <v>0</v>
      </c>
      <c r="I481" s="107">
        <f>IF(D481&gt;0,RANK(D481,$D$469:$D$487),)</f>
        <v>0</v>
      </c>
      <c r="J481" s="107">
        <f>IF(E481&gt;0,RANK(E481,$E$469:$E$487),)</f>
        <v>6</v>
      </c>
      <c r="K481" s="107">
        <f>IF(F481&gt;0,RANK(F481,$F$469:$F$487),)</f>
        <v>6</v>
      </c>
      <c r="L481" s="168"/>
      <c r="M481" s="840">
        <f>+'[1]NEW-Tables 80-86'!AD205</f>
        <v>3864.6067111111106</v>
      </c>
      <c r="N481" s="73"/>
      <c r="O481" s="73"/>
      <c r="P481" s="73"/>
      <c r="Q481" s="73"/>
    </row>
    <row r="482" spans="1:17" s="61" customFormat="1" ht="12.75" customHeight="1" x14ac:dyDescent="0.2">
      <c r="A482" s="73" t="s">
        <v>325</v>
      </c>
      <c r="B482" s="75">
        <f>IF($M482&gt;0,('Amounts Pivot Table'!P$436/$M482),0)</f>
        <v>0</v>
      </c>
      <c r="C482" s="75">
        <f>IF($M482&gt;0,('Amounts Pivot Table'!P$439/$M482),0)</f>
        <v>0</v>
      </c>
      <c r="D482" s="75">
        <f>IF($M482&gt;0,('Amounts Pivot Table'!P$442/$M482),0)</f>
        <v>0</v>
      </c>
      <c r="E482" s="75">
        <f>IF($M482&gt;0,('Amounts Pivot Table'!P$445/$M482),0)</f>
        <v>0</v>
      </c>
      <c r="F482" s="75">
        <f t="shared" si="77"/>
        <v>0</v>
      </c>
      <c r="G482" s="116">
        <f>IF(B482&gt;0,RANK(B482,$B$469:$B$487),)</f>
        <v>0</v>
      </c>
      <c r="H482" s="107">
        <f>IF(C482&gt;0,RANK(C482,$C$469:$C$487),)</f>
        <v>0</v>
      </c>
      <c r="I482" s="107">
        <f>IF(D482&gt;0,RANK(D482,$D$469:$D$487),)</f>
        <v>0</v>
      </c>
      <c r="J482" s="107">
        <f>IF(E482&gt;0,RANK(E482,$E$469:$E$487),)</f>
        <v>0</v>
      </c>
      <c r="K482" s="107">
        <f>IF(F482&gt;0,RANK(F482,$F$469:$F$487),)</f>
        <v>0</v>
      </c>
      <c r="L482" s="168"/>
      <c r="M482" s="840">
        <f>+'[1]NEW-Tables 80-86'!AD206</f>
        <v>0</v>
      </c>
      <c r="N482" s="73"/>
      <c r="O482" s="73"/>
      <c r="P482" s="73"/>
      <c r="Q482" s="73"/>
    </row>
    <row r="483" spans="1:17" s="112" customFormat="1" x14ac:dyDescent="0.2">
      <c r="A483" s="194"/>
      <c r="B483" s="194"/>
      <c r="C483" s="194"/>
      <c r="D483" s="194"/>
      <c r="E483" s="194"/>
      <c r="F483" s="194"/>
      <c r="G483" s="198"/>
      <c r="H483" s="194"/>
      <c r="I483" s="194"/>
      <c r="J483" s="194"/>
      <c r="K483" s="194"/>
      <c r="L483" s="196"/>
      <c r="M483" s="840"/>
      <c r="N483" s="110"/>
      <c r="O483" s="110"/>
      <c r="P483" s="110"/>
      <c r="Q483" s="110"/>
    </row>
    <row r="484" spans="1:17" s="61" customFormat="1" ht="12.75" customHeight="1" x14ac:dyDescent="0.2">
      <c r="A484" s="73" t="s">
        <v>90</v>
      </c>
      <c r="B484" s="75">
        <f>IF($M484&gt;0,('Amounts Pivot Table'!P$475/$M484),0)</f>
        <v>3117.7170181586885</v>
      </c>
      <c r="C484" s="75">
        <f>IF($M484&gt;0,('Amounts Pivot Table'!P$478/$M484),0)</f>
        <v>0</v>
      </c>
      <c r="D484" s="75">
        <f>IF($M484&gt;0,('Amounts Pivot Table'!P$481/$M484),0)</f>
        <v>0</v>
      </c>
      <c r="E484" s="75">
        <f>IF($M484&gt;0,('Amounts Pivot Table'!P$484/$M484),0)</f>
        <v>2462.8813994369448</v>
      </c>
      <c r="F484" s="75">
        <f t="shared" si="77"/>
        <v>5580.5984175956328</v>
      </c>
      <c r="G484" s="116">
        <f>IF(B484&gt;0,RANK(B484,$B$469:$B$487),)</f>
        <v>4</v>
      </c>
      <c r="H484" s="107">
        <f>IF(C484&gt;0,RANK(C484,$C$469:$C$487),)</f>
        <v>0</v>
      </c>
      <c r="I484" s="107">
        <f>IF(D484&gt;0,RANK(D484,$D$469:$D$487),)</f>
        <v>0</v>
      </c>
      <c r="J484" s="107">
        <f>IF(E484&gt;0,RANK(E484,$E$469:$E$487),)</f>
        <v>5</v>
      </c>
      <c r="K484" s="107">
        <f>IF(F484&gt;0,RANK(F484,$F$469:$F$487),)</f>
        <v>4</v>
      </c>
      <c r="L484" s="168"/>
      <c r="M484" s="840">
        <f>+'[1]NEW-Tables 80-86'!AD208</f>
        <v>1086.5322222222221</v>
      </c>
      <c r="N484" s="73"/>
      <c r="O484" s="73"/>
      <c r="P484" s="73"/>
      <c r="Q484" s="73"/>
    </row>
    <row r="485" spans="1:17" s="76" customFormat="1" ht="12.75" customHeight="1" x14ac:dyDescent="0.2">
      <c r="A485" s="73" t="s">
        <v>326</v>
      </c>
      <c r="B485" s="75">
        <f>IF($M485&gt;0,('Amounts Pivot Table'!P$514/$M485),0)</f>
        <v>0</v>
      </c>
      <c r="C485" s="75">
        <f>IF($M485&gt;0,('Amounts Pivot Table'!P$517/$M485),0)</f>
        <v>0</v>
      </c>
      <c r="D485" s="75">
        <f>IF($M485&gt;0,('Amounts Pivot Table'!P$520/$M485),0)</f>
        <v>0</v>
      </c>
      <c r="E485" s="75">
        <f>IF($M485&gt;0,('Amounts Pivot Table'!P$523/$M485),0)</f>
        <v>0</v>
      </c>
      <c r="F485" s="75">
        <f t="shared" si="77"/>
        <v>0</v>
      </c>
      <c r="G485" s="116">
        <f>IF(B485&gt;0,RANK(B485,$B$469:$B$487),)</f>
        <v>0</v>
      </c>
      <c r="H485" s="107">
        <f>IF(C485&gt;0,RANK(C485,$C$469:$C$487),)</f>
        <v>0</v>
      </c>
      <c r="I485" s="107">
        <f>IF(D485&gt;0,RANK(D485,$D$469:$D$487),)</f>
        <v>0</v>
      </c>
      <c r="J485" s="107">
        <f>IF(E485&gt;0,RANK(E485,$E$469:$E$487),)</f>
        <v>0</v>
      </c>
      <c r="K485" s="107">
        <f>IF(F485&gt;0,RANK(F485,$F$469:$F$487),)</f>
        <v>0</v>
      </c>
      <c r="L485" s="168"/>
      <c r="M485" s="840">
        <f>+'[1]NEW-Tables 80-86'!AD209</f>
        <v>0</v>
      </c>
      <c r="N485" s="90"/>
      <c r="O485" s="90"/>
      <c r="P485" s="90"/>
      <c r="Q485" s="90"/>
    </row>
    <row r="486" spans="1:17" s="61" customFormat="1" ht="12.75" customHeight="1" x14ac:dyDescent="0.2">
      <c r="A486" s="73" t="s">
        <v>327</v>
      </c>
      <c r="B486" s="75">
        <f>IF($M486&gt;0,('Amounts Pivot Table'!P$553/$M486),0)</f>
        <v>0</v>
      </c>
      <c r="C486" s="75">
        <f>IF($M486&gt;0,('Amounts Pivot Table'!P$556/$M486),0)</f>
        <v>0</v>
      </c>
      <c r="D486" s="75">
        <f>IF($M486&gt;0,('Amounts Pivot Table'!P$559/$M486),0)</f>
        <v>0</v>
      </c>
      <c r="E486" s="75">
        <f>IF($M486&gt;0,('Amounts Pivot Table'!P$562/$M486),0)</f>
        <v>0</v>
      </c>
      <c r="F486" s="75">
        <f t="shared" si="77"/>
        <v>0</v>
      </c>
      <c r="G486" s="116">
        <f>IF(B486&gt;0,RANK(B486,$B$469:$B$487),)</f>
        <v>0</v>
      </c>
      <c r="H486" s="107">
        <f>IF(C486&gt;0,RANK(C486,$C$469:$C$487),)</f>
        <v>0</v>
      </c>
      <c r="I486" s="107">
        <f>IF(D486&gt;0,RANK(D486,$D$469:$D$487),)</f>
        <v>0</v>
      </c>
      <c r="J486" s="107">
        <f>IF(E486&gt;0,RANK(E486,$E$469:$E$487),)</f>
        <v>0</v>
      </c>
      <c r="K486" s="107">
        <f>IF(F486&gt;0,RANK(F486,$F$469:$F$487),)</f>
        <v>0</v>
      </c>
      <c r="L486" s="175"/>
      <c r="M486" s="840">
        <f>+'[1]NEW-Tables 80-86'!AD210</f>
        <v>0</v>
      </c>
      <c r="N486" s="73"/>
      <c r="O486" s="73"/>
      <c r="P486" s="73"/>
      <c r="Q486" s="73"/>
    </row>
    <row r="487" spans="1:17" s="61" customFormat="1" ht="17.25" customHeight="1" x14ac:dyDescent="0.2">
      <c r="A487" s="74" t="s">
        <v>332</v>
      </c>
      <c r="B487" s="104">
        <f>IF($M487&gt;0,('Amounts Pivot Table'!P$592/$M487),0)</f>
        <v>0</v>
      </c>
      <c r="C487" s="104">
        <f>IF($M487&gt;0,('Amounts Pivot Table'!P$595/$M487),0)</f>
        <v>0</v>
      </c>
      <c r="D487" s="104">
        <f>IF($M487&gt;0,('Amounts Pivot Table'!P$598/$M487),0)</f>
        <v>0</v>
      </c>
      <c r="E487" s="104">
        <f>IF($M487&gt;0,('Amounts Pivot Table'!P$601/$M487),0)</f>
        <v>0</v>
      </c>
      <c r="F487" s="105">
        <f t="shared" si="77"/>
        <v>0</v>
      </c>
      <c r="G487" s="117">
        <f>IF(B487&gt;0,RANK(B487,$B$469:$B$487),)</f>
        <v>0</v>
      </c>
      <c r="H487" s="118">
        <f>IF(C487&gt;0,RANK(C487,$C$469:$C$487),)</f>
        <v>0</v>
      </c>
      <c r="I487" s="118">
        <f>IF(D487&gt;0,RANK(D487,$D$469:$D$487),)</f>
        <v>0</v>
      </c>
      <c r="J487" s="118">
        <f>IF(E487&gt;0,RANK(E487,$E$469:$E$487),)</f>
        <v>0</v>
      </c>
      <c r="K487" s="118">
        <f>IF(F487&gt;0,RANK(F487,$F$469:$F$487),)</f>
        <v>0</v>
      </c>
      <c r="L487" s="168"/>
      <c r="M487" s="840">
        <f>+'[1]NEW-Tables 80-86'!AD211</f>
        <v>0</v>
      </c>
      <c r="N487" s="73"/>
      <c r="O487" s="73"/>
      <c r="P487" s="73"/>
      <c r="Q487" s="73"/>
    </row>
    <row r="488" spans="1:17" s="76" customFormat="1" ht="34.5" customHeight="1" x14ac:dyDescent="0.2">
      <c r="A488" s="1558" t="s">
        <v>17</v>
      </c>
      <c r="B488" s="1582"/>
      <c r="C488" s="1582"/>
      <c r="D488" s="1582"/>
      <c r="E488" s="1582"/>
      <c r="F488" s="1582"/>
      <c r="G488" s="1582"/>
      <c r="H488" s="1582"/>
      <c r="I488" s="1582"/>
      <c r="J488" s="1582"/>
      <c r="K488" s="1582"/>
      <c r="L488" s="169"/>
      <c r="M488" s="296"/>
      <c r="N488" s="90"/>
      <c r="O488" s="90"/>
      <c r="P488" s="90"/>
      <c r="Q488" s="90"/>
    </row>
    <row r="489" spans="1:17" s="205" customFormat="1" ht="13.5" customHeight="1" x14ac:dyDescent="0.15">
      <c r="A489" s="1558" t="s">
        <v>54</v>
      </c>
      <c r="B489" s="1582"/>
      <c r="C489" s="1582"/>
      <c r="D489" s="1582"/>
      <c r="E489" s="1582"/>
      <c r="F489" s="1582"/>
      <c r="G489" s="1582"/>
      <c r="H489" s="1582"/>
      <c r="I489" s="1582"/>
      <c r="J489" s="1582"/>
      <c r="K489" s="1582"/>
      <c r="L489" s="204"/>
      <c r="M489" s="302"/>
      <c r="N489" s="206"/>
      <c r="O489" s="206"/>
      <c r="P489" s="206"/>
      <c r="Q489" s="206"/>
    </row>
    <row r="490" spans="1:17" s="61" customFormat="1" ht="13.5" customHeight="1" x14ac:dyDescent="0.2">
      <c r="A490" s="1558" t="s">
        <v>233</v>
      </c>
      <c r="B490" s="1583"/>
      <c r="C490" s="1583"/>
      <c r="D490" s="1583"/>
      <c r="E490" s="1583"/>
      <c r="F490" s="1583"/>
      <c r="G490" s="1584"/>
      <c r="H490" s="1584"/>
      <c r="I490" s="1584"/>
      <c r="J490" s="1584"/>
      <c r="K490" s="1584"/>
      <c r="L490" s="171"/>
      <c r="M490" s="300"/>
      <c r="N490" s="73"/>
      <c r="O490" s="73"/>
      <c r="P490" s="73"/>
      <c r="Q490" s="73"/>
    </row>
    <row r="491" spans="1:17" s="61" customFormat="1" x14ac:dyDescent="0.2">
      <c r="A491" s="187"/>
      <c r="B491" s="106"/>
      <c r="C491" s="106"/>
      <c r="D491" s="106"/>
      <c r="E491" s="106"/>
      <c r="F491" s="106"/>
      <c r="G491" s="188"/>
      <c r="H491" s="188"/>
      <c r="I491" s="188"/>
      <c r="J491" s="188"/>
      <c r="K491" s="535" t="s">
        <v>1898</v>
      </c>
      <c r="L491" s="171"/>
      <c r="M491" s="303"/>
      <c r="N491" s="73"/>
      <c r="O491" s="73"/>
      <c r="P491" s="73"/>
      <c r="Q491" s="73"/>
    </row>
    <row r="492" spans="1:17" s="61" customFormat="1" ht="18.75" customHeight="1" x14ac:dyDescent="0.2">
      <c r="A492" s="135" t="s">
        <v>373</v>
      </c>
      <c r="B492" s="135"/>
      <c r="C492" s="135"/>
      <c r="D492" s="135"/>
      <c r="E492" s="135"/>
      <c r="F492" s="135"/>
      <c r="G492" s="135"/>
      <c r="H492" s="135"/>
      <c r="I492" s="135"/>
      <c r="J492" s="566"/>
      <c r="K492" s="135"/>
      <c r="L492" s="170"/>
      <c r="M492" s="296"/>
      <c r="N492" s="73"/>
      <c r="O492" s="73"/>
      <c r="P492" s="73"/>
      <c r="Q492" s="73"/>
    </row>
    <row r="493" spans="1:17" s="61" customFormat="1" ht="18.75" customHeight="1" x14ac:dyDescent="0.2">
      <c r="A493" s="135"/>
      <c r="B493" s="135"/>
      <c r="C493" s="135"/>
      <c r="D493" s="135"/>
      <c r="E493" s="135"/>
      <c r="F493" s="135"/>
      <c r="G493" s="135"/>
      <c r="H493" s="135"/>
      <c r="I493" s="135"/>
      <c r="J493" s="566"/>
      <c r="K493" s="135"/>
      <c r="L493" s="170"/>
      <c r="M493" s="296"/>
      <c r="N493" s="73"/>
      <c r="O493" s="73"/>
      <c r="P493" s="73"/>
      <c r="Q493" s="73"/>
    </row>
    <row r="494" spans="1:17" s="61" customFormat="1" ht="18.75" x14ac:dyDescent="0.2">
      <c r="A494" s="1557" t="s">
        <v>18</v>
      </c>
      <c r="B494" s="1557"/>
      <c r="C494" s="1557"/>
      <c r="D494" s="1557"/>
      <c r="E494" s="1557"/>
      <c r="F494" s="1557"/>
      <c r="G494" s="1557"/>
      <c r="H494" s="1557"/>
      <c r="I494" s="1557"/>
      <c r="J494" s="1557"/>
      <c r="K494" s="1557"/>
      <c r="L494" s="165"/>
      <c r="M494" s="296"/>
      <c r="N494" s="73"/>
      <c r="O494" s="73"/>
      <c r="P494" s="73"/>
      <c r="Q494" s="73"/>
    </row>
    <row r="495" spans="1:17" s="61" customFormat="1" ht="15.75" customHeight="1" x14ac:dyDescent="0.2">
      <c r="A495" s="1557" t="s">
        <v>1914</v>
      </c>
      <c r="B495" s="1557"/>
      <c r="C495" s="1557"/>
      <c r="D495" s="1557"/>
      <c r="E495" s="1557"/>
      <c r="F495" s="1557"/>
      <c r="G495" s="1557"/>
      <c r="H495" s="1557"/>
      <c r="I495" s="1557"/>
      <c r="J495" s="1557"/>
      <c r="K495" s="1557"/>
      <c r="L495" s="165"/>
      <c r="M495" s="307"/>
      <c r="N495" s="73"/>
      <c r="O495" s="73"/>
      <c r="P495" s="73"/>
      <c r="Q495" s="73"/>
    </row>
    <row r="496" spans="1:17" s="61" customFormat="1" ht="9.75" customHeight="1" x14ac:dyDescent="0.2">
      <c r="A496" s="91"/>
      <c r="B496" s="91"/>
      <c r="C496" s="91"/>
      <c r="D496" s="91"/>
      <c r="E496" s="91"/>
      <c r="F496" s="91"/>
      <c r="G496" s="108"/>
      <c r="H496" s="91"/>
      <c r="I496" s="91"/>
      <c r="J496" s="91"/>
      <c r="K496" s="91"/>
      <c r="L496" s="165"/>
      <c r="M496" s="296"/>
      <c r="N496" s="73"/>
      <c r="O496" s="73"/>
      <c r="P496" s="73"/>
      <c r="Q496" s="73"/>
    </row>
    <row r="497" spans="1:17" s="59" customFormat="1" ht="15.75" customHeight="1" x14ac:dyDescent="0.2">
      <c r="A497" s="56"/>
      <c r="B497" s="1580" t="s">
        <v>55</v>
      </c>
      <c r="C497" s="1581"/>
      <c r="D497" s="1581"/>
      <c r="E497" s="1581"/>
      <c r="F497" s="1581"/>
      <c r="G497" s="1587" t="s">
        <v>119</v>
      </c>
      <c r="H497" s="1588"/>
      <c r="I497" s="1588"/>
      <c r="J497" s="1588"/>
      <c r="K497" s="1588"/>
      <c r="L497" s="173"/>
      <c r="M497" s="296"/>
      <c r="N497" s="89"/>
      <c r="O497" s="89"/>
      <c r="P497" s="89"/>
      <c r="Q497" s="89"/>
    </row>
    <row r="498" spans="1:17" s="6" customFormat="1" ht="47.25" customHeight="1" x14ac:dyDescent="0.2">
      <c r="A498" s="50"/>
      <c r="B498" s="550" t="s">
        <v>87</v>
      </c>
      <c r="C498" s="551" t="s">
        <v>89</v>
      </c>
      <c r="D498" s="551" t="s">
        <v>88</v>
      </c>
      <c r="E498" s="551" t="s">
        <v>398</v>
      </c>
      <c r="F498" s="551" t="s">
        <v>97</v>
      </c>
      <c r="G498" s="552" t="s">
        <v>87</v>
      </c>
      <c r="H498" s="551" t="s">
        <v>89</v>
      </c>
      <c r="I498" s="551" t="s">
        <v>88</v>
      </c>
      <c r="J498" s="551" t="s">
        <v>398</v>
      </c>
      <c r="K498" s="551" t="s">
        <v>97</v>
      </c>
      <c r="L498" s="167"/>
      <c r="M498" s="296" t="s">
        <v>260</v>
      </c>
      <c r="N498" s="7"/>
      <c r="O498" s="7"/>
      <c r="P498" s="7"/>
      <c r="Q498" s="7"/>
    </row>
    <row r="499" spans="1:17" s="61" customFormat="1" ht="16.5" customHeight="1" x14ac:dyDescent="0.2">
      <c r="A499" s="73" t="s">
        <v>56</v>
      </c>
      <c r="B499" s="102">
        <f>IF($M499&gt;0,('Amounts Pivot Table'!Q$631/$M499),0)</f>
        <v>5499.1481495523685</v>
      </c>
      <c r="C499" s="102">
        <f>IF($M499&gt;0,('Amounts Pivot Table'!Q$634/$M499),0)</f>
        <v>42.774254081127403</v>
      </c>
      <c r="D499" s="102">
        <f>IF($M499&gt;0,('Amounts Pivot Table'!Q$637/$M499),0)</f>
        <v>0.10607825768507885</v>
      </c>
      <c r="E499" s="102">
        <f>IF($M499&gt;0,('Amounts Pivot Table'!Q$640/$M499),0)</f>
        <v>1997.0693414012803</v>
      </c>
      <c r="F499" s="102">
        <f>SUM(B499:E499)</f>
        <v>7539.0978232924617</v>
      </c>
      <c r="G499" s="114"/>
      <c r="H499" s="115"/>
      <c r="I499" s="115"/>
      <c r="J499" s="115"/>
      <c r="K499" s="115"/>
      <c r="L499" s="168"/>
      <c r="M499" s="840">
        <f>+'[1]NEW-Tables 80-86'!AE191</f>
        <v>28281.007488888885</v>
      </c>
      <c r="N499" s="73"/>
      <c r="O499" s="73"/>
      <c r="P499" s="73"/>
      <c r="Q499" s="73"/>
    </row>
    <row r="500" spans="1:17" s="112" customFormat="1" x14ac:dyDescent="0.2">
      <c r="A500" s="110"/>
      <c r="B500" s="190"/>
      <c r="C500" s="190"/>
      <c r="D500" s="190"/>
      <c r="E500" s="190"/>
      <c r="F500" s="190"/>
      <c r="G500" s="191"/>
      <c r="H500" s="192"/>
      <c r="I500" s="192"/>
      <c r="J500" s="192"/>
      <c r="K500" s="192"/>
      <c r="L500" s="175"/>
      <c r="M500" s="840"/>
      <c r="N500" s="110"/>
      <c r="O500" s="110"/>
      <c r="P500" s="110"/>
      <c r="Q500" s="110"/>
    </row>
    <row r="501" spans="1:17" s="61" customFormat="1" ht="12.75" customHeight="1" x14ac:dyDescent="0.2">
      <c r="A501" s="73" t="s">
        <v>320</v>
      </c>
      <c r="B501" s="75">
        <f>IF($M501&gt;0,('Amounts Pivot Table'!Q$7/$M501),0)</f>
        <v>7954.7715616934265</v>
      </c>
      <c r="C501" s="75">
        <f>IF($M501&gt;0,('Amounts Pivot Table'!Q$10/$M501),0)</f>
        <v>608.23534341165816</v>
      </c>
      <c r="D501" s="75">
        <f>IF($M501&gt;0,('Amounts Pivot Table'!Q$13/$M501),0)</f>
        <v>1.5083967418630375</v>
      </c>
      <c r="E501" s="75">
        <f>IF($M501&gt;0,('Amounts Pivot Table'!Q$16/$M501),0)</f>
        <v>3827.6130459558203</v>
      </c>
      <c r="F501" s="75">
        <f t="shared" ref="F501:F519" si="78">SUM(B501:E501)</f>
        <v>12392.128347802769</v>
      </c>
      <c r="G501" s="116">
        <f>IF(B501&gt;0,RANK(B501,$B$501:$B$519),)</f>
        <v>1</v>
      </c>
      <c r="H501" s="107">
        <f>IF(C501&gt;0,RANK(C501,$C$501:$C$519),)</f>
        <v>1</v>
      </c>
      <c r="I501" s="107">
        <f>IF(D501&gt;0,RANK(D501,$D$501:$D$519),)</f>
        <v>1</v>
      </c>
      <c r="J501" s="107">
        <f>IF(E501&gt;0,RANK(E501,$E$501:$E$519),)</f>
        <v>1</v>
      </c>
      <c r="K501" s="107">
        <f>IF(F501&gt;0,RANK(F501,$F$501:$F$519),)</f>
        <v>1</v>
      </c>
      <c r="L501" s="168"/>
      <c r="M501" s="840">
        <f>+'[1]NEW-Tables 80-86'!AE193</f>
        <v>1988.8666666666668</v>
      </c>
      <c r="N501" s="73"/>
      <c r="O501" s="73"/>
      <c r="P501" s="73"/>
      <c r="Q501" s="73"/>
    </row>
    <row r="502" spans="1:17" s="61" customFormat="1" ht="12.75" customHeight="1" x14ac:dyDescent="0.2">
      <c r="A502" s="73" t="s">
        <v>334</v>
      </c>
      <c r="B502" s="75">
        <f>IF($M502&gt;0,('Amounts Pivot Table'!Q$46/$M502),0)</f>
        <v>0</v>
      </c>
      <c r="C502" s="75">
        <f>IF($M502&gt;0,('Amounts Pivot Table'!Q$49/$M502),0)</f>
        <v>0</v>
      </c>
      <c r="D502" s="75">
        <f>IF($M502&gt;0,('Amounts Pivot Table'!Q$52/$M502),0)</f>
        <v>0</v>
      </c>
      <c r="E502" s="75">
        <f>IF($M502&gt;0,('Amounts Pivot Table'!Q$55/$M502),0)</f>
        <v>0</v>
      </c>
      <c r="F502" s="75">
        <f t="shared" si="78"/>
        <v>0</v>
      </c>
      <c r="G502" s="116">
        <f>IF(B502&gt;0,RANK(B502,$B$501:$B$519),)</f>
        <v>0</v>
      </c>
      <c r="H502" s="107">
        <f>IF(C502&gt;0,RANK(C502,$C$501:$C$519),)</f>
        <v>0</v>
      </c>
      <c r="I502" s="107">
        <f>IF(D502&gt;0,RANK(D502,$D$501:$D$519),)</f>
        <v>0</v>
      </c>
      <c r="J502" s="107">
        <f>IF(E502&gt;0,RANK(E502,$E$501:$E$519),)</f>
        <v>0</v>
      </c>
      <c r="K502" s="107">
        <f>IF(F502&gt;0,RANK(F502,$F$501:$F$519),)</f>
        <v>0</v>
      </c>
      <c r="L502" s="168"/>
      <c r="M502" s="840">
        <f>+'[1]NEW-Tables 80-86'!AE194</f>
        <v>0</v>
      </c>
      <c r="N502" s="73"/>
      <c r="O502" s="73"/>
      <c r="P502" s="73"/>
      <c r="Q502" s="73"/>
    </row>
    <row r="503" spans="1:17" s="61" customFormat="1" ht="12.75" customHeight="1" x14ac:dyDescent="0.2">
      <c r="A503" s="73" t="s">
        <v>321</v>
      </c>
      <c r="B503" s="75">
        <f>IF($M503&gt;0,('Amounts Pivot Table'!Q$85/$M503),0)</f>
        <v>0</v>
      </c>
      <c r="C503" s="75">
        <f>IF($M503&gt;0,('Amounts Pivot Table'!Q$88/$M503),0)</f>
        <v>0</v>
      </c>
      <c r="D503" s="75">
        <f>IF($M503&gt;0,('Amounts Pivot Table'!Q$91/$M503),0)</f>
        <v>0</v>
      </c>
      <c r="E503" s="75">
        <f>IF($M503&gt;0,('Amounts Pivot Table'!Q$94/$M503),0)</f>
        <v>0</v>
      </c>
      <c r="F503" s="75">
        <f t="shared" si="78"/>
        <v>0</v>
      </c>
      <c r="G503" s="116">
        <f>IF(B503&gt;0,RANK(B503,$B$501:$B$519),)</f>
        <v>0</v>
      </c>
      <c r="H503" s="107">
        <f>IF(C503&gt;0,RANK(C503,$C$501:$C$519),)</f>
        <v>0</v>
      </c>
      <c r="I503" s="107">
        <f>IF(D503&gt;0,RANK(D503,$D$501:$D$519),)</f>
        <v>0</v>
      </c>
      <c r="J503" s="107">
        <f>IF(E503&gt;0,RANK(E503,$E$501:$E$519),)</f>
        <v>0</v>
      </c>
      <c r="K503" s="107">
        <f>IF(F503&gt;0,RANK(F503,$F$501:$F$519),)</f>
        <v>0</v>
      </c>
      <c r="L503" s="168"/>
      <c r="M503" s="840">
        <f>+'[1]NEW-Tables 80-86'!AE195</f>
        <v>0</v>
      </c>
      <c r="N503" s="73"/>
      <c r="O503" s="73"/>
      <c r="P503" s="73"/>
      <c r="Q503" s="73"/>
    </row>
    <row r="504" spans="1:17" s="61" customFormat="1" ht="12.75" customHeight="1" x14ac:dyDescent="0.2">
      <c r="A504" s="73" t="s">
        <v>328</v>
      </c>
      <c r="B504" s="75">
        <f>IF($M504&gt;0,('Amounts Pivot Table'!Q$124/$M504),0)</f>
        <v>0</v>
      </c>
      <c r="C504" s="75">
        <f>IF($M504&gt;0,('Amounts Pivot Table'!Q$127/$M504),0)</f>
        <v>0</v>
      </c>
      <c r="D504" s="75">
        <f>IF($M504&gt;0,('Amounts Pivot Table'!Q$130/$M504),0)</f>
        <v>0</v>
      </c>
      <c r="E504" s="75">
        <f>IF($M504&gt;0,('Amounts Pivot Table'!Q$133/$M504),0)</f>
        <v>0</v>
      </c>
      <c r="F504" s="75">
        <f t="shared" si="78"/>
        <v>0</v>
      </c>
      <c r="G504" s="116">
        <f>IF(B504&gt;0,RANK(B504,$B$501:$B$519),)</f>
        <v>0</v>
      </c>
      <c r="H504" s="107">
        <f>IF(C504&gt;0,RANK(C504,$C$501:$C$519),)</f>
        <v>0</v>
      </c>
      <c r="I504" s="107">
        <f>IF(D504&gt;0,RANK(D504,$D$501:$D$519),)</f>
        <v>0</v>
      </c>
      <c r="J504" s="107">
        <f>IF(E504&gt;0,RANK(E504,$E$501:$E$519),)</f>
        <v>0</v>
      </c>
      <c r="K504" s="107">
        <f>IF(F504&gt;0,RANK(F504,$F$501:$F$519),)</f>
        <v>0</v>
      </c>
      <c r="L504" s="168"/>
      <c r="M504" s="840">
        <f>+'[1]NEW-Tables 80-86'!AE196</f>
        <v>0</v>
      </c>
      <c r="N504" s="73"/>
      <c r="O504" s="73"/>
      <c r="P504" s="73"/>
      <c r="Q504" s="73"/>
    </row>
    <row r="505" spans="1:17" s="112" customFormat="1" x14ac:dyDescent="0.2">
      <c r="A505" s="110"/>
      <c r="B505" s="111"/>
      <c r="C505" s="111"/>
      <c r="D505" s="111"/>
      <c r="E505" s="111"/>
      <c r="F505" s="111"/>
      <c r="G505" s="119"/>
      <c r="H505" s="120"/>
      <c r="I505" s="120"/>
      <c r="J505" s="120"/>
      <c r="K505" s="120"/>
      <c r="L505" s="175"/>
      <c r="M505" s="840"/>
      <c r="N505" s="110"/>
      <c r="O505" s="110"/>
      <c r="P505" s="110"/>
      <c r="Q505" s="110"/>
    </row>
    <row r="506" spans="1:17" s="61" customFormat="1" ht="12.75" customHeight="1" x14ac:dyDescent="0.2">
      <c r="A506" s="73" t="s">
        <v>329</v>
      </c>
      <c r="B506" s="75">
        <f>IF($M506&gt;0,('Amounts Pivot Table'!Q$163/$M506),0)</f>
        <v>0</v>
      </c>
      <c r="C506" s="75">
        <f>IF($M506&gt;0,('Amounts Pivot Table'!Q$166/$M506),0)</f>
        <v>0</v>
      </c>
      <c r="D506" s="75">
        <f>IF($M506&gt;0,('Amounts Pivot Table'!Q$169/$M506),0)</f>
        <v>0</v>
      </c>
      <c r="E506" s="75">
        <f>IF($M506&gt;0,('Amounts Pivot Table'!Q$172/$M506),0)</f>
        <v>0</v>
      </c>
      <c r="F506" s="75">
        <f t="shared" si="78"/>
        <v>0</v>
      </c>
      <c r="G506" s="116">
        <f>IF(B506&gt;0,RANK(B506,$B$501:$B$519),)</f>
        <v>0</v>
      </c>
      <c r="H506" s="107">
        <f>IF(C506&gt;0,RANK(C506,$C$501:$C$519),)</f>
        <v>0</v>
      </c>
      <c r="I506" s="107">
        <f>IF(D506&gt;0,RANK(D506,$D$501:$D$519),)</f>
        <v>0</v>
      </c>
      <c r="J506" s="107">
        <f>IF(E506&gt;0,RANK(E506,$E$501:$E$519),)</f>
        <v>0</v>
      </c>
      <c r="K506" s="107">
        <f>IF(F506&gt;0,RANK(F506,$F$501:$F$519),)</f>
        <v>0</v>
      </c>
      <c r="L506" s="168"/>
      <c r="M506" s="840">
        <f>+'[1]NEW-Tables 80-86'!AE198</f>
        <v>0</v>
      </c>
      <c r="N506" s="73"/>
      <c r="O506" s="73"/>
      <c r="P506" s="73"/>
      <c r="Q506" s="73"/>
    </row>
    <row r="507" spans="1:17" s="61" customFormat="1" ht="12.75" customHeight="1" x14ac:dyDescent="0.2">
      <c r="A507" s="73" t="s">
        <v>322</v>
      </c>
      <c r="B507" s="75">
        <f>IF($M507&gt;0,('Amounts Pivot Table'!Q$202/$M507),0)</f>
        <v>0</v>
      </c>
      <c r="C507" s="75">
        <f>IF($M507&gt;0,('Amounts Pivot Table'!Q$205/$M507),0)</f>
        <v>0</v>
      </c>
      <c r="D507" s="75">
        <f>IF($M507&gt;0,('Amounts Pivot Table'!Q$208/$M507),0)</f>
        <v>0</v>
      </c>
      <c r="E507" s="75">
        <f>IF($M507&gt;0,('Amounts Pivot Table'!Q$211/$M507),0)</f>
        <v>0</v>
      </c>
      <c r="F507" s="75">
        <f t="shared" si="78"/>
        <v>0</v>
      </c>
      <c r="G507" s="116">
        <f>IF(B507&gt;0,RANK(B507,$B$501:$B$519),)</f>
        <v>0</v>
      </c>
      <c r="H507" s="107">
        <f>IF(C507&gt;0,RANK(C507,$C$501:$C$519),)</f>
        <v>0</v>
      </c>
      <c r="I507" s="107">
        <f>IF(D507&gt;0,RANK(D507,$D$501:$D$519),)</f>
        <v>0</v>
      </c>
      <c r="J507" s="107">
        <f>IF(E507&gt;0,RANK(E507,$E$501:$E$519),)</f>
        <v>0</v>
      </c>
      <c r="K507" s="107">
        <f>IF(F507&gt;0,RANK(F507,$F$501:$F$519),)</f>
        <v>0</v>
      </c>
      <c r="L507" s="168"/>
      <c r="M507" s="840">
        <f>+'[1]NEW-Tables 80-86'!AE199</f>
        <v>0</v>
      </c>
      <c r="N507" s="73"/>
      <c r="O507" s="73"/>
      <c r="P507" s="73"/>
      <c r="Q507" s="73"/>
    </row>
    <row r="508" spans="1:17" s="61" customFormat="1" ht="12.75" customHeight="1" x14ac:dyDescent="0.2">
      <c r="A508" s="73" t="s">
        <v>330</v>
      </c>
      <c r="B508" s="75">
        <f>IF($M508&gt;0,('Amounts Pivot Table'!Q$241/$M508),0)</f>
        <v>0</v>
      </c>
      <c r="C508" s="75">
        <f>IF($M508&gt;0,('Amounts Pivot Table'!Q$244/$M508),0)</f>
        <v>0</v>
      </c>
      <c r="D508" s="75">
        <f>IF($M508&gt;0,('Amounts Pivot Table'!Q$247/$M508),0)</f>
        <v>0</v>
      </c>
      <c r="E508" s="75">
        <f>IF($M508&gt;0,('Amounts Pivot Table'!Q$250/$M508),0)</f>
        <v>0</v>
      </c>
      <c r="F508" s="75">
        <f t="shared" si="78"/>
        <v>0</v>
      </c>
      <c r="G508" s="116">
        <f>IF(B508&gt;0,RANK(B508,$B$501:$B$519),)</f>
        <v>0</v>
      </c>
      <c r="H508" s="107">
        <f>IF(C508&gt;0,RANK(C508,$C$501:$C$519),)</f>
        <v>0</v>
      </c>
      <c r="I508" s="107">
        <f>IF(D508&gt;0,RANK(D508,$D$501:$D$519),)</f>
        <v>0</v>
      </c>
      <c r="J508" s="107">
        <f>IF(E508&gt;0,RANK(E508,$E$501:$E$519),)</f>
        <v>0</v>
      </c>
      <c r="K508" s="107">
        <f>IF(F508&gt;0,RANK(F508,$F$501:$F$519),)</f>
        <v>0</v>
      </c>
      <c r="L508" s="168"/>
      <c r="M508" s="840">
        <f>+'[1]NEW-Tables 80-86'!AE200</f>
        <v>0</v>
      </c>
      <c r="N508" s="73"/>
      <c r="O508" s="73"/>
      <c r="P508" s="73"/>
      <c r="Q508" s="73"/>
    </row>
    <row r="509" spans="1:17" s="61" customFormat="1" ht="12.75" customHeight="1" x14ac:dyDescent="0.2">
      <c r="A509" s="73" t="s">
        <v>333</v>
      </c>
      <c r="B509" s="75">
        <f>IF($M509&gt;0,('Amounts Pivot Table'!Q$280/$M509),0)</f>
        <v>0</v>
      </c>
      <c r="C509" s="75">
        <f>IF($M509&gt;0,('Amounts Pivot Table'!Q$283/$M509),0)</f>
        <v>0</v>
      </c>
      <c r="D509" s="75">
        <f>IF($M509&gt;0,('Amounts Pivot Table'!Q$286/$M509),0)</f>
        <v>0</v>
      </c>
      <c r="E509" s="75">
        <f>IF($M509&gt;0,('Amounts Pivot Table'!Q$289/$M509),0)</f>
        <v>0</v>
      </c>
      <c r="F509" s="75">
        <f t="shared" si="78"/>
        <v>0</v>
      </c>
      <c r="G509" s="116">
        <f>IF(B509&gt;0,RANK(B509,$B$501:$B$519),)</f>
        <v>0</v>
      </c>
      <c r="H509" s="107">
        <f>IF(C509&gt;0,RANK(C509,$C$501:$C$519),)</f>
        <v>0</v>
      </c>
      <c r="I509" s="107">
        <f>IF(D509&gt;0,RANK(D509,$D$501:$D$519),)</f>
        <v>0</v>
      </c>
      <c r="J509" s="107">
        <f>IF(E509&gt;0,RANK(E509,$E$501:$E$519),)</f>
        <v>0</v>
      </c>
      <c r="K509" s="107">
        <f>IF(F509&gt;0,RANK(F509,$F$501:$F$519),)</f>
        <v>0</v>
      </c>
      <c r="L509" s="168"/>
      <c r="M509" s="840">
        <f>+'[1]NEW-Tables 80-86'!AE201</f>
        <v>0</v>
      </c>
      <c r="N509" s="73"/>
      <c r="O509" s="73"/>
      <c r="P509" s="73"/>
      <c r="Q509" s="73"/>
    </row>
    <row r="510" spans="1:17" s="112" customFormat="1" x14ac:dyDescent="0.2">
      <c r="A510" s="110"/>
      <c r="B510" s="111"/>
      <c r="C510" s="111"/>
      <c r="D510" s="111"/>
      <c r="E510" s="111"/>
      <c r="F510" s="111"/>
      <c r="G510" s="119"/>
      <c r="H510" s="120"/>
      <c r="I510" s="120"/>
      <c r="J510" s="120"/>
      <c r="K510" s="120"/>
      <c r="L510" s="175"/>
      <c r="M510" s="840"/>
      <c r="N510" s="110"/>
      <c r="O510" s="110"/>
      <c r="P510" s="110"/>
      <c r="Q510" s="110"/>
    </row>
    <row r="511" spans="1:17" s="61" customFormat="1" ht="12.75" customHeight="1" x14ac:dyDescent="0.2">
      <c r="A511" s="73" t="s">
        <v>323</v>
      </c>
      <c r="B511" s="75">
        <f>IF($M511&gt;0,('Amounts Pivot Table'!Q$319/$M511),0)</f>
        <v>0</v>
      </c>
      <c r="C511" s="75">
        <f>IF($M511&gt;0,('Amounts Pivot Table'!Q$322/$M511),0)</f>
        <v>0</v>
      </c>
      <c r="D511" s="75">
        <f>IF($M511&gt;0,('Amounts Pivot Table'!Q$325/$M511),0)</f>
        <v>0</v>
      </c>
      <c r="E511" s="75">
        <f>IF($M511&gt;0,('Amounts Pivot Table'!Q$328/$M511),0)</f>
        <v>0</v>
      </c>
      <c r="F511" s="75">
        <f t="shared" si="78"/>
        <v>0</v>
      </c>
      <c r="G511" s="116">
        <f>IF(B511&gt;0,RANK(B511,$B$501:$B$519),)</f>
        <v>0</v>
      </c>
      <c r="H511" s="107">
        <f>IF(C511&gt;0,RANK(C511,$C$501:$C$519),)</f>
        <v>0</v>
      </c>
      <c r="I511" s="107">
        <f>IF(D511&gt;0,RANK(D511,$D$501:$D$519),)</f>
        <v>0</v>
      </c>
      <c r="J511" s="107">
        <f>IF(E511&gt;0,RANK(E511,$E$501:$E$519),)</f>
        <v>0</v>
      </c>
      <c r="K511" s="107">
        <f>IF(F511&gt;0,RANK(F511,$F$501:$F$519),)</f>
        <v>0</v>
      </c>
      <c r="L511" s="168"/>
      <c r="M511" s="840">
        <f>+'[1]NEW-Tables 80-86'!AE203</f>
        <v>0</v>
      </c>
      <c r="N511" s="73"/>
      <c r="O511" s="73"/>
      <c r="P511" s="73"/>
      <c r="Q511" s="73"/>
    </row>
    <row r="512" spans="1:17" s="61" customFormat="1" ht="12.75" customHeight="1" x14ac:dyDescent="0.2">
      <c r="A512" s="73" t="s">
        <v>324</v>
      </c>
      <c r="B512" s="75">
        <f>IF($M512&gt;0,('Amounts Pivot Table'!Q$358/$M512),0)</f>
        <v>0</v>
      </c>
      <c r="C512" s="75">
        <f>IF($M512&gt;0,('Amounts Pivot Table'!Q$361/$M512),0)</f>
        <v>0</v>
      </c>
      <c r="D512" s="75">
        <f>IF($M512&gt;0,('Amounts Pivot Table'!Q$364/$M512),0)</f>
        <v>0</v>
      </c>
      <c r="E512" s="75">
        <f>IF($M512&gt;0,('Amounts Pivot Table'!Q$367/$M512),0)</f>
        <v>0</v>
      </c>
      <c r="F512" s="75">
        <f t="shared" si="78"/>
        <v>0</v>
      </c>
      <c r="G512" s="116">
        <f>IF(B512&gt;0,RANK(B512,$B$501:$B$519),)</f>
        <v>0</v>
      </c>
      <c r="H512" s="107">
        <f>IF(C512&gt;0,RANK(C512,$C$501:$C$519),)</f>
        <v>0</v>
      </c>
      <c r="I512" s="107">
        <f>IF(D512&gt;0,RANK(D512,$D$501:$D$519),)</f>
        <v>0</v>
      </c>
      <c r="J512" s="107">
        <f>IF(E512&gt;0,RANK(E512,$E$501:$E$519),)</f>
        <v>0</v>
      </c>
      <c r="K512" s="107">
        <f>IF(F512&gt;0,RANK(F512,$F$501:$F$519),)</f>
        <v>0</v>
      </c>
      <c r="L512" s="168"/>
      <c r="M512" s="840">
        <f>+'[1]NEW-Tables 80-86'!AE204</f>
        <v>0</v>
      </c>
      <c r="N512" s="73"/>
      <c r="O512" s="73"/>
      <c r="P512" s="73"/>
      <c r="Q512" s="73"/>
    </row>
    <row r="513" spans="1:17" s="61" customFormat="1" ht="12.75" customHeight="1" x14ac:dyDescent="0.2">
      <c r="A513" s="73" t="s">
        <v>331</v>
      </c>
      <c r="B513" s="75">
        <f>IF($M513&gt;0,('Amounts Pivot Table'!Q$397/$M513),0)</f>
        <v>5326.5016354370628</v>
      </c>
      <c r="C513" s="75">
        <f>IF($M513&gt;0,('Amounts Pivot Table'!Q$400/$M513),0)</f>
        <v>0</v>
      </c>
      <c r="D513" s="75">
        <f>IF($M513&gt;0,('Amounts Pivot Table'!Q$403/$M513),0)</f>
        <v>0</v>
      </c>
      <c r="E513" s="75">
        <f>IF($M513&gt;0,('Amounts Pivot Table'!Q$406/$M513),0)</f>
        <v>1417.1957881570349</v>
      </c>
      <c r="F513" s="75">
        <f t="shared" si="78"/>
        <v>6743.6974235940979</v>
      </c>
      <c r="G513" s="116">
        <f>IF(B513&gt;0,RANK(B513,$B$501:$B$519),)</f>
        <v>2</v>
      </c>
      <c r="H513" s="107">
        <f>IF(C513&gt;0,RANK(C513,$C$501:$C$519),)</f>
        <v>0</v>
      </c>
      <c r="I513" s="107">
        <f>IF(D513&gt;0,RANK(D513,$D$501:$D$519),)</f>
        <v>0</v>
      </c>
      <c r="J513" s="107">
        <f>IF(E513&gt;0,RANK(E513,$E$501:$E$519),)</f>
        <v>3</v>
      </c>
      <c r="K513" s="107">
        <f>IF(F513&gt;0,RANK(F513,$F$501:$F$519),)</f>
        <v>3</v>
      </c>
      <c r="L513" s="168"/>
      <c r="M513" s="840">
        <f>+'[1]NEW-Tables 80-86'!AE205</f>
        <v>16054.077488888888</v>
      </c>
      <c r="N513" s="73"/>
      <c r="O513" s="73"/>
      <c r="P513" s="73"/>
      <c r="Q513" s="73"/>
    </row>
    <row r="514" spans="1:17" s="61" customFormat="1" ht="12.75" customHeight="1" x14ac:dyDescent="0.2">
      <c r="A514" s="73" t="s">
        <v>325</v>
      </c>
      <c r="B514" s="75">
        <f>IF($M514&gt;0,('Amounts Pivot Table'!Q$436/$M514),0)</f>
        <v>0</v>
      </c>
      <c r="C514" s="75">
        <f>IF($M514&gt;0,('Amounts Pivot Table'!Q$439/$M514),0)</f>
        <v>0</v>
      </c>
      <c r="D514" s="75">
        <f>IF($M514&gt;0,('Amounts Pivot Table'!Q$442/$M514),0)</f>
        <v>0</v>
      </c>
      <c r="E514" s="75">
        <f>IF($M514&gt;0,('Amounts Pivot Table'!Q$445/$M514),0)</f>
        <v>0</v>
      </c>
      <c r="F514" s="75">
        <f t="shared" si="78"/>
        <v>0</v>
      </c>
      <c r="G514" s="116">
        <f>IF(B514&gt;0,RANK(B514,$B$501:$B$519),)</f>
        <v>0</v>
      </c>
      <c r="H514" s="107">
        <f>IF(C514&gt;0,RANK(C514,$C$501:$C$519),)</f>
        <v>0</v>
      </c>
      <c r="I514" s="107">
        <f>IF(D514&gt;0,RANK(D514,$D$501:$D$519),)</f>
        <v>0</v>
      </c>
      <c r="J514" s="107">
        <f>IF(E514&gt;0,RANK(E514,$E$501:$E$519),)</f>
        <v>0</v>
      </c>
      <c r="K514" s="107">
        <f>IF(F514&gt;0,RANK(F514,$F$501:$F$519),)</f>
        <v>0</v>
      </c>
      <c r="L514" s="168"/>
      <c r="M514" s="840">
        <f>+'[1]NEW-Tables 80-86'!AE206</f>
        <v>0</v>
      </c>
      <c r="N514" s="73"/>
      <c r="O514" s="73"/>
      <c r="P514" s="73"/>
      <c r="Q514" s="73"/>
    </row>
    <row r="515" spans="1:17" s="112" customFormat="1" x14ac:dyDescent="0.2">
      <c r="A515" s="110"/>
      <c r="B515" s="111"/>
      <c r="C515" s="111"/>
      <c r="D515" s="111"/>
      <c r="E515" s="111"/>
      <c r="F515" s="111"/>
      <c r="G515" s="119"/>
      <c r="H515" s="120"/>
      <c r="I515" s="120"/>
      <c r="J515" s="120"/>
      <c r="K515" s="120"/>
      <c r="L515" s="175"/>
      <c r="M515" s="840"/>
      <c r="N515" s="110"/>
      <c r="O515" s="110"/>
      <c r="P515" s="110"/>
      <c r="Q515" s="110"/>
    </row>
    <row r="516" spans="1:17" s="61" customFormat="1" ht="12.75" customHeight="1" x14ac:dyDescent="0.2">
      <c r="A516" s="73" t="s">
        <v>90</v>
      </c>
      <c r="B516" s="75">
        <f>IF($M516&gt;0,('Amounts Pivot Table'!Q$475/$M516),0)</f>
        <v>5292.8369590733155</v>
      </c>
      <c r="C516" s="75">
        <f>IF($M516&gt;0,('Amounts Pivot Table'!Q$478/$M516),0)</f>
        <v>0</v>
      </c>
      <c r="D516" s="75">
        <f>IF($M516&gt;0,('Amounts Pivot Table'!Q$481/$M516),0)</f>
        <v>0</v>
      </c>
      <c r="E516" s="75">
        <f>IF($M516&gt;0,('Amounts Pivot Table'!Q$484/$M516),0)</f>
        <v>2550.7509721076808</v>
      </c>
      <c r="F516" s="75">
        <f t="shared" si="78"/>
        <v>7843.5879311809967</v>
      </c>
      <c r="G516" s="116">
        <f>IF(B516&gt;0,RANK(B516,$B$501:$B$519),)</f>
        <v>3</v>
      </c>
      <c r="H516" s="107">
        <f>IF(C516&gt;0,RANK(C516,$C$501:$C$519),)</f>
        <v>0</v>
      </c>
      <c r="I516" s="107">
        <f>IF(D516&gt;0,RANK(D516,$D$501:$D$519),)</f>
        <v>0</v>
      </c>
      <c r="J516" s="107">
        <f>IF(E516&gt;0,RANK(E516,$E$501:$E$519),)</f>
        <v>2</v>
      </c>
      <c r="K516" s="107">
        <f>IF(F516&gt;0,RANK(F516,$F$501:$F$519),)</f>
        <v>2</v>
      </c>
      <c r="L516" s="168"/>
      <c r="M516" s="840">
        <f>+'[1]NEW-Tables 80-86'!AE208</f>
        <v>10238.063333333332</v>
      </c>
      <c r="N516" s="73"/>
      <c r="O516" s="73"/>
      <c r="P516" s="73"/>
      <c r="Q516" s="73"/>
    </row>
    <row r="517" spans="1:17" s="61" customFormat="1" ht="12.75" customHeight="1" x14ac:dyDescent="0.2">
      <c r="A517" s="73" t="s">
        <v>326</v>
      </c>
      <c r="B517" s="75">
        <f>IF($M517&gt;0,('Amounts Pivot Table'!Q$514/$M517),0)</f>
        <v>0</v>
      </c>
      <c r="C517" s="75">
        <f>IF($M517&gt;0,('Amounts Pivot Table'!Q$517/$M517),0)</f>
        <v>0</v>
      </c>
      <c r="D517" s="75">
        <f>IF($M517&gt;0,('Amounts Pivot Table'!Q$520/$M517),0)</f>
        <v>0</v>
      </c>
      <c r="E517" s="75">
        <f>IF($M517&gt;0,('Amounts Pivot Table'!Q$523/$M517),0)</f>
        <v>0</v>
      </c>
      <c r="F517" s="75">
        <f t="shared" si="78"/>
        <v>0</v>
      </c>
      <c r="G517" s="116">
        <f>IF(B517&gt;0,RANK(B517,$B$501:$B$519),)</f>
        <v>0</v>
      </c>
      <c r="H517" s="107">
        <f>IF(C517&gt;0,RANK(C517,$C$501:$C$519),)</f>
        <v>0</v>
      </c>
      <c r="I517" s="107">
        <f>IF(D517&gt;0,RANK(D517,$D$501:$D$519),)</f>
        <v>0</v>
      </c>
      <c r="J517" s="107">
        <f>IF(E517&gt;0,RANK(E517,$E$501:$E$519),)</f>
        <v>0</v>
      </c>
      <c r="K517" s="107">
        <f>IF(F517&gt;0,RANK(F517,$F$501:$F$519),)</f>
        <v>0</v>
      </c>
      <c r="L517" s="168"/>
      <c r="M517" s="840">
        <f>+'[1]NEW-Tables 80-86'!AE209</f>
        <v>0</v>
      </c>
      <c r="N517" s="73"/>
      <c r="O517" s="73"/>
      <c r="P517" s="73"/>
      <c r="Q517" s="73"/>
    </row>
    <row r="518" spans="1:17" s="61" customFormat="1" ht="12.75" customHeight="1" x14ac:dyDescent="0.2">
      <c r="A518" s="73" t="s">
        <v>327</v>
      </c>
      <c r="B518" s="75">
        <f>IF($M518&gt;0,('Amounts Pivot Table'!Q$553/$M518),0)</f>
        <v>0</v>
      </c>
      <c r="C518" s="75">
        <f>IF($M518&gt;0,('Amounts Pivot Table'!Q$556/$M518),0)</f>
        <v>0</v>
      </c>
      <c r="D518" s="75">
        <f>IF($M518&gt;0,('Amounts Pivot Table'!Q$559/$M518),0)</f>
        <v>0</v>
      </c>
      <c r="E518" s="75">
        <f>IF($M518&gt;0,('Amounts Pivot Table'!Q$562/$M518),0)</f>
        <v>0</v>
      </c>
      <c r="F518" s="75">
        <f t="shared" si="78"/>
        <v>0</v>
      </c>
      <c r="G518" s="116">
        <f>IF(B518&gt;0,RANK(B518,$B$501:$B$519),)</f>
        <v>0</v>
      </c>
      <c r="H518" s="107">
        <f>IF(C518&gt;0,RANK(C518,$C$501:$C$519),)</f>
        <v>0</v>
      </c>
      <c r="I518" s="107">
        <f>IF(D518&gt;0,RANK(D518,$D$501:$D$519),)</f>
        <v>0</v>
      </c>
      <c r="J518" s="107">
        <f>IF(E518&gt;0,RANK(E518,$E$501:$E$519),)</f>
        <v>0</v>
      </c>
      <c r="K518" s="107">
        <f>IF(F518&gt;0,RANK(F518,$F$501:$F$519),)</f>
        <v>0</v>
      </c>
      <c r="L518" s="168"/>
      <c r="M518" s="840">
        <f>+'[1]NEW-Tables 80-86'!AE210</f>
        <v>0</v>
      </c>
      <c r="N518" s="73"/>
      <c r="O518" s="73"/>
      <c r="P518" s="73"/>
      <c r="Q518" s="73"/>
    </row>
    <row r="519" spans="1:17" s="61" customFormat="1" ht="12.75" customHeight="1" x14ac:dyDescent="0.2">
      <c r="A519" s="74" t="s">
        <v>332</v>
      </c>
      <c r="B519" s="104">
        <f>IF($M519&gt;0,('Amounts Pivot Table'!Q$592/$M519),0)</f>
        <v>0</v>
      </c>
      <c r="C519" s="104">
        <f>IF($M519&gt;0,('Amounts Pivot Table'!Q$595/$M519),0)</f>
        <v>0</v>
      </c>
      <c r="D519" s="104">
        <f>IF($M519&gt;0,('Amounts Pivot Table'!Q$598/$M519),0)</f>
        <v>0</v>
      </c>
      <c r="E519" s="104">
        <f>IF($M519&gt;0,('Amounts Pivot Table'!Q$601/$M519),0)</f>
        <v>0</v>
      </c>
      <c r="F519" s="104">
        <f t="shared" si="78"/>
        <v>0</v>
      </c>
      <c r="G519" s="117">
        <f>IF(B519&gt;0,RANK(B519,$B$501:$B$519),)</f>
        <v>0</v>
      </c>
      <c r="H519" s="118">
        <f>IF(C519&gt;0,RANK(C519,$C$501:$C$519),)</f>
        <v>0</v>
      </c>
      <c r="I519" s="118">
        <f>IF(D519&gt;0,RANK(D519,$D$501:$D$519),)</f>
        <v>0</v>
      </c>
      <c r="J519" s="118">
        <f>IF(E519&gt;0,RANK(E519,$E$501:$E$519),)</f>
        <v>0</v>
      </c>
      <c r="K519" s="118">
        <f>IF(F519&gt;0,RANK(F519,$F$501:$F$519),)</f>
        <v>0</v>
      </c>
      <c r="L519" s="168"/>
      <c r="M519" s="840">
        <f>+'[1]NEW-Tables 80-86'!AE211</f>
        <v>0</v>
      </c>
      <c r="N519" s="73"/>
      <c r="O519" s="73"/>
      <c r="P519" s="73"/>
      <c r="Q519" s="73"/>
    </row>
    <row r="520" spans="1:17" s="76" customFormat="1" ht="34.5" customHeight="1" x14ac:dyDescent="0.2">
      <c r="A520" s="1558" t="s">
        <v>17</v>
      </c>
      <c r="B520" s="1582"/>
      <c r="C520" s="1582"/>
      <c r="D520" s="1582"/>
      <c r="E520" s="1582"/>
      <c r="F520" s="1582"/>
      <c r="G520" s="1582"/>
      <c r="H520" s="1582"/>
      <c r="I520" s="1582"/>
      <c r="J520" s="1582"/>
      <c r="K520" s="1582"/>
      <c r="L520" s="169"/>
      <c r="M520" s="296"/>
      <c r="N520" s="90"/>
      <c r="O520" s="90"/>
      <c r="P520" s="90"/>
      <c r="Q520" s="90"/>
    </row>
    <row r="521" spans="1:17" s="205" customFormat="1" ht="13.5" customHeight="1" x14ac:dyDescent="0.15">
      <c r="A521" s="1558" t="s">
        <v>54</v>
      </c>
      <c r="B521" s="1582"/>
      <c r="C521" s="1582"/>
      <c r="D521" s="1582"/>
      <c r="E521" s="1582"/>
      <c r="F521" s="1582"/>
      <c r="G521" s="1582"/>
      <c r="H521" s="1582"/>
      <c r="I521" s="1582"/>
      <c r="J521" s="1582"/>
      <c r="K521" s="1582"/>
      <c r="L521" s="204"/>
      <c r="M521" s="302"/>
      <c r="N521" s="206"/>
      <c r="O521" s="206"/>
      <c r="P521" s="206"/>
      <c r="Q521" s="206"/>
    </row>
    <row r="522" spans="1:17" s="61" customFormat="1" ht="13.5" customHeight="1" x14ac:dyDescent="0.2">
      <c r="A522" s="1558" t="s">
        <v>233</v>
      </c>
      <c r="B522" s="1583"/>
      <c r="C522" s="1583"/>
      <c r="D522" s="1583"/>
      <c r="E522" s="1583"/>
      <c r="F522" s="1583"/>
      <c r="G522" s="1584"/>
      <c r="H522" s="1584"/>
      <c r="I522" s="1584"/>
      <c r="J522" s="1584"/>
      <c r="K522" s="1584"/>
      <c r="L522" s="171"/>
      <c r="M522" s="300"/>
      <c r="N522" s="73"/>
      <c r="O522" s="73"/>
      <c r="P522" s="73"/>
      <c r="Q522" s="73"/>
    </row>
    <row r="523" spans="1:17" s="61" customFormat="1" x14ac:dyDescent="0.2">
      <c r="A523" s="187"/>
      <c r="B523" s="106"/>
      <c r="C523" s="106"/>
      <c r="D523" s="106"/>
      <c r="E523" s="106"/>
      <c r="F523" s="106"/>
      <c r="G523" s="188"/>
      <c r="H523" s="188"/>
      <c r="I523" s="188"/>
      <c r="J523" s="188"/>
      <c r="K523" s="535" t="s">
        <v>1898</v>
      </c>
      <c r="L523" s="171"/>
      <c r="M523" s="303"/>
      <c r="N523" s="73"/>
      <c r="O523" s="73"/>
      <c r="P523" s="73"/>
      <c r="Q523" s="73"/>
    </row>
    <row r="524" spans="1:17" s="61" customFormat="1" ht="18.75" customHeight="1" x14ac:dyDescent="0.2">
      <c r="A524" s="135" t="s">
        <v>1918</v>
      </c>
      <c r="B524" s="135"/>
      <c r="C524" s="135"/>
      <c r="D524" s="135"/>
      <c r="E524" s="135"/>
      <c r="F524" s="135"/>
      <c r="G524" s="135"/>
      <c r="H524" s="135"/>
      <c r="I524" s="135"/>
      <c r="J524" s="566"/>
      <c r="K524" s="135"/>
      <c r="L524" s="170"/>
      <c r="M524" s="296"/>
      <c r="N524" s="73"/>
      <c r="O524" s="73"/>
      <c r="P524" s="73"/>
      <c r="Q524" s="73"/>
    </row>
    <row r="525" spans="1:17" s="61" customFormat="1" ht="16.5" customHeight="1" x14ac:dyDescent="0.2">
      <c r="A525" s="135"/>
      <c r="B525" s="135"/>
      <c r="C525" s="135"/>
      <c r="D525" s="135"/>
      <c r="E525" s="135"/>
      <c r="F525" s="135"/>
      <c r="G525" s="135"/>
      <c r="H525" s="135"/>
      <c r="I525" s="135"/>
      <c r="J525" s="566"/>
      <c r="K525" s="135"/>
      <c r="L525" s="170"/>
      <c r="M525" s="296"/>
      <c r="N525" s="73"/>
      <c r="O525" s="73"/>
      <c r="P525" s="73"/>
      <c r="Q525" s="73"/>
    </row>
    <row r="526" spans="1:17" s="61" customFormat="1" ht="18.75" x14ac:dyDescent="0.2">
      <c r="A526" s="1557" t="s">
        <v>18</v>
      </c>
      <c r="B526" s="1557"/>
      <c r="C526" s="1557"/>
      <c r="D526" s="1557"/>
      <c r="E526" s="1557"/>
      <c r="F526" s="1557"/>
      <c r="G526" s="1557"/>
      <c r="H526" s="1557"/>
      <c r="I526" s="1557"/>
      <c r="J526" s="1557"/>
      <c r="K526" s="1557"/>
      <c r="L526" s="165"/>
      <c r="M526" s="296"/>
      <c r="N526" s="73"/>
      <c r="O526" s="73"/>
      <c r="P526" s="73"/>
      <c r="Q526" s="73"/>
    </row>
    <row r="527" spans="1:17" s="61" customFormat="1" ht="15.75" customHeight="1" x14ac:dyDescent="0.15">
      <c r="A527" s="1557" t="s">
        <v>405</v>
      </c>
      <c r="B527" s="1557"/>
      <c r="C527" s="1557"/>
      <c r="D527" s="1557"/>
      <c r="E527" s="1557"/>
      <c r="F527" s="1557"/>
      <c r="G527" s="1557"/>
      <c r="H527" s="1557"/>
      <c r="I527" s="1557"/>
      <c r="J527" s="1557"/>
      <c r="K527" s="1557"/>
      <c r="L527" s="165"/>
      <c r="M527" s="299"/>
      <c r="N527" s="73"/>
      <c r="O527" s="73"/>
      <c r="P527" s="73"/>
      <c r="Q527" s="73"/>
    </row>
    <row r="528" spans="1:17" s="61" customFormat="1" ht="15.75" customHeight="1" x14ac:dyDescent="0.2">
      <c r="A528" s="91"/>
      <c r="B528" s="91"/>
      <c r="C528" s="91"/>
      <c r="D528" s="91"/>
      <c r="E528" s="91"/>
      <c r="F528" s="91"/>
      <c r="G528" s="108"/>
      <c r="H528" s="91"/>
      <c r="I528" s="91"/>
      <c r="J528" s="91"/>
      <c r="K528" s="91"/>
      <c r="L528" s="165"/>
      <c r="M528" s="296"/>
      <c r="N528" s="73"/>
      <c r="O528" s="73"/>
      <c r="P528" s="73"/>
      <c r="Q528" s="73"/>
    </row>
    <row r="529" spans="1:17" s="59" customFormat="1" ht="15.75" customHeight="1" x14ac:dyDescent="0.2">
      <c r="A529" s="56"/>
      <c r="B529" s="1580" t="s">
        <v>55</v>
      </c>
      <c r="C529" s="1581"/>
      <c r="D529" s="1581"/>
      <c r="E529" s="1581"/>
      <c r="F529" s="1581"/>
      <c r="G529" s="1587" t="s">
        <v>119</v>
      </c>
      <c r="H529" s="1588"/>
      <c r="I529" s="1588"/>
      <c r="J529" s="1588"/>
      <c r="K529" s="1588"/>
      <c r="L529" s="173"/>
      <c r="M529" s="296"/>
      <c r="N529" s="89"/>
      <c r="O529" s="89"/>
      <c r="P529" s="89"/>
      <c r="Q529" s="89"/>
    </row>
    <row r="530" spans="1:17" s="6" customFormat="1" ht="47.25" customHeight="1" x14ac:dyDescent="0.2">
      <c r="A530" s="50"/>
      <c r="B530" s="550" t="s">
        <v>87</v>
      </c>
      <c r="C530" s="551" t="s">
        <v>89</v>
      </c>
      <c r="D530" s="551" t="s">
        <v>88</v>
      </c>
      <c r="E530" s="551" t="s">
        <v>398</v>
      </c>
      <c r="F530" s="551" t="s">
        <v>97</v>
      </c>
      <c r="G530" s="552" t="s">
        <v>87</v>
      </c>
      <c r="H530" s="551" t="s">
        <v>89</v>
      </c>
      <c r="I530" s="551" t="s">
        <v>88</v>
      </c>
      <c r="J530" s="551" t="s">
        <v>398</v>
      </c>
      <c r="K530" s="551" t="s">
        <v>97</v>
      </c>
      <c r="L530" s="167"/>
      <c r="M530" s="298" t="s">
        <v>260</v>
      </c>
      <c r="N530" s="7"/>
      <c r="O530" s="7"/>
      <c r="P530" s="7"/>
      <c r="Q530" s="7"/>
    </row>
    <row r="531" spans="1:17" s="61" customFormat="1" ht="14.25" x14ac:dyDescent="0.2">
      <c r="A531" s="73" t="s">
        <v>56</v>
      </c>
      <c r="B531" s="102"/>
      <c r="C531" s="102"/>
      <c r="D531" s="102"/>
      <c r="E531" s="102"/>
      <c r="F531" s="102"/>
      <c r="G531" s="114"/>
      <c r="H531" s="115"/>
      <c r="I531" s="115"/>
      <c r="J531" s="115"/>
      <c r="K531" s="115"/>
      <c r="L531" s="168"/>
      <c r="M531" s="296"/>
      <c r="N531" s="73"/>
      <c r="O531" s="73"/>
      <c r="P531" s="73"/>
      <c r="Q531" s="73"/>
    </row>
    <row r="532" spans="1:17" s="112" customFormat="1" x14ac:dyDescent="0.2">
      <c r="A532" s="110"/>
      <c r="B532" s="111"/>
      <c r="C532" s="111"/>
      <c r="D532" s="111"/>
      <c r="E532" s="111"/>
      <c r="F532" s="111"/>
      <c r="G532" s="119"/>
      <c r="H532" s="120"/>
      <c r="I532" s="120"/>
      <c r="J532" s="120"/>
      <c r="K532" s="120"/>
      <c r="L532" s="175"/>
      <c r="M532" s="296"/>
      <c r="N532" s="110"/>
      <c r="O532" s="110"/>
      <c r="P532" s="110"/>
      <c r="Q532" s="110"/>
    </row>
    <row r="533" spans="1:17" s="61" customFormat="1" ht="12.75" customHeight="1" x14ac:dyDescent="0.2">
      <c r="A533" s="73" t="s">
        <v>320</v>
      </c>
      <c r="B533" s="75"/>
      <c r="C533" s="75"/>
      <c r="D533" s="75"/>
      <c r="E533" s="75"/>
      <c r="F533" s="75"/>
      <c r="G533" s="116"/>
      <c r="H533" s="107"/>
      <c r="I533" s="107"/>
      <c r="J533" s="107"/>
      <c r="K533" s="107"/>
      <c r="L533" s="168"/>
      <c r="M533" s="296"/>
      <c r="N533" s="73"/>
      <c r="O533" s="73"/>
      <c r="P533" s="73"/>
      <c r="Q533" s="73"/>
    </row>
    <row r="534" spans="1:17" s="61" customFormat="1" ht="12.75" customHeight="1" x14ac:dyDescent="0.2">
      <c r="A534" s="73" t="s">
        <v>334</v>
      </c>
      <c r="B534" s="75"/>
      <c r="C534" s="75"/>
      <c r="D534" s="75"/>
      <c r="E534" s="75"/>
      <c r="F534" s="75"/>
      <c r="G534" s="116"/>
      <c r="H534" s="107"/>
      <c r="I534" s="107"/>
      <c r="J534" s="107"/>
      <c r="K534" s="107"/>
      <c r="L534" s="168"/>
      <c r="M534" s="296"/>
      <c r="N534" s="73"/>
      <c r="O534" s="73"/>
      <c r="P534" s="73"/>
      <c r="Q534" s="73"/>
    </row>
    <row r="535" spans="1:17" s="61" customFormat="1" ht="12.75" customHeight="1" x14ac:dyDescent="0.2">
      <c r="A535" s="73" t="s">
        <v>321</v>
      </c>
      <c r="B535" s="75"/>
      <c r="C535" s="75"/>
      <c r="D535" s="75"/>
      <c r="E535" s="75"/>
      <c r="F535" s="75"/>
      <c r="G535" s="116"/>
      <c r="H535" s="107"/>
      <c r="I535" s="107"/>
      <c r="J535" s="107"/>
      <c r="K535" s="107"/>
      <c r="L535" s="168"/>
      <c r="M535" s="296"/>
      <c r="N535" s="73"/>
      <c r="O535" s="73"/>
      <c r="P535" s="73"/>
      <c r="Q535" s="73"/>
    </row>
    <row r="536" spans="1:17" s="61" customFormat="1" ht="12.75" customHeight="1" x14ac:dyDescent="0.2">
      <c r="A536" s="73" t="s">
        <v>328</v>
      </c>
      <c r="B536" s="75"/>
      <c r="C536" s="75"/>
      <c r="D536" s="75"/>
      <c r="E536" s="75"/>
      <c r="F536" s="75"/>
      <c r="G536" s="116"/>
      <c r="H536" s="107"/>
      <c r="I536" s="107"/>
      <c r="J536" s="107"/>
      <c r="K536" s="107"/>
      <c r="L536" s="168"/>
      <c r="M536" s="296"/>
      <c r="N536" s="73"/>
      <c r="O536" s="73"/>
      <c r="P536" s="73"/>
      <c r="Q536" s="73"/>
    </row>
    <row r="537" spans="1:17" s="112" customFormat="1" x14ac:dyDescent="0.2">
      <c r="A537" s="110"/>
      <c r="B537" s="111"/>
      <c r="C537" s="111"/>
      <c r="D537" s="111"/>
      <c r="E537" s="111"/>
      <c r="F537" s="111"/>
      <c r="G537" s="119"/>
      <c r="H537" s="120"/>
      <c r="I537" s="120"/>
      <c r="J537" s="120"/>
      <c r="K537" s="120"/>
      <c r="L537" s="175"/>
      <c r="M537" s="296"/>
      <c r="N537" s="110"/>
      <c r="O537" s="110"/>
      <c r="P537" s="110"/>
      <c r="Q537" s="110"/>
    </row>
    <row r="538" spans="1:17" s="61" customFormat="1" ht="12.75" customHeight="1" x14ac:dyDescent="0.2">
      <c r="A538" s="73" t="s">
        <v>329</v>
      </c>
      <c r="B538" s="75"/>
      <c r="C538" s="75"/>
      <c r="D538" s="75"/>
      <c r="E538" s="75"/>
      <c r="F538" s="75"/>
      <c r="G538" s="116"/>
      <c r="H538" s="107"/>
      <c r="I538" s="107"/>
      <c r="J538" s="107"/>
      <c r="K538" s="107"/>
      <c r="L538" s="168"/>
      <c r="M538" s="296"/>
      <c r="N538" s="73"/>
      <c r="O538" s="73"/>
      <c r="P538" s="73"/>
      <c r="Q538" s="73"/>
    </row>
    <row r="539" spans="1:17" s="61" customFormat="1" ht="12.75" customHeight="1" x14ac:dyDescent="0.2">
      <c r="A539" s="73" t="s">
        <v>322</v>
      </c>
      <c r="B539" s="75"/>
      <c r="C539" s="75"/>
      <c r="D539" s="75"/>
      <c r="E539" s="75"/>
      <c r="F539" s="75"/>
      <c r="G539" s="116"/>
      <c r="H539" s="107"/>
      <c r="I539" s="107"/>
      <c r="J539" s="107"/>
      <c r="K539" s="107"/>
      <c r="L539" s="168"/>
      <c r="M539" s="296"/>
      <c r="N539" s="73"/>
      <c r="O539" s="73"/>
      <c r="P539" s="73"/>
      <c r="Q539" s="73"/>
    </row>
    <row r="540" spans="1:17" s="61" customFormat="1" ht="12.75" customHeight="1" x14ac:dyDescent="0.2">
      <c r="A540" s="73" t="s">
        <v>330</v>
      </c>
      <c r="B540" s="75"/>
      <c r="C540" s="75"/>
      <c r="D540" s="75"/>
      <c r="E540" s="75"/>
      <c r="F540" s="75"/>
      <c r="G540" s="116"/>
      <c r="H540" s="107"/>
      <c r="I540" s="107"/>
      <c r="J540" s="107"/>
      <c r="K540" s="107"/>
      <c r="L540" s="168"/>
      <c r="M540" s="296"/>
      <c r="N540" s="73"/>
      <c r="O540" s="73"/>
      <c r="P540" s="73"/>
      <c r="Q540" s="73"/>
    </row>
    <row r="541" spans="1:17" s="61" customFormat="1" ht="12.75" customHeight="1" x14ac:dyDescent="0.2">
      <c r="A541" s="73" t="s">
        <v>333</v>
      </c>
      <c r="B541" s="75"/>
      <c r="C541" s="75"/>
      <c r="D541" s="75"/>
      <c r="E541" s="75"/>
      <c r="F541" s="75"/>
      <c r="G541" s="116"/>
      <c r="H541" s="107"/>
      <c r="I541" s="107"/>
      <c r="J541" s="107"/>
      <c r="K541" s="107"/>
      <c r="L541" s="168"/>
      <c r="M541" s="296"/>
      <c r="N541" s="73"/>
      <c r="O541" s="73"/>
      <c r="P541" s="73"/>
      <c r="Q541" s="73"/>
    </row>
    <row r="542" spans="1:17" s="112" customFormat="1" x14ac:dyDescent="0.2">
      <c r="A542" s="110"/>
      <c r="B542" s="111"/>
      <c r="C542" s="111"/>
      <c r="D542" s="111"/>
      <c r="E542" s="111"/>
      <c r="F542" s="111"/>
      <c r="G542" s="119"/>
      <c r="H542" s="120"/>
      <c r="I542" s="120"/>
      <c r="J542" s="120"/>
      <c r="K542" s="120"/>
      <c r="L542" s="175"/>
      <c r="M542" s="296"/>
      <c r="N542" s="110"/>
      <c r="O542" s="110"/>
      <c r="P542" s="110"/>
      <c r="Q542" s="110"/>
    </row>
    <row r="543" spans="1:17" s="61" customFormat="1" ht="12.75" customHeight="1" x14ac:dyDescent="0.2">
      <c r="A543" s="73" t="s">
        <v>323</v>
      </c>
      <c r="B543" s="75"/>
      <c r="C543" s="75"/>
      <c r="D543" s="75"/>
      <c r="E543" s="75"/>
      <c r="F543" s="75"/>
      <c r="G543" s="116"/>
      <c r="H543" s="107"/>
      <c r="I543" s="107"/>
      <c r="J543" s="107"/>
      <c r="K543" s="107"/>
      <c r="L543" s="168"/>
      <c r="M543" s="296"/>
      <c r="N543" s="73"/>
      <c r="O543" s="73"/>
      <c r="P543" s="73"/>
      <c r="Q543" s="73"/>
    </row>
    <row r="544" spans="1:17" s="61" customFormat="1" ht="12.75" customHeight="1" x14ac:dyDescent="0.2">
      <c r="A544" s="73" t="s">
        <v>324</v>
      </c>
      <c r="B544" s="75"/>
      <c r="C544" s="75"/>
      <c r="D544" s="75"/>
      <c r="E544" s="75"/>
      <c r="F544" s="75"/>
      <c r="G544" s="116"/>
      <c r="H544" s="107"/>
      <c r="I544" s="107"/>
      <c r="J544" s="107"/>
      <c r="K544" s="107"/>
      <c r="L544" s="168"/>
      <c r="M544" s="296"/>
      <c r="N544" s="73"/>
      <c r="O544" s="73"/>
      <c r="P544" s="73"/>
      <c r="Q544" s="73"/>
    </row>
    <row r="545" spans="1:17" s="61" customFormat="1" ht="12.75" customHeight="1" x14ac:dyDescent="0.2">
      <c r="A545" s="73" t="s">
        <v>331</v>
      </c>
      <c r="B545" s="75"/>
      <c r="C545" s="75"/>
      <c r="D545" s="75"/>
      <c r="E545" s="75"/>
      <c r="F545" s="75"/>
      <c r="G545" s="116"/>
      <c r="H545" s="107"/>
      <c r="I545" s="107"/>
      <c r="J545" s="107"/>
      <c r="K545" s="107"/>
      <c r="L545" s="168"/>
      <c r="M545" s="296"/>
      <c r="N545" s="73"/>
      <c r="O545" s="73"/>
      <c r="P545" s="73"/>
      <c r="Q545" s="73"/>
    </row>
    <row r="546" spans="1:17" s="61" customFormat="1" ht="12.75" customHeight="1" x14ac:dyDescent="0.2">
      <c r="A546" s="73" t="s">
        <v>325</v>
      </c>
      <c r="B546" s="75"/>
      <c r="C546" s="75"/>
      <c r="D546" s="75"/>
      <c r="E546" s="75"/>
      <c r="F546" s="75"/>
      <c r="G546" s="116"/>
      <c r="H546" s="107"/>
      <c r="I546" s="107"/>
      <c r="J546" s="107"/>
      <c r="K546" s="107"/>
      <c r="L546" s="168"/>
      <c r="M546" s="296"/>
      <c r="N546" s="73"/>
      <c r="O546" s="73"/>
      <c r="P546" s="73"/>
      <c r="Q546" s="73"/>
    </row>
    <row r="547" spans="1:17" s="112" customFormat="1" x14ac:dyDescent="0.2">
      <c r="A547" s="110"/>
      <c r="B547" s="111"/>
      <c r="C547" s="111"/>
      <c r="D547" s="111"/>
      <c r="E547" s="111"/>
      <c r="F547" s="111"/>
      <c r="G547" s="119"/>
      <c r="H547" s="120"/>
      <c r="I547" s="120"/>
      <c r="J547" s="120"/>
      <c r="K547" s="120"/>
      <c r="L547" s="175"/>
      <c r="M547" s="296"/>
      <c r="N547" s="110"/>
      <c r="O547" s="110"/>
      <c r="P547" s="110"/>
      <c r="Q547" s="110"/>
    </row>
    <row r="548" spans="1:17" s="61" customFormat="1" ht="12.75" customHeight="1" x14ac:dyDescent="0.2">
      <c r="A548" s="73" t="s">
        <v>90</v>
      </c>
      <c r="B548" s="75"/>
      <c r="C548" s="75"/>
      <c r="D548" s="75"/>
      <c r="E548" s="75"/>
      <c r="F548" s="75"/>
      <c r="G548" s="116"/>
      <c r="H548" s="107"/>
      <c r="I548" s="107"/>
      <c r="J548" s="107"/>
      <c r="K548" s="107"/>
      <c r="L548" s="168"/>
      <c r="M548" s="296"/>
      <c r="N548" s="73"/>
      <c r="O548" s="73"/>
      <c r="P548" s="73"/>
      <c r="Q548" s="73"/>
    </row>
    <row r="549" spans="1:17" s="76" customFormat="1" ht="12.75" customHeight="1" x14ac:dyDescent="0.2">
      <c r="A549" s="73" t="s">
        <v>326</v>
      </c>
      <c r="B549" s="75"/>
      <c r="C549" s="75"/>
      <c r="D549" s="75"/>
      <c r="E549" s="75"/>
      <c r="F549" s="75"/>
      <c r="G549" s="116"/>
      <c r="H549" s="107"/>
      <c r="I549" s="107"/>
      <c r="J549" s="107"/>
      <c r="K549" s="107"/>
      <c r="L549" s="169"/>
      <c r="M549" s="296"/>
      <c r="N549" s="90"/>
      <c r="O549" s="90"/>
      <c r="P549" s="90"/>
      <c r="Q549" s="90"/>
    </row>
    <row r="550" spans="1:17" s="61" customFormat="1" ht="12.75" customHeight="1" x14ac:dyDescent="0.2">
      <c r="A550" s="73" t="s">
        <v>327</v>
      </c>
      <c r="B550" s="75">
        <f>IF($M550&gt;0,('Amounts Pivot Table'!R$553/$M550),0)</f>
        <v>0</v>
      </c>
      <c r="C550" s="75">
        <f>IF($M550&gt;0,('Amounts Pivot Table'!R$556/$M550),0)</f>
        <v>0</v>
      </c>
      <c r="D550" s="75">
        <f>IF($M550&gt;0,('Amounts Pivot Table'!R$559/$M550),0)</f>
        <v>0</v>
      </c>
      <c r="E550" s="75">
        <f>IF($M550&gt;0,('Amounts Pivot Table'!R$562/$M550),0)</f>
        <v>0</v>
      </c>
      <c r="F550" s="75">
        <f t="shared" ref="F550:F551" si="79">SUM(B550:E550)</f>
        <v>0</v>
      </c>
      <c r="G550" s="116">
        <f>IF(B550&gt;0,RANK(B550,$B$533:$B$551),)</f>
        <v>0</v>
      </c>
      <c r="H550" s="107">
        <f>IF(C550&gt;0,RANK(C550,$C$533:$C$551),)</f>
        <v>0</v>
      </c>
      <c r="I550" s="107">
        <f>IF(D550&gt;0,RANK(D550,$D$533:$D$551),)</f>
        <v>0</v>
      </c>
      <c r="J550" s="107">
        <f>IF(E550&gt;0,RANK(E550,$E$533:$E$551),)</f>
        <v>0</v>
      </c>
      <c r="K550" s="107">
        <f>IF(F550&gt;0,RANK(F550,$F$533:$F$551),)</f>
        <v>0</v>
      </c>
      <c r="L550" s="170"/>
      <c r="M550" s="296">
        <f>+'[1]NEW-Tables 80-86'!AO212</f>
        <v>0</v>
      </c>
      <c r="N550" s="73"/>
      <c r="O550" s="73"/>
      <c r="P550" s="73"/>
      <c r="Q550" s="73"/>
    </row>
    <row r="551" spans="1:17" s="61" customFormat="1" ht="15" customHeight="1" x14ac:dyDescent="0.2">
      <c r="A551" s="74" t="s">
        <v>332</v>
      </c>
      <c r="B551" s="104">
        <f>IF($M551&gt;0,('Amounts Pivot Table'!R$592/$M551),0)</f>
        <v>0</v>
      </c>
      <c r="C551" s="104">
        <f>IF($M551&gt;0,('Amounts Pivot Table'!R$595/$M551),0)</f>
        <v>0</v>
      </c>
      <c r="D551" s="104">
        <f>IF($M551&gt;0,('Amounts Pivot Table'!R$598/$M551),0)</f>
        <v>0</v>
      </c>
      <c r="E551" s="104">
        <f>IF($M551&gt;0,('Amounts Pivot Table'!R$601/$M551),0)</f>
        <v>0</v>
      </c>
      <c r="F551" s="105">
        <f t="shared" si="79"/>
        <v>0</v>
      </c>
      <c r="G551" s="117">
        <f>IF(B551&gt;0,RANK(B551,$B$533:$B$551),)</f>
        <v>0</v>
      </c>
      <c r="H551" s="118">
        <f>IF(C551&gt;0,RANK(C551,$C$533:$C$551),)</f>
        <v>0</v>
      </c>
      <c r="I551" s="118">
        <f>IF(D551&gt;0,RANK(D551,$D$533:$D$551),)</f>
        <v>0</v>
      </c>
      <c r="J551" s="118">
        <f>IF(E551&gt;0,RANK(E551,$E$533:$E$551),)</f>
        <v>0</v>
      </c>
      <c r="K551" s="118">
        <f>IF(F551&gt;0,RANK(F551,$F$533:$F$551),)</f>
        <v>0</v>
      </c>
      <c r="L551" s="171"/>
      <c r="M551" s="296">
        <f>+'[1]NEW-Tables 80-86'!AO213</f>
        <v>0</v>
      </c>
      <c r="N551" s="73"/>
      <c r="O551" s="73"/>
      <c r="P551" s="73"/>
      <c r="Q551" s="73"/>
    </row>
    <row r="552" spans="1:17" s="76" customFormat="1" ht="34.5" customHeight="1" x14ac:dyDescent="0.2">
      <c r="A552" s="1558" t="s">
        <v>17</v>
      </c>
      <c r="B552" s="1582"/>
      <c r="C552" s="1582"/>
      <c r="D552" s="1582"/>
      <c r="E552" s="1582"/>
      <c r="F552" s="1582"/>
      <c r="G552" s="1582"/>
      <c r="H552" s="1582"/>
      <c r="I552" s="1582"/>
      <c r="J552" s="1582"/>
      <c r="K552" s="1582"/>
      <c r="L552" s="169"/>
      <c r="M552" s="296"/>
      <c r="N552" s="90"/>
      <c r="O552" s="90"/>
      <c r="P552" s="90"/>
      <c r="Q552" s="90"/>
    </row>
    <row r="553" spans="1:17" s="205" customFormat="1" ht="13.5" customHeight="1" x14ac:dyDescent="0.15">
      <c r="A553" s="1558" t="s">
        <v>54</v>
      </c>
      <c r="B553" s="1582"/>
      <c r="C553" s="1582"/>
      <c r="D553" s="1582"/>
      <c r="E553" s="1582"/>
      <c r="F553" s="1582"/>
      <c r="G553" s="1582"/>
      <c r="H553" s="1582"/>
      <c r="I553" s="1582"/>
      <c r="J553" s="1582"/>
      <c r="K553" s="1582"/>
      <c r="L553" s="204"/>
      <c r="M553" s="302"/>
      <c r="N553" s="206"/>
      <c r="O553" s="206"/>
      <c r="P553" s="206"/>
      <c r="Q553" s="206"/>
    </row>
    <row r="554" spans="1:17" s="61" customFormat="1" ht="13.5" customHeight="1" x14ac:dyDescent="0.2">
      <c r="A554" s="1558" t="s">
        <v>233</v>
      </c>
      <c r="B554" s="1583"/>
      <c r="C554" s="1583"/>
      <c r="D554" s="1583"/>
      <c r="E554" s="1583"/>
      <c r="F554" s="1583"/>
      <c r="G554" s="1584"/>
      <c r="H554" s="1584"/>
      <c r="I554" s="1584"/>
      <c r="J554" s="1584"/>
      <c r="K554" s="1584"/>
      <c r="L554" s="171"/>
      <c r="M554" s="300"/>
      <c r="N554" s="73"/>
      <c r="O554" s="73"/>
      <c r="P554" s="73"/>
      <c r="Q554" s="73"/>
    </row>
    <row r="555" spans="1:17" x14ac:dyDescent="0.2">
      <c r="K555" s="535"/>
    </row>
  </sheetData>
  <mergeCells count="98">
    <mergeCell ref="A3:I3"/>
    <mergeCell ref="A36:I36"/>
    <mergeCell ref="A37:I37"/>
    <mergeCell ref="A30:I30"/>
    <mergeCell ref="B6:E6"/>
    <mergeCell ref="F6:I6"/>
    <mergeCell ref="A31:I31"/>
    <mergeCell ref="A32:I32"/>
    <mergeCell ref="A553:K553"/>
    <mergeCell ref="A526:K526"/>
    <mergeCell ref="A527:K527"/>
    <mergeCell ref="B529:F529"/>
    <mergeCell ref="A552:K552"/>
    <mergeCell ref="G529:K529"/>
    <mergeCell ref="A522:K522"/>
    <mergeCell ref="A430:K430"/>
    <mergeCell ref="A489:K489"/>
    <mergeCell ref="A456:K456"/>
    <mergeCell ref="A462:K462"/>
    <mergeCell ref="A463:K463"/>
    <mergeCell ref="A457:K457"/>
    <mergeCell ref="A431:K431"/>
    <mergeCell ref="B433:F433"/>
    <mergeCell ref="A495:K495"/>
    <mergeCell ref="B497:F497"/>
    <mergeCell ref="A520:K520"/>
    <mergeCell ref="G497:K497"/>
    <mergeCell ref="A521:K521"/>
    <mergeCell ref="A425:K425"/>
    <mergeCell ref="A398:K398"/>
    <mergeCell ref="A399:K399"/>
    <mergeCell ref="B401:F401"/>
    <mergeCell ref="A424:K424"/>
    <mergeCell ref="A226:I226"/>
    <mergeCell ref="A95:I95"/>
    <mergeCell ref="A128:I128"/>
    <mergeCell ref="A129:I129"/>
    <mergeCell ref="A167:I167"/>
    <mergeCell ref="A166:I166"/>
    <mergeCell ref="A134:I134"/>
    <mergeCell ref="A135:I135"/>
    <mergeCell ref="A160:I160"/>
    <mergeCell ref="A200:I200"/>
    <mergeCell ref="A161:I161"/>
    <mergeCell ref="A193:I193"/>
    <mergeCell ref="A192:I192"/>
    <mergeCell ref="A194:K194"/>
    <mergeCell ref="A162:I162"/>
    <mergeCell ref="A225:I225"/>
    <mergeCell ref="A62:I62"/>
    <mergeCell ref="A103:I103"/>
    <mergeCell ref="A64:K64"/>
    <mergeCell ref="A102:I102"/>
    <mergeCell ref="A69:I69"/>
    <mergeCell ref="A96:I96"/>
    <mergeCell ref="A63:I63"/>
    <mergeCell ref="A70:I70"/>
    <mergeCell ref="A259:K259"/>
    <mergeCell ref="A297:K297"/>
    <mergeCell ref="A231:K231"/>
    <mergeCell ref="A290:K290"/>
    <mergeCell ref="A264:K264"/>
    <mergeCell ref="A258:K258"/>
    <mergeCell ref="B234:F234"/>
    <mergeCell ref="A265:K265"/>
    <mergeCell ref="B267:F267"/>
    <mergeCell ref="A291:K291"/>
    <mergeCell ref="A292:K292"/>
    <mergeCell ref="A257:K257"/>
    <mergeCell ref="A232:K232"/>
    <mergeCell ref="A199:I199"/>
    <mergeCell ref="A554:K554"/>
    <mergeCell ref="A426:K426"/>
    <mergeCell ref="A458:K458"/>
    <mergeCell ref="A490:K490"/>
    <mergeCell ref="A494:K494"/>
    <mergeCell ref="B465:F465"/>
    <mergeCell ref="A488:K488"/>
    <mergeCell ref="A298:K298"/>
    <mergeCell ref="B334:F334"/>
    <mergeCell ref="A326:K326"/>
    <mergeCell ref="A390:K390"/>
    <mergeCell ref="A358:K358"/>
    <mergeCell ref="B367:F367"/>
    <mergeCell ref="A332:K332"/>
    <mergeCell ref="A394:K394"/>
    <mergeCell ref="B300:F300"/>
    <mergeCell ref="A324:K324"/>
    <mergeCell ref="A331:K331"/>
    <mergeCell ref="A360:K360"/>
    <mergeCell ref="A393:K393"/>
    <mergeCell ref="A325:K325"/>
    <mergeCell ref="A323:K323"/>
    <mergeCell ref="A365:K365"/>
    <mergeCell ref="A392:K392"/>
    <mergeCell ref="A357:K357"/>
    <mergeCell ref="A359:K359"/>
    <mergeCell ref="A364:K364"/>
  </mergeCells>
  <phoneticPr fontId="17" type="noConversion"/>
  <pageMargins left="0.5" right="0.5" top="0.75" bottom="0.67" header="0.5" footer="0.5"/>
  <pageSetup scale="93" firstPageNumber="128" orientation="landscape" useFirstPageNumber="1" r:id="rId1"/>
  <headerFooter alignWithMargins="0">
    <oddHeader>&amp;R&amp;"Arial,Regular"&amp;8SREB-State Data Exchange</oddHeader>
    <oddFooter>&amp;C&amp;"Arial,Regular"&amp;P</oddFooter>
  </headerFooter>
  <rowBreaks count="16" manualBreakCount="16">
    <brk id="33" max="10" man="1"/>
    <brk id="66" max="10" man="1"/>
    <brk id="99" max="10" man="1"/>
    <brk id="131" max="10" man="1"/>
    <brk id="163" max="10" man="1"/>
    <brk id="196" max="10" man="1"/>
    <brk id="228" max="10" man="1"/>
    <brk id="261" max="10" man="1"/>
    <brk id="294" max="10" man="1"/>
    <brk id="328" max="10" man="1"/>
    <brk id="361" max="10" man="1"/>
    <brk id="395" max="10" man="1"/>
    <brk id="427" max="10" man="1"/>
    <brk id="459" max="10" man="1"/>
    <brk id="491" max="10" man="1"/>
    <brk id="523" max="10"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1:U549"/>
  <sheetViews>
    <sheetView showZeros="0" view="pageBreakPreview" zoomScaleNormal="100" zoomScaleSheetLayoutView="100" workbookViewId="0"/>
  </sheetViews>
  <sheetFormatPr defaultColWidth="8.875" defaultRowHeight="12.75" x14ac:dyDescent="0.2"/>
  <cols>
    <col min="1" max="1" width="12.125" style="406" customWidth="1"/>
    <col min="2" max="3" width="11.375" style="406" customWidth="1"/>
    <col min="4" max="4" width="9.125" style="406" customWidth="1"/>
    <col min="5" max="5" width="10" style="406" customWidth="1"/>
    <col min="6" max="6" width="9.25" style="406" customWidth="1"/>
    <col min="7" max="7" width="10.25" style="406" customWidth="1"/>
    <col min="8" max="8" width="10.375" style="406" customWidth="1"/>
    <col min="9" max="9" width="10.875" style="406" customWidth="1"/>
    <col min="10" max="10" width="9.25" style="406" customWidth="1"/>
    <col min="11" max="11" width="8.625" style="406" customWidth="1"/>
    <col min="12" max="12" width="2.5" style="406" customWidth="1"/>
    <col min="13" max="13" width="8.75" style="646" customWidth="1"/>
    <col min="14" max="16384" width="8.875" style="406"/>
  </cols>
  <sheetData>
    <row r="1" spans="1:18" s="94" customFormat="1" ht="18" x14ac:dyDescent="0.2">
      <c r="A1" s="135" t="s">
        <v>358</v>
      </c>
      <c r="B1" s="92"/>
      <c r="C1" s="92"/>
      <c r="D1" s="92"/>
      <c r="E1" s="92"/>
      <c r="F1" s="92"/>
      <c r="G1" s="92"/>
      <c r="H1" s="92"/>
      <c r="I1" s="92"/>
      <c r="J1" s="92" t="s">
        <v>91</v>
      </c>
      <c r="K1" s="92"/>
      <c r="L1" s="163"/>
      <c r="M1" s="646"/>
    </row>
    <row r="2" spans="1:18" s="94" customFormat="1" ht="18.75" x14ac:dyDescent="0.2">
      <c r="A2" s="1557" t="s">
        <v>18</v>
      </c>
      <c r="B2" s="1557"/>
      <c r="C2" s="1557"/>
      <c r="D2" s="1557"/>
      <c r="E2" s="1557"/>
      <c r="F2" s="1557"/>
      <c r="G2" s="1557"/>
      <c r="H2" s="1557"/>
      <c r="I2" s="1557"/>
      <c r="J2" s="92"/>
      <c r="K2" s="92"/>
      <c r="L2" s="163"/>
      <c r="M2" s="646"/>
    </row>
    <row r="3" spans="1:18" s="94" customFormat="1" ht="15.75" x14ac:dyDescent="0.2">
      <c r="A3" s="91" t="s">
        <v>1915</v>
      </c>
      <c r="B3" s="91"/>
      <c r="C3" s="91"/>
      <c r="D3" s="91"/>
      <c r="E3" s="91"/>
      <c r="F3" s="91"/>
      <c r="G3" s="91"/>
      <c r="H3" s="91"/>
      <c r="I3" s="91"/>
      <c r="J3" s="92" t="s">
        <v>91</v>
      </c>
      <c r="K3" s="91"/>
      <c r="L3" s="164"/>
      <c r="M3" s="647"/>
    </row>
    <row r="4" spans="1:18" s="100" customFormat="1" ht="17.25" customHeight="1" x14ac:dyDescent="0.2">
      <c r="A4" s="96"/>
      <c r="B4" s="96"/>
      <c r="C4" s="96"/>
      <c r="D4" s="96"/>
      <c r="E4" s="96"/>
      <c r="F4" s="96"/>
      <c r="G4" s="97"/>
      <c r="H4" s="96"/>
      <c r="I4" s="96"/>
      <c r="J4" s="98"/>
      <c r="K4" s="96"/>
      <c r="L4" s="165"/>
      <c r="M4" s="648" t="s">
        <v>381</v>
      </c>
    </row>
    <row r="5" spans="1:18" s="491" customFormat="1" ht="15.75" x14ac:dyDescent="0.2">
      <c r="A5" s="60"/>
      <c r="B5" s="1601" t="s">
        <v>55</v>
      </c>
      <c r="C5" s="1601"/>
      <c r="D5" s="1601"/>
      <c r="E5" s="1602"/>
      <c r="F5" s="1603" t="s">
        <v>119</v>
      </c>
      <c r="G5" s="1604"/>
      <c r="H5" s="1604"/>
      <c r="I5" s="1604"/>
      <c r="J5" s="406" t="s">
        <v>91</v>
      </c>
      <c r="K5" s="406"/>
      <c r="L5" s="166"/>
      <c r="M5" s="649"/>
    </row>
    <row r="6" spans="1:18" s="378" customFormat="1" ht="50.25" customHeight="1" x14ac:dyDescent="0.2">
      <c r="A6" s="650"/>
      <c r="B6" s="51" t="s">
        <v>87</v>
      </c>
      <c r="C6" s="52" t="s">
        <v>89</v>
      </c>
      <c r="D6" s="52" t="s">
        <v>306</v>
      </c>
      <c r="E6" s="52" t="s">
        <v>97</v>
      </c>
      <c r="F6" s="53" t="s">
        <v>87</v>
      </c>
      <c r="G6" s="52" t="s">
        <v>89</v>
      </c>
      <c r="H6" s="52" t="s">
        <v>306</v>
      </c>
      <c r="I6" s="52" t="s">
        <v>97</v>
      </c>
      <c r="J6" s="651"/>
      <c r="K6" s="379"/>
      <c r="L6" s="652"/>
      <c r="M6" s="649"/>
      <c r="N6" s="491" t="s">
        <v>91</v>
      </c>
      <c r="O6" s="491"/>
      <c r="P6" s="491"/>
      <c r="Q6" s="491"/>
      <c r="R6" s="491"/>
    </row>
    <row r="7" spans="1:18" s="491" customFormat="1" ht="16.5" customHeight="1" x14ac:dyDescent="0.2">
      <c r="A7" s="406" t="s">
        <v>56</v>
      </c>
      <c r="B7" s="653">
        <f>IF($M7&gt;0,('Amounts Pivot Table'!I$630/$M7),0)</f>
        <v>5393.5407603282611</v>
      </c>
      <c r="C7" s="553">
        <f>IF($M7&gt;0,('Amounts Pivot Table'!I$633/$M7),0)</f>
        <v>667.73980329846108</v>
      </c>
      <c r="D7" s="553">
        <f>IF($M7&gt;0,('Amounts Pivot Table'!I$639/$M7),0)</f>
        <v>8202.4989923408066</v>
      </c>
      <c r="E7" s="553">
        <f>SUM(B7:D7)</f>
        <v>14263.779555967529</v>
      </c>
      <c r="F7" s="554"/>
      <c r="G7" s="555"/>
      <c r="H7" s="555"/>
      <c r="I7" s="555"/>
      <c r="J7" s="566"/>
      <c r="K7" s="406"/>
      <c r="L7" s="654"/>
      <c r="M7" s="841">
        <f>+'[1]NEW-Tables 80-86'!W70</f>
        <v>2389652.5295000002</v>
      </c>
    </row>
    <row r="8" spans="1:18" s="491" customFormat="1" ht="9" customHeight="1" x14ac:dyDescent="0.2">
      <c r="A8" s="406"/>
      <c r="B8" s="553"/>
      <c r="C8" s="553"/>
      <c r="D8" s="553"/>
      <c r="E8" s="553"/>
      <c r="F8" s="554"/>
      <c r="G8" s="555"/>
      <c r="H8" s="555"/>
      <c r="I8" s="555"/>
      <c r="J8" s="566"/>
      <c r="K8" s="406"/>
      <c r="L8" s="654"/>
      <c r="M8" s="841"/>
    </row>
    <row r="9" spans="1:18" s="491" customFormat="1" x14ac:dyDescent="0.2">
      <c r="A9" s="406" t="s">
        <v>320</v>
      </c>
      <c r="B9" s="559">
        <f>IF($M9&gt;0,('Amounts Pivot Table'!I$6/$M9),0)</f>
        <v>4800.1425508821321</v>
      </c>
      <c r="C9" s="556">
        <f>IF($M9&gt;0,('Amounts Pivot Table'!I$9/$M9),0)</f>
        <v>579.03763378904728</v>
      </c>
      <c r="D9" s="556">
        <f>IF($M9&gt;0,('Amounts Pivot Table'!I$15/$M9),0)</f>
        <v>11164.737209476087</v>
      </c>
      <c r="E9" s="556">
        <f>SUM(B9:D9)</f>
        <v>16543.917394147265</v>
      </c>
      <c r="F9" s="557">
        <f t="shared" ref="F9:I12" si="0">IF(B9&gt;0,RANK(B9,B$9:B$27),)</f>
        <v>10</v>
      </c>
      <c r="G9" s="558">
        <f t="shared" si="0"/>
        <v>9</v>
      </c>
      <c r="H9" s="558">
        <f t="shared" si="0"/>
        <v>4</v>
      </c>
      <c r="I9" s="558">
        <f t="shared" si="0"/>
        <v>5</v>
      </c>
      <c r="J9" s="556"/>
      <c r="K9" s="406"/>
      <c r="L9" s="654"/>
      <c r="M9" s="841">
        <f>+'[1]NEW-Tables 80-86'!W72</f>
        <v>129153.88333333333</v>
      </c>
    </row>
    <row r="10" spans="1:18" s="491" customFormat="1" x14ac:dyDescent="0.2">
      <c r="A10" s="406" t="s">
        <v>334</v>
      </c>
      <c r="B10" s="559">
        <f>IF($M10&gt;0,('Amounts Pivot Table'!I$45/$M10),0)</f>
        <v>5393.0343111307939</v>
      </c>
      <c r="C10" s="556">
        <f>IF($M10&gt;0,('Amounts Pivot Table'!I$48/$M10),0)</f>
        <v>1170.6804069591331</v>
      </c>
      <c r="D10" s="556">
        <f>IF($M10&gt;0,('Amounts Pivot Table'!I$54/$M10),0)</f>
        <v>7383.3205720615852</v>
      </c>
      <c r="E10" s="556">
        <f t="shared" ref="E10:E27" si="1">SUM(B10:D10)</f>
        <v>13947.035290151511</v>
      </c>
      <c r="F10" s="557">
        <f t="shared" si="0"/>
        <v>6</v>
      </c>
      <c r="G10" s="558">
        <f t="shared" si="0"/>
        <v>1</v>
      </c>
      <c r="H10" s="558">
        <f t="shared" si="0"/>
        <v>11</v>
      </c>
      <c r="I10" s="558">
        <f t="shared" si="0"/>
        <v>9</v>
      </c>
      <c r="J10" s="556"/>
      <c r="K10" s="406"/>
      <c r="L10" s="654"/>
      <c r="M10" s="841">
        <f>+'[1]NEW-Tables 80-86'!W73</f>
        <v>80386.45</v>
      </c>
    </row>
    <row r="11" spans="1:18" s="491" customFormat="1" x14ac:dyDescent="0.2">
      <c r="A11" s="406" t="s">
        <v>321</v>
      </c>
      <c r="B11" s="559">
        <f>IF($M11&gt;0,('Amounts Pivot Table'!I$84/$M11),0)</f>
        <v>6142.2978641640493</v>
      </c>
      <c r="C11" s="559">
        <f>IF($M11&gt;0,('Amounts Pivot Table'!I$87/$M11),0)</f>
        <v>365.78944895160976</v>
      </c>
      <c r="D11" s="559">
        <f>IF($M11&gt;0,('Amounts Pivot Table'!I$93/$M11),0)</f>
        <v>21976.473829143564</v>
      </c>
      <c r="E11" s="559">
        <f>SUM(B11:D11)</f>
        <v>28484.561142259223</v>
      </c>
      <c r="F11" s="560">
        <f t="shared" si="0"/>
        <v>3</v>
      </c>
      <c r="G11" s="561">
        <f t="shared" si="0"/>
        <v>16</v>
      </c>
      <c r="H11" s="561">
        <f t="shared" si="0"/>
        <v>1</v>
      </c>
      <c r="I11" s="561">
        <f t="shared" si="0"/>
        <v>1</v>
      </c>
      <c r="J11" s="556"/>
      <c r="K11" s="406"/>
      <c r="L11" s="654"/>
      <c r="M11" s="841">
        <f>+'[1]NEW-Tables 80-86'!W74</f>
        <v>23940.275000000001</v>
      </c>
    </row>
    <row r="12" spans="1:18" s="491" customFormat="1" x14ac:dyDescent="0.2">
      <c r="A12" s="406" t="s">
        <v>328</v>
      </c>
      <c r="B12" s="556">
        <f>IF($M12&gt;0,('Amounts Pivot Table'!I$123/$M12),0)</f>
        <v>4268.8340042092232</v>
      </c>
      <c r="C12" s="556">
        <f>IF($M12&gt;0,('Amounts Pivot Table'!I$126/$M12),0)</f>
        <v>688.25830263640955</v>
      </c>
      <c r="D12" s="556">
        <f>IF($M12&gt;0,('Amounts Pivot Table'!I$132/$M12),0)</f>
        <v>5429.5620704762523</v>
      </c>
      <c r="E12" s="556">
        <f t="shared" si="1"/>
        <v>10386.654377321884</v>
      </c>
      <c r="F12" s="557">
        <f t="shared" si="0"/>
        <v>13</v>
      </c>
      <c r="G12" s="558">
        <f t="shared" si="0"/>
        <v>7</v>
      </c>
      <c r="H12" s="558">
        <f t="shared" si="0"/>
        <v>16</v>
      </c>
      <c r="I12" s="558">
        <f t="shared" si="0"/>
        <v>16</v>
      </c>
      <c r="J12" s="556"/>
      <c r="K12" s="406"/>
      <c r="L12" s="654"/>
      <c r="M12" s="841">
        <f>+'[1]NEW-Tables 80-86'!W75</f>
        <v>295499.88750000001</v>
      </c>
    </row>
    <row r="13" spans="1:18" s="491" customFormat="1" x14ac:dyDescent="0.2">
      <c r="A13" s="406"/>
      <c r="B13" s="556"/>
      <c r="C13" s="556"/>
      <c r="D13" s="556"/>
      <c r="E13" s="556"/>
      <c r="F13" s="557"/>
      <c r="G13" s="558"/>
      <c r="H13" s="558"/>
      <c r="I13" s="558"/>
      <c r="J13" s="556"/>
      <c r="K13" s="406"/>
      <c r="L13" s="654"/>
      <c r="M13" s="841"/>
    </row>
    <row r="14" spans="1:18" s="491" customFormat="1" x14ac:dyDescent="0.2">
      <c r="A14" s="406" t="s">
        <v>329</v>
      </c>
      <c r="B14" s="556">
        <f>IF($M14&gt;0,('Amounts Pivot Table'!I$162/$M14),0)</f>
        <v>5295.8841350043585</v>
      </c>
      <c r="C14" s="556">
        <f>IF($M14&gt;0,('Amounts Pivot Table'!I$165/$M14),0)</f>
        <v>372.32156714363356</v>
      </c>
      <c r="D14" s="556">
        <f>IF($M14&gt;0,('Amounts Pivot Table'!I$171/$M14),0)</f>
        <v>7333.587710430761</v>
      </c>
      <c r="E14" s="556">
        <f t="shared" si="1"/>
        <v>13001.793412578754</v>
      </c>
      <c r="F14" s="557">
        <f t="shared" ref="F14:I17" si="2">IF(B14&gt;0,RANK(B14,B$9:B$27),)</f>
        <v>8</v>
      </c>
      <c r="G14" s="558">
        <f t="shared" si="2"/>
        <v>15</v>
      </c>
      <c r="H14" s="558">
        <f t="shared" si="2"/>
        <v>12</v>
      </c>
      <c r="I14" s="558">
        <f t="shared" si="2"/>
        <v>13</v>
      </c>
      <c r="J14" s="556"/>
      <c r="K14" s="406"/>
      <c r="L14" s="654"/>
      <c r="M14" s="841">
        <f>+'[1]NEW-Tables 80-86'!W77</f>
        <v>228526.42583333331</v>
      </c>
    </row>
    <row r="15" spans="1:18" s="491" customFormat="1" x14ac:dyDescent="0.2">
      <c r="A15" s="406" t="s">
        <v>322</v>
      </c>
      <c r="B15" s="556">
        <f>IF($M15&gt;0,('Amounts Pivot Table'!I$201/$M15),0)</f>
        <v>5702.8139053677596</v>
      </c>
      <c r="C15" s="556">
        <f>IF($M15&gt;0,('Amounts Pivot Table'!I$204/$M15),0)</f>
        <v>867.23926198195488</v>
      </c>
      <c r="D15" s="556">
        <f>IF($M15&gt;0,('Amounts Pivot Table'!I$210/$M15),0)</f>
        <v>11832.84406410181</v>
      </c>
      <c r="E15" s="556">
        <f t="shared" si="1"/>
        <v>18402.897231451523</v>
      </c>
      <c r="F15" s="557">
        <f t="shared" si="2"/>
        <v>4</v>
      </c>
      <c r="G15" s="558">
        <f t="shared" si="2"/>
        <v>3</v>
      </c>
      <c r="H15" s="558">
        <f t="shared" si="2"/>
        <v>3</v>
      </c>
      <c r="I15" s="558">
        <f t="shared" si="2"/>
        <v>3</v>
      </c>
      <c r="J15" s="556"/>
      <c r="K15" s="406"/>
      <c r="L15" s="654"/>
      <c r="M15" s="841">
        <f>+'[1]NEW-Tables 80-86'!W78</f>
        <v>101030.05</v>
      </c>
    </row>
    <row r="16" spans="1:18" s="491" customFormat="1" x14ac:dyDescent="0.2">
      <c r="A16" s="406" t="s">
        <v>330</v>
      </c>
      <c r="B16" s="556">
        <f>IF($M16&gt;0,('Amounts Pivot Table'!I$240/$M16),0)</f>
        <v>3828.2053799873283</v>
      </c>
      <c r="C16" s="556">
        <f>IF($M16&gt;0,('Amounts Pivot Table'!I$243/$M16),0)</f>
        <v>600.36915508499703</v>
      </c>
      <c r="D16" s="556">
        <f>IF($M16&gt;0,('Amounts Pivot Table'!I$249/$M16),0)</f>
        <v>6445.147948841347</v>
      </c>
      <c r="E16" s="556">
        <f t="shared" si="1"/>
        <v>10873.722483913672</v>
      </c>
      <c r="F16" s="557">
        <f t="shared" si="2"/>
        <v>14</v>
      </c>
      <c r="G16" s="558">
        <f t="shared" si="2"/>
        <v>8</v>
      </c>
      <c r="H16" s="558">
        <f t="shared" si="2"/>
        <v>14</v>
      </c>
      <c r="I16" s="558">
        <f t="shared" si="2"/>
        <v>15</v>
      </c>
      <c r="J16" s="556"/>
      <c r="K16" s="406"/>
      <c r="L16" s="654"/>
      <c r="M16" s="841">
        <f>+'[1]NEW-Tables 80-86'!W79</f>
        <v>123427.8</v>
      </c>
    </row>
    <row r="17" spans="1:21" s="491" customFormat="1" x14ac:dyDescent="0.2">
      <c r="A17" s="406" t="s">
        <v>333</v>
      </c>
      <c r="B17" s="556">
        <f>IF($M17&gt;0,('Amounts Pivot Table'!I$279/$M17),0)</f>
        <v>8636.8294731303558</v>
      </c>
      <c r="C17" s="556">
        <f>IF($M17&gt;0,('Amounts Pivot Table'!I$282/$M17),0)</f>
        <v>549.30819901041184</v>
      </c>
      <c r="D17" s="556">
        <f>IF($M17&gt;0,('Amounts Pivot Table'!I$288/$M17),0)</f>
        <v>10427.281668336216</v>
      </c>
      <c r="E17" s="556">
        <f t="shared" si="1"/>
        <v>19613.419340476983</v>
      </c>
      <c r="F17" s="557">
        <f t="shared" si="2"/>
        <v>2</v>
      </c>
      <c r="G17" s="558">
        <f t="shared" si="2"/>
        <v>12</v>
      </c>
      <c r="H17" s="558">
        <f t="shared" si="2"/>
        <v>6</v>
      </c>
      <c r="I17" s="558">
        <f t="shared" si="2"/>
        <v>2</v>
      </c>
      <c r="J17" s="556"/>
      <c r="K17" s="406"/>
      <c r="L17" s="654"/>
      <c r="M17" s="841">
        <f>+'[1]NEW-Tables 80-86'!W80</f>
        <v>103770.45000000001</v>
      </c>
    </row>
    <row r="18" spans="1:21" s="491" customFormat="1" x14ac:dyDescent="0.2">
      <c r="A18" s="406"/>
      <c r="B18" s="556"/>
      <c r="C18" s="556"/>
      <c r="D18" s="556"/>
      <c r="E18" s="556"/>
      <c r="F18" s="557"/>
      <c r="G18" s="558"/>
      <c r="H18" s="558"/>
      <c r="I18" s="558"/>
      <c r="J18" s="556"/>
      <c r="K18" s="406"/>
      <c r="L18" s="654"/>
      <c r="M18" s="841"/>
    </row>
    <row r="19" spans="1:21" s="491" customFormat="1" x14ac:dyDescent="0.2">
      <c r="A19" s="406" t="s">
        <v>323</v>
      </c>
      <c r="B19" s="556">
        <f>IF($M19&gt;0,('Amounts Pivot Table'!I$318/$M19),0)</f>
        <v>5309.7008224206957</v>
      </c>
      <c r="C19" s="556">
        <f>IF($M19&gt;0,('Amounts Pivot Table'!I$321/$M19),0)</f>
        <v>1132.6417304753807</v>
      </c>
      <c r="D19" s="556">
        <f>IF($M19&gt;0,('Amounts Pivot Table'!I$327/$M19),0)</f>
        <v>8480.7031916080741</v>
      </c>
      <c r="E19" s="556">
        <f t="shared" si="1"/>
        <v>14923.04574450415</v>
      </c>
      <c r="F19" s="557">
        <f t="shared" ref="F19:I22" si="3">IF(B19&gt;0,RANK(B19,B$9:B$27),)</f>
        <v>7</v>
      </c>
      <c r="G19" s="558">
        <f t="shared" si="3"/>
        <v>2</v>
      </c>
      <c r="H19" s="558">
        <f t="shared" si="3"/>
        <v>7</v>
      </c>
      <c r="I19" s="558">
        <f t="shared" si="3"/>
        <v>8</v>
      </c>
      <c r="J19" s="556"/>
      <c r="K19" s="406"/>
      <c r="L19" s="654"/>
      <c r="M19" s="841">
        <f>+'[1]NEW-Tables 80-86'!W82</f>
        <v>67881.925000000003</v>
      </c>
    </row>
    <row r="20" spans="1:21" s="491" customFormat="1" x14ac:dyDescent="0.2">
      <c r="A20" s="406" t="s">
        <v>324</v>
      </c>
      <c r="B20" s="556">
        <f>IF($M20&gt;0,('Amounts Pivot Table'!I$357/$M20),0)</f>
        <v>9810.1106568174691</v>
      </c>
      <c r="C20" s="556">
        <f>IF($M20&gt;0,('Amounts Pivot Table'!I$360/$M20),0)</f>
        <v>483.49434473703604</v>
      </c>
      <c r="D20" s="556">
        <f>IF($M20&gt;0,('Amounts Pivot Table'!I$366/$M20),0)</f>
        <v>6140.4698653178466</v>
      </c>
      <c r="E20" s="556">
        <f t="shared" si="1"/>
        <v>16434.07486687235</v>
      </c>
      <c r="F20" s="557">
        <f t="shared" si="3"/>
        <v>1</v>
      </c>
      <c r="G20" s="558">
        <f t="shared" si="3"/>
        <v>14</v>
      </c>
      <c r="H20" s="558">
        <f t="shared" si="3"/>
        <v>15</v>
      </c>
      <c r="I20" s="558">
        <f t="shared" si="3"/>
        <v>6</v>
      </c>
      <c r="J20" s="556"/>
      <c r="K20" s="406"/>
      <c r="L20" s="654"/>
      <c r="M20" s="841">
        <f>+'[1]NEW-Tables 80-86'!W83</f>
        <v>196043.05000000002</v>
      </c>
    </row>
    <row r="21" spans="1:21" s="491" customFormat="1" x14ac:dyDescent="0.2">
      <c r="A21" s="406" t="s">
        <v>331</v>
      </c>
      <c r="B21" s="556">
        <f>IF($M21&gt;0,('Amounts Pivot Table'!I$396/$M21),0)</f>
        <v>5157.179800830826</v>
      </c>
      <c r="C21" s="556">
        <f>IF($M21&gt;0,('Amounts Pivot Table'!I$399/$M21),0)</f>
        <v>571.32099106712951</v>
      </c>
      <c r="D21" s="556">
        <f>IF($M21&gt;0,('Amounts Pivot Table'!I$405/$M21),0)</f>
        <v>7445.0683843062625</v>
      </c>
      <c r="E21" s="556">
        <f t="shared" si="1"/>
        <v>13173.569176204219</v>
      </c>
      <c r="F21" s="557">
        <f t="shared" si="3"/>
        <v>9</v>
      </c>
      <c r="G21" s="558">
        <f t="shared" si="3"/>
        <v>10</v>
      </c>
      <c r="H21" s="558">
        <f t="shared" si="3"/>
        <v>10</v>
      </c>
      <c r="I21" s="558">
        <f t="shared" si="3"/>
        <v>12</v>
      </c>
      <c r="J21" s="556"/>
      <c r="K21" s="406"/>
      <c r="L21" s="654"/>
      <c r="M21" s="841">
        <f>+'[1]NEW-Tables 80-86'!W84</f>
        <v>96887.483333333337</v>
      </c>
    </row>
    <row r="22" spans="1:21" s="491" customFormat="1" x14ac:dyDescent="0.2">
      <c r="A22" s="406" t="s">
        <v>325</v>
      </c>
      <c r="B22" s="556">
        <f>IF($M22&gt;0,('Amounts Pivot Table'!I$435/$M22),0)</f>
        <v>2538.5931761044562</v>
      </c>
      <c r="C22" s="556">
        <f>IF($M22&gt;0,('Amounts Pivot Table'!I$438/$M22),0)</f>
        <v>714.7935117618872</v>
      </c>
      <c r="D22" s="556">
        <f>IF($M22&gt;0,('Amounts Pivot Table'!I$444/$M22),0)</f>
        <v>14288.094806529925</v>
      </c>
      <c r="E22" s="556">
        <f t="shared" si="1"/>
        <v>17541.48149439627</v>
      </c>
      <c r="F22" s="557">
        <f t="shared" si="3"/>
        <v>16</v>
      </c>
      <c r="G22" s="558">
        <f t="shared" si="3"/>
        <v>6</v>
      </c>
      <c r="H22" s="558">
        <f t="shared" si="3"/>
        <v>2</v>
      </c>
      <c r="I22" s="558">
        <f t="shared" si="3"/>
        <v>4</v>
      </c>
      <c r="J22" s="556"/>
      <c r="K22" s="406"/>
      <c r="L22" s="654"/>
      <c r="M22" s="841">
        <f>+'[1]NEW-Tables 80-86'!W85</f>
        <v>96195.59616666667</v>
      </c>
    </row>
    <row r="23" spans="1:21" s="491" customFormat="1" x14ac:dyDescent="0.2">
      <c r="A23" s="406"/>
      <c r="B23" s="556"/>
      <c r="C23" s="556"/>
      <c r="D23" s="556"/>
      <c r="E23" s="556"/>
      <c r="F23" s="557"/>
      <c r="G23" s="558"/>
      <c r="H23" s="558"/>
      <c r="I23" s="558"/>
      <c r="J23" s="556"/>
      <c r="K23" s="406"/>
      <c r="L23" s="654"/>
      <c r="M23" s="841"/>
    </row>
    <row r="24" spans="1:21" s="491" customFormat="1" x14ac:dyDescent="0.2">
      <c r="A24" s="406" t="s">
        <v>90</v>
      </c>
      <c r="B24" s="556">
        <f>IF($M24&gt;0,('Amounts Pivot Table'!I$474/$M24),0)</f>
        <v>4582.6171801050141</v>
      </c>
      <c r="C24" s="556">
        <f>IF($M24&gt;0,('Amounts Pivot Table'!I$477/$M24),0)</f>
        <v>570.29533246553433</v>
      </c>
      <c r="D24" s="556">
        <f>IF($M24&gt;0,('Amounts Pivot Table'!I$483/$M24),0)</f>
        <v>8200.8607292125689</v>
      </c>
      <c r="E24" s="556">
        <f t="shared" si="1"/>
        <v>13353.773241783118</v>
      </c>
      <c r="F24" s="557">
        <f t="shared" ref="F24:I27" si="4">IF(B24&gt;0,RANK(B24,B$9:B$27),)</f>
        <v>11</v>
      </c>
      <c r="G24" s="558">
        <f t="shared" si="4"/>
        <v>11</v>
      </c>
      <c r="H24" s="558">
        <f t="shared" si="4"/>
        <v>9</v>
      </c>
      <c r="I24" s="558">
        <f t="shared" si="4"/>
        <v>10</v>
      </c>
      <c r="J24" s="556"/>
      <c r="K24" s="406"/>
      <c r="L24" s="654"/>
      <c r="M24" s="841">
        <f>+'[1]NEW-Tables 80-86'!W87</f>
        <v>121770.39166666666</v>
      </c>
    </row>
    <row r="25" spans="1:21" s="491" customFormat="1" x14ac:dyDescent="0.2">
      <c r="A25" s="406" t="s">
        <v>326</v>
      </c>
      <c r="B25" s="556">
        <f>IF($M25&gt;0,('Amounts Pivot Table'!I$513/$M25),0)</f>
        <v>5561.7963256769699</v>
      </c>
      <c r="C25" s="556">
        <f>IF($M25&gt;0,('Amounts Pivot Table'!I$516/$M25),0)</f>
        <v>834.93320244281813</v>
      </c>
      <c r="D25" s="556">
        <f>IF($M25&gt;0,('Amounts Pivot Table'!I$522/$M25),0)</f>
        <v>6844.0944574731384</v>
      </c>
      <c r="E25" s="556">
        <f t="shared" si="1"/>
        <v>13240.823985592926</v>
      </c>
      <c r="F25" s="557">
        <f t="shared" si="4"/>
        <v>5</v>
      </c>
      <c r="G25" s="558">
        <f t="shared" si="4"/>
        <v>4</v>
      </c>
      <c r="H25" s="558">
        <f t="shared" si="4"/>
        <v>13</v>
      </c>
      <c r="I25" s="558">
        <f t="shared" si="4"/>
        <v>11</v>
      </c>
      <c r="J25" s="556"/>
      <c r="K25" s="406"/>
      <c r="L25" s="654"/>
      <c r="M25" s="841">
        <f>+'[1]NEW-Tables 80-86'!W88</f>
        <v>472795.48333333328</v>
      </c>
    </row>
    <row r="26" spans="1:21" s="76" customFormat="1" ht="12.75" customHeight="1" x14ac:dyDescent="0.2">
      <c r="A26" s="406" t="s">
        <v>327</v>
      </c>
      <c r="B26" s="556">
        <f>IF($M26&gt;0,('Amounts Pivot Table'!I$552/$M26),0)</f>
        <v>4328.0382605920086</v>
      </c>
      <c r="C26" s="556">
        <f>IF($M26&gt;0,('Amounts Pivot Table'!I$555/$M26),0)</f>
        <v>542.79429843266905</v>
      </c>
      <c r="D26" s="556">
        <f>IF($M26&gt;0,('Amounts Pivot Table'!I$561/$M26),0)</f>
        <v>10774.038992260681</v>
      </c>
      <c r="E26" s="556">
        <f t="shared" si="1"/>
        <v>15644.87155128536</v>
      </c>
      <c r="F26" s="557">
        <f t="shared" si="4"/>
        <v>12</v>
      </c>
      <c r="G26" s="558">
        <f t="shared" si="4"/>
        <v>13</v>
      </c>
      <c r="H26" s="558">
        <f t="shared" si="4"/>
        <v>5</v>
      </c>
      <c r="I26" s="558">
        <f t="shared" si="4"/>
        <v>7</v>
      </c>
      <c r="J26" s="556"/>
      <c r="L26" s="169"/>
      <c r="M26" s="841">
        <f>+'[1]NEW-Tables 80-86'!W89</f>
        <v>194555.27500000002</v>
      </c>
      <c r="P26" s="491"/>
      <c r="Q26" s="491"/>
      <c r="R26" s="491"/>
      <c r="S26" s="491"/>
      <c r="T26" s="491"/>
      <c r="U26" s="491"/>
    </row>
    <row r="27" spans="1:21" s="491" customFormat="1" x14ac:dyDescent="0.2">
      <c r="A27" s="407" t="s">
        <v>332</v>
      </c>
      <c r="B27" s="562">
        <f>IF($M27&gt;0,('Amounts Pivot Table'!I$591/$M27),0)</f>
        <v>3709.9347899230238</v>
      </c>
      <c r="C27" s="562">
        <f>IF($M27&gt;0,('Amounts Pivot Table'!I$594/$M27),0)</f>
        <v>782.92130023763252</v>
      </c>
      <c r="D27" s="562">
        <f>IF($M27&gt;0,('Amounts Pivot Table'!I$600/$M27),0)</f>
        <v>8310.3138760221173</v>
      </c>
      <c r="E27" s="563">
        <f t="shared" si="1"/>
        <v>12803.169966182773</v>
      </c>
      <c r="F27" s="564">
        <f t="shared" si="4"/>
        <v>15</v>
      </c>
      <c r="G27" s="565">
        <f t="shared" si="4"/>
        <v>5</v>
      </c>
      <c r="H27" s="565">
        <f t="shared" si="4"/>
        <v>8</v>
      </c>
      <c r="I27" s="565">
        <f t="shared" si="4"/>
        <v>14</v>
      </c>
      <c r="J27" s="556"/>
      <c r="K27" s="406"/>
      <c r="L27" s="655"/>
      <c r="M27" s="841">
        <f>+'[1]NEW-Tables 80-86'!W90</f>
        <v>57788.103333333333</v>
      </c>
    </row>
    <row r="28" spans="1:21" s="491" customFormat="1" ht="13.5" customHeight="1" x14ac:dyDescent="0.2">
      <c r="A28" s="99"/>
      <c r="B28" s="556"/>
      <c r="C28" s="556"/>
      <c r="D28" s="556"/>
      <c r="E28" s="556"/>
      <c r="F28" s="558"/>
      <c r="G28" s="558"/>
      <c r="H28" s="558"/>
      <c r="I28" s="558"/>
      <c r="J28" s="556"/>
      <c r="K28" s="556"/>
      <c r="L28" s="656"/>
      <c r="M28" s="649"/>
    </row>
    <row r="29" spans="1:21" s="491" customFormat="1" ht="40.5" customHeight="1" x14ac:dyDescent="0.2">
      <c r="A29" s="1558" t="s">
        <v>17</v>
      </c>
      <c r="B29" s="1593"/>
      <c r="C29" s="1593"/>
      <c r="D29" s="1593"/>
      <c r="E29" s="1593"/>
      <c r="F29" s="1593"/>
      <c r="G29" s="1594"/>
      <c r="H29" s="1594"/>
      <c r="I29" s="1594"/>
      <c r="J29" s="657"/>
      <c r="K29" s="657"/>
      <c r="L29" s="658"/>
      <c r="M29" s="649"/>
    </row>
    <row r="30" spans="1:21" s="76" customFormat="1" ht="21" customHeight="1" x14ac:dyDescent="0.2">
      <c r="A30" s="1558" t="s">
        <v>54</v>
      </c>
      <c r="B30" s="1600"/>
      <c r="C30" s="1600"/>
      <c r="D30" s="1600"/>
      <c r="E30" s="1600"/>
      <c r="F30" s="1600"/>
      <c r="G30" s="1600"/>
      <c r="H30" s="1600"/>
      <c r="I30" s="1600"/>
      <c r="J30" s="657"/>
      <c r="L30" s="169"/>
      <c r="M30" s="649"/>
      <c r="P30" s="491"/>
      <c r="Q30" s="491"/>
      <c r="R30" s="491"/>
      <c r="S30" s="491"/>
      <c r="T30" s="491"/>
      <c r="U30" s="491"/>
    </row>
    <row r="31" spans="1:21" s="491" customFormat="1" ht="19.5" customHeight="1" x14ac:dyDescent="0.2">
      <c r="A31" s="1558" t="s">
        <v>389</v>
      </c>
      <c r="B31" s="1593"/>
      <c r="C31" s="1593"/>
      <c r="D31" s="1593"/>
      <c r="E31" s="1593"/>
      <c r="F31" s="1593"/>
      <c r="G31" s="1594"/>
      <c r="H31" s="1594"/>
      <c r="I31" s="1594"/>
      <c r="J31" s="659"/>
      <c r="K31" s="659"/>
      <c r="L31" s="658"/>
      <c r="M31" s="649"/>
    </row>
    <row r="32" spans="1:21" s="491" customFormat="1" x14ac:dyDescent="0.2">
      <c r="A32" s="644"/>
      <c r="B32" s="657"/>
      <c r="C32" s="657"/>
      <c r="D32" s="657"/>
      <c r="E32" s="657"/>
      <c r="F32" s="657"/>
      <c r="G32" s="659"/>
      <c r="H32" s="659"/>
      <c r="I32" s="535" t="s">
        <v>1898</v>
      </c>
      <c r="J32" s="659"/>
      <c r="K32" s="659"/>
      <c r="L32" s="658"/>
      <c r="M32" s="649"/>
    </row>
    <row r="33" spans="1:13" s="491" customFormat="1" ht="15.75" x14ac:dyDescent="0.15">
      <c r="A33" s="1557" t="s">
        <v>359</v>
      </c>
      <c r="B33" s="1557"/>
      <c r="C33" s="1557"/>
      <c r="D33" s="1557"/>
      <c r="E33" s="1557"/>
      <c r="F33" s="1557"/>
      <c r="G33" s="1557"/>
      <c r="H33" s="1557"/>
      <c r="I33" s="1557"/>
      <c r="J33" s="95"/>
      <c r="K33" s="95"/>
      <c r="L33" s="655"/>
      <c r="M33" s="660"/>
    </row>
    <row r="34" spans="1:13" s="491" customFormat="1" ht="18.75" x14ac:dyDescent="0.2">
      <c r="A34" s="1557" t="s">
        <v>18</v>
      </c>
      <c r="B34" s="1557"/>
      <c r="C34" s="1557"/>
      <c r="D34" s="1557"/>
      <c r="E34" s="1557"/>
      <c r="F34" s="1557"/>
      <c r="G34" s="1557"/>
      <c r="H34" s="1557"/>
      <c r="I34" s="1557"/>
      <c r="J34" s="95"/>
      <c r="K34" s="95"/>
      <c r="L34" s="655"/>
      <c r="M34" s="661"/>
    </row>
    <row r="35" spans="1:13" s="491" customFormat="1" ht="15.75" x14ac:dyDescent="0.2">
      <c r="A35" s="1557" t="s">
        <v>435</v>
      </c>
      <c r="B35" s="1557"/>
      <c r="C35" s="1557"/>
      <c r="D35" s="1557"/>
      <c r="E35" s="1557"/>
      <c r="F35" s="1557"/>
      <c r="G35" s="1557"/>
      <c r="H35" s="1557"/>
      <c r="I35" s="1557"/>
      <c r="J35" s="95"/>
      <c r="K35" s="95"/>
      <c r="L35" s="165"/>
      <c r="M35" s="649"/>
    </row>
    <row r="36" spans="1:13" s="491" customFormat="1" ht="9.75" customHeight="1" x14ac:dyDescent="0.2">
      <c r="A36" s="91"/>
      <c r="B36" s="91"/>
      <c r="C36" s="91"/>
      <c r="D36" s="91"/>
      <c r="E36" s="91"/>
      <c r="F36" s="91"/>
      <c r="G36" s="108"/>
      <c r="H36" s="91"/>
      <c r="I36" s="91"/>
      <c r="J36" s="91"/>
      <c r="K36" s="91"/>
      <c r="L36" s="165"/>
      <c r="M36" s="648" t="s">
        <v>381</v>
      </c>
    </row>
    <row r="37" spans="1:13" s="491" customFormat="1" ht="17.25" customHeight="1" x14ac:dyDescent="0.2">
      <c r="A37" s="60"/>
      <c r="B37" s="109" t="s">
        <v>55</v>
      </c>
      <c r="C37" s="662"/>
      <c r="D37" s="662"/>
      <c r="E37" s="662"/>
      <c r="F37" s="57" t="s">
        <v>119</v>
      </c>
      <c r="G37" s="58"/>
      <c r="H37" s="58"/>
      <c r="I37" s="58"/>
      <c r="L37" s="165"/>
      <c r="M37" s="649"/>
    </row>
    <row r="38" spans="1:13" s="378" customFormat="1" ht="45" x14ac:dyDescent="0.2">
      <c r="A38" s="650"/>
      <c r="B38" s="51" t="s">
        <v>87</v>
      </c>
      <c r="C38" s="52" t="s">
        <v>89</v>
      </c>
      <c r="D38" s="52" t="s">
        <v>306</v>
      </c>
      <c r="E38" s="52" t="s">
        <v>97</v>
      </c>
      <c r="F38" s="53" t="s">
        <v>87</v>
      </c>
      <c r="G38" s="52" t="s">
        <v>89</v>
      </c>
      <c r="H38" s="52" t="s">
        <v>306</v>
      </c>
      <c r="I38" s="52" t="s">
        <v>97</v>
      </c>
      <c r="L38" s="172"/>
      <c r="M38" s="649"/>
    </row>
    <row r="39" spans="1:13" s="491" customFormat="1" ht="16.5" customHeight="1" x14ac:dyDescent="0.2">
      <c r="A39" s="406" t="s">
        <v>56</v>
      </c>
      <c r="B39" s="553">
        <f>IF($M39&gt;0,('Amounts Pivot Table'!C$630/$M39),0)</f>
        <v>5855.0896408184317</v>
      </c>
      <c r="C39" s="553">
        <f>IF($M39&gt;0,('Amounts Pivot Table'!C$633/$M39),0)</f>
        <v>1319.3008573514319</v>
      </c>
      <c r="D39" s="553">
        <f>IF($M39&gt;0,('Amounts Pivot Table'!C$639/$M39),0)</f>
        <v>9746.9898312197802</v>
      </c>
      <c r="E39" s="553">
        <f>SUM(B39:D39)</f>
        <v>16921.380329389642</v>
      </c>
      <c r="F39" s="554"/>
      <c r="G39" s="555"/>
      <c r="H39" s="555"/>
      <c r="I39" s="555"/>
      <c r="J39" s="556"/>
      <c r="L39" s="654"/>
      <c r="M39" s="841">
        <f>+'[1]NEW-Tables 80-86'!Q70</f>
        <v>1083610.1924999999</v>
      </c>
    </row>
    <row r="40" spans="1:13" s="112" customFormat="1" x14ac:dyDescent="0.2">
      <c r="A40" s="110"/>
      <c r="B40" s="190"/>
      <c r="C40" s="190"/>
      <c r="D40" s="190"/>
      <c r="E40" s="190"/>
      <c r="F40" s="191"/>
      <c r="G40" s="192"/>
      <c r="H40" s="192"/>
      <c r="I40" s="192"/>
      <c r="J40" s="111"/>
      <c r="L40" s="175"/>
      <c r="M40" s="841"/>
    </row>
    <row r="41" spans="1:13" s="491" customFormat="1" ht="12.75" customHeight="1" x14ac:dyDescent="0.2">
      <c r="A41" s="406" t="s">
        <v>320</v>
      </c>
      <c r="B41" s="556">
        <f>IF($M41&gt;0,('Amounts Pivot Table'!C$6/$M41),0)</f>
        <v>4976.0845609908029</v>
      </c>
      <c r="C41" s="556">
        <f>IF($M41&gt;0,('Amounts Pivot Table'!C$9/$M41),0)</f>
        <v>1167.6047891406042</v>
      </c>
      <c r="D41" s="556">
        <f>IF($M41&gt;0,('Amounts Pivot Table'!C$15/$M41),0)</f>
        <v>15776.971909241385</v>
      </c>
      <c r="E41" s="556">
        <f>SUM(B41:D41)</f>
        <v>21920.661259372791</v>
      </c>
      <c r="F41" s="557">
        <f>IF(B41&gt;0,RANK(B41,$B$41:$B$59),)</f>
        <v>11</v>
      </c>
      <c r="G41" s="558">
        <f>IF(C41&gt;0,RANK(C41,C$41:C$59),)</f>
        <v>10</v>
      </c>
      <c r="H41" s="558">
        <f>IF(D41&gt;0,RANK(D41,D$41:D$59),)</f>
        <v>3</v>
      </c>
      <c r="I41" s="558">
        <f>IF(E41&gt;0,RANK(E41,E$41:E$59),)</f>
        <v>4</v>
      </c>
      <c r="J41" s="556"/>
      <c r="L41" s="654"/>
      <c r="M41" s="841">
        <f>+'[1]NEW-Tables 80-86'!Q72</f>
        <v>53859.35</v>
      </c>
    </row>
    <row r="42" spans="1:13" s="491" customFormat="1" ht="12.75" customHeight="1" x14ac:dyDescent="0.2">
      <c r="A42" s="406" t="s">
        <v>334</v>
      </c>
      <c r="B42" s="556">
        <f>IF($M42&gt;0,('Amounts Pivot Table'!C$45/$M42),0)</f>
        <v>5511.1942628128027</v>
      </c>
      <c r="C42" s="556">
        <f>IF($M42&gt;0,('Amounts Pivot Table'!C$48/$M42),0)</f>
        <v>3732.0889850974695</v>
      </c>
      <c r="D42" s="556">
        <f>IF($M42&gt;0,('Amounts Pivot Table'!C$54/$M42),0)</f>
        <v>8754.3808200989188</v>
      </c>
      <c r="E42" s="556">
        <f>SUM(B42:D42)</f>
        <v>17997.664068009191</v>
      </c>
      <c r="F42" s="557">
        <f t="shared" ref="F42:F59" si="5">IF(B42&gt;0,RANK(B42,$B$41:$B$59),)</f>
        <v>9</v>
      </c>
      <c r="G42" s="558">
        <f t="shared" ref="G42:I59" si="6">IF(C42&gt;0,RANK(C42,C$41:C$59),)</f>
        <v>1</v>
      </c>
      <c r="H42" s="558">
        <f t="shared" si="6"/>
        <v>12</v>
      </c>
      <c r="I42" s="558">
        <f t="shared" si="6"/>
        <v>7</v>
      </c>
      <c r="J42" s="556"/>
      <c r="L42" s="654"/>
      <c r="M42" s="841">
        <f>+'[1]NEW-Tables 80-86'!Q73</f>
        <v>22204.841666666667</v>
      </c>
    </row>
    <row r="43" spans="1:13" s="491" customFormat="1" ht="12.75" customHeight="1" x14ac:dyDescent="0.2">
      <c r="A43" s="406" t="s">
        <v>321</v>
      </c>
      <c r="B43" s="556">
        <f>IF($M43&gt;0,('Amounts Pivot Table'!C$85/$M43),0)</f>
        <v>5864.7594040869435</v>
      </c>
      <c r="C43" s="556">
        <f>IF($M43&gt;0,('Amounts Pivot Table'!C$88/$M43),0)</f>
        <v>315.9046744917876</v>
      </c>
      <c r="D43" s="556">
        <f>IF($M43&gt;0,('Amounts Pivot Table'!C$94/$M43),0)</f>
        <v>25407.459701512355</v>
      </c>
      <c r="E43" s="556">
        <f>SUM(B43:D43)</f>
        <v>31588.123780091086</v>
      </c>
      <c r="F43" s="557">
        <f t="shared" si="5"/>
        <v>7</v>
      </c>
      <c r="G43" s="558">
        <f t="shared" si="6"/>
        <v>16</v>
      </c>
      <c r="H43" s="558">
        <f t="shared" si="6"/>
        <v>1</v>
      </c>
      <c r="I43" s="558">
        <f t="shared" si="6"/>
        <v>1</v>
      </c>
      <c r="J43" s="556"/>
      <c r="L43" s="654"/>
      <c r="M43" s="841">
        <f>+'[1]NEW-Tables 80-86'!Q74</f>
        <v>20083.466666666667</v>
      </c>
    </row>
    <row r="44" spans="1:13" s="491" customFormat="1" ht="12.75" customHeight="1" x14ac:dyDescent="0.2">
      <c r="A44" s="406" t="s">
        <v>328</v>
      </c>
      <c r="B44" s="556">
        <f>IF($M44&gt;0,('Amounts Pivot Table'!C$123/$M44),0)</f>
        <v>4100.1946460712152</v>
      </c>
      <c r="C44" s="556">
        <f>IF($M44&gt;0,('Amounts Pivot Table'!C$126/$M44),0)</f>
        <v>800.04986269371409</v>
      </c>
      <c r="D44" s="556">
        <f>IF($M44&gt;0,('Amounts Pivot Table'!C$132/$M44),0)</f>
        <v>5530.0541132647149</v>
      </c>
      <c r="E44" s="556">
        <f>SUM(B44:D44)</f>
        <v>10430.298622029644</v>
      </c>
      <c r="F44" s="557">
        <f t="shared" si="5"/>
        <v>14</v>
      </c>
      <c r="G44" s="558">
        <f t="shared" si="6"/>
        <v>14</v>
      </c>
      <c r="H44" s="558">
        <f t="shared" si="6"/>
        <v>16</v>
      </c>
      <c r="I44" s="558">
        <f t="shared" si="6"/>
        <v>16</v>
      </c>
      <c r="J44" s="556"/>
      <c r="L44" s="654"/>
      <c r="M44" s="841">
        <f>+'[1]NEW-Tables 80-86'!Q75</f>
        <v>223426.89166666666</v>
      </c>
    </row>
    <row r="45" spans="1:13" s="112" customFormat="1" x14ac:dyDescent="0.2">
      <c r="A45" s="110"/>
      <c r="B45" s="190"/>
      <c r="C45" s="190"/>
      <c r="D45" s="190"/>
      <c r="E45" s="190"/>
      <c r="F45" s="557"/>
      <c r="G45" s="558"/>
      <c r="H45" s="558"/>
      <c r="I45" s="558"/>
      <c r="J45" s="111"/>
      <c r="L45" s="175"/>
      <c r="M45" s="841"/>
    </row>
    <row r="46" spans="1:13" s="491" customFormat="1" ht="12.75" customHeight="1" x14ac:dyDescent="0.2">
      <c r="A46" s="406" t="s">
        <v>329</v>
      </c>
      <c r="B46" s="556">
        <f>IF($M46&gt;0,('Amounts Pivot Table'!C$162/$M46),0)</f>
        <v>6840.6214324623579</v>
      </c>
      <c r="C46" s="556">
        <f>IF($M46&gt;0,('Amounts Pivot Table'!C$165/$M46),0)</f>
        <v>1090.6925608917536</v>
      </c>
      <c r="D46" s="556">
        <f>IF($M46&gt;0,('Amounts Pivot Table'!C$171/$M46),0)</f>
        <v>8868.7349178036311</v>
      </c>
      <c r="E46" s="556">
        <f>SUM(B46:D46)</f>
        <v>16800.048911157741</v>
      </c>
      <c r="F46" s="557">
        <f t="shared" si="5"/>
        <v>4</v>
      </c>
      <c r="G46" s="558">
        <f t="shared" si="6"/>
        <v>12</v>
      </c>
      <c r="H46" s="558">
        <f t="shared" si="6"/>
        <v>11</v>
      </c>
      <c r="I46" s="558">
        <f t="shared" si="6"/>
        <v>10</v>
      </c>
      <c r="J46" s="556"/>
      <c r="L46" s="654"/>
      <c r="M46" s="841">
        <f>+'[1]NEW-Tables 80-86'!Q77</f>
        <v>66344.78</v>
      </c>
    </row>
    <row r="47" spans="1:13" s="491" customFormat="1" ht="12.75" customHeight="1" x14ac:dyDescent="0.2">
      <c r="A47" s="406" t="s">
        <v>322</v>
      </c>
      <c r="B47" s="556">
        <f>IF($M47&gt;0,('Amounts Pivot Table'!C$201/$M47),0)</f>
        <v>7413.437856222411</v>
      </c>
      <c r="C47" s="556">
        <f>IF($M47&gt;0,('Amounts Pivot Table'!C$204/$M47),0)</f>
        <v>1926.6812458562019</v>
      </c>
      <c r="D47" s="556">
        <f>IF($M47&gt;0,('Amounts Pivot Table'!C$210/$M47),0)</f>
        <v>14347.311798312567</v>
      </c>
      <c r="E47" s="556">
        <f>SUM(B47:D47)</f>
        <v>23687.43090039118</v>
      </c>
      <c r="F47" s="557">
        <f t="shared" si="5"/>
        <v>3</v>
      </c>
      <c r="G47" s="558">
        <f t="shared" si="6"/>
        <v>4</v>
      </c>
      <c r="H47" s="558">
        <f t="shared" si="6"/>
        <v>5</v>
      </c>
      <c r="I47" s="558">
        <f t="shared" si="6"/>
        <v>3</v>
      </c>
      <c r="J47" s="556"/>
      <c r="L47" s="654"/>
      <c r="M47" s="841">
        <f>+'[1]NEW-Tables 80-86'!Q78</f>
        <v>39001.558333333334</v>
      </c>
    </row>
    <row r="48" spans="1:13" s="491" customFormat="1" ht="12.75" customHeight="1" x14ac:dyDescent="0.2">
      <c r="A48" s="406" t="s">
        <v>330</v>
      </c>
      <c r="B48" s="556">
        <f>IF($M48&gt;0,('Amounts Pivot Table'!C$240/$M48),0)</f>
        <v>4292.4165857217668</v>
      </c>
      <c r="C48" s="556">
        <f>IF($M48&gt;0,('Amounts Pivot Table'!C$243/$M48),0)</f>
        <v>2342.7882570959205</v>
      </c>
      <c r="D48" s="556">
        <f>IF($M48&gt;0,('Amounts Pivot Table'!C$249/$M48),0)</f>
        <v>9140.9707121211432</v>
      </c>
      <c r="E48" s="556">
        <f>SUM(B48:D48)</f>
        <v>15776.175554938831</v>
      </c>
      <c r="F48" s="557">
        <f t="shared" si="5"/>
        <v>12</v>
      </c>
      <c r="G48" s="558">
        <f t="shared" si="6"/>
        <v>2</v>
      </c>
      <c r="H48" s="558">
        <f t="shared" si="6"/>
        <v>9</v>
      </c>
      <c r="I48" s="558">
        <f t="shared" si="6"/>
        <v>12</v>
      </c>
      <c r="J48" s="556"/>
      <c r="L48" s="654"/>
      <c r="M48" s="841">
        <f>+'[1]NEW-Tables 80-86'!Q79</f>
        <v>29787.066666666669</v>
      </c>
    </row>
    <row r="49" spans="1:13" s="491" customFormat="1" ht="12.75" customHeight="1" x14ac:dyDescent="0.2">
      <c r="A49" s="406" t="s">
        <v>333</v>
      </c>
      <c r="B49" s="556">
        <f>IF($M49&gt;0,('Amounts Pivot Table'!C$279/$M49),0)</f>
        <v>12436.153073057596</v>
      </c>
      <c r="C49" s="556">
        <f>IF($M49&gt;0,('Amounts Pivot Table'!C$282/$M49),0)</f>
        <v>1728.1568930625981</v>
      </c>
      <c r="D49" s="556">
        <f>IF($M49&gt;0,('Amounts Pivot Table'!C$288/$M49),0)</f>
        <v>14363.295724474559</v>
      </c>
      <c r="E49" s="556">
        <f>SUM(B49:D49)</f>
        <v>28527.605690594755</v>
      </c>
      <c r="F49" s="557">
        <f t="shared" si="5"/>
        <v>1</v>
      </c>
      <c r="G49" s="558">
        <f t="shared" si="6"/>
        <v>5</v>
      </c>
      <c r="H49" s="558">
        <f t="shared" si="6"/>
        <v>4</v>
      </c>
      <c r="I49" s="558">
        <f t="shared" si="6"/>
        <v>2</v>
      </c>
      <c r="J49" s="556"/>
      <c r="L49" s="654"/>
      <c r="M49" s="841">
        <f>+'[1]NEW-Tables 80-86'!Q80</f>
        <v>32984.25</v>
      </c>
    </row>
    <row r="50" spans="1:13" s="112" customFormat="1" x14ac:dyDescent="0.2">
      <c r="A50" s="110"/>
      <c r="B50" s="190"/>
      <c r="C50" s="190"/>
      <c r="D50" s="190"/>
      <c r="E50" s="190"/>
      <c r="F50" s="557"/>
      <c r="G50" s="558"/>
      <c r="H50" s="558"/>
      <c r="I50" s="558"/>
      <c r="J50" s="111"/>
      <c r="L50" s="175"/>
      <c r="M50" s="841"/>
    </row>
    <row r="51" spans="1:13" s="491" customFormat="1" ht="12.75" customHeight="1" x14ac:dyDescent="0.2">
      <c r="A51" s="406" t="s">
        <v>323</v>
      </c>
      <c r="B51" s="556">
        <f>IF($M51&gt;0,('Amounts Pivot Table'!C$318/$M51),0)</f>
        <v>5210.2130298148777</v>
      </c>
      <c r="C51" s="556">
        <f>IF($M51&gt;0,('Amounts Pivot Table'!C$321/$M51),0)</f>
        <v>2045.1591728946046</v>
      </c>
      <c r="D51" s="556">
        <f>IF($M51&gt;0,('Amounts Pivot Table'!C$327/$M51),0)</f>
        <v>8254.7603559827803</v>
      </c>
      <c r="E51" s="556">
        <f>SUM(B51:D51)</f>
        <v>15510.132558692263</v>
      </c>
      <c r="F51" s="557">
        <f t="shared" si="5"/>
        <v>10</v>
      </c>
      <c r="G51" s="558">
        <f t="shared" si="6"/>
        <v>3</v>
      </c>
      <c r="H51" s="558">
        <f t="shared" si="6"/>
        <v>15</v>
      </c>
      <c r="I51" s="558">
        <f t="shared" si="6"/>
        <v>14</v>
      </c>
      <c r="J51" s="556"/>
      <c r="L51" s="654"/>
      <c r="M51" s="841">
        <f>+'[1]NEW-Tables 80-86'!Q82</f>
        <v>31555.833333333336</v>
      </c>
    </row>
    <row r="52" spans="1:13" s="491" customFormat="1" ht="12.75" customHeight="1" x14ac:dyDescent="0.2">
      <c r="A52" s="406" t="s">
        <v>324</v>
      </c>
      <c r="B52" s="556">
        <f>IF($M52&gt;0,('Amounts Pivot Table'!C$357/$M52),0)</f>
        <v>10928.860720583391</v>
      </c>
      <c r="C52" s="556">
        <f>IF($M52&gt;0,('Amounts Pivot Table'!C$360/$M52),0)</f>
        <v>1329.4125240054402</v>
      </c>
      <c r="D52" s="556">
        <f>IF($M52&gt;0,('Amounts Pivot Table'!C$366/$M52),0)</f>
        <v>8297.3529363981888</v>
      </c>
      <c r="E52" s="556">
        <f>SUM(B52:D52)</f>
        <v>20555.626180987019</v>
      </c>
      <c r="F52" s="557">
        <f t="shared" si="5"/>
        <v>2</v>
      </c>
      <c r="G52" s="558">
        <f t="shared" si="6"/>
        <v>9</v>
      </c>
      <c r="H52" s="558">
        <f t="shared" si="6"/>
        <v>14</v>
      </c>
      <c r="I52" s="558">
        <f t="shared" si="6"/>
        <v>6</v>
      </c>
      <c r="J52" s="556"/>
      <c r="L52" s="654"/>
      <c r="M52" s="841">
        <f>+'[1]NEW-Tables 80-86'!Q83</f>
        <v>71298.94166666668</v>
      </c>
    </row>
    <row r="53" spans="1:13" s="491" customFormat="1" ht="12.75" customHeight="1" x14ac:dyDescent="0.2">
      <c r="A53" s="406" t="s">
        <v>331</v>
      </c>
      <c r="B53" s="556">
        <f>IF($M53&gt;0,('Amounts Pivot Table'!C$396/$M53),0)</f>
        <v>5540.7676391790837</v>
      </c>
      <c r="C53" s="556">
        <f>IF($M53&gt;0,('Amounts Pivot Table'!C$399/$M53),0)</f>
        <v>1125.6102324777462</v>
      </c>
      <c r="D53" s="556">
        <f>IF($M53&gt;0,('Amounts Pivot Table'!C$405/$M53),0)</f>
        <v>8979.7063246351172</v>
      </c>
      <c r="E53" s="556">
        <f>SUM(B53:D53)</f>
        <v>15646.084196291948</v>
      </c>
      <c r="F53" s="557">
        <f t="shared" si="5"/>
        <v>8</v>
      </c>
      <c r="G53" s="558">
        <f t="shared" si="6"/>
        <v>11</v>
      </c>
      <c r="H53" s="558">
        <f t="shared" si="6"/>
        <v>10</v>
      </c>
      <c r="I53" s="558">
        <f t="shared" si="6"/>
        <v>13</v>
      </c>
      <c r="J53" s="556"/>
      <c r="L53" s="654"/>
      <c r="M53" s="841">
        <f>+'[1]NEW-Tables 80-86'!Q84</f>
        <v>49176.75</v>
      </c>
    </row>
    <row r="54" spans="1:13" s="491" customFormat="1" ht="12.75" customHeight="1" x14ac:dyDescent="0.2">
      <c r="A54" s="406" t="s">
        <v>325</v>
      </c>
      <c r="B54" s="556">
        <f>IF($M54&gt;0,('Amounts Pivot Table'!C$435/$M54),0)</f>
        <v>3151.3173314295523</v>
      </c>
      <c r="C54" s="556">
        <f>IF($M54&gt;0,('Amounts Pivot Table'!C$438/$M54),0)</f>
        <v>942.57377605848785</v>
      </c>
      <c r="D54" s="556">
        <f>IF($M54&gt;0,('Amounts Pivot Table'!C$444/$M54),0)</f>
        <v>16661.257567152468</v>
      </c>
      <c r="E54" s="556">
        <f>SUM(B54:D54)</f>
        <v>20755.14867464051</v>
      </c>
      <c r="F54" s="557">
        <f t="shared" si="5"/>
        <v>15</v>
      </c>
      <c r="G54" s="558">
        <f t="shared" si="6"/>
        <v>13</v>
      </c>
      <c r="H54" s="558">
        <f t="shared" si="6"/>
        <v>2</v>
      </c>
      <c r="I54" s="558">
        <f t="shared" si="6"/>
        <v>5</v>
      </c>
      <c r="J54" s="556"/>
      <c r="L54" s="654"/>
      <c r="M54" s="841">
        <f>+'[1]NEW-Tables 80-86'!Q85</f>
        <v>47437.758333333331</v>
      </c>
    </row>
    <row r="55" spans="1:13" s="112" customFormat="1" x14ac:dyDescent="0.2">
      <c r="A55" s="110"/>
      <c r="B55" s="190"/>
      <c r="C55" s="190"/>
      <c r="D55" s="190"/>
      <c r="E55" s="190"/>
      <c r="F55" s="557"/>
      <c r="G55" s="558"/>
      <c r="H55" s="558"/>
      <c r="I55" s="558"/>
      <c r="J55" s="111"/>
      <c r="L55" s="175"/>
      <c r="M55" s="841"/>
    </row>
    <row r="56" spans="1:13" s="491" customFormat="1" ht="12.75" customHeight="1" x14ac:dyDescent="0.2">
      <c r="A56" s="406" t="s">
        <v>90</v>
      </c>
      <c r="B56" s="556">
        <f>IF($M56&gt;0,('Amounts Pivot Table'!C$474/$M56),0)</f>
        <v>6099.5323813289824</v>
      </c>
      <c r="C56" s="556">
        <f>IF($M56&gt;0,('Amounts Pivot Table'!C$477/$M56),0)</f>
        <v>1479.374602176892</v>
      </c>
      <c r="D56" s="556">
        <f>IF($M56&gt;0,('Amounts Pivot Table'!C$483/$M56),0)</f>
        <v>9705.5550131001364</v>
      </c>
      <c r="E56" s="556">
        <f>SUM(B56:D56)</f>
        <v>17284.461996606013</v>
      </c>
      <c r="F56" s="557">
        <f t="shared" si="5"/>
        <v>6</v>
      </c>
      <c r="G56" s="558">
        <f t="shared" si="6"/>
        <v>8</v>
      </c>
      <c r="H56" s="558">
        <f t="shared" si="6"/>
        <v>8</v>
      </c>
      <c r="I56" s="558">
        <f t="shared" si="6"/>
        <v>8</v>
      </c>
      <c r="J56" s="556"/>
      <c r="K56" s="566"/>
      <c r="L56" s="654"/>
      <c r="M56" s="841">
        <f>+'[1]NEW-Tables 80-86'!Q87</f>
        <v>42928.941666666666</v>
      </c>
    </row>
    <row r="57" spans="1:13" s="491" customFormat="1" ht="12.75" customHeight="1" x14ac:dyDescent="0.2">
      <c r="A57" s="406" t="s">
        <v>326</v>
      </c>
      <c r="B57" s="556">
        <f>IF($M57&gt;0,('Amounts Pivot Table'!C$513/$M57),0)</f>
        <v>6676.6783376976327</v>
      </c>
      <c r="C57" s="556">
        <f>IF($M57&gt;0,('Amounts Pivot Table'!C$516/$M57),0)</f>
        <v>1713.3626788468052</v>
      </c>
      <c r="D57" s="556">
        <f>IF($M57&gt;0,('Amounts Pivot Table'!C$522/$M57),0)</f>
        <v>8370.7199394674208</v>
      </c>
      <c r="E57" s="556">
        <f>SUM(B57:D57)</f>
        <v>16760.760956011858</v>
      </c>
      <c r="F57" s="557">
        <f t="shared" si="5"/>
        <v>5</v>
      </c>
      <c r="G57" s="558">
        <f t="shared" si="6"/>
        <v>6</v>
      </c>
      <c r="H57" s="558">
        <f t="shared" si="6"/>
        <v>13</v>
      </c>
      <c r="I57" s="558">
        <f t="shared" si="6"/>
        <v>11</v>
      </c>
      <c r="J57" s="556"/>
      <c r="K57" s="566"/>
      <c r="L57" s="654"/>
      <c r="M57" s="841">
        <f>+'[1]NEW-Tables 80-86'!Q88</f>
        <v>224870.64166666666</v>
      </c>
    </row>
    <row r="58" spans="1:13" s="76" customFormat="1" ht="12.75" customHeight="1" x14ac:dyDescent="0.2">
      <c r="A58" s="406" t="s">
        <v>327</v>
      </c>
      <c r="B58" s="556">
        <f>IF($M58&gt;0,('Amounts Pivot Table'!C$552/$M58),0)</f>
        <v>4283.4990629544473</v>
      </c>
      <c r="C58" s="556">
        <f>IF($M58&gt;0,('Amounts Pivot Table'!C$555/$M58),0)</f>
        <v>711.79922861704063</v>
      </c>
      <c r="D58" s="556">
        <f>IF($M58&gt;0,('Amounts Pivot Table'!C$561/$M58),0)</f>
        <v>12263.863807336833</v>
      </c>
      <c r="E58" s="556">
        <f>SUM(B58:D58)</f>
        <v>17259.16209890832</v>
      </c>
      <c r="F58" s="557">
        <f t="shared" si="5"/>
        <v>13</v>
      </c>
      <c r="G58" s="558">
        <f t="shared" si="6"/>
        <v>15</v>
      </c>
      <c r="H58" s="558">
        <f t="shared" si="6"/>
        <v>6</v>
      </c>
      <c r="I58" s="558">
        <f t="shared" si="6"/>
        <v>9</v>
      </c>
      <c r="J58" s="556"/>
      <c r="K58" s="566"/>
      <c r="L58" s="169"/>
      <c r="M58" s="841">
        <f>+'[1]NEW-Tables 80-86'!Q89</f>
        <v>101740.42916666667</v>
      </c>
    </row>
    <row r="59" spans="1:13" s="491" customFormat="1" ht="12.75" customHeight="1" x14ac:dyDescent="0.2">
      <c r="A59" s="407" t="s">
        <v>332</v>
      </c>
      <c r="B59" s="562">
        <f>IF($M59&gt;0,('Amounts Pivot Table'!C$591/$M59),0)</f>
        <v>2906.6378242717733</v>
      </c>
      <c r="C59" s="562">
        <f>IF($M59&gt;0,('Amounts Pivot Table'!C$594/$M59),0)</f>
        <v>1540.304765219912</v>
      </c>
      <c r="D59" s="562">
        <f>IF($M59&gt;0,('Amounts Pivot Table'!C$600/$M59),0)</f>
        <v>10213.895919007582</v>
      </c>
      <c r="E59" s="563">
        <f>SUM(B59:D59)</f>
        <v>14660.838508499268</v>
      </c>
      <c r="F59" s="564">
        <f t="shared" si="5"/>
        <v>16</v>
      </c>
      <c r="G59" s="565">
        <f t="shared" si="6"/>
        <v>7</v>
      </c>
      <c r="H59" s="565">
        <f t="shared" si="6"/>
        <v>7</v>
      </c>
      <c r="I59" s="565">
        <f t="shared" si="6"/>
        <v>15</v>
      </c>
      <c r="J59" s="556"/>
      <c r="K59" s="566"/>
      <c r="L59" s="655"/>
      <c r="M59" s="841">
        <f>+'[1]NEW-Tables 80-86'!Q90</f>
        <v>26908.691666666666</v>
      </c>
    </row>
    <row r="60" spans="1:13" s="491" customFormat="1" ht="39.75" customHeight="1" x14ac:dyDescent="0.2">
      <c r="A60" s="1558" t="s">
        <v>17</v>
      </c>
      <c r="B60" s="1593"/>
      <c r="C60" s="1593"/>
      <c r="D60" s="1593"/>
      <c r="E60" s="1593"/>
      <c r="F60" s="1593"/>
      <c r="G60" s="1594"/>
      <c r="H60" s="1594"/>
      <c r="I60" s="1594"/>
      <c r="J60" s="566"/>
      <c r="K60" s="566"/>
      <c r="L60" s="658"/>
      <c r="M60" s="663"/>
    </row>
    <row r="61" spans="1:13" s="76" customFormat="1" ht="22.5" customHeight="1" x14ac:dyDescent="0.2">
      <c r="A61" s="1558" t="s">
        <v>54</v>
      </c>
      <c r="B61" s="1600"/>
      <c r="C61" s="1600"/>
      <c r="D61" s="1600"/>
      <c r="E61" s="1600"/>
      <c r="F61" s="1600"/>
      <c r="G61" s="1600"/>
      <c r="H61" s="1600"/>
      <c r="I61" s="1600"/>
      <c r="J61" s="657"/>
      <c r="L61" s="169"/>
      <c r="M61" s="649"/>
    </row>
    <row r="62" spans="1:13" s="491" customFormat="1" x14ac:dyDescent="0.2">
      <c r="A62" s="1558" t="s">
        <v>233</v>
      </c>
      <c r="B62" s="1593"/>
      <c r="C62" s="1593"/>
      <c r="D62" s="1593"/>
      <c r="E62" s="1593"/>
      <c r="F62" s="1593"/>
      <c r="G62" s="1594"/>
      <c r="H62" s="1594"/>
      <c r="I62" s="1594"/>
      <c r="J62" s="1594"/>
      <c r="K62" s="1594"/>
      <c r="L62" s="658"/>
      <c r="M62" s="649"/>
    </row>
    <row r="63" spans="1:13" s="491" customFormat="1" x14ac:dyDescent="0.2">
      <c r="A63" s="644"/>
      <c r="B63" s="657"/>
      <c r="C63" s="657"/>
      <c r="D63" s="657"/>
      <c r="E63" s="657"/>
      <c r="F63" s="657"/>
      <c r="G63" s="659"/>
      <c r="H63" s="659"/>
      <c r="I63" s="659"/>
      <c r="J63" s="659"/>
      <c r="K63" s="659"/>
      <c r="L63" s="658"/>
      <c r="M63" s="649"/>
    </row>
    <row r="64" spans="1:13" s="491" customFormat="1" x14ac:dyDescent="0.2">
      <c r="A64" s="644"/>
      <c r="B64" s="657"/>
      <c r="C64" s="657"/>
      <c r="D64" s="657"/>
      <c r="E64" s="657"/>
      <c r="F64" s="657"/>
      <c r="G64" s="659"/>
      <c r="H64" s="659"/>
      <c r="I64" s="535" t="s">
        <v>1898</v>
      </c>
      <c r="J64" s="659"/>
      <c r="K64" s="659"/>
      <c r="L64" s="658"/>
      <c r="M64" s="649"/>
    </row>
    <row r="65" spans="1:13" s="491" customFormat="1" ht="15.75" x14ac:dyDescent="0.2">
      <c r="A65" s="1557" t="s">
        <v>360</v>
      </c>
      <c r="B65" s="1557"/>
      <c r="C65" s="1557"/>
      <c r="D65" s="1557"/>
      <c r="E65" s="1557"/>
      <c r="F65" s="1557"/>
      <c r="G65" s="1557"/>
      <c r="H65" s="1557"/>
      <c r="I65" s="1557"/>
      <c r="J65" s="95"/>
      <c r="L65" s="655"/>
      <c r="M65" s="649"/>
    </row>
    <row r="66" spans="1:13" s="491" customFormat="1" ht="18.75" x14ac:dyDescent="0.2">
      <c r="A66" s="1557" t="s">
        <v>18</v>
      </c>
      <c r="B66" s="1557"/>
      <c r="C66" s="1557"/>
      <c r="D66" s="1557"/>
      <c r="E66" s="1557"/>
      <c r="F66" s="1557"/>
      <c r="G66" s="1557"/>
      <c r="H66" s="1557"/>
      <c r="I66" s="1557"/>
      <c r="J66" s="95"/>
      <c r="K66" s="95"/>
      <c r="L66" s="655"/>
      <c r="M66" s="664"/>
    </row>
    <row r="67" spans="1:13" s="491" customFormat="1" ht="15.75" x14ac:dyDescent="0.2">
      <c r="A67" s="1557" t="s">
        <v>436</v>
      </c>
      <c r="B67" s="1557"/>
      <c r="C67" s="1557"/>
      <c r="D67" s="1557"/>
      <c r="E67" s="1557"/>
      <c r="F67" s="1557"/>
      <c r="G67" s="1557"/>
      <c r="H67" s="1557"/>
      <c r="I67" s="1557"/>
      <c r="J67" s="95"/>
      <c r="K67" s="95"/>
      <c r="L67" s="165"/>
      <c r="M67" s="649"/>
    </row>
    <row r="68" spans="1:13" s="491" customFormat="1" ht="6.75" customHeight="1" x14ac:dyDescent="0.2">
      <c r="A68" s="91"/>
      <c r="B68" s="91"/>
      <c r="C68" s="91"/>
      <c r="D68" s="91"/>
      <c r="E68" s="91"/>
      <c r="F68" s="91"/>
      <c r="G68" s="108" t="s">
        <v>91</v>
      </c>
      <c r="H68" s="91"/>
      <c r="I68" s="91"/>
      <c r="J68" s="91"/>
      <c r="K68" s="91"/>
      <c r="L68" s="165"/>
      <c r="M68" s="649"/>
    </row>
    <row r="69" spans="1:13" s="491" customFormat="1" ht="15.75" customHeight="1" x14ac:dyDescent="0.2">
      <c r="A69" s="60"/>
      <c r="B69" s="109" t="s">
        <v>55</v>
      </c>
      <c r="C69" s="662"/>
      <c r="D69" s="662"/>
      <c r="E69" s="662"/>
      <c r="F69" s="57" t="s">
        <v>119</v>
      </c>
      <c r="G69" s="58"/>
      <c r="H69" s="58"/>
      <c r="I69" s="58"/>
      <c r="L69" s="165"/>
      <c r="M69" s="649"/>
    </row>
    <row r="70" spans="1:13" s="378" customFormat="1" ht="45" x14ac:dyDescent="0.2">
      <c r="A70" s="650"/>
      <c r="B70" s="51" t="s">
        <v>87</v>
      </c>
      <c r="C70" s="52" t="s">
        <v>89</v>
      </c>
      <c r="D70" s="52" t="s">
        <v>306</v>
      </c>
      <c r="E70" s="52" t="s">
        <v>97</v>
      </c>
      <c r="F70" s="53" t="s">
        <v>87</v>
      </c>
      <c r="G70" s="52" t="s">
        <v>89</v>
      </c>
      <c r="H70" s="52" t="s">
        <v>306</v>
      </c>
      <c r="I70" s="52" t="s">
        <v>97</v>
      </c>
      <c r="L70" s="172"/>
      <c r="M70" s="842" t="s">
        <v>260</v>
      </c>
    </row>
    <row r="71" spans="1:13" s="491" customFormat="1" ht="16.5" customHeight="1" x14ac:dyDescent="0.2">
      <c r="A71" s="406" t="s">
        <v>56</v>
      </c>
      <c r="B71" s="553">
        <f>IF($M71&gt;0,('Amounts Pivot Table'!D$630/$M71),0)</f>
        <v>5794.405037070971</v>
      </c>
      <c r="C71" s="553">
        <f>IF($M71&gt;0,('Amounts Pivot Table'!D$633/$M71),0)</f>
        <v>273.86752358331495</v>
      </c>
      <c r="D71" s="553">
        <f>IF($M71&gt;0,('Amounts Pivot Table'!D$639/$M71),0)</f>
        <v>8052.5002318764564</v>
      </c>
      <c r="E71" s="553">
        <f>SUM(B71:D71)</f>
        <v>14120.772792530743</v>
      </c>
      <c r="F71" s="554"/>
      <c r="G71" s="555"/>
      <c r="H71" s="555"/>
      <c r="I71" s="555"/>
      <c r="J71" s="553"/>
      <c r="L71" s="654"/>
      <c r="M71" s="841">
        <f>+'[1]NEW-Tables 80-86'!R70</f>
        <v>283191.03333333333</v>
      </c>
    </row>
    <row r="72" spans="1:13" s="491" customFormat="1" ht="10.5" customHeight="1" x14ac:dyDescent="0.2">
      <c r="A72" s="406"/>
      <c r="B72" s="553"/>
      <c r="C72" s="553"/>
      <c r="D72" s="553"/>
      <c r="E72" s="553"/>
      <c r="F72" s="554"/>
      <c r="G72" s="555"/>
      <c r="H72" s="555"/>
      <c r="I72" s="555"/>
      <c r="J72" s="553"/>
      <c r="L72" s="654"/>
      <c r="M72" s="841"/>
    </row>
    <row r="73" spans="1:13" s="491" customFormat="1" x14ac:dyDescent="0.2">
      <c r="A73" s="406" t="s">
        <v>320</v>
      </c>
      <c r="B73" s="556">
        <f>IF($M73&gt;0,('Amounts Pivot Table'!D$6/$M73),0)</f>
        <v>4912.6148045464979</v>
      </c>
      <c r="C73" s="556">
        <f>IF($M73&gt;0,('Amounts Pivot Table'!D$9/$M73),0)</f>
        <v>38.7277336726671</v>
      </c>
      <c r="D73" s="556">
        <f>IF($M73&gt;0,('Amounts Pivot Table'!D$15/$M73),0)</f>
        <v>10870.147739594016</v>
      </c>
      <c r="E73" s="556">
        <f>SUM(B73:D73)</f>
        <v>15821.490277813182</v>
      </c>
      <c r="F73" s="557">
        <f>IF(B73&gt;0,RANK(B73,$B$73:$B$91),)</f>
        <v>4</v>
      </c>
      <c r="G73" s="558">
        <f>IF(C73&gt;0,RANK(C73,$C$73:$C$91),)</f>
        <v>7</v>
      </c>
      <c r="H73" s="558">
        <f>IF(D73&gt;0,RANK(D73,$D$73:$D$91),)</f>
        <v>3</v>
      </c>
      <c r="I73" s="558">
        <f>IF(E73&gt;0,RANK(E73,$E$73:$E$91),)</f>
        <v>4</v>
      </c>
      <c r="J73" s="556"/>
      <c r="L73" s="654"/>
      <c r="M73" s="841">
        <f>+'[1]NEW-Tables 80-86'!R72</f>
        <v>17000.633333333331</v>
      </c>
    </row>
    <row r="74" spans="1:13" s="491" customFormat="1" x14ac:dyDescent="0.2">
      <c r="A74" s="406" t="s">
        <v>334</v>
      </c>
      <c r="B74" s="556">
        <f>IF($M74&gt;0,('Amounts Pivot Table'!D$45/$M74),0)</f>
        <v>0</v>
      </c>
      <c r="C74" s="556">
        <f>IF($M74&gt;0,('Amounts Pivot Table'!D$48/$M74),0)</f>
        <v>0</v>
      </c>
      <c r="D74" s="556">
        <f>IF($M74&gt;0,('Amounts Pivot Table'!D$54/$M74),0)</f>
        <v>0</v>
      </c>
      <c r="E74" s="556">
        <f>SUM(B74:D74)</f>
        <v>0</v>
      </c>
      <c r="F74" s="557">
        <f t="shared" ref="F74:F91" si="7">IF(B74&gt;0,RANK(B74,$B$73:$B$91),)</f>
        <v>0</v>
      </c>
      <c r="G74" s="558">
        <f t="shared" ref="G74:G91" si="8">IF(C74&gt;0,RANK(C74,$C$73:$C$91),)</f>
        <v>0</v>
      </c>
      <c r="H74" s="558">
        <f t="shared" ref="H74:H91" si="9">IF(D74&gt;0,RANK(D74,$D$73:$D$91),)</f>
        <v>0</v>
      </c>
      <c r="I74" s="558">
        <f t="shared" ref="I74:I91" si="10">IF(E74&gt;0,RANK(E74,$E$73:$E$91),)</f>
        <v>0</v>
      </c>
      <c r="J74" s="556"/>
      <c r="L74" s="654"/>
      <c r="M74" s="841">
        <f>+'[1]NEW-Tables 80-86'!R73</f>
        <v>0</v>
      </c>
    </row>
    <row r="75" spans="1:13" s="491" customFormat="1" x14ac:dyDescent="0.2">
      <c r="A75" s="406" t="s">
        <v>321</v>
      </c>
      <c r="B75" s="556">
        <f>IF($M75&gt;0,('Amounts Pivot Table'!D$84/$M75),0)</f>
        <v>0</v>
      </c>
      <c r="C75" s="556">
        <f>IF($M75&gt;0,('Amounts Pivot Table'!D$87/$M75),0)</f>
        <v>0</v>
      </c>
      <c r="D75" s="556">
        <f>IF($M75&gt;0,('Amounts Pivot Table'!D$93/$M75),0)</f>
        <v>0</v>
      </c>
      <c r="E75" s="556">
        <f>SUM(B75:D75)</f>
        <v>0</v>
      </c>
      <c r="F75" s="557">
        <f t="shared" si="7"/>
        <v>0</v>
      </c>
      <c r="G75" s="558">
        <f t="shared" si="8"/>
        <v>0</v>
      </c>
      <c r="H75" s="558">
        <f t="shared" si="9"/>
        <v>0</v>
      </c>
      <c r="I75" s="558">
        <f t="shared" si="10"/>
        <v>0</v>
      </c>
      <c r="J75" s="556"/>
      <c r="L75" s="654"/>
      <c r="M75" s="841">
        <f>+'[1]NEW-Tables 80-86'!R74</f>
        <v>0</v>
      </c>
    </row>
    <row r="76" spans="1:13" s="491" customFormat="1" x14ac:dyDescent="0.2">
      <c r="A76" s="406" t="s">
        <v>328</v>
      </c>
      <c r="B76" s="556">
        <f>IF($M76&gt;0,('Amounts Pivot Table'!D$123/$M76),0)</f>
        <v>4415.71297618258</v>
      </c>
      <c r="C76" s="556">
        <f>IF($M76&gt;0,('Amounts Pivot Table'!D$126/$M76),0)</f>
        <v>686.79177997074737</v>
      </c>
      <c r="D76" s="556">
        <f>IF($M76&gt;0,('Amounts Pivot Table'!D$132/$M76),0)</f>
        <v>4782.983858833878</v>
      </c>
      <c r="E76" s="556">
        <f>SUM(B76:D76)</f>
        <v>9885.4886149872054</v>
      </c>
      <c r="F76" s="557">
        <f t="shared" si="7"/>
        <v>8</v>
      </c>
      <c r="G76" s="558">
        <f t="shared" si="8"/>
        <v>3</v>
      </c>
      <c r="H76" s="558">
        <f t="shared" si="9"/>
        <v>10</v>
      </c>
      <c r="I76" s="558">
        <f t="shared" si="10"/>
        <v>10</v>
      </c>
      <c r="J76" s="556"/>
      <c r="L76" s="654"/>
      <c r="M76" s="841">
        <f>+'[1]NEW-Tables 80-86'!R75</f>
        <v>23872.583333333336</v>
      </c>
    </row>
    <row r="77" spans="1:13" s="491" customFormat="1" ht="7.5" customHeight="1" x14ac:dyDescent="0.2">
      <c r="A77" s="406"/>
      <c r="B77" s="556"/>
      <c r="C77" s="556"/>
      <c r="D77" s="556"/>
      <c r="E77" s="556"/>
      <c r="F77" s="557"/>
      <c r="G77" s="558"/>
      <c r="H77" s="558"/>
      <c r="I77" s="558"/>
      <c r="J77" s="556"/>
      <c r="L77" s="654"/>
      <c r="M77" s="841"/>
    </row>
    <row r="78" spans="1:13" s="491" customFormat="1" x14ac:dyDescent="0.2">
      <c r="A78" s="406" t="s">
        <v>329</v>
      </c>
      <c r="B78" s="556">
        <f>IF($M78&gt;0,('Amounts Pivot Table'!D$162/$M78),0)</f>
        <v>8134.8218865579856</v>
      </c>
      <c r="C78" s="556">
        <f>IF($M78&gt;0,('Amounts Pivot Table'!D$165/$M78),0)</f>
        <v>532.66559900529921</v>
      </c>
      <c r="D78" s="556">
        <f>IF($M78&gt;0,('Amounts Pivot Table'!D$171/$M78),0)</f>
        <v>13141.270577498279</v>
      </c>
      <c r="E78" s="556">
        <f>SUM(B78:D78)</f>
        <v>21808.758063061563</v>
      </c>
      <c r="F78" s="557">
        <f t="shared" si="7"/>
        <v>3</v>
      </c>
      <c r="G78" s="558">
        <f t="shared" si="8"/>
        <v>4</v>
      </c>
      <c r="H78" s="558">
        <f t="shared" si="9"/>
        <v>1</v>
      </c>
      <c r="I78" s="558">
        <f t="shared" si="10"/>
        <v>1</v>
      </c>
      <c r="J78" s="556"/>
      <c r="L78" s="654"/>
      <c r="M78" s="841">
        <f>+'[1]NEW-Tables 80-86'!R77</f>
        <v>23886.579166666666</v>
      </c>
    </row>
    <row r="79" spans="1:13" s="491" customFormat="1" x14ac:dyDescent="0.2">
      <c r="A79" s="406" t="s">
        <v>322</v>
      </c>
      <c r="B79" s="556">
        <f>IF($M79&gt;0,('Amounts Pivot Table'!D$201/$M79),0)</f>
        <v>0</v>
      </c>
      <c r="C79" s="556">
        <f>IF($M79&gt;0,('Amounts Pivot Table'!D$204/$M79),0)</f>
        <v>0</v>
      </c>
      <c r="D79" s="556">
        <f>IF($M79&gt;0,('Amounts Pivot Table'!D$210/$M79),0)</f>
        <v>0</v>
      </c>
      <c r="E79" s="556">
        <f>SUM(B79:D79)</f>
        <v>0</v>
      </c>
      <c r="F79" s="557">
        <f t="shared" si="7"/>
        <v>0</v>
      </c>
      <c r="G79" s="558">
        <f t="shared" si="8"/>
        <v>0</v>
      </c>
      <c r="H79" s="558">
        <f t="shared" si="9"/>
        <v>0</v>
      </c>
      <c r="I79" s="558">
        <f t="shared" si="10"/>
        <v>0</v>
      </c>
      <c r="J79" s="556"/>
      <c r="L79" s="654"/>
      <c r="M79" s="841">
        <f>+'[1]NEW-Tables 80-86'!R78</f>
        <v>0</v>
      </c>
    </row>
    <row r="80" spans="1:13" s="491" customFormat="1" x14ac:dyDescent="0.2">
      <c r="A80" s="406" t="s">
        <v>330</v>
      </c>
      <c r="B80" s="556">
        <f>IF($M80&gt;0,('Amounts Pivot Table'!D$240/$M80),0)</f>
        <v>4115.6594969853595</v>
      </c>
      <c r="C80" s="556">
        <f>IF($M80&gt;0,('Amounts Pivot Table'!D$243/$M80),0)</f>
        <v>0</v>
      </c>
      <c r="D80" s="556">
        <f>IF($M80&gt;0,('Amounts Pivot Table'!D$249/$M80),0)</f>
        <v>5888.9978370360095</v>
      </c>
      <c r="E80" s="556">
        <f>SUM(B80:D80)</f>
        <v>10004.657334021369</v>
      </c>
      <c r="F80" s="557">
        <f t="shared" si="7"/>
        <v>10</v>
      </c>
      <c r="G80" s="558">
        <f t="shared" si="8"/>
        <v>0</v>
      </c>
      <c r="H80" s="558">
        <f t="shared" si="9"/>
        <v>8</v>
      </c>
      <c r="I80" s="558">
        <f t="shared" si="10"/>
        <v>9</v>
      </c>
      <c r="J80" s="556"/>
      <c r="L80" s="654"/>
      <c r="M80" s="841">
        <f>+'[1]NEW-Tables 80-86'!R79</f>
        <v>32201.183333333334</v>
      </c>
    </row>
    <row r="81" spans="1:13" s="491" customFormat="1" x14ac:dyDescent="0.2">
      <c r="A81" s="406" t="s">
        <v>333</v>
      </c>
      <c r="B81" s="556">
        <f>IF($M81&gt;0,('Amounts Pivot Table'!D$279/$M81),0)</f>
        <v>8986.3898874115275</v>
      </c>
      <c r="C81" s="556">
        <f>IF($M81&gt;0,('Amounts Pivot Table'!D$282/$M81),0)</f>
        <v>0</v>
      </c>
      <c r="D81" s="556">
        <f>IF($M81&gt;0,('Amounts Pivot Table'!D$288/$M81),0)</f>
        <v>8572.3301473128467</v>
      </c>
      <c r="E81" s="556">
        <f>SUM(B81:D81)</f>
        <v>17558.720034724374</v>
      </c>
      <c r="F81" s="557">
        <f t="shared" si="7"/>
        <v>2</v>
      </c>
      <c r="G81" s="558">
        <f t="shared" si="8"/>
        <v>0</v>
      </c>
      <c r="H81" s="558">
        <f t="shared" si="9"/>
        <v>6</v>
      </c>
      <c r="I81" s="558">
        <f t="shared" si="10"/>
        <v>2</v>
      </c>
      <c r="J81" s="556"/>
      <c r="L81" s="654"/>
      <c r="M81" s="841">
        <f>+'[1]NEW-Tables 80-86'!R80</f>
        <v>18814.833333333336</v>
      </c>
    </row>
    <row r="82" spans="1:13" s="491" customFormat="1" ht="6.75" customHeight="1" x14ac:dyDescent="0.2">
      <c r="A82" s="406"/>
      <c r="B82" s="556"/>
      <c r="C82" s="556"/>
      <c r="D82" s="556"/>
      <c r="E82" s="556"/>
      <c r="F82" s="557"/>
      <c r="G82" s="558"/>
      <c r="H82" s="558"/>
      <c r="I82" s="558"/>
      <c r="J82" s="556"/>
      <c r="L82" s="654"/>
      <c r="M82" s="841"/>
    </row>
    <row r="83" spans="1:13" s="491" customFormat="1" x14ac:dyDescent="0.2">
      <c r="A83" s="406" t="s">
        <v>323</v>
      </c>
      <c r="B83" s="556">
        <f>IF($M83&gt;0,('Amounts Pivot Table'!D$318/$M83),0)</f>
        <v>4811.5214928016403</v>
      </c>
      <c r="C83" s="556">
        <f>IF($M83&gt;0,('Amounts Pivot Table'!D$321/$M83),0)</f>
        <v>276.58211835507598</v>
      </c>
      <c r="D83" s="556">
        <f>IF($M83&gt;0,('Amounts Pivot Table'!D$327/$M83),0)</f>
        <v>9460.7500612311342</v>
      </c>
      <c r="E83" s="556">
        <f>SUM(B83:D83)</f>
        <v>14548.85367238785</v>
      </c>
      <c r="F83" s="557">
        <f t="shared" si="7"/>
        <v>5</v>
      </c>
      <c r="G83" s="558">
        <f t="shared" si="8"/>
        <v>5</v>
      </c>
      <c r="H83" s="558">
        <f t="shared" si="9"/>
        <v>4</v>
      </c>
      <c r="I83" s="558">
        <f t="shared" si="10"/>
        <v>6</v>
      </c>
      <c r="J83" s="556"/>
      <c r="L83" s="654"/>
      <c r="M83" s="841">
        <f>+'[1]NEW-Tables 80-86'!R82</f>
        <v>24769.533333333336</v>
      </c>
    </row>
    <row r="84" spans="1:13" s="491" customFormat="1" x14ac:dyDescent="0.2">
      <c r="A84" s="406" t="s">
        <v>324</v>
      </c>
      <c r="B84" s="556">
        <f>IF($M84&gt;0,('Amounts Pivot Table'!D$357/$M84),0)</f>
        <v>9075.9263410173844</v>
      </c>
      <c r="C84" s="556">
        <f>IF($M84&gt;0,('Amounts Pivot Table'!D$360/$M84),0)</f>
        <v>0</v>
      </c>
      <c r="D84" s="556">
        <f>IF($M84&gt;0,('Amounts Pivot Table'!D$366/$M84),0)</f>
        <v>5650.9593312962597</v>
      </c>
      <c r="E84" s="556">
        <f>SUM(B84:D84)</f>
        <v>14726.885672313645</v>
      </c>
      <c r="F84" s="557">
        <f t="shared" si="7"/>
        <v>1</v>
      </c>
      <c r="G84" s="558">
        <f t="shared" si="8"/>
        <v>0</v>
      </c>
      <c r="H84" s="558">
        <f t="shared" si="9"/>
        <v>9</v>
      </c>
      <c r="I84" s="558">
        <f t="shared" si="10"/>
        <v>5</v>
      </c>
      <c r="J84" s="556"/>
      <c r="L84" s="654"/>
      <c r="M84" s="841">
        <f>+'[1]NEW-Tables 80-86'!R83</f>
        <v>45222.816666666666</v>
      </c>
    </row>
    <row r="85" spans="1:13" s="491" customFormat="1" x14ac:dyDescent="0.2">
      <c r="A85" s="406" t="s">
        <v>331</v>
      </c>
      <c r="B85" s="556">
        <f>IF($M85&gt;0,('Amounts Pivot Table'!D$396/$M85),0)</f>
        <v>0</v>
      </c>
      <c r="C85" s="556">
        <f>IF($M85&gt;0,('Amounts Pivot Table'!D$399/$M85),0)</f>
        <v>0</v>
      </c>
      <c r="D85" s="556">
        <f>IF($M85&gt;0,('Amounts Pivot Table'!D$405/$M85),0)</f>
        <v>0</v>
      </c>
      <c r="E85" s="556">
        <f>SUM(B85:D85)</f>
        <v>0</v>
      </c>
      <c r="F85" s="557">
        <f t="shared" si="7"/>
        <v>0</v>
      </c>
      <c r="G85" s="558">
        <f t="shared" si="8"/>
        <v>0</v>
      </c>
      <c r="H85" s="558">
        <f t="shared" si="9"/>
        <v>0</v>
      </c>
      <c r="I85" s="558">
        <f t="shared" si="10"/>
        <v>0</v>
      </c>
      <c r="J85" s="556"/>
      <c r="L85" s="654"/>
      <c r="M85" s="841">
        <f>+'[1]NEW-Tables 80-86'!R84</f>
        <v>0</v>
      </c>
    </row>
    <row r="86" spans="1:13" s="491" customFormat="1" x14ac:dyDescent="0.2">
      <c r="A86" s="406" t="s">
        <v>325</v>
      </c>
      <c r="B86" s="556">
        <f>IF($M86&gt;0,('Amounts Pivot Table'!D$435/$M86),0)</f>
        <v>0</v>
      </c>
      <c r="C86" s="556">
        <f>IF($M86&gt;0,('Amounts Pivot Table'!D$438/$M86),0)</f>
        <v>0</v>
      </c>
      <c r="D86" s="556">
        <f>IF($M86&gt;0,('Amounts Pivot Table'!D$444/$M86),0)</f>
        <v>0</v>
      </c>
      <c r="E86" s="556">
        <f>SUM(B86:D86)</f>
        <v>0</v>
      </c>
      <c r="F86" s="557">
        <f t="shared" si="7"/>
        <v>0</v>
      </c>
      <c r="G86" s="558">
        <f t="shared" si="8"/>
        <v>0</v>
      </c>
      <c r="H86" s="558">
        <f t="shared" si="9"/>
        <v>0</v>
      </c>
      <c r="I86" s="558">
        <f t="shared" si="10"/>
        <v>0</v>
      </c>
      <c r="J86" s="556"/>
      <c r="L86" s="654"/>
      <c r="M86" s="841">
        <f>+'[1]NEW-Tables 80-86'!R85</f>
        <v>0</v>
      </c>
    </row>
    <row r="87" spans="1:13" s="491" customFormat="1" ht="7.5" customHeight="1" x14ac:dyDescent="0.2">
      <c r="A87" s="406"/>
      <c r="B87" s="556"/>
      <c r="C87" s="556"/>
      <c r="D87" s="556"/>
      <c r="E87" s="556"/>
      <c r="F87" s="557"/>
      <c r="G87" s="558"/>
      <c r="H87" s="558"/>
      <c r="I87" s="558"/>
      <c r="J87" s="566"/>
      <c r="K87" s="566"/>
      <c r="L87" s="654"/>
      <c r="M87" s="841"/>
    </row>
    <row r="88" spans="1:13" s="491" customFormat="1" x14ac:dyDescent="0.2">
      <c r="A88" s="406" t="s">
        <v>90</v>
      </c>
      <c r="B88" s="556">
        <f>IF($M88&gt;0,('Amounts Pivot Table'!D$474/$M88),0)</f>
        <v>4557.8996164749042</v>
      </c>
      <c r="C88" s="556">
        <f>IF($M88&gt;0,('Amounts Pivot Table'!D$477/$M88),0)</f>
        <v>792.00933800233452</v>
      </c>
      <c r="D88" s="556">
        <f>IF($M88&gt;0,('Amounts Pivot Table'!D$483/$M88),0)</f>
        <v>8737.2486243121566</v>
      </c>
      <c r="E88" s="556">
        <f>SUM(B88:D88)</f>
        <v>14087.157578789396</v>
      </c>
      <c r="F88" s="557">
        <f t="shared" si="7"/>
        <v>6</v>
      </c>
      <c r="G88" s="558">
        <f t="shared" si="8"/>
        <v>1</v>
      </c>
      <c r="H88" s="558">
        <f t="shared" si="9"/>
        <v>5</v>
      </c>
      <c r="I88" s="558">
        <f t="shared" si="10"/>
        <v>7</v>
      </c>
      <c r="J88" s="566"/>
      <c r="K88" s="566"/>
      <c r="L88" s="654"/>
      <c r="M88" s="841">
        <f>+'[1]NEW-Tables 80-86'!R87</f>
        <v>7496.25</v>
      </c>
    </row>
    <row r="89" spans="1:13" s="491" customFormat="1" x14ac:dyDescent="0.2">
      <c r="A89" s="406" t="s">
        <v>326</v>
      </c>
      <c r="B89" s="556">
        <f>IF($M89&gt;0,('Amounts Pivot Table'!D$513/$M89),0)</f>
        <v>4512.1087878594644</v>
      </c>
      <c r="C89" s="556">
        <f>IF($M89&gt;0,('Amounts Pivot Table'!D$516/$M89),0)</f>
        <v>164.25204167613393</v>
      </c>
      <c r="D89" s="556">
        <f>IF($M89&gt;0,('Amounts Pivot Table'!D$522/$M89),0)</f>
        <v>6227.5900823233042</v>
      </c>
      <c r="E89" s="556">
        <f>SUM(B89:D89)</f>
        <v>10903.950911858901</v>
      </c>
      <c r="F89" s="557">
        <f t="shared" si="7"/>
        <v>7</v>
      </c>
      <c r="G89" s="558">
        <f t="shared" si="8"/>
        <v>6</v>
      </c>
      <c r="H89" s="558">
        <f t="shared" si="9"/>
        <v>7</v>
      </c>
      <c r="I89" s="558">
        <f t="shared" si="10"/>
        <v>8</v>
      </c>
      <c r="J89" s="566"/>
      <c r="K89" s="566"/>
      <c r="L89" s="654"/>
      <c r="M89" s="841">
        <f>+'[1]NEW-Tables 80-86'!R88</f>
        <v>53840.566666666666</v>
      </c>
    </row>
    <row r="90" spans="1:13" s="76" customFormat="1" ht="14.25" customHeight="1" x14ac:dyDescent="0.2">
      <c r="A90" s="406" t="s">
        <v>327</v>
      </c>
      <c r="B90" s="556">
        <f>IF($M90&gt;0,('Amounts Pivot Table'!D$552/$M90),0)</f>
        <v>4138.7779697443139</v>
      </c>
      <c r="C90" s="556">
        <f>IF($M90&gt;0,('Amounts Pivot Table'!D$555/$M90),0)</f>
        <v>724.60249821809043</v>
      </c>
      <c r="D90" s="556">
        <f>IF($M90&gt;0,('Amounts Pivot Table'!D$561/$M90),0)</f>
        <v>11802.631011772437</v>
      </c>
      <c r="E90" s="556">
        <f>SUM(B90:D90)</f>
        <v>16666.011479734843</v>
      </c>
      <c r="F90" s="557">
        <f t="shared" si="7"/>
        <v>9</v>
      </c>
      <c r="G90" s="558">
        <f t="shared" si="8"/>
        <v>2</v>
      </c>
      <c r="H90" s="558">
        <f t="shared" si="9"/>
        <v>2</v>
      </c>
      <c r="I90" s="558">
        <f t="shared" si="10"/>
        <v>3</v>
      </c>
      <c r="J90" s="566"/>
      <c r="K90" s="566"/>
      <c r="L90" s="169"/>
      <c r="M90" s="841">
        <f>+'[1]NEW-Tables 80-86'!R89</f>
        <v>36086.054166666669</v>
      </c>
    </row>
    <row r="91" spans="1:13" s="491" customFormat="1" x14ac:dyDescent="0.2">
      <c r="A91" s="407" t="s">
        <v>332</v>
      </c>
      <c r="B91" s="562">
        <f>IF($M91&gt;0,('Amounts Pivot Table'!D$591/$M91),0)</f>
        <v>0</v>
      </c>
      <c r="C91" s="562">
        <f>IF($M91&gt;0,('Amounts Pivot Table'!D$594/$M91),0)</f>
        <v>0</v>
      </c>
      <c r="D91" s="562">
        <f>IF($M91&gt;0,('Amounts Pivot Table'!D$600/$M91),0)</f>
        <v>0</v>
      </c>
      <c r="E91" s="563">
        <f>SUM(B91:D91)</f>
        <v>0</v>
      </c>
      <c r="F91" s="564">
        <f t="shared" si="7"/>
        <v>0</v>
      </c>
      <c r="G91" s="565">
        <f t="shared" si="8"/>
        <v>0</v>
      </c>
      <c r="H91" s="565">
        <f t="shared" si="9"/>
        <v>0</v>
      </c>
      <c r="I91" s="565">
        <f t="shared" si="10"/>
        <v>0</v>
      </c>
      <c r="J91" s="566"/>
      <c r="K91" s="566"/>
      <c r="L91" s="655"/>
      <c r="M91" s="841">
        <f>+'[1]NEW-Tables 80-86'!R90</f>
        <v>0</v>
      </c>
    </row>
    <row r="92" spans="1:13" s="491" customFormat="1" ht="39" customHeight="1" x14ac:dyDescent="0.2">
      <c r="A92" s="1558" t="s">
        <v>17</v>
      </c>
      <c r="B92" s="1593"/>
      <c r="C92" s="1593"/>
      <c r="D92" s="1593"/>
      <c r="E92" s="1593"/>
      <c r="F92" s="1593"/>
      <c r="G92" s="1594"/>
      <c r="H92" s="1594"/>
      <c r="I92" s="1594"/>
      <c r="J92" s="566"/>
      <c r="K92" s="566"/>
      <c r="L92" s="658"/>
      <c r="M92" s="663"/>
    </row>
    <row r="93" spans="1:13" s="76" customFormat="1" ht="22.5" customHeight="1" x14ac:dyDescent="0.2">
      <c r="A93" s="1558" t="s">
        <v>54</v>
      </c>
      <c r="B93" s="1600"/>
      <c r="C93" s="1600"/>
      <c r="D93" s="1600"/>
      <c r="E93" s="1600"/>
      <c r="F93" s="1600"/>
      <c r="G93" s="1600"/>
      <c r="H93" s="1600"/>
      <c r="I93" s="1600"/>
      <c r="J93" s="657"/>
      <c r="L93" s="169"/>
      <c r="M93" s="649"/>
    </row>
    <row r="94" spans="1:13" s="491" customFormat="1" x14ac:dyDescent="0.2">
      <c r="A94" s="189" t="s">
        <v>233</v>
      </c>
      <c r="B94" s="406"/>
      <c r="C94" s="406"/>
      <c r="D94" s="406"/>
      <c r="E94" s="406"/>
      <c r="F94" s="406"/>
      <c r="L94" s="658"/>
      <c r="M94" s="649"/>
    </row>
    <row r="95" spans="1:13" s="491" customFormat="1" x14ac:dyDescent="0.2">
      <c r="A95" s="189"/>
      <c r="B95" s="406"/>
      <c r="C95" s="406"/>
      <c r="D95" s="406"/>
      <c r="E95" s="406"/>
      <c r="F95" s="406"/>
      <c r="L95" s="658"/>
      <c r="M95" s="649"/>
    </row>
    <row r="96" spans="1:13" s="491" customFormat="1" x14ac:dyDescent="0.2">
      <c r="A96" s="189"/>
      <c r="B96" s="406"/>
      <c r="C96" s="406"/>
      <c r="D96" s="406"/>
      <c r="E96" s="406"/>
      <c r="F96" s="406"/>
      <c r="I96" s="535" t="s">
        <v>1898</v>
      </c>
      <c r="L96" s="658"/>
      <c r="M96" s="649"/>
    </row>
    <row r="97" spans="1:13" s="491" customFormat="1" ht="15.75" x14ac:dyDescent="0.2">
      <c r="A97" s="1557" t="s">
        <v>361</v>
      </c>
      <c r="B97" s="1557"/>
      <c r="C97" s="1557"/>
      <c r="D97" s="1557"/>
      <c r="E97" s="1557"/>
      <c r="F97" s="1557"/>
      <c r="G97" s="1557"/>
      <c r="H97" s="1557"/>
      <c r="I97" s="1557"/>
      <c r="J97" s="566"/>
      <c r="K97" s="566"/>
      <c r="L97" s="655"/>
      <c r="M97" s="649"/>
    </row>
    <row r="98" spans="1:13" s="491" customFormat="1" ht="18.75" x14ac:dyDescent="0.2">
      <c r="A98" s="1557" t="s">
        <v>18</v>
      </c>
      <c r="B98" s="1557"/>
      <c r="C98" s="1557"/>
      <c r="D98" s="1557"/>
      <c r="E98" s="1557"/>
      <c r="F98" s="1557"/>
      <c r="G98" s="1557"/>
      <c r="H98" s="1557"/>
      <c r="I98" s="1557"/>
      <c r="J98" s="566"/>
      <c r="K98" s="566"/>
      <c r="L98" s="655"/>
      <c r="M98" s="649"/>
    </row>
    <row r="99" spans="1:13" s="491" customFormat="1" ht="15.75" x14ac:dyDescent="0.2">
      <c r="A99" s="1557" t="s">
        <v>437</v>
      </c>
      <c r="B99" s="1557"/>
      <c r="C99" s="1557"/>
      <c r="D99" s="1557"/>
      <c r="E99" s="1557"/>
      <c r="F99" s="1557"/>
      <c r="G99" s="1557"/>
      <c r="H99" s="1557"/>
      <c r="I99" s="1557"/>
      <c r="J99" s="91"/>
      <c r="K99" s="91"/>
      <c r="L99" s="165"/>
      <c r="M99" s="649"/>
    </row>
    <row r="100" spans="1:13" s="491" customFormat="1" ht="9" customHeight="1" x14ac:dyDescent="0.2">
      <c r="A100" s="91"/>
      <c r="B100" s="91"/>
      <c r="C100" s="91"/>
      <c r="D100" s="91"/>
      <c r="E100" s="91"/>
      <c r="F100" s="91"/>
      <c r="G100" s="108"/>
      <c r="H100" s="91"/>
      <c r="I100" s="91"/>
      <c r="J100" s="91"/>
      <c r="K100" s="91"/>
      <c r="L100" s="165"/>
      <c r="M100" s="649"/>
    </row>
    <row r="101" spans="1:13" s="491" customFormat="1" ht="15.75" customHeight="1" x14ac:dyDescent="0.2">
      <c r="A101" s="60"/>
      <c r="B101" s="109" t="s">
        <v>55</v>
      </c>
      <c r="C101" s="662"/>
      <c r="D101" s="662"/>
      <c r="E101" s="662"/>
      <c r="F101" s="57" t="s">
        <v>119</v>
      </c>
      <c r="G101" s="58"/>
      <c r="H101" s="58"/>
      <c r="I101" s="58"/>
      <c r="L101" s="165"/>
      <c r="M101" s="649"/>
    </row>
    <row r="102" spans="1:13" s="378" customFormat="1" ht="45" x14ac:dyDescent="0.2">
      <c r="A102" s="665"/>
      <c r="B102" s="51" t="s">
        <v>87</v>
      </c>
      <c r="C102" s="52" t="s">
        <v>89</v>
      </c>
      <c r="D102" s="52" t="s">
        <v>306</v>
      </c>
      <c r="E102" s="52" t="s">
        <v>97</v>
      </c>
      <c r="F102" s="53" t="s">
        <v>87</v>
      </c>
      <c r="G102" s="52" t="s">
        <v>89</v>
      </c>
      <c r="H102" s="52" t="s">
        <v>306</v>
      </c>
      <c r="I102" s="52" t="s">
        <v>97</v>
      </c>
      <c r="L102" s="172"/>
      <c r="M102" s="649" t="s">
        <v>260</v>
      </c>
    </row>
    <row r="103" spans="1:13" s="491" customFormat="1" ht="16.5" customHeight="1" x14ac:dyDescent="0.2">
      <c r="A103" s="406" t="s">
        <v>56</v>
      </c>
      <c r="B103" s="553">
        <f>IF($M103&gt;0,('Amounts Pivot Table'!E$630/$M103),0)</f>
        <v>4720.1702819721877</v>
      </c>
      <c r="C103" s="553">
        <f>IF($M103&gt;0,('Amounts Pivot Table'!E$633/$M103),0)</f>
        <v>80.134757285915384</v>
      </c>
      <c r="D103" s="553">
        <f>IF($M103&gt;0,('Amounts Pivot Table'!E$639/$M103),0)</f>
        <v>6673.2132651601078</v>
      </c>
      <c r="E103" s="553">
        <f>SUM(B103:D103)</f>
        <v>11473.51830441821</v>
      </c>
      <c r="F103" s="554"/>
      <c r="G103" s="555"/>
      <c r="H103" s="555"/>
      <c r="I103" s="555"/>
      <c r="J103" s="553"/>
      <c r="L103" s="654"/>
      <c r="M103" s="841">
        <f>+'[1]NEW-Tables 80-86'!S70</f>
        <v>666247.21666666656</v>
      </c>
    </row>
    <row r="104" spans="1:13" s="112" customFormat="1" x14ac:dyDescent="0.2">
      <c r="A104" s="110"/>
      <c r="B104" s="111"/>
      <c r="C104" s="111"/>
      <c r="D104" s="111"/>
      <c r="E104" s="111"/>
      <c r="F104" s="119"/>
      <c r="G104" s="120"/>
      <c r="H104" s="120"/>
      <c r="I104" s="120"/>
      <c r="J104" s="111"/>
      <c r="L104" s="175"/>
      <c r="M104" s="841"/>
    </row>
    <row r="105" spans="1:13" s="491" customFormat="1" ht="12.75" customHeight="1" x14ac:dyDescent="0.2">
      <c r="A105" s="406" t="s">
        <v>320</v>
      </c>
      <c r="B105" s="556">
        <f>IF($M105&gt;0,('Amounts Pivot Table'!E$6/$M105),0)</f>
        <v>4209.7970845805485</v>
      </c>
      <c r="C105" s="556">
        <f>IF($M105&gt;0,('Amounts Pivot Table'!E$9/$M105),0)</f>
        <v>282.15621036073941</v>
      </c>
      <c r="D105" s="556">
        <f>IF($M105&gt;0,('Amounts Pivot Table'!E$15/$M105),0)</f>
        <v>6940.9841627173091</v>
      </c>
      <c r="E105" s="556">
        <f>SUM(B105:D105)</f>
        <v>11432.937457658598</v>
      </c>
      <c r="F105" s="557">
        <f>IF(B105&gt;0,RANK(B105,$B$105:$B$123),)</f>
        <v>11</v>
      </c>
      <c r="G105" s="558">
        <f>IF(C105&gt;0,RANK(C105,$C$105:$C$123),)</f>
        <v>2</v>
      </c>
      <c r="H105" s="558">
        <f>IF(D105&gt;0,RANK(D105,$D$105:$D$123),)</f>
        <v>9</v>
      </c>
      <c r="I105" s="558">
        <f>IF(E105&gt;0,RANK(E105,$E$105:$E$123),)</f>
        <v>9</v>
      </c>
      <c r="J105" s="556"/>
      <c r="L105" s="654"/>
      <c r="M105" s="841">
        <f>+'[1]NEW-Tables 80-86'!S72</f>
        <v>33249.074999999997</v>
      </c>
    </row>
    <row r="106" spans="1:13" s="491" customFormat="1" ht="12.75" customHeight="1" x14ac:dyDescent="0.2">
      <c r="A106" s="406" t="s">
        <v>334</v>
      </c>
      <c r="B106" s="556">
        <f>IF($M106&gt;0,('Amounts Pivot Table'!E$45/$M106),0)</f>
        <v>5178.8892000504084</v>
      </c>
      <c r="C106" s="556">
        <f>IF($M106&gt;0,('Amounts Pivot Table'!E$48/$M106),0)</f>
        <v>167.54243716893902</v>
      </c>
      <c r="D106" s="556">
        <f>IF($M106&gt;0,('Amounts Pivot Table'!E$54/$M106),0)</f>
        <v>7124.4087542181833</v>
      </c>
      <c r="E106" s="556">
        <f>SUM(B106:D106)</f>
        <v>12470.84039143753</v>
      </c>
      <c r="F106" s="557">
        <f t="shared" ref="F106:F123" si="11">IF(B106&gt;0,RANK(B106,$B$105:$B$123),)</f>
        <v>3</v>
      </c>
      <c r="G106" s="558">
        <f t="shared" ref="G106:G123" si="12">IF(C106&gt;0,RANK(C106,$C$105:$C$123),)</f>
        <v>5</v>
      </c>
      <c r="H106" s="558">
        <f t="shared" ref="H106:H123" si="13">IF(D106&gt;0,RANK(D106,$D$105:$D$123),)</f>
        <v>8</v>
      </c>
      <c r="I106" s="558">
        <f t="shared" ref="I106:I123" si="14">IF(E106&gt;0,RANK(E106,$E$105:$E$123),)</f>
        <v>6</v>
      </c>
      <c r="J106" s="556"/>
      <c r="L106" s="654"/>
      <c r="M106" s="841">
        <f>+'[1]NEW-Tables 80-86'!S73</f>
        <v>40469.633333333331</v>
      </c>
    </row>
    <row r="107" spans="1:13" s="491" customFormat="1" ht="12.75" customHeight="1" x14ac:dyDescent="0.2">
      <c r="A107" s="406" t="s">
        <v>321</v>
      </c>
      <c r="B107" s="556">
        <f>IF($M107&gt;0,('Amounts Pivot Table'!E$84/$M107),0)</f>
        <v>8497.5443857939536</v>
      </c>
      <c r="C107" s="556">
        <f>IF($M107&gt;0,('Amounts Pivot Table'!E$87/$M107),0)</f>
        <v>0</v>
      </c>
      <c r="D107" s="556">
        <f>IF($M107&gt;0,('Amounts Pivot Table'!E$93/$M107),0)</f>
        <v>11272.984095225542</v>
      </c>
      <c r="E107" s="556">
        <f>SUM(B107:D107)</f>
        <v>19770.528481019493</v>
      </c>
      <c r="F107" s="557">
        <f t="shared" si="11"/>
        <v>2</v>
      </c>
      <c r="G107" s="558">
        <f t="shared" si="12"/>
        <v>0</v>
      </c>
      <c r="H107" s="558">
        <f t="shared" si="13"/>
        <v>2</v>
      </c>
      <c r="I107" s="558">
        <f t="shared" si="14"/>
        <v>1</v>
      </c>
      <c r="J107" s="556"/>
      <c r="L107" s="654"/>
      <c r="M107" s="841">
        <f>+'[1]NEW-Tables 80-86'!S74</f>
        <v>3856.8083333333334</v>
      </c>
    </row>
    <row r="108" spans="1:13" s="491" customFormat="1" ht="12.75" customHeight="1" x14ac:dyDescent="0.2">
      <c r="A108" s="406" t="s">
        <v>328</v>
      </c>
      <c r="B108" s="556">
        <f>IF($M108&gt;0,('Amounts Pivot Table'!E$123/$M108),0)</f>
        <v>5112.6994653227102</v>
      </c>
      <c r="C108" s="556">
        <f>IF($M108&gt;0,('Amounts Pivot Table'!E$126/$M108),0)</f>
        <v>194.75108592822974</v>
      </c>
      <c r="D108" s="556">
        <f>IF($M108&gt;0,('Amounts Pivot Table'!E$132/$M108),0)</f>
        <v>5221.0890116817436</v>
      </c>
      <c r="E108" s="556">
        <f>SUM(B108:D108)</f>
        <v>10528.539562932685</v>
      </c>
      <c r="F108" s="557">
        <f t="shared" si="11"/>
        <v>4</v>
      </c>
      <c r="G108" s="558">
        <f t="shared" si="12"/>
        <v>4</v>
      </c>
      <c r="H108" s="558">
        <f t="shared" si="13"/>
        <v>14</v>
      </c>
      <c r="I108" s="558">
        <f t="shared" si="14"/>
        <v>11</v>
      </c>
      <c r="J108" s="556"/>
      <c r="L108" s="654"/>
      <c r="M108" s="841">
        <f>+'[1]NEW-Tables 80-86'!S75</f>
        <v>36164.337499999994</v>
      </c>
    </row>
    <row r="109" spans="1:13" s="112" customFormat="1" x14ac:dyDescent="0.2">
      <c r="A109" s="110"/>
      <c r="B109" s="111"/>
      <c r="C109" s="111"/>
      <c r="D109" s="111"/>
      <c r="E109" s="111"/>
      <c r="F109" s="557"/>
      <c r="G109" s="558"/>
      <c r="H109" s="558"/>
      <c r="I109" s="558"/>
      <c r="J109" s="111"/>
      <c r="L109" s="175"/>
      <c r="M109" s="841"/>
    </row>
    <row r="110" spans="1:13" s="491" customFormat="1" ht="12.75" customHeight="1" x14ac:dyDescent="0.2">
      <c r="A110" s="406" t="s">
        <v>329</v>
      </c>
      <c r="B110" s="556">
        <f>IF($M110&gt;0,('Amounts Pivot Table'!E$162/$M110),0)</f>
        <v>3895.5563794094205</v>
      </c>
      <c r="C110" s="556">
        <f>IF($M110&gt;0,('Amounts Pivot Table'!E$165/$M110),0)</f>
        <v>0</v>
      </c>
      <c r="D110" s="556">
        <f>IF($M110&gt;0,('Amounts Pivot Table'!E$171/$M110),0)</f>
        <v>6141.2093673259023</v>
      </c>
      <c r="E110" s="556">
        <f>SUM(B110:D110)</f>
        <v>10036.765746735324</v>
      </c>
      <c r="F110" s="557">
        <f t="shared" si="11"/>
        <v>12</v>
      </c>
      <c r="G110" s="558">
        <f t="shared" si="12"/>
        <v>0</v>
      </c>
      <c r="H110" s="558">
        <f t="shared" si="13"/>
        <v>10</v>
      </c>
      <c r="I110" s="558">
        <f t="shared" si="14"/>
        <v>13</v>
      </c>
      <c r="J110" s="556"/>
      <c r="L110" s="654"/>
      <c r="M110" s="841">
        <f>+'[1]NEW-Tables 80-86'!S77</f>
        <v>62039.049999999996</v>
      </c>
    </row>
    <row r="111" spans="1:13" s="491" customFormat="1" ht="12.75" customHeight="1" x14ac:dyDescent="0.2">
      <c r="A111" s="406" t="s">
        <v>322</v>
      </c>
      <c r="B111" s="556">
        <f>IF($M111&gt;0,('Amounts Pivot Table'!E$201/$M111),0)</f>
        <v>4721.0991596745635</v>
      </c>
      <c r="C111" s="556">
        <f>IF($M111&gt;0,('Amounts Pivot Table'!E$204/$M111),0)</f>
        <v>140.31450937873629</v>
      </c>
      <c r="D111" s="556">
        <f>IF($M111&gt;0,('Amounts Pivot Table'!E$210/$M111),0)</f>
        <v>10124.388469899035</v>
      </c>
      <c r="E111" s="556">
        <f>SUM(B111:D111)</f>
        <v>14985.802138952335</v>
      </c>
      <c r="F111" s="557">
        <f t="shared" si="11"/>
        <v>5</v>
      </c>
      <c r="G111" s="558">
        <f t="shared" si="12"/>
        <v>7</v>
      </c>
      <c r="H111" s="558">
        <f t="shared" si="13"/>
        <v>3</v>
      </c>
      <c r="I111" s="558">
        <f t="shared" si="14"/>
        <v>3</v>
      </c>
      <c r="J111" s="556"/>
      <c r="L111" s="654"/>
      <c r="M111" s="841">
        <f>+'[1]NEW-Tables 80-86'!S78</f>
        <v>47130.55</v>
      </c>
    </row>
    <row r="112" spans="1:13" s="491" customFormat="1" ht="12.75" customHeight="1" x14ac:dyDescent="0.2">
      <c r="A112" s="406" t="s">
        <v>330</v>
      </c>
      <c r="B112" s="556">
        <f>IF($M112&gt;0,('Amounts Pivot Table'!E$240/$M112),0)</f>
        <v>3790.4588887965842</v>
      </c>
      <c r="C112" s="556">
        <f>IF($M112&gt;0,('Amounts Pivot Table'!E$243/$M112),0)</f>
        <v>157.65661530371816</v>
      </c>
      <c r="D112" s="556">
        <f>IF($M112&gt;0,('Amounts Pivot Table'!E$249/$M112),0)</f>
        <v>5519.0929764005523</v>
      </c>
      <c r="E112" s="556">
        <f>SUM(B112:D112)</f>
        <v>9467.2084805008544</v>
      </c>
      <c r="F112" s="557">
        <f t="shared" si="11"/>
        <v>13</v>
      </c>
      <c r="G112" s="558">
        <f t="shared" si="12"/>
        <v>6</v>
      </c>
      <c r="H112" s="558">
        <f t="shared" si="13"/>
        <v>12</v>
      </c>
      <c r="I112" s="558">
        <f t="shared" si="14"/>
        <v>15</v>
      </c>
      <c r="J112" s="556"/>
      <c r="L112" s="654"/>
      <c r="M112" s="841">
        <f>+'[1]NEW-Tables 80-86'!S79</f>
        <v>27385.174999999999</v>
      </c>
    </row>
    <row r="113" spans="1:13" s="491" customFormat="1" ht="12.75" customHeight="1" x14ac:dyDescent="0.2">
      <c r="A113" s="406" t="s">
        <v>333</v>
      </c>
      <c r="B113" s="556">
        <f>IF($M113&gt;0,('Amounts Pivot Table'!E$279/$M113),0)</f>
        <v>4630.2875356929408</v>
      </c>
      <c r="C113" s="556">
        <f>IF($M113&gt;0,('Amounts Pivot Table'!E$282/$M113),0)</f>
        <v>0</v>
      </c>
      <c r="D113" s="556">
        <f>IF($M113&gt;0,('Amounts Pivot Table'!E$288/$M113),0)</f>
        <v>8745.7506627776893</v>
      </c>
      <c r="E113" s="556">
        <f>SUM(B113:D113)</f>
        <v>13376.038198470629</v>
      </c>
      <c r="F113" s="557">
        <f t="shared" si="11"/>
        <v>6</v>
      </c>
      <c r="G113" s="558">
        <f t="shared" si="12"/>
        <v>0</v>
      </c>
      <c r="H113" s="558">
        <f t="shared" si="13"/>
        <v>4</v>
      </c>
      <c r="I113" s="558">
        <f t="shared" si="14"/>
        <v>5</v>
      </c>
      <c r="J113" s="556"/>
      <c r="L113" s="654"/>
      <c r="M113" s="841">
        <f>+'[1]NEW-Tables 80-86'!S80</f>
        <v>19576.7</v>
      </c>
    </row>
    <row r="114" spans="1:13" s="112" customFormat="1" x14ac:dyDescent="0.2">
      <c r="A114" s="110"/>
      <c r="B114" s="111"/>
      <c r="C114" s="111"/>
      <c r="D114" s="111"/>
      <c r="E114" s="111"/>
      <c r="F114" s="557"/>
      <c r="G114" s="558"/>
      <c r="H114" s="558"/>
      <c r="I114" s="558"/>
      <c r="J114" s="111"/>
      <c r="L114" s="175"/>
      <c r="M114" s="841"/>
    </row>
    <row r="115" spans="1:13" s="491" customFormat="1" ht="12.75" customHeight="1" x14ac:dyDescent="0.2">
      <c r="A115" s="406" t="s">
        <v>323</v>
      </c>
      <c r="B115" s="556">
        <f>IF($M115&gt;0,('Amounts Pivot Table'!E$318/$M115),0)</f>
        <v>0</v>
      </c>
      <c r="C115" s="556">
        <f>IF($M115&gt;0,('Amounts Pivot Table'!E$321/$M115),0)</f>
        <v>0</v>
      </c>
      <c r="D115" s="556">
        <f>IF($M115&gt;0,('Amounts Pivot Table'!E$327/$M115),0)</f>
        <v>0</v>
      </c>
      <c r="E115" s="556">
        <f>SUM(B115:D115)</f>
        <v>0</v>
      </c>
      <c r="F115" s="557">
        <f t="shared" si="11"/>
        <v>0</v>
      </c>
      <c r="G115" s="558">
        <f t="shared" si="12"/>
        <v>0</v>
      </c>
      <c r="H115" s="558">
        <f t="shared" si="13"/>
        <v>0</v>
      </c>
      <c r="I115" s="558">
        <f t="shared" si="14"/>
        <v>0</v>
      </c>
      <c r="J115" s="556"/>
      <c r="L115" s="654"/>
      <c r="M115" s="841">
        <f>+'[1]NEW-Tables 80-86'!S82</f>
        <v>0</v>
      </c>
    </row>
    <row r="116" spans="1:13" s="491" customFormat="1" ht="12.75" customHeight="1" x14ac:dyDescent="0.2">
      <c r="A116" s="406" t="s">
        <v>324</v>
      </c>
      <c r="B116" s="556">
        <f>IF($M116&gt;0,('Amounts Pivot Table'!E$357/$M116),0)</f>
        <v>8615.8995104309088</v>
      </c>
      <c r="C116" s="556">
        <f>IF($M116&gt;0,('Amounts Pivot Table'!E$360/$M116),0)</f>
        <v>0</v>
      </c>
      <c r="D116" s="556">
        <f>IF($M116&gt;0,('Amounts Pivot Table'!E$366/$M116),0)</f>
        <v>4880.2722533409778</v>
      </c>
      <c r="E116" s="556">
        <f>SUM(B116:D116)</f>
        <v>13496.171763771887</v>
      </c>
      <c r="F116" s="557">
        <f t="shared" si="11"/>
        <v>1</v>
      </c>
      <c r="G116" s="558">
        <f t="shared" si="12"/>
        <v>0</v>
      </c>
      <c r="H116" s="558">
        <f t="shared" si="13"/>
        <v>15</v>
      </c>
      <c r="I116" s="558">
        <f t="shared" si="14"/>
        <v>4</v>
      </c>
      <c r="J116" s="556"/>
      <c r="L116" s="654"/>
      <c r="M116" s="841">
        <f>+'[1]NEW-Tables 80-86'!S83</f>
        <v>56682.5</v>
      </c>
    </row>
    <row r="117" spans="1:13" s="491" customFormat="1" ht="12.75" customHeight="1" x14ac:dyDescent="0.2">
      <c r="A117" s="406" t="s">
        <v>331</v>
      </c>
      <c r="B117" s="556">
        <f>IF($M117&gt;0,('Amounts Pivot Table'!E$396/$M117),0)</f>
        <v>4309.6324010520239</v>
      </c>
      <c r="C117" s="556">
        <f>IF($M117&gt;0,('Amounts Pivot Table'!E$399/$M117),0)</f>
        <v>0</v>
      </c>
      <c r="D117" s="556">
        <f>IF($M117&gt;0,('Amounts Pivot Table'!E$405/$M117),0)</f>
        <v>6092.7403457566234</v>
      </c>
      <c r="E117" s="556">
        <f>SUM(B117:D117)</f>
        <v>10402.372746808647</v>
      </c>
      <c r="F117" s="557">
        <f t="shared" si="11"/>
        <v>10</v>
      </c>
      <c r="G117" s="558">
        <f t="shared" si="12"/>
        <v>0</v>
      </c>
      <c r="H117" s="558">
        <f t="shared" si="13"/>
        <v>11</v>
      </c>
      <c r="I117" s="558">
        <f t="shared" si="14"/>
        <v>12</v>
      </c>
      <c r="J117" s="556"/>
      <c r="L117" s="654"/>
      <c r="M117" s="841">
        <f>+'[1]NEW-Tables 80-86'!S84</f>
        <v>20785.333333333332</v>
      </c>
    </row>
    <row r="118" spans="1:13" s="491" customFormat="1" ht="12.75" customHeight="1" x14ac:dyDescent="0.2">
      <c r="A118" s="406" t="s">
        <v>325</v>
      </c>
      <c r="B118" s="556">
        <f>IF($M118&gt;0,('Amounts Pivot Table'!E$435/$M118),0)</f>
        <v>2033.3779518430092</v>
      </c>
      <c r="C118" s="556">
        <f>IF($M118&gt;0,('Amounts Pivot Table'!E$438/$M118),0)</f>
        <v>426.4155795684012</v>
      </c>
      <c r="D118" s="556">
        <f>IF($M118&gt;0,('Amounts Pivot Table'!E$444/$M118),0)</f>
        <v>13495.515312787327</v>
      </c>
      <c r="E118" s="556">
        <f>SUM(B118:D118)</f>
        <v>15955.308844198738</v>
      </c>
      <c r="F118" s="557">
        <f t="shared" si="11"/>
        <v>15</v>
      </c>
      <c r="G118" s="558">
        <f t="shared" si="12"/>
        <v>1</v>
      </c>
      <c r="H118" s="558">
        <f t="shared" si="13"/>
        <v>1</v>
      </c>
      <c r="I118" s="558">
        <f t="shared" si="14"/>
        <v>2</v>
      </c>
      <c r="J118" s="556"/>
      <c r="L118" s="654"/>
      <c r="M118" s="841">
        <f>+'[1]NEW-Tables 80-86'!S85</f>
        <v>20161.662499999999</v>
      </c>
    </row>
    <row r="119" spans="1:13" s="112" customFormat="1" x14ac:dyDescent="0.2">
      <c r="A119" s="110"/>
      <c r="B119" s="111"/>
      <c r="C119" s="111"/>
      <c r="D119" s="111"/>
      <c r="E119" s="111"/>
      <c r="F119" s="557"/>
      <c r="G119" s="558"/>
      <c r="H119" s="558"/>
      <c r="I119" s="558"/>
      <c r="J119" s="111"/>
      <c r="L119" s="175"/>
      <c r="M119" s="841"/>
    </row>
    <row r="120" spans="1:13" s="491" customFormat="1" ht="12.75" customHeight="1" x14ac:dyDescent="0.2">
      <c r="A120" s="406" t="s">
        <v>90</v>
      </c>
      <c r="B120" s="556">
        <f>IF($M120&gt;0,('Amounts Pivot Table'!E$474/$M120),0)</f>
        <v>3660.2888370165215</v>
      </c>
      <c r="C120" s="556">
        <f>IF($M120&gt;0,('Amounts Pivot Table'!E$477/$M120),0)</f>
        <v>0</v>
      </c>
      <c r="D120" s="556">
        <f>IF($M120&gt;0,('Amounts Pivot Table'!E$483/$M120),0)</f>
        <v>7253.9228637707301</v>
      </c>
      <c r="E120" s="556">
        <f>SUM(B120:D120)</f>
        <v>10914.211700787251</v>
      </c>
      <c r="F120" s="557">
        <f t="shared" si="11"/>
        <v>14</v>
      </c>
      <c r="G120" s="558">
        <f t="shared" si="12"/>
        <v>0</v>
      </c>
      <c r="H120" s="558">
        <f t="shared" si="13"/>
        <v>7</v>
      </c>
      <c r="I120" s="558">
        <f t="shared" si="14"/>
        <v>10</v>
      </c>
      <c r="J120" s="556"/>
      <c r="L120" s="654"/>
      <c r="M120" s="841">
        <f>+'[1]NEW-Tables 80-86'!S87</f>
        <v>64306.358333333323</v>
      </c>
    </row>
    <row r="121" spans="1:13" s="491" customFormat="1" ht="12.75" customHeight="1" x14ac:dyDescent="0.2">
      <c r="A121" s="406" t="s">
        <v>326</v>
      </c>
      <c r="B121" s="556">
        <f>IF($M121&gt;0,('Amounts Pivot Table'!E$513/$M121),0)</f>
        <v>4571.6481354072812</v>
      </c>
      <c r="C121" s="556">
        <f>IF($M121&gt;0,('Amounts Pivot Table'!E$516/$M121),0)</f>
        <v>3.6006241953266489</v>
      </c>
      <c r="D121" s="556">
        <f>IF($M121&gt;0,('Amounts Pivot Table'!E$522/$M121),0)</f>
        <v>5226.7086001238358</v>
      </c>
      <c r="E121" s="556">
        <f>SUM(B121:D121)</f>
        <v>9801.9573597264425</v>
      </c>
      <c r="F121" s="557">
        <f t="shared" si="11"/>
        <v>8</v>
      </c>
      <c r="G121" s="558">
        <f t="shared" si="12"/>
        <v>8</v>
      </c>
      <c r="H121" s="558">
        <f t="shared" si="13"/>
        <v>13</v>
      </c>
      <c r="I121" s="558">
        <f t="shared" si="14"/>
        <v>14</v>
      </c>
      <c r="J121" s="556"/>
      <c r="K121" s="556"/>
      <c r="L121" s="654"/>
      <c r="M121" s="841">
        <f>+'[1]NEW-Tables 80-86'!S88</f>
        <v>173375.21666666665</v>
      </c>
    </row>
    <row r="122" spans="1:13" s="76" customFormat="1" ht="12.75" customHeight="1" x14ac:dyDescent="0.2">
      <c r="A122" s="406" t="s">
        <v>327</v>
      </c>
      <c r="B122" s="556">
        <f>IF($M122&gt;0,('Amounts Pivot Table'!E$552/$M122),0)</f>
        <v>4415.2316587694804</v>
      </c>
      <c r="C122" s="556">
        <f>IF($M122&gt;0,('Amounts Pivot Table'!E$554/$M122),0)</f>
        <v>6.15357613171714E-5</v>
      </c>
      <c r="D122" s="556">
        <f>IF($M122&gt;0,('Amounts Pivot Table'!E$561/$M122),0)</f>
        <v>7647.5952925851652</v>
      </c>
      <c r="E122" s="556">
        <f>SUM(B122:D122)</f>
        <v>12062.827012890408</v>
      </c>
      <c r="F122" s="557">
        <f t="shared" si="11"/>
        <v>9</v>
      </c>
      <c r="G122" s="558">
        <f t="shared" si="12"/>
        <v>9</v>
      </c>
      <c r="H122" s="558">
        <f t="shared" si="13"/>
        <v>5</v>
      </c>
      <c r="I122" s="558">
        <f t="shared" si="14"/>
        <v>8</v>
      </c>
      <c r="J122" s="556"/>
      <c r="K122" s="556"/>
      <c r="L122" s="169"/>
      <c r="M122" s="841">
        <f>+'[1]NEW-Tables 80-86'!S89</f>
        <v>49950.98333333333</v>
      </c>
    </row>
    <row r="123" spans="1:13" s="491" customFormat="1" ht="12.75" customHeight="1" x14ac:dyDescent="0.2">
      <c r="A123" s="407" t="s">
        <v>332</v>
      </c>
      <c r="B123" s="562">
        <f>IF($M123&gt;0,('Amounts Pivot Table'!E$591/$M123),0)</f>
        <v>4630.0429794700294</v>
      </c>
      <c r="C123" s="562">
        <f>IF($M123&gt;0,('Amounts Pivot Table'!E$594/$M123),0)</f>
        <v>269.56954546136194</v>
      </c>
      <c r="D123" s="562">
        <f>IF($M123&gt;0,('Amounts Pivot Table'!E$600/$M123),0)</f>
        <v>7565.034356582637</v>
      </c>
      <c r="E123" s="563">
        <f>SUM(B123:D123)</f>
        <v>12464.646881514029</v>
      </c>
      <c r="F123" s="564">
        <f t="shared" si="11"/>
        <v>7</v>
      </c>
      <c r="G123" s="565">
        <f t="shared" si="12"/>
        <v>3</v>
      </c>
      <c r="H123" s="565">
        <f t="shared" si="13"/>
        <v>6</v>
      </c>
      <c r="I123" s="565">
        <f t="shared" si="14"/>
        <v>7</v>
      </c>
      <c r="J123" s="556"/>
      <c r="K123" s="556"/>
      <c r="L123" s="655"/>
      <c r="M123" s="841">
        <f>+'[1]NEW-Tables 80-86'!S90</f>
        <v>11113.833333333334</v>
      </c>
    </row>
    <row r="124" spans="1:13" s="491" customFormat="1" ht="41.25" customHeight="1" x14ac:dyDescent="0.2">
      <c r="A124" s="1558" t="s">
        <v>17</v>
      </c>
      <c r="B124" s="1593"/>
      <c r="C124" s="1593"/>
      <c r="D124" s="1593"/>
      <c r="E124" s="1593"/>
      <c r="F124" s="1593"/>
      <c r="G124" s="1594"/>
      <c r="H124" s="1594"/>
      <c r="I124" s="1594"/>
      <c r="J124" s="556"/>
      <c r="K124" s="556"/>
      <c r="L124" s="658"/>
      <c r="M124" s="663"/>
    </row>
    <row r="125" spans="1:13" s="76" customFormat="1" ht="22.5" customHeight="1" x14ac:dyDescent="0.2">
      <c r="A125" s="1558" t="s">
        <v>54</v>
      </c>
      <c r="B125" s="1600"/>
      <c r="C125" s="1600"/>
      <c r="D125" s="1600"/>
      <c r="E125" s="1600"/>
      <c r="F125" s="1600"/>
      <c r="G125" s="1600"/>
      <c r="H125" s="1600"/>
      <c r="I125" s="1600"/>
      <c r="J125" s="657"/>
      <c r="L125" s="169"/>
      <c r="M125" s="649"/>
    </row>
    <row r="126" spans="1:13" s="491" customFormat="1" x14ac:dyDescent="0.2">
      <c r="A126" s="189" t="s">
        <v>233</v>
      </c>
      <c r="B126" s="406"/>
      <c r="C126" s="406"/>
      <c r="D126" s="406"/>
      <c r="E126" s="406"/>
      <c r="F126" s="406"/>
      <c r="L126" s="658"/>
      <c r="M126" s="649"/>
    </row>
    <row r="127" spans="1:13" s="491" customFormat="1" x14ac:dyDescent="0.2">
      <c r="A127" s="189"/>
      <c r="B127" s="406"/>
      <c r="C127" s="406"/>
      <c r="D127" s="406"/>
      <c r="E127" s="406"/>
      <c r="F127" s="406"/>
      <c r="L127" s="658"/>
      <c r="M127" s="649"/>
    </row>
    <row r="128" spans="1:13" s="491" customFormat="1" ht="17.25" customHeight="1" x14ac:dyDescent="0.2">
      <c r="A128" s="644"/>
      <c r="B128" s="657"/>
      <c r="C128" s="657"/>
      <c r="D128" s="657"/>
      <c r="E128" s="657"/>
      <c r="F128" s="657"/>
      <c r="G128" s="659"/>
      <c r="H128" s="659"/>
      <c r="I128" s="535" t="s">
        <v>1898</v>
      </c>
      <c r="J128" s="659"/>
      <c r="K128" s="659"/>
      <c r="L128" s="658"/>
      <c r="M128" s="649"/>
    </row>
    <row r="129" spans="1:13" s="491" customFormat="1" ht="15.75" x14ac:dyDescent="0.2">
      <c r="A129" s="1557" t="s">
        <v>362</v>
      </c>
      <c r="B129" s="1557"/>
      <c r="C129" s="1557"/>
      <c r="D129" s="1557"/>
      <c r="E129" s="1557"/>
      <c r="F129" s="1557"/>
      <c r="G129" s="1557"/>
      <c r="H129" s="1557"/>
      <c r="I129" s="1557"/>
      <c r="J129" s="566"/>
      <c r="K129" s="566"/>
      <c r="L129" s="655"/>
      <c r="M129" s="649"/>
    </row>
    <row r="130" spans="1:13" s="491" customFormat="1" ht="18.75" x14ac:dyDescent="0.2">
      <c r="A130" s="1557" t="s">
        <v>18</v>
      </c>
      <c r="B130" s="1557"/>
      <c r="C130" s="1557"/>
      <c r="D130" s="1557"/>
      <c r="E130" s="1557"/>
      <c r="F130" s="1557"/>
      <c r="G130" s="1557"/>
      <c r="H130" s="1557"/>
      <c r="I130" s="1557"/>
      <c r="J130" s="566"/>
      <c r="K130" s="566"/>
      <c r="L130" s="165"/>
      <c r="M130" s="649"/>
    </row>
    <row r="131" spans="1:13" s="491" customFormat="1" ht="15.75" x14ac:dyDescent="0.2">
      <c r="A131" s="1557" t="s">
        <v>438</v>
      </c>
      <c r="B131" s="1557"/>
      <c r="C131" s="1557"/>
      <c r="D131" s="1557"/>
      <c r="E131" s="1557"/>
      <c r="F131" s="1557"/>
      <c r="G131" s="1557"/>
      <c r="H131" s="1557"/>
      <c r="I131" s="1557"/>
      <c r="J131" s="91"/>
      <c r="K131" s="91"/>
      <c r="L131" s="165"/>
      <c r="M131" s="649"/>
    </row>
    <row r="132" spans="1:13" s="491" customFormat="1" ht="15" customHeight="1" x14ac:dyDescent="0.15">
      <c r="A132" s="91"/>
      <c r="B132" s="91"/>
      <c r="C132" s="91"/>
      <c r="D132" s="91"/>
      <c r="E132" s="91"/>
      <c r="F132" s="91"/>
      <c r="G132" s="108"/>
      <c r="H132" s="91"/>
      <c r="I132" s="91"/>
      <c r="J132" s="91"/>
      <c r="K132" s="91"/>
      <c r="L132" s="165"/>
      <c r="M132" s="660"/>
    </row>
    <row r="133" spans="1:13" s="491" customFormat="1" ht="15.75" x14ac:dyDescent="0.2">
      <c r="A133" s="60"/>
      <c r="B133" s="109" t="s">
        <v>55</v>
      </c>
      <c r="C133" s="662"/>
      <c r="D133" s="662"/>
      <c r="E133" s="662"/>
      <c r="F133" s="57" t="s">
        <v>119</v>
      </c>
      <c r="G133" s="58"/>
      <c r="H133" s="58"/>
      <c r="I133" s="58"/>
      <c r="L133" s="173"/>
      <c r="M133" s="649"/>
    </row>
    <row r="134" spans="1:13" s="378" customFormat="1" ht="45" x14ac:dyDescent="0.2">
      <c r="A134" s="650"/>
      <c r="B134" s="51" t="s">
        <v>87</v>
      </c>
      <c r="C134" s="52" t="s">
        <v>89</v>
      </c>
      <c r="D134" s="52" t="s">
        <v>306</v>
      </c>
      <c r="E134" s="52" t="s">
        <v>97</v>
      </c>
      <c r="F134" s="53" t="s">
        <v>87</v>
      </c>
      <c r="G134" s="52" t="s">
        <v>89</v>
      </c>
      <c r="H134" s="52" t="s">
        <v>306</v>
      </c>
      <c r="I134" s="52" t="s">
        <v>97</v>
      </c>
      <c r="L134" s="652"/>
      <c r="M134" s="661" t="s">
        <v>260</v>
      </c>
    </row>
    <row r="135" spans="1:13" s="491" customFormat="1" ht="14.25" x14ac:dyDescent="0.2">
      <c r="A135" s="406" t="s">
        <v>56</v>
      </c>
      <c r="B135" s="553">
        <f>IF($M135&gt;0,('Amounts Pivot Table'!F$630/$M135),0)</f>
        <v>4840.8456000838396</v>
      </c>
      <c r="C135" s="553">
        <f>IF($M135&gt;0,('Amounts Pivot Table'!F$633/$M135),0)</f>
        <v>73.82884693033759</v>
      </c>
      <c r="D135" s="553">
        <f>IF($M135&gt;0,('Amounts Pivot Table'!F$639/$M135),0)</f>
        <v>6666.4256806661569</v>
      </c>
      <c r="E135" s="553">
        <f>SUM(B135:D135)</f>
        <v>11581.100127680334</v>
      </c>
      <c r="F135" s="554"/>
      <c r="G135" s="555"/>
      <c r="H135" s="555"/>
      <c r="I135" s="555"/>
      <c r="J135" s="553"/>
      <c r="L135" s="654"/>
      <c r="M135" s="841">
        <f>+'[1]NEW-Tables 80-86'!T70</f>
        <v>173425.55833333335</v>
      </c>
    </row>
    <row r="136" spans="1:13" s="491" customFormat="1" ht="9.75" customHeight="1" x14ac:dyDescent="0.2">
      <c r="A136" s="406"/>
      <c r="B136" s="553"/>
      <c r="C136" s="553"/>
      <c r="D136" s="553"/>
      <c r="E136" s="553"/>
      <c r="F136" s="554"/>
      <c r="G136" s="555"/>
      <c r="H136" s="555"/>
      <c r="I136" s="555"/>
      <c r="J136" s="553"/>
      <c r="L136" s="654"/>
      <c r="M136" s="841"/>
    </row>
    <row r="137" spans="1:13" s="491" customFormat="1" ht="12.75" customHeight="1" x14ac:dyDescent="0.2">
      <c r="A137" s="406" t="s">
        <v>320</v>
      </c>
      <c r="B137" s="556">
        <f>IF($M137&gt;0,('Amounts Pivot Table'!F$6/$M137),0)</f>
        <v>5527.1408772529139</v>
      </c>
      <c r="C137" s="556">
        <f>IF($M137&gt;0,('Amounts Pivot Table'!F$9/$M137),0)</f>
        <v>33.81452003008711</v>
      </c>
      <c r="D137" s="556">
        <f>IF($M137&gt;0,('Amounts Pivot Table'!F$15/$M137),0)</f>
        <v>7653.2302216476637</v>
      </c>
      <c r="E137" s="556">
        <f>SUM(B137:D137)</f>
        <v>13214.185618930664</v>
      </c>
      <c r="F137" s="557">
        <f>IF(B137&gt;0,RANK(B137,$B$137:$B$155),)</f>
        <v>6</v>
      </c>
      <c r="G137" s="558">
        <f>IF(C137&gt;0,RANK(C137,$C$137:$C$155),)</f>
        <v>4</v>
      </c>
      <c r="H137" s="558">
        <f>IF(D137&gt;0,RANK(D137,$D$137:$D$155),)</f>
        <v>3</v>
      </c>
      <c r="I137" s="558">
        <f>IF(E137&gt;0,RANK(E137,$E$137:$E$155),)</f>
        <v>4</v>
      </c>
      <c r="J137" s="556"/>
      <c r="L137" s="654"/>
      <c r="M137" s="841">
        <f>+'[1]NEW-Tables 80-86'!T72</f>
        <v>15831.808333333334</v>
      </c>
    </row>
    <row r="138" spans="1:13" s="491" customFormat="1" ht="12.75" customHeight="1" x14ac:dyDescent="0.2">
      <c r="A138" s="406" t="s">
        <v>334</v>
      </c>
      <c r="B138" s="556">
        <f>IF($M138&gt;0,('Amounts Pivot Table'!F$45/$M138),0)</f>
        <v>5658.3032843456958</v>
      </c>
      <c r="C138" s="556">
        <f>IF($M138&gt;0,('Amounts Pivot Table'!F$48/$M138),0)</f>
        <v>32.001570306019715</v>
      </c>
      <c r="D138" s="556">
        <f>IF($M138&gt;0,('Amounts Pivot Table'!F$54/$M138),0)</f>
        <v>7087.5970392133277</v>
      </c>
      <c r="E138" s="556">
        <f>SUM(B138:D138)</f>
        <v>12777.901893865044</v>
      </c>
      <c r="F138" s="557">
        <f t="shared" ref="F138:F155" si="15">IF(B138&gt;0,RANK(B138,$B$137:$B$155),)</f>
        <v>5</v>
      </c>
      <c r="G138" s="558">
        <f t="shared" ref="G138:G155" si="16">IF(C138&gt;0,RANK(C138,$C$137:$C$155),)</f>
        <v>5</v>
      </c>
      <c r="H138" s="558">
        <f t="shared" ref="H138:H155" si="17">IF(D138&gt;0,RANK(D138,$D$137:$D$155),)</f>
        <v>5</v>
      </c>
      <c r="I138" s="558">
        <f t="shared" ref="I138:I155" si="18">IF(E138&gt;0,RANK(E138,$E$137:$E$155),)</f>
        <v>5</v>
      </c>
      <c r="J138" s="556"/>
      <c r="L138" s="654"/>
      <c r="M138" s="841">
        <f>+'[1]NEW-Tables 80-86'!T73</f>
        <v>6580.458333333333</v>
      </c>
    </row>
    <row r="139" spans="1:13" s="491" customFormat="1" ht="12.75" customHeight="1" x14ac:dyDescent="0.2">
      <c r="A139" s="406" t="s">
        <v>321</v>
      </c>
      <c r="B139" s="556">
        <f>IF($M139&gt;0,('Amounts Pivot Table'!F$84/$M139),0)</f>
        <v>0</v>
      </c>
      <c r="C139" s="556">
        <f>IF($M139&gt;0,('Amounts Pivot Table'!F$87/$M139),0)</f>
        <v>0</v>
      </c>
      <c r="D139" s="556">
        <f>IF($M139&gt;0,('Amounts Pivot Table'!F$93/$M139),0)</f>
        <v>0</v>
      </c>
      <c r="E139" s="556">
        <f>SUM(B139:D139)</f>
        <v>0</v>
      </c>
      <c r="F139" s="557">
        <f>IF(B139&gt;0,RANK(B139,$B$137:$B$155),)</f>
        <v>0</v>
      </c>
      <c r="G139" s="558">
        <f>IF(C139&gt;0,RANK(C139,$C$137:$C$155),)</f>
        <v>0</v>
      </c>
      <c r="H139" s="558">
        <f>IF(D139&gt;0,RANK(D139,$D$137:$D$155),)</f>
        <v>0</v>
      </c>
      <c r="I139" s="558">
        <f>IF(E139&gt;0,RANK(E139,$E$137:$E$155),)</f>
        <v>0</v>
      </c>
      <c r="J139" s="556"/>
      <c r="L139" s="654"/>
      <c r="M139" s="841">
        <f>+'[1]NEW-Tables 80-86'!T74</f>
        <v>0</v>
      </c>
    </row>
    <row r="140" spans="1:13" s="491" customFormat="1" ht="12.75" customHeight="1" x14ac:dyDescent="0.2">
      <c r="A140" s="406" t="s">
        <v>328</v>
      </c>
      <c r="B140" s="556">
        <f>IF($M140&gt;0,('Amounts Pivot Table'!F$123/$M140),0)</f>
        <v>3738.615913261352</v>
      </c>
      <c r="C140" s="556">
        <f>IF($M140&gt;0,('Amounts Pivot Table'!F$126/$M140),0)</f>
        <v>63.050000413456431</v>
      </c>
      <c r="D140" s="556">
        <f>IF($M140&gt;0,('Amounts Pivot Table'!F$132/$M140),0)</f>
        <v>5391.9692942178499</v>
      </c>
      <c r="E140" s="556">
        <f>SUM(B140:D140)</f>
        <v>9193.6352078926575</v>
      </c>
      <c r="F140" s="557">
        <f t="shared" si="15"/>
        <v>10</v>
      </c>
      <c r="G140" s="558">
        <f t="shared" si="16"/>
        <v>3</v>
      </c>
      <c r="H140" s="558">
        <f t="shared" si="17"/>
        <v>8</v>
      </c>
      <c r="I140" s="558">
        <f t="shared" si="18"/>
        <v>10</v>
      </c>
      <c r="J140" s="556"/>
      <c r="L140" s="654"/>
      <c r="M140" s="841">
        <f>+'[1]NEW-Tables 80-86'!T75</f>
        <v>11085.408333333333</v>
      </c>
    </row>
    <row r="141" spans="1:13" s="491" customFormat="1" ht="9.75" customHeight="1" x14ac:dyDescent="0.2">
      <c r="A141" s="406"/>
      <c r="B141" s="556"/>
      <c r="C141" s="556"/>
      <c r="D141" s="556"/>
      <c r="E141" s="556"/>
      <c r="F141" s="557"/>
      <c r="G141" s="558"/>
      <c r="H141" s="558"/>
      <c r="I141" s="558"/>
      <c r="J141" s="556"/>
      <c r="L141" s="654"/>
      <c r="M141" s="841"/>
    </row>
    <row r="142" spans="1:13" s="491" customFormat="1" ht="12.75" customHeight="1" x14ac:dyDescent="0.2">
      <c r="A142" s="406" t="s">
        <v>329</v>
      </c>
      <c r="B142" s="556">
        <f>IF($M142&gt;0,('Amounts Pivot Table'!F$162/$M142),0)</f>
        <v>4049.3036501190586</v>
      </c>
      <c r="C142" s="556">
        <f>IF($M142&gt;0,('Amounts Pivot Table'!F$165/$M142),0)</f>
        <v>0</v>
      </c>
      <c r="D142" s="556">
        <f>IF($M142&gt;0,('Amounts Pivot Table'!F$171/$M142),0)</f>
        <v>5647.7099918618323</v>
      </c>
      <c r="E142" s="556">
        <f>SUM(B142:D142)</f>
        <v>9697.0136419808914</v>
      </c>
      <c r="F142" s="557">
        <f t="shared" si="15"/>
        <v>9</v>
      </c>
      <c r="G142" s="558">
        <f t="shared" si="16"/>
        <v>0</v>
      </c>
      <c r="H142" s="558">
        <f t="shared" si="17"/>
        <v>7</v>
      </c>
      <c r="I142" s="558">
        <f t="shared" si="18"/>
        <v>9</v>
      </c>
      <c r="J142" s="556"/>
      <c r="L142" s="654"/>
      <c r="M142" s="841">
        <f>+'[1]NEW-Tables 80-86'!T77</f>
        <v>41471.25</v>
      </c>
    </row>
    <row r="143" spans="1:13" s="491" customFormat="1" ht="12.75" customHeight="1" x14ac:dyDescent="0.2">
      <c r="A143" s="406" t="s">
        <v>322</v>
      </c>
      <c r="B143" s="556">
        <f>IF($M143&gt;0,('Amounts Pivot Table'!F$201/$M143),0)</f>
        <v>4330.2589339802535</v>
      </c>
      <c r="C143" s="556">
        <f>IF($M143&gt;0,('Amounts Pivot Table'!F$204/$M143),0)</f>
        <v>393.38018171414063</v>
      </c>
      <c r="D143" s="556">
        <f>IF($M143&gt;0,('Amounts Pivot Table'!F$210/$M143),0)</f>
        <v>10654.982813173856</v>
      </c>
      <c r="E143" s="556">
        <f>SUM(B143:D143)</f>
        <v>15378.62192886825</v>
      </c>
      <c r="F143" s="557">
        <f t="shared" si="15"/>
        <v>8</v>
      </c>
      <c r="G143" s="558">
        <f t="shared" si="16"/>
        <v>2</v>
      </c>
      <c r="H143" s="558">
        <f t="shared" si="17"/>
        <v>1</v>
      </c>
      <c r="I143" s="558">
        <f t="shared" si="18"/>
        <v>1</v>
      </c>
      <c r="J143" s="556"/>
      <c r="L143" s="654"/>
      <c r="M143" s="841">
        <f>+'[1]NEW-Tables 80-86'!T78</f>
        <v>14897.941666666666</v>
      </c>
    </row>
    <row r="144" spans="1:13" s="491" customFormat="1" ht="12.75" customHeight="1" x14ac:dyDescent="0.2">
      <c r="A144" s="406" t="s">
        <v>330</v>
      </c>
      <c r="B144" s="556">
        <f>IF($M144&gt;0,('Amounts Pivot Table'!F$240/$M144),0)</f>
        <v>3145.571669722387</v>
      </c>
      <c r="C144" s="556">
        <f>IF($M144&gt;0,('Amounts Pivot Table'!F$243/$M144),0)</f>
        <v>0</v>
      </c>
      <c r="D144" s="556">
        <f>IF($M144&gt;0,('Amounts Pivot Table'!F$249/$M144),0)</f>
        <v>5361.5168848200938</v>
      </c>
      <c r="E144" s="556">
        <f>SUM(B144:D144)</f>
        <v>8507.0885545424808</v>
      </c>
      <c r="F144" s="557">
        <f t="shared" si="15"/>
        <v>11</v>
      </c>
      <c r="G144" s="558">
        <f t="shared" si="16"/>
        <v>0</v>
      </c>
      <c r="H144" s="558">
        <f t="shared" si="17"/>
        <v>9</v>
      </c>
      <c r="I144" s="558">
        <f t="shared" si="18"/>
        <v>11</v>
      </c>
      <c r="J144" s="556"/>
      <c r="L144" s="654"/>
      <c r="M144" s="841">
        <f>+'[1]NEW-Tables 80-86'!T79</f>
        <v>32330.075000000001</v>
      </c>
    </row>
    <row r="145" spans="1:13" s="491" customFormat="1" ht="12.75" customHeight="1" x14ac:dyDescent="0.2">
      <c r="A145" s="406" t="s">
        <v>333</v>
      </c>
      <c r="B145" s="556">
        <f>IF($M145&gt;0,('Amounts Pivot Table'!F$279/$M145),0)</f>
        <v>6285.4551189235553</v>
      </c>
      <c r="C145" s="556">
        <f>IF($M145&gt;0,('Amounts Pivot Table'!F$282/$M145),0)</f>
        <v>0</v>
      </c>
      <c r="D145" s="556">
        <f>IF($M145&gt;0,('Amounts Pivot Table'!F$288/$M145),0)</f>
        <v>8449.6591565142808</v>
      </c>
      <c r="E145" s="556">
        <f>SUM(B145:D145)</f>
        <v>14735.114275437836</v>
      </c>
      <c r="F145" s="557">
        <f t="shared" si="15"/>
        <v>3</v>
      </c>
      <c r="G145" s="558">
        <f t="shared" si="16"/>
        <v>0</v>
      </c>
      <c r="H145" s="558">
        <f t="shared" si="17"/>
        <v>2</v>
      </c>
      <c r="I145" s="558">
        <f t="shared" si="18"/>
        <v>2</v>
      </c>
      <c r="J145" s="556"/>
      <c r="L145" s="654"/>
      <c r="M145" s="841">
        <f>+'[1]NEW-Tables 80-86'!T80</f>
        <v>27107.75</v>
      </c>
    </row>
    <row r="146" spans="1:13" s="491" customFormat="1" ht="9.75" customHeight="1" x14ac:dyDescent="0.2">
      <c r="A146" s="406"/>
      <c r="B146" s="556"/>
      <c r="C146" s="556"/>
      <c r="D146" s="556"/>
      <c r="E146" s="556"/>
      <c r="F146" s="557"/>
      <c r="G146" s="558"/>
      <c r="H146" s="558"/>
      <c r="I146" s="558"/>
      <c r="J146" s="556"/>
      <c r="L146" s="654"/>
      <c r="M146" s="841"/>
    </row>
    <row r="147" spans="1:13" s="491" customFormat="1" ht="12.75" customHeight="1" x14ac:dyDescent="0.2">
      <c r="A147" s="406" t="s">
        <v>323</v>
      </c>
      <c r="B147" s="556">
        <f>IF($M147&gt;0,('Amounts Pivot Table'!F$318/$M147),0)</f>
        <v>6932.3735033696175</v>
      </c>
      <c r="C147" s="556">
        <f>IF($M147&gt;0,('Amounts Pivot Table'!F$321/$M147),0)</f>
        <v>603.09136494884558</v>
      </c>
      <c r="D147" s="556">
        <f>IF($M147&gt;0,('Amounts Pivot Table'!F$327/$M147),0)</f>
        <v>7002.0066524015101</v>
      </c>
      <c r="E147" s="556">
        <f>SUM(B147:D147)</f>
        <v>14537.471520719973</v>
      </c>
      <c r="F147" s="557">
        <f t="shared" si="15"/>
        <v>2</v>
      </c>
      <c r="G147" s="558">
        <f t="shared" si="16"/>
        <v>1</v>
      </c>
      <c r="H147" s="558">
        <f t="shared" si="17"/>
        <v>6</v>
      </c>
      <c r="I147" s="558">
        <f t="shared" si="18"/>
        <v>3</v>
      </c>
      <c r="J147" s="556"/>
      <c r="L147" s="654"/>
      <c r="M147" s="841">
        <f>+'[1]NEW-Tables 80-86'!T82</f>
        <v>9117.0083333333332</v>
      </c>
    </row>
    <row r="148" spans="1:13" s="491" customFormat="1" ht="12.75" customHeight="1" x14ac:dyDescent="0.2">
      <c r="A148" s="406" t="s">
        <v>324</v>
      </c>
      <c r="B148" s="556">
        <f>IF($M148&gt;0,('Amounts Pivot Table'!F$357/$M148),0)</f>
        <v>9080.3904021786475</v>
      </c>
      <c r="C148" s="556">
        <f>IF($M148&gt;0,('Amounts Pivot Table'!F$360/$M148),0)</f>
        <v>0</v>
      </c>
      <c r="D148" s="556">
        <f>IF($M148&gt;0,('Amounts Pivot Table'!F$366/$M148),0)</f>
        <v>2869.0123714248912</v>
      </c>
      <c r="E148" s="556">
        <f>SUM(B148:D148)</f>
        <v>11949.402773603539</v>
      </c>
      <c r="F148" s="557">
        <f t="shared" si="15"/>
        <v>1</v>
      </c>
      <c r="G148" s="558">
        <f t="shared" si="16"/>
        <v>0</v>
      </c>
      <c r="H148" s="558">
        <f t="shared" si="17"/>
        <v>11</v>
      </c>
      <c r="I148" s="558">
        <f t="shared" si="18"/>
        <v>7</v>
      </c>
      <c r="J148" s="556"/>
      <c r="L148" s="654"/>
      <c r="M148" s="841">
        <f>+'[1]NEW-Tables 80-86'!T83</f>
        <v>5434.5666666666666</v>
      </c>
    </row>
    <row r="149" spans="1:13" s="491" customFormat="1" ht="12.75" customHeight="1" x14ac:dyDescent="0.2">
      <c r="A149" s="406" t="s">
        <v>331</v>
      </c>
      <c r="B149" s="556">
        <f>IF($M149&gt;0,('Amounts Pivot Table'!F$396/$M149),0)</f>
        <v>5454.2725907347731</v>
      </c>
      <c r="C149" s="556">
        <f>IF($M149&gt;0,('Amounts Pivot Table'!F$399/$M149),0)</f>
        <v>0</v>
      </c>
      <c r="D149" s="556">
        <f>IF($M149&gt;0,('Amounts Pivot Table'!F$405/$M149),0)</f>
        <v>7110.7511045655383</v>
      </c>
      <c r="E149" s="556">
        <f>SUM(B149:D149)</f>
        <v>12565.023695300311</v>
      </c>
      <c r="F149" s="557">
        <f t="shared" si="15"/>
        <v>7</v>
      </c>
      <c r="G149" s="558">
        <f t="shared" si="16"/>
        <v>0</v>
      </c>
      <c r="H149" s="558">
        <f t="shared" si="17"/>
        <v>4</v>
      </c>
      <c r="I149" s="558">
        <f t="shared" si="18"/>
        <v>6</v>
      </c>
      <c r="J149" s="556"/>
      <c r="L149" s="654"/>
      <c r="M149" s="841">
        <f>+'[1]NEW-Tables 80-86'!T84</f>
        <v>3428.95</v>
      </c>
    </row>
    <row r="150" spans="1:13" s="491" customFormat="1" ht="12.75" customHeight="1" x14ac:dyDescent="0.2">
      <c r="A150" s="406" t="s">
        <v>325</v>
      </c>
      <c r="B150" s="556">
        <f>IF($M150&gt;0,('Amounts Pivot Table'!F$435/$M150),0)</f>
        <v>0</v>
      </c>
      <c r="C150" s="556">
        <f>IF($M150&gt;0,('Amounts Pivot Table'!F$438/$M150),0)</f>
        <v>0</v>
      </c>
      <c r="D150" s="556">
        <f>IF($M150&gt;0,('Amounts Pivot Table'!F$444/$M150),0)</f>
        <v>0</v>
      </c>
      <c r="E150" s="556">
        <f>SUM(B150:D150)</f>
        <v>0</v>
      </c>
      <c r="F150" s="557">
        <f>IF(B150&gt;0,RANK(B150,$B$137:$B$155),)</f>
        <v>0</v>
      </c>
      <c r="G150" s="558">
        <f t="shared" si="16"/>
        <v>0</v>
      </c>
      <c r="H150" s="558">
        <f t="shared" si="17"/>
        <v>0</v>
      </c>
      <c r="I150" s="558">
        <f t="shared" si="18"/>
        <v>0</v>
      </c>
      <c r="J150" s="556"/>
      <c r="L150" s="654"/>
      <c r="M150" s="841">
        <f>+'[1]NEW-Tables 80-86'!T85</f>
        <v>0</v>
      </c>
    </row>
    <row r="151" spans="1:13" s="491" customFormat="1" ht="9.75" customHeight="1" x14ac:dyDescent="0.2">
      <c r="A151" s="406"/>
      <c r="B151" s="556"/>
      <c r="C151" s="556"/>
      <c r="D151" s="556"/>
      <c r="E151" s="556"/>
      <c r="F151" s="557"/>
      <c r="G151" s="558"/>
      <c r="H151" s="558"/>
      <c r="I151" s="558"/>
      <c r="J151" s="556"/>
      <c r="L151" s="654"/>
      <c r="M151" s="841"/>
    </row>
    <row r="152" spans="1:13" s="491" customFormat="1" ht="12.75" customHeight="1" x14ac:dyDescent="0.2">
      <c r="A152" s="406" t="s">
        <v>90</v>
      </c>
      <c r="B152" s="556">
        <f>IF($M152&gt;0,('Amounts Pivot Table'!F$474/$M152),0)</f>
        <v>0</v>
      </c>
      <c r="C152" s="556">
        <f>IF($M152&gt;0,('Amounts Pivot Table'!F$477/$M152),0)</f>
        <v>0</v>
      </c>
      <c r="D152" s="556">
        <f>IF($M152&gt;0,('Amounts Pivot Table'!F$483/$M152),0)</f>
        <v>0</v>
      </c>
      <c r="E152" s="556">
        <f>SUM(B152:D152)</f>
        <v>0</v>
      </c>
      <c r="F152" s="557">
        <f t="shared" si="15"/>
        <v>0</v>
      </c>
      <c r="G152" s="558">
        <f t="shared" si="16"/>
        <v>0</v>
      </c>
      <c r="H152" s="558">
        <f t="shared" si="17"/>
        <v>0</v>
      </c>
      <c r="I152" s="558">
        <f t="shared" si="18"/>
        <v>0</v>
      </c>
      <c r="J152" s="556"/>
      <c r="L152" s="656"/>
      <c r="M152" s="841">
        <f>+'[1]NEW-Tables 80-86'!T87</f>
        <v>0</v>
      </c>
    </row>
    <row r="153" spans="1:13" s="76" customFormat="1" ht="12.75" customHeight="1" x14ac:dyDescent="0.2">
      <c r="A153" s="406" t="s">
        <v>326</v>
      </c>
      <c r="B153" s="556">
        <f>IF($M153&gt;0,('Amounts Pivot Table'!F$513/$M153),0)</f>
        <v>6118.1836515611913</v>
      </c>
      <c r="C153" s="556">
        <f>IF($M153&gt;0,('Amounts Pivot Table'!F$516/$M153),0)</f>
        <v>0</v>
      </c>
      <c r="D153" s="556">
        <f>IF($M153&gt;0,('Amounts Pivot Table'!F$522/$M153),0)</f>
        <v>4787.4054239652787</v>
      </c>
      <c r="E153" s="556">
        <f>SUM(B153:D153)</f>
        <v>10905.58907552647</v>
      </c>
      <c r="F153" s="557">
        <f t="shared" si="15"/>
        <v>4</v>
      </c>
      <c r="G153" s="558">
        <f t="shared" si="16"/>
        <v>0</v>
      </c>
      <c r="H153" s="558">
        <f t="shared" si="17"/>
        <v>10</v>
      </c>
      <c r="I153" s="558">
        <f t="shared" si="18"/>
        <v>8</v>
      </c>
      <c r="J153" s="556"/>
      <c r="K153" s="556"/>
      <c r="L153" s="656"/>
      <c r="M153" s="841">
        <f>+'[1]NEW-Tables 80-86'!T88</f>
        <v>6140.3416666666672</v>
      </c>
    </row>
    <row r="154" spans="1:13" s="491" customFormat="1" ht="12.75" customHeight="1" x14ac:dyDescent="0.2">
      <c r="A154" s="406" t="s">
        <v>327</v>
      </c>
      <c r="B154" s="556">
        <f>IF($M154&gt;0,('Amounts Pivot Table'!F$552/$M154),0)</f>
        <v>0</v>
      </c>
      <c r="C154" s="556">
        <f>IF($M154&gt;0,('Amounts Pivot Table'!F$555/$M154),0)</f>
        <v>0</v>
      </c>
      <c r="D154" s="556">
        <f>IF($M154&gt;0,('Amounts Pivot Table'!F$561/$M154),0)</f>
        <v>0</v>
      </c>
      <c r="E154" s="556">
        <f>SUM(B154:D154)</f>
        <v>0</v>
      </c>
      <c r="F154" s="557">
        <f t="shared" si="15"/>
        <v>0</v>
      </c>
      <c r="G154" s="558">
        <f t="shared" si="16"/>
        <v>0</v>
      </c>
      <c r="H154" s="558">
        <f t="shared" si="17"/>
        <v>0</v>
      </c>
      <c r="I154" s="558">
        <f t="shared" si="18"/>
        <v>0</v>
      </c>
      <c r="J154" s="556"/>
      <c r="K154" s="556"/>
      <c r="L154" s="656"/>
      <c r="M154" s="841">
        <f>+'[1]NEW-Tables 80-86'!T89</f>
        <v>0</v>
      </c>
    </row>
    <row r="155" spans="1:13" s="491" customFormat="1" ht="13.5" customHeight="1" x14ac:dyDescent="0.2">
      <c r="A155" s="407" t="s">
        <v>332</v>
      </c>
      <c r="B155" s="562">
        <f>IF($M155&gt;0,('Amounts Pivot Table'!F$591/$M155),0)</f>
        <v>0</v>
      </c>
      <c r="C155" s="562">
        <f>IF($M155&gt;0,('Amounts Pivot Table'!F$594/$M155),0)</f>
        <v>0</v>
      </c>
      <c r="D155" s="562">
        <f>IF($M155&gt;0,('Amounts Pivot Table'!F$600/$M155),0)</f>
        <v>0</v>
      </c>
      <c r="E155" s="563">
        <f>SUM(B155:D155)</f>
        <v>0</v>
      </c>
      <c r="F155" s="564">
        <f t="shared" si="15"/>
        <v>0</v>
      </c>
      <c r="G155" s="565">
        <f t="shared" si="16"/>
        <v>0</v>
      </c>
      <c r="H155" s="565">
        <f t="shared" si="17"/>
        <v>0</v>
      </c>
      <c r="I155" s="565">
        <f t="shared" si="18"/>
        <v>0</v>
      </c>
      <c r="J155" s="556"/>
      <c r="K155" s="556"/>
      <c r="L155" s="656"/>
      <c r="M155" s="841">
        <f>+'[1]NEW-Tables 80-86'!T90</f>
        <v>0</v>
      </c>
    </row>
    <row r="156" spans="1:13" s="491" customFormat="1" ht="13.5" customHeight="1" x14ac:dyDescent="0.2">
      <c r="A156" s="99"/>
      <c r="B156" s="556"/>
      <c r="C156" s="556"/>
      <c r="D156" s="556"/>
      <c r="E156" s="556"/>
      <c r="F156" s="558"/>
      <c r="G156" s="558"/>
      <c r="H156" s="558"/>
      <c r="I156" s="558"/>
      <c r="J156" s="556"/>
      <c r="K156" s="556"/>
      <c r="L156" s="656"/>
      <c r="M156" s="649"/>
    </row>
    <row r="157" spans="1:13" s="76" customFormat="1" ht="40.5" customHeight="1" x14ac:dyDescent="0.2">
      <c r="A157" s="1558" t="s">
        <v>17</v>
      </c>
      <c r="B157" s="1593"/>
      <c r="C157" s="1593"/>
      <c r="D157" s="1593"/>
      <c r="E157" s="1593"/>
      <c r="F157" s="1593"/>
      <c r="G157" s="1594"/>
      <c r="H157" s="1594"/>
      <c r="I157" s="1594"/>
      <c r="J157" s="556"/>
      <c r="K157" s="556"/>
      <c r="L157" s="169"/>
      <c r="M157" s="663"/>
    </row>
    <row r="158" spans="1:13" s="76" customFormat="1" ht="22.5" customHeight="1" x14ac:dyDescent="0.2">
      <c r="A158" s="1558" t="s">
        <v>54</v>
      </c>
      <c r="B158" s="1600"/>
      <c r="C158" s="1600"/>
      <c r="D158" s="1600"/>
      <c r="E158" s="1600"/>
      <c r="F158" s="1600"/>
      <c r="G158" s="1600"/>
      <c r="H158" s="1600"/>
      <c r="I158" s="1600"/>
      <c r="J158" s="657"/>
      <c r="L158" s="169"/>
      <c r="M158" s="649"/>
    </row>
    <row r="159" spans="1:13" s="491" customFormat="1" ht="21" customHeight="1" x14ac:dyDescent="0.2">
      <c r="A159" s="1558" t="s">
        <v>233</v>
      </c>
      <c r="B159" s="1593"/>
      <c r="C159" s="1593"/>
      <c r="D159" s="1593"/>
      <c r="E159" s="1593"/>
      <c r="F159" s="1593"/>
      <c r="G159" s="1594"/>
      <c r="H159" s="1594"/>
      <c r="I159" s="1594"/>
      <c r="L159" s="658"/>
      <c r="M159" s="649"/>
    </row>
    <row r="160" spans="1:13" s="491" customFormat="1" ht="17.25" customHeight="1" x14ac:dyDescent="0.2">
      <c r="A160" s="644"/>
      <c r="B160" s="657"/>
      <c r="C160" s="657"/>
      <c r="D160" s="657"/>
      <c r="E160" s="657"/>
      <c r="F160" s="657"/>
      <c r="G160" s="659"/>
      <c r="H160" s="659"/>
      <c r="I160" s="535" t="s">
        <v>1898</v>
      </c>
      <c r="J160" s="659"/>
      <c r="K160" s="659"/>
      <c r="L160" s="658"/>
      <c r="M160" s="649"/>
    </row>
    <row r="161" spans="1:13" s="491" customFormat="1" ht="15.75" x14ac:dyDescent="0.2">
      <c r="A161" s="1557" t="s">
        <v>363</v>
      </c>
      <c r="B161" s="1557"/>
      <c r="C161" s="1557"/>
      <c r="D161" s="1557"/>
      <c r="E161" s="1557"/>
      <c r="F161" s="1557"/>
      <c r="G161" s="1557"/>
      <c r="H161" s="1557"/>
      <c r="I161" s="1557"/>
      <c r="J161" s="566"/>
      <c r="K161" s="566"/>
      <c r="L161" s="655"/>
      <c r="M161" s="649"/>
    </row>
    <row r="162" spans="1:13" s="491" customFormat="1" ht="18.75" x14ac:dyDescent="0.2">
      <c r="A162" s="1557" t="s">
        <v>18</v>
      </c>
      <c r="B162" s="1557"/>
      <c r="C162" s="1557"/>
      <c r="D162" s="1557"/>
      <c r="E162" s="1557"/>
      <c r="F162" s="1557"/>
      <c r="G162" s="1557"/>
      <c r="H162" s="1557"/>
      <c r="I162" s="1557"/>
      <c r="J162" s="566"/>
      <c r="K162" s="566"/>
      <c r="L162" s="165"/>
      <c r="M162" s="649"/>
    </row>
    <row r="163" spans="1:13" s="491" customFormat="1" ht="16.5" customHeight="1" x14ac:dyDescent="0.2">
      <c r="A163" s="1557" t="s">
        <v>439</v>
      </c>
      <c r="B163" s="1557"/>
      <c r="C163" s="1557"/>
      <c r="D163" s="1557"/>
      <c r="E163" s="1557"/>
      <c r="F163" s="1557"/>
      <c r="G163" s="1557"/>
      <c r="H163" s="1557"/>
      <c r="I163" s="1557"/>
      <c r="J163" s="91"/>
      <c r="K163" s="91"/>
      <c r="L163" s="165"/>
      <c r="M163" s="649"/>
    </row>
    <row r="164" spans="1:13" s="112" customFormat="1" ht="8.25" x14ac:dyDescent="0.15">
      <c r="A164" s="194"/>
      <c r="B164" s="194"/>
      <c r="C164" s="194"/>
      <c r="D164" s="194"/>
      <c r="E164" s="194"/>
      <c r="F164" s="194"/>
      <c r="G164" s="195"/>
      <c r="H164" s="194"/>
      <c r="I164" s="194"/>
      <c r="J164" s="194"/>
      <c r="K164" s="194"/>
      <c r="L164" s="196"/>
      <c r="M164" s="666"/>
    </row>
    <row r="165" spans="1:13" s="491" customFormat="1" ht="15.75" x14ac:dyDescent="0.15">
      <c r="A165" s="60"/>
      <c r="B165" s="109" t="s">
        <v>55</v>
      </c>
      <c r="C165" s="662"/>
      <c r="D165" s="662"/>
      <c r="E165" s="662"/>
      <c r="F165" s="57" t="s">
        <v>119</v>
      </c>
      <c r="G165" s="58"/>
      <c r="H165" s="58"/>
      <c r="I165" s="58"/>
      <c r="L165" s="173"/>
      <c r="M165" s="660"/>
    </row>
    <row r="166" spans="1:13" s="378" customFormat="1" ht="45" x14ac:dyDescent="0.2">
      <c r="A166" s="650"/>
      <c r="B166" s="51" t="s">
        <v>87</v>
      </c>
      <c r="C166" s="52" t="s">
        <v>89</v>
      </c>
      <c r="D166" s="52" t="s">
        <v>306</v>
      </c>
      <c r="E166" s="52" t="s">
        <v>97</v>
      </c>
      <c r="F166" s="53" t="s">
        <v>87</v>
      </c>
      <c r="G166" s="52" t="s">
        <v>89</v>
      </c>
      <c r="H166" s="52" t="s">
        <v>306</v>
      </c>
      <c r="I166" s="52" t="s">
        <v>97</v>
      </c>
      <c r="L166" s="652"/>
      <c r="M166" s="661" t="s">
        <v>260</v>
      </c>
    </row>
    <row r="167" spans="1:13" s="491" customFormat="1" ht="14.25" x14ac:dyDescent="0.2">
      <c r="A167" s="406" t="s">
        <v>56</v>
      </c>
      <c r="B167" s="553">
        <f>IF($M167&gt;0,('Amounts Pivot Table'!G$630/$M167),0)</f>
        <v>4921.8383642924509</v>
      </c>
      <c r="C167" s="553">
        <f>IF($M167&gt;0,('Amounts Pivot Table'!G$633/$M167),0)</f>
        <v>148.62991504556229</v>
      </c>
      <c r="D167" s="553">
        <f>IF($M167&gt;0,('Amounts Pivot Table'!G$639/$M167),0)</f>
        <v>6447.2745654666069</v>
      </c>
      <c r="E167" s="553">
        <f>SUM(B167:D167)</f>
        <v>11517.742844804619</v>
      </c>
      <c r="F167" s="554"/>
      <c r="G167" s="555"/>
      <c r="H167" s="555"/>
      <c r="I167" s="555"/>
      <c r="L167" s="654"/>
      <c r="M167" s="841">
        <f>+'[1]NEW-Tables 80-86'!U70</f>
        <v>108208.98333333334</v>
      </c>
    </row>
    <row r="168" spans="1:13" s="491" customFormat="1" ht="12.75" customHeight="1" x14ac:dyDescent="0.2">
      <c r="A168" s="406"/>
      <c r="B168" s="553"/>
      <c r="C168" s="553"/>
      <c r="D168" s="553"/>
      <c r="E168" s="553"/>
      <c r="F168" s="554"/>
      <c r="G168" s="555"/>
      <c r="H168" s="555"/>
      <c r="I168" s="555"/>
      <c r="L168" s="654"/>
      <c r="M168" s="841"/>
    </row>
    <row r="169" spans="1:13" s="491" customFormat="1" ht="12.75" customHeight="1" x14ac:dyDescent="0.2">
      <c r="A169" s="406" t="s">
        <v>320</v>
      </c>
      <c r="B169" s="556">
        <f>IF($M169&gt;0,('Amounts Pivot Table'!G$6/$M169),0)</f>
        <v>4633.1044659227355</v>
      </c>
      <c r="C169" s="556">
        <f>IF($M169&gt;0,('Amounts Pivot Table'!G$9/$M169),0)</f>
        <v>172.53814096662686</v>
      </c>
      <c r="D169" s="556">
        <f>IF($M169&gt;0,('Amounts Pivot Table'!G$15/$M169),0)</f>
        <v>6380.2283660391749</v>
      </c>
      <c r="E169" s="556">
        <f>SUM(B169:D169)</f>
        <v>11185.870972928537</v>
      </c>
      <c r="F169" s="557">
        <f>IF(B169&gt;0,RANK(B169,$B$169:$B$187),)</f>
        <v>7</v>
      </c>
      <c r="G169" s="558">
        <f>IF(C169&gt;0,RANK(C169,$C$169:$C$187),)</f>
        <v>3</v>
      </c>
      <c r="H169" s="558">
        <f>IF(D169&gt;0,RANK(D169,$D$169:$D$187),)</f>
        <v>6</v>
      </c>
      <c r="I169" s="558">
        <f>IF(E169&gt;0,RANK(E169,$E$169:$E$187),)</f>
        <v>7</v>
      </c>
      <c r="L169" s="654"/>
      <c r="M169" s="841">
        <f>+'[1]NEW-Tables 80-86'!U72</f>
        <v>6426.8166666666657</v>
      </c>
    </row>
    <row r="170" spans="1:13" s="491" customFormat="1" ht="12.75" customHeight="1" x14ac:dyDescent="0.2">
      <c r="A170" s="406" t="s">
        <v>334</v>
      </c>
      <c r="B170" s="556">
        <f>IF($M170&gt;0,('Amounts Pivot Table'!G$45/$M170),0)</f>
        <v>5733.9871591056408</v>
      </c>
      <c r="C170" s="556">
        <f>IF($M170&gt;0,('Amounts Pivot Table'!G$48/$M170),0)</f>
        <v>1737.995674215184</v>
      </c>
      <c r="D170" s="556">
        <f>IF($M170&gt;0,('Amounts Pivot Table'!G$54/$M170),0)</f>
        <v>6568.7663325668827</v>
      </c>
      <c r="E170" s="556">
        <f>SUM(B170:D170)</f>
        <v>14040.749165887708</v>
      </c>
      <c r="F170" s="557">
        <f t="shared" ref="F170:F187" si="19">IF(B170&gt;0,RANK(B170,$B$169:$B$187),)</f>
        <v>3</v>
      </c>
      <c r="G170" s="558">
        <f t="shared" ref="G170:G187" si="20">IF(C170&gt;0,RANK(C170,$C$169:$C$187),)</f>
        <v>1</v>
      </c>
      <c r="H170" s="558">
        <f t="shared" ref="H170:H187" si="21">IF(D170&gt;0,RANK(D170,$D$169:$D$187),)</f>
        <v>5</v>
      </c>
      <c r="I170" s="558">
        <f t="shared" ref="I170:I187" si="22">IF(E170&gt;0,RANK(E170,$E$169:$E$187),)</f>
        <v>4</v>
      </c>
      <c r="L170" s="654"/>
      <c r="M170" s="841">
        <f>+'[1]NEW-Tables 80-86'!U73</f>
        <v>2442.7166666666667</v>
      </c>
    </row>
    <row r="171" spans="1:13" s="491" customFormat="1" ht="12.75" customHeight="1" x14ac:dyDescent="0.2">
      <c r="A171" s="406" t="s">
        <v>321</v>
      </c>
      <c r="B171" s="556">
        <f>IF($M171&gt;0,('Amounts Pivot Table'!G$84/$M171),0)</f>
        <v>0</v>
      </c>
      <c r="C171" s="556">
        <f>IF($M171&gt;0,('Amounts Pivot Table'!G$87/$M171),0)</f>
        <v>0</v>
      </c>
      <c r="D171" s="556">
        <f>IF($M171&gt;0,('Amounts Pivot Table'!G$93/$M171),0)</f>
        <v>0</v>
      </c>
      <c r="E171" s="556">
        <f>SUM(B171:D171)</f>
        <v>0</v>
      </c>
      <c r="F171" s="557">
        <f t="shared" si="19"/>
        <v>0</v>
      </c>
      <c r="G171" s="558">
        <f t="shared" si="20"/>
        <v>0</v>
      </c>
      <c r="H171" s="558">
        <f t="shared" si="21"/>
        <v>0</v>
      </c>
      <c r="I171" s="558">
        <f t="shared" si="22"/>
        <v>0</v>
      </c>
      <c r="L171" s="654"/>
      <c r="M171" s="841">
        <f>+'[1]NEW-Tables 80-86'!U74</f>
        <v>0</v>
      </c>
    </row>
    <row r="172" spans="1:13" s="491" customFormat="1" ht="12.75" customHeight="1" x14ac:dyDescent="0.2">
      <c r="A172" s="406" t="s">
        <v>328</v>
      </c>
      <c r="B172" s="556">
        <f>IF($M172&gt;0,('Amounts Pivot Table'!G$123/$M172),0)</f>
        <v>0</v>
      </c>
      <c r="C172" s="556">
        <f>IF($M172&gt;0,('Amounts Pivot Table'!G$126/$M172),0)</f>
        <v>0</v>
      </c>
      <c r="D172" s="556">
        <f>IF($M172&gt;0,('Amounts Pivot Table'!G$132/$M172),0)</f>
        <v>0</v>
      </c>
      <c r="E172" s="556">
        <f>SUM(B172:D172)</f>
        <v>0</v>
      </c>
      <c r="F172" s="557">
        <f t="shared" si="19"/>
        <v>0</v>
      </c>
      <c r="G172" s="558">
        <f t="shared" si="20"/>
        <v>0</v>
      </c>
      <c r="H172" s="558">
        <f t="shared" si="21"/>
        <v>0</v>
      </c>
      <c r="I172" s="558">
        <f t="shared" si="22"/>
        <v>0</v>
      </c>
      <c r="L172" s="654"/>
      <c r="M172" s="841">
        <f>+'[1]NEW-Tables 80-86'!U75</f>
        <v>0</v>
      </c>
    </row>
    <row r="173" spans="1:13" s="491" customFormat="1" ht="12.75" customHeight="1" x14ac:dyDescent="0.2">
      <c r="A173" s="406"/>
      <c r="B173" s="556"/>
      <c r="C173" s="556"/>
      <c r="D173" s="556"/>
      <c r="E173" s="556"/>
      <c r="F173" s="557"/>
      <c r="G173" s="558"/>
      <c r="H173" s="558"/>
      <c r="I173" s="558"/>
      <c r="L173" s="654"/>
      <c r="M173" s="841"/>
    </row>
    <row r="174" spans="1:13" s="491" customFormat="1" ht="12.75" customHeight="1" x14ac:dyDescent="0.2">
      <c r="A174" s="406" t="s">
        <v>329</v>
      </c>
      <c r="B174" s="556">
        <f>IF($M174&gt;0,('Amounts Pivot Table'!G$162/$M174),0)</f>
        <v>4493.6054328440114</v>
      </c>
      <c r="C174" s="556">
        <f>IF($M174&gt;0,('Amounts Pivot Table'!G$165/$M174),0)</f>
        <v>0</v>
      </c>
      <c r="D174" s="556">
        <f>IF($M174&gt;0,('Amounts Pivot Table'!G$171/$M174),0)</f>
        <v>5259.556554708839</v>
      </c>
      <c r="E174" s="556">
        <f>SUM(B174:D174)</f>
        <v>9753.1619875528504</v>
      </c>
      <c r="F174" s="557">
        <f t="shared" si="19"/>
        <v>8</v>
      </c>
      <c r="G174" s="558">
        <f t="shared" si="20"/>
        <v>0</v>
      </c>
      <c r="H174" s="558">
        <f t="shared" si="21"/>
        <v>10</v>
      </c>
      <c r="I174" s="558">
        <f t="shared" si="22"/>
        <v>11</v>
      </c>
      <c r="L174" s="654"/>
      <c r="M174" s="841">
        <f>+'[1]NEW-Tables 80-86'!U77</f>
        <v>16035.800000000001</v>
      </c>
    </row>
    <row r="175" spans="1:13" s="491" customFormat="1" ht="12.75" customHeight="1" x14ac:dyDescent="0.2">
      <c r="A175" s="406" t="s">
        <v>322</v>
      </c>
      <c r="B175" s="556">
        <f>IF($M175&gt;0,('Amounts Pivot Table'!G$201/$M175),0)</f>
        <v>0</v>
      </c>
      <c r="C175" s="556">
        <f>IF($M175&gt;0,('Amounts Pivot Table'!G$204/$M175),0)</f>
        <v>0</v>
      </c>
      <c r="D175" s="556">
        <f>IF($M175&gt;0,('Amounts Pivot Table'!G$210/$M175),0)</f>
        <v>0</v>
      </c>
      <c r="E175" s="556">
        <f>SUM(B175:D175)</f>
        <v>0</v>
      </c>
      <c r="F175" s="557">
        <f t="shared" si="19"/>
        <v>0</v>
      </c>
      <c r="G175" s="558">
        <f t="shared" si="20"/>
        <v>0</v>
      </c>
      <c r="H175" s="558">
        <f t="shared" si="21"/>
        <v>0</v>
      </c>
      <c r="I175" s="558">
        <f t="shared" si="22"/>
        <v>0</v>
      </c>
      <c r="L175" s="654"/>
      <c r="M175" s="841">
        <f>+'[1]NEW-Tables 80-86'!U78</f>
        <v>0</v>
      </c>
    </row>
    <row r="176" spans="1:13" s="491" customFormat="1" ht="12.75" customHeight="1" x14ac:dyDescent="0.2">
      <c r="A176" s="406" t="s">
        <v>330</v>
      </c>
      <c r="B176" s="556">
        <f>IF($M176&gt;0,('Amounts Pivot Table'!G$240/$M176),0)</f>
        <v>0</v>
      </c>
      <c r="C176" s="556">
        <f>IF($M176&gt;0,('Amounts Pivot Table'!G$243/$M176),0)</f>
        <v>0</v>
      </c>
      <c r="D176" s="556">
        <f>IF($M176&gt;0,('Amounts Pivot Table'!G$249/$M176),0)</f>
        <v>0</v>
      </c>
      <c r="E176" s="556">
        <f>SUM(B176:D176)</f>
        <v>0</v>
      </c>
      <c r="F176" s="557">
        <f t="shared" si="19"/>
        <v>0</v>
      </c>
      <c r="G176" s="558">
        <f t="shared" si="20"/>
        <v>0</v>
      </c>
      <c r="H176" s="558">
        <f t="shared" si="21"/>
        <v>0</v>
      </c>
      <c r="I176" s="558">
        <f t="shared" si="22"/>
        <v>0</v>
      </c>
      <c r="L176" s="654"/>
      <c r="M176" s="841">
        <f>+'[1]NEW-Tables 80-86'!U79</f>
        <v>0</v>
      </c>
    </row>
    <row r="177" spans="1:13" s="491" customFormat="1" ht="12.75" customHeight="1" x14ac:dyDescent="0.2">
      <c r="A177" s="406" t="s">
        <v>333</v>
      </c>
      <c r="B177" s="556">
        <f>IF($M177&gt;0,('Amounts Pivot Table'!G$279/$M177),0)</f>
        <v>12147.155630758867</v>
      </c>
      <c r="C177" s="556">
        <f>IF($M177&gt;0,('Amounts Pivot Table'!G$282/$M177),0)</f>
        <v>0</v>
      </c>
      <c r="D177" s="556">
        <f>IF($M177&gt;0,('Amounts Pivot Table'!G$288/$M177),0)</f>
        <v>5205.3492008757084</v>
      </c>
      <c r="E177" s="556">
        <f>SUM(B177:D177)</f>
        <v>17352.504831634575</v>
      </c>
      <c r="F177" s="557">
        <f t="shared" si="19"/>
        <v>1</v>
      </c>
      <c r="G177" s="558">
        <f t="shared" si="20"/>
        <v>0</v>
      </c>
      <c r="H177" s="558">
        <f t="shared" si="21"/>
        <v>11</v>
      </c>
      <c r="I177" s="558">
        <f t="shared" si="22"/>
        <v>1</v>
      </c>
      <c r="L177" s="654"/>
      <c r="M177" s="841">
        <f>+'[1]NEW-Tables 80-86'!U80</f>
        <v>3117.4749999999999</v>
      </c>
    </row>
    <row r="178" spans="1:13" s="491" customFormat="1" ht="12.75" customHeight="1" x14ac:dyDescent="0.2">
      <c r="A178" s="406"/>
      <c r="B178" s="556"/>
      <c r="C178" s="556"/>
      <c r="D178" s="556"/>
      <c r="E178" s="556"/>
      <c r="F178" s="557"/>
      <c r="G178" s="558"/>
      <c r="H178" s="558"/>
      <c r="I178" s="558"/>
      <c r="L178" s="654"/>
      <c r="M178" s="841"/>
    </row>
    <row r="179" spans="1:13" s="491" customFormat="1" ht="12.75" customHeight="1" x14ac:dyDescent="0.2">
      <c r="A179" s="406" t="s">
        <v>323</v>
      </c>
      <c r="B179" s="556">
        <f>IF($M179&gt;0,('Amounts Pivot Table'!G$318/$M179),0)</f>
        <v>5590.5597343772415</v>
      </c>
      <c r="C179" s="556">
        <f>IF($M179&gt;0,('Amounts Pivot Table'!G$321/$M179),0)</f>
        <v>0</v>
      </c>
      <c r="D179" s="556">
        <f>IF($M179&gt;0,('Amounts Pivot Table'!G$327/$M179),0)</f>
        <v>6978.7046791416442</v>
      </c>
      <c r="E179" s="556">
        <f>SUM(B179:D179)</f>
        <v>12569.264413518886</v>
      </c>
      <c r="F179" s="557">
        <f t="shared" si="19"/>
        <v>4</v>
      </c>
      <c r="G179" s="558">
        <f t="shared" si="20"/>
        <v>0</v>
      </c>
      <c r="H179" s="558">
        <f t="shared" si="21"/>
        <v>3</v>
      </c>
      <c r="I179" s="558">
        <f t="shared" si="22"/>
        <v>5</v>
      </c>
      <c r="L179" s="654"/>
      <c r="M179" s="841">
        <f>+'[1]NEW-Tables 80-86'!U82</f>
        <v>2439.5500000000002</v>
      </c>
    </row>
    <row r="180" spans="1:13" s="491" customFormat="1" ht="12.75" customHeight="1" x14ac:dyDescent="0.2">
      <c r="A180" s="406" t="s">
        <v>324</v>
      </c>
      <c r="B180" s="556">
        <f>IF($M180&gt;0,('Amounts Pivot Table'!G$357/$M180),0)</f>
        <v>10992.923732781572</v>
      </c>
      <c r="C180" s="556">
        <f>IF($M180&gt;0,('Amounts Pivot Table'!G$360/$M180),0)</f>
        <v>0</v>
      </c>
      <c r="D180" s="556">
        <f>IF($M180&gt;0,('Amounts Pivot Table'!G$366/$M180),0)</f>
        <v>3340.7080458950018</v>
      </c>
      <c r="E180" s="556">
        <f>SUM(B180:D180)</f>
        <v>14333.631778676574</v>
      </c>
      <c r="F180" s="557">
        <f t="shared" si="19"/>
        <v>2</v>
      </c>
      <c r="G180" s="558">
        <f t="shared" si="20"/>
        <v>0</v>
      </c>
      <c r="H180" s="558">
        <f t="shared" si="21"/>
        <v>12</v>
      </c>
      <c r="I180" s="558">
        <f t="shared" si="22"/>
        <v>2</v>
      </c>
      <c r="L180" s="654"/>
      <c r="M180" s="841">
        <f>+'[1]NEW-Tables 80-86'!U83</f>
        <v>11212.55</v>
      </c>
    </row>
    <row r="181" spans="1:13" s="491" customFormat="1" ht="12.75" customHeight="1" x14ac:dyDescent="0.2">
      <c r="A181" s="406" t="s">
        <v>331</v>
      </c>
      <c r="B181" s="556">
        <f>IF($M181&gt;0,('Amounts Pivot Table'!G$396/$M181),0)</f>
        <v>5140.2206452823011</v>
      </c>
      <c r="C181" s="556">
        <f>IF($M181&gt;0,('Amounts Pivot Table'!G$399/$M181),0)</f>
        <v>0</v>
      </c>
      <c r="D181" s="556">
        <f>IF($M181&gt;0,('Amounts Pivot Table'!G$405/$M181),0)</f>
        <v>5490.8248052586559</v>
      </c>
      <c r="E181" s="556">
        <f>SUM(B181:D181)</f>
        <v>10631.045450540958</v>
      </c>
      <c r="F181" s="557">
        <f t="shared" si="19"/>
        <v>5</v>
      </c>
      <c r="G181" s="558">
        <f t="shared" si="20"/>
        <v>0</v>
      </c>
      <c r="H181" s="558">
        <f t="shared" si="21"/>
        <v>8</v>
      </c>
      <c r="I181" s="558">
        <f t="shared" si="22"/>
        <v>9</v>
      </c>
      <c r="L181" s="654"/>
      <c r="M181" s="841">
        <f>+'[1]NEW-Tables 80-86'!U84</f>
        <v>17593.849999999999</v>
      </c>
    </row>
    <row r="182" spans="1:13" s="491" customFormat="1" ht="12.75" customHeight="1" x14ac:dyDescent="0.2">
      <c r="A182" s="406" t="s">
        <v>325</v>
      </c>
      <c r="B182" s="556">
        <f>IF($M182&gt;0,('Amounts Pivot Table'!G$435/$M182),0)</f>
        <v>1951.8506533404334</v>
      </c>
      <c r="C182" s="556">
        <f>IF($M182&gt;0,('Amounts Pivot Table'!G$438/$M182),0)</f>
        <v>653.0612788268545</v>
      </c>
      <c r="D182" s="556">
        <f>IF($M182&gt;0,('Amounts Pivot Table'!G$444/$M182),0)</f>
        <v>11667.824683570228</v>
      </c>
      <c r="E182" s="556">
        <f>SUM(B182:D182)</f>
        <v>14272.736615737516</v>
      </c>
      <c r="F182" s="557">
        <f t="shared" si="19"/>
        <v>12</v>
      </c>
      <c r="G182" s="558">
        <f t="shared" si="20"/>
        <v>2</v>
      </c>
      <c r="H182" s="558">
        <f t="shared" si="21"/>
        <v>1</v>
      </c>
      <c r="I182" s="558">
        <f t="shared" si="22"/>
        <v>3</v>
      </c>
      <c r="L182" s="654"/>
      <c r="M182" s="841">
        <f>+'[1]NEW-Tables 80-86'!U85</f>
        <v>16275.333333333334</v>
      </c>
    </row>
    <row r="183" spans="1:13" s="491" customFormat="1" ht="12.75" customHeight="1" x14ac:dyDescent="0.2">
      <c r="A183" s="406"/>
      <c r="B183" s="556"/>
      <c r="C183" s="556"/>
      <c r="D183" s="556"/>
      <c r="E183" s="556"/>
      <c r="F183" s="557"/>
      <c r="G183" s="558"/>
      <c r="H183" s="558"/>
      <c r="I183" s="558"/>
      <c r="L183" s="654"/>
      <c r="M183" s="841"/>
    </row>
    <row r="184" spans="1:13" s="491" customFormat="1" ht="12.75" customHeight="1" x14ac:dyDescent="0.2">
      <c r="A184" s="406" t="s">
        <v>90</v>
      </c>
      <c r="B184" s="556">
        <f>IF($M184&gt;0,('Amounts Pivot Table'!G$474/$M184),0)</f>
        <v>3783.8070228528254</v>
      </c>
      <c r="C184" s="556">
        <f>IF($M184&gt;0,('Amounts Pivot Table'!G$477/$M184),0)</f>
        <v>0</v>
      </c>
      <c r="D184" s="556">
        <f>IF($M184&gt;0,('Amounts Pivot Table'!G$483/$M184),0)</f>
        <v>7103.8471055251748</v>
      </c>
      <c r="E184" s="556">
        <f>SUM(B184:D184)</f>
        <v>10887.654128378001</v>
      </c>
      <c r="F184" s="557">
        <f t="shared" si="19"/>
        <v>9</v>
      </c>
      <c r="G184" s="558">
        <f t="shared" si="20"/>
        <v>0</v>
      </c>
      <c r="H184" s="558">
        <f t="shared" si="21"/>
        <v>2</v>
      </c>
      <c r="I184" s="558">
        <f t="shared" si="22"/>
        <v>8</v>
      </c>
      <c r="L184" s="654"/>
      <c r="M184" s="841">
        <f>+'[1]NEW-Tables 80-86'!U87</f>
        <v>7038.8416666666672</v>
      </c>
    </row>
    <row r="185" spans="1:13" s="76" customFormat="1" ht="12.75" customHeight="1" x14ac:dyDescent="0.2">
      <c r="A185" s="406" t="s">
        <v>326</v>
      </c>
      <c r="B185" s="556">
        <f>IF($M185&gt;0,('Amounts Pivot Table'!G$513/$M185),0)</f>
        <v>3175.9938507790803</v>
      </c>
      <c r="C185" s="556">
        <f>IF($M185&gt;0,('Amounts Pivot Table'!G$516/$M185),0)</f>
        <v>0</v>
      </c>
      <c r="D185" s="556">
        <f>IF($M185&gt;0,('Amounts Pivot Table'!G$522/$M185),0)</f>
        <v>5305.4706029725603</v>
      </c>
      <c r="E185" s="556">
        <f>SUM(B185:D185)</f>
        <v>8481.4644537516397</v>
      </c>
      <c r="F185" s="557">
        <f t="shared" si="19"/>
        <v>11</v>
      </c>
      <c r="G185" s="558">
        <f t="shared" si="20"/>
        <v>0</v>
      </c>
      <c r="H185" s="558">
        <f t="shared" si="21"/>
        <v>9</v>
      </c>
      <c r="I185" s="558">
        <f t="shared" si="22"/>
        <v>12</v>
      </c>
      <c r="J185" s="491"/>
      <c r="K185" s="491"/>
      <c r="L185" s="169"/>
      <c r="M185" s="841">
        <f>+'[1]NEW-Tables 80-86'!U88</f>
        <v>12706.216666666667</v>
      </c>
    </row>
    <row r="186" spans="1:13" s="491" customFormat="1" ht="12.75" customHeight="1" x14ac:dyDescent="0.2">
      <c r="A186" s="406" t="s">
        <v>327</v>
      </c>
      <c r="B186" s="556">
        <f>IF($M186&gt;0,('Amounts Pivot Table'!G$552/$M186),0)</f>
        <v>4771.8771415527708</v>
      </c>
      <c r="C186" s="556">
        <f>IF($M186&gt;0,('Amounts Pivot Table'!G$555/$M186),0)</f>
        <v>0</v>
      </c>
      <c r="D186" s="556">
        <f>IF($M186&gt;0,('Amounts Pivot Table'!G$561/$M186),0)</f>
        <v>6601.4907966534502</v>
      </c>
      <c r="E186" s="556">
        <f>SUM(B186:D186)</f>
        <v>11373.367938206222</v>
      </c>
      <c r="F186" s="557">
        <f t="shared" si="19"/>
        <v>6</v>
      </c>
      <c r="G186" s="558">
        <f t="shared" si="20"/>
        <v>0</v>
      </c>
      <c r="H186" s="558">
        <f t="shared" si="21"/>
        <v>4</v>
      </c>
      <c r="I186" s="558">
        <f t="shared" si="22"/>
        <v>6</v>
      </c>
      <c r="J186" s="76"/>
      <c r="K186" s="76"/>
      <c r="L186" s="655"/>
      <c r="M186" s="841">
        <f>+'[1]NEW-Tables 80-86'!U89</f>
        <v>4983.2416666666668</v>
      </c>
    </row>
    <row r="187" spans="1:13" s="491" customFormat="1" ht="15.75" customHeight="1" x14ac:dyDescent="0.2">
      <c r="A187" s="407" t="s">
        <v>332</v>
      </c>
      <c r="B187" s="562">
        <f>IF($M187&gt;0,('Amounts Pivot Table'!G$591/$M187),0)</f>
        <v>3655.1137085503747</v>
      </c>
      <c r="C187" s="562">
        <f>IF($M187&gt;0,('Amounts Pivot Table'!G$594/$M187),0)</f>
        <v>12.599867071402397</v>
      </c>
      <c r="D187" s="562">
        <f>IF($M187&gt;0,('Amounts Pivot Table'!G$600/$M187),0)</f>
        <v>6140.7610529708909</v>
      </c>
      <c r="E187" s="563">
        <f>SUM(B187:D187)</f>
        <v>9808.4746285926685</v>
      </c>
      <c r="F187" s="564">
        <f t="shared" si="19"/>
        <v>10</v>
      </c>
      <c r="G187" s="565">
        <f t="shared" si="20"/>
        <v>4</v>
      </c>
      <c r="H187" s="565">
        <f t="shared" si="21"/>
        <v>7</v>
      </c>
      <c r="I187" s="565">
        <f t="shared" si="22"/>
        <v>10</v>
      </c>
      <c r="J187" s="76"/>
      <c r="K187" s="76"/>
      <c r="L187" s="658"/>
      <c r="M187" s="841">
        <f>+'[1]NEW-Tables 80-86'!U90</f>
        <v>7936.5916666666672</v>
      </c>
    </row>
    <row r="188" spans="1:13" s="76" customFormat="1" ht="36.75" customHeight="1" x14ac:dyDescent="0.2">
      <c r="A188" s="1558" t="s">
        <v>17</v>
      </c>
      <c r="B188" s="1593"/>
      <c r="C188" s="1593"/>
      <c r="D188" s="1593"/>
      <c r="E188" s="1593"/>
      <c r="F188" s="1593"/>
      <c r="G188" s="1594"/>
      <c r="H188" s="1594"/>
      <c r="I188" s="1594"/>
      <c r="L188" s="169"/>
      <c r="M188" s="663"/>
    </row>
    <row r="189" spans="1:13" s="76" customFormat="1" ht="22.5" customHeight="1" x14ac:dyDescent="0.2">
      <c r="A189" s="1558" t="s">
        <v>54</v>
      </c>
      <c r="B189" s="1600"/>
      <c r="C189" s="1600"/>
      <c r="D189" s="1600"/>
      <c r="E189" s="1600"/>
      <c r="F189" s="1600"/>
      <c r="G189" s="1600"/>
      <c r="H189" s="1600"/>
      <c r="I189" s="1600"/>
      <c r="J189" s="657"/>
      <c r="L189" s="169"/>
      <c r="M189" s="649"/>
    </row>
    <row r="190" spans="1:13" s="491" customFormat="1" x14ac:dyDescent="0.2">
      <c r="A190" s="1558" t="s">
        <v>233</v>
      </c>
      <c r="B190" s="1593"/>
      <c r="C190" s="1593"/>
      <c r="D190" s="1593"/>
      <c r="E190" s="1593"/>
      <c r="F190" s="1593"/>
      <c r="G190" s="1594"/>
      <c r="H190" s="1594"/>
      <c r="I190" s="1594"/>
      <c r="J190" s="1594"/>
      <c r="K190" s="1594"/>
      <c r="L190" s="658"/>
      <c r="M190" s="649"/>
    </row>
    <row r="191" spans="1:13" s="491" customFormat="1" x14ac:dyDescent="0.2">
      <c r="A191" s="644"/>
      <c r="B191" s="657"/>
      <c r="C191" s="657"/>
      <c r="D191" s="657"/>
      <c r="E191" s="657"/>
      <c r="F191" s="657"/>
      <c r="G191" s="659"/>
      <c r="H191" s="659"/>
      <c r="I191" s="659"/>
      <c r="J191" s="659"/>
      <c r="K191" s="659"/>
      <c r="L191" s="658"/>
      <c r="M191" s="649"/>
    </row>
    <row r="192" spans="1:13" s="491" customFormat="1" x14ac:dyDescent="0.2">
      <c r="A192" s="644"/>
      <c r="B192" s="657"/>
      <c r="C192" s="657"/>
      <c r="D192" s="657"/>
      <c r="E192" s="657"/>
      <c r="F192" s="657"/>
      <c r="G192" s="659"/>
      <c r="H192" s="659"/>
      <c r="I192" s="535" t="s">
        <v>1898</v>
      </c>
      <c r="J192" s="659"/>
      <c r="K192" s="659"/>
      <c r="L192" s="658"/>
      <c r="M192" s="649"/>
    </row>
    <row r="193" spans="1:13" s="491" customFormat="1" ht="15.75" x14ac:dyDescent="0.2">
      <c r="A193" s="1557" t="s">
        <v>364</v>
      </c>
      <c r="B193" s="1557"/>
      <c r="C193" s="1557"/>
      <c r="D193" s="1557"/>
      <c r="E193" s="1557"/>
      <c r="F193" s="1557"/>
      <c r="G193" s="1557"/>
      <c r="H193" s="1557"/>
      <c r="I193" s="1557"/>
      <c r="J193" s="566"/>
      <c r="K193" s="566"/>
      <c r="L193" s="655"/>
      <c r="M193" s="649"/>
    </row>
    <row r="194" spans="1:13" s="491" customFormat="1" ht="18.75" x14ac:dyDescent="0.2">
      <c r="A194" s="1557" t="s">
        <v>18</v>
      </c>
      <c r="B194" s="1557"/>
      <c r="C194" s="1557"/>
      <c r="D194" s="1557"/>
      <c r="E194" s="1557"/>
      <c r="F194" s="1557"/>
      <c r="G194" s="1557"/>
      <c r="H194" s="1557"/>
      <c r="I194" s="1557"/>
      <c r="J194" s="566"/>
      <c r="K194" s="566"/>
      <c r="L194" s="165"/>
      <c r="M194" s="649"/>
    </row>
    <row r="195" spans="1:13" s="491" customFormat="1" ht="15.75" x14ac:dyDescent="0.2">
      <c r="A195" s="1557" t="s">
        <v>440</v>
      </c>
      <c r="B195" s="1557"/>
      <c r="C195" s="1557"/>
      <c r="D195" s="1557"/>
      <c r="E195" s="1557"/>
      <c r="F195" s="1557"/>
      <c r="G195" s="1557"/>
      <c r="H195" s="1557"/>
      <c r="I195" s="1557"/>
      <c r="J195" s="91"/>
      <c r="K195" s="91"/>
      <c r="L195" s="165"/>
      <c r="M195" s="649"/>
    </row>
    <row r="196" spans="1:13" s="491" customFormat="1" ht="15.75" customHeight="1" x14ac:dyDescent="0.15">
      <c r="A196" s="91"/>
      <c r="B196" s="91"/>
      <c r="C196" s="91"/>
      <c r="D196" s="91"/>
      <c r="E196" s="91"/>
      <c r="F196" s="91"/>
      <c r="G196" s="108"/>
      <c r="H196" s="91"/>
      <c r="I196" s="91"/>
      <c r="J196" s="91"/>
      <c r="K196" s="91"/>
      <c r="L196" s="165"/>
      <c r="M196" s="660"/>
    </row>
    <row r="197" spans="1:13" s="491" customFormat="1" ht="15.75" x14ac:dyDescent="0.2">
      <c r="A197" s="60"/>
      <c r="B197" s="109" t="s">
        <v>55</v>
      </c>
      <c r="C197" s="662"/>
      <c r="D197" s="662"/>
      <c r="E197" s="662"/>
      <c r="F197" s="57" t="s">
        <v>119</v>
      </c>
      <c r="G197" s="58"/>
      <c r="H197" s="58"/>
      <c r="I197" s="58"/>
      <c r="L197" s="173"/>
      <c r="M197" s="661"/>
    </row>
    <row r="198" spans="1:13" s="378" customFormat="1" ht="45" x14ac:dyDescent="0.2">
      <c r="A198" s="650"/>
      <c r="B198" s="51" t="s">
        <v>87</v>
      </c>
      <c r="C198" s="52" t="s">
        <v>89</v>
      </c>
      <c r="D198" s="52" t="s">
        <v>306</v>
      </c>
      <c r="E198" s="52" t="s">
        <v>97</v>
      </c>
      <c r="F198" s="53" t="s">
        <v>87</v>
      </c>
      <c r="G198" s="52" t="s">
        <v>89</v>
      </c>
      <c r="H198" s="52" t="s">
        <v>306</v>
      </c>
      <c r="I198" s="52" t="s">
        <v>97</v>
      </c>
      <c r="L198" s="652"/>
      <c r="M198" s="667" t="s">
        <v>260</v>
      </c>
    </row>
    <row r="199" spans="1:13" s="491" customFormat="1" ht="14.25" x14ac:dyDescent="0.2">
      <c r="A199" s="406" t="s">
        <v>56</v>
      </c>
      <c r="B199" s="553">
        <f>IF($M199&gt;0,('Amounts Pivot Table'!H$630/$M199),0)</f>
        <v>5151.6408067140655</v>
      </c>
      <c r="C199" s="553">
        <f>IF($M199&gt;0,('Amounts Pivot Table'!H$633/$M199),0)</f>
        <v>83.033276676845801</v>
      </c>
      <c r="D199" s="553">
        <f>IF($M199&gt;0,('Amounts Pivot Table'!H$639/$M199),0)</f>
        <v>6122.4553043343349</v>
      </c>
      <c r="E199" s="553">
        <f>SUM(B199:D199)</f>
        <v>11357.129387725246</v>
      </c>
      <c r="F199" s="554"/>
      <c r="G199" s="555"/>
      <c r="H199" s="555"/>
      <c r="I199" s="555"/>
      <c r="L199" s="654"/>
      <c r="M199" s="841">
        <f>+'[1]NEW-Tables 80-86'!V70</f>
        <v>74969.545333333328</v>
      </c>
    </row>
    <row r="200" spans="1:13" s="112" customFormat="1" x14ac:dyDescent="0.2">
      <c r="A200" s="110"/>
      <c r="B200" s="111"/>
      <c r="C200" s="111"/>
      <c r="D200" s="111"/>
      <c r="E200" s="111"/>
      <c r="F200" s="119"/>
      <c r="G200" s="120"/>
      <c r="H200" s="120"/>
      <c r="I200" s="120"/>
      <c r="L200" s="175"/>
      <c r="M200" s="841"/>
    </row>
    <row r="201" spans="1:13" s="491" customFormat="1" ht="12.75" customHeight="1" x14ac:dyDescent="0.2">
      <c r="A201" s="406" t="s">
        <v>320</v>
      </c>
      <c r="B201" s="556">
        <f>IF($M201&gt;0,('Amounts Pivot Table'!H$6/$M201),0)</f>
        <v>4011.9880123465655</v>
      </c>
      <c r="C201" s="556">
        <f>IF($M201&gt;0,('Amounts Pivot Table'!H$9/$M201),0)</f>
        <v>76.979039552078106</v>
      </c>
      <c r="D201" s="556">
        <f>IF($M201&gt;0,('Amounts Pivot Table'!H$15/$M201),0)</f>
        <v>5197.7546479075445</v>
      </c>
      <c r="E201" s="556">
        <f>SUM(B201:D201)</f>
        <v>9286.7216998061886</v>
      </c>
      <c r="F201" s="557">
        <f>IF(B201&gt;0,RANK(B201,$B$201:$B$219),)</f>
        <v>10</v>
      </c>
      <c r="G201" s="558">
        <f>IF(C201&gt;0,RANK(C201,$C$201:$C$219),)</f>
        <v>3</v>
      </c>
      <c r="H201" s="558">
        <f>IF(D201&gt;0,RANK(D201,$D$201:$D$219),)</f>
        <v>9</v>
      </c>
      <c r="I201" s="558">
        <f>IF(E201&gt;0,RANK(E201,$E$201:$E$219),)</f>
        <v>10</v>
      </c>
      <c r="L201" s="654"/>
      <c r="M201" s="841">
        <f>+'[1]NEW-Tables 80-86'!V72</f>
        <v>2786.2</v>
      </c>
    </row>
    <row r="202" spans="1:13" s="491" customFormat="1" ht="12.75" customHeight="1" x14ac:dyDescent="0.2">
      <c r="A202" s="406" t="s">
        <v>334</v>
      </c>
      <c r="B202" s="556">
        <f>IF($M202&gt;0,('Amounts Pivot Table'!H$45/$M202),0)</f>
        <v>5791.7324601786213</v>
      </c>
      <c r="C202" s="556">
        <f>IF($M202&gt;0,('Amounts Pivot Table'!H$48/$M202),0)</f>
        <v>0</v>
      </c>
      <c r="D202" s="556">
        <f>IF($M202&gt;0,('Amounts Pivot Table'!H$54/$M202),0)</f>
        <v>5538.3721572599216</v>
      </c>
      <c r="E202" s="556">
        <f>SUM(B202:D202)</f>
        <v>11330.104617438543</v>
      </c>
      <c r="F202" s="557">
        <f>IF(B202&gt;0,RANK(B202,$B$201:$B$219),)</f>
        <v>6</v>
      </c>
      <c r="G202" s="558">
        <f t="shared" ref="G202:G219" si="23">IF(C202&gt;0,RANK(C202,$C$201:$C$219),)</f>
        <v>0</v>
      </c>
      <c r="H202" s="558">
        <f t="shared" ref="H202:H219" si="24">IF(D202&gt;0,RANK(D202,$D$201:$D$219),)</f>
        <v>6</v>
      </c>
      <c r="I202" s="558">
        <f t="shared" ref="I202:I219" si="25">IF(E202&gt;0,RANK(E202,$E$201:$E$219),)</f>
        <v>6</v>
      </c>
      <c r="L202" s="654"/>
      <c r="M202" s="841">
        <f>+'[1]NEW-Tables 80-86'!V73</f>
        <v>8688.7999999999993</v>
      </c>
    </row>
    <row r="203" spans="1:13" s="491" customFormat="1" ht="12.75" customHeight="1" x14ac:dyDescent="0.2">
      <c r="A203" s="406" t="s">
        <v>321</v>
      </c>
      <c r="B203" s="556">
        <f>IF($M203&gt;0,('Amounts Pivot Table'!H$84/$M203),0)</f>
        <v>0</v>
      </c>
      <c r="C203" s="556">
        <f>IF($M203&gt;0,('Amounts Pivot Table'!H$87/$M203),0)</f>
        <v>0</v>
      </c>
      <c r="D203" s="556">
        <f>IF($M203&gt;0,('Amounts Pivot Table'!H$93/$M203),0)</f>
        <v>0</v>
      </c>
      <c r="E203" s="556">
        <f>SUM(B203:D203)</f>
        <v>0</v>
      </c>
      <c r="F203" s="557">
        <f>IF(B203&gt;0,RANK(B203,$B$201:$B$219),)</f>
        <v>0</v>
      </c>
      <c r="G203" s="558">
        <f t="shared" si="23"/>
        <v>0</v>
      </c>
      <c r="H203" s="558">
        <f t="shared" si="24"/>
        <v>0</v>
      </c>
      <c r="I203" s="558">
        <f t="shared" si="25"/>
        <v>0</v>
      </c>
      <c r="L203" s="654"/>
      <c r="M203" s="841">
        <f>+'[1]NEW-Tables 80-86'!V74</f>
        <v>0</v>
      </c>
    </row>
    <row r="204" spans="1:13" s="491" customFormat="1" ht="12.75" customHeight="1" x14ac:dyDescent="0.2">
      <c r="A204" s="406" t="s">
        <v>328</v>
      </c>
      <c r="B204" s="556">
        <f>IF($M204&gt;0,('Amounts Pivot Table'!H$123/$M204),0)</f>
        <v>14295.519635343619</v>
      </c>
      <c r="C204" s="556">
        <f>IF($M204&gt;0,('Amounts Pivot Table'!H$126/$M204),0)</f>
        <v>515.55820476858344</v>
      </c>
      <c r="D204" s="556">
        <f>IF($M204&gt;0,('Amounts Pivot Table'!H$132/$M204),0)</f>
        <v>6417.1730255259472</v>
      </c>
      <c r="E204" s="556">
        <f>SUM(B204:D204)</f>
        <v>21228.250865638151</v>
      </c>
      <c r="F204" s="557">
        <f>IF(B204&gt;0,RANK(B204,$B$201:$B$219),)</f>
        <v>1</v>
      </c>
      <c r="G204" s="558">
        <f t="shared" si="23"/>
        <v>1</v>
      </c>
      <c r="H204" s="558">
        <f t="shared" si="24"/>
        <v>4</v>
      </c>
      <c r="I204" s="558">
        <f t="shared" si="25"/>
        <v>2</v>
      </c>
      <c r="L204" s="654"/>
      <c r="M204" s="841">
        <f>+'[1]NEW-Tables 80-86'!V75</f>
        <v>950.66666666666663</v>
      </c>
    </row>
    <row r="205" spans="1:13" s="112" customFormat="1" x14ac:dyDescent="0.2">
      <c r="A205" s="110"/>
      <c r="B205" s="111"/>
      <c r="C205" s="111"/>
      <c r="D205" s="111"/>
      <c r="E205" s="111"/>
      <c r="F205" s="119"/>
      <c r="G205" s="120"/>
      <c r="H205" s="120"/>
      <c r="I205" s="120"/>
      <c r="L205" s="175"/>
      <c r="M205" s="841"/>
    </row>
    <row r="206" spans="1:13" s="491" customFormat="1" ht="12.75" customHeight="1" x14ac:dyDescent="0.2">
      <c r="A206" s="406" t="s">
        <v>329</v>
      </c>
      <c r="B206" s="556">
        <f>IF($M206&gt;0,('Amounts Pivot Table'!H$162/$M206),0)</f>
        <v>4289.9443169312444</v>
      </c>
      <c r="C206" s="556">
        <f>IF($M206&gt;0,('Amounts Pivot Table'!H$165/$M206),0)</f>
        <v>0</v>
      </c>
      <c r="D206" s="556">
        <f>IF($M206&gt;0,('Amounts Pivot Table'!H$171/$M206),0)</f>
        <v>3950.6569784290332</v>
      </c>
      <c r="E206" s="556">
        <f>SUM(B206:D206)</f>
        <v>8240.6012953602767</v>
      </c>
      <c r="F206" s="557">
        <f t="shared" ref="F206:F219" si="26">IF(B206&gt;0,RANK(B206,$B$201:$B$219),)</f>
        <v>9</v>
      </c>
      <c r="G206" s="558">
        <f t="shared" si="23"/>
        <v>0</v>
      </c>
      <c r="H206" s="558">
        <f t="shared" si="24"/>
        <v>12</v>
      </c>
      <c r="I206" s="558">
        <f t="shared" si="25"/>
        <v>12</v>
      </c>
      <c r="L206" s="654"/>
      <c r="M206" s="841">
        <f>+'[1]NEW-Tables 80-86'!V77</f>
        <v>18748.966666666667</v>
      </c>
    </row>
    <row r="207" spans="1:13" s="491" customFormat="1" ht="12.75" customHeight="1" x14ac:dyDescent="0.2">
      <c r="A207" s="406" t="s">
        <v>322</v>
      </c>
      <c r="B207" s="556">
        <f>IF($M207&gt;0,('Amounts Pivot Table'!H$201/$M207),0)</f>
        <v>0</v>
      </c>
      <c r="C207" s="556">
        <f>IF($M207&gt;0,('Amounts Pivot Table'!H$204/$M207),0)</f>
        <v>0</v>
      </c>
      <c r="D207" s="556">
        <f>IF($M207&gt;0,('Amounts Pivot Table'!H$210/$M207),0)</f>
        <v>0</v>
      </c>
      <c r="E207" s="556">
        <f>SUM(B207:D207)</f>
        <v>0</v>
      </c>
      <c r="F207" s="557">
        <f t="shared" si="26"/>
        <v>0</v>
      </c>
      <c r="G207" s="558">
        <f t="shared" si="23"/>
        <v>0</v>
      </c>
      <c r="H207" s="558">
        <f t="shared" si="24"/>
        <v>0</v>
      </c>
      <c r="I207" s="558">
        <f t="shared" si="25"/>
        <v>0</v>
      </c>
      <c r="L207" s="654"/>
      <c r="M207" s="841">
        <f>+'[1]NEW-Tables 80-86'!V78</f>
        <v>0</v>
      </c>
    </row>
    <row r="208" spans="1:13" s="491" customFormat="1" ht="12.75" customHeight="1" x14ac:dyDescent="0.2">
      <c r="A208" s="406" t="s">
        <v>330</v>
      </c>
      <c r="B208" s="556">
        <f>IF($M208&gt;0,('Amounts Pivot Table'!H$240/$M208),0)</f>
        <v>3839.4797888998437</v>
      </c>
      <c r="C208" s="556">
        <f>IF($M208&gt;0,('Amounts Pivot Table'!H$243/$M208),0)</f>
        <v>0</v>
      </c>
      <c r="D208" s="556">
        <f>IF($M208&gt;0,('Amounts Pivot Table'!H$249/$M208),0)</f>
        <v>5286.469291886563</v>
      </c>
      <c r="E208" s="556">
        <f>SUM(B208:D208)</f>
        <v>9125.9490807864058</v>
      </c>
      <c r="F208" s="557">
        <f t="shared" si="26"/>
        <v>11</v>
      </c>
      <c r="G208" s="558">
        <f t="shared" si="23"/>
        <v>0</v>
      </c>
      <c r="H208" s="558">
        <f t="shared" si="24"/>
        <v>8</v>
      </c>
      <c r="I208" s="558">
        <f t="shared" si="25"/>
        <v>11</v>
      </c>
      <c r="L208" s="654"/>
      <c r="M208" s="841">
        <f>+'[1]NEW-Tables 80-86'!V79</f>
        <v>1724.3</v>
      </c>
    </row>
    <row r="209" spans="1:13" s="491" customFormat="1" ht="12.75" customHeight="1" x14ac:dyDescent="0.2">
      <c r="A209" s="406" t="s">
        <v>333</v>
      </c>
      <c r="B209" s="556">
        <f>IF($M209&gt;0,('Amounts Pivot Table'!H$279/$M209),0)</f>
        <v>8331.3238045119142</v>
      </c>
      <c r="C209" s="556">
        <f>IF($M209&gt;0,('Amounts Pivot Table'!H$282/$M209),0)</f>
        <v>0</v>
      </c>
      <c r="D209" s="556">
        <f>IF($M209&gt;0,('Amounts Pivot Table'!H$288/$M209),0)</f>
        <v>14060.060000076825</v>
      </c>
      <c r="E209" s="556">
        <f>SUM(B209:D209)</f>
        <v>22391.383804588739</v>
      </c>
      <c r="F209" s="557">
        <f t="shared" si="26"/>
        <v>3</v>
      </c>
      <c r="G209" s="558">
        <f t="shared" si="23"/>
        <v>0</v>
      </c>
      <c r="H209" s="558">
        <f t="shared" si="24"/>
        <v>1</v>
      </c>
      <c r="I209" s="558">
        <f t="shared" si="25"/>
        <v>1</v>
      </c>
      <c r="L209" s="654"/>
      <c r="M209" s="841">
        <f>+'[1]NEW-Tables 80-86'!V80</f>
        <v>2169.4416666666666</v>
      </c>
    </row>
    <row r="210" spans="1:13" s="112" customFormat="1" x14ac:dyDescent="0.2">
      <c r="A210" s="110"/>
      <c r="B210" s="111"/>
      <c r="C210" s="111"/>
      <c r="D210" s="111"/>
      <c r="E210" s="111"/>
      <c r="F210" s="119"/>
      <c r="G210" s="120"/>
      <c r="H210" s="120"/>
      <c r="I210" s="120"/>
      <c r="L210" s="175"/>
      <c r="M210" s="841"/>
    </row>
    <row r="211" spans="1:13" s="491" customFormat="1" ht="12.75" customHeight="1" x14ac:dyDescent="0.2">
      <c r="A211" s="406" t="s">
        <v>323</v>
      </c>
      <c r="B211" s="556">
        <f>IF($M211&gt;0,('Amounts Pivot Table'!H$318/$M211),0)</f>
        <v>0</v>
      </c>
      <c r="C211" s="556">
        <f>IF($M211&gt;0,('Amounts Pivot Table'!H$321/$M211),0)</f>
        <v>0</v>
      </c>
      <c r="D211" s="556">
        <f>IF($M211&gt;0,('Amounts Pivot Table'!H$327/$M211),0)</f>
        <v>0</v>
      </c>
      <c r="E211" s="556">
        <f>SUM(B211:D211)</f>
        <v>0</v>
      </c>
      <c r="F211" s="557">
        <f t="shared" si="26"/>
        <v>0</v>
      </c>
      <c r="G211" s="558">
        <f t="shared" si="23"/>
        <v>0</v>
      </c>
      <c r="H211" s="558">
        <f t="shared" si="24"/>
        <v>0</v>
      </c>
      <c r="I211" s="558">
        <f t="shared" si="25"/>
        <v>0</v>
      </c>
      <c r="L211" s="654"/>
      <c r="M211" s="841">
        <f>+'[1]NEW-Tables 80-86'!V82</f>
        <v>0</v>
      </c>
    </row>
    <row r="212" spans="1:13" s="491" customFormat="1" ht="12.75" customHeight="1" x14ac:dyDescent="0.2">
      <c r="A212" s="406" t="s">
        <v>324</v>
      </c>
      <c r="B212" s="556">
        <f>IF($M212&gt;0,('Amounts Pivot Table'!H$357/$M212),0)</f>
        <v>11720.80898948992</v>
      </c>
      <c r="C212" s="556">
        <f>IF($M212&gt;0,('Amounts Pivot Table'!H$360/$M212),0)</f>
        <v>0</v>
      </c>
      <c r="D212" s="556">
        <f>IF($M212&gt;0,('Amounts Pivot Table'!H$366/$M212),0)</f>
        <v>4356.8070029515438</v>
      </c>
      <c r="E212" s="556">
        <f>SUM(B212:D212)</f>
        <v>16077.615992441464</v>
      </c>
      <c r="F212" s="557">
        <f t="shared" si="26"/>
        <v>2</v>
      </c>
      <c r="G212" s="558">
        <f t="shared" si="23"/>
        <v>0</v>
      </c>
      <c r="H212" s="558">
        <f t="shared" si="24"/>
        <v>10</v>
      </c>
      <c r="I212" s="558">
        <f t="shared" si="25"/>
        <v>4</v>
      </c>
      <c r="L212" s="654"/>
      <c r="M212" s="841">
        <f>+'[1]NEW-Tables 80-86'!V83</f>
        <v>6191.6750000000002</v>
      </c>
    </row>
    <row r="213" spans="1:13" s="491" customFormat="1" ht="12.75" customHeight="1" x14ac:dyDescent="0.2">
      <c r="A213" s="406" t="s">
        <v>331</v>
      </c>
      <c r="B213" s="556">
        <f>IF($M213&gt;0,('Amounts Pivot Table'!H$396/$M213),0)</f>
        <v>4823.871175414225</v>
      </c>
      <c r="C213" s="556">
        <f>IF($M213&gt;0,('Amounts Pivot Table'!H$399/$M213),0)</f>
        <v>0</v>
      </c>
      <c r="D213" s="556">
        <f>IF($M213&gt;0,('Amounts Pivot Table'!H$405/$M213),0)</f>
        <v>5440.7157862636814</v>
      </c>
      <c r="E213" s="556">
        <f>SUM(B213:D213)</f>
        <v>10264.586961677905</v>
      </c>
      <c r="F213" s="557">
        <f t="shared" si="26"/>
        <v>7</v>
      </c>
      <c r="G213" s="558">
        <f t="shared" si="23"/>
        <v>0</v>
      </c>
      <c r="H213" s="558">
        <f t="shared" si="24"/>
        <v>7</v>
      </c>
      <c r="I213" s="558">
        <f t="shared" si="25"/>
        <v>9</v>
      </c>
      <c r="L213" s="654"/>
      <c r="M213" s="841">
        <f>+'[1]NEW-Tables 80-86'!V84</f>
        <v>5902.5999999999995</v>
      </c>
    </row>
    <row r="214" spans="1:13" s="491" customFormat="1" ht="12.75" customHeight="1" x14ac:dyDescent="0.2">
      <c r="A214" s="406" t="s">
        <v>325</v>
      </c>
      <c r="B214" s="556">
        <f>IF($M214&gt;0,('Amounts Pivot Table'!H$435/$M214),0)</f>
        <v>1781.2706306922853</v>
      </c>
      <c r="C214" s="556">
        <f>IF($M214&gt;0,('Amounts Pivot Table'!H$438/$M214),0)</f>
        <v>391.23657295499771</v>
      </c>
      <c r="D214" s="556">
        <f>IF($M214&gt;0,('Amounts Pivot Table'!H$444/$M214),0)</f>
        <v>9909.1707368700936</v>
      </c>
      <c r="E214" s="556">
        <f>SUM(B214:D214)</f>
        <v>12081.677940517377</v>
      </c>
      <c r="F214" s="557">
        <f t="shared" si="26"/>
        <v>12</v>
      </c>
      <c r="G214" s="558">
        <f t="shared" si="23"/>
        <v>2</v>
      </c>
      <c r="H214" s="558">
        <f t="shared" si="24"/>
        <v>2</v>
      </c>
      <c r="I214" s="558">
        <f t="shared" si="25"/>
        <v>5</v>
      </c>
      <c r="L214" s="654"/>
      <c r="M214" s="841">
        <f>+'[1]NEW-Tables 80-86'!V85</f>
        <v>12320.842000000001</v>
      </c>
    </row>
    <row r="215" spans="1:13" s="112" customFormat="1" x14ac:dyDescent="0.2">
      <c r="A215" s="110"/>
      <c r="B215" s="111"/>
      <c r="C215" s="111"/>
      <c r="D215" s="111"/>
      <c r="E215" s="111"/>
      <c r="F215" s="119"/>
      <c r="G215" s="120"/>
      <c r="H215" s="120"/>
      <c r="I215" s="120"/>
      <c r="L215" s="175"/>
      <c r="M215" s="841"/>
    </row>
    <row r="216" spans="1:13" s="491" customFormat="1" ht="12.75" customHeight="1" x14ac:dyDescent="0.2">
      <c r="A216" s="406" t="s">
        <v>90</v>
      </c>
      <c r="B216" s="556">
        <f>IF($M216&gt;0,('Amounts Pivot Table'!H$474/$M216),0)</f>
        <v>0</v>
      </c>
      <c r="C216" s="556">
        <f>IF($M216&gt;0,('Amounts Pivot Table'!H$477/$M216),0)</f>
        <v>0</v>
      </c>
      <c r="D216" s="556">
        <f>IF($M216&gt;0,('Amounts Pivot Table'!H$483/$M216),0)</f>
        <v>0</v>
      </c>
      <c r="E216" s="556">
        <f>SUM(B216:D216)</f>
        <v>0</v>
      </c>
      <c r="F216" s="557">
        <f t="shared" si="26"/>
        <v>0</v>
      </c>
      <c r="G216" s="558">
        <f t="shared" si="23"/>
        <v>0</v>
      </c>
      <c r="H216" s="558">
        <f t="shared" si="24"/>
        <v>0</v>
      </c>
      <c r="I216" s="558">
        <f t="shared" si="25"/>
        <v>0</v>
      </c>
      <c r="L216" s="654"/>
      <c r="M216" s="841">
        <f>+'[1]NEW-Tables 80-86'!V87</f>
        <v>0</v>
      </c>
    </row>
    <row r="217" spans="1:13" s="76" customFormat="1" ht="12.75" customHeight="1" x14ac:dyDescent="0.2">
      <c r="A217" s="406" t="s">
        <v>326</v>
      </c>
      <c r="B217" s="556">
        <f>IF($M217&gt;0,('Amounts Pivot Table'!H$513/$M217),0)</f>
        <v>7911.7616107382546</v>
      </c>
      <c r="C217" s="556">
        <f>IF($M217&gt;0,('Amounts Pivot Table'!H$516/$M217),0)</f>
        <v>0</v>
      </c>
      <c r="D217" s="556">
        <f>IF($M217&gt;0,('Amounts Pivot Table'!H$522/$M217),0)</f>
        <v>8182.71355704698</v>
      </c>
      <c r="E217" s="556">
        <f>SUM(B217:D217)</f>
        <v>16094.475167785235</v>
      </c>
      <c r="F217" s="557">
        <f t="shared" si="26"/>
        <v>4</v>
      </c>
      <c r="G217" s="558">
        <f t="shared" si="23"/>
        <v>0</v>
      </c>
      <c r="H217" s="558">
        <f t="shared" si="24"/>
        <v>3</v>
      </c>
      <c r="I217" s="558">
        <f t="shared" si="25"/>
        <v>3</v>
      </c>
      <c r="J217" s="491"/>
      <c r="K217" s="491"/>
      <c r="L217" s="169"/>
      <c r="M217" s="841">
        <f>+'[1]NEW-Tables 80-86'!V88</f>
        <v>1862.5</v>
      </c>
    </row>
    <row r="218" spans="1:13" s="491" customFormat="1" ht="12.75" customHeight="1" x14ac:dyDescent="0.2">
      <c r="A218" s="406" t="s">
        <v>327</v>
      </c>
      <c r="B218" s="556">
        <f>IF($M218&gt;0,('Amounts Pivot Table'!H$552/$M218),0)</f>
        <v>6999.4028270520275</v>
      </c>
      <c r="C218" s="556">
        <f>IF($M218&gt;0,('Amounts Pivot Table'!H$555/$M218),0)</f>
        <v>0</v>
      </c>
      <c r="D218" s="556">
        <f>IF($M218&gt;0,('Amounts Pivot Table'!H$561/$M218),0)</f>
        <v>4236.8116722700006</v>
      </c>
      <c r="E218" s="556">
        <f>SUM(B218:D218)</f>
        <v>11236.214499322028</v>
      </c>
      <c r="F218" s="557">
        <f t="shared" si="26"/>
        <v>5</v>
      </c>
      <c r="G218" s="558">
        <f t="shared" si="23"/>
        <v>0</v>
      </c>
      <c r="H218" s="558">
        <f t="shared" si="24"/>
        <v>11</v>
      </c>
      <c r="I218" s="558">
        <f t="shared" si="25"/>
        <v>7</v>
      </c>
      <c r="L218" s="655"/>
      <c r="M218" s="841">
        <f>+'[1]NEW-Tables 80-86'!V89</f>
        <v>1794.5666666666666</v>
      </c>
    </row>
    <row r="219" spans="1:13" s="491" customFormat="1" ht="15" customHeight="1" x14ac:dyDescent="0.2">
      <c r="A219" s="407" t="s">
        <v>332</v>
      </c>
      <c r="B219" s="562">
        <f>IF($M219&gt;0,('Amounts Pivot Table'!H$591/$M219),0)</f>
        <v>4709.5837175120096</v>
      </c>
      <c r="C219" s="562">
        <f>IF($M219&gt;0,('Amounts Pivot Table'!H$594/$M219),0)</f>
        <v>59.176666584007194</v>
      </c>
      <c r="D219" s="562">
        <f>IF($M219&gt;0,('Amounts Pivot Table'!H$600/$M219),0)</f>
        <v>6135.8981158149354</v>
      </c>
      <c r="E219" s="563">
        <f>SUM(B219:D219)</f>
        <v>10904.658499910951</v>
      </c>
      <c r="F219" s="564">
        <f t="shared" si="26"/>
        <v>8</v>
      </c>
      <c r="G219" s="565">
        <f t="shared" si="23"/>
        <v>4</v>
      </c>
      <c r="H219" s="565">
        <f t="shared" si="24"/>
        <v>5</v>
      </c>
      <c r="I219" s="565">
        <f t="shared" si="25"/>
        <v>8</v>
      </c>
      <c r="L219" s="655"/>
      <c r="M219" s="841">
        <f>+'[1]NEW-Tables 80-86'!V90</f>
        <v>11828.986666666668</v>
      </c>
    </row>
    <row r="220" spans="1:13" s="76" customFormat="1" ht="36" customHeight="1" x14ac:dyDescent="0.2">
      <c r="A220" s="1558" t="s">
        <v>17</v>
      </c>
      <c r="B220" s="1593"/>
      <c r="C220" s="1593"/>
      <c r="D220" s="1593"/>
      <c r="E220" s="1593"/>
      <c r="F220" s="1593"/>
      <c r="G220" s="1594"/>
      <c r="H220" s="1594"/>
      <c r="I220" s="1594"/>
      <c r="J220" s="491"/>
      <c r="K220" s="491"/>
      <c r="L220" s="169"/>
      <c r="M220" s="663"/>
    </row>
    <row r="221" spans="1:13" s="76" customFormat="1" ht="22.5" customHeight="1" x14ac:dyDescent="0.2">
      <c r="A221" s="1558" t="s">
        <v>54</v>
      </c>
      <c r="B221" s="1600"/>
      <c r="C221" s="1600"/>
      <c r="D221" s="1600"/>
      <c r="E221" s="1600"/>
      <c r="F221" s="1600"/>
      <c r="G221" s="1600"/>
      <c r="H221" s="1600"/>
      <c r="I221" s="1600"/>
      <c r="J221" s="657"/>
      <c r="L221" s="169"/>
      <c r="M221" s="649"/>
    </row>
    <row r="222" spans="1:13" s="491" customFormat="1" x14ac:dyDescent="0.2">
      <c r="A222" s="189" t="s">
        <v>233</v>
      </c>
      <c r="B222" s="406"/>
      <c r="C222" s="406"/>
      <c r="D222" s="406"/>
      <c r="E222" s="406"/>
      <c r="F222" s="406"/>
      <c r="L222" s="658"/>
      <c r="M222" s="649"/>
    </row>
    <row r="223" spans="1:13" s="491" customFormat="1" x14ac:dyDescent="0.2">
      <c r="A223" s="189"/>
      <c r="B223" s="406"/>
      <c r="C223" s="406"/>
      <c r="D223" s="406"/>
      <c r="E223" s="406"/>
      <c r="F223" s="406"/>
      <c r="L223" s="658"/>
      <c r="M223" s="649"/>
    </row>
    <row r="224" spans="1:13" s="491" customFormat="1" ht="17.25" customHeight="1" x14ac:dyDescent="0.2">
      <c r="A224" s="644"/>
      <c r="B224" s="657"/>
      <c r="C224" s="657"/>
      <c r="D224" s="657"/>
      <c r="E224" s="657"/>
      <c r="F224" s="657"/>
      <c r="G224" s="659"/>
      <c r="H224" s="659"/>
      <c r="I224" s="535" t="s">
        <v>1898</v>
      </c>
      <c r="J224" s="659"/>
      <c r="K224" s="659"/>
      <c r="L224" s="658"/>
      <c r="M224" s="649"/>
    </row>
    <row r="225" spans="1:13" s="491" customFormat="1" ht="15.75" x14ac:dyDescent="0.2">
      <c r="A225" s="1557" t="s">
        <v>365</v>
      </c>
      <c r="B225" s="1557"/>
      <c r="C225" s="1557"/>
      <c r="D225" s="1557"/>
      <c r="E225" s="1557"/>
      <c r="F225" s="1557"/>
      <c r="G225" s="1557"/>
      <c r="H225" s="1557"/>
      <c r="I225" s="1557"/>
      <c r="J225" s="1557"/>
      <c r="K225" s="1557"/>
      <c r="L225" s="655"/>
      <c r="M225" s="649"/>
    </row>
    <row r="226" spans="1:13" s="491" customFormat="1" ht="18.75" x14ac:dyDescent="0.2">
      <c r="A226" s="1557" t="s">
        <v>18</v>
      </c>
      <c r="B226" s="1557"/>
      <c r="C226" s="1557"/>
      <c r="D226" s="1557"/>
      <c r="E226" s="1557"/>
      <c r="F226" s="1557"/>
      <c r="G226" s="1557"/>
      <c r="H226" s="1557"/>
      <c r="I226" s="1557"/>
      <c r="J226" s="1557"/>
      <c r="K226" s="1557"/>
      <c r="L226" s="165"/>
      <c r="M226" s="649"/>
    </row>
    <row r="227" spans="1:13" s="491" customFormat="1" ht="15.75" x14ac:dyDescent="0.2">
      <c r="A227" s="1557" t="s">
        <v>1916</v>
      </c>
      <c r="B227" s="1557"/>
      <c r="C227" s="1557"/>
      <c r="D227" s="1557"/>
      <c r="E227" s="1557"/>
      <c r="F227" s="1557"/>
      <c r="G227" s="1557"/>
      <c r="H227" s="1557"/>
      <c r="I227" s="1557"/>
      <c r="J227" s="1557"/>
      <c r="K227" s="1557"/>
      <c r="L227" s="165"/>
      <c r="M227" s="649"/>
    </row>
    <row r="228" spans="1:13" s="491" customFormat="1" ht="6.75" customHeight="1" x14ac:dyDescent="0.2">
      <c r="A228" s="91"/>
      <c r="B228" s="91"/>
      <c r="C228" s="91"/>
      <c r="D228" s="91"/>
      <c r="E228" s="91"/>
      <c r="F228" s="91"/>
      <c r="G228" s="108"/>
      <c r="H228" s="91"/>
      <c r="I228" s="91"/>
      <c r="J228" s="91"/>
      <c r="K228" s="91"/>
      <c r="L228" s="165"/>
      <c r="M228" s="649"/>
    </row>
    <row r="229" spans="1:13" s="491" customFormat="1" ht="15" customHeight="1" x14ac:dyDescent="0.2">
      <c r="A229" s="60"/>
      <c r="B229" s="1595" t="s">
        <v>55</v>
      </c>
      <c r="C229" s="1596"/>
      <c r="D229" s="1596"/>
      <c r="E229" s="1596"/>
      <c r="F229" s="1596"/>
      <c r="G229" s="57" t="s">
        <v>119</v>
      </c>
      <c r="H229" s="58"/>
      <c r="I229" s="58"/>
      <c r="J229" s="58"/>
      <c r="K229" s="58"/>
      <c r="L229" s="173"/>
      <c r="M229" s="649"/>
    </row>
    <row r="230" spans="1:13" s="378" customFormat="1" ht="45" x14ac:dyDescent="0.2">
      <c r="A230" s="650"/>
      <c r="B230" s="51" t="s">
        <v>87</v>
      </c>
      <c r="C230" s="52" t="s">
        <v>89</v>
      </c>
      <c r="D230" s="52" t="s">
        <v>88</v>
      </c>
      <c r="E230" s="52" t="s">
        <v>306</v>
      </c>
      <c r="F230" s="52" t="s">
        <v>97</v>
      </c>
      <c r="G230" s="53" t="s">
        <v>87</v>
      </c>
      <c r="H230" s="52" t="s">
        <v>89</v>
      </c>
      <c r="I230" s="52" t="s">
        <v>88</v>
      </c>
      <c r="J230" s="52" t="s">
        <v>306</v>
      </c>
      <c r="K230" s="52" t="s">
        <v>97</v>
      </c>
      <c r="L230" s="652"/>
      <c r="M230" s="661" t="s">
        <v>381</v>
      </c>
    </row>
    <row r="231" spans="1:13" s="491" customFormat="1" ht="14.25" x14ac:dyDescent="0.2">
      <c r="A231" s="406" t="s">
        <v>56</v>
      </c>
      <c r="B231" s="553">
        <f>IF($M231&gt;0,('Amounts Pivot Table'!O$630/$M231),0)</f>
        <v>2780.6734458118585</v>
      </c>
      <c r="C231" s="553">
        <f>IF($M231&gt;0,('Amounts Pivot Table'!O$633/$M231),0)</f>
        <v>122.4380919306067</v>
      </c>
      <c r="D231" s="553">
        <f>IF($M231&gt;0,('Amounts Pivot Table'!O$636/$M231),0)</f>
        <v>1187.6802845941991</v>
      </c>
      <c r="E231" s="553">
        <f>IF($M231&gt;0,('Amounts Pivot Table'!O$639/$M231),0)</f>
        <v>2815.5053172170028</v>
      </c>
      <c r="F231" s="553">
        <f>SUM(B231:E231)</f>
        <v>6906.297139553667</v>
      </c>
      <c r="G231" s="554"/>
      <c r="H231" s="555"/>
      <c r="I231" s="555"/>
      <c r="J231" s="555"/>
      <c r="K231" s="555"/>
      <c r="L231" s="654"/>
      <c r="M231" s="841">
        <f>+'[1]NEW-Tables 80-86'!AP161</f>
        <v>1843113.3230000001</v>
      </c>
    </row>
    <row r="232" spans="1:13" s="491" customFormat="1" ht="12.75" customHeight="1" x14ac:dyDescent="0.2">
      <c r="A232" s="406"/>
      <c r="B232" s="553"/>
      <c r="C232" s="553"/>
      <c r="D232" s="553"/>
      <c r="E232" s="553"/>
      <c r="F232" s="553"/>
      <c r="G232" s="554"/>
      <c r="H232" s="555"/>
      <c r="I232" s="555"/>
      <c r="J232" s="555"/>
      <c r="K232" s="555"/>
      <c r="L232" s="654"/>
      <c r="M232" s="841"/>
    </row>
    <row r="233" spans="1:13" s="491" customFormat="1" ht="12.75" customHeight="1" x14ac:dyDescent="0.2">
      <c r="A233" s="406" t="s">
        <v>320</v>
      </c>
      <c r="B233" s="556">
        <f>IF($M233&gt;0,('Amounts Pivot Table'!O$6/$M233),0)</f>
        <v>3714.4791230257788</v>
      </c>
      <c r="C233" s="556">
        <f>IF($M233&gt;0,('Amounts Pivot Table'!O$9/$M233),0)</f>
        <v>251.31992850538066</v>
      </c>
      <c r="D233" s="556">
        <f>IF($M233&gt;0,('Amounts Pivot Table'!O$12/$M233),0)</f>
        <v>21.691546827240341</v>
      </c>
      <c r="E233" s="556">
        <f>IF($M233&gt;0,('Amounts Pivot Table'!O$15/$M233),0)</f>
        <v>3628.4667527709121</v>
      </c>
      <c r="F233" s="556">
        <f t="shared" ref="F233:F251" si="27">SUM(B233:E233)</f>
        <v>7615.957351129312</v>
      </c>
      <c r="G233" s="557">
        <f>IF(B233&gt;0,RANK(B233,$B$233:$B$251),)</f>
        <v>4</v>
      </c>
      <c r="H233" s="558">
        <f>IF(C233&gt;0,RANK(C233,$C$233:$C$251),)</f>
        <v>4</v>
      </c>
      <c r="I233" s="558">
        <f>IF(D233&gt;0,RANK(D233,$D$233:$D$251),)</f>
        <v>9</v>
      </c>
      <c r="J233" s="558">
        <f>IF(E233&gt;0,RANK(E233,$E$233:$E$251),)</f>
        <v>8</v>
      </c>
      <c r="K233" s="558">
        <f>IF(F233&gt;0,RANK(F233,$F$233:$F$251),)</f>
        <v>5</v>
      </c>
      <c r="L233" s="654"/>
      <c r="M233" s="841">
        <f>+'[1]NEW-Tables 80-86'!AP163</f>
        <v>67231.166666666672</v>
      </c>
    </row>
    <row r="234" spans="1:13" s="491" customFormat="1" ht="12.75" customHeight="1" x14ac:dyDescent="0.2">
      <c r="A234" s="406" t="s">
        <v>334</v>
      </c>
      <c r="B234" s="556">
        <f>IF($M234&gt;0,('Amounts Pivot Table'!O$45/$M234),0)</f>
        <v>4021.8748356041356</v>
      </c>
      <c r="C234" s="556">
        <f>IF($M234&gt;0,('Amounts Pivot Table'!O$48/$M234),0)</f>
        <v>50.65764664900999</v>
      </c>
      <c r="D234" s="556">
        <f>IF($M234&gt;0,('Amounts Pivot Table'!O$51/$M234),0)</f>
        <v>373.31721431059583</v>
      </c>
      <c r="E234" s="556">
        <f>IF($M234&gt;0,('Amounts Pivot Table'!O$54/$M234),0)</f>
        <v>3352.6204951188743</v>
      </c>
      <c r="F234" s="556">
        <f t="shared" si="27"/>
        <v>7798.4701916826161</v>
      </c>
      <c r="G234" s="557">
        <f>IF(B234&gt;0,RANK(B234,$B$233:$B$251),)</f>
        <v>2</v>
      </c>
      <c r="H234" s="558">
        <f>IF(C234&gt;0,RANK(C234,$C$233:$C$251),)</f>
        <v>5</v>
      </c>
      <c r="I234" s="558">
        <f>IF(D234&gt;0,RANK(D234,$D$233:$D$251),)</f>
        <v>7</v>
      </c>
      <c r="J234" s="558">
        <f>IF(E234&gt;0,RANK(E234,$E$233:$E$251),)</f>
        <v>9</v>
      </c>
      <c r="K234" s="558">
        <f>IF(F234&gt;0,RANK(F234,$F$233:$F$251),)</f>
        <v>3</v>
      </c>
      <c r="L234" s="654"/>
      <c r="M234" s="841">
        <f>+'[1]NEW-Tables 80-86'!AP164</f>
        <v>42199.966666666667</v>
      </c>
    </row>
    <row r="235" spans="1:13" s="491" customFormat="1" ht="12.75" customHeight="1" x14ac:dyDescent="0.2">
      <c r="A235" s="406" t="s">
        <v>321</v>
      </c>
      <c r="B235" s="556">
        <f>IF($M235&gt;0,('Amounts Pivot Table'!O$84/$M235),0)</f>
        <v>5341.4550393040654</v>
      </c>
      <c r="C235" s="556">
        <f>IF($M235&gt;0,('Amounts Pivot Table'!O$87/$M235),0)</f>
        <v>0</v>
      </c>
      <c r="D235" s="556">
        <f>IF($M235&gt;0,('Amounts Pivot Table'!O$90/$M235),0)</f>
        <v>0</v>
      </c>
      <c r="E235" s="556">
        <f>IF($M235&gt;0,('Amounts Pivot Table'!O$93/$M235),0)</f>
        <v>4381.5912810248446</v>
      </c>
      <c r="F235" s="556">
        <f t="shared" si="27"/>
        <v>9723.046320328911</v>
      </c>
      <c r="G235" s="557">
        <f>IF(B235&gt;0,RANK(B235,$B$233:$B$251),)</f>
        <v>1</v>
      </c>
      <c r="H235" s="558">
        <f>IF(C235&gt;0,RANK(C235,$C$233:$C$251),)</f>
        <v>0</v>
      </c>
      <c r="I235" s="558">
        <f>IF(D235&gt;0,RANK(D235,$D$233:$D$251),)</f>
        <v>0</v>
      </c>
      <c r="J235" s="558">
        <f>IF(E235&gt;0,RANK(E235,$E$233:$E$251),)</f>
        <v>3</v>
      </c>
      <c r="K235" s="558">
        <f>IF(F235&gt;0,RANK(F235,$F$233:$F$251),)</f>
        <v>2</v>
      </c>
      <c r="L235" s="654"/>
      <c r="M235" s="841">
        <f>+'[1]NEW-Tables 80-86'!AP165</f>
        <v>10774.966666666667</v>
      </c>
    </row>
    <row r="236" spans="1:13" s="491" customFormat="1" ht="12.75" customHeight="1" x14ac:dyDescent="0.2">
      <c r="A236" s="406" t="s">
        <v>328</v>
      </c>
      <c r="B236" s="556">
        <f>IF($M236&gt;0,('Amounts Pivot Table'!O$123/$M236),0)</f>
        <v>2929.740545371315</v>
      </c>
      <c r="C236" s="556">
        <f>IF($M236&gt;0,('Amounts Pivot Table'!O$126/$M236),0)</f>
        <v>0</v>
      </c>
      <c r="D236" s="556">
        <f>IF($M236&gt;0,('Amounts Pivot Table'!O$129/$M236),0)</f>
        <v>0</v>
      </c>
      <c r="E236" s="556">
        <f>IF($M236&gt;0,('Amounts Pivot Table'!O$132/$M236),0)</f>
        <v>2430.3251117297723</v>
      </c>
      <c r="F236" s="556">
        <f t="shared" si="27"/>
        <v>5360.0656571010877</v>
      </c>
      <c r="G236" s="557">
        <f>IF(B236&gt;0,RANK(B236,$B$233:$B$251),)</f>
        <v>10</v>
      </c>
      <c r="H236" s="558">
        <f>IF(C236&gt;0,RANK(C236,$C$233:$C$251),)</f>
        <v>0</v>
      </c>
      <c r="I236" s="558">
        <f>IF(D236&gt;0,RANK(D236,$D$233:$D$251),)</f>
        <v>0</v>
      </c>
      <c r="J236" s="558">
        <f>IF(E236&gt;0,RANK(E236,$E$233:$E$251),)</f>
        <v>14</v>
      </c>
      <c r="K236" s="558">
        <f>IF(F236&gt;0,RANK(F236,$F$233:$F$251),)</f>
        <v>16</v>
      </c>
      <c r="L236" s="654"/>
      <c r="M236" s="841">
        <f>+'[1]NEW-Tables 80-86'!AP166</f>
        <v>359004.58</v>
      </c>
    </row>
    <row r="237" spans="1:13" s="491" customFormat="1" ht="12.75" customHeight="1" x14ac:dyDescent="0.2">
      <c r="A237" s="406"/>
      <c r="B237" s="556"/>
      <c r="C237" s="556"/>
      <c r="D237" s="556"/>
      <c r="E237" s="556"/>
      <c r="F237" s="556"/>
      <c r="G237" s="557"/>
      <c r="H237" s="558"/>
      <c r="I237" s="558"/>
      <c r="J237" s="558"/>
      <c r="K237" s="558"/>
      <c r="L237" s="654"/>
      <c r="M237" s="841"/>
    </row>
    <row r="238" spans="1:13" s="491" customFormat="1" ht="12.75" customHeight="1" x14ac:dyDescent="0.2">
      <c r="A238" s="406" t="s">
        <v>329</v>
      </c>
      <c r="B238" s="556">
        <f>IF($M238&gt;0,('Amounts Pivot Table'!O$162/$M238),0)</f>
        <v>3075.9251830922885</v>
      </c>
      <c r="C238" s="556">
        <f>IF($M238&gt;0,('Amounts Pivot Table'!O$165/$M238),0)</f>
        <v>0</v>
      </c>
      <c r="D238" s="556">
        <f>IF($M238&gt;0,('Amounts Pivot Table'!O$168/$M238),0)</f>
        <v>0</v>
      </c>
      <c r="E238" s="556">
        <f>IF($M238&gt;0,('Amounts Pivot Table'!O$171/$M238),0)</f>
        <v>3347.4225145690293</v>
      </c>
      <c r="F238" s="556">
        <f t="shared" si="27"/>
        <v>6423.3476976613183</v>
      </c>
      <c r="G238" s="557">
        <f>IF(B238&gt;0,RANK(B238,$B$233:$B$251),)</f>
        <v>9</v>
      </c>
      <c r="H238" s="558">
        <f>IF(C238&gt;0,RANK(C238,$C$233:$C$251),)</f>
        <v>0</v>
      </c>
      <c r="I238" s="558">
        <f>IF(D238&gt;0,RANK(D238,$D$233:$D$251),)</f>
        <v>0</v>
      </c>
      <c r="J238" s="558">
        <f>IF(E238&gt;0,RANK(E238,$E$233:$E$251),)</f>
        <v>10</v>
      </c>
      <c r="K238" s="558">
        <f>IF(F238&gt;0,RANK(F238,$F$233:$F$251),)</f>
        <v>14</v>
      </c>
      <c r="L238" s="654"/>
      <c r="M238" s="841">
        <f>+'[1]NEW-Tables 80-86'!AP168</f>
        <v>46477.016666666663</v>
      </c>
    </row>
    <row r="239" spans="1:13" s="491" customFormat="1" ht="12.75" customHeight="1" x14ac:dyDescent="0.2">
      <c r="A239" s="406" t="s">
        <v>322</v>
      </c>
      <c r="B239" s="556">
        <f>IF($M239&gt;0,('Amounts Pivot Table'!O$201/$M239),0)</f>
        <v>2808.8204823856672</v>
      </c>
      <c r="C239" s="556">
        <f>IF($M239&gt;0,('Amounts Pivot Table'!O$204/$M239),0)</f>
        <v>0</v>
      </c>
      <c r="D239" s="556">
        <f>IF($M239&gt;0,('Amounts Pivot Table'!O$207/$M239),0)</f>
        <v>0</v>
      </c>
      <c r="E239" s="556">
        <f>IF($M239&gt;0,('Amounts Pivot Table'!O$210/$M239),0)</f>
        <v>4208.7010056742856</v>
      </c>
      <c r="F239" s="556">
        <f t="shared" si="27"/>
        <v>7017.5214880599524</v>
      </c>
      <c r="G239" s="557">
        <f>IF(B239&gt;0,RANK(B239,$B$233:$B$251),)</f>
        <v>11</v>
      </c>
      <c r="H239" s="558">
        <f>IF(C239&gt;0,RANK(C239,$C$233:$C$251),)</f>
        <v>0</v>
      </c>
      <c r="I239" s="558">
        <f>IF(D239&gt;0,RANK(D239,$D$233:$D$251),)</f>
        <v>0</v>
      </c>
      <c r="J239" s="558">
        <f>IF(E239&gt;0,RANK(E239,$E$233:$E$251),)</f>
        <v>6</v>
      </c>
      <c r="K239" s="558">
        <f>IF(F239&gt;0,RANK(F239,$F$233:$F$251),)</f>
        <v>11</v>
      </c>
      <c r="L239" s="654"/>
      <c r="M239" s="841">
        <f>+'[1]NEW-Tables 80-86'!AP169</f>
        <v>51219.366666666669</v>
      </c>
    </row>
    <row r="240" spans="1:13" s="491" customFormat="1" ht="12.75" customHeight="1" x14ac:dyDescent="0.2">
      <c r="A240" s="406" t="s">
        <v>330</v>
      </c>
      <c r="B240" s="556">
        <f>IF($M240&gt;0,('Amounts Pivot Table'!O$240/$M240),0)</f>
        <v>2144.8859332839284</v>
      </c>
      <c r="C240" s="556">
        <f>IF($M240&gt;0,('Amounts Pivot Table'!O$243/$M240),0)</f>
        <v>0</v>
      </c>
      <c r="D240" s="556">
        <f>IF($M240&gt;0,('Amounts Pivot Table'!O$246/$M240),0)</f>
        <v>0</v>
      </c>
      <c r="E240" s="556">
        <f>IF($M240&gt;0,('Amounts Pivot Table'!O$249/$M240),0)</f>
        <v>3309.5849754521491</v>
      </c>
      <c r="F240" s="556">
        <f t="shared" si="27"/>
        <v>5454.470908736077</v>
      </c>
      <c r="G240" s="557">
        <f>IF(B240&gt;0,RANK(B240,$B$233:$B$251),)</f>
        <v>15</v>
      </c>
      <c r="H240" s="558">
        <f>IF(C240&gt;0,RANK(C240,$C$233:$C$251),)</f>
        <v>0</v>
      </c>
      <c r="I240" s="558">
        <f>IF(D240&gt;0,RANK(D240,$D$233:$D$251),)</f>
        <v>0</v>
      </c>
      <c r="J240" s="558">
        <f>IF(E240&gt;0,RANK(E240,$E$233:$E$251),)</f>
        <v>11</v>
      </c>
      <c r="K240" s="558">
        <f>IF(F240&gt;0,RANK(F240,$F$233:$F$251),)</f>
        <v>15</v>
      </c>
      <c r="L240" s="654"/>
      <c r="M240" s="841">
        <f>+'[1]NEW-Tables 80-86'!AP170</f>
        <v>41072.162222222214</v>
      </c>
    </row>
    <row r="241" spans="1:13" s="491" customFormat="1" ht="12.75" customHeight="1" x14ac:dyDescent="0.2">
      <c r="A241" s="406" t="s">
        <v>333</v>
      </c>
      <c r="B241" s="556">
        <f>IF($M241&gt;0,('Amounts Pivot Table'!O$279/$M241),0)</f>
        <v>2294.8335487007689</v>
      </c>
      <c r="C241" s="556">
        <f>IF($M241&gt;0,('Amounts Pivot Table'!O$282/$M241),0)</f>
        <v>37.029151249192275</v>
      </c>
      <c r="D241" s="556">
        <f>IF($M241&gt;0,('Amounts Pivot Table'!O$285/$M241),0)</f>
        <v>3036.4557416330908</v>
      </c>
      <c r="E241" s="556">
        <f>IF($M241&gt;0,('Amounts Pivot Table'!O$288/$M241),0)</f>
        <v>4536.581883517827</v>
      </c>
      <c r="F241" s="556">
        <f t="shared" si="27"/>
        <v>9904.9003251008799</v>
      </c>
      <c r="G241" s="557">
        <f>IF(B241&gt;0,RANK(B241,$B$233:$B$251),)</f>
        <v>13</v>
      </c>
      <c r="H241" s="558">
        <f>IF(C241&gt;0,RANK(C241,$C$233:$C$251),)</f>
        <v>7</v>
      </c>
      <c r="I241" s="558">
        <f>IF(D241&gt;0,RANK(D241,$D$233:$D$251),)</f>
        <v>1</v>
      </c>
      <c r="J241" s="558">
        <f>IF(E241&gt;0,RANK(E241,$E$233:$E$251),)</f>
        <v>2</v>
      </c>
      <c r="K241" s="558">
        <f>IF(F241&gt;0,RANK(F241,$F$233:$F$251),)</f>
        <v>1</v>
      </c>
      <c r="L241" s="654"/>
      <c r="M241" s="841">
        <f>+'[1]NEW-Tables 80-86'!AP171</f>
        <v>104485.51666666666</v>
      </c>
    </row>
    <row r="242" spans="1:13" s="491" customFormat="1" ht="12.75" customHeight="1" x14ac:dyDescent="0.2">
      <c r="A242" s="406"/>
      <c r="B242" s="556"/>
      <c r="C242" s="556"/>
      <c r="D242" s="556"/>
      <c r="E242" s="556"/>
      <c r="F242" s="556"/>
      <c r="G242" s="557"/>
      <c r="H242" s="558"/>
      <c r="I242" s="558"/>
      <c r="J242" s="558"/>
      <c r="K242" s="558"/>
      <c r="L242" s="654"/>
      <c r="M242" s="841"/>
    </row>
    <row r="243" spans="1:13" s="491" customFormat="1" ht="12.75" customHeight="1" x14ac:dyDescent="0.2">
      <c r="A243" s="406" t="s">
        <v>323</v>
      </c>
      <c r="B243" s="556">
        <f>IF($M243&gt;0,('Amounts Pivot Table'!O$318/$M243),0)</f>
        <v>3431.8101419989189</v>
      </c>
      <c r="C243" s="556">
        <f>IF($M243&gt;0,('Amounts Pivot Table'!O$321/$M243),0)</f>
        <v>406.41927261241165</v>
      </c>
      <c r="D243" s="556">
        <f>IF($M243&gt;0,('Amounts Pivot Table'!O$324/$M243),0)</f>
        <v>807.58193841786522</v>
      </c>
      <c r="E243" s="556">
        <f>IF($M243&gt;0,('Amounts Pivot Table'!O$327/$M243),0)</f>
        <v>2836.3428191634762</v>
      </c>
      <c r="F243" s="556">
        <f t="shared" si="27"/>
        <v>7482.1541721926715</v>
      </c>
      <c r="G243" s="557">
        <f>IF(B243&gt;0,RANK(B243,$B$233:$B$251),)</f>
        <v>6</v>
      </c>
      <c r="H243" s="558">
        <f>IF(C243&gt;0,RANK(C243,$C$233:$C$251),)</f>
        <v>2</v>
      </c>
      <c r="I243" s="558">
        <f>IF(D243&gt;0,RANK(D243,$D$233:$D$251),)</f>
        <v>4</v>
      </c>
      <c r="J243" s="558">
        <f>IF(E243&gt;0,RANK(E243,$E$233:$E$251),)</f>
        <v>13</v>
      </c>
      <c r="K243" s="558">
        <f>IF(F243&gt;0,RANK(F243,$F$233:$F$251),)</f>
        <v>6</v>
      </c>
      <c r="L243" s="654"/>
      <c r="M243" s="841">
        <f>+'[1]NEW-Tables 80-86'!AP173</f>
        <v>65850.266666666663</v>
      </c>
    </row>
    <row r="244" spans="1:13" s="491" customFormat="1" ht="12.75" customHeight="1" x14ac:dyDescent="0.2">
      <c r="A244" s="406" t="s">
        <v>324</v>
      </c>
      <c r="B244" s="556">
        <f>IF($M244&gt;0,('Amounts Pivot Table'!O$357/$M244),0)</f>
        <v>3623.1227949756462</v>
      </c>
      <c r="C244" s="556">
        <f>IF($M244&gt;0,('Amounts Pivot Table'!O$360/$M244),0)</f>
        <v>710.7997862125942</v>
      </c>
      <c r="D244" s="556">
        <f>IF($M244&gt;0,('Amounts Pivot Table'!O$363/$M244),0)</f>
        <v>1005.0281699843207</v>
      </c>
      <c r="E244" s="556">
        <f>IF($M244&gt;0,('Amounts Pivot Table'!O$366/$M244),0)</f>
        <v>1752.6794807927502</v>
      </c>
      <c r="F244" s="556">
        <f t="shared" si="27"/>
        <v>7091.6302319653114</v>
      </c>
      <c r="G244" s="557">
        <f>IF(B244&gt;0,RANK(B244,$B$233:$B$251),)</f>
        <v>5</v>
      </c>
      <c r="H244" s="558">
        <f>IF(C244&gt;0,RANK(C244,$C$233:$C$251),)</f>
        <v>1</v>
      </c>
      <c r="I244" s="558">
        <f>IF(D244&gt;0,RANK(D244,$D$233:$D$251),)</f>
        <v>3</v>
      </c>
      <c r="J244" s="558">
        <f>IF(E244&gt;0,RANK(E244,$E$233:$E$251),)</f>
        <v>16</v>
      </c>
      <c r="K244" s="558">
        <f>IF(F244&gt;0,RANK(F244,$F$233:$F$251),)</f>
        <v>9</v>
      </c>
      <c r="L244" s="654"/>
      <c r="M244" s="841">
        <f>+'[1]NEW-Tables 80-86'!AP174</f>
        <v>209716.12666666668</v>
      </c>
    </row>
    <row r="245" spans="1:13" s="491" customFormat="1" ht="12.75" customHeight="1" x14ac:dyDescent="0.2">
      <c r="A245" s="406" t="s">
        <v>331</v>
      </c>
      <c r="B245" s="556">
        <f>IF($M245&gt;0,('Amounts Pivot Table'!O$396/$M245),0)</f>
        <v>3136.9425386888292</v>
      </c>
      <c r="C245" s="556">
        <f>IF($M245&gt;0,('Amounts Pivot Table'!O$399/$M245),0)</f>
        <v>0</v>
      </c>
      <c r="D245" s="556">
        <f>IF($M245&gt;0,('Amounts Pivot Table'!O$402/$M245),0)</f>
        <v>775.91723530516242</v>
      </c>
      <c r="E245" s="556">
        <f>IF($M245&gt;0,('Amounts Pivot Table'!O$405/$M245),0)</f>
        <v>3106.0229934184522</v>
      </c>
      <c r="F245" s="556">
        <f t="shared" si="27"/>
        <v>7018.8827674124441</v>
      </c>
      <c r="G245" s="557">
        <f>IF(B245&gt;0,RANK(B245,$B$233:$B$251),)</f>
        <v>8</v>
      </c>
      <c r="H245" s="558">
        <f>IF(C245&gt;0,RANK(C245,$C$233:$C$251),)</f>
        <v>0</v>
      </c>
      <c r="I245" s="558">
        <f>IF(D245&gt;0,RANK(D245,$D$233:$D$251),)</f>
        <v>5</v>
      </c>
      <c r="J245" s="558">
        <f>IF(E245&gt;0,RANK(E245,$E$233:$E$251),)</f>
        <v>12</v>
      </c>
      <c r="K245" s="558">
        <f>IF(F245&gt;0,RANK(F245,$F$233:$F$251),)</f>
        <v>10</v>
      </c>
      <c r="L245" s="654"/>
      <c r="M245" s="841">
        <f>+'[1]NEW-Tables 80-86'!AP175</f>
        <v>53969.066666666666</v>
      </c>
    </row>
    <row r="246" spans="1:13" s="491" customFormat="1" ht="12.75" customHeight="1" x14ac:dyDescent="0.2">
      <c r="A246" s="406" t="s">
        <v>325</v>
      </c>
      <c r="B246" s="556">
        <f>IF($M246&gt;0,('Amounts Pivot Table'!O$435/$M246),0)</f>
        <v>1267.7521845043946</v>
      </c>
      <c r="C246" s="556">
        <f>IF($M246&gt;0,('Amounts Pivot Table'!O$438/$M246),0)</f>
        <v>317.84545452611593</v>
      </c>
      <c r="D246" s="556">
        <f>IF($M246&gt;0,('Amounts Pivot Table'!O$441/$M246),0)</f>
        <v>748.53113202807299</v>
      </c>
      <c r="E246" s="556">
        <f>IF($M246&gt;0,('Amounts Pivot Table'!O$444/$M246),0)</f>
        <v>4810.1966410682617</v>
      </c>
      <c r="F246" s="556">
        <f t="shared" si="27"/>
        <v>7144.3254121268455</v>
      </c>
      <c r="G246" s="557">
        <f>IF(B246&gt;0,RANK(B246,$B$233:$B$251),)</f>
        <v>16</v>
      </c>
      <c r="H246" s="558">
        <f>IF(C246&gt;0,RANK(C246,$C$233:$C$251),)</f>
        <v>3</v>
      </c>
      <c r="I246" s="558">
        <f>IF(D246&gt;0,RANK(D246,$D$233:$D$251),)</f>
        <v>6</v>
      </c>
      <c r="J246" s="558">
        <f>IF(E246&gt;0,RANK(E246,$E$233:$E$251),)</f>
        <v>1</v>
      </c>
      <c r="K246" s="558">
        <f>IF(F246&gt;0,RANK(F246,$F$233:$F$251),)</f>
        <v>8</v>
      </c>
      <c r="L246" s="654"/>
      <c r="M246" s="841">
        <f>+'[1]NEW-Tables 80-86'!AP176</f>
        <v>82579.409666666674</v>
      </c>
    </row>
    <row r="247" spans="1:13" s="491" customFormat="1" ht="12.75" customHeight="1" x14ac:dyDescent="0.2">
      <c r="A247" s="406"/>
      <c r="B247" s="556"/>
      <c r="C247" s="556"/>
      <c r="D247" s="556"/>
      <c r="E247" s="556"/>
      <c r="F247" s="556"/>
      <c r="G247" s="557"/>
      <c r="H247" s="558"/>
      <c r="I247" s="558"/>
      <c r="J247" s="558"/>
      <c r="K247" s="558"/>
      <c r="L247" s="654"/>
      <c r="M247" s="841"/>
    </row>
    <row r="248" spans="1:13" s="491" customFormat="1" ht="12.75" customHeight="1" x14ac:dyDescent="0.2">
      <c r="A248" s="406" t="s">
        <v>90</v>
      </c>
      <c r="B248" s="556">
        <f>IF($M248&gt;0,('Amounts Pivot Table'!O$474/$M248),0)</f>
        <v>3215.9822564957917</v>
      </c>
      <c r="C248" s="556">
        <f>IF($M248&gt;0,('Amounts Pivot Table'!O$477/$M248),0)</f>
        <v>0</v>
      </c>
      <c r="D248" s="556">
        <f>IF($M248&gt;0,('Amounts Pivot Table'!O$480/$M248),0)</f>
        <v>0</v>
      </c>
      <c r="E248" s="556">
        <f>IF($M248&gt;0,('Amounts Pivot Table'!O$483/$M248),0)</f>
        <v>4249.5906891978993</v>
      </c>
      <c r="F248" s="556">
        <f t="shared" si="27"/>
        <v>7465.5729456936915</v>
      </c>
      <c r="G248" s="557">
        <f>IF(B248&gt;0,RANK(B248,$B$233:$B$251),)</f>
        <v>7</v>
      </c>
      <c r="H248" s="558">
        <f>IF(C248&gt;0,RANK(C248,$C$233:$C$251),)</f>
        <v>0</v>
      </c>
      <c r="I248" s="558">
        <f>IF(D248&gt;0,RANK(D248,$D$233:$D$251),)</f>
        <v>0</v>
      </c>
      <c r="J248" s="558">
        <f>IF(E248&gt;0,RANK(E248,$E$233:$E$251),)</f>
        <v>5</v>
      </c>
      <c r="K248" s="558">
        <f>IF(F248&gt;0,RANK(F248,$F$233:$F$251),)</f>
        <v>7</v>
      </c>
      <c r="L248" s="654"/>
      <c r="M248" s="841">
        <f>+'[1]NEW-Tables 80-86'!AP178</f>
        <v>62992.066666666658</v>
      </c>
    </row>
    <row r="249" spans="1:13" s="76" customFormat="1" ht="12.75" customHeight="1" x14ac:dyDescent="0.2">
      <c r="A249" s="406" t="s">
        <v>326</v>
      </c>
      <c r="B249" s="556">
        <f>IF($M249&gt;0,('Amounts Pivot Table'!O$513/$M249),0)</f>
        <v>2265.7141231057308</v>
      </c>
      <c r="C249" s="556">
        <f>IF($M249&gt;0,('Amounts Pivot Table'!O$516/$M249),0)</f>
        <v>0</v>
      </c>
      <c r="D249" s="556">
        <f>IF($M249&gt;0,('Amounts Pivot Table'!O$519/$M249),0)</f>
        <v>2962.891116817611</v>
      </c>
      <c r="E249" s="556">
        <f>IF($M249&gt;0,('Amounts Pivot Table'!O$522/$M249),0)</f>
        <v>1788.9020577703893</v>
      </c>
      <c r="F249" s="556">
        <f t="shared" si="27"/>
        <v>7017.5072976937308</v>
      </c>
      <c r="G249" s="557">
        <f>IF(B249&gt;0,RANK(B249,$B$233:$B$251),)</f>
        <v>14</v>
      </c>
      <c r="H249" s="558">
        <f>IF(C249&gt;0,RANK(C249,$C$233:$C$251),)</f>
        <v>0</v>
      </c>
      <c r="I249" s="558">
        <f>IF(D249&gt;0,RANK(D249,$D$233:$D$251),)</f>
        <v>2</v>
      </c>
      <c r="J249" s="558">
        <f>IF(E249&gt;0,RANK(E249,$E$233:$E$251),)</f>
        <v>15</v>
      </c>
      <c r="K249" s="558">
        <f>IF(F249&gt;0,RANK(F249,$F$233:$F$251),)</f>
        <v>12</v>
      </c>
      <c r="L249" s="169"/>
      <c r="M249" s="841">
        <f>+'[1]NEW-Tables 80-86'!AP179</f>
        <v>498206.86444444442</v>
      </c>
    </row>
    <row r="250" spans="1:13" s="491" customFormat="1" ht="12.75" customHeight="1" x14ac:dyDescent="0.2">
      <c r="A250" s="406" t="s">
        <v>327</v>
      </c>
      <c r="B250" s="556">
        <f>IF($M250&gt;0,('Amounts Pivot Table'!O$552/$M250),0)</f>
        <v>2496.2997378433683</v>
      </c>
      <c r="C250" s="556">
        <f>IF($M250&gt;0,('Amounts Pivot Table'!O$555/$M250),0)</f>
        <v>0</v>
      </c>
      <c r="D250" s="556">
        <f>IF($M250&gt;0,('Amounts Pivot Table'!O$558/$M250),0)</f>
        <v>83.58466046412812</v>
      </c>
      <c r="E250" s="556">
        <f>IF($M250&gt;0,('Amounts Pivot Table'!O$561/$M250),0)</f>
        <v>4297.1679252407757</v>
      </c>
      <c r="F250" s="556">
        <f t="shared" si="27"/>
        <v>6877.0523235482724</v>
      </c>
      <c r="G250" s="557">
        <f>IF(B250&gt;0,RANK(B250,$B$233:$B$251),)</f>
        <v>12</v>
      </c>
      <c r="H250" s="558">
        <f>IF(C250&gt;0,RANK(C250,$C$233:$C$251),)</f>
        <v>0</v>
      </c>
      <c r="I250" s="558">
        <f>IF(D250&gt;0,RANK(D250,$D$233:$D$251),)</f>
        <v>8</v>
      </c>
      <c r="J250" s="558">
        <f>IF(E250&gt;0,RANK(E250,$E$233:$E$251),)</f>
        <v>4</v>
      </c>
      <c r="K250" s="558">
        <f>IF(F250&gt;0,RANK(F250,$F$233:$F$251),)</f>
        <v>13</v>
      </c>
      <c r="L250" s="655"/>
      <c r="M250" s="841">
        <f>+'[1]NEW-Tables 80-86'!AP180</f>
        <v>128968.7</v>
      </c>
    </row>
    <row r="251" spans="1:13" s="491" customFormat="1" ht="13.5" customHeight="1" x14ac:dyDescent="0.2">
      <c r="A251" s="407" t="s">
        <v>332</v>
      </c>
      <c r="B251" s="562">
        <f>IF($M251&gt;0,('Amounts Pivot Table'!O$591/$M251),0)</f>
        <v>3728.6801538488339</v>
      </c>
      <c r="C251" s="562">
        <f>IF($M251&gt;0,('Amounts Pivot Table'!O$594/$M251),0)</f>
        <v>37.433137610203154</v>
      </c>
      <c r="D251" s="562">
        <f>IF($M251&gt;0,('Amounts Pivot Table'!O$597/$M251),0)</f>
        <v>0</v>
      </c>
      <c r="E251" s="562">
        <f>IF($M251&gt;0,('Amounts Pivot Table'!O$600/$M251),0)</f>
        <v>3852.208745687702</v>
      </c>
      <c r="F251" s="563">
        <f t="shared" si="27"/>
        <v>7618.3220371467396</v>
      </c>
      <c r="G251" s="564">
        <f>IF(B251&gt;0,RANK(B251,$B$233:$B$251),)</f>
        <v>3</v>
      </c>
      <c r="H251" s="565">
        <f>IF(C251&gt;0,RANK(C251,$C$233:$C$251),)</f>
        <v>6</v>
      </c>
      <c r="I251" s="565">
        <f>IF(D251&gt;0,RANK(D251,$D$233:$D$251),)</f>
        <v>0</v>
      </c>
      <c r="J251" s="565">
        <f>IF(E251&gt;0,RANK(E251,$E$233:$E$251),)</f>
        <v>7</v>
      </c>
      <c r="K251" s="565">
        <f>IF(F251&gt;0,RANK(F251,$F$233:$F$251),)</f>
        <v>4</v>
      </c>
      <c r="L251" s="658"/>
      <c r="M251" s="841">
        <f>+'[1]NEW-Tables 80-86'!AP181</f>
        <v>18366.080000000002</v>
      </c>
    </row>
    <row r="252" spans="1:13" s="76" customFormat="1" ht="34.5" customHeight="1" x14ac:dyDescent="0.2">
      <c r="A252" s="1558" t="s">
        <v>17</v>
      </c>
      <c r="B252" s="1582"/>
      <c r="C252" s="1582"/>
      <c r="D252" s="1582"/>
      <c r="E252" s="1582"/>
      <c r="F252" s="1582"/>
      <c r="G252" s="1582"/>
      <c r="H252" s="1582"/>
      <c r="I252" s="1582"/>
      <c r="J252" s="1582"/>
      <c r="K252" s="1582"/>
      <c r="L252" s="169"/>
      <c r="M252" s="649"/>
    </row>
    <row r="253" spans="1:13" s="205" customFormat="1" ht="13.5" customHeight="1" x14ac:dyDescent="0.2">
      <c r="A253" s="1558" t="s">
        <v>54</v>
      </c>
      <c r="B253" s="1582"/>
      <c r="C253" s="1582"/>
      <c r="D253" s="1582"/>
      <c r="E253" s="1582"/>
      <c r="F253" s="1582"/>
      <c r="G253" s="1582"/>
      <c r="H253" s="1582"/>
      <c r="I253" s="1582"/>
      <c r="J253" s="1582"/>
      <c r="K253" s="1582"/>
      <c r="L253" s="204"/>
      <c r="M253" s="649"/>
    </row>
    <row r="254" spans="1:13" s="491" customFormat="1" ht="13.5" customHeight="1" x14ac:dyDescent="0.2">
      <c r="A254" s="1558" t="s">
        <v>233</v>
      </c>
      <c r="B254" s="1593"/>
      <c r="C254" s="1593"/>
      <c r="D254" s="1593"/>
      <c r="E254" s="1593"/>
      <c r="F254" s="1593"/>
      <c r="G254" s="1594"/>
      <c r="H254" s="1594"/>
      <c r="I254" s="1594"/>
      <c r="J254" s="1594"/>
      <c r="K254" s="1594"/>
      <c r="L254" s="658"/>
      <c r="M254" s="663"/>
    </row>
    <row r="255" spans="1:13" s="491" customFormat="1" ht="13.5" customHeight="1" x14ac:dyDescent="0.2">
      <c r="A255" s="644"/>
      <c r="B255" s="657"/>
      <c r="C255" s="657"/>
      <c r="D255" s="657"/>
      <c r="E255" s="657"/>
      <c r="F255" s="657"/>
      <c r="G255" s="659"/>
      <c r="H255" s="659"/>
      <c r="I255" s="659"/>
      <c r="J255" s="659"/>
      <c r="K255" s="659"/>
      <c r="L255" s="658"/>
      <c r="M255" s="663"/>
    </row>
    <row r="256" spans="1:13" s="491" customFormat="1" x14ac:dyDescent="0.2">
      <c r="A256" s="644"/>
      <c r="B256" s="657"/>
      <c r="C256" s="657"/>
      <c r="D256" s="657"/>
      <c r="E256" s="657"/>
      <c r="F256" s="657"/>
      <c r="G256" s="659"/>
      <c r="H256" s="659"/>
      <c r="I256" s="659"/>
      <c r="J256" s="659"/>
      <c r="K256" s="535" t="s">
        <v>1898</v>
      </c>
      <c r="L256" s="658"/>
      <c r="M256" s="663"/>
    </row>
    <row r="257" spans="1:13" s="491" customFormat="1" ht="15.75" x14ac:dyDescent="0.2">
      <c r="A257" s="1557" t="s">
        <v>366</v>
      </c>
      <c r="B257" s="1557"/>
      <c r="C257" s="1557"/>
      <c r="D257" s="1557"/>
      <c r="E257" s="1557"/>
      <c r="F257" s="1557"/>
      <c r="G257" s="1557"/>
      <c r="H257" s="1557"/>
      <c r="I257" s="1557"/>
      <c r="J257" s="1557"/>
      <c r="K257" s="1557"/>
      <c r="L257" s="655"/>
      <c r="M257" s="663"/>
    </row>
    <row r="258" spans="1:13" s="491" customFormat="1" ht="18.75" x14ac:dyDescent="0.2">
      <c r="A258" s="1557" t="s">
        <v>18</v>
      </c>
      <c r="B258" s="1557"/>
      <c r="C258" s="1557"/>
      <c r="D258" s="1557"/>
      <c r="E258" s="1557"/>
      <c r="F258" s="1557"/>
      <c r="G258" s="1557"/>
      <c r="H258" s="1557"/>
      <c r="I258" s="1557"/>
      <c r="J258" s="1557"/>
      <c r="K258" s="1557"/>
      <c r="L258" s="165"/>
      <c r="M258" s="663"/>
    </row>
    <row r="259" spans="1:13" s="491" customFormat="1" ht="15.75" x14ac:dyDescent="0.2">
      <c r="A259" s="1557" t="s">
        <v>441</v>
      </c>
      <c r="B259" s="1557"/>
      <c r="C259" s="1557"/>
      <c r="D259" s="1557"/>
      <c r="E259" s="1557"/>
      <c r="F259" s="1557"/>
      <c r="G259" s="1557"/>
      <c r="H259" s="1557"/>
      <c r="I259" s="1557"/>
      <c r="J259" s="1557"/>
      <c r="K259" s="1557"/>
      <c r="L259" s="165"/>
      <c r="M259" s="649"/>
    </row>
    <row r="260" spans="1:13" s="491" customFormat="1" ht="9.75" customHeight="1" x14ac:dyDescent="0.2">
      <c r="A260" s="91"/>
      <c r="B260" s="91"/>
      <c r="C260" s="91"/>
      <c r="D260" s="91"/>
      <c r="E260" s="91"/>
      <c r="F260" s="91"/>
      <c r="G260" s="108"/>
      <c r="H260" s="91"/>
      <c r="I260" s="91"/>
      <c r="J260" s="91"/>
      <c r="K260" s="91"/>
      <c r="L260" s="165"/>
      <c r="M260" s="649"/>
    </row>
    <row r="261" spans="1:13" s="668" customFormat="1" ht="13.5" customHeight="1" x14ac:dyDescent="0.2">
      <c r="A261" s="56"/>
      <c r="B261" s="1595" t="s">
        <v>55</v>
      </c>
      <c r="C261" s="1596"/>
      <c r="D261" s="1596"/>
      <c r="E261" s="1596"/>
      <c r="F261" s="1596"/>
      <c r="G261" s="57" t="s">
        <v>119</v>
      </c>
      <c r="H261" s="58"/>
      <c r="I261" s="58"/>
      <c r="J261" s="58"/>
      <c r="K261" s="58"/>
      <c r="L261" s="173"/>
      <c r="M261" s="649"/>
    </row>
    <row r="262" spans="1:13" s="378" customFormat="1" ht="45" x14ac:dyDescent="0.2">
      <c r="A262" s="650"/>
      <c r="B262" s="51" t="s">
        <v>87</v>
      </c>
      <c r="C262" s="52" t="s">
        <v>89</v>
      </c>
      <c r="D262" s="52" t="s">
        <v>88</v>
      </c>
      <c r="E262" s="52" t="s">
        <v>306</v>
      </c>
      <c r="F262" s="52" t="s">
        <v>97</v>
      </c>
      <c r="G262" s="53" t="s">
        <v>87</v>
      </c>
      <c r="H262" s="52" t="s">
        <v>89</v>
      </c>
      <c r="I262" s="52" t="s">
        <v>88</v>
      </c>
      <c r="J262" s="52" t="s">
        <v>306</v>
      </c>
      <c r="K262" s="52" t="s">
        <v>97</v>
      </c>
      <c r="L262" s="652"/>
      <c r="M262" s="661" t="s">
        <v>260</v>
      </c>
    </row>
    <row r="263" spans="1:13" s="491" customFormat="1" ht="14.25" x14ac:dyDescent="0.2">
      <c r="A263" s="406" t="s">
        <v>56</v>
      </c>
      <c r="B263" s="553">
        <f>IF($M263&gt;0,('Amounts Pivot Table'!J$630/$M263),0)</f>
        <v>2928.4911750872839</v>
      </c>
      <c r="C263" s="553">
        <f>IF($M263&gt;0,('Amounts Pivot Table'!J$633/$M263),0)</f>
        <v>0.7797666687599627</v>
      </c>
      <c r="D263" s="553">
        <f>IF($M263&gt;0,('Amounts Pivot Table'!J$636/$M263),0)</f>
        <v>307.4279282649739</v>
      </c>
      <c r="E263" s="553">
        <f>IF($M263&gt;0,('Amounts Pivot Table'!J$639/$M263),0)</f>
        <v>2451.5095873512369</v>
      </c>
      <c r="F263" s="553">
        <f>SUM(B263:E263)</f>
        <v>5688.208457372255</v>
      </c>
      <c r="G263" s="554"/>
      <c r="H263" s="555"/>
      <c r="I263" s="555"/>
      <c r="J263" s="555"/>
      <c r="K263" s="555"/>
      <c r="L263" s="654"/>
      <c r="M263" s="841">
        <f>+'[1]NEW-Tables 80-86'!AK161</f>
        <v>266105.24444444443</v>
      </c>
    </row>
    <row r="264" spans="1:13" s="491" customFormat="1" ht="12.75" customHeight="1" x14ac:dyDescent="0.2">
      <c r="A264" s="406"/>
      <c r="B264" s="553"/>
      <c r="C264" s="553"/>
      <c r="D264" s="553"/>
      <c r="E264" s="553"/>
      <c r="F264" s="553"/>
      <c r="G264" s="554"/>
      <c r="H264" s="555"/>
      <c r="I264" s="555"/>
      <c r="J264" s="555"/>
      <c r="K264" s="555"/>
      <c r="L264" s="654"/>
      <c r="M264" s="841"/>
    </row>
    <row r="265" spans="1:13" s="491" customFormat="1" ht="12.75" customHeight="1" x14ac:dyDescent="0.2">
      <c r="A265" s="406" t="s">
        <v>320</v>
      </c>
      <c r="B265" s="556">
        <f>IF($M265&gt;0,('Amounts Pivot Table'!J$6/$M265),0)</f>
        <v>0</v>
      </c>
      <c r="C265" s="556">
        <f>IF($M265&gt;0,('Amounts Pivot Table'!J$9/$M265),0)</f>
        <v>0</v>
      </c>
      <c r="D265" s="556">
        <f>IF($M265&gt;0,('Amounts Pivot Table'!J$12/$M265),0)</f>
        <v>0</v>
      </c>
      <c r="E265" s="556">
        <f>IF($M265&gt;0,('Amounts Pivot Table'!J$15/$M265),0)</f>
        <v>0</v>
      </c>
      <c r="F265" s="556">
        <f t="shared" ref="F265:F283" si="28">SUM(B265:E265)</f>
        <v>0</v>
      </c>
      <c r="G265" s="557">
        <f>IF(B265&gt;0,RANK(B265,$B$265:$B$283),)</f>
        <v>0</v>
      </c>
      <c r="H265" s="558">
        <f>IF(C265&gt;0,RANK(C265,$C$265:$C$283),)</f>
        <v>0</v>
      </c>
      <c r="I265" s="558">
        <f>IF(D265&gt;0,RANK(D265,$D$265:$D$283),)</f>
        <v>0</v>
      </c>
      <c r="J265" s="558">
        <f>IF(E265&gt;0,RANK(E265,$E$265:$E$283),)</f>
        <v>0</v>
      </c>
      <c r="K265" s="558">
        <f>IF(F265&gt;0,RANK(F265,$F$265:$F$283),)</f>
        <v>0</v>
      </c>
      <c r="L265" s="654"/>
      <c r="M265" s="841">
        <f>+'[1]NEW-Tables 80-86'!AK163</f>
        <v>0</v>
      </c>
    </row>
    <row r="266" spans="1:13" s="491" customFormat="1" ht="12.75" customHeight="1" x14ac:dyDescent="0.2">
      <c r="A266" s="406" t="s">
        <v>334</v>
      </c>
      <c r="B266" s="556">
        <f>IF($M266&gt;0,('Amounts Pivot Table'!J$45/$M266),0)</f>
        <v>0</v>
      </c>
      <c r="C266" s="556">
        <f>IF($M266&gt;0,('Amounts Pivot Table'!J$48/$M266),0)</f>
        <v>0</v>
      </c>
      <c r="D266" s="556">
        <f>IF($M266&gt;0,('Amounts Pivot Table'!J$51/$M266),0)</f>
        <v>0</v>
      </c>
      <c r="E266" s="556">
        <f>IF($M266&gt;0,('Amounts Pivot Table'!J$54/$M266),0)</f>
        <v>0</v>
      </c>
      <c r="F266" s="556">
        <f t="shared" si="28"/>
        <v>0</v>
      </c>
      <c r="G266" s="557">
        <f>IF(B266&gt;0,RANK(B266,$B$265:$B$283),)</f>
        <v>0</v>
      </c>
      <c r="H266" s="558">
        <f>IF(C266&gt;0,RANK(C266,$C$265:$C$283),)</f>
        <v>0</v>
      </c>
      <c r="I266" s="558">
        <f>IF(D266&gt;0,RANK(D266,$D$265:$D$283),)</f>
        <v>0</v>
      </c>
      <c r="J266" s="558">
        <f>IF(E266&gt;0,RANK(E266,$E$265:$E$283),)</f>
        <v>0</v>
      </c>
      <c r="K266" s="558">
        <f>IF(F266&gt;0,RANK(F266,$F$265:$F$283),)</f>
        <v>0</v>
      </c>
      <c r="L266" s="654"/>
      <c r="M266" s="841">
        <f>+'[1]NEW-Tables 80-86'!AK164</f>
        <v>0</v>
      </c>
    </row>
    <row r="267" spans="1:13" s="491" customFormat="1" ht="12.75" customHeight="1" x14ac:dyDescent="0.2">
      <c r="A267" s="406" t="s">
        <v>321</v>
      </c>
      <c r="B267" s="556">
        <f>IF($M267&gt;0,('Amounts Pivot Table'!J$84/$M267),0)</f>
        <v>0</v>
      </c>
      <c r="C267" s="556">
        <f>IF($M267&gt;0,('Amounts Pivot Table'!J$87/$M267),0)</f>
        <v>0</v>
      </c>
      <c r="D267" s="556">
        <f>IF($M267&gt;0,('Amounts Pivot Table'!J$90/$M267),0)</f>
        <v>0</v>
      </c>
      <c r="E267" s="556">
        <f>IF($M267&gt;0,('Amounts Pivot Table'!J$93/$M267),0)</f>
        <v>0</v>
      </c>
      <c r="F267" s="556">
        <f t="shared" si="28"/>
        <v>0</v>
      </c>
      <c r="G267" s="557">
        <f>IF(B267&gt;0,RANK(B267,$B$265:$B$283),)</f>
        <v>0</v>
      </c>
      <c r="H267" s="558">
        <f>IF(C267&gt;0,RANK(C267,$C$265:$C$283),)</f>
        <v>0</v>
      </c>
      <c r="I267" s="558">
        <f>IF(D267&gt;0,RANK(D267,$D$265:$D$283),)</f>
        <v>0</v>
      </c>
      <c r="J267" s="558">
        <f>IF(E267&gt;0,RANK(E267,$E$265:$E$283),)</f>
        <v>0</v>
      </c>
      <c r="K267" s="558">
        <f>IF(F267&gt;0,RANK(F267,$F$265:$F$283),)</f>
        <v>0</v>
      </c>
      <c r="L267" s="654"/>
      <c r="M267" s="841">
        <f>+'[1]NEW-Tables 80-86'!AK165</f>
        <v>0</v>
      </c>
    </row>
    <row r="268" spans="1:13" s="491" customFormat="1" ht="12.75" customHeight="1" x14ac:dyDescent="0.2">
      <c r="A268" s="406" t="s">
        <v>328</v>
      </c>
      <c r="B268" s="556">
        <f>IF($M268&gt;0,('Amounts Pivot Table'!J$123/$M268),0)</f>
        <v>2960.1244432953708</v>
      </c>
      <c r="C268" s="556">
        <f>IF($M268&gt;0,('Amounts Pivot Table'!J$126/$M268),0)</f>
        <v>0</v>
      </c>
      <c r="D268" s="556">
        <f>IF($M268&gt;0,('Amounts Pivot Table'!J$129/$M268),0)</f>
        <v>0</v>
      </c>
      <c r="E268" s="556">
        <f>IF($M268&gt;0,('Amounts Pivot Table'!J$132/$M268),0)</f>
        <v>2464.1049869357712</v>
      </c>
      <c r="F268" s="556">
        <f t="shared" si="28"/>
        <v>5424.229430231142</v>
      </c>
      <c r="G268" s="557">
        <f>IF(B268&gt;0,RANK(B268,$B$265:$B$283),)</f>
        <v>3</v>
      </c>
      <c r="H268" s="558">
        <f>IF(C268&gt;0,RANK(C268,$C$265:$C$283),)</f>
        <v>0</v>
      </c>
      <c r="I268" s="558">
        <f>IF(D268&gt;0,RANK(D268,$D$265:$D$283),)</f>
        <v>0</v>
      </c>
      <c r="J268" s="558">
        <f>IF(E268&gt;0,RANK(E268,$E$265:$E$283),)</f>
        <v>4</v>
      </c>
      <c r="K268" s="558">
        <f>IF(F268&gt;0,RANK(F268,$F$265:$F$283),)</f>
        <v>5</v>
      </c>
      <c r="L268" s="654"/>
      <c r="M268" s="841">
        <f>+'[1]NEW-Tables 80-86'!AK166</f>
        <v>218782.73444444442</v>
      </c>
    </row>
    <row r="269" spans="1:13" s="491" customFormat="1" ht="12.75" customHeight="1" x14ac:dyDescent="0.2">
      <c r="A269" s="406"/>
      <c r="B269" s="556"/>
      <c r="C269" s="556"/>
      <c r="D269" s="556"/>
      <c r="E269" s="556"/>
      <c r="F269" s="556"/>
      <c r="G269" s="557"/>
      <c r="H269" s="558"/>
      <c r="I269" s="558"/>
      <c r="J269" s="558"/>
      <c r="K269" s="558"/>
      <c r="L269" s="654"/>
      <c r="M269" s="841"/>
    </row>
    <row r="270" spans="1:13" s="491" customFormat="1" ht="12.75" customHeight="1" x14ac:dyDescent="0.2">
      <c r="A270" s="406" t="s">
        <v>329</v>
      </c>
      <c r="B270" s="556">
        <f>IF($M270&gt;0,('Amounts Pivot Table'!J$162/$M270),0)</f>
        <v>4285.9160902888116</v>
      </c>
      <c r="C270" s="556">
        <f>IF($M270&gt;0,('Amounts Pivot Table'!J$165/$M270),0)</f>
        <v>0</v>
      </c>
      <c r="D270" s="556">
        <f>IF($M270&gt;0,('Amounts Pivot Table'!J$168/$M270),0)</f>
        <v>0</v>
      </c>
      <c r="E270" s="556">
        <f>IF($M270&gt;0,('Amounts Pivot Table'!J$171/$M270),0)</f>
        <v>3480.748784933171</v>
      </c>
      <c r="F270" s="556">
        <f t="shared" si="28"/>
        <v>7766.6648752219826</v>
      </c>
      <c r="G270" s="557">
        <f>IF(B270&gt;0,RANK(B270,$B$265:$B$283),)</f>
        <v>1</v>
      </c>
      <c r="H270" s="558">
        <f>IF(C270&gt;0,RANK(C270,$C$265:$C$283),)</f>
        <v>0</v>
      </c>
      <c r="I270" s="558">
        <f>IF(D270&gt;0,RANK(D270,$D$265:$D$283),)</f>
        <v>0</v>
      </c>
      <c r="J270" s="558">
        <f>IF(E270&gt;0,RANK(E270,$E$265:$E$283),)</f>
        <v>2</v>
      </c>
      <c r="K270" s="558">
        <f>IF(F270&gt;0,RANK(F270,$F$265:$F$283),)</f>
        <v>1</v>
      </c>
      <c r="L270" s="654"/>
      <c r="M270" s="841">
        <f>+'[1]NEW-Tables 80-86'!AK168</f>
        <v>8559.2000000000007</v>
      </c>
    </row>
    <row r="271" spans="1:13" s="491" customFormat="1" ht="12.75" customHeight="1" x14ac:dyDescent="0.2">
      <c r="A271" s="406" t="s">
        <v>322</v>
      </c>
      <c r="B271" s="556">
        <f>IF($M271&gt;0,('Amounts Pivot Table'!J$201/$M271),0)</f>
        <v>0</v>
      </c>
      <c r="C271" s="556">
        <f>IF($M271&gt;0,('Amounts Pivot Table'!J$204/$M271),0)</f>
        <v>0</v>
      </c>
      <c r="D271" s="556">
        <f>IF($M271&gt;0,('Amounts Pivot Table'!J$209/$M271),0)</f>
        <v>0</v>
      </c>
      <c r="E271" s="556">
        <f>IF($M271&gt;0,('Amounts Pivot Table'!J$210/$M271),0)</f>
        <v>0</v>
      </c>
      <c r="F271" s="556">
        <f t="shared" si="28"/>
        <v>0</v>
      </c>
      <c r="G271" s="557">
        <f>IF(B271&gt;0,RANK(B271,$B$265:$B$283),)</f>
        <v>0</v>
      </c>
      <c r="H271" s="558">
        <f>IF(C271&gt;0,RANK(C271,$C$265:$C$283),)</f>
        <v>0</v>
      </c>
      <c r="I271" s="558">
        <f>IF(D271&gt;0,RANK(D271,$D$265:$D$283),)</f>
        <v>0</v>
      </c>
      <c r="J271" s="558">
        <f>IF(E271&gt;0,RANK(E271,$E$265:$E$283),)</f>
        <v>0</v>
      </c>
      <c r="K271" s="558">
        <f>IF(F271&gt;0,RANK(F271,$F$265:$F$283),)</f>
        <v>0</v>
      </c>
      <c r="L271" s="654"/>
      <c r="M271" s="841">
        <f>+'[1]NEW-Tables 80-86'!AK169</f>
        <v>0</v>
      </c>
    </row>
    <row r="272" spans="1:13" s="491" customFormat="1" ht="12.75" customHeight="1" x14ac:dyDescent="0.2">
      <c r="A272" s="406" t="s">
        <v>330</v>
      </c>
      <c r="B272" s="556">
        <f>IF($M272&gt;0,('Amounts Pivot Table'!J$240/$M272),0)</f>
        <v>0</v>
      </c>
      <c r="C272" s="556">
        <f>IF($M272&gt;0,('Amounts Pivot Table'!J$243/$M272),0)</f>
        <v>0</v>
      </c>
      <c r="D272" s="556">
        <f>IF($M272&gt;0,('Amounts Pivot Table'!J$246/$M272),0)</f>
        <v>0</v>
      </c>
      <c r="E272" s="556">
        <f>IF($M272&gt;0,('Amounts Pivot Table'!J$249/$M272),0)</f>
        <v>0</v>
      </c>
      <c r="F272" s="556">
        <f t="shared" si="28"/>
        <v>0</v>
      </c>
      <c r="G272" s="557">
        <f>IF(B272&gt;0,RANK(B272,$B$265:$B$283),)</f>
        <v>0</v>
      </c>
      <c r="H272" s="558">
        <f>IF(C272&gt;0,RANK(C272,$C$265:$C$283),)</f>
        <v>0</v>
      </c>
      <c r="I272" s="558">
        <f>IF(D272&gt;0,RANK(D272,$D$265:$D$283),)</f>
        <v>0</v>
      </c>
      <c r="J272" s="558">
        <f>IF(E272&gt;0,RANK(E272,$E$265:$E$283),)</f>
        <v>0</v>
      </c>
      <c r="K272" s="558">
        <f>IF(F272&gt;0,RANK(F272,$F$265:$F$283),)</f>
        <v>0</v>
      </c>
      <c r="L272" s="654"/>
      <c r="M272" s="841">
        <f>+'[1]NEW-Tables 80-86'!AK170</f>
        <v>0</v>
      </c>
    </row>
    <row r="273" spans="1:13" s="491" customFormat="1" ht="12.75" customHeight="1" x14ac:dyDescent="0.2">
      <c r="A273" s="406" t="s">
        <v>333</v>
      </c>
      <c r="B273" s="556">
        <f>IF($M273&gt;0,('Amounts Pivot Table'!J$279/$M273),0)</f>
        <v>0</v>
      </c>
      <c r="C273" s="556">
        <f>IF($M273&gt;0,('Amounts Pivot Table'!J$282/$M273),0)</f>
        <v>0</v>
      </c>
      <c r="D273" s="556">
        <f>IF($M273&gt;0,('Amounts Pivot Table'!J$285/$M273),0)</f>
        <v>0</v>
      </c>
      <c r="E273" s="556">
        <f>IF($M273&gt;0,('Amounts Pivot Table'!J$288/$M273),0)</f>
        <v>0</v>
      </c>
      <c r="F273" s="556">
        <f t="shared" si="28"/>
        <v>0</v>
      </c>
      <c r="G273" s="557">
        <f>IF(B273&gt;0,RANK(B273,$B$265:$B$283),)</f>
        <v>0</v>
      </c>
      <c r="H273" s="558">
        <f>IF(C273&gt;0,RANK(C273,$C$265:$C$283),)</f>
        <v>0</v>
      </c>
      <c r="I273" s="558">
        <f>IF(D273&gt;0,RANK(D273,$D$265:$D$283),)</f>
        <v>0</v>
      </c>
      <c r="J273" s="558">
        <f>IF(E273&gt;0,RANK(E273,$E$265:$E$283),)</f>
        <v>0</v>
      </c>
      <c r="K273" s="558">
        <f>IF(F273&gt;0,RANK(F273,$F$265:$F$283),)</f>
        <v>0</v>
      </c>
      <c r="L273" s="654"/>
      <c r="M273" s="841">
        <f>+'[1]NEW-Tables 80-86'!AK171</f>
        <v>0</v>
      </c>
    </row>
    <row r="274" spans="1:13" s="491" customFormat="1" ht="12.75" customHeight="1" x14ac:dyDescent="0.2">
      <c r="A274" s="406"/>
      <c r="B274" s="556"/>
      <c r="C274" s="556"/>
      <c r="D274" s="556"/>
      <c r="E274" s="556"/>
      <c r="F274" s="556"/>
      <c r="G274" s="557"/>
      <c r="H274" s="558"/>
      <c r="I274" s="558"/>
      <c r="J274" s="558"/>
      <c r="K274" s="558"/>
      <c r="L274" s="654"/>
      <c r="M274" s="841"/>
    </row>
    <row r="275" spans="1:13" s="491" customFormat="1" ht="12.75" customHeight="1" x14ac:dyDescent="0.2">
      <c r="A275" s="406" t="s">
        <v>323</v>
      </c>
      <c r="B275" s="556">
        <f>IF($M275&gt;0,('Amounts Pivot Table'!J$318/$M275),0)</f>
        <v>0</v>
      </c>
      <c r="C275" s="556">
        <f>IF($M275&gt;0,('Amounts Pivot Table'!J$322/$M275),0)</f>
        <v>0</v>
      </c>
      <c r="D275" s="556">
        <f>IF($M275&gt;0,('Amounts Pivot Table'!J$324/$M275),0)</f>
        <v>0</v>
      </c>
      <c r="E275" s="556">
        <f>IF($M275&gt;0,('Amounts Pivot Table'!J$327/$M275),0)</f>
        <v>0</v>
      </c>
      <c r="F275" s="556">
        <f t="shared" si="28"/>
        <v>0</v>
      </c>
      <c r="G275" s="557">
        <f>IF(B275&gt;0,RANK(B275,$B$265:$B$283),)</f>
        <v>0</v>
      </c>
      <c r="H275" s="558">
        <f>IF(C275&gt;0,RANK(C275,$C$265:$C$283),)</f>
        <v>0</v>
      </c>
      <c r="I275" s="558">
        <f>IF(D275&gt;0,RANK(D275,$D$265:$D$283),)</f>
        <v>0</v>
      </c>
      <c r="J275" s="558">
        <f>IF(E275&gt;0,RANK(E275,$E$265:$E$283),)</f>
        <v>0</v>
      </c>
      <c r="K275" s="558">
        <f>IF(F275&gt;0,RANK(F275,$F$265:$F$283),)</f>
        <v>0</v>
      </c>
      <c r="L275" s="654"/>
      <c r="M275" s="841">
        <f>+'[1]NEW-Tables 80-86'!AK173</f>
        <v>0</v>
      </c>
    </row>
    <row r="276" spans="1:13" s="491" customFormat="1" ht="12.75" customHeight="1" x14ac:dyDescent="0.2">
      <c r="A276" s="406" t="s">
        <v>324</v>
      </c>
      <c r="B276" s="556">
        <f>IF($M276&gt;0,('Amounts Pivot Table'!J$357/$M276),0)</f>
        <v>0</v>
      </c>
      <c r="C276" s="556">
        <f>IF($M276&gt;0,('Amounts Pivot Table'!J$360/$M276),0)</f>
        <v>0</v>
      </c>
      <c r="D276" s="556">
        <f>IF($M276&gt;0,('Amounts Pivot Table'!J$363/$M276),0)</f>
        <v>0</v>
      </c>
      <c r="E276" s="556">
        <f>IF($M276&gt;0,('Amounts Pivot Table'!J$366/$M276),0)</f>
        <v>0</v>
      </c>
      <c r="F276" s="556">
        <f t="shared" si="28"/>
        <v>0</v>
      </c>
      <c r="G276" s="557">
        <f>IF(B276&gt;0,RANK(B276,$B$265:$B$283),)</f>
        <v>0</v>
      </c>
      <c r="H276" s="558">
        <f>IF(C276&gt;0,RANK(C276,$C$265:$C$283),)</f>
        <v>0</v>
      </c>
      <c r="I276" s="558">
        <f>IF(D276&gt;0,RANK(D276,$D$265:$D$283),)</f>
        <v>0</v>
      </c>
      <c r="J276" s="558">
        <f>IF(E276&gt;0,RANK(E276,$E$265:$E$283),)</f>
        <v>0</v>
      </c>
      <c r="K276" s="558">
        <f>IF(F276&gt;0,RANK(F276,$F$265:$F$283),)</f>
        <v>0</v>
      </c>
      <c r="L276" s="654"/>
      <c r="M276" s="841">
        <f>+'[1]NEW-Tables 80-86'!AK174</f>
        <v>0</v>
      </c>
    </row>
    <row r="277" spans="1:13" s="491" customFormat="1" ht="12.75" customHeight="1" x14ac:dyDescent="0.2">
      <c r="A277" s="406" t="s">
        <v>331</v>
      </c>
      <c r="B277" s="556">
        <f>IF($M277&gt;0,('Amounts Pivot Table'!J$396/$M277),0)</f>
        <v>2896.1612910554577</v>
      </c>
      <c r="C277" s="556">
        <f>IF($M277&gt;0,('Amounts Pivot Table'!J$399/$M277),0)</f>
        <v>0</v>
      </c>
      <c r="D277" s="556">
        <f>IF($M277&gt;0,('Amounts Pivot Table'!J$402/$M277),0)</f>
        <v>0</v>
      </c>
      <c r="E277" s="556">
        <f>IF($M277&gt;0,('Amounts Pivot Table'!J$405/$M277),0)</f>
        <v>3228.1275227759811</v>
      </c>
      <c r="F277" s="556">
        <f t="shared" si="28"/>
        <v>6124.2888138314393</v>
      </c>
      <c r="G277" s="557">
        <f>IF(B277&gt;0,RANK(B277,$B$265:$B$283),)</f>
        <v>4</v>
      </c>
      <c r="H277" s="558">
        <f>IF(C277&gt;0,RANK(C277,$C$265:$C$283),)</f>
        <v>0</v>
      </c>
      <c r="I277" s="558">
        <f>IF(D277&gt;0,RANK(D277,$D$265:$D$283),)</f>
        <v>0</v>
      </c>
      <c r="J277" s="558">
        <f>IF(E277&gt;0,RANK(E277,$E$265:$E$283),)</f>
        <v>3</v>
      </c>
      <c r="K277" s="558">
        <f>IF(F277&gt;0,RANK(F277,$F$265:$F$283),)</f>
        <v>4</v>
      </c>
      <c r="L277" s="654"/>
      <c r="M277" s="841">
        <f>+'[1]NEW-Tables 80-86'!AK175</f>
        <v>8803.1333333333332</v>
      </c>
    </row>
    <row r="278" spans="1:13" s="491" customFormat="1" ht="12.75" customHeight="1" x14ac:dyDescent="0.2">
      <c r="A278" s="406" t="s">
        <v>325</v>
      </c>
      <c r="B278" s="556">
        <f>IF($M278&gt;0,('Amounts Pivot Table'!J$435/$M278),0)</f>
        <v>0</v>
      </c>
      <c r="C278" s="556">
        <f>IF($M278&gt;0,('Amounts Pivot Table'!J$438/$M278),0)</f>
        <v>0</v>
      </c>
      <c r="D278" s="556">
        <f>IF($M278&gt;0,('Amounts Pivot Table'!J$441/$M278),0)</f>
        <v>0</v>
      </c>
      <c r="E278" s="556">
        <f>IF($M278&gt;0,('Amounts Pivot Table'!J$444/$M278),0)</f>
        <v>0</v>
      </c>
      <c r="F278" s="556">
        <f t="shared" si="28"/>
        <v>0</v>
      </c>
      <c r="G278" s="557">
        <f>IF(B278&gt;0,RANK(B278,$B$265:$B$283),)</f>
        <v>0</v>
      </c>
      <c r="H278" s="558">
        <f>IF(C278&gt;0,RANK(C278,$C$265:$C$283),)</f>
        <v>0</v>
      </c>
      <c r="I278" s="558">
        <f>IF(D278&gt;0,RANK(D278,$D$265:$D$283),)</f>
        <v>0</v>
      </c>
      <c r="J278" s="558">
        <f>IF(E278&gt;0,RANK(E278,$E$265:$E$283),)</f>
        <v>0</v>
      </c>
      <c r="K278" s="558">
        <f>IF(F278&gt;0,RANK(F278,$F$265:$F$283),)</f>
        <v>0</v>
      </c>
      <c r="L278" s="654"/>
      <c r="M278" s="841">
        <f>+'[1]NEW-Tables 80-86'!AK176</f>
        <v>0</v>
      </c>
    </row>
    <row r="279" spans="1:13" s="491" customFormat="1" ht="12.75" customHeight="1" x14ac:dyDescent="0.2">
      <c r="A279" s="406"/>
      <c r="B279" s="556"/>
      <c r="C279" s="556"/>
      <c r="D279" s="556"/>
      <c r="E279" s="556"/>
      <c r="F279" s="556"/>
      <c r="G279" s="557"/>
      <c r="H279" s="558"/>
      <c r="I279" s="558"/>
      <c r="J279" s="558"/>
      <c r="K279" s="558"/>
      <c r="L279" s="654"/>
      <c r="M279" s="841"/>
    </row>
    <row r="280" spans="1:13" s="491" customFormat="1" ht="12.75" customHeight="1" x14ac:dyDescent="0.2">
      <c r="A280" s="406" t="s">
        <v>90</v>
      </c>
      <c r="B280" s="556">
        <f>IF($M280&gt;0,('Amounts Pivot Table'!J$474/$M280),0)</f>
        <v>0</v>
      </c>
      <c r="C280" s="556">
        <f>IF($M280&gt;0,('Amounts Pivot Table'!J$477/$M280),0)</f>
        <v>0</v>
      </c>
      <c r="D280" s="556">
        <f>IF($M280&gt;0,('Amounts Pivot Table'!J$480/$M280),0)</f>
        <v>0</v>
      </c>
      <c r="E280" s="556">
        <f>IF($M280&gt;0,('Amounts Pivot Table'!J$483/$M280),0)</f>
        <v>0</v>
      </c>
      <c r="F280" s="556">
        <f t="shared" si="28"/>
        <v>0</v>
      </c>
      <c r="G280" s="557">
        <f>IF(B280&gt;0,RANK(B280,$B$265:$B$283),)</f>
        <v>0</v>
      </c>
      <c r="H280" s="558">
        <f>IF(C280&gt;0,RANK(C280,$C$265:$C$283),)</f>
        <v>0</v>
      </c>
      <c r="I280" s="558">
        <f>IF(D280&gt;0,RANK(D280,$D$265:$D$283),)</f>
        <v>0</v>
      </c>
      <c r="J280" s="558">
        <f>IF(E280&gt;0,RANK(E280,$E$265:$E$283),)</f>
        <v>0</v>
      </c>
      <c r="K280" s="558">
        <f>IF(F280&gt;0,RANK(F280,$F$265:$F$283),)</f>
        <v>0</v>
      </c>
      <c r="L280" s="654"/>
      <c r="M280" s="841">
        <f>+'[1]NEW-Tables 80-86'!AK178</f>
        <v>0</v>
      </c>
    </row>
    <row r="281" spans="1:13" s="76" customFormat="1" ht="12.75" customHeight="1" x14ac:dyDescent="0.2">
      <c r="A281" s="406" t="s">
        <v>326</v>
      </c>
      <c r="B281" s="556">
        <f>IF($M281&gt;0,('Amounts Pivot Table'!J$513/$M281),0)</f>
        <v>2121.9884694603393</v>
      </c>
      <c r="C281" s="556">
        <f>IF($M281&gt;0,('Amounts Pivot Table'!J$516/$M281),0)</f>
        <v>0</v>
      </c>
      <c r="D281" s="556">
        <f>IF($M281&gt;0,('Amounts Pivot Table'!J$519/$M281),0)</f>
        <v>3209.7152310077172</v>
      </c>
      <c r="E281" s="556">
        <f>IF($M281&gt;0,('Amounts Pivot Table'!J$522/$M281),0)</f>
        <v>1498.2213757419763</v>
      </c>
      <c r="F281" s="556">
        <f t="shared" si="28"/>
        <v>6829.9250762100328</v>
      </c>
      <c r="G281" s="557">
        <f>IF(B281&gt;0,RANK(B281,$B$265:$B$283),)</f>
        <v>5</v>
      </c>
      <c r="H281" s="558">
        <f>IF(C281&gt;0,RANK(C281,$C$265:$C$283),)</f>
        <v>0</v>
      </c>
      <c r="I281" s="558">
        <f>IF(D281&gt;0,RANK(D281,$D$265:$D$283),)</f>
        <v>1</v>
      </c>
      <c r="J281" s="558">
        <f>IF(E281&gt;0,RANK(E281,$E$265:$E$283),)</f>
        <v>5</v>
      </c>
      <c r="K281" s="558">
        <f>IF(F281&gt;0,RANK(F281,$F$265:$F$283),)</f>
        <v>3</v>
      </c>
      <c r="L281" s="169"/>
      <c r="M281" s="841">
        <f>+'[1]NEW-Tables 80-86'!AK179</f>
        <v>25487.676666666666</v>
      </c>
    </row>
    <row r="282" spans="1:13" s="491" customFormat="1" ht="12.75" customHeight="1" x14ac:dyDescent="0.2">
      <c r="A282" s="406" t="s">
        <v>327</v>
      </c>
      <c r="B282" s="556">
        <f>IF($M282&gt;0,('Amounts Pivot Table'!J$552/$M282),0)</f>
        <v>0</v>
      </c>
      <c r="C282" s="556">
        <f>IF($M282&gt;0,('Amounts Pivot Table'!J$555/$M282),0)</f>
        <v>0</v>
      </c>
      <c r="D282" s="556">
        <f>IF($M282&gt;0,('Amounts Pivot Table'!J$558/$M282),0)</f>
        <v>0</v>
      </c>
      <c r="E282" s="556">
        <f>IF($M282&gt;0,('Amounts Pivot Table'!J$561/$M282),0)</f>
        <v>0</v>
      </c>
      <c r="F282" s="556">
        <f t="shared" si="28"/>
        <v>0</v>
      </c>
      <c r="G282" s="557">
        <f>IF(B282&gt;0,RANK(B282,$B$265:$B$283),)</f>
        <v>0</v>
      </c>
      <c r="H282" s="558">
        <f>IF(C282&gt;0,RANK(C282,$C$265:$C$283),)</f>
        <v>0</v>
      </c>
      <c r="I282" s="558">
        <f>IF(D282&gt;0,RANK(D282,$D$265:$D$283),)</f>
        <v>0</v>
      </c>
      <c r="J282" s="558">
        <f>IF(E282&gt;0,RANK(E282,$E$265:$E$283),)</f>
        <v>0</v>
      </c>
      <c r="K282" s="558">
        <f>IF(F282&gt;0,RANK(F282,$F$265:$F$283),)</f>
        <v>0</v>
      </c>
      <c r="L282" s="655"/>
      <c r="M282" s="841">
        <f>+'[1]NEW-Tables 80-86'!AK180</f>
        <v>0</v>
      </c>
    </row>
    <row r="283" spans="1:13" s="491" customFormat="1" ht="15.75" customHeight="1" x14ac:dyDescent="0.2">
      <c r="A283" s="407" t="s">
        <v>332</v>
      </c>
      <c r="B283" s="562">
        <f>IF($M283&gt;0,('Amounts Pivot Table'!J$591/$M283),0)</f>
        <v>3443.0133035215204</v>
      </c>
      <c r="C283" s="562">
        <f>IF($M283&gt;0,('Amounts Pivot Table'!J$594/$M283),0)</f>
        <v>46.39463387367244</v>
      </c>
      <c r="D283" s="562">
        <f>IF($M283&gt;0,('Amounts Pivot Table'!J$597/$M283),0)</f>
        <v>0</v>
      </c>
      <c r="E283" s="562">
        <f>IF($M283&gt;0,('Amounts Pivot Table'!J$600/$M283),0)</f>
        <v>3769.633761878144</v>
      </c>
      <c r="F283" s="563">
        <f t="shared" si="28"/>
        <v>7259.0416992733371</v>
      </c>
      <c r="G283" s="564">
        <f>IF(B283&gt;0,RANK(B283,$B$265:$B$283),)</f>
        <v>2</v>
      </c>
      <c r="H283" s="565">
        <f>IF(C283&gt;0,RANK(C283,$C$265:$C$283),)</f>
        <v>1</v>
      </c>
      <c r="I283" s="565">
        <f>IF(D283&gt;0,RANK(D283,$D$265:$D$283),)</f>
        <v>0</v>
      </c>
      <c r="J283" s="565">
        <f>IF(E283&gt;0,RANK(E283,$E$265:$E$283),)</f>
        <v>1</v>
      </c>
      <c r="K283" s="565">
        <f>IF(F283&gt;0,RANK(F283,$F$265:$F$283),)</f>
        <v>2</v>
      </c>
      <c r="L283" s="655"/>
      <c r="M283" s="841">
        <f>+'[1]NEW-Tables 80-86'!AK181</f>
        <v>4472.5</v>
      </c>
    </row>
    <row r="284" spans="1:13" s="76" customFormat="1" ht="34.5" customHeight="1" x14ac:dyDescent="0.2">
      <c r="A284" s="1558" t="s">
        <v>17</v>
      </c>
      <c r="B284" s="1582"/>
      <c r="C284" s="1582"/>
      <c r="D284" s="1582"/>
      <c r="E284" s="1582"/>
      <c r="F284" s="1582"/>
      <c r="G284" s="1582"/>
      <c r="H284" s="1582"/>
      <c r="I284" s="1582"/>
      <c r="J284" s="1582"/>
      <c r="K284" s="1582"/>
      <c r="L284" s="169"/>
      <c r="M284" s="649"/>
    </row>
    <row r="285" spans="1:13" s="205" customFormat="1" ht="13.5" customHeight="1" x14ac:dyDescent="0.2">
      <c r="A285" s="1558" t="s">
        <v>54</v>
      </c>
      <c r="B285" s="1582"/>
      <c r="C285" s="1582"/>
      <c r="D285" s="1582"/>
      <c r="E285" s="1582"/>
      <c r="F285" s="1582"/>
      <c r="G285" s="1582"/>
      <c r="H285" s="1582"/>
      <c r="I285" s="1582"/>
      <c r="J285" s="1582"/>
      <c r="K285" s="1582"/>
      <c r="L285" s="204"/>
      <c r="M285" s="649"/>
    </row>
    <row r="286" spans="1:13" s="491" customFormat="1" ht="13.5" customHeight="1" x14ac:dyDescent="0.2">
      <c r="A286" s="1558" t="s">
        <v>233</v>
      </c>
      <c r="B286" s="1593"/>
      <c r="C286" s="1593"/>
      <c r="D286" s="1593"/>
      <c r="E286" s="1593"/>
      <c r="F286" s="1593"/>
      <c r="G286" s="1594"/>
      <c r="H286" s="1594"/>
      <c r="I286" s="1594"/>
      <c r="J286" s="1594"/>
      <c r="K286" s="1594"/>
      <c r="L286" s="658"/>
      <c r="M286" s="649"/>
    </row>
    <row r="287" spans="1:13" s="491" customFormat="1" ht="13.5" customHeight="1" x14ac:dyDescent="0.2">
      <c r="A287" s="644"/>
      <c r="B287" s="657"/>
      <c r="C287" s="657"/>
      <c r="D287" s="657"/>
      <c r="E287" s="657"/>
      <c r="F287" s="657"/>
      <c r="G287" s="659"/>
      <c r="H287" s="659"/>
      <c r="I287" s="659"/>
      <c r="J287" s="659"/>
      <c r="K287" s="659"/>
      <c r="L287" s="658"/>
      <c r="M287" s="649"/>
    </row>
    <row r="288" spans="1:13" s="491" customFormat="1" x14ac:dyDescent="0.2">
      <c r="A288" s="644"/>
      <c r="B288" s="657"/>
      <c r="C288" s="657"/>
      <c r="D288" s="657"/>
      <c r="E288" s="657"/>
      <c r="F288" s="657"/>
      <c r="G288" s="659"/>
      <c r="H288" s="659"/>
      <c r="I288" s="659"/>
      <c r="J288" s="659"/>
      <c r="K288" s="535" t="s">
        <v>1898</v>
      </c>
      <c r="L288" s="658"/>
      <c r="M288" s="649"/>
    </row>
    <row r="289" spans="1:13" s="491" customFormat="1" ht="15.75" x14ac:dyDescent="0.2">
      <c r="A289" s="1557" t="s">
        <v>367</v>
      </c>
      <c r="B289" s="1557"/>
      <c r="C289" s="1557"/>
      <c r="D289" s="1557"/>
      <c r="E289" s="1557"/>
      <c r="F289" s="1557"/>
      <c r="G289" s="1557"/>
      <c r="H289" s="1557"/>
      <c r="I289" s="1557"/>
      <c r="J289" s="1557"/>
      <c r="K289" s="1557"/>
      <c r="L289" s="655"/>
      <c r="M289" s="649"/>
    </row>
    <row r="290" spans="1:13" s="491" customFormat="1" ht="18.75" x14ac:dyDescent="0.2">
      <c r="A290" s="1557" t="s">
        <v>18</v>
      </c>
      <c r="B290" s="1557"/>
      <c r="C290" s="1557"/>
      <c r="D290" s="1557"/>
      <c r="E290" s="1557"/>
      <c r="F290" s="1557"/>
      <c r="G290" s="1557"/>
      <c r="H290" s="1557"/>
      <c r="I290" s="1557"/>
      <c r="J290" s="1557"/>
      <c r="K290" s="1557"/>
      <c r="L290" s="165"/>
      <c r="M290" s="649"/>
    </row>
    <row r="291" spans="1:13" s="491" customFormat="1" ht="15.75" x14ac:dyDescent="0.15">
      <c r="A291" s="1557" t="s">
        <v>442</v>
      </c>
      <c r="B291" s="1557"/>
      <c r="C291" s="1557"/>
      <c r="D291" s="1557"/>
      <c r="E291" s="1557"/>
      <c r="F291" s="1557"/>
      <c r="G291" s="1557"/>
      <c r="H291" s="1557"/>
      <c r="I291" s="1557"/>
      <c r="J291" s="1557"/>
      <c r="K291" s="1557"/>
      <c r="L291" s="165"/>
      <c r="M291" s="660"/>
    </row>
    <row r="292" spans="1:13" s="491" customFormat="1" ht="9" customHeight="1" x14ac:dyDescent="0.2">
      <c r="A292" s="91"/>
      <c r="B292" s="91"/>
      <c r="C292" s="91"/>
      <c r="D292" s="91"/>
      <c r="E292" s="91"/>
      <c r="F292" s="91"/>
      <c r="G292" s="108"/>
      <c r="H292" s="91"/>
      <c r="I292" s="91"/>
      <c r="J292" s="91"/>
      <c r="K292" s="91"/>
      <c r="L292" s="165"/>
      <c r="M292" s="649"/>
    </row>
    <row r="293" spans="1:13" s="491" customFormat="1" ht="16.5" customHeight="1" x14ac:dyDescent="0.2">
      <c r="A293" s="60"/>
      <c r="B293" s="1595" t="s">
        <v>55</v>
      </c>
      <c r="C293" s="1596"/>
      <c r="D293" s="1596"/>
      <c r="E293" s="1596"/>
      <c r="F293" s="1596"/>
      <c r="G293" s="57" t="s">
        <v>119</v>
      </c>
      <c r="H293" s="58"/>
      <c r="I293" s="58"/>
      <c r="J293" s="58"/>
      <c r="K293" s="58"/>
      <c r="L293" s="173"/>
      <c r="M293" s="649"/>
    </row>
    <row r="294" spans="1:13" s="378" customFormat="1" ht="45" x14ac:dyDescent="0.2">
      <c r="A294" s="650"/>
      <c r="B294" s="51" t="s">
        <v>87</v>
      </c>
      <c r="C294" s="52" t="s">
        <v>89</v>
      </c>
      <c r="D294" s="52" t="s">
        <v>88</v>
      </c>
      <c r="E294" s="52" t="s">
        <v>306</v>
      </c>
      <c r="F294" s="52" t="s">
        <v>97</v>
      </c>
      <c r="G294" s="53" t="s">
        <v>87</v>
      </c>
      <c r="H294" s="52" t="s">
        <v>89</v>
      </c>
      <c r="I294" s="52" t="s">
        <v>88</v>
      </c>
      <c r="J294" s="52" t="s">
        <v>306</v>
      </c>
      <c r="K294" s="52" t="s">
        <v>97</v>
      </c>
      <c r="L294" s="652"/>
      <c r="M294" s="649" t="s">
        <v>260</v>
      </c>
    </row>
    <row r="295" spans="1:13" s="491" customFormat="1" ht="14.25" x14ac:dyDescent="0.2">
      <c r="A295" s="406" t="s">
        <v>56</v>
      </c>
      <c r="B295" s="553">
        <f>IF($M295&gt;0,('Amounts Pivot Table'!K$630/$M295),0)</f>
        <v>2362.6744534720156</v>
      </c>
      <c r="C295" s="553">
        <f>IF($M295&gt;0,('Amounts Pivot Table'!K$633/$M295),0)</f>
        <v>83.099184481747685</v>
      </c>
      <c r="D295" s="553">
        <f>IF($M295&gt;0,('Amounts Pivot Table'!K$636/$M295),0)</f>
        <v>1624.5166397945402</v>
      </c>
      <c r="E295" s="553">
        <f>IF($M295&gt;0,('Amounts Pivot Table'!K$639/$M295),0)</f>
        <v>2713.2278662373342</v>
      </c>
      <c r="F295" s="553">
        <f>SUM(B295:E295)</f>
        <v>6783.5181439856369</v>
      </c>
      <c r="G295" s="554"/>
      <c r="H295" s="555"/>
      <c r="I295" s="555"/>
      <c r="J295" s="555"/>
      <c r="K295" s="555"/>
      <c r="L295" s="654"/>
      <c r="M295" s="841">
        <f>+'[1]NEW-Tables 80-86'!AL161</f>
        <v>850650.40711111121</v>
      </c>
    </row>
    <row r="296" spans="1:13" s="112" customFormat="1" ht="12.75" customHeight="1" x14ac:dyDescent="0.2">
      <c r="A296" s="110"/>
      <c r="B296" s="111"/>
      <c r="C296" s="111"/>
      <c r="D296" s="111"/>
      <c r="E296" s="111"/>
      <c r="F296" s="111"/>
      <c r="G296" s="119"/>
      <c r="H296" s="120"/>
      <c r="I296" s="120"/>
      <c r="J296" s="120"/>
      <c r="K296" s="120"/>
      <c r="L296" s="175"/>
      <c r="M296" s="841"/>
    </row>
    <row r="297" spans="1:13" s="491" customFormat="1" ht="12.75" customHeight="1" x14ac:dyDescent="0.2">
      <c r="A297" s="406" t="s">
        <v>320</v>
      </c>
      <c r="B297" s="556">
        <f>IF($M297&gt;0,('Amounts Pivot Table'!K$6/$M297),0)</f>
        <v>3178.2064339545741</v>
      </c>
      <c r="C297" s="556">
        <f>IF($M297&gt;0,('Amounts Pivot Table'!K$9/$M297),0)</f>
        <v>189.52723342134209</v>
      </c>
      <c r="D297" s="556">
        <f>IF($M297&gt;0,('Amounts Pivot Table'!K$12/$M297),0)</f>
        <v>3.4574225197951578</v>
      </c>
      <c r="E297" s="556">
        <f>IF($M297&gt;0,('Amounts Pivot Table'!K$15/$M297),0)</f>
        <v>3564.4953580712036</v>
      </c>
      <c r="F297" s="556">
        <f t="shared" ref="F297:F315" si="29">SUM(B297:E297)</f>
        <v>6935.6864479669148</v>
      </c>
      <c r="G297" s="557">
        <f>IF(B297&gt;0,RANK(B297,$B$297:$B$315),)</f>
        <v>2</v>
      </c>
      <c r="H297" s="558">
        <f>IF(C297&gt;0,RANK(C297,$C$297:$C$315),)</f>
        <v>3</v>
      </c>
      <c r="I297" s="558">
        <f>IF(D297&gt;0,RANK(D297,$D$297:$D$315),)</f>
        <v>8</v>
      </c>
      <c r="J297" s="558">
        <f>IF(E297&gt;0,RANK(E297,$E$297:$E$315),)</f>
        <v>8</v>
      </c>
      <c r="K297" s="558">
        <f>IF(F297&gt;0,RANK(F297,$F$297:$F$315),)</f>
        <v>7</v>
      </c>
      <c r="L297" s="654"/>
      <c r="M297" s="841">
        <f>+'[1]NEW-Tables 80-86'!AL163</f>
        <v>24454.633333333335</v>
      </c>
    </row>
    <row r="298" spans="1:13" s="491" customFormat="1" ht="12.75" customHeight="1" x14ac:dyDescent="0.2">
      <c r="A298" s="406" t="s">
        <v>334</v>
      </c>
      <c r="B298" s="556">
        <f>IF($M298&gt;0,('Amounts Pivot Table'!K$45/$M298),0)</f>
        <v>1957.5606023980454</v>
      </c>
      <c r="C298" s="556">
        <f>IF($M298&gt;0,('Amounts Pivot Table'!K$48/$M298),0)</f>
        <v>0</v>
      </c>
      <c r="D298" s="556">
        <f>IF($M298&gt;0,('Amounts Pivot Table'!K$51/$M298),0)</f>
        <v>398.02796076949613</v>
      </c>
      <c r="E298" s="556">
        <f>IF($M298&gt;0,('Amounts Pivot Table'!K$54/$M298),0)</f>
        <v>3746.3568858734043</v>
      </c>
      <c r="F298" s="556">
        <f t="shared" si="29"/>
        <v>6101.9454490409462</v>
      </c>
      <c r="G298" s="557">
        <f>IF(B298&gt;0,RANK(B298,$B$297:$B$315),)</f>
        <v>10</v>
      </c>
      <c r="H298" s="558">
        <f>IF(C298&gt;0,RANK(C298,$C$297:$C$315),)</f>
        <v>0</v>
      </c>
      <c r="I298" s="558">
        <f>IF(D298&gt;0,RANK(D298,$D$297:$D$315),)</f>
        <v>7</v>
      </c>
      <c r="J298" s="558">
        <f>IF(E298&gt;0,RANK(E298,$E$297:$E$315),)</f>
        <v>6</v>
      </c>
      <c r="K298" s="558">
        <f>IF(F298&gt;0,RANK(F298,$F$297:$F$315),)</f>
        <v>10</v>
      </c>
      <c r="L298" s="654"/>
      <c r="M298" s="841">
        <f>+'[1]NEW-Tables 80-86'!AL164</f>
        <v>14203.233333333334</v>
      </c>
    </row>
    <row r="299" spans="1:13" s="491" customFormat="1" ht="12.75" customHeight="1" x14ac:dyDescent="0.2">
      <c r="A299" s="406" t="s">
        <v>321</v>
      </c>
      <c r="B299" s="556">
        <f>IF($M299&gt;0,('Amounts Pivot Table'!K$84/$M299),0)</f>
        <v>5711.1390688760539</v>
      </c>
      <c r="C299" s="556">
        <f>IF($M299&gt;0,('Amounts Pivot Table'!K$88/$M299),0)</f>
        <v>0</v>
      </c>
      <c r="D299" s="556">
        <f>IF($M299&gt;0,('Amounts Pivot Table'!K$90/$M299),0)</f>
        <v>0</v>
      </c>
      <c r="E299" s="556">
        <f>IF($M299&gt;0,('Amounts Pivot Table'!K$93/$M299),0)</f>
        <v>4489.087780138977</v>
      </c>
      <c r="F299" s="556">
        <f t="shared" si="29"/>
        <v>10200.226849015031</v>
      </c>
      <c r="G299" s="557">
        <f>IF(B299&gt;0,RANK(B299,$B$297:$B$315),)</f>
        <v>1</v>
      </c>
      <c r="H299" s="558">
        <f>IF(C299&gt;0,RANK(C299,$C$297:$C$315),)</f>
        <v>0</v>
      </c>
      <c r="I299" s="558">
        <f>IF(D299&gt;0,RANK(D299,$D$297:$D$315),)</f>
        <v>0</v>
      </c>
      <c r="J299" s="558">
        <f>IF(E299&gt;0,RANK(E299,$E$297:$E$315),)</f>
        <v>2</v>
      </c>
      <c r="K299" s="558">
        <f>IF(F299&gt;0,RANK(F299,$F$297:$F$315),)</f>
        <v>1</v>
      </c>
      <c r="L299" s="654"/>
      <c r="M299" s="841">
        <f>+'[1]NEW-Tables 80-86'!AL165</f>
        <v>5113.5333333333338</v>
      </c>
    </row>
    <row r="300" spans="1:13" s="491" customFormat="1" ht="12.75" customHeight="1" x14ac:dyDescent="0.2">
      <c r="A300" s="406" t="s">
        <v>328</v>
      </c>
      <c r="B300" s="556">
        <f>IF($M300&gt;0,('Amounts Pivot Table'!K$123/$M300),0)</f>
        <v>2636.6742188803419</v>
      </c>
      <c r="C300" s="556">
        <f>IF($M300&gt;0,('Amounts Pivot Table'!K$126/$M300),0)</f>
        <v>0</v>
      </c>
      <c r="D300" s="556">
        <f>IF($M300&gt;0,('Amounts Pivot Table'!K$129/$M300),0)</f>
        <v>0</v>
      </c>
      <c r="E300" s="556">
        <f>IF($M300&gt;0,('Amounts Pivot Table'!K$132/$M300),0)</f>
        <v>2413.0846844915163</v>
      </c>
      <c r="F300" s="556">
        <f t="shared" si="29"/>
        <v>5049.7589033718577</v>
      </c>
      <c r="G300" s="557">
        <f>IF(B300&gt;0,RANK(B300,$B$297:$B$315),)</f>
        <v>7</v>
      </c>
      <c r="H300" s="558">
        <f>IF(C300&gt;0,RANK(C300,$C$297:$C$315),)</f>
        <v>0</v>
      </c>
      <c r="I300" s="558">
        <f>IF(D300&gt;0,RANK(D300,$D$297:$D$315),)</f>
        <v>0</v>
      </c>
      <c r="J300" s="558">
        <f>IF(E300&gt;0,RANK(E300,$E$297:$E$315),)</f>
        <v>12</v>
      </c>
      <c r="K300" s="558">
        <f>IF(F300&gt;0,RANK(F300,$F$297:$F$315),)</f>
        <v>14</v>
      </c>
      <c r="L300" s="654"/>
      <c r="M300" s="841">
        <f>+'[1]NEW-Tables 80-86'!AL166</f>
        <v>126150.89555555554</v>
      </c>
    </row>
    <row r="301" spans="1:13" s="491" customFormat="1" ht="12.75" customHeight="1" x14ac:dyDescent="0.2">
      <c r="A301" s="406"/>
      <c r="B301" s="556"/>
      <c r="C301" s="556"/>
      <c r="D301" s="556"/>
      <c r="E301" s="556"/>
      <c r="F301" s="556"/>
      <c r="G301" s="557"/>
      <c r="H301" s="558"/>
      <c r="I301" s="558"/>
      <c r="J301" s="558"/>
      <c r="K301" s="558"/>
      <c r="L301" s="654"/>
      <c r="M301" s="841"/>
    </row>
    <row r="302" spans="1:13" s="491" customFormat="1" ht="12.75" customHeight="1" x14ac:dyDescent="0.2">
      <c r="A302" s="406" t="s">
        <v>329</v>
      </c>
      <c r="B302" s="556">
        <f>IF($M302&gt;0,('Amounts Pivot Table'!K$162/$M302),0)</f>
        <v>2449.0613740015051</v>
      </c>
      <c r="C302" s="556">
        <f>IF($M302&gt;0,('Amounts Pivot Table'!K$165/$M302),0)</f>
        <v>0</v>
      </c>
      <c r="D302" s="556">
        <f>IF($M302&gt;0,('Amounts Pivot Table'!K$168/$M302),0)</f>
        <v>0</v>
      </c>
      <c r="E302" s="556">
        <f>IF($M302&gt;0,('Amounts Pivot Table'!K$171/$M302),0)</f>
        <v>3442.218621646372</v>
      </c>
      <c r="F302" s="556">
        <f t="shared" si="29"/>
        <v>5891.2799956478775</v>
      </c>
      <c r="G302" s="557">
        <f>IF(B302&gt;0,RANK(B302,$B$297:$B$315),)</f>
        <v>8</v>
      </c>
      <c r="H302" s="558">
        <f>IF(C302&gt;0,RANK(C302,$C$297:$C$315),)</f>
        <v>0</v>
      </c>
      <c r="I302" s="558">
        <f>IF(D302&gt;0,RANK(D302,$D$297:$D$315),)</f>
        <v>0</v>
      </c>
      <c r="J302" s="558">
        <f>IF(E302&gt;0,RANK(E302,$E$297:$E$315),)</f>
        <v>9</v>
      </c>
      <c r="K302" s="558">
        <f>IF(F302&gt;0,RANK(F302,$F$297:$F$315),)</f>
        <v>12</v>
      </c>
      <c r="L302" s="654"/>
      <c r="M302" s="841">
        <f>+'[1]NEW-Tables 80-86'!AL168</f>
        <v>18381.833333333332</v>
      </c>
    </row>
    <row r="303" spans="1:13" s="491" customFormat="1" ht="12.75" customHeight="1" x14ac:dyDescent="0.2">
      <c r="A303" s="406" t="s">
        <v>322</v>
      </c>
      <c r="B303" s="556">
        <f>IF($M303&gt;0,('Amounts Pivot Table'!K$201/$M303),0)</f>
        <v>1717.2181677197993</v>
      </c>
      <c r="C303" s="556">
        <f>IF($M303&gt;0,('Amounts Pivot Table'!K$204/$M303),0)</f>
        <v>0</v>
      </c>
      <c r="D303" s="556">
        <f>IF($M303&gt;0,('Amounts Pivot Table'!K$207/$M303),0)</f>
        <v>0</v>
      </c>
      <c r="E303" s="556">
        <f>IF($M303&gt;0,('Amounts Pivot Table'!K$210/$M303),0)</f>
        <v>4286.1734455352971</v>
      </c>
      <c r="F303" s="556">
        <f t="shared" si="29"/>
        <v>6003.3916132550967</v>
      </c>
      <c r="G303" s="557">
        <f>IF(B303&gt;0,RANK(B303,$B$297:$B$315),)</f>
        <v>13</v>
      </c>
      <c r="H303" s="558">
        <f>IF(C303&gt;0,RANK(C303,$C$297:$C$315),)</f>
        <v>0</v>
      </c>
      <c r="I303" s="558">
        <f>IF(D303&gt;0,RANK(D303,$D$297:$D$315),)</f>
        <v>0</v>
      </c>
      <c r="J303" s="558">
        <f>IF(E303&gt;0,RANK(E303,$E$297:$E$315),)</f>
        <v>5</v>
      </c>
      <c r="K303" s="558">
        <f>IF(F303&gt;0,RANK(F303,$F$297:$F$315),)</f>
        <v>11</v>
      </c>
      <c r="L303" s="654"/>
      <c r="M303" s="841">
        <f>+'[1]NEW-Tables 80-86'!AL169</f>
        <v>17112</v>
      </c>
    </row>
    <row r="304" spans="1:13" s="491" customFormat="1" ht="12.75" customHeight="1" x14ac:dyDescent="0.2">
      <c r="A304" s="406" t="s">
        <v>330</v>
      </c>
      <c r="B304" s="556">
        <f>IF($M304&gt;0,('Amounts Pivot Table'!K$240/$M304),0)</f>
        <v>1889.2153603015727</v>
      </c>
      <c r="C304" s="556">
        <f>IF($M304&gt;0,('Amounts Pivot Table'!K$243/$M304),0)</f>
        <v>0</v>
      </c>
      <c r="D304" s="556">
        <f>IF($M304&gt;0,('Amounts Pivot Table'!K$246/$M304),0)</f>
        <v>0</v>
      </c>
      <c r="E304" s="556">
        <f>IF($M304&gt;0,('Amounts Pivot Table'!K$249/$M304),0)</f>
        <v>3582.3382210068485</v>
      </c>
      <c r="F304" s="556">
        <f t="shared" si="29"/>
        <v>5471.5535813084207</v>
      </c>
      <c r="G304" s="557">
        <f>IF(B304&gt;0,RANK(B304,$B$297:$B$315),)</f>
        <v>11</v>
      </c>
      <c r="H304" s="558">
        <f>IF(C304&gt;0,RANK(C304,$C$297:$C$315),)</f>
        <v>0</v>
      </c>
      <c r="I304" s="558">
        <f>IF(D304&gt;0,RANK(D304,$D$297:$D$315),)</f>
        <v>0</v>
      </c>
      <c r="J304" s="558">
        <f>IF(E304&gt;0,RANK(E304,$E$297:$E$315),)</f>
        <v>7</v>
      </c>
      <c r="K304" s="558">
        <f>IF(F304&gt;0,RANK(F304,$F$297:$F$315),)</f>
        <v>13</v>
      </c>
      <c r="L304" s="654"/>
      <c r="M304" s="841">
        <f>+'[1]NEW-Tables 80-86'!AL170</f>
        <v>25183.533333333333</v>
      </c>
    </row>
    <row r="305" spans="1:13" s="491" customFormat="1" ht="12.75" customHeight="1" x14ac:dyDescent="0.2">
      <c r="A305" s="406" t="s">
        <v>333</v>
      </c>
      <c r="B305" s="556">
        <f>IF($M305&gt;0,('Amounts Pivot Table'!K$279/$M305),0)</f>
        <v>1847.7957918259672</v>
      </c>
      <c r="C305" s="556">
        <f>IF($M305&gt;0,('Amounts Pivot Table'!K$282/$M305),0)</f>
        <v>0</v>
      </c>
      <c r="D305" s="556">
        <f>IF($M305&gt;0,('Amounts Pivot Table'!K$285/$M305),0)</f>
        <v>3099.3149985508867</v>
      </c>
      <c r="E305" s="556">
        <f>IF($M305&gt;0,('Amounts Pivot Table'!K$288/$M305),0)</f>
        <v>4423.9086561456943</v>
      </c>
      <c r="F305" s="556">
        <f t="shared" si="29"/>
        <v>9371.0194465225468</v>
      </c>
      <c r="G305" s="557">
        <f>IF(B305&gt;0,RANK(B305,$B$297:$B$315),)</f>
        <v>12</v>
      </c>
      <c r="H305" s="558">
        <f>IF(C305&gt;0,RANK(C305,$C$297:$C$315),)</f>
        <v>0</v>
      </c>
      <c r="I305" s="558">
        <f>IF(D305&gt;0,RANK(D305,$D$297:$D$315),)</f>
        <v>1</v>
      </c>
      <c r="J305" s="558">
        <f>IF(E305&gt;0,RANK(E305,$E$297:$E$315),)</f>
        <v>3</v>
      </c>
      <c r="K305" s="558">
        <f>IF(F305&gt;0,RANK(F305,$F$297:$F$315),)</f>
        <v>2</v>
      </c>
      <c r="L305" s="654"/>
      <c r="M305" s="841">
        <f>+'[1]NEW-Tables 80-86'!AL171</f>
        <v>77461.149999999994</v>
      </c>
    </row>
    <row r="306" spans="1:13" s="491" customFormat="1" ht="12.75" customHeight="1" x14ac:dyDescent="0.2">
      <c r="A306" s="406"/>
      <c r="B306" s="556"/>
      <c r="C306" s="556"/>
      <c r="D306" s="556"/>
      <c r="E306" s="556"/>
      <c r="F306" s="556"/>
      <c r="G306" s="557"/>
      <c r="H306" s="558"/>
      <c r="I306" s="558"/>
      <c r="J306" s="558"/>
      <c r="K306" s="558"/>
      <c r="L306" s="654"/>
      <c r="M306" s="841"/>
    </row>
    <row r="307" spans="1:13" s="491" customFormat="1" ht="12.75" customHeight="1" x14ac:dyDescent="0.2">
      <c r="A307" s="406" t="s">
        <v>323</v>
      </c>
      <c r="B307" s="556">
        <f>IF($M307&gt;0,('Amounts Pivot Table'!K$318/$M307),0)</f>
        <v>3177.5481570540642</v>
      </c>
      <c r="C307" s="556">
        <f>IF($M307&gt;0,('Amounts Pivot Table'!K$321/$M307),0)</f>
        <v>372.82551401524353</v>
      </c>
      <c r="D307" s="556">
        <f>IF($M307&gt;0,('Amounts Pivot Table'!K$324/$M307),0)</f>
        <v>983.04894484183478</v>
      </c>
      <c r="E307" s="556">
        <f>IF($M307&gt;0,('Amounts Pivot Table'!K$327/$M307),0)</f>
        <v>2676.6686234765093</v>
      </c>
      <c r="F307" s="556">
        <f t="shared" si="29"/>
        <v>7210.0912393876515</v>
      </c>
      <c r="G307" s="557">
        <f>IF(B307&gt;0,RANK(B307,$B$297:$B$315),)</f>
        <v>3</v>
      </c>
      <c r="H307" s="558">
        <f>IF(C307&gt;0,RANK(C307,$C$297:$C$315),)</f>
        <v>2</v>
      </c>
      <c r="I307" s="558">
        <f>IF(D307&gt;0,RANK(D307,$D$297:$D$315),)</f>
        <v>5</v>
      </c>
      <c r="J307" s="558">
        <f>IF(E307&gt;0,RANK(E307,$E$297:$E$315),)</f>
        <v>11</v>
      </c>
      <c r="K307" s="558">
        <f>IF(F307&gt;0,RANK(F307,$F$297:$F$315),)</f>
        <v>5</v>
      </c>
      <c r="L307" s="654"/>
      <c r="M307" s="841">
        <f>+'[1]NEW-Tables 80-86'!AL173</f>
        <v>30718.933333333334</v>
      </c>
    </row>
    <row r="308" spans="1:13" s="491" customFormat="1" ht="12.75" customHeight="1" x14ac:dyDescent="0.2">
      <c r="A308" s="406" t="s">
        <v>324</v>
      </c>
      <c r="B308" s="556">
        <f>IF($M308&gt;0,('Amounts Pivot Table'!K$357/$M308),0)</f>
        <v>3146.7222506203002</v>
      </c>
      <c r="C308" s="556">
        <f>IF($M308&gt;0,('Amounts Pivot Table'!K$360/$M308),0)</f>
        <v>494.8949964808603</v>
      </c>
      <c r="D308" s="556">
        <f>IF($M308&gt;0,('Amounts Pivot Table'!K$363/$M308),0)</f>
        <v>1073.4467839257991</v>
      </c>
      <c r="E308" s="556">
        <f>IF($M308&gt;0,('Amounts Pivot Table'!K$366/$M308),0)</f>
        <v>1813.5412178320635</v>
      </c>
      <c r="F308" s="556">
        <f t="shared" si="29"/>
        <v>6528.605248859023</v>
      </c>
      <c r="G308" s="557">
        <f>IF(B308&gt;0,RANK(B308,$B$297:$B$315),)</f>
        <v>4</v>
      </c>
      <c r="H308" s="558">
        <f>IF(C308&gt;0,RANK(C308,$C$297:$C$315),)</f>
        <v>1</v>
      </c>
      <c r="I308" s="558">
        <f>IF(D308&gt;0,RANK(D308,$D$297:$D$315),)</f>
        <v>4</v>
      </c>
      <c r="J308" s="558">
        <f>IF(E308&gt;0,RANK(E308,$E$297:$E$315),)</f>
        <v>13</v>
      </c>
      <c r="K308" s="558">
        <f>IF(F308&gt;0,RANK(F308,$F$297:$F$315),)</f>
        <v>9</v>
      </c>
      <c r="L308" s="654"/>
      <c r="M308" s="841">
        <f>+'[1]NEW-Tables 80-86'!AL174</f>
        <v>91120.755555555559</v>
      </c>
    </row>
    <row r="309" spans="1:13" s="491" customFormat="1" ht="12.75" customHeight="1" x14ac:dyDescent="0.2">
      <c r="A309" s="406" t="s">
        <v>331</v>
      </c>
      <c r="B309" s="556">
        <f>IF($M309&gt;0,('Amounts Pivot Table'!K$396/$M309),0)</f>
        <v>3027.5981774547149</v>
      </c>
      <c r="C309" s="556">
        <f>IF($M309&gt;0,('Amounts Pivot Table'!K$399/$M309),0)</f>
        <v>0</v>
      </c>
      <c r="D309" s="556">
        <f>IF($M309&gt;0,('Amounts Pivot Table'!K$402/$M309),0)</f>
        <v>1552.4826680243898</v>
      </c>
      <c r="E309" s="556">
        <f>IF($M309&gt;0,('Amounts Pivot Table'!K$405/$M309),0)</f>
        <v>2827.7692851440565</v>
      </c>
      <c r="F309" s="556">
        <f t="shared" si="29"/>
        <v>7407.850130623161</v>
      </c>
      <c r="G309" s="557">
        <f>IF(B309&gt;0,RANK(B309,$B$297:$B$315),)</f>
        <v>6</v>
      </c>
      <c r="H309" s="558">
        <f>IF(C309&gt;0,RANK(C309,$C$297:$C$315),)</f>
        <v>0</v>
      </c>
      <c r="I309" s="558">
        <f>IF(D309&gt;0,RANK(D309,$D$297:$D$315),)</f>
        <v>3</v>
      </c>
      <c r="J309" s="558">
        <f>IF(E309&gt;0,RANK(E309,$E$297:$E$315),)</f>
        <v>10</v>
      </c>
      <c r="K309" s="558">
        <f>IF(F309&gt;0,RANK(F309,$F$297:$F$315),)</f>
        <v>3</v>
      </c>
      <c r="L309" s="654"/>
      <c r="M309" s="841">
        <f>+'[1]NEW-Tables 80-86'!AL175</f>
        <v>26973.266666666663</v>
      </c>
    </row>
    <row r="310" spans="1:13" s="491" customFormat="1" ht="12.75" customHeight="1" x14ac:dyDescent="0.2">
      <c r="A310" s="406" t="s">
        <v>325</v>
      </c>
      <c r="B310" s="556">
        <f>IF($M310&gt;0,('Amounts Pivot Table'!K$435/$M310),0)</f>
        <v>1192.0782110694652</v>
      </c>
      <c r="C310" s="556">
        <f>IF($M310&gt;0,('Amounts Pivot Table'!K$438/$M310),0)</f>
        <v>166.75802420886762</v>
      </c>
      <c r="D310" s="556">
        <f>IF($M310&gt;0,('Amounts Pivot Table'!K$441/$M310),0)</f>
        <v>754.86366050529944</v>
      </c>
      <c r="E310" s="556">
        <f>IF($M310&gt;0,('Amounts Pivot Table'!K$444/$M310),0)</f>
        <v>4911.0409071113909</v>
      </c>
      <c r="F310" s="556">
        <f t="shared" si="29"/>
        <v>7024.7408028950231</v>
      </c>
      <c r="G310" s="557">
        <f>IF(B310&gt;0,RANK(B310,$B$297:$B$315),)</f>
        <v>14</v>
      </c>
      <c r="H310" s="558">
        <f>IF(C310&gt;0,RANK(C310,$C$297:$C$315),)</f>
        <v>4</v>
      </c>
      <c r="I310" s="558">
        <f>IF(D310&gt;0,RANK(D310,$D$297:$D$315),)</f>
        <v>6</v>
      </c>
      <c r="J310" s="558">
        <f>IF(E310&gt;0,RANK(E310,$E$297:$E$315),)</f>
        <v>1</v>
      </c>
      <c r="K310" s="558">
        <f>IF(F310&gt;0,RANK(F310,$F$297:$F$315),)</f>
        <v>6</v>
      </c>
      <c r="L310" s="654"/>
      <c r="M310" s="841">
        <f>+'[1]NEW-Tables 80-86'!AL176</f>
        <v>57001.922666666665</v>
      </c>
    </row>
    <row r="311" spans="1:13" s="491" customFormat="1" ht="12.75" customHeight="1" x14ac:dyDescent="0.2">
      <c r="A311" s="406"/>
      <c r="B311" s="556"/>
      <c r="C311" s="556"/>
      <c r="D311" s="556"/>
      <c r="E311" s="556"/>
      <c r="F311" s="556"/>
      <c r="G311" s="557"/>
      <c r="H311" s="558"/>
      <c r="I311" s="558"/>
      <c r="J311" s="558"/>
      <c r="K311" s="558"/>
      <c r="L311" s="654"/>
      <c r="M311" s="841"/>
    </row>
    <row r="312" spans="1:13" s="491" customFormat="1" ht="12.75" customHeight="1" x14ac:dyDescent="0.2">
      <c r="A312" s="406" t="s">
        <v>90</v>
      </c>
      <c r="B312" s="556">
        <f>IF($M312&gt;0,('Amounts Pivot Table'!K$474/$M312),0)</f>
        <v>3038.0108720142616</v>
      </c>
      <c r="C312" s="556">
        <f>IF($M312&gt;0,('Amounts Pivot Table'!K$477/$M312),0)</f>
        <v>0</v>
      </c>
      <c r="D312" s="556">
        <f>IF($M312&gt;0,('Amounts Pivot Table'!K$480/$M312),0)</f>
        <v>0</v>
      </c>
      <c r="E312" s="556">
        <f>IF($M312&gt;0,('Amounts Pivot Table'!K$483/$M312),0)</f>
        <v>4310.3064210166267</v>
      </c>
      <c r="F312" s="556">
        <f t="shared" si="29"/>
        <v>7348.3172930308883</v>
      </c>
      <c r="G312" s="557">
        <f>IF(B312&gt;0,RANK(B312,$B$297:$B$315),)</f>
        <v>5</v>
      </c>
      <c r="H312" s="558">
        <f>IF(C312&gt;0,RANK(C312,$C$297:$C$315),)</f>
        <v>0</v>
      </c>
      <c r="I312" s="558">
        <f>IF(D312&gt;0,RANK(D312,$D$297:$D$315),)</f>
        <v>0</v>
      </c>
      <c r="J312" s="558">
        <f>IF(E312&gt;0,RANK(E312,$E$297:$E$315),)</f>
        <v>4</v>
      </c>
      <c r="K312" s="558">
        <f>IF(F312&gt;0,RANK(F312,$F$297:$F$315),)</f>
        <v>4</v>
      </c>
      <c r="L312" s="654"/>
      <c r="M312" s="841">
        <f>+'[1]NEW-Tables 80-86'!AL178</f>
        <v>34985.633333333331</v>
      </c>
    </row>
    <row r="313" spans="1:13" s="76" customFormat="1" ht="12.75" customHeight="1" x14ac:dyDescent="0.2">
      <c r="A313" s="406" t="s">
        <v>177</v>
      </c>
      <c r="B313" s="556">
        <f>IF($M313&gt;0,('Amounts Pivot Table'!K$513/$M313),0)</f>
        <v>2111.0917100215406</v>
      </c>
      <c r="C313" s="556">
        <f>IF($M313&gt;0,('Amounts Pivot Table'!K$516/$M313),0)</f>
        <v>0</v>
      </c>
      <c r="D313" s="556">
        <f>IF($M313&gt;0,('Amounts Pivot Table'!K$519/$M313),0)</f>
        <v>3058.976444089401</v>
      </c>
      <c r="E313" s="556">
        <f>IF($M313&gt;0,('Amounts Pivot Table'!K$522/$M313),0)</f>
        <v>1710.6583389226855</v>
      </c>
      <c r="F313" s="556">
        <f t="shared" si="29"/>
        <v>6880.7264930336269</v>
      </c>
      <c r="G313" s="557">
        <f>IF(B313&gt;0,RANK(B313,$B$297:$B$315),)</f>
        <v>9</v>
      </c>
      <c r="H313" s="558">
        <f>IF(C313&gt;0,RANK(C313,$C$297:$C$315),)</f>
        <v>0</v>
      </c>
      <c r="I313" s="558">
        <f>IF(D313&gt;0,RANK(D313,$D$297:$D$315),)</f>
        <v>2</v>
      </c>
      <c r="J313" s="558">
        <f>IF(E313&gt;0,RANK(E313,$E$297:$E$315),)</f>
        <v>14</v>
      </c>
      <c r="K313" s="558">
        <f>IF(F313&gt;0,RANK(F313,$F$297:$F$315),)</f>
        <v>8</v>
      </c>
      <c r="L313" s="169"/>
      <c r="M313" s="841">
        <f>+'[1]NEW-Tables 80-86'!AL179</f>
        <v>301789.08333333337</v>
      </c>
    </row>
    <row r="314" spans="1:13" s="491" customFormat="1" ht="12.75" customHeight="1" x14ac:dyDescent="0.2">
      <c r="A314" s="406" t="s">
        <v>327</v>
      </c>
      <c r="B314" s="556">
        <f>IF($M314&gt;0,('Amounts Pivot Table'!K$552/$M314),0)</f>
        <v>0</v>
      </c>
      <c r="C314" s="556">
        <f>IF($M314&gt;0,('Amounts Pivot Table'!K$555/$M314),0)</f>
        <v>0</v>
      </c>
      <c r="D314" s="556">
        <f>IF($M314&gt;0,('Amounts Pivot Table'!K$558/$M314),0)</f>
        <v>0</v>
      </c>
      <c r="E314" s="556">
        <f>IF($M314&gt;0,('Amounts Pivot Table'!K$561/$M314),0)</f>
        <v>0</v>
      </c>
      <c r="F314" s="556">
        <f t="shared" si="29"/>
        <v>0</v>
      </c>
      <c r="G314" s="557">
        <f>IF(B314&gt;0,RANK(B314,$B$297:$B$315),)</f>
        <v>0</v>
      </c>
      <c r="H314" s="558">
        <f>IF(C314&gt;0,RANK(C314,$C$297:$C$315),)</f>
        <v>0</v>
      </c>
      <c r="I314" s="558">
        <f>IF(D314&gt;0,RANK(D314,$D$297:$D$315),)</f>
        <v>0</v>
      </c>
      <c r="J314" s="558">
        <f>IF(E314&gt;0,RANK(E314,$E$297:$E$315),)</f>
        <v>0</v>
      </c>
      <c r="K314" s="558">
        <f>IF(F314&gt;0,RANK(F314,$F$297:$F$315),)</f>
        <v>0</v>
      </c>
      <c r="L314" s="655"/>
      <c r="M314" s="841">
        <f>+'[1]NEW-Tables 80-86'!AL180</f>
        <v>0</v>
      </c>
    </row>
    <row r="315" spans="1:13" s="491" customFormat="1" ht="15.75" customHeight="1" x14ac:dyDescent="0.2">
      <c r="A315" s="407" t="s">
        <v>332</v>
      </c>
      <c r="B315" s="562">
        <f>IF($M315&gt;0,('Amounts Pivot Table'!K$591/$M315),0)</f>
        <v>0</v>
      </c>
      <c r="C315" s="562">
        <f>IF($M315&gt;0,('Amounts Pivot Table'!K$595/$M315),0)</f>
        <v>0</v>
      </c>
      <c r="D315" s="562">
        <f>IF($M315&gt;0,('Amounts Pivot Table'!K$597/$M315),0)</f>
        <v>0</v>
      </c>
      <c r="E315" s="562">
        <f>IF($M315&gt;0,('Amounts Pivot Table'!K$600/$M315),0)</f>
        <v>0</v>
      </c>
      <c r="F315" s="563">
        <f t="shared" si="29"/>
        <v>0</v>
      </c>
      <c r="G315" s="564">
        <f>IF(B315&gt;0,RANK(B315,$B$297:$B$315),)</f>
        <v>0</v>
      </c>
      <c r="H315" s="565">
        <f>IF(C315&gt;0,RANK(C315,$C$297:$C$315),)</f>
        <v>0</v>
      </c>
      <c r="I315" s="565">
        <f>IF(D315&gt;0,RANK(D315,$D$297:$D$315),)</f>
        <v>0</v>
      </c>
      <c r="J315" s="565">
        <f>IF(E315&gt;0,RANK(E315,$E$297:$E$315),)</f>
        <v>0</v>
      </c>
      <c r="K315" s="565">
        <f>IF(F315&gt;0,RANK(F315,$F$297:$F$315),)</f>
        <v>0</v>
      </c>
      <c r="L315" s="658"/>
      <c r="M315" s="841">
        <f>+'[1]NEW-Tables 80-86'!AL181</f>
        <v>0</v>
      </c>
    </row>
    <row r="316" spans="1:13" s="76" customFormat="1" ht="24.75" customHeight="1" x14ac:dyDescent="0.2">
      <c r="A316" s="1599" t="s">
        <v>390</v>
      </c>
      <c r="B316" s="1599"/>
      <c r="C316" s="1599"/>
      <c r="D316" s="1599"/>
      <c r="E316" s="1599"/>
      <c r="F316" s="1599"/>
      <c r="G316" s="1599"/>
      <c r="H316" s="1599"/>
      <c r="I316" s="1599"/>
      <c r="J316" s="1599"/>
      <c r="K316" s="1599"/>
      <c r="L316" s="169"/>
      <c r="M316" s="663"/>
    </row>
    <row r="317" spans="1:13" s="76" customFormat="1" ht="34.5" customHeight="1" x14ac:dyDescent="0.15">
      <c r="A317" s="1558" t="s">
        <v>17</v>
      </c>
      <c r="B317" s="1582"/>
      <c r="C317" s="1582"/>
      <c r="D317" s="1582"/>
      <c r="E317" s="1582"/>
      <c r="F317" s="1582"/>
      <c r="G317" s="1582"/>
      <c r="H317" s="1582"/>
      <c r="I317" s="1582"/>
      <c r="J317" s="1582"/>
      <c r="K317" s="1582"/>
      <c r="L317" s="169"/>
      <c r="M317" s="669"/>
    </row>
    <row r="318" spans="1:13" s="205" customFormat="1" ht="13.5" customHeight="1" x14ac:dyDescent="0.15">
      <c r="A318" s="1558" t="s">
        <v>54</v>
      </c>
      <c r="B318" s="1582"/>
      <c r="C318" s="1582"/>
      <c r="D318" s="1582"/>
      <c r="E318" s="1582"/>
      <c r="F318" s="1582"/>
      <c r="G318" s="1582"/>
      <c r="H318" s="1582"/>
      <c r="I318" s="1582"/>
      <c r="J318" s="1582"/>
      <c r="K318" s="1582"/>
      <c r="L318" s="204"/>
      <c r="M318" s="669"/>
    </row>
    <row r="319" spans="1:13" s="491" customFormat="1" ht="13.5" customHeight="1" x14ac:dyDescent="0.15">
      <c r="A319" s="1558" t="s">
        <v>233</v>
      </c>
      <c r="B319" s="1593"/>
      <c r="C319" s="1593"/>
      <c r="D319" s="1593"/>
      <c r="E319" s="1593"/>
      <c r="F319" s="1593"/>
      <c r="G319" s="1594"/>
      <c r="H319" s="1594"/>
      <c r="I319" s="1594"/>
      <c r="J319" s="1594"/>
      <c r="K319" s="1594"/>
      <c r="L319" s="658"/>
      <c r="M319" s="669"/>
    </row>
    <row r="320" spans="1:13" s="491" customFormat="1" ht="13.5" customHeight="1" x14ac:dyDescent="0.2">
      <c r="A320" s="644"/>
      <c r="B320" s="657"/>
      <c r="C320" s="657"/>
      <c r="D320" s="657"/>
      <c r="E320" s="657"/>
      <c r="F320" s="657"/>
      <c r="G320" s="659"/>
      <c r="H320" s="659"/>
      <c r="I320" s="659"/>
      <c r="J320" s="659"/>
      <c r="K320" s="659"/>
      <c r="L320" s="658"/>
      <c r="M320" s="663"/>
    </row>
    <row r="321" spans="1:13" s="491" customFormat="1" x14ac:dyDescent="0.2">
      <c r="A321" s="644"/>
      <c r="B321" s="657"/>
      <c r="C321" s="657"/>
      <c r="D321" s="657"/>
      <c r="E321" s="657"/>
      <c r="F321" s="657"/>
      <c r="G321" s="659"/>
      <c r="H321" s="659"/>
      <c r="I321" s="659"/>
      <c r="J321" s="659"/>
      <c r="K321" s="535" t="s">
        <v>1898</v>
      </c>
      <c r="L321" s="193"/>
      <c r="M321" s="649"/>
    </row>
    <row r="322" spans="1:13" s="491" customFormat="1" ht="15.75" x14ac:dyDescent="0.2">
      <c r="A322" s="1557" t="s">
        <v>368</v>
      </c>
      <c r="B322" s="1557"/>
      <c r="C322" s="1557"/>
      <c r="D322" s="1557"/>
      <c r="E322" s="1557"/>
      <c r="F322" s="1557"/>
      <c r="G322" s="1557"/>
      <c r="H322" s="1557"/>
      <c r="I322" s="1557"/>
      <c r="J322" s="1557"/>
      <c r="K322" s="1557"/>
      <c r="L322" s="655"/>
      <c r="M322" s="649"/>
    </row>
    <row r="323" spans="1:13" s="491" customFormat="1" ht="18.75" x14ac:dyDescent="0.2">
      <c r="A323" s="1557" t="s">
        <v>18</v>
      </c>
      <c r="B323" s="1557"/>
      <c r="C323" s="1557"/>
      <c r="D323" s="1557"/>
      <c r="E323" s="1557"/>
      <c r="F323" s="1557"/>
      <c r="G323" s="1557"/>
      <c r="H323" s="1557"/>
      <c r="I323" s="1557"/>
      <c r="J323" s="1557"/>
      <c r="K323" s="1557"/>
      <c r="L323" s="165"/>
      <c r="M323" s="649"/>
    </row>
    <row r="324" spans="1:13" s="491" customFormat="1" ht="15.75" x14ac:dyDescent="0.15">
      <c r="A324" s="1557" t="s">
        <v>443</v>
      </c>
      <c r="B324" s="1557"/>
      <c r="C324" s="1557"/>
      <c r="D324" s="1557"/>
      <c r="E324" s="1557"/>
      <c r="F324" s="1557"/>
      <c r="G324" s="1557"/>
      <c r="H324" s="1557"/>
      <c r="I324" s="1557"/>
      <c r="J324" s="1557"/>
      <c r="K324" s="1557"/>
      <c r="L324" s="165"/>
      <c r="M324" s="660"/>
    </row>
    <row r="325" spans="1:13" s="491" customFormat="1" ht="9" customHeight="1" x14ac:dyDescent="0.15">
      <c r="A325" s="91"/>
      <c r="B325" s="91"/>
      <c r="C325" s="91"/>
      <c r="D325" s="91"/>
      <c r="E325" s="91"/>
      <c r="F325" s="91"/>
      <c r="G325" s="108"/>
      <c r="H325" s="91"/>
      <c r="I325" s="91"/>
      <c r="J325" s="91"/>
      <c r="K325" s="91"/>
      <c r="L325" s="165"/>
      <c r="M325" s="660"/>
    </row>
    <row r="326" spans="1:13" s="491" customFormat="1" ht="14.25" customHeight="1" x14ac:dyDescent="0.2">
      <c r="A326" s="60"/>
      <c r="B326" s="1595" t="s">
        <v>55</v>
      </c>
      <c r="C326" s="1596"/>
      <c r="D326" s="1596"/>
      <c r="E326" s="1596"/>
      <c r="F326" s="1596"/>
      <c r="G326" s="57" t="s">
        <v>119</v>
      </c>
      <c r="H326" s="58"/>
      <c r="I326" s="58"/>
      <c r="J326" s="58"/>
      <c r="K326" s="58"/>
      <c r="L326" s="173"/>
      <c r="M326" s="649"/>
    </row>
    <row r="327" spans="1:13" s="671" customFormat="1" ht="48" customHeight="1" x14ac:dyDescent="0.2">
      <c r="A327" s="650"/>
      <c r="B327" s="51" t="s">
        <v>87</v>
      </c>
      <c r="C327" s="52" t="s">
        <v>89</v>
      </c>
      <c r="D327" s="52" t="s">
        <v>88</v>
      </c>
      <c r="E327" s="52" t="s">
        <v>306</v>
      </c>
      <c r="F327" s="52" t="s">
        <v>97</v>
      </c>
      <c r="G327" s="53" t="s">
        <v>87</v>
      </c>
      <c r="H327" s="52" t="s">
        <v>89</v>
      </c>
      <c r="I327" s="52" t="s">
        <v>88</v>
      </c>
      <c r="J327" s="52" t="s">
        <v>306</v>
      </c>
      <c r="K327" s="52" t="s">
        <v>97</v>
      </c>
      <c r="L327" s="670"/>
      <c r="M327" s="661" t="s">
        <v>260</v>
      </c>
    </row>
    <row r="328" spans="1:13" s="491" customFormat="1" ht="14.25" x14ac:dyDescent="0.2">
      <c r="A328" s="406" t="s">
        <v>56</v>
      </c>
      <c r="B328" s="553">
        <f>IF($M328&gt;0,('Amounts Pivot Table'!L$630/$M328),0)</f>
        <v>3424.7340242795317</v>
      </c>
      <c r="C328" s="553">
        <f>IF($M328&gt;0,('Amounts Pivot Table'!L$633/$M328),0)</f>
        <v>267.51906314242109</v>
      </c>
      <c r="D328" s="553">
        <f>IF($M328&gt;0,('Amounts Pivot Table'!L$636/$M328),0)</f>
        <v>826.08228711663457</v>
      </c>
      <c r="E328" s="553">
        <f>IF($M328&gt;0,('Amounts Pivot Table'!L$639/$M328),0)</f>
        <v>3134.1325755314433</v>
      </c>
      <c r="F328" s="553">
        <f>SUM(B328:E328)</f>
        <v>7652.4679500700313</v>
      </c>
      <c r="G328" s="554"/>
      <c r="H328" s="555"/>
      <c r="I328" s="555"/>
      <c r="J328" s="555"/>
      <c r="K328" s="555"/>
      <c r="L328" s="654"/>
      <c r="M328" s="841">
        <f>+'[1]NEW-Tables 80-86'!AM161</f>
        <v>386529.90988888888</v>
      </c>
    </row>
    <row r="329" spans="1:13" s="491" customFormat="1" ht="10.5" customHeight="1" x14ac:dyDescent="0.2">
      <c r="A329" s="406"/>
      <c r="B329" s="553"/>
      <c r="C329" s="553"/>
      <c r="D329" s="553"/>
      <c r="E329" s="553"/>
      <c r="F329" s="553"/>
      <c r="G329" s="554"/>
      <c r="H329" s="555"/>
      <c r="I329" s="555"/>
      <c r="J329" s="555"/>
      <c r="K329" s="555"/>
      <c r="L329" s="654"/>
      <c r="M329" s="841"/>
    </row>
    <row r="330" spans="1:13" s="491" customFormat="1" ht="12.75" customHeight="1" x14ac:dyDescent="0.2">
      <c r="A330" s="406" t="s">
        <v>320</v>
      </c>
      <c r="B330" s="556">
        <f>IF($M330&gt;0,('Amounts Pivot Table'!L$6/$M330),0)</f>
        <v>3919.6954003347437</v>
      </c>
      <c r="C330" s="556">
        <f>IF($M330&gt;0,('Amounts Pivot Table'!L$9/$M330),0)</f>
        <v>272.12241237793955</v>
      </c>
      <c r="D330" s="556">
        <f>IF($M330&gt;0,('Amounts Pivot Table'!L$12/$M330),0)</f>
        <v>40.12834780678309</v>
      </c>
      <c r="E330" s="556">
        <f>IF($M330&gt;0,('Amounts Pivot Table'!L$15/$M330),0)</f>
        <v>3606.5405095939541</v>
      </c>
      <c r="F330" s="556">
        <f t="shared" ref="F330:F348" si="30">SUM(B330:E330)</f>
        <v>7838.4866701134206</v>
      </c>
      <c r="G330" s="557">
        <f>IF(B330&gt;0,RANK(B330,$B$330:$B$348),)</f>
        <v>4</v>
      </c>
      <c r="H330" s="558">
        <f>IF(C330&gt;0,RANK(C330,$C$330:$C$348),)</f>
        <v>4</v>
      </c>
      <c r="I330" s="558">
        <f>IF(D330&gt;0,RANK(D330,$D$330:$D$348),)</f>
        <v>7</v>
      </c>
      <c r="J330" s="558">
        <f>IF(E330&gt;0,RANK(E330,$E$330:$E$348),)</f>
        <v>7</v>
      </c>
      <c r="K330" s="558">
        <f>IF(F330&gt;0,RANK(F330,$F$330:$F$348),)</f>
        <v>4</v>
      </c>
      <c r="L330" s="654"/>
      <c r="M330" s="841">
        <f>+'[1]NEW-Tables 80-86'!AM163</f>
        <v>34235.100000000006</v>
      </c>
    </row>
    <row r="331" spans="1:13" s="491" customFormat="1" ht="12.75" customHeight="1" x14ac:dyDescent="0.2">
      <c r="A331" s="406" t="s">
        <v>334</v>
      </c>
      <c r="B331" s="556">
        <f>IF($M331&gt;0,('Amounts Pivot Table'!L$45/$M331),0)</f>
        <v>4204.7330877033601</v>
      </c>
      <c r="C331" s="556">
        <f>IF($M331&gt;0,('Amounts Pivot Table'!L$48/$M331),0)</f>
        <v>0</v>
      </c>
      <c r="D331" s="556">
        <f>IF($M331&gt;0,('Amounts Pivot Table'!L$51/$M331),0)</f>
        <v>308.36285940207608</v>
      </c>
      <c r="E331" s="556">
        <f>IF($M331&gt;0,('Amounts Pivot Table'!L$54/$M331),0)</f>
        <v>3020.7866888743083</v>
      </c>
      <c r="F331" s="556">
        <f t="shared" si="30"/>
        <v>7533.882635979744</v>
      </c>
      <c r="G331" s="557">
        <f>IF(B331&gt;0,RANK(B331,$B$330:$B$348),)</f>
        <v>3</v>
      </c>
      <c r="H331" s="558">
        <f>IF(C331&gt;0,RANK(C331,$C$330:$C$348),)</f>
        <v>0</v>
      </c>
      <c r="I331" s="558">
        <f>IF(D331&gt;0,RANK(D331,$D$330:$D$348),)</f>
        <v>6</v>
      </c>
      <c r="J331" s="558">
        <f>IF(E331&gt;0,RANK(E331,$E$330:$E$348),)</f>
        <v>10</v>
      </c>
      <c r="K331" s="558">
        <f>IF(F331&gt;0,RANK(F331,$F$330:$F$348),)</f>
        <v>8</v>
      </c>
      <c r="L331" s="654"/>
      <c r="M331" s="841">
        <f>+'[1]NEW-Tables 80-86'!AM164</f>
        <v>5943.9</v>
      </c>
    </row>
    <row r="332" spans="1:13" s="491" customFormat="1" ht="12.75" customHeight="1" x14ac:dyDescent="0.2">
      <c r="A332" s="406" t="s">
        <v>321</v>
      </c>
      <c r="B332" s="556">
        <f>IF($M332&gt;0,('Amounts Pivot Table'!L$84/$M332),0)</f>
        <v>5007.5481474067228</v>
      </c>
      <c r="C332" s="556">
        <f>IF($M332&gt;0,('Amounts Pivot Table'!L$87/$M332),0)</f>
        <v>0</v>
      </c>
      <c r="D332" s="556">
        <f>IF($M332&gt;0,('Amounts Pivot Table'!L$90/$M332),0)</f>
        <v>0</v>
      </c>
      <c r="E332" s="556">
        <f>IF($M332&gt;0,('Amounts Pivot Table'!L$93/$M332),0)</f>
        <v>4284.4980364218718</v>
      </c>
      <c r="F332" s="556">
        <f t="shared" si="30"/>
        <v>9292.0461838285955</v>
      </c>
      <c r="G332" s="557">
        <f>IF(B332&gt;0,RANK(B332,$B$330:$B$348),)</f>
        <v>1</v>
      </c>
      <c r="H332" s="558">
        <f>IF(C332&gt;0,RANK(C332,$C$330:$C$348),)</f>
        <v>0</v>
      </c>
      <c r="I332" s="558">
        <f>IF(D332&gt;0,RANK(D332,$D$330:$D$348),)</f>
        <v>0</v>
      </c>
      <c r="J332" s="558">
        <f>IF(E332&gt;0,RANK(E332,$E$330:$E$348),)</f>
        <v>3</v>
      </c>
      <c r="K332" s="558">
        <f>IF(F332&gt;0,RANK(F332,$F$330:$F$348),)</f>
        <v>2</v>
      </c>
      <c r="L332" s="654"/>
      <c r="M332" s="841">
        <f>+'[1]NEW-Tables 80-86'!AM165</f>
        <v>5661.4333333333334</v>
      </c>
    </row>
    <row r="333" spans="1:13" s="491" customFormat="1" ht="12.75" customHeight="1" x14ac:dyDescent="0.2">
      <c r="A333" s="406" t="s">
        <v>328</v>
      </c>
      <c r="B333" s="556">
        <f>IF($M333&gt;0,('Amounts Pivot Table'!L$123/$M333),0)</f>
        <v>4849.0808463153635</v>
      </c>
      <c r="C333" s="556">
        <f>IF($M333&gt;0,('Amounts Pivot Table'!L$126/$M333),0)</f>
        <v>0</v>
      </c>
      <c r="D333" s="556">
        <f>IF($M333&gt;0,('Amounts Pivot Table'!L$129/$M333),0)</f>
        <v>0</v>
      </c>
      <c r="E333" s="556">
        <f>IF($M333&gt;0,('Amounts Pivot Table'!L$132/$M333),0)</f>
        <v>1992.7687717957062</v>
      </c>
      <c r="F333" s="556">
        <f t="shared" si="30"/>
        <v>6841.8496181110695</v>
      </c>
      <c r="G333" s="557">
        <f>IF(B333&gt;0,RANK(B333,$B$330:$B$348),)</f>
        <v>2</v>
      </c>
      <c r="H333" s="558">
        <f>IF(C333&gt;0,RANK(C333,$C$330:$C$348),)</f>
        <v>0</v>
      </c>
      <c r="I333" s="558">
        <f>IF(D333&gt;0,RANK(D333,$D$330:$D$348),)</f>
        <v>0</v>
      </c>
      <c r="J333" s="558">
        <f>IF(E333&gt;0,RANK(E333,$E$330:$E$348),)</f>
        <v>14</v>
      </c>
      <c r="K333" s="558">
        <f>IF(F333&gt;0,RANK(F333,$F$330:$F$348),)</f>
        <v>12</v>
      </c>
      <c r="L333" s="654"/>
      <c r="M333" s="841">
        <f>+'[1]NEW-Tables 80-86'!AM166</f>
        <v>12293.132222222222</v>
      </c>
    </row>
    <row r="334" spans="1:13" s="491" customFormat="1" ht="10.5" customHeight="1" x14ac:dyDescent="0.2">
      <c r="A334" s="406"/>
      <c r="B334" s="556"/>
      <c r="C334" s="556"/>
      <c r="D334" s="556"/>
      <c r="E334" s="556"/>
      <c r="F334" s="556"/>
      <c r="G334" s="557"/>
      <c r="H334" s="558"/>
      <c r="I334" s="558"/>
      <c r="J334" s="558"/>
      <c r="K334" s="558"/>
      <c r="L334" s="654"/>
      <c r="M334" s="841"/>
    </row>
    <row r="335" spans="1:13" s="491" customFormat="1" ht="12.75" customHeight="1" x14ac:dyDescent="0.2">
      <c r="A335" s="406" t="s">
        <v>329</v>
      </c>
      <c r="B335" s="556">
        <f>IF($M335&gt;0,('Amounts Pivot Table'!L$162/$M335),0)</f>
        <v>3135.6279310230098</v>
      </c>
      <c r="C335" s="556">
        <f>IF($M335&gt;0,('Amounts Pivot Table'!L$165/$M335),0)</f>
        <v>0</v>
      </c>
      <c r="D335" s="556">
        <f>IF($M335&gt;0,('Amounts Pivot Table'!L$168/$M335),0)</f>
        <v>0</v>
      </c>
      <c r="E335" s="556">
        <f>IF($M335&gt;0,('Amounts Pivot Table'!L$171/$M335),0)</f>
        <v>3199.8132335288983</v>
      </c>
      <c r="F335" s="556">
        <f t="shared" si="30"/>
        <v>6335.4411645519085</v>
      </c>
      <c r="G335" s="557">
        <f>IF(B335&gt;0,RANK(B335,$B$330:$B$348),)</f>
        <v>11</v>
      </c>
      <c r="H335" s="558">
        <f>IF(C335&gt;0,RANK(C335,$C$330:$C$348),)</f>
        <v>0</v>
      </c>
      <c r="I335" s="558">
        <f>IF(D335&gt;0,RANK(D335,$D$330:$D$348),)</f>
        <v>0</v>
      </c>
      <c r="J335" s="558">
        <f>IF(E335&gt;0,RANK(E335,$E$330:$E$348),)</f>
        <v>9</v>
      </c>
      <c r="K335" s="558">
        <f>IF(F335&gt;0,RANK(F335,$F$330:$F$348),)</f>
        <v>13</v>
      </c>
      <c r="L335" s="654"/>
      <c r="M335" s="841">
        <f>+'[1]NEW-Tables 80-86'!AM168</f>
        <v>19535.983333333334</v>
      </c>
    </row>
    <row r="336" spans="1:13" s="491" customFormat="1" ht="12.75" customHeight="1" x14ac:dyDescent="0.2">
      <c r="A336" s="406" t="s">
        <v>322</v>
      </c>
      <c r="B336" s="556">
        <f>IF($M336&gt;0,('Amounts Pivot Table'!L$201/$M336),0)</f>
        <v>3329.4991876964573</v>
      </c>
      <c r="C336" s="556">
        <f>IF($M336&gt;0,('Amounts Pivot Table'!L$204/$M336),0)</f>
        <v>0</v>
      </c>
      <c r="D336" s="556">
        <f>IF($M336&gt;0,('Amounts Pivot Table'!L$207/$M336),0)</f>
        <v>0</v>
      </c>
      <c r="E336" s="556">
        <f>IF($M336&gt;0,('Amounts Pivot Table'!L$210/$M336),0)</f>
        <v>4166.0067735490475</v>
      </c>
      <c r="F336" s="556">
        <f t="shared" si="30"/>
        <v>7495.5059612455043</v>
      </c>
      <c r="G336" s="557">
        <f>IF(B336&gt;0,RANK(B336,$B$330:$B$348),)</f>
        <v>10</v>
      </c>
      <c r="H336" s="558">
        <f>IF(C336&gt;0,RANK(C336,$C$330:$C$348),)</f>
        <v>0</v>
      </c>
      <c r="I336" s="558">
        <f>IF(D336&gt;0,RANK(D336,$D$330:$D$348),)</f>
        <v>0</v>
      </c>
      <c r="J336" s="558">
        <f>IF(E336&gt;0,RANK(E336,$E$330:$E$348),)</f>
        <v>5</v>
      </c>
      <c r="K336" s="558">
        <f>IF(F336&gt;0,RANK(F336,$F$330:$F$348),)</f>
        <v>9</v>
      </c>
      <c r="L336" s="654"/>
      <c r="M336" s="841">
        <f>+'[1]NEW-Tables 80-86'!AM169</f>
        <v>32833.599999999999</v>
      </c>
    </row>
    <row r="337" spans="1:13" s="491" customFormat="1" ht="12.75" customHeight="1" x14ac:dyDescent="0.2">
      <c r="A337" s="406" t="s">
        <v>330</v>
      </c>
      <c r="B337" s="556">
        <f>IF($M337&gt;0,('Amounts Pivot Table'!L$240/$M337),0)</f>
        <v>2672.0802407657366</v>
      </c>
      <c r="C337" s="556">
        <f>IF($M337&gt;0,('Amounts Pivot Table'!L$243/$M337),0)</f>
        <v>0</v>
      </c>
      <c r="D337" s="556">
        <f>IF($M337&gt;0,('Amounts Pivot Table'!L$246/$M337),0)</f>
        <v>0</v>
      </c>
      <c r="E337" s="556">
        <f>IF($M337&gt;0,('Amounts Pivot Table'!L$249/$M337),0)</f>
        <v>2887.1928203270631</v>
      </c>
      <c r="F337" s="556">
        <f t="shared" si="30"/>
        <v>5559.2730610927993</v>
      </c>
      <c r="G337" s="557">
        <f>IF(B337&gt;0,RANK(B337,$B$330:$B$348),)</f>
        <v>14</v>
      </c>
      <c r="H337" s="558">
        <f>IF(C337&gt;0,RANK(C337,$C$330:$C$348),)</f>
        <v>0</v>
      </c>
      <c r="I337" s="558">
        <f>IF(D337&gt;0,RANK(D337,$D$330:$D$348),)</f>
        <v>0</v>
      </c>
      <c r="J337" s="558">
        <f>IF(E337&gt;0,RANK(E337,$E$330:$E$348),)</f>
        <v>12</v>
      </c>
      <c r="K337" s="558">
        <f>IF(F337&gt;0,RANK(F337,$F$330:$F$348),)</f>
        <v>15</v>
      </c>
      <c r="L337" s="654"/>
      <c r="M337" s="841">
        <f>+'[1]NEW-Tables 80-86'!AM170</f>
        <v>12686.928888888888</v>
      </c>
    </row>
    <row r="338" spans="1:13" s="491" customFormat="1" ht="12.75" customHeight="1" x14ac:dyDescent="0.2">
      <c r="A338" s="406" t="s">
        <v>333</v>
      </c>
      <c r="B338" s="556">
        <f>IF($M338&gt;0,('Amounts Pivot Table'!L$279/$M338),0)</f>
        <v>3665.2375451200587</v>
      </c>
      <c r="C338" s="556">
        <f>IF($M338&gt;0,('Amounts Pivot Table'!L$282/$M338),0)</f>
        <v>101.20014996425272</v>
      </c>
      <c r="D338" s="556">
        <f>IF($M338&gt;0,('Amounts Pivot Table'!L$285/$M338),0)</f>
        <v>2550.8851378450486</v>
      </c>
      <c r="E338" s="556">
        <f>IF($M338&gt;0,('Amounts Pivot Table'!L$288/$M338),0)</f>
        <v>4846.3075226254205</v>
      </c>
      <c r="F338" s="556">
        <f t="shared" si="30"/>
        <v>11163.63035555478</v>
      </c>
      <c r="G338" s="557">
        <f>IF(B338&gt;0,RANK(B338,$B$330:$B$348),)</f>
        <v>6</v>
      </c>
      <c r="H338" s="558">
        <f>IF(C338&gt;0,RANK(C338,$C$330:$C$348),)</f>
        <v>5</v>
      </c>
      <c r="I338" s="558">
        <f>IF(D338&gt;0,RANK(D338,$D$330:$D$348),)</f>
        <v>1</v>
      </c>
      <c r="J338" s="558">
        <f>IF(E338&gt;0,RANK(E338,$E$330:$E$348),)</f>
        <v>1</v>
      </c>
      <c r="K338" s="558">
        <f>IF(F338&gt;0,RANK(F338,$F$330:$F$348),)</f>
        <v>1</v>
      </c>
      <c r="L338" s="654"/>
      <c r="M338" s="841">
        <f>+'[1]NEW-Tables 80-86'!AM171</f>
        <v>22938.799999999999</v>
      </c>
    </row>
    <row r="339" spans="1:13" s="491" customFormat="1" ht="10.5" customHeight="1" x14ac:dyDescent="0.2">
      <c r="A339" s="406"/>
      <c r="B339" s="556"/>
      <c r="C339" s="556"/>
      <c r="D339" s="556"/>
      <c r="E339" s="556"/>
      <c r="F339" s="556"/>
      <c r="G339" s="557"/>
      <c r="H339" s="558"/>
      <c r="I339" s="558"/>
      <c r="J339" s="558"/>
      <c r="K339" s="558"/>
      <c r="L339" s="654"/>
      <c r="M339" s="841"/>
    </row>
    <row r="340" spans="1:13" s="491" customFormat="1" ht="12.75" customHeight="1" x14ac:dyDescent="0.2">
      <c r="A340" s="406" t="s">
        <v>323</v>
      </c>
      <c r="B340" s="556">
        <f>IF($M340&gt;0,('Amounts Pivot Table'!L$318/$M340),0)</f>
        <v>3586.6437826894953</v>
      </c>
      <c r="C340" s="556">
        <f>IF($M340&gt;0,('Amounts Pivot Table'!L$321/$M340),0)</f>
        <v>408.53386200642456</v>
      </c>
      <c r="D340" s="556">
        <f>IF($M340&gt;0,('Amounts Pivot Table'!L$324/$M340),0)</f>
        <v>635.40884620051474</v>
      </c>
      <c r="E340" s="556">
        <f>IF($M340&gt;0,('Amounts Pivot Table'!L$327/$M340),0)</f>
        <v>2999.080479222413</v>
      </c>
      <c r="F340" s="556">
        <f t="shared" si="30"/>
        <v>7629.6669701188475</v>
      </c>
      <c r="G340" s="557">
        <f>IF(B340&gt;0,RANK(B340,$B$330:$B$348),)</f>
        <v>7</v>
      </c>
      <c r="H340" s="558">
        <f>IF(C340&gt;0,RANK(C340,$C$330:$C$348),)</f>
        <v>3</v>
      </c>
      <c r="I340" s="558">
        <f>IF(D340&gt;0,RANK(D340,$D$330:$D$348),)</f>
        <v>5</v>
      </c>
      <c r="J340" s="558">
        <f>IF(E340&gt;0,RANK(E340,$E$330:$E$348),)</f>
        <v>11</v>
      </c>
      <c r="K340" s="558">
        <f>IF(F340&gt;0,RANK(F340,$F$330:$F$348),)</f>
        <v>5</v>
      </c>
      <c r="L340" s="654"/>
      <c r="M340" s="841">
        <f>+'[1]NEW-Tables 80-86'!AM173</f>
        <v>31317.4</v>
      </c>
    </row>
    <row r="341" spans="1:13" s="491" customFormat="1" ht="12.75" customHeight="1" x14ac:dyDescent="0.2">
      <c r="A341" s="406" t="s">
        <v>324</v>
      </c>
      <c r="B341" s="556">
        <f>IF($M341&gt;0,('Amounts Pivot Table'!L$357/$M341),0)</f>
        <v>3816.5965355697545</v>
      </c>
      <c r="C341" s="556">
        <f>IF($M341&gt;0,('Amounts Pivot Table'!L$360/$M341),0)</f>
        <v>797.20459102444738</v>
      </c>
      <c r="D341" s="556">
        <f>IF($M341&gt;0,('Amounts Pivot Table'!L$363/$M341),0)</f>
        <v>912.64340547938548</v>
      </c>
      <c r="E341" s="556">
        <f>IF($M341&gt;0,('Amounts Pivot Table'!L$366/$M341),0)</f>
        <v>1751.3513678338729</v>
      </c>
      <c r="F341" s="556">
        <f t="shared" si="30"/>
        <v>7277.7958999074608</v>
      </c>
      <c r="G341" s="557">
        <f>IF(B341&gt;0,RANK(B341,$B$330:$B$348),)</f>
        <v>5</v>
      </c>
      <c r="H341" s="558">
        <f>IF(C341&gt;0,RANK(C341,$C$330:$C$348),)</f>
        <v>2</v>
      </c>
      <c r="I341" s="558">
        <f>IF(D341&gt;0,RANK(D341,$D$330:$D$348),)</f>
        <v>3</v>
      </c>
      <c r="J341" s="558">
        <f>IF(E341&gt;0,RANK(E341,$E$330:$E$348),)</f>
        <v>15</v>
      </c>
      <c r="K341" s="558">
        <f>IF(F341&gt;0,RANK(F341,$F$330:$F$348),)</f>
        <v>11</v>
      </c>
      <c r="L341" s="654"/>
      <c r="M341" s="841">
        <f>+'[1]NEW-Tables 80-86'!AM174</f>
        <v>81986.930000000008</v>
      </c>
    </row>
    <row r="342" spans="1:13" s="491" customFormat="1" ht="12.75" customHeight="1" x14ac:dyDescent="0.2">
      <c r="A342" s="406" t="s">
        <v>331</v>
      </c>
      <c r="B342" s="556">
        <f>IF($M342&gt;0,('Amounts Pivot Table'!L$396/$M342),0)</f>
        <v>2873.2032463863648</v>
      </c>
      <c r="C342" s="556">
        <f>IF($M342&gt;0,('Amounts Pivot Table'!L$399/$M342),0)</f>
        <v>0</v>
      </c>
      <c r="D342" s="556">
        <f>IF($M342&gt;0,('Amounts Pivot Table'!L$402/$M342),0)</f>
        <v>0</v>
      </c>
      <c r="E342" s="556">
        <f>IF($M342&gt;0,('Amounts Pivot Table'!L$405/$M342),0)</f>
        <v>3450.0125359009367</v>
      </c>
      <c r="F342" s="556">
        <f t="shared" si="30"/>
        <v>6323.2157822873014</v>
      </c>
      <c r="G342" s="557">
        <f>IF(B342&gt;0,RANK(B342,$B$330:$B$348),)</f>
        <v>13</v>
      </c>
      <c r="H342" s="558">
        <f>IF(C342&gt;0,RANK(C342,$C$330:$C$348),)</f>
        <v>0</v>
      </c>
      <c r="I342" s="558">
        <f>IF(D342&gt;0,RANK(D342,$D$330:$D$348),)</f>
        <v>0</v>
      </c>
      <c r="J342" s="558">
        <f>IF(E342&gt;0,RANK(E342,$E$330:$E$348),)</f>
        <v>8</v>
      </c>
      <c r="K342" s="558">
        <f>IF(F342&gt;0,RANK(F342,$F$330:$F$348),)</f>
        <v>14</v>
      </c>
      <c r="L342" s="654"/>
      <c r="M342" s="841">
        <f>+'[1]NEW-Tables 80-86'!AM175</f>
        <v>5663.7333333333336</v>
      </c>
    </row>
    <row r="343" spans="1:13" s="491" customFormat="1" ht="12.75" customHeight="1" x14ac:dyDescent="0.2">
      <c r="A343" s="406" t="s">
        <v>325</v>
      </c>
      <c r="B343" s="556">
        <f>IF($M343&gt;0,('Amounts Pivot Table'!L$435/$M343),0)</f>
        <v>1358.0628429485264</v>
      </c>
      <c r="C343" s="556">
        <f>IF($M343&gt;0,('Amounts Pivot Table'!L$438/$M343),0)</f>
        <v>807.72808252168363</v>
      </c>
      <c r="D343" s="556">
        <f>IF($M343&gt;0,('Amounts Pivot Table'!L$441/$M343),0)</f>
        <v>890.83123326145937</v>
      </c>
      <c r="E343" s="556">
        <f>IF($M343&gt;0,('Amounts Pivot Table'!L$444/$M343),0)</f>
        <v>4536.6273521185749</v>
      </c>
      <c r="F343" s="556">
        <f t="shared" si="30"/>
        <v>7593.2495108502444</v>
      </c>
      <c r="G343" s="557">
        <f>IF(B343&gt;0,RANK(B343,$B$330:$B$348),)</f>
        <v>15</v>
      </c>
      <c r="H343" s="558">
        <f>IF(C343&gt;0,RANK(C343,$C$330:$C$348),)</f>
        <v>1</v>
      </c>
      <c r="I343" s="558">
        <f>IF(D343&gt;0,RANK(D343,$D$330:$D$348),)</f>
        <v>4</v>
      </c>
      <c r="J343" s="558">
        <f>IF(E343&gt;0,RANK(E343,$E$330:$E$348),)</f>
        <v>2</v>
      </c>
      <c r="K343" s="558">
        <f>IF(F343&gt;0,RANK(F343,$F$330:$F$348),)</f>
        <v>7</v>
      </c>
      <c r="L343" s="654"/>
      <c r="M343" s="841">
        <f>+'[1]NEW-Tables 80-86'!AM176</f>
        <v>16852.201000000001</v>
      </c>
    </row>
    <row r="344" spans="1:13" s="491" customFormat="1" ht="10.5" customHeight="1" x14ac:dyDescent="0.2">
      <c r="A344" s="406"/>
      <c r="B344" s="556"/>
      <c r="C344" s="556"/>
      <c r="D344" s="556"/>
      <c r="E344" s="556"/>
      <c r="F344" s="556"/>
      <c r="G344" s="557"/>
      <c r="H344" s="558"/>
      <c r="I344" s="558"/>
      <c r="J344" s="558"/>
      <c r="K344" s="558"/>
      <c r="L344" s="654"/>
      <c r="M344" s="841"/>
    </row>
    <row r="345" spans="1:13" s="491" customFormat="1" ht="12.75" customHeight="1" x14ac:dyDescent="0.2">
      <c r="A345" s="406" t="s">
        <v>90</v>
      </c>
      <c r="B345" s="556">
        <f>IF($M345&gt;0,('Amounts Pivot Table'!L$474/$M345),0)</f>
        <v>3438.3040897399337</v>
      </c>
      <c r="C345" s="556">
        <f>IF($M345&gt;0,('Amounts Pivot Table'!L$477/$M345),0)</f>
        <v>0</v>
      </c>
      <c r="D345" s="556">
        <f>IF($M345&gt;0,('Amounts Pivot Table'!L$480/$M345),0)</f>
        <v>0</v>
      </c>
      <c r="E345" s="556">
        <f>IF($M345&gt;0,('Amounts Pivot Table'!L$483/$M345),0)</f>
        <v>4173.744603918386</v>
      </c>
      <c r="F345" s="556">
        <f t="shared" si="30"/>
        <v>7612.0486936583202</v>
      </c>
      <c r="G345" s="557">
        <f>IF(B345&gt;0,RANK(B345,$B$330:$B$348),)</f>
        <v>9</v>
      </c>
      <c r="H345" s="558">
        <f>IF(C345&gt;0,RANK(C345,$C$330:$C$348),)</f>
        <v>0</v>
      </c>
      <c r="I345" s="558">
        <f>IF(D345&gt;0,RANK(D345,$D$330:$D$348),)</f>
        <v>0</v>
      </c>
      <c r="J345" s="558">
        <f>IF(E345&gt;0,RANK(E345,$E$330:$E$348),)</f>
        <v>4</v>
      </c>
      <c r="K345" s="558">
        <f>IF(F345&gt;0,RANK(F345,$F$330:$F$348),)</f>
        <v>6</v>
      </c>
      <c r="L345" s="654"/>
      <c r="M345" s="841">
        <f>+'[1]NEW-Tables 80-86'!AM178</f>
        <v>28006.433333333327</v>
      </c>
    </row>
    <row r="346" spans="1:13" s="76" customFormat="1" ht="12.75" customHeight="1" x14ac:dyDescent="0.2">
      <c r="A346" s="406" t="s">
        <v>177</v>
      </c>
      <c r="B346" s="556">
        <f>IF($M346&gt;0,('Amounts Pivot Table'!L$513/$M346),0)</f>
        <v>2913.8898205150363</v>
      </c>
      <c r="C346" s="556">
        <f>IF($M346&gt;0,('Amounts Pivot Table'!L$516/$M346),0)</f>
        <v>0</v>
      </c>
      <c r="D346" s="556">
        <f>IF($M346&gt;0,('Amounts Pivot Table'!L$519/$M346),0)</f>
        <v>2104.2737871566492</v>
      </c>
      <c r="E346" s="556">
        <f>IF($M346&gt;0,('Amounts Pivot Table'!L$522/$M346),0)</f>
        <v>2845.7263694029321</v>
      </c>
      <c r="F346" s="556">
        <f t="shared" si="30"/>
        <v>7863.8899770746175</v>
      </c>
      <c r="G346" s="557">
        <f>IF(B346&gt;0,RANK(B346,$B$330:$B$348),)</f>
        <v>12</v>
      </c>
      <c r="H346" s="558">
        <f>IF(C346&gt;0,RANK(C346,$C$330:$C$348),)</f>
        <v>0</v>
      </c>
      <c r="I346" s="558">
        <f>IF(D346&gt;0,RANK(D346,$D$330:$D$348),)</f>
        <v>2</v>
      </c>
      <c r="J346" s="558">
        <f>IF(E346&gt;0,RANK(E346,$E$330:$E$348),)</f>
        <v>13</v>
      </c>
      <c r="K346" s="558">
        <f>IF(F346&gt;0,RANK(F346,$F$330:$F$348),)</f>
        <v>3</v>
      </c>
      <c r="L346" s="169"/>
      <c r="M346" s="841">
        <f>+'[1]NEW-Tables 80-86'!AM179</f>
        <v>70260.791111111103</v>
      </c>
    </row>
    <row r="347" spans="1:13" s="491" customFormat="1" ht="12.75" customHeight="1" x14ac:dyDescent="0.2">
      <c r="A347" s="406" t="s">
        <v>327</v>
      </c>
      <c r="B347" s="556">
        <f>IF($M347&gt;0,('Amounts Pivot Table'!L$552/$M347),0)</f>
        <v>0</v>
      </c>
      <c r="C347" s="556">
        <f>IF($M347&gt;0,('Amounts Pivot Table'!L$555/$M347),0)</f>
        <v>0</v>
      </c>
      <c r="D347" s="556">
        <f>IF($M347&gt;0,('Amounts Pivot Table'!L$558/$M347),0)</f>
        <v>0</v>
      </c>
      <c r="E347" s="556">
        <f>IF($M347&gt;0,('Amounts Pivot Table'!L$561/$M347),0)</f>
        <v>0</v>
      </c>
      <c r="F347" s="556">
        <f t="shared" si="30"/>
        <v>0</v>
      </c>
      <c r="G347" s="557">
        <f>IF(B347&gt;0,RANK(B347,$B$330:$B$348),)</f>
        <v>0</v>
      </c>
      <c r="H347" s="558">
        <f>IF(C347&gt;0,RANK(C347,$C$330:$C$348),)</f>
        <v>0</v>
      </c>
      <c r="I347" s="558">
        <f>IF(D347&gt;0,RANK(D347,$D$330:$D$348),)</f>
        <v>0</v>
      </c>
      <c r="J347" s="558">
        <f>IF(E347&gt;0,RANK(E347,$E$330:$E$348),)</f>
        <v>0</v>
      </c>
      <c r="K347" s="558">
        <f>IF(F347&gt;0,RANK(F347,$F$330:$F$348),)</f>
        <v>0</v>
      </c>
      <c r="L347" s="655"/>
      <c r="M347" s="841">
        <f>+'[1]NEW-Tables 80-86'!AM180</f>
        <v>0</v>
      </c>
    </row>
    <row r="348" spans="1:13" s="491" customFormat="1" ht="15" customHeight="1" x14ac:dyDescent="0.2">
      <c r="A348" s="407" t="s">
        <v>332</v>
      </c>
      <c r="B348" s="562">
        <f>IF($M348&gt;0,('Amounts Pivot Table'!L$591/$M348),0)</f>
        <v>3586.3962286365345</v>
      </c>
      <c r="C348" s="562">
        <f>IF($M348&gt;0,('Amounts Pivot Table'!L$594/$M348),0)</f>
        <v>0</v>
      </c>
      <c r="D348" s="562">
        <f>IF($M348&gt;0,('Amounts Pivot Table'!L$597/$M348),0)</f>
        <v>0</v>
      </c>
      <c r="E348" s="562">
        <f>IF($M348&gt;0,('Amounts Pivot Table'!L$600/$M348),0)</f>
        <v>3773.471843333617</v>
      </c>
      <c r="F348" s="563">
        <f t="shared" si="30"/>
        <v>7359.8680719701515</v>
      </c>
      <c r="G348" s="564">
        <f>IF(B348&gt;0,RANK(B348,$B$330:$B$348),)</f>
        <v>8</v>
      </c>
      <c r="H348" s="565">
        <f>IF(C348&gt;0,RANK(C348,$C$330:$C$348),)</f>
        <v>0</v>
      </c>
      <c r="I348" s="565">
        <f>IF(D348&gt;0,RANK(D348,$D$330:$D$348),)</f>
        <v>0</v>
      </c>
      <c r="J348" s="565">
        <f>IF(E348&gt;0,RANK(E348,$E$330:$E$348),)</f>
        <v>6</v>
      </c>
      <c r="K348" s="565">
        <f>IF(F348&gt;0,RANK(F348,$F$330:$F$348),)</f>
        <v>10</v>
      </c>
      <c r="L348" s="658"/>
      <c r="M348" s="841">
        <f>+'[1]NEW-Tables 80-86'!AM181</f>
        <v>6313.5433333333331</v>
      </c>
    </row>
    <row r="349" spans="1:13" s="76" customFormat="1" ht="24.75" customHeight="1" x14ac:dyDescent="0.15">
      <c r="A349" s="1599" t="s">
        <v>390</v>
      </c>
      <c r="B349" s="1599"/>
      <c r="C349" s="1599"/>
      <c r="D349" s="1599"/>
      <c r="E349" s="1599"/>
      <c r="F349" s="1599"/>
      <c r="G349" s="1599"/>
      <c r="H349" s="1599"/>
      <c r="I349" s="1599"/>
      <c r="J349" s="1599"/>
      <c r="K349" s="1599"/>
      <c r="L349" s="169"/>
      <c r="M349" s="672"/>
    </row>
    <row r="350" spans="1:13" s="76" customFormat="1" ht="34.5" customHeight="1" x14ac:dyDescent="0.15">
      <c r="A350" s="1558" t="s">
        <v>17</v>
      </c>
      <c r="B350" s="1582"/>
      <c r="C350" s="1582"/>
      <c r="D350" s="1582"/>
      <c r="E350" s="1582"/>
      <c r="F350" s="1582"/>
      <c r="G350" s="1582"/>
      <c r="H350" s="1582"/>
      <c r="I350" s="1582"/>
      <c r="J350" s="1582"/>
      <c r="K350" s="1582"/>
      <c r="L350" s="169"/>
      <c r="M350" s="669"/>
    </row>
    <row r="351" spans="1:13" s="205" customFormat="1" ht="13.5" customHeight="1" x14ac:dyDescent="0.15">
      <c r="A351" s="1558" t="s">
        <v>54</v>
      </c>
      <c r="B351" s="1582"/>
      <c r="C351" s="1582"/>
      <c r="D351" s="1582"/>
      <c r="E351" s="1582"/>
      <c r="F351" s="1582"/>
      <c r="G351" s="1582"/>
      <c r="H351" s="1582"/>
      <c r="I351" s="1582"/>
      <c r="J351" s="1582"/>
      <c r="K351" s="1582"/>
      <c r="L351" s="204"/>
      <c r="M351" s="669"/>
    </row>
    <row r="352" spans="1:13" s="491" customFormat="1" ht="13.5" customHeight="1" x14ac:dyDescent="0.15">
      <c r="A352" s="1558" t="s">
        <v>233</v>
      </c>
      <c r="B352" s="1593"/>
      <c r="C352" s="1593"/>
      <c r="D352" s="1593"/>
      <c r="E352" s="1593"/>
      <c r="F352" s="1593"/>
      <c r="G352" s="1594"/>
      <c r="H352" s="1594"/>
      <c r="I352" s="1594"/>
      <c r="J352" s="1594"/>
      <c r="K352" s="1594"/>
      <c r="L352" s="658"/>
      <c r="M352" s="669"/>
    </row>
    <row r="353" spans="1:13" s="491" customFormat="1" ht="13.5" customHeight="1" x14ac:dyDescent="0.15">
      <c r="A353" s="644"/>
      <c r="B353" s="657"/>
      <c r="C353" s="657"/>
      <c r="D353" s="657"/>
      <c r="E353" s="657"/>
      <c r="F353" s="657"/>
      <c r="G353" s="659"/>
      <c r="H353" s="659"/>
      <c r="I353" s="659"/>
      <c r="J353" s="659"/>
      <c r="K353" s="659"/>
      <c r="L353" s="658"/>
      <c r="M353" s="669"/>
    </row>
    <row r="354" spans="1:13" s="491" customFormat="1" x14ac:dyDescent="0.2">
      <c r="A354" s="644"/>
      <c r="B354" s="657"/>
      <c r="C354" s="657"/>
      <c r="D354" s="657"/>
      <c r="E354" s="657"/>
      <c r="F354" s="657"/>
      <c r="G354" s="659"/>
      <c r="H354" s="659"/>
      <c r="I354" s="659"/>
      <c r="J354" s="659"/>
      <c r="K354" s="535" t="s">
        <v>1898</v>
      </c>
      <c r="L354" s="193"/>
      <c r="M354" s="669"/>
    </row>
    <row r="355" spans="1:13" s="491" customFormat="1" ht="15.75" x14ac:dyDescent="0.15">
      <c r="A355" s="1557" t="s">
        <v>369</v>
      </c>
      <c r="B355" s="1557"/>
      <c r="C355" s="1557"/>
      <c r="D355" s="1557"/>
      <c r="E355" s="1557"/>
      <c r="F355" s="1557"/>
      <c r="G355" s="1557"/>
      <c r="H355" s="1557"/>
      <c r="I355" s="1557"/>
      <c r="J355" s="1557"/>
      <c r="K355" s="1557"/>
      <c r="L355" s="655"/>
      <c r="M355" s="669"/>
    </row>
    <row r="356" spans="1:13" s="491" customFormat="1" ht="18.75" x14ac:dyDescent="0.15">
      <c r="A356" s="1557" t="s">
        <v>18</v>
      </c>
      <c r="B356" s="1557"/>
      <c r="C356" s="1557"/>
      <c r="D356" s="1557"/>
      <c r="E356" s="1557"/>
      <c r="F356" s="1557"/>
      <c r="G356" s="1557"/>
      <c r="H356" s="1557"/>
      <c r="I356" s="1557"/>
      <c r="J356" s="1557"/>
      <c r="K356" s="1557"/>
      <c r="L356" s="165"/>
      <c r="M356" s="669"/>
    </row>
    <row r="357" spans="1:13" s="491" customFormat="1" ht="15.75" x14ac:dyDescent="0.15">
      <c r="A357" s="1557" t="s">
        <v>444</v>
      </c>
      <c r="B357" s="1557"/>
      <c r="C357" s="1557"/>
      <c r="D357" s="1557"/>
      <c r="E357" s="1557"/>
      <c r="F357" s="1557"/>
      <c r="G357" s="1557"/>
      <c r="H357" s="1557"/>
      <c r="I357" s="1557"/>
      <c r="J357" s="1557"/>
      <c r="K357" s="1557"/>
      <c r="L357" s="165"/>
      <c r="M357" s="669"/>
    </row>
    <row r="358" spans="1:13" s="491" customFormat="1" ht="8.25" customHeight="1" x14ac:dyDescent="0.15">
      <c r="A358" s="91"/>
      <c r="B358" s="91"/>
      <c r="C358" s="91"/>
      <c r="D358" s="91"/>
      <c r="E358" s="91"/>
      <c r="F358" s="91"/>
      <c r="G358" s="108"/>
      <c r="H358" s="91"/>
      <c r="I358" s="91"/>
      <c r="J358" s="91"/>
      <c r="K358" s="91"/>
      <c r="L358" s="165"/>
      <c r="M358" s="669"/>
    </row>
    <row r="359" spans="1:13" s="491" customFormat="1" ht="17.25" customHeight="1" x14ac:dyDescent="0.15">
      <c r="A359" s="60"/>
      <c r="B359" s="1595" t="s">
        <v>55</v>
      </c>
      <c r="C359" s="1596"/>
      <c r="D359" s="1596"/>
      <c r="E359" s="1596"/>
      <c r="F359" s="1596"/>
      <c r="G359" s="57" t="s">
        <v>119</v>
      </c>
      <c r="H359" s="58"/>
      <c r="I359" s="58"/>
      <c r="J359" s="58"/>
      <c r="K359" s="58"/>
      <c r="L359" s="173"/>
      <c r="M359" s="669"/>
    </row>
    <row r="360" spans="1:13" s="378" customFormat="1" ht="45" x14ac:dyDescent="0.2">
      <c r="A360" s="650"/>
      <c r="B360" s="51" t="s">
        <v>87</v>
      </c>
      <c r="C360" s="52" t="s">
        <v>89</v>
      </c>
      <c r="D360" s="52" t="s">
        <v>88</v>
      </c>
      <c r="E360" s="52" t="s">
        <v>306</v>
      </c>
      <c r="F360" s="52" t="s">
        <v>97</v>
      </c>
      <c r="G360" s="53" t="s">
        <v>87</v>
      </c>
      <c r="H360" s="52" t="s">
        <v>89</v>
      </c>
      <c r="I360" s="52" t="s">
        <v>88</v>
      </c>
      <c r="J360" s="52" t="s">
        <v>306</v>
      </c>
      <c r="K360" s="52" t="s">
        <v>97</v>
      </c>
      <c r="L360" s="652"/>
      <c r="M360" s="661" t="s">
        <v>260</v>
      </c>
    </row>
    <row r="361" spans="1:13" s="491" customFormat="1" ht="14.25" x14ac:dyDescent="0.2">
      <c r="A361" s="406" t="s">
        <v>56</v>
      </c>
      <c r="B361" s="553">
        <f>IF($M361&gt;0,('Amounts Pivot Table'!M$630/$M361),0)</f>
        <v>4150.7816880043238</v>
      </c>
      <c r="C361" s="553">
        <f>IF($M361&gt;0,('Amounts Pivot Table'!M$633/$M361),0)</f>
        <v>417.903054228136</v>
      </c>
      <c r="D361" s="553">
        <f>IF($M361&gt;0,('Amounts Pivot Table'!M$636/$M361),0)</f>
        <v>772.14517418709067</v>
      </c>
      <c r="E361" s="553">
        <f>IF($M361&gt;0,('Amounts Pivot Table'!M$639/$M361),0)</f>
        <v>2856.4763054339828</v>
      </c>
      <c r="F361" s="553">
        <f>SUM(B361:E361)</f>
        <v>8197.3062218535342</v>
      </c>
      <c r="G361" s="554"/>
      <c r="H361" s="555"/>
      <c r="I361" s="555"/>
      <c r="J361" s="555"/>
      <c r="K361" s="555"/>
      <c r="L361" s="654"/>
      <c r="M361" s="841">
        <f>+'[1]NEW-Tables 80-86'!AN161</f>
        <v>122916.79488888888</v>
      </c>
    </row>
    <row r="362" spans="1:13" s="112" customFormat="1" ht="9" customHeight="1" x14ac:dyDescent="0.2">
      <c r="A362" s="110"/>
      <c r="B362" s="111"/>
      <c r="C362" s="111"/>
      <c r="D362" s="111"/>
      <c r="E362" s="111"/>
      <c r="F362" s="111"/>
      <c r="G362" s="119"/>
      <c r="H362" s="120"/>
      <c r="I362" s="120"/>
      <c r="J362" s="120"/>
      <c r="K362" s="120"/>
      <c r="L362" s="175"/>
      <c r="M362" s="841"/>
    </row>
    <row r="363" spans="1:13" s="491" customFormat="1" ht="12.75" customHeight="1" x14ac:dyDescent="0.2">
      <c r="A363" s="406" t="s">
        <v>320</v>
      </c>
      <c r="B363" s="556">
        <f>IF($M363&gt;0,('Amounts Pivot Table'!M$6/$M363),0)</f>
        <v>4427.3281221340676</v>
      </c>
      <c r="C363" s="556">
        <f>IF($M363&gt;0,('Amounts Pivot Table'!M$9/$M363),0)</f>
        <v>344.85722536810755</v>
      </c>
      <c r="D363" s="556">
        <f>IF($M363&gt;0,('Amounts Pivot Table'!M$12/$M363),0)</f>
        <v>0</v>
      </c>
      <c r="E363" s="556">
        <f>IF($M363&gt;0,('Amounts Pivot Table'!M$15/$M363),0)</f>
        <v>3899.5037132721668</v>
      </c>
      <c r="F363" s="556">
        <f t="shared" ref="F363:F381" si="31">SUM(B363:E363)</f>
        <v>8671.6890607743426</v>
      </c>
      <c r="G363" s="557">
        <f>IF(B363&gt;0,RANK(B363,$B$363:$B$381),)</f>
        <v>4</v>
      </c>
      <c r="H363" s="558">
        <f>IF(C363&gt;0,RANK(C363,$C$363:$C$381),)</f>
        <v>5</v>
      </c>
      <c r="I363" s="558">
        <f>IF(D363&gt;0,RANK(D363,$D$363:$D$381),)</f>
        <v>0</v>
      </c>
      <c r="J363" s="558">
        <f>IF(E363&gt;0,RANK(E363,$E$363:$E$381),)</f>
        <v>5</v>
      </c>
      <c r="K363" s="558">
        <f>IF(F363&gt;0,RANK(F363,$F$363:$F$381),)</f>
        <v>4</v>
      </c>
      <c r="L363" s="654"/>
      <c r="M363" s="841">
        <f>+'[1]NEW-Tables 80-86'!AN163</f>
        <v>8541.4333333333343</v>
      </c>
    </row>
    <row r="364" spans="1:13" s="491" customFormat="1" ht="12.75" customHeight="1" x14ac:dyDescent="0.2">
      <c r="A364" s="406" t="s">
        <v>334</v>
      </c>
      <c r="B364" s="556">
        <f>IF($M364&gt;0,('Amounts Pivot Table'!M$45/$M364),0)</f>
        <v>5302.120558960677</v>
      </c>
      <c r="C364" s="556">
        <f>IF($M364&gt;0,('Amounts Pivot Table'!M$48/$M364),0)</f>
        <v>96.937702638360889</v>
      </c>
      <c r="D364" s="556">
        <f>IF($M364&gt;0,('Amounts Pivot Table'!M$51/$M364),0)</f>
        <v>374.90928603278485</v>
      </c>
      <c r="E364" s="556">
        <f>IF($M364&gt;0,('Amounts Pivot Table'!M$54/$M364),0)</f>
        <v>3188.4718429226778</v>
      </c>
      <c r="F364" s="556">
        <f t="shared" si="31"/>
        <v>8962.4393905545003</v>
      </c>
      <c r="G364" s="557">
        <f>IF(B364&gt;0,RANK(B364,$B$363:$B$381),)</f>
        <v>2</v>
      </c>
      <c r="H364" s="558">
        <f>IF(C364&gt;0,RANK(C364,$C$363:$C$381),)</f>
        <v>6</v>
      </c>
      <c r="I364" s="558">
        <f>IF(D364&gt;0,RANK(D364,$D$363:$D$381),)</f>
        <v>6</v>
      </c>
      <c r="J364" s="558">
        <f>IF(E364&gt;0,RANK(E364,$E$363:$E$381),)</f>
        <v>8</v>
      </c>
      <c r="K364" s="558">
        <f>IF(F364&gt;0,RANK(F364,$F$363:$F$381),)</f>
        <v>3</v>
      </c>
      <c r="L364" s="654"/>
      <c r="M364" s="841">
        <f>+'[1]NEW-Tables 80-86'!AN164</f>
        <v>22052.833333333336</v>
      </c>
    </row>
    <row r="365" spans="1:13" s="491" customFormat="1" ht="12.75" customHeight="1" x14ac:dyDescent="0.2">
      <c r="A365" s="406" t="s">
        <v>321</v>
      </c>
      <c r="B365" s="556">
        <f>IF($M365&gt;0,('Amounts Pivot Table'!M$84/$M365),0)</f>
        <v>0</v>
      </c>
      <c r="C365" s="556">
        <f>IF($M365&gt;0,('Amounts Pivot Table'!M$87/$M365),0)</f>
        <v>0</v>
      </c>
      <c r="D365" s="556">
        <f>IF($M365&gt;0,('Amounts Pivot Table'!M$90/$M365),0)</f>
        <v>0</v>
      </c>
      <c r="E365" s="556">
        <f>IF($M365&gt;0,('Amounts Pivot Table'!M$93/$M365),0)</f>
        <v>0</v>
      </c>
      <c r="F365" s="556">
        <f t="shared" si="31"/>
        <v>0</v>
      </c>
      <c r="G365" s="557">
        <f>IF(B365&gt;0,RANK(B365,$B$363:$B$381),)</f>
        <v>0</v>
      </c>
      <c r="H365" s="558">
        <f>IF(C365&gt;0,RANK(C365,$C$363:$C$381),)</f>
        <v>0</v>
      </c>
      <c r="I365" s="558">
        <f>IF(D365&gt;0,RANK(D365,$D$363:$D$381),)</f>
        <v>0</v>
      </c>
      <c r="J365" s="558">
        <f>IF(E365&gt;0,RANK(E365,$E$363:$E$381),)</f>
        <v>0</v>
      </c>
      <c r="K365" s="558">
        <f>IF(F365&gt;0,RANK(F365,$F$363:$F$381),)</f>
        <v>0</v>
      </c>
      <c r="L365" s="654"/>
      <c r="M365" s="841">
        <f>+'[1]NEW-Tables 80-86'!AN165</f>
        <v>0</v>
      </c>
    </row>
    <row r="366" spans="1:13" s="491" customFormat="1" ht="12.75" customHeight="1" x14ac:dyDescent="0.2">
      <c r="A366" s="406" t="s">
        <v>328</v>
      </c>
      <c r="B366" s="556">
        <f>IF($M366&gt;0,('Amounts Pivot Table'!M$123/$M366),0)</f>
        <v>6714.3821764010299</v>
      </c>
      <c r="C366" s="556">
        <f>IF($M366&gt;0,('Amounts Pivot Table'!M$126/$M366),0)</f>
        <v>0</v>
      </c>
      <c r="D366" s="556">
        <f>IF($M366&gt;0,('Amounts Pivot Table'!M$129/$M366),0)</f>
        <v>0</v>
      </c>
      <c r="E366" s="556">
        <f>IF($M366&gt;0,('Amounts Pivot Table'!M$132/$M366),0)</f>
        <v>2522.2241874557817</v>
      </c>
      <c r="F366" s="556">
        <f t="shared" si="31"/>
        <v>9236.6063638568121</v>
      </c>
      <c r="G366" s="557">
        <f>IF(B366&gt;0,RANK(B366,$B$363:$B$381),)</f>
        <v>1</v>
      </c>
      <c r="H366" s="558">
        <f>IF(C366&gt;0,RANK(C366,$C$363:$C$381),)</f>
        <v>0</v>
      </c>
      <c r="I366" s="558">
        <f>IF(D366&gt;0,RANK(D366,$D$363:$D$381),)</f>
        <v>0</v>
      </c>
      <c r="J366" s="558">
        <f>IF(E366&gt;0,RANK(E366,$E$363:$E$381),)</f>
        <v>11</v>
      </c>
      <c r="K366" s="558">
        <f>IF(F366&gt;0,RANK(F366,$F$363:$F$381),)</f>
        <v>2</v>
      </c>
      <c r="L366" s="654"/>
      <c r="M366" s="841">
        <f>+'[1]NEW-Tables 80-86'!AN166</f>
        <v>1777.817777777778</v>
      </c>
    </row>
    <row r="367" spans="1:13" s="112" customFormat="1" ht="9" customHeight="1" x14ac:dyDescent="0.2">
      <c r="A367" s="110"/>
      <c r="B367" s="111"/>
      <c r="C367" s="111"/>
      <c r="D367" s="111"/>
      <c r="E367" s="111"/>
      <c r="F367" s="111"/>
      <c r="G367" s="119"/>
      <c r="H367" s="120"/>
      <c r="I367" s="120"/>
      <c r="J367" s="120"/>
      <c r="K367" s="120"/>
      <c r="L367" s="175"/>
      <c r="M367" s="841"/>
    </row>
    <row r="368" spans="1:13" s="491" customFormat="1" ht="12.75" customHeight="1" x14ac:dyDescent="0.2">
      <c r="A368" s="406" t="s">
        <v>329</v>
      </c>
      <c r="B368" s="556">
        <f>IF($M368&gt;0,('Amounts Pivot Table'!M$162/$M368),0)</f>
        <v>0</v>
      </c>
      <c r="C368" s="556">
        <f>IF($M368&gt;0,('Amounts Pivot Table'!M$165/$M368),0)</f>
        <v>0</v>
      </c>
      <c r="D368" s="556">
        <f>IF($M368&gt;0,('Amounts Pivot Table'!M$168/$M368),0)</f>
        <v>0</v>
      </c>
      <c r="E368" s="556">
        <f>IF($M368&gt;0,('Amounts Pivot Table'!M$171/$M368),0)</f>
        <v>0</v>
      </c>
      <c r="F368" s="556">
        <f t="shared" si="31"/>
        <v>0</v>
      </c>
      <c r="G368" s="557">
        <f>IF(B368&gt;0,RANK(B368,$B$363:$B$381),)</f>
        <v>0</v>
      </c>
      <c r="H368" s="558">
        <f>IF(C368&gt;0,RANK(C368,$C$363:$C$381),)</f>
        <v>0</v>
      </c>
      <c r="I368" s="558">
        <f>IF(D368&gt;0,RANK(D368,$D$363:$D$381),)</f>
        <v>0</v>
      </c>
      <c r="J368" s="558">
        <f>IF(E368&gt;0,RANK(E368,$E$363:$E$381),)</f>
        <v>0</v>
      </c>
      <c r="K368" s="558">
        <f>IF(F368&gt;0,RANK(F368,$F$363:$F$381),)</f>
        <v>0</v>
      </c>
      <c r="L368" s="654"/>
      <c r="M368" s="841">
        <f>+'[1]NEW-Tables 80-86'!AN168</f>
        <v>0</v>
      </c>
    </row>
    <row r="369" spans="1:13" s="491" customFormat="1" ht="12.75" customHeight="1" x14ac:dyDescent="0.2">
      <c r="A369" s="406" t="s">
        <v>322</v>
      </c>
      <c r="B369" s="556">
        <f>IF($M369&gt;0,('Amounts Pivot Table'!M$201/$M369),0)</f>
        <v>4052.1741603512578</v>
      </c>
      <c r="C369" s="556">
        <f>IF($M369&gt;0,('Amounts Pivot Table'!M$204/$M369),0)</f>
        <v>0</v>
      </c>
      <c r="D369" s="556">
        <f>IF($M369&gt;0,('Amounts Pivot Table'!M$207/$M369),0)</f>
        <v>0</v>
      </c>
      <c r="E369" s="556">
        <f>IF($M369&gt;0,('Amounts Pivot Table'!M$210/$M369),0)</f>
        <v>4268.4426765760345</v>
      </c>
      <c r="F369" s="556">
        <f t="shared" si="31"/>
        <v>8320.6168369272928</v>
      </c>
      <c r="G369" s="557">
        <f>IF(B369&gt;0,RANK(B369,$B$363:$B$381),)</f>
        <v>8</v>
      </c>
      <c r="H369" s="558">
        <f>IF(C369&gt;0,RANK(C369,$C$363:$C$381),)</f>
        <v>0</v>
      </c>
      <c r="I369" s="558">
        <f>IF(D369&gt;0,RANK(D369,$D$363:$D$381),)</f>
        <v>0</v>
      </c>
      <c r="J369" s="558">
        <f>IF(E369&gt;0,RANK(E369,$E$363:$E$381),)</f>
        <v>3</v>
      </c>
      <c r="K369" s="558">
        <f>IF(F369&gt;0,RANK(F369,$F$363:$F$381),)</f>
        <v>6</v>
      </c>
      <c r="L369" s="654"/>
      <c r="M369" s="841">
        <f>+'[1]NEW-Tables 80-86'!AN169</f>
        <v>1273.7666666666667</v>
      </c>
    </row>
    <row r="370" spans="1:13" s="491" customFormat="1" ht="12.75" customHeight="1" x14ac:dyDescent="0.2">
      <c r="A370" s="406" t="s">
        <v>330</v>
      </c>
      <c r="B370" s="556">
        <f>IF($M370&gt;0,('Amounts Pivot Table'!M$240/$M370),0)</f>
        <v>2066.8685385888748</v>
      </c>
      <c r="C370" s="556">
        <f>IF($M370&gt;0,('Amounts Pivot Table'!M$243/$M370),0)</f>
        <v>0</v>
      </c>
      <c r="D370" s="556">
        <f>IF($M370&gt;0,('Amounts Pivot Table'!M$246/$M370),0)</f>
        <v>0</v>
      </c>
      <c r="E370" s="556">
        <f>IF($M370&gt;0,('Amounts Pivot Table'!M$249/$M370),0)</f>
        <v>2837.9507761501704</v>
      </c>
      <c r="F370" s="556">
        <f t="shared" si="31"/>
        <v>4904.8193147390448</v>
      </c>
      <c r="G370" s="557">
        <f>IF(B370&gt;0,RANK(B370,$B$363:$B$381),)</f>
        <v>12</v>
      </c>
      <c r="H370" s="558">
        <f>IF(C370&gt;0,RANK(C370,$C$363:$C$381),)</f>
        <v>0</v>
      </c>
      <c r="I370" s="558">
        <f>IF(D370&gt;0,RANK(D370,$D$363:$D$381),)</f>
        <v>0</v>
      </c>
      <c r="J370" s="558">
        <f>IF(E370&gt;0,RANK(E370,$E$363:$E$381),)</f>
        <v>9</v>
      </c>
      <c r="K370" s="558">
        <f>IF(F370&gt;0,RANK(F370,$F$363:$F$381),)</f>
        <v>13</v>
      </c>
      <c r="L370" s="654"/>
      <c r="M370" s="841">
        <f>+'[1]NEW-Tables 80-86'!AN170</f>
        <v>3201.7</v>
      </c>
    </row>
    <row r="371" spans="1:13" s="491" customFormat="1" ht="12.75" customHeight="1" x14ac:dyDescent="0.2">
      <c r="A371" s="406" t="s">
        <v>333</v>
      </c>
      <c r="B371" s="556">
        <f>IF($M371&gt;0,('Amounts Pivot Table'!M$279/$M371),0)</f>
        <v>3076.2760775738984</v>
      </c>
      <c r="C371" s="556">
        <f>IF($M371&gt;0,('Amounts Pivot Table'!M$282/$M371),0)</f>
        <v>378.79690291840382</v>
      </c>
      <c r="D371" s="556">
        <f>IF($M371&gt;0,('Amounts Pivot Table'!M$285/$M371),0)</f>
        <v>4570.944626204443</v>
      </c>
      <c r="E371" s="556">
        <f>IF($M371&gt;0,('Amounts Pivot Table'!M$288/$M371),0)</f>
        <v>4933.8494864033546</v>
      </c>
      <c r="F371" s="556">
        <f t="shared" si="31"/>
        <v>12959.8670931001</v>
      </c>
      <c r="G371" s="557">
        <f>IF(B371&gt;0,RANK(B371,$B$363:$B$381),)</f>
        <v>11</v>
      </c>
      <c r="H371" s="558">
        <f>IF(C371&gt;0,RANK(C371,$C$363:$C$381),)</f>
        <v>3</v>
      </c>
      <c r="I371" s="558">
        <f>IF(D371&gt;0,RANK(D371,$D$363:$D$381),)</f>
        <v>1</v>
      </c>
      <c r="J371" s="558">
        <f>IF(E371&gt;0,RANK(E371,$E$363:$E$381),)</f>
        <v>1</v>
      </c>
      <c r="K371" s="558">
        <f>IF(F371&gt;0,RANK(F371,$F$363:$F$381),)</f>
        <v>1</v>
      </c>
      <c r="L371" s="654"/>
      <c r="M371" s="841">
        <f>+'[1]NEW-Tables 80-86'!AN171</f>
        <v>4085.5666666666666</v>
      </c>
    </row>
    <row r="372" spans="1:13" s="112" customFormat="1" ht="10.5" customHeight="1" x14ac:dyDescent="0.2">
      <c r="A372" s="110"/>
      <c r="B372" s="111"/>
      <c r="C372" s="111"/>
      <c r="D372" s="111"/>
      <c r="E372" s="111"/>
      <c r="F372" s="111"/>
      <c r="G372" s="119"/>
      <c r="H372" s="120"/>
      <c r="I372" s="120"/>
      <c r="J372" s="120"/>
      <c r="K372" s="120"/>
      <c r="L372" s="175"/>
      <c r="M372" s="841"/>
    </row>
    <row r="373" spans="1:13" s="491" customFormat="1" ht="12.75" customHeight="1" x14ac:dyDescent="0.2">
      <c r="A373" s="406" t="s">
        <v>323</v>
      </c>
      <c r="B373" s="556">
        <f>IF($M373&gt;0,('Amounts Pivot Table'!M$318/$M373),0)</f>
        <v>4208.3496477826911</v>
      </c>
      <c r="C373" s="556">
        <f>IF($M373&gt;0,('Amounts Pivot Table'!M$321/$M373),0)</f>
        <v>659.63318708594795</v>
      </c>
      <c r="D373" s="556">
        <f>IF($M373&gt;0,('Amounts Pivot Table'!M$324/$M373),0)</f>
        <v>808.06813613242673</v>
      </c>
      <c r="E373" s="556">
        <f>IF($M373&gt;0,('Amounts Pivot Table'!M$327/$M373),0)</f>
        <v>2786.1323393172402</v>
      </c>
      <c r="F373" s="556">
        <f t="shared" si="31"/>
        <v>8462.1833103183053</v>
      </c>
      <c r="G373" s="557">
        <f>IF(B373&gt;0,RANK(B373,$B$363:$B$381),)</f>
        <v>6</v>
      </c>
      <c r="H373" s="558">
        <f>IF(C373&gt;0,RANK(C373,$C$363:$C$381),)</f>
        <v>2</v>
      </c>
      <c r="I373" s="558">
        <f>IF(D373&gt;0,RANK(D373,$D$363:$D$381),)</f>
        <v>4</v>
      </c>
      <c r="J373" s="558">
        <f>IF(E373&gt;0,RANK(E373,$E$363:$E$381),)</f>
        <v>10</v>
      </c>
      <c r="K373" s="558">
        <f>IF(F373&gt;0,RANK(F373,$F$363:$F$381),)</f>
        <v>5</v>
      </c>
      <c r="L373" s="654"/>
      <c r="M373" s="841">
        <f>+'[1]NEW-Tables 80-86'!AN173</f>
        <v>3813.9333333333334</v>
      </c>
    </row>
    <row r="374" spans="1:13" s="491" customFormat="1" ht="12.75" customHeight="1" x14ac:dyDescent="0.2">
      <c r="A374" s="406" t="s">
        <v>324</v>
      </c>
      <c r="B374" s="556">
        <f>IF($M374&gt;0,('Amounts Pivot Table'!M$357/$M374),0)</f>
        <v>4375.6175389664986</v>
      </c>
      <c r="C374" s="556">
        <f>IF($M374&gt;0,('Amounts Pivot Table'!M$360/$M374),0)</f>
        <v>1054.6915910134508</v>
      </c>
      <c r="D374" s="556">
        <f>IF($M374&gt;0,('Amounts Pivot Table'!M$363/$M374),0)</f>
        <v>1041.631406381473</v>
      </c>
      <c r="E374" s="556">
        <f>IF($M374&gt;0,('Amounts Pivot Table'!M$366/$M374),0)</f>
        <v>1604.1651110398127</v>
      </c>
      <c r="F374" s="556">
        <f t="shared" si="31"/>
        <v>8076.1056474012348</v>
      </c>
      <c r="G374" s="557">
        <f>IF(B374&gt;0,RANK(B374,$B$363:$B$381),)</f>
        <v>5</v>
      </c>
      <c r="H374" s="558">
        <f>IF(C374&gt;0,RANK(C374,$C$363:$C$381),)</f>
        <v>1</v>
      </c>
      <c r="I374" s="558">
        <f>IF(D374&gt;0,RANK(D374,$D$363:$D$381),)</f>
        <v>3</v>
      </c>
      <c r="J374" s="558">
        <f>IF(E374&gt;0,RANK(E374,$E$363:$E$381),)</f>
        <v>13</v>
      </c>
      <c r="K374" s="558">
        <f>IF(F374&gt;0,RANK(F374,$F$363:$F$381),)</f>
        <v>7</v>
      </c>
      <c r="L374" s="654"/>
      <c r="M374" s="841">
        <f>+'[1]NEW-Tables 80-86'!AN174</f>
        <v>36608.441111111111</v>
      </c>
    </row>
    <row r="375" spans="1:13" s="491" customFormat="1" ht="12.75" customHeight="1" x14ac:dyDescent="0.2">
      <c r="A375" s="406" t="s">
        <v>331</v>
      </c>
      <c r="B375" s="556">
        <f>IF($M375&gt;0,('Amounts Pivot Table'!M$396/$M375),0)</f>
        <v>3660.7503432055942</v>
      </c>
      <c r="C375" s="556">
        <f>IF($M375&gt;0,('Amounts Pivot Table'!M$399/$M375),0)</f>
        <v>0</v>
      </c>
      <c r="D375" s="556">
        <f>IF($M375&gt;0,('Amounts Pivot Table'!M$402/$M375),0)</f>
        <v>0</v>
      </c>
      <c r="E375" s="556">
        <f>IF($M375&gt;0,('Amounts Pivot Table'!M$405/$M375),0)</f>
        <v>3463.7744367703563</v>
      </c>
      <c r="F375" s="556">
        <f t="shared" si="31"/>
        <v>7124.5247799759509</v>
      </c>
      <c r="G375" s="557">
        <f>IF(B375&gt;0,RANK(B375,$B$363:$B$381),)</f>
        <v>10</v>
      </c>
      <c r="H375" s="558">
        <f>IF(C375&gt;0,RANK(C375,$C$363:$C$381),)</f>
        <v>0</v>
      </c>
      <c r="I375" s="558">
        <f>IF(D375&gt;0,RANK(D375,$D$363:$D$381),)</f>
        <v>0</v>
      </c>
      <c r="J375" s="558">
        <f>IF(E375&gt;0,RANK(E375,$E$363:$E$381),)</f>
        <v>7</v>
      </c>
      <c r="K375" s="558">
        <f>IF(F375&gt;0,RANK(F375,$F$363:$F$381),)</f>
        <v>11</v>
      </c>
      <c r="L375" s="654"/>
      <c r="M375" s="841">
        <f>+'[1]NEW-Tables 80-86'!AN175</f>
        <v>12528.933333333331</v>
      </c>
    </row>
    <row r="376" spans="1:13" s="491" customFormat="1" ht="12.75" customHeight="1" x14ac:dyDescent="0.2">
      <c r="A376" s="406" t="s">
        <v>325</v>
      </c>
      <c r="B376" s="556">
        <f>IF($M376&gt;0,('Amounts Pivot Table'!M$435/$M376),0)</f>
        <v>1587.6991310084277</v>
      </c>
      <c r="C376" s="556">
        <f>IF($M376&gt;0,('Amounts Pivot Table'!M$438/$M376),0)</f>
        <v>358.7235994327292</v>
      </c>
      <c r="D376" s="556">
        <f>IF($M376&gt;0,('Amounts Pivot Table'!M$441/$M376),0)</f>
        <v>432.3195824182726</v>
      </c>
      <c r="E376" s="556">
        <f>IF($M376&gt;0,('Amounts Pivot Table'!M$444/$M376),0)</f>
        <v>4679.76281808986</v>
      </c>
      <c r="F376" s="556">
        <f t="shared" si="31"/>
        <v>7058.5051309492901</v>
      </c>
      <c r="G376" s="557">
        <f>IF(B376&gt;0,RANK(B376,$B$363:$B$381),)</f>
        <v>13</v>
      </c>
      <c r="H376" s="558">
        <f>IF(C376&gt;0,RANK(C376,$C$363:$C$381),)</f>
        <v>4</v>
      </c>
      <c r="I376" s="558">
        <f>IF(D376&gt;0,RANK(D376,$D$363:$D$381),)</f>
        <v>5</v>
      </c>
      <c r="J376" s="558">
        <f>IF(E376&gt;0,RANK(E376,$E$363:$E$381),)</f>
        <v>2</v>
      </c>
      <c r="K376" s="558">
        <f>IF(F376&gt;0,RANK(F376,$F$363:$F$381),)</f>
        <v>12</v>
      </c>
      <c r="L376" s="654"/>
      <c r="M376" s="841">
        <f>+'[1]NEW-Tables 80-86'!AN176</f>
        <v>8725.2860000000001</v>
      </c>
    </row>
    <row r="377" spans="1:13" s="112" customFormat="1" ht="10.5" customHeight="1" x14ac:dyDescent="0.2">
      <c r="A377" s="110"/>
      <c r="B377" s="111"/>
      <c r="C377" s="111"/>
      <c r="D377" s="111"/>
      <c r="E377" s="111"/>
      <c r="F377" s="111"/>
      <c r="G377" s="119"/>
      <c r="H377" s="120"/>
      <c r="I377" s="120"/>
      <c r="J377" s="120"/>
      <c r="K377" s="120"/>
      <c r="L377" s="175"/>
      <c r="M377" s="841"/>
    </row>
    <row r="378" spans="1:13" s="491" customFormat="1" ht="12.75" customHeight="1" x14ac:dyDescent="0.2">
      <c r="A378" s="406" t="s">
        <v>90</v>
      </c>
      <c r="B378" s="556">
        <f>IF($M378&gt;0,('Amounts Pivot Table'!M$474/$M378),0)</f>
        <v>0</v>
      </c>
      <c r="C378" s="556">
        <f>IF($M378&gt;0,('Amounts Pivot Table'!M$477/$M378),0)</f>
        <v>0</v>
      </c>
      <c r="D378" s="556">
        <f>IF($M378&gt;0,('Amounts Pivot Table'!M$480/$M378),0)</f>
        <v>0</v>
      </c>
      <c r="E378" s="556">
        <f>IF($M378&gt;0,('Amounts Pivot Table'!M$483/$M378),0)</f>
        <v>0</v>
      </c>
      <c r="F378" s="556">
        <f t="shared" si="31"/>
        <v>0</v>
      </c>
      <c r="G378" s="557">
        <f>IF(B378&gt;0,RANK(B378,$B$363:$B$381),)</f>
        <v>0</v>
      </c>
      <c r="H378" s="558">
        <f>IF(C378&gt;0,RANK(C378,$C$363:$C$381),)</f>
        <v>0</v>
      </c>
      <c r="I378" s="558">
        <f>IF(D378&gt;0,RANK(D378,$D$363:$D$381),)</f>
        <v>0</v>
      </c>
      <c r="J378" s="558">
        <f>IF(E378&gt;0,RANK(E378,$E$363:$E$381),)</f>
        <v>0</v>
      </c>
      <c r="K378" s="558">
        <f>IF(F378&gt;0,RANK(F378,$F$363:$F$381),)</f>
        <v>0</v>
      </c>
      <c r="L378" s="654"/>
      <c r="M378" s="841">
        <f>+'[1]NEW-Tables 80-86'!AN178</f>
        <v>0</v>
      </c>
    </row>
    <row r="379" spans="1:13" s="76" customFormat="1" ht="12.75" customHeight="1" x14ac:dyDescent="0.2">
      <c r="A379" s="406" t="s">
        <v>177</v>
      </c>
      <c r="B379" s="556">
        <f>IF($M379&gt;0,('Amounts Pivot Table'!M$513/$M379),0)</f>
        <v>4107.0186022055877</v>
      </c>
      <c r="C379" s="556">
        <f>IF($M379&gt;0,('Amounts Pivot Table'!M$516/$M379),0)</f>
        <v>0</v>
      </c>
      <c r="D379" s="556">
        <f>IF($M379&gt;0,('Amounts Pivot Table'!M$519/$M379),0)</f>
        <v>1985.1653730951323</v>
      </c>
      <c r="E379" s="556">
        <f>IF($M379&gt;0,('Amounts Pivot Table'!M$522/$M379),0)</f>
        <v>1786.0368565664612</v>
      </c>
      <c r="F379" s="556">
        <f t="shared" si="31"/>
        <v>7878.220831867181</v>
      </c>
      <c r="G379" s="557">
        <f>IF(B379&gt;0,RANK(B379,$B$363:$B$381),)</f>
        <v>7</v>
      </c>
      <c r="H379" s="558">
        <f>IF(C379&gt;0,RANK(C379,$C$363:$C$381),)</f>
        <v>0</v>
      </c>
      <c r="I379" s="558">
        <f>IF(D379&gt;0,RANK(D379,$D$363:$D$381),)</f>
        <v>2</v>
      </c>
      <c r="J379" s="558">
        <f>IF(E379&gt;0,RANK(E379,$E$363:$E$381),)</f>
        <v>12</v>
      </c>
      <c r="K379" s="558">
        <f>IF(F379&gt;0,RANK(F379,$F$363:$F$381),)</f>
        <v>10</v>
      </c>
      <c r="L379" s="169"/>
      <c r="M379" s="841">
        <f>+'[1]NEW-Tables 80-86'!AN179</f>
        <v>11576.046666666669</v>
      </c>
    </row>
    <row r="380" spans="1:13" s="491" customFormat="1" ht="12.75" customHeight="1" x14ac:dyDescent="0.2">
      <c r="A380" s="406" t="s">
        <v>27</v>
      </c>
      <c r="B380" s="556">
        <f>IF($M380&gt;0,('Amounts Pivot Table'!M$552/$M380),0)</f>
        <v>4550.9261511728928</v>
      </c>
      <c r="C380" s="556">
        <f>IF($M380&gt;0,('Amounts Pivot Table'!M$555/$M380),0)</f>
        <v>0</v>
      </c>
      <c r="D380" s="556">
        <f>IF($M380&gt;0,('Amounts Pivot Table'!M$558/$M380),0)</f>
        <v>0</v>
      </c>
      <c r="E380" s="556">
        <f>IF($M380&gt;0,('Amounts Pivot Table'!M$561/$M380),0)</f>
        <v>3473.9357080799305</v>
      </c>
      <c r="F380" s="556">
        <f>SUM(B380:E380)</f>
        <v>8024.8618592528237</v>
      </c>
      <c r="G380" s="557">
        <f>IF(B380&gt;0,RANK(B380,$B$363:$B$381),)</f>
        <v>3</v>
      </c>
      <c r="H380" s="558">
        <f>IF(C380&gt;0,RANK(C380,$C$363:$C$381),)</f>
        <v>0</v>
      </c>
      <c r="I380" s="558">
        <f>IF(D380&gt;0,RANK(D380,$D$363:$D$381),)</f>
        <v>0</v>
      </c>
      <c r="J380" s="558">
        <f>IF(E380&gt;0,RANK(E380,$E$363:$E$381),)</f>
        <v>6</v>
      </c>
      <c r="K380" s="558">
        <f>IF(F380&gt;0,RANK(F380,$F$363:$F$381),)</f>
        <v>9</v>
      </c>
      <c r="L380" s="655"/>
      <c r="M380" s="841">
        <f>+'[1]NEW-Tables 80-86'!AN180</f>
        <v>1151</v>
      </c>
    </row>
    <row r="381" spans="1:13" s="491" customFormat="1" ht="13.5" customHeight="1" x14ac:dyDescent="0.2">
      <c r="A381" s="407" t="s">
        <v>332</v>
      </c>
      <c r="B381" s="562">
        <f>IF($M381&gt;0,('Amounts Pivot Table'!M$591/$M381),0)</f>
        <v>4015.7448226943493</v>
      </c>
      <c r="C381" s="562">
        <f>IF($M381&gt;0,('Amounts Pivot Table'!M$594/$M381),0)</f>
        <v>63.324231940830536</v>
      </c>
      <c r="D381" s="562">
        <f>IF($M381&gt;0,('Amounts Pivot Table'!M$597/$M381),0)</f>
        <v>0</v>
      </c>
      <c r="E381" s="562">
        <f>IF($M381&gt;0,('Amounts Pivot Table'!M$600/$M381),0)</f>
        <v>3966.512343168085</v>
      </c>
      <c r="F381" s="563">
        <f t="shared" si="31"/>
        <v>8045.5813978032647</v>
      </c>
      <c r="G381" s="564">
        <f>IF(B381&gt;0,RANK(B381,$B$363:$B$381),)</f>
        <v>9</v>
      </c>
      <c r="H381" s="565">
        <f>IF(C381&gt;0,RANK(C381,$C$363:$C$381),)</f>
        <v>7</v>
      </c>
      <c r="I381" s="565">
        <f>IF(D381&gt;0,RANK(D381,$D$363:$D$381),)</f>
        <v>0</v>
      </c>
      <c r="J381" s="565">
        <f>IF(E381&gt;0,RANK(E381,$E$363:$E$381),)</f>
        <v>4</v>
      </c>
      <c r="K381" s="565">
        <f>IF(F381&gt;0,RANK(F381,$F$363:$F$381),)</f>
        <v>8</v>
      </c>
      <c r="L381" s="658"/>
      <c r="M381" s="841">
        <f>+'[1]NEW-Tables 80-86'!AN181</f>
        <v>7580.0366666666669</v>
      </c>
    </row>
    <row r="382" spans="1:13" s="76" customFormat="1" ht="24.75" customHeight="1" x14ac:dyDescent="0.15">
      <c r="A382" s="1599" t="s">
        <v>390</v>
      </c>
      <c r="B382" s="1599"/>
      <c r="C382" s="1599"/>
      <c r="D382" s="1599"/>
      <c r="E382" s="1599"/>
      <c r="F382" s="1599"/>
      <c r="G382" s="1599"/>
      <c r="H382" s="1599"/>
      <c r="I382" s="1599"/>
      <c r="J382" s="1599"/>
      <c r="K382" s="1599"/>
      <c r="L382" s="169"/>
      <c r="M382" s="672"/>
    </row>
    <row r="383" spans="1:13" s="76" customFormat="1" ht="13.5" customHeight="1" x14ac:dyDescent="0.15">
      <c r="A383" s="493" t="s">
        <v>448</v>
      </c>
      <c r="B383" s="645"/>
      <c r="C383" s="645"/>
      <c r="D383" s="645"/>
      <c r="E383" s="645"/>
      <c r="F383" s="645"/>
      <c r="G383" s="645"/>
      <c r="H383" s="645"/>
      <c r="I383" s="645"/>
      <c r="J383" s="645"/>
      <c r="K383" s="645"/>
      <c r="L383" s="169"/>
      <c r="M383" s="672"/>
    </row>
    <row r="384" spans="1:13" s="76" customFormat="1" ht="34.5" customHeight="1" x14ac:dyDescent="0.15">
      <c r="A384" s="1558" t="s">
        <v>17</v>
      </c>
      <c r="B384" s="1582"/>
      <c r="C384" s="1582"/>
      <c r="D384" s="1582"/>
      <c r="E384" s="1582"/>
      <c r="F384" s="1582"/>
      <c r="G384" s="1582"/>
      <c r="H384" s="1582"/>
      <c r="I384" s="1582"/>
      <c r="J384" s="1582"/>
      <c r="K384" s="1582"/>
      <c r="L384" s="169"/>
      <c r="M384" s="669"/>
    </row>
    <row r="385" spans="1:13" s="205" customFormat="1" ht="13.5" customHeight="1" x14ac:dyDescent="0.15">
      <c r="A385" s="1558" t="s">
        <v>54</v>
      </c>
      <c r="B385" s="1582"/>
      <c r="C385" s="1582"/>
      <c r="D385" s="1582"/>
      <c r="E385" s="1582"/>
      <c r="F385" s="1582"/>
      <c r="G385" s="1582"/>
      <c r="H385" s="1582"/>
      <c r="I385" s="1582"/>
      <c r="J385" s="1582"/>
      <c r="K385" s="1582"/>
      <c r="L385" s="204"/>
      <c r="M385" s="669"/>
    </row>
    <row r="386" spans="1:13" s="491" customFormat="1" ht="13.5" customHeight="1" x14ac:dyDescent="0.15">
      <c r="A386" s="1558" t="s">
        <v>233</v>
      </c>
      <c r="B386" s="1593"/>
      <c r="C386" s="1593"/>
      <c r="D386" s="1593"/>
      <c r="E386" s="1593"/>
      <c r="F386" s="1593"/>
      <c r="G386" s="1594"/>
      <c r="H386" s="1594"/>
      <c r="I386" s="1594"/>
      <c r="J386" s="1594"/>
      <c r="K386" s="1594"/>
      <c r="L386" s="658"/>
      <c r="M386" s="669"/>
    </row>
    <row r="387" spans="1:13" s="491" customFormat="1" ht="13.5" customHeight="1" x14ac:dyDescent="0.15">
      <c r="A387" s="644"/>
      <c r="B387" s="657"/>
      <c r="C387" s="657"/>
      <c r="D387" s="657"/>
      <c r="E387" s="657"/>
      <c r="F387" s="657"/>
      <c r="G387" s="659"/>
      <c r="H387" s="659"/>
      <c r="I387" s="659"/>
      <c r="J387" s="659"/>
      <c r="K387" s="659"/>
      <c r="L387" s="658"/>
      <c r="M387" s="669"/>
    </row>
    <row r="388" spans="1:13" s="491" customFormat="1" x14ac:dyDescent="0.2">
      <c r="A388" s="644"/>
      <c r="B388" s="657"/>
      <c r="C388" s="657"/>
      <c r="D388" s="657"/>
      <c r="E388" s="657"/>
      <c r="F388" s="657"/>
      <c r="G388" s="659"/>
      <c r="H388" s="659"/>
      <c r="I388" s="659"/>
      <c r="J388" s="659"/>
      <c r="K388" s="535" t="s">
        <v>1898</v>
      </c>
      <c r="L388" s="658"/>
      <c r="M388" s="669"/>
    </row>
    <row r="389" spans="1:13" s="491" customFormat="1" ht="15.75" x14ac:dyDescent="0.15">
      <c r="A389" s="1557" t="s">
        <v>370</v>
      </c>
      <c r="B389" s="1557"/>
      <c r="C389" s="1557"/>
      <c r="D389" s="1557"/>
      <c r="E389" s="1557"/>
      <c r="F389" s="1557"/>
      <c r="G389" s="1557"/>
      <c r="H389" s="1557"/>
      <c r="I389" s="1557"/>
      <c r="J389" s="1557"/>
      <c r="K389" s="1557"/>
      <c r="M389" s="669"/>
    </row>
    <row r="390" spans="1:13" s="491" customFormat="1" ht="18.75" x14ac:dyDescent="0.15">
      <c r="A390" s="1557" t="s">
        <v>18</v>
      </c>
      <c r="B390" s="1557"/>
      <c r="C390" s="1557"/>
      <c r="D390" s="1557"/>
      <c r="E390" s="1557"/>
      <c r="F390" s="1557"/>
      <c r="G390" s="1557"/>
      <c r="H390" s="1557"/>
      <c r="I390" s="1557"/>
      <c r="J390" s="1557"/>
      <c r="K390" s="1557"/>
      <c r="L390" s="165"/>
      <c r="M390" s="669"/>
    </row>
    <row r="391" spans="1:13" s="491" customFormat="1" ht="15.75" x14ac:dyDescent="0.15">
      <c r="A391" s="1557" t="s">
        <v>445</v>
      </c>
      <c r="B391" s="1557"/>
      <c r="C391" s="1557"/>
      <c r="D391" s="1557"/>
      <c r="E391" s="1557"/>
      <c r="F391" s="1557"/>
      <c r="G391" s="1557"/>
      <c r="H391" s="1557"/>
      <c r="I391" s="1557"/>
      <c r="J391" s="1557"/>
      <c r="K391" s="1557"/>
      <c r="L391" s="165"/>
      <c r="M391" s="669"/>
    </row>
    <row r="392" spans="1:13" s="491" customFormat="1" ht="10.5" customHeight="1" x14ac:dyDescent="0.2">
      <c r="A392" s="91"/>
      <c r="B392" s="91"/>
      <c r="C392" s="91"/>
      <c r="D392" s="91"/>
      <c r="E392" s="91"/>
      <c r="F392" s="91"/>
      <c r="G392" s="108"/>
      <c r="H392" s="91"/>
      <c r="I392" s="91"/>
      <c r="J392" s="91"/>
      <c r="K392" s="91"/>
      <c r="L392" s="165"/>
      <c r="M392" s="649"/>
    </row>
    <row r="393" spans="1:13" s="491" customFormat="1" ht="17.25" customHeight="1" x14ac:dyDescent="0.2">
      <c r="A393" s="60"/>
      <c r="B393" s="1595" t="s">
        <v>55</v>
      </c>
      <c r="C393" s="1596"/>
      <c r="D393" s="1596"/>
      <c r="E393" s="1596"/>
      <c r="F393" s="1596"/>
      <c r="G393" s="57" t="s">
        <v>119</v>
      </c>
      <c r="H393" s="58"/>
      <c r="I393" s="58"/>
      <c r="J393" s="58"/>
      <c r="K393" s="58"/>
      <c r="L393" s="173"/>
      <c r="M393" s="649"/>
    </row>
    <row r="394" spans="1:13" s="378" customFormat="1" ht="45" x14ac:dyDescent="0.2">
      <c r="A394" s="650"/>
      <c r="B394" s="51" t="s">
        <v>87</v>
      </c>
      <c r="C394" s="52" t="s">
        <v>89</v>
      </c>
      <c r="D394" s="52" t="s">
        <v>88</v>
      </c>
      <c r="E394" s="52" t="s">
        <v>306</v>
      </c>
      <c r="F394" s="52" t="s">
        <v>97</v>
      </c>
      <c r="G394" s="53" t="s">
        <v>87</v>
      </c>
      <c r="H394" s="52" t="s">
        <v>89</v>
      </c>
      <c r="I394" s="52" t="s">
        <v>88</v>
      </c>
      <c r="J394" s="52" t="s">
        <v>306</v>
      </c>
      <c r="K394" s="52" t="s">
        <v>97</v>
      </c>
      <c r="L394" s="652"/>
      <c r="M394" s="661" t="s">
        <v>260</v>
      </c>
    </row>
    <row r="395" spans="1:13" s="491" customFormat="1" ht="14.25" x14ac:dyDescent="0.2">
      <c r="A395" s="406" t="s">
        <v>56</v>
      </c>
      <c r="B395" s="553">
        <f>IF($M395&gt;0,('Amounts Pivot Table'!N$630/$M395),0)</f>
        <v>5634.9546131058169</v>
      </c>
      <c r="C395" s="553">
        <f>IF($M395&gt;0,('Amounts Pivot Table'!N$633/$M395),0)</f>
        <v>0</v>
      </c>
      <c r="D395" s="553">
        <f>IF($M395&gt;0,('Amounts Pivot Table'!N$636/$M395),0)</f>
        <v>3491.9620824319686</v>
      </c>
      <c r="E395" s="553">
        <f>IF($M395&gt;0,('Amounts Pivot Table'!N$639/$M395),0)</f>
        <v>7479.6058662121122</v>
      </c>
      <c r="F395" s="553">
        <f>SUM(B395:E395)</f>
        <v>16606.522561749898</v>
      </c>
      <c r="G395" s="554"/>
      <c r="H395" s="555"/>
      <c r="I395" s="555"/>
      <c r="J395" s="555"/>
      <c r="K395" s="555"/>
      <c r="L395" s="654"/>
      <c r="M395" s="841">
        <f>+'[1]NEW-Tables 80-86'!AO161</f>
        <v>89093.266666666663</v>
      </c>
    </row>
    <row r="396" spans="1:13" s="112" customFormat="1" x14ac:dyDescent="0.2">
      <c r="A396" s="110"/>
      <c r="B396" s="111"/>
      <c r="C396" s="111"/>
      <c r="D396" s="111"/>
      <c r="E396" s="111"/>
      <c r="F396" s="111"/>
      <c r="G396" s="119"/>
      <c r="H396" s="120"/>
      <c r="I396" s="120"/>
      <c r="J396" s="120"/>
      <c r="K396" s="120"/>
      <c r="L396" s="175"/>
      <c r="M396" s="841"/>
    </row>
    <row r="397" spans="1:13" s="491" customFormat="1" ht="12.75" customHeight="1" x14ac:dyDescent="0.2">
      <c r="A397" s="406" t="s">
        <v>320</v>
      </c>
      <c r="B397" s="556">
        <f>IF($M397&gt;0,('Amounts Pivot Table'!N$6/$M397),0)</f>
        <v>0</v>
      </c>
      <c r="C397" s="556">
        <f>IF($M397&gt;0,('Amounts Pivot Table'!N$9/$M397),0)</f>
        <v>0</v>
      </c>
      <c r="D397" s="556">
        <f>IF($M397&gt;0,('Amounts Pivot Table'!N$12/$M397),0)</f>
        <v>0</v>
      </c>
      <c r="E397" s="556">
        <f>IF($M397&gt;0,('Amounts Pivot Table'!N$15/$M397),0)</f>
        <v>0</v>
      </c>
      <c r="F397" s="556">
        <f t="shared" ref="F397:F415" si="32">SUM(B397:E397)</f>
        <v>0</v>
      </c>
      <c r="G397" s="557">
        <f t="shared" ref="G397:G415" si="33">IF(B397&gt;0,RANK(B397,$B$397:$B$415),)</f>
        <v>0</v>
      </c>
      <c r="H397" s="558">
        <f t="shared" ref="H397:H415" si="34">IF(C397&gt;0,RANK(C397,$C$397:$C$415),)</f>
        <v>0</v>
      </c>
      <c r="I397" s="558">
        <f t="shared" ref="I397:I415" si="35">IF(D397&gt;0,RANK(D397,$D$397:$D$415),)</f>
        <v>0</v>
      </c>
      <c r="J397" s="558">
        <f t="shared" ref="J397:J415" si="36">IF(E397&gt;0,RANK(E397,$E$397:$E$415),)</f>
        <v>0</v>
      </c>
      <c r="K397" s="558">
        <f t="shared" ref="K397:K415" si="37">IF(F397&gt;0,RANK(F397,$F$397:$F$415),)</f>
        <v>0</v>
      </c>
      <c r="L397" s="654"/>
      <c r="M397" s="841">
        <f>+'[1]NEW-Tables 80-86'!AO163</f>
        <v>0</v>
      </c>
    </row>
    <row r="398" spans="1:13" s="491" customFormat="1" ht="12.75" customHeight="1" x14ac:dyDescent="0.2">
      <c r="A398" s="406" t="s">
        <v>334</v>
      </c>
      <c r="B398" s="556">
        <f>IF($M398&gt;0,('Amounts Pivot Table'!N$45/$M398),0)</f>
        <v>0</v>
      </c>
      <c r="C398" s="556">
        <f>IF($M398&gt;0,('Amounts Pivot Table'!N$48/$M398),0)</f>
        <v>0</v>
      </c>
      <c r="D398" s="556">
        <f>IF($M398&gt;0,('Amounts Pivot Table'!N$51/$M398),0)</f>
        <v>0</v>
      </c>
      <c r="E398" s="556">
        <f>IF($M398&gt;0,('Amounts Pivot Table'!N$54/$M398),0)</f>
        <v>0</v>
      </c>
      <c r="F398" s="556">
        <f t="shared" si="32"/>
        <v>0</v>
      </c>
      <c r="G398" s="557">
        <f t="shared" si="33"/>
        <v>0</v>
      </c>
      <c r="H398" s="558">
        <f t="shared" si="34"/>
        <v>0</v>
      </c>
      <c r="I398" s="558">
        <f t="shared" si="35"/>
        <v>0</v>
      </c>
      <c r="J398" s="558">
        <f t="shared" si="36"/>
        <v>0</v>
      </c>
      <c r="K398" s="558">
        <f t="shared" si="37"/>
        <v>0</v>
      </c>
      <c r="L398" s="654"/>
      <c r="M398" s="841">
        <f>+'[1]NEW-Tables 80-86'!AO164</f>
        <v>0</v>
      </c>
    </row>
    <row r="399" spans="1:13" s="491" customFormat="1" ht="12.75" customHeight="1" x14ac:dyDescent="0.2">
      <c r="A399" s="406" t="s">
        <v>321</v>
      </c>
      <c r="B399" s="556">
        <f>IF($M399&gt;0,('Amounts Pivot Table'!N$84/$M399),0)</f>
        <v>0</v>
      </c>
      <c r="C399" s="556">
        <f>IF($M399&gt;0,('Amounts Pivot Table'!N$87/$M399),0)</f>
        <v>0</v>
      </c>
      <c r="D399" s="556">
        <f>IF($M399&gt;0,('Amounts Pivot Table'!N$90/$M399),0)</f>
        <v>0</v>
      </c>
      <c r="E399" s="556">
        <f>IF($M399&gt;0,('Amounts Pivot Table'!N$93/$M399),0)</f>
        <v>0</v>
      </c>
      <c r="F399" s="556">
        <f t="shared" si="32"/>
        <v>0</v>
      </c>
      <c r="G399" s="557">
        <f t="shared" si="33"/>
        <v>0</v>
      </c>
      <c r="H399" s="558">
        <f t="shared" si="34"/>
        <v>0</v>
      </c>
      <c r="I399" s="558">
        <f t="shared" si="35"/>
        <v>0</v>
      </c>
      <c r="J399" s="558">
        <f t="shared" si="36"/>
        <v>0</v>
      </c>
      <c r="K399" s="558">
        <f t="shared" si="37"/>
        <v>0</v>
      </c>
      <c r="L399" s="654"/>
      <c r="M399" s="841">
        <f>+'[1]NEW-Tables 80-86'!AO165</f>
        <v>0</v>
      </c>
    </row>
    <row r="400" spans="1:13" s="491" customFormat="1" ht="12.75" customHeight="1" x14ac:dyDescent="0.2">
      <c r="A400" s="406" t="s">
        <v>328</v>
      </c>
      <c r="B400" s="556">
        <f>IF($M400&gt;0,('Amounts Pivot Table'!N$123/$M400),0)</f>
        <v>0</v>
      </c>
      <c r="C400" s="556">
        <f>IF($M400&gt;0,('Amounts Pivot Table'!N$126/$M400),0)</f>
        <v>0</v>
      </c>
      <c r="D400" s="556">
        <f>IF($M400&gt;0,('Amounts Pivot Table'!N$129/$M400),0)</f>
        <v>0</v>
      </c>
      <c r="E400" s="556">
        <f>IF($M400&gt;0,('Amounts Pivot Table'!N$132/$M400),0)</f>
        <v>0</v>
      </c>
      <c r="F400" s="556">
        <f t="shared" si="32"/>
        <v>0</v>
      </c>
      <c r="G400" s="557">
        <f t="shared" si="33"/>
        <v>0</v>
      </c>
      <c r="H400" s="558">
        <f t="shared" si="34"/>
        <v>0</v>
      </c>
      <c r="I400" s="558">
        <f t="shared" si="35"/>
        <v>0</v>
      </c>
      <c r="J400" s="558">
        <f t="shared" si="36"/>
        <v>0</v>
      </c>
      <c r="K400" s="558">
        <f t="shared" si="37"/>
        <v>0</v>
      </c>
      <c r="L400" s="654"/>
      <c r="M400" s="841">
        <f>+'[1]NEW-Tables 80-86'!AO166</f>
        <v>0</v>
      </c>
    </row>
    <row r="401" spans="1:13" s="112" customFormat="1" x14ac:dyDescent="0.2">
      <c r="A401" s="110"/>
      <c r="B401" s="111"/>
      <c r="C401" s="111"/>
      <c r="D401" s="111"/>
      <c r="E401" s="111"/>
      <c r="F401" s="111"/>
      <c r="G401" s="119"/>
      <c r="H401" s="120"/>
      <c r="I401" s="120"/>
      <c r="J401" s="120"/>
      <c r="K401" s="120"/>
      <c r="L401" s="175"/>
      <c r="M401" s="841"/>
    </row>
    <row r="402" spans="1:13" s="491" customFormat="1" ht="12.75" customHeight="1" x14ac:dyDescent="0.2">
      <c r="A402" s="406" t="s">
        <v>329</v>
      </c>
      <c r="B402" s="556">
        <f>IF($M402&gt;0,('Amounts Pivot Table'!N$162/$M402),0)</f>
        <v>0</v>
      </c>
      <c r="C402" s="556">
        <f>IF($M402&gt;0,('Amounts Pivot Table'!N$165/$M402),0)</f>
        <v>0</v>
      </c>
      <c r="D402" s="556">
        <f>IF($M402&gt;0,('Amounts Pivot Table'!N$168/$M402),0)</f>
        <v>0</v>
      </c>
      <c r="E402" s="556">
        <f>IF($M402&gt;0,('Amounts Pivot Table'!N$171/$M402),0)</f>
        <v>0</v>
      </c>
      <c r="F402" s="556">
        <f t="shared" si="32"/>
        <v>0</v>
      </c>
      <c r="G402" s="557">
        <f t="shared" si="33"/>
        <v>0</v>
      </c>
      <c r="H402" s="558">
        <f t="shared" si="34"/>
        <v>0</v>
      </c>
      <c r="I402" s="558">
        <f t="shared" si="35"/>
        <v>0</v>
      </c>
      <c r="J402" s="558">
        <f t="shared" si="36"/>
        <v>0</v>
      </c>
      <c r="K402" s="558">
        <f t="shared" si="37"/>
        <v>0</v>
      </c>
      <c r="L402" s="654"/>
      <c r="M402" s="841">
        <f>+'[1]NEW-Tables 80-86'!AO168</f>
        <v>0</v>
      </c>
    </row>
    <row r="403" spans="1:13" s="491" customFormat="1" ht="12.75" customHeight="1" x14ac:dyDescent="0.2">
      <c r="A403" s="406" t="s">
        <v>322</v>
      </c>
      <c r="B403" s="556">
        <f>IF($M403&gt;0,('Amounts Pivot Table'!N$201/$M403),0)</f>
        <v>0</v>
      </c>
      <c r="C403" s="556">
        <f>IF($M403&gt;0,('Amounts Pivot Table'!N$204/$M403),0)</f>
        <v>0</v>
      </c>
      <c r="D403" s="556">
        <f>IF($M403&gt;0,('Amounts Pivot Table'!N$207/$M403),0)</f>
        <v>0</v>
      </c>
      <c r="E403" s="556">
        <f>IF($M403&gt;0,('Amounts Pivot Table'!N$210/$M403),0)</f>
        <v>0</v>
      </c>
      <c r="F403" s="556">
        <f t="shared" si="32"/>
        <v>0</v>
      </c>
      <c r="G403" s="557">
        <f t="shared" si="33"/>
        <v>0</v>
      </c>
      <c r="H403" s="558">
        <f t="shared" si="34"/>
        <v>0</v>
      </c>
      <c r="I403" s="558">
        <f t="shared" si="35"/>
        <v>0</v>
      </c>
      <c r="J403" s="558">
        <f t="shared" si="36"/>
        <v>0</v>
      </c>
      <c r="K403" s="558">
        <f t="shared" si="37"/>
        <v>0</v>
      </c>
      <c r="L403" s="654"/>
      <c r="M403" s="841">
        <f>+'[1]NEW-Tables 80-86'!AO169</f>
        <v>0</v>
      </c>
    </row>
    <row r="404" spans="1:13" s="491" customFormat="1" ht="12.75" customHeight="1" x14ac:dyDescent="0.2">
      <c r="A404" s="406" t="s">
        <v>330</v>
      </c>
      <c r="B404" s="556">
        <f>IF($M404&gt;0,('Amounts Pivot Table'!N$240/$M404),0)</f>
        <v>0</v>
      </c>
      <c r="C404" s="556">
        <f>IF($M404&gt;0,('Amounts Pivot Table'!N$243/$M404),0)</f>
        <v>0</v>
      </c>
      <c r="D404" s="556">
        <f>IF($M404&gt;0,('Amounts Pivot Table'!N$246/$M404),0)</f>
        <v>0</v>
      </c>
      <c r="E404" s="556">
        <f>IF($M404&gt;0,('Amounts Pivot Table'!N$249/$M404),0)</f>
        <v>0</v>
      </c>
      <c r="F404" s="556">
        <f t="shared" si="32"/>
        <v>0</v>
      </c>
      <c r="G404" s="557">
        <f t="shared" si="33"/>
        <v>0</v>
      </c>
      <c r="H404" s="558">
        <f t="shared" si="34"/>
        <v>0</v>
      </c>
      <c r="I404" s="558">
        <f t="shared" si="35"/>
        <v>0</v>
      </c>
      <c r="J404" s="558">
        <f t="shared" si="36"/>
        <v>0</v>
      </c>
      <c r="K404" s="558">
        <f t="shared" si="37"/>
        <v>0</v>
      </c>
      <c r="L404" s="654"/>
      <c r="M404" s="841">
        <f>+'[1]NEW-Tables 80-86'!AO170</f>
        <v>0</v>
      </c>
    </row>
    <row r="405" spans="1:13" s="491" customFormat="1" ht="12.75" customHeight="1" x14ac:dyDescent="0.2">
      <c r="A405" s="406" t="s">
        <v>333</v>
      </c>
      <c r="B405" s="556">
        <f>IF($M405&gt;0,('Amounts Pivot Table'!N$279/$M405),0)</f>
        <v>0</v>
      </c>
      <c r="C405" s="556">
        <f>IF($M405&gt;0,('Amounts Pivot Table'!N$282/$M405),0)</f>
        <v>0</v>
      </c>
      <c r="D405" s="556">
        <f>IF($M405&gt;0,('Amounts Pivot Table'!N$285/$M405),0)</f>
        <v>0</v>
      </c>
      <c r="E405" s="556">
        <f>IF($M405&gt;0,('Amounts Pivot Table'!N$288/$M405),0)</f>
        <v>0</v>
      </c>
      <c r="F405" s="556">
        <f t="shared" si="32"/>
        <v>0</v>
      </c>
      <c r="G405" s="557">
        <f t="shared" si="33"/>
        <v>0</v>
      </c>
      <c r="H405" s="558">
        <f t="shared" si="34"/>
        <v>0</v>
      </c>
      <c r="I405" s="558">
        <f t="shared" si="35"/>
        <v>0</v>
      </c>
      <c r="J405" s="558">
        <f t="shared" si="36"/>
        <v>0</v>
      </c>
      <c r="K405" s="558">
        <f t="shared" si="37"/>
        <v>0</v>
      </c>
      <c r="L405" s="654"/>
      <c r="M405" s="841">
        <f>+'[1]NEW-Tables 80-86'!AO171</f>
        <v>0</v>
      </c>
    </row>
    <row r="406" spans="1:13" s="112" customFormat="1" x14ac:dyDescent="0.2">
      <c r="A406" s="110"/>
      <c r="B406" s="111"/>
      <c r="C406" s="111"/>
      <c r="D406" s="111"/>
      <c r="E406" s="111"/>
      <c r="F406" s="111"/>
      <c r="G406" s="119"/>
      <c r="H406" s="120"/>
      <c r="I406" s="120"/>
      <c r="J406" s="120"/>
      <c r="K406" s="120"/>
      <c r="L406" s="175"/>
      <c r="M406" s="841"/>
    </row>
    <row r="407" spans="1:13" s="491" customFormat="1" ht="12.75" customHeight="1" x14ac:dyDescent="0.2">
      <c r="A407" s="406" t="s">
        <v>323</v>
      </c>
      <c r="B407" s="556">
        <f>IF($M407&gt;0,('Amounts Pivot Table'!N$318/$M407),0)</f>
        <v>0</v>
      </c>
      <c r="C407" s="556">
        <f>IF($M407&gt;0,('Amounts Pivot Table'!N$321/$M407),0)</f>
        <v>0</v>
      </c>
      <c r="D407" s="556">
        <f>IF($M407&gt;0,('Amounts Pivot Table'!N$324/$M407),0)</f>
        <v>0</v>
      </c>
      <c r="E407" s="556">
        <f>IF($M407&gt;0,('Amounts Pivot Table'!N$327/$M407),0)</f>
        <v>0</v>
      </c>
      <c r="F407" s="556">
        <f t="shared" si="32"/>
        <v>0</v>
      </c>
      <c r="G407" s="557">
        <f t="shared" si="33"/>
        <v>0</v>
      </c>
      <c r="H407" s="558">
        <f t="shared" si="34"/>
        <v>0</v>
      </c>
      <c r="I407" s="558">
        <f t="shared" si="35"/>
        <v>0</v>
      </c>
      <c r="J407" s="558">
        <f t="shared" si="36"/>
        <v>0</v>
      </c>
      <c r="K407" s="558">
        <f t="shared" si="37"/>
        <v>0</v>
      </c>
      <c r="L407" s="654"/>
      <c r="M407" s="841">
        <f>+'[1]NEW-Tables 80-86'!AO173</f>
        <v>0</v>
      </c>
    </row>
    <row r="408" spans="1:13" s="491" customFormat="1" ht="12.75" customHeight="1" x14ac:dyDescent="0.2">
      <c r="A408" s="406" t="s">
        <v>324</v>
      </c>
      <c r="B408" s="556">
        <f>IF($M408&gt;0,('Amounts Pivot Table'!N$357/$M408),0)</f>
        <v>0</v>
      </c>
      <c r="C408" s="556">
        <f>IF($M408&gt;0,('Amounts Pivot Table'!N$360/$M408),0)</f>
        <v>0</v>
      </c>
      <c r="D408" s="556">
        <f>IF($M408&gt;0,('Amounts Pivot Table'!N$363/$M408),0)</f>
        <v>0</v>
      </c>
      <c r="E408" s="556">
        <f>IF($M408&gt;0,('Amounts Pivot Table'!N$366/$M408),0)</f>
        <v>0</v>
      </c>
      <c r="F408" s="556">
        <f t="shared" si="32"/>
        <v>0</v>
      </c>
      <c r="G408" s="557">
        <f t="shared" si="33"/>
        <v>0</v>
      </c>
      <c r="H408" s="558">
        <f t="shared" si="34"/>
        <v>0</v>
      </c>
      <c r="I408" s="558">
        <f t="shared" si="35"/>
        <v>0</v>
      </c>
      <c r="J408" s="558">
        <f t="shared" si="36"/>
        <v>0</v>
      </c>
      <c r="K408" s="558">
        <f t="shared" si="37"/>
        <v>0</v>
      </c>
      <c r="L408" s="654"/>
      <c r="M408" s="841">
        <f>+'[1]NEW-Tables 80-86'!AO174</f>
        <v>0</v>
      </c>
    </row>
    <row r="409" spans="1:13" s="491" customFormat="1" ht="12.75" customHeight="1" x14ac:dyDescent="0.2">
      <c r="A409" s="406" t="s">
        <v>331</v>
      </c>
      <c r="B409" s="556">
        <f>IF($M409&gt;0,('Amounts Pivot Table'!N$396/$M409),0)</f>
        <v>0</v>
      </c>
      <c r="C409" s="556">
        <f>IF($M409&gt;0,('Amounts Pivot Table'!N$399/$M409),0)</f>
        <v>0</v>
      </c>
      <c r="D409" s="556">
        <f>IF($M409&gt;0,('Amounts Pivot Table'!N$402/$M409),0)</f>
        <v>0</v>
      </c>
      <c r="E409" s="556">
        <f>IF($M409&gt;0,('Amounts Pivot Table'!N$405/$M409),0)</f>
        <v>0</v>
      </c>
      <c r="F409" s="556">
        <f t="shared" si="32"/>
        <v>0</v>
      </c>
      <c r="G409" s="557">
        <f t="shared" si="33"/>
        <v>0</v>
      </c>
      <c r="H409" s="558">
        <f t="shared" si="34"/>
        <v>0</v>
      </c>
      <c r="I409" s="558">
        <f t="shared" si="35"/>
        <v>0</v>
      </c>
      <c r="J409" s="558">
        <f t="shared" si="36"/>
        <v>0</v>
      </c>
      <c r="K409" s="558">
        <f t="shared" si="37"/>
        <v>0</v>
      </c>
      <c r="L409" s="654"/>
      <c r="M409" s="841">
        <f>+'[1]NEW-Tables 80-86'!AO175</f>
        <v>0</v>
      </c>
    </row>
    <row r="410" spans="1:13" s="491" customFormat="1" ht="12.75" customHeight="1" x14ac:dyDescent="0.2">
      <c r="A410" s="406" t="s">
        <v>325</v>
      </c>
      <c r="B410" s="556">
        <f>IF($M410&gt;0,('Amounts Pivot Table'!N$435/$M410),0)</f>
        <v>0</v>
      </c>
      <c r="C410" s="556">
        <f>IF($M410&gt;0,('Amounts Pivot Table'!N$438/$M410),0)</f>
        <v>0</v>
      </c>
      <c r="D410" s="556">
        <f>IF($M410&gt;0,('Amounts Pivot Table'!N$441/$M410),0)</f>
        <v>0</v>
      </c>
      <c r="E410" s="556">
        <f>IF($M410&gt;0,('Amounts Pivot Table'!N$444/$M410),0)</f>
        <v>0</v>
      </c>
      <c r="F410" s="556">
        <f t="shared" si="32"/>
        <v>0</v>
      </c>
      <c r="G410" s="557">
        <f t="shared" si="33"/>
        <v>0</v>
      </c>
      <c r="H410" s="558">
        <f t="shared" si="34"/>
        <v>0</v>
      </c>
      <c r="I410" s="558">
        <f t="shared" si="35"/>
        <v>0</v>
      </c>
      <c r="J410" s="558">
        <f t="shared" si="36"/>
        <v>0</v>
      </c>
      <c r="K410" s="558">
        <f t="shared" si="37"/>
        <v>0</v>
      </c>
      <c r="L410" s="654"/>
      <c r="M410" s="841">
        <f>+'[1]NEW-Tables 80-86'!AO176</f>
        <v>0</v>
      </c>
    </row>
    <row r="411" spans="1:13" s="112" customFormat="1" x14ac:dyDescent="0.2">
      <c r="A411" s="110"/>
      <c r="B411" s="111"/>
      <c r="C411" s="111"/>
      <c r="D411" s="111"/>
      <c r="E411" s="111"/>
      <c r="F411" s="111"/>
      <c r="G411" s="119"/>
      <c r="H411" s="120"/>
      <c r="I411" s="120"/>
      <c r="J411" s="120"/>
      <c r="K411" s="120"/>
      <c r="L411" s="175"/>
      <c r="M411" s="841"/>
    </row>
    <row r="412" spans="1:13" s="491" customFormat="1" ht="12.75" customHeight="1" x14ac:dyDescent="0.2">
      <c r="A412" s="406" t="s">
        <v>90</v>
      </c>
      <c r="B412" s="556">
        <f>IF($M412&gt;0,('Amounts Pivot Table'!N$474/$M412),0)</f>
        <v>0</v>
      </c>
      <c r="C412" s="556">
        <f>IF($M412&gt;0,('Amounts Pivot Table'!N$477/$M412),0)</f>
        <v>0</v>
      </c>
      <c r="D412" s="556">
        <f>IF($M412&gt;0,('Amounts Pivot Table'!N$480/$M412),0)</f>
        <v>0</v>
      </c>
      <c r="E412" s="556">
        <f>IF($M412&gt;0,('Amounts Pivot Table'!N$483/$M412),0)</f>
        <v>0</v>
      </c>
      <c r="F412" s="556">
        <f t="shared" si="32"/>
        <v>0</v>
      </c>
      <c r="G412" s="557">
        <f t="shared" si="33"/>
        <v>0</v>
      </c>
      <c r="H412" s="558">
        <f t="shared" si="34"/>
        <v>0</v>
      </c>
      <c r="I412" s="558">
        <f t="shared" si="35"/>
        <v>0</v>
      </c>
      <c r="J412" s="558">
        <f t="shared" si="36"/>
        <v>0</v>
      </c>
      <c r="K412" s="558">
        <f t="shared" si="37"/>
        <v>0</v>
      </c>
      <c r="L412" s="654"/>
      <c r="M412" s="841">
        <f>+'[1]NEW-Tables 80-86'!AO178</f>
        <v>0</v>
      </c>
    </row>
    <row r="413" spans="1:13" s="76" customFormat="1" ht="12.75" customHeight="1" x14ac:dyDescent="0.2">
      <c r="A413" s="406" t="s">
        <v>326</v>
      </c>
      <c r="B413" s="556">
        <f>IF($M413&gt;0,('Amounts Pivot Table'!N$513/$M413),0)</f>
        <v>2080.1807469176497</v>
      </c>
      <c r="C413" s="556">
        <f>IF($M413&gt;0,('Amounts Pivot Table'!N$516/$M413),0)</f>
        <v>0</v>
      </c>
      <c r="D413" s="556">
        <f>IF($M413&gt;0,('Amounts Pivot Table'!N$519/$M413),0)</f>
        <v>3370.9674730376182</v>
      </c>
      <c r="E413" s="556">
        <f>IF($M413&gt;0,('Amounts Pivot Table'!N$522/$M413),0)</f>
        <v>1304.0363581535155</v>
      </c>
      <c r="F413" s="556">
        <f t="shared" si="32"/>
        <v>6755.1845781087841</v>
      </c>
      <c r="G413" s="557">
        <f t="shared" si="33"/>
        <v>1</v>
      </c>
      <c r="H413" s="558">
        <f t="shared" si="34"/>
        <v>0</v>
      </c>
      <c r="I413" s="558">
        <f t="shared" si="35"/>
        <v>1</v>
      </c>
      <c r="J413" s="558">
        <f t="shared" si="36"/>
        <v>1</v>
      </c>
      <c r="K413" s="558">
        <f t="shared" si="37"/>
        <v>1</v>
      </c>
      <c r="L413" s="169"/>
      <c r="M413" s="841">
        <f>+'[1]NEW-Tables 80-86'!AO179</f>
        <v>89093.266666666663</v>
      </c>
    </row>
    <row r="414" spans="1:13" s="491" customFormat="1" ht="12.75" customHeight="1" x14ac:dyDescent="0.2">
      <c r="A414" s="406" t="s">
        <v>178</v>
      </c>
      <c r="B414" s="556">
        <f>IF($M414&gt;0,('Amounts Pivot Table'!N$552/$M414),0)</f>
        <v>0</v>
      </c>
      <c r="C414" s="556">
        <f>IF($M414&gt;0,('Amounts Pivot Table'!N$555/$M414),0)</f>
        <v>0</v>
      </c>
      <c r="D414" s="556">
        <f>IF($M414&gt;0,('Amounts Pivot Table'!N$558/$M414),0)</f>
        <v>0</v>
      </c>
      <c r="E414" s="556">
        <f>IF($M414&gt;0,('Amounts Pivot Table'!N$561/$M414),0)</f>
        <v>0</v>
      </c>
      <c r="F414" s="556">
        <f t="shared" si="32"/>
        <v>0</v>
      </c>
      <c r="G414" s="557">
        <f t="shared" si="33"/>
        <v>0</v>
      </c>
      <c r="H414" s="558">
        <f t="shared" si="34"/>
        <v>0</v>
      </c>
      <c r="I414" s="558">
        <f t="shared" si="35"/>
        <v>0</v>
      </c>
      <c r="J414" s="558">
        <f t="shared" si="36"/>
        <v>0</v>
      </c>
      <c r="K414" s="558">
        <f t="shared" si="37"/>
        <v>0</v>
      </c>
      <c r="L414" s="655"/>
      <c r="M414" s="841">
        <f>+'[1]NEW-Tables 80-86'!AO180</f>
        <v>0</v>
      </c>
    </row>
    <row r="415" spans="1:13" s="491" customFormat="1" ht="13.5" customHeight="1" x14ac:dyDescent="0.2">
      <c r="A415" s="407" t="s">
        <v>332</v>
      </c>
      <c r="B415" s="562">
        <f>IF($M415&gt;0,('Amounts Pivot Table'!N$591/$M415),0)</f>
        <v>0</v>
      </c>
      <c r="C415" s="562">
        <f>IF($M415&gt;0,('Amounts Pivot Table'!N$594/$M415),0)</f>
        <v>0</v>
      </c>
      <c r="D415" s="562">
        <f>IF($M415&gt;0,('Amounts Pivot Table'!N$597/$M415),0)</f>
        <v>0</v>
      </c>
      <c r="E415" s="562">
        <f>IF($M415&gt;0,('Amounts Pivot Table'!N$600/$M415),0)</f>
        <v>0</v>
      </c>
      <c r="F415" s="563">
        <f t="shared" si="32"/>
        <v>0</v>
      </c>
      <c r="G415" s="564">
        <f t="shared" si="33"/>
        <v>0</v>
      </c>
      <c r="H415" s="565">
        <f t="shared" si="34"/>
        <v>0</v>
      </c>
      <c r="I415" s="565">
        <f t="shared" si="35"/>
        <v>0</v>
      </c>
      <c r="J415" s="565">
        <f t="shared" si="36"/>
        <v>0</v>
      </c>
      <c r="K415" s="565">
        <f t="shared" si="37"/>
        <v>0</v>
      </c>
      <c r="L415" s="658"/>
      <c r="M415" s="841">
        <f>+'[1]NEW-Tables 80-86'!AO181</f>
        <v>0</v>
      </c>
    </row>
    <row r="416" spans="1:13" s="76" customFormat="1" ht="17.25" customHeight="1" x14ac:dyDescent="0.2">
      <c r="A416" s="1599" t="s">
        <v>449</v>
      </c>
      <c r="B416" s="1599"/>
      <c r="C416" s="1599"/>
      <c r="D416" s="1599"/>
      <c r="E416" s="1599"/>
      <c r="F416" s="1599"/>
      <c r="G416" s="1599"/>
      <c r="H416" s="1599"/>
      <c r="I416" s="1599"/>
      <c r="J416" s="1599"/>
      <c r="K416" s="1599"/>
      <c r="L416" s="169"/>
      <c r="M416" s="663"/>
    </row>
    <row r="417" spans="1:13" s="76" customFormat="1" ht="34.5" customHeight="1" x14ac:dyDescent="0.2">
      <c r="A417" s="1558" t="s">
        <v>17</v>
      </c>
      <c r="B417" s="1582"/>
      <c r="C417" s="1582"/>
      <c r="D417" s="1582"/>
      <c r="E417" s="1582"/>
      <c r="F417" s="1582"/>
      <c r="G417" s="1582"/>
      <c r="H417" s="1582"/>
      <c r="I417" s="1582"/>
      <c r="J417" s="1582"/>
      <c r="K417" s="1582"/>
      <c r="L417" s="169"/>
      <c r="M417" s="649"/>
    </row>
    <row r="418" spans="1:13" s="205" customFormat="1" ht="13.5" customHeight="1" x14ac:dyDescent="0.2">
      <c r="A418" s="1558" t="s">
        <v>54</v>
      </c>
      <c r="B418" s="1582"/>
      <c r="C418" s="1582"/>
      <c r="D418" s="1582"/>
      <c r="E418" s="1582"/>
      <c r="F418" s="1582"/>
      <c r="G418" s="1582"/>
      <c r="H418" s="1582"/>
      <c r="I418" s="1582"/>
      <c r="J418" s="1582"/>
      <c r="K418" s="1582"/>
      <c r="L418" s="204"/>
      <c r="M418" s="649"/>
    </row>
    <row r="419" spans="1:13" s="491" customFormat="1" ht="13.5" customHeight="1" x14ac:dyDescent="0.2">
      <c r="A419" s="1558" t="s">
        <v>233</v>
      </c>
      <c r="B419" s="1593"/>
      <c r="C419" s="1593"/>
      <c r="D419" s="1593"/>
      <c r="E419" s="1593"/>
      <c r="F419" s="1593"/>
      <c r="G419" s="1594"/>
      <c r="H419" s="1594"/>
      <c r="I419" s="1594"/>
      <c r="J419" s="1594"/>
      <c r="K419" s="1594"/>
      <c r="L419" s="658"/>
      <c r="M419" s="649"/>
    </row>
    <row r="420" spans="1:13" s="491" customFormat="1" ht="13.5" customHeight="1" x14ac:dyDescent="0.2">
      <c r="A420" s="644"/>
      <c r="B420" s="657"/>
      <c r="C420" s="657"/>
      <c r="D420" s="657"/>
      <c r="E420" s="657"/>
      <c r="F420" s="657"/>
      <c r="G420" s="659"/>
      <c r="H420" s="659"/>
      <c r="I420" s="659"/>
      <c r="J420" s="659"/>
      <c r="K420" s="659"/>
      <c r="L420" s="658"/>
      <c r="M420" s="649"/>
    </row>
    <row r="421" spans="1:13" s="491" customFormat="1" x14ac:dyDescent="0.2">
      <c r="A421" s="644"/>
      <c r="B421" s="657"/>
      <c r="C421" s="657"/>
      <c r="D421" s="657"/>
      <c r="E421" s="657"/>
      <c r="F421" s="657"/>
      <c r="G421" s="659"/>
      <c r="H421" s="659"/>
      <c r="I421" s="659"/>
      <c r="J421" s="659"/>
      <c r="K421" s="535" t="s">
        <v>1898</v>
      </c>
      <c r="L421" s="658"/>
      <c r="M421" s="649"/>
    </row>
    <row r="422" spans="1:13" s="491" customFormat="1" ht="18.75" customHeight="1" x14ac:dyDescent="0.2">
      <c r="A422" s="1557" t="s">
        <v>371</v>
      </c>
      <c r="B422" s="1557"/>
      <c r="C422" s="1557"/>
      <c r="D422" s="1557"/>
      <c r="E422" s="1557"/>
      <c r="F422" s="1557"/>
      <c r="G422" s="1557"/>
      <c r="H422" s="1557"/>
      <c r="I422" s="1557"/>
      <c r="J422" s="1557"/>
      <c r="K422" s="1557"/>
      <c r="L422" s="655"/>
      <c r="M422" s="649"/>
    </row>
    <row r="423" spans="1:13" s="491" customFormat="1" ht="18.75" x14ac:dyDescent="0.2">
      <c r="A423" s="1557" t="s">
        <v>18</v>
      </c>
      <c r="B423" s="1557"/>
      <c r="C423" s="1557"/>
      <c r="D423" s="1557"/>
      <c r="E423" s="1557"/>
      <c r="F423" s="1557"/>
      <c r="G423" s="1557"/>
      <c r="H423" s="1557"/>
      <c r="I423" s="1557"/>
      <c r="J423" s="1557"/>
      <c r="K423" s="1557"/>
      <c r="L423" s="165"/>
      <c r="M423" s="649"/>
    </row>
    <row r="424" spans="1:13" s="491" customFormat="1" ht="15.75" customHeight="1" x14ac:dyDescent="0.15">
      <c r="A424" s="1557" t="s">
        <v>1917</v>
      </c>
      <c r="B424" s="1557"/>
      <c r="C424" s="1557"/>
      <c r="D424" s="1557"/>
      <c r="E424" s="1557"/>
      <c r="F424" s="1557"/>
      <c r="G424" s="1557"/>
      <c r="H424" s="1557"/>
      <c r="I424" s="1557"/>
      <c r="J424" s="1557"/>
      <c r="K424" s="1557"/>
      <c r="L424" s="223"/>
      <c r="M424" s="660"/>
    </row>
    <row r="425" spans="1:13" s="491" customFormat="1" ht="15.75" customHeight="1" x14ac:dyDescent="0.2">
      <c r="A425" s="91"/>
      <c r="B425" s="91"/>
      <c r="C425" s="91"/>
      <c r="D425" s="91"/>
      <c r="E425" s="91"/>
      <c r="F425" s="91"/>
      <c r="G425" s="108"/>
      <c r="H425" s="91"/>
      <c r="I425" s="91"/>
      <c r="J425" s="91"/>
      <c r="K425" s="91"/>
      <c r="L425" s="165"/>
      <c r="M425" s="649"/>
    </row>
    <row r="426" spans="1:13" s="491" customFormat="1" ht="12" customHeight="1" x14ac:dyDescent="0.2">
      <c r="A426" s="60"/>
      <c r="B426" s="1595" t="s">
        <v>55</v>
      </c>
      <c r="C426" s="1596"/>
      <c r="D426" s="1596"/>
      <c r="E426" s="1596"/>
      <c r="F426" s="1596"/>
      <c r="G426" s="57" t="s">
        <v>119</v>
      </c>
      <c r="H426" s="58"/>
      <c r="I426" s="58"/>
      <c r="J426" s="58"/>
      <c r="K426" s="58"/>
      <c r="L426" s="173"/>
      <c r="M426" s="649"/>
    </row>
    <row r="427" spans="1:13" s="378" customFormat="1" ht="45" x14ac:dyDescent="0.2">
      <c r="A427" s="650"/>
      <c r="B427" s="51" t="s">
        <v>87</v>
      </c>
      <c r="C427" s="52" t="s">
        <v>89</v>
      </c>
      <c r="D427" s="52" t="s">
        <v>88</v>
      </c>
      <c r="E427" s="52" t="s">
        <v>306</v>
      </c>
      <c r="F427" s="52" t="s">
        <v>97</v>
      </c>
      <c r="G427" s="53" t="s">
        <v>87</v>
      </c>
      <c r="H427" s="52" t="s">
        <v>89</v>
      </c>
      <c r="I427" s="52" t="s">
        <v>88</v>
      </c>
      <c r="J427" s="52" t="s">
        <v>306</v>
      </c>
      <c r="K427" s="52" t="s">
        <v>97</v>
      </c>
      <c r="L427" s="652"/>
      <c r="M427" s="661" t="s">
        <v>381</v>
      </c>
    </row>
    <row r="428" spans="1:13" s="491" customFormat="1" ht="14.25" x14ac:dyDescent="0.2">
      <c r="A428" s="406" t="s">
        <v>56</v>
      </c>
      <c r="B428" s="553">
        <f>IF(M428&gt;0,('Amounts Pivot Table'!R$630/M428),0)</f>
        <v>0</v>
      </c>
      <c r="C428" s="553">
        <f>IF(M428&gt;0,('Amounts Pivot Table'!R$9/M428),0)</f>
        <v>0</v>
      </c>
      <c r="D428" s="673">
        <f>IF(M428&gt;0,('Amounts Pivot Table'!R$636/M428),0)</f>
        <v>0</v>
      </c>
      <c r="E428" s="553">
        <f>IF(M428&gt;0,('Amounts Pivot Table'!R$639/M428),0)</f>
        <v>0</v>
      </c>
      <c r="F428" s="553">
        <f>SUM(B428:E428)</f>
        <v>0</v>
      </c>
      <c r="G428" s="554"/>
      <c r="H428" s="555"/>
      <c r="I428" s="555"/>
      <c r="J428" s="555"/>
      <c r="K428" s="555"/>
      <c r="L428" s="654"/>
      <c r="M428" s="841">
        <f>+'[1]NEW-Tables 80-86'!AL191</f>
        <v>131640.77333333332</v>
      </c>
    </row>
    <row r="429" spans="1:13" s="491" customFormat="1" ht="12.75" customHeight="1" x14ac:dyDescent="0.2">
      <c r="A429" s="406"/>
      <c r="B429" s="553"/>
      <c r="C429" s="553"/>
      <c r="D429" s="553"/>
      <c r="E429" s="553"/>
      <c r="F429" s="553"/>
      <c r="G429" s="554"/>
      <c r="H429" s="555"/>
      <c r="I429" s="555"/>
      <c r="J429" s="555"/>
      <c r="K429" s="555"/>
      <c r="L429" s="654"/>
      <c r="M429" s="841"/>
    </row>
    <row r="430" spans="1:13" s="491" customFormat="1" ht="12.75" customHeight="1" x14ac:dyDescent="0.2">
      <c r="A430" s="406" t="s">
        <v>320</v>
      </c>
      <c r="B430" s="556">
        <f>IF($M430&gt;0,('Amounts Pivot Table'!R$6/$M430),0)</f>
        <v>0</v>
      </c>
      <c r="C430" s="556">
        <f>IF($M430&gt;0,('Amounts Pivot Table'!R$9/$M430),0)</f>
        <v>0</v>
      </c>
      <c r="D430" s="556">
        <f>IF($M430&gt;0,('Amounts Pivot Table'!R$12/$M430),0)</f>
        <v>0</v>
      </c>
      <c r="E430" s="556">
        <f>IF($M430&gt;0,('Amounts Pivot Table'!R$15/$M430),0)</f>
        <v>0</v>
      </c>
      <c r="F430" s="556">
        <f t="shared" ref="F430:F448" si="38">SUM(B430:E430)</f>
        <v>0</v>
      </c>
      <c r="G430" s="557">
        <f t="shared" ref="G430:G448" si="39">IF(B430&gt;0,RANK(B430,$B$430:$B$448),)</f>
        <v>0</v>
      </c>
      <c r="H430" s="558">
        <f t="shared" ref="H430:H448" si="40">IF(C430&gt;0,RANK(C430,$C$430:$C$448),)</f>
        <v>0</v>
      </c>
      <c r="I430" s="558">
        <f t="shared" ref="I430:I448" si="41">IF(D430&gt;0,RANK(D430,$D$430:$D$448),)</f>
        <v>0</v>
      </c>
      <c r="J430" s="558">
        <f t="shared" ref="J430:J448" si="42">IF(E430&gt;0,RANK(E430,$E$430:$E$448),)</f>
        <v>0</v>
      </c>
      <c r="K430" s="558">
        <f t="shared" ref="K430:K448" si="43">IF(F430&gt;0,RANK(F430,$F$430:$F$448),)</f>
        <v>0</v>
      </c>
      <c r="L430" s="654"/>
      <c r="M430" s="841">
        <f>+'[1]NEW-Tables 80-86'!AL193</f>
        <v>3451.3999999999996</v>
      </c>
    </row>
    <row r="431" spans="1:13" s="491" customFormat="1" ht="12.75" customHeight="1" x14ac:dyDescent="0.2">
      <c r="A431" s="406" t="s">
        <v>334</v>
      </c>
      <c r="B431" s="556">
        <f>IF($M431&gt;0,('Amounts Pivot Table'!R$45/$M431),0)</f>
        <v>0</v>
      </c>
      <c r="C431" s="556">
        <f>IF($M431&gt;0,('Amounts Pivot Table'!R$48/$M431),0)</f>
        <v>0</v>
      </c>
      <c r="D431" s="556">
        <f>IF($M431&gt;0,('Amounts Pivot Table'!R$51/$M431),0)</f>
        <v>0</v>
      </c>
      <c r="E431" s="556">
        <f>IF($M431&gt;0,('Amounts Pivot Table'!R$54/$M431),0)</f>
        <v>0</v>
      </c>
      <c r="F431" s="556">
        <f t="shared" si="38"/>
        <v>0</v>
      </c>
      <c r="G431" s="557">
        <f t="shared" si="39"/>
        <v>0</v>
      </c>
      <c r="H431" s="558">
        <f t="shared" si="40"/>
        <v>0</v>
      </c>
      <c r="I431" s="558">
        <f t="shared" si="41"/>
        <v>0</v>
      </c>
      <c r="J431" s="558">
        <f t="shared" si="42"/>
        <v>0</v>
      </c>
      <c r="K431" s="558">
        <f t="shared" si="43"/>
        <v>0</v>
      </c>
      <c r="L431" s="654"/>
      <c r="M431" s="841">
        <f>+'[1]NEW-Tables 80-86'!AL194</f>
        <v>0</v>
      </c>
    </row>
    <row r="432" spans="1:13" s="491" customFormat="1" ht="12.75" customHeight="1" x14ac:dyDescent="0.2">
      <c r="A432" s="406" t="s">
        <v>321</v>
      </c>
      <c r="B432" s="556">
        <f>IF($M432&gt;0,('Amounts Pivot Table'!R$84/$M432),0)</f>
        <v>0</v>
      </c>
      <c r="C432" s="556">
        <f>IF($M432&gt;0,('Amounts Pivot Table'!R$87/$M432),0)</f>
        <v>0</v>
      </c>
      <c r="D432" s="556">
        <f>IF($M432&gt;0,('Amounts Pivot Table'!R$90/$M432),0)</f>
        <v>0</v>
      </c>
      <c r="E432" s="556">
        <f>IF($M432&gt;0,('Amounts Pivot Table'!R$93/$M432),0)</f>
        <v>0</v>
      </c>
      <c r="F432" s="556">
        <f t="shared" si="38"/>
        <v>0</v>
      </c>
      <c r="G432" s="557">
        <f t="shared" si="39"/>
        <v>0</v>
      </c>
      <c r="H432" s="558">
        <f t="shared" si="40"/>
        <v>0</v>
      </c>
      <c r="I432" s="558">
        <f t="shared" si="41"/>
        <v>0</v>
      </c>
      <c r="J432" s="558">
        <f t="shared" si="42"/>
        <v>0</v>
      </c>
      <c r="K432" s="558">
        <f t="shared" si="43"/>
        <v>0</v>
      </c>
      <c r="L432" s="654"/>
      <c r="M432" s="841">
        <f>+'[1]NEW-Tables 80-86'!AL195</f>
        <v>0</v>
      </c>
    </row>
    <row r="433" spans="1:13" s="491" customFormat="1" ht="12.75" customHeight="1" x14ac:dyDescent="0.2">
      <c r="A433" s="406" t="s">
        <v>328</v>
      </c>
      <c r="B433" s="556">
        <f>IF($M433&gt;0,('Amounts Pivot Table'!R$123/$M433),0)</f>
        <v>0</v>
      </c>
      <c r="C433" s="556">
        <f>IF($M433&gt;0,('Amounts Pivot Table'!R$126/$M433),0)</f>
        <v>0</v>
      </c>
      <c r="D433" s="556">
        <f>IF($M433&gt;0,('Amounts Pivot Table'!R$129/$M433),0)</f>
        <v>0</v>
      </c>
      <c r="E433" s="556">
        <f>IF($M433&gt;0,('Amounts Pivot Table'!R$132/$M433),0)</f>
        <v>0</v>
      </c>
      <c r="F433" s="556">
        <f t="shared" si="38"/>
        <v>0</v>
      </c>
      <c r="G433" s="557">
        <f t="shared" si="39"/>
        <v>0</v>
      </c>
      <c r="H433" s="558">
        <f t="shared" si="40"/>
        <v>0</v>
      </c>
      <c r="I433" s="558">
        <f t="shared" si="41"/>
        <v>0</v>
      </c>
      <c r="J433" s="558">
        <f t="shared" si="42"/>
        <v>0</v>
      </c>
      <c r="K433" s="558">
        <f t="shared" si="43"/>
        <v>0</v>
      </c>
      <c r="L433" s="654"/>
      <c r="M433" s="841">
        <f>+'[1]NEW-Tables 80-86'!AL196</f>
        <v>0</v>
      </c>
    </row>
    <row r="434" spans="1:13" s="491" customFormat="1" ht="12.75" customHeight="1" x14ac:dyDescent="0.2">
      <c r="A434" s="406"/>
      <c r="B434" s="556"/>
      <c r="C434" s="556"/>
      <c r="D434" s="556"/>
      <c r="E434" s="556"/>
      <c r="F434" s="556"/>
      <c r="G434" s="557"/>
      <c r="H434" s="558"/>
      <c r="I434" s="558"/>
      <c r="J434" s="558"/>
      <c r="K434" s="558"/>
      <c r="L434" s="654"/>
      <c r="M434" s="841"/>
    </row>
    <row r="435" spans="1:13" s="491" customFormat="1" ht="12.75" customHeight="1" x14ac:dyDescent="0.2">
      <c r="A435" s="406" t="s">
        <v>329</v>
      </c>
      <c r="B435" s="556">
        <f>IF($M435&gt;0,('Amounts Pivot Table'!R$162/$M435),0)</f>
        <v>0</v>
      </c>
      <c r="C435" s="556">
        <f>IF($M435&gt;0,('Amounts Pivot Table'!R$165/$M435),0)</f>
        <v>0</v>
      </c>
      <c r="D435" s="556">
        <f>IF($M435&gt;0,('Amounts Pivot Table'!R$168/$M435),0)</f>
        <v>0</v>
      </c>
      <c r="E435" s="556">
        <f>IF($M435&gt;0,('Amounts Pivot Table'!R$171/$M435),0)</f>
        <v>0</v>
      </c>
      <c r="F435" s="556">
        <f t="shared" si="38"/>
        <v>0</v>
      </c>
      <c r="G435" s="557">
        <f t="shared" si="39"/>
        <v>0</v>
      </c>
      <c r="H435" s="558">
        <f t="shared" si="40"/>
        <v>0</v>
      </c>
      <c r="I435" s="558">
        <f t="shared" si="41"/>
        <v>0</v>
      </c>
      <c r="J435" s="558">
        <f t="shared" si="42"/>
        <v>0</v>
      </c>
      <c r="K435" s="561">
        <f t="shared" si="43"/>
        <v>0</v>
      </c>
      <c r="L435" s="654"/>
      <c r="M435" s="841">
        <f>+'[1]NEW-Tables 80-86'!AL198</f>
        <v>77975.723333333342</v>
      </c>
    </row>
    <row r="436" spans="1:13" s="491" customFormat="1" ht="12.75" customHeight="1" x14ac:dyDescent="0.2">
      <c r="A436" s="406" t="s">
        <v>322</v>
      </c>
      <c r="B436" s="556">
        <f>IF($M436&gt;0,('Amounts Pivot Table'!R$201/$M436),0)</f>
        <v>0</v>
      </c>
      <c r="C436" s="556">
        <f>IF($M436&gt;0,('Amounts Pivot Table'!R$204/$M436),0)</f>
        <v>0</v>
      </c>
      <c r="D436" s="556">
        <f>IF($M436&gt;0,('Amounts Pivot Table'!R$207/$M436),0)</f>
        <v>0</v>
      </c>
      <c r="E436" s="556">
        <f>IF($M436&gt;0,('Amounts Pivot Table'!R$210/$M436),0)</f>
        <v>0</v>
      </c>
      <c r="F436" s="556">
        <f t="shared" si="38"/>
        <v>0</v>
      </c>
      <c r="G436" s="557">
        <f t="shared" si="39"/>
        <v>0</v>
      </c>
      <c r="H436" s="558">
        <f t="shared" si="40"/>
        <v>0</v>
      </c>
      <c r="I436" s="558">
        <f t="shared" si="41"/>
        <v>0</v>
      </c>
      <c r="J436" s="558">
        <f t="shared" si="42"/>
        <v>0</v>
      </c>
      <c r="K436" s="558">
        <f t="shared" si="43"/>
        <v>0</v>
      </c>
      <c r="L436" s="654"/>
      <c r="M436" s="841">
        <f>+'[1]NEW-Tables 80-86'!AL199</f>
        <v>5047.0666666666666</v>
      </c>
    </row>
    <row r="437" spans="1:13" s="491" customFormat="1" ht="12.75" customHeight="1" x14ac:dyDescent="0.2">
      <c r="A437" s="406" t="s">
        <v>330</v>
      </c>
      <c r="B437" s="556">
        <f>IF($M437&gt;0,('Amounts Pivot Table'!R$240/$M437),0)</f>
        <v>0</v>
      </c>
      <c r="C437" s="556">
        <f>IF($M437&gt;0,('Amounts Pivot Table'!R$243/$M437),0)</f>
        <v>0</v>
      </c>
      <c r="D437" s="556">
        <f>IF($M437&gt;0,('Amounts Pivot Table'!R$246/$M437),0)</f>
        <v>0</v>
      </c>
      <c r="E437" s="556">
        <f>IF($M437&gt;0,('Amounts Pivot Table'!R$249/$M437),0)</f>
        <v>0</v>
      </c>
      <c r="F437" s="556">
        <f t="shared" si="38"/>
        <v>0</v>
      </c>
      <c r="G437" s="557">
        <f t="shared" si="39"/>
        <v>0</v>
      </c>
      <c r="H437" s="558">
        <f t="shared" si="40"/>
        <v>0</v>
      </c>
      <c r="I437" s="558">
        <f t="shared" si="41"/>
        <v>0</v>
      </c>
      <c r="J437" s="558">
        <f t="shared" si="42"/>
        <v>0</v>
      </c>
      <c r="K437" s="558">
        <f t="shared" si="43"/>
        <v>0</v>
      </c>
      <c r="L437" s="654"/>
      <c r="M437" s="841">
        <f>+'[1]NEW-Tables 80-86'!AL200</f>
        <v>13854.743333333334</v>
      </c>
    </row>
    <row r="438" spans="1:13" s="491" customFormat="1" ht="12.75" customHeight="1" x14ac:dyDescent="0.2">
      <c r="A438" s="406" t="s">
        <v>333</v>
      </c>
      <c r="B438" s="556">
        <f>IF($M438&gt;0,('Amounts Pivot Table'!R$279/$M438),0)</f>
        <v>0</v>
      </c>
      <c r="C438" s="556">
        <f>IF($M438&gt;0,('Amounts Pivot Table'!R$282/$M438),0)</f>
        <v>0</v>
      </c>
      <c r="D438" s="556">
        <f>IF($M438&gt;0,('Amounts Pivot Table'!R$285/$M438),0)</f>
        <v>0</v>
      </c>
      <c r="E438" s="556">
        <f>IF($M438&gt;0,('Amounts Pivot Table'!R$288/$M438),0)</f>
        <v>0</v>
      </c>
      <c r="F438" s="556">
        <f t="shared" si="38"/>
        <v>0</v>
      </c>
      <c r="G438" s="557">
        <f t="shared" si="39"/>
        <v>0</v>
      </c>
      <c r="H438" s="558">
        <f t="shared" si="40"/>
        <v>0</v>
      </c>
      <c r="I438" s="558">
        <f t="shared" si="41"/>
        <v>0</v>
      </c>
      <c r="J438" s="558">
        <f t="shared" si="42"/>
        <v>0</v>
      </c>
      <c r="K438" s="558">
        <f t="shared" si="43"/>
        <v>0</v>
      </c>
      <c r="L438" s="654"/>
      <c r="M438" s="841">
        <f>+'[1]NEW-Tables 80-86'!AL201</f>
        <v>0</v>
      </c>
    </row>
    <row r="439" spans="1:13" s="491" customFormat="1" ht="12.75" customHeight="1" x14ac:dyDescent="0.2">
      <c r="A439" s="406"/>
      <c r="B439" s="556"/>
      <c r="C439" s="556"/>
      <c r="D439" s="556"/>
      <c r="E439" s="556"/>
      <c r="F439" s="556"/>
      <c r="G439" s="557"/>
      <c r="H439" s="558"/>
      <c r="I439" s="558"/>
      <c r="J439" s="558"/>
      <c r="K439" s="558"/>
      <c r="L439" s="654"/>
      <c r="M439" s="841"/>
    </row>
    <row r="440" spans="1:13" s="491" customFormat="1" ht="12.75" customHeight="1" x14ac:dyDescent="0.2">
      <c r="A440" s="406" t="s">
        <v>323</v>
      </c>
      <c r="B440" s="556">
        <f>IF($M440&gt;0,('Amounts Pivot Table'!R$318/$M440),0)</f>
        <v>0</v>
      </c>
      <c r="C440" s="556">
        <f>IF($M440&gt;0,('Amounts Pivot Table'!R$321/$M440),0)</f>
        <v>0</v>
      </c>
      <c r="D440" s="556">
        <f>IF($M440&gt;0,('Amounts Pivot Table'!R$324/$M440),0)</f>
        <v>0</v>
      </c>
      <c r="E440" s="556">
        <f>IF($M440&gt;0,('Amounts Pivot Table'!R$327/$M440),0)</f>
        <v>0</v>
      </c>
      <c r="F440" s="556">
        <f t="shared" si="38"/>
        <v>0</v>
      </c>
      <c r="G440" s="557">
        <f t="shared" si="39"/>
        <v>0</v>
      </c>
      <c r="H440" s="558">
        <f t="shared" si="40"/>
        <v>0</v>
      </c>
      <c r="I440" s="558">
        <f t="shared" si="41"/>
        <v>0</v>
      </c>
      <c r="J440" s="558">
        <f t="shared" si="42"/>
        <v>0</v>
      </c>
      <c r="K440" s="558">
        <f t="shared" si="43"/>
        <v>0</v>
      </c>
      <c r="L440" s="654"/>
      <c r="M440" s="841">
        <f>+'[1]NEW-Tables 80-86'!AL203</f>
        <v>0</v>
      </c>
    </row>
    <row r="441" spans="1:13" s="491" customFormat="1" ht="12.75" customHeight="1" x14ac:dyDescent="0.2">
      <c r="A441" s="406" t="s">
        <v>324</v>
      </c>
      <c r="B441" s="556">
        <f>IF($M441&gt;0,('Amounts Pivot Table'!R$357/$M441),0)</f>
        <v>0</v>
      </c>
      <c r="C441" s="556">
        <f>IF($M441&gt;0,('Amounts Pivot Table'!R$360/$M441),0)</f>
        <v>0</v>
      </c>
      <c r="D441" s="556">
        <f>IF($M441&gt;0,('Amounts Pivot Table'!R$363/$M441),0)</f>
        <v>0</v>
      </c>
      <c r="E441" s="556">
        <f>IF($M441&gt;0,('Amounts Pivot Table'!R$366/$M441),0)</f>
        <v>0</v>
      </c>
      <c r="F441" s="556">
        <f t="shared" si="38"/>
        <v>0</v>
      </c>
      <c r="G441" s="557">
        <f t="shared" si="39"/>
        <v>0</v>
      </c>
      <c r="H441" s="558">
        <f t="shared" si="40"/>
        <v>0</v>
      </c>
      <c r="I441" s="558">
        <f t="shared" si="41"/>
        <v>0</v>
      </c>
      <c r="J441" s="558">
        <f t="shared" si="42"/>
        <v>0</v>
      </c>
      <c r="K441" s="558">
        <f t="shared" si="43"/>
        <v>0</v>
      </c>
      <c r="L441" s="654"/>
      <c r="M441" s="841">
        <f>+'[1]NEW-Tables 80-86'!AL204</f>
        <v>0</v>
      </c>
    </row>
    <row r="442" spans="1:13" s="491" customFormat="1" ht="12.75" customHeight="1" x14ac:dyDescent="0.2">
      <c r="A442" s="406" t="s">
        <v>331</v>
      </c>
      <c r="B442" s="556">
        <f>IF($M442&gt;0,('Amounts Pivot Table'!R$396/$M442),0)</f>
        <v>0</v>
      </c>
      <c r="C442" s="556">
        <f>IF($M442&gt;0,('Amounts Pivot Table'!R$399/$M442),0)</f>
        <v>0</v>
      </c>
      <c r="D442" s="556">
        <f>IF($M442&gt;0,('Amounts Pivot Table'!R$402/$M442),0)</f>
        <v>0</v>
      </c>
      <c r="E442" s="556">
        <f>IF($M442&gt;0,('Amounts Pivot Table'!R$405/$M442),0)</f>
        <v>0</v>
      </c>
      <c r="F442" s="556">
        <f t="shared" si="38"/>
        <v>0</v>
      </c>
      <c r="G442" s="557">
        <f t="shared" si="39"/>
        <v>0</v>
      </c>
      <c r="H442" s="558">
        <f t="shared" si="40"/>
        <v>0</v>
      </c>
      <c r="I442" s="558">
        <f t="shared" si="41"/>
        <v>0</v>
      </c>
      <c r="J442" s="558">
        <f t="shared" si="42"/>
        <v>0</v>
      </c>
      <c r="K442" s="558">
        <f t="shared" si="43"/>
        <v>0</v>
      </c>
      <c r="L442" s="654"/>
      <c r="M442" s="841">
        <f>+'[1]NEW-Tables 80-86'!AL205</f>
        <v>19977.49555555555</v>
      </c>
    </row>
    <row r="443" spans="1:13" s="491" customFormat="1" ht="12.75" customHeight="1" x14ac:dyDescent="0.2">
      <c r="A443" s="406" t="s">
        <v>325</v>
      </c>
      <c r="B443" s="556">
        <f>IF($M443&gt;0,('Amounts Pivot Table'!R$435/$M443),0)</f>
        <v>0</v>
      </c>
      <c r="C443" s="556">
        <f>IF($M443&gt;0,('Amounts Pivot Table'!R$438/$M443),0)</f>
        <v>0</v>
      </c>
      <c r="D443" s="556">
        <f>IF($M443&gt;0,('Amounts Pivot Table'!R$441/$M443),0)</f>
        <v>0</v>
      </c>
      <c r="E443" s="556">
        <f>IF($M443&gt;0,('Amounts Pivot Table'!R$444/$M443),0)</f>
        <v>0</v>
      </c>
      <c r="F443" s="556">
        <f t="shared" si="38"/>
        <v>0</v>
      </c>
      <c r="G443" s="557">
        <f t="shared" si="39"/>
        <v>0</v>
      </c>
      <c r="H443" s="558">
        <f t="shared" si="40"/>
        <v>0</v>
      </c>
      <c r="I443" s="558">
        <f t="shared" si="41"/>
        <v>0</v>
      </c>
      <c r="J443" s="558">
        <f t="shared" si="42"/>
        <v>0</v>
      </c>
      <c r="K443" s="558">
        <f t="shared" si="43"/>
        <v>0</v>
      </c>
      <c r="L443" s="654"/>
      <c r="M443" s="841">
        <f>+'[1]NEW-Tables 80-86'!AL206</f>
        <v>0</v>
      </c>
    </row>
    <row r="444" spans="1:13" s="491" customFormat="1" ht="12.75" customHeight="1" x14ac:dyDescent="0.2">
      <c r="A444" s="406"/>
      <c r="B444" s="556"/>
      <c r="C444" s="556"/>
      <c r="D444" s="556"/>
      <c r="E444" s="556"/>
      <c r="F444" s="556"/>
      <c r="G444" s="557"/>
      <c r="H444" s="558"/>
      <c r="I444" s="558"/>
      <c r="J444" s="558"/>
      <c r="K444" s="558"/>
      <c r="L444" s="654"/>
      <c r="M444" s="841"/>
    </row>
    <row r="445" spans="1:13" s="491" customFormat="1" ht="12.75" customHeight="1" x14ac:dyDescent="0.2">
      <c r="A445" s="406" t="s">
        <v>90</v>
      </c>
      <c r="B445" s="556">
        <f>IF($M445&gt;0,('Amounts Pivot Table'!R$475/$M445),0)</f>
        <v>0</v>
      </c>
      <c r="C445" s="556">
        <f>IF($M445&gt;0,('Amounts Pivot Table'!R$478/$M445),0)</f>
        <v>0</v>
      </c>
      <c r="D445" s="556">
        <f>IF($M445&gt;0,('Amounts Pivot Table'!R$481/$M445),0)</f>
        <v>0</v>
      </c>
      <c r="E445" s="556">
        <f>IF($M445&gt;0,('Amounts Pivot Table'!R$484/$M445),0)</f>
        <v>0</v>
      </c>
      <c r="F445" s="556">
        <f t="shared" si="38"/>
        <v>0</v>
      </c>
      <c r="G445" s="557">
        <f t="shared" si="39"/>
        <v>0</v>
      </c>
      <c r="H445" s="558">
        <f t="shared" si="40"/>
        <v>0</v>
      </c>
      <c r="I445" s="558">
        <f t="shared" si="41"/>
        <v>0</v>
      </c>
      <c r="J445" s="558">
        <f t="shared" si="42"/>
        <v>0</v>
      </c>
      <c r="K445" s="558">
        <f t="shared" si="43"/>
        <v>0</v>
      </c>
      <c r="L445" s="654"/>
      <c r="M445" s="841">
        <f>+'[1]NEW-Tables 80-86'!AL208</f>
        <v>11334.344444444445</v>
      </c>
    </row>
    <row r="446" spans="1:13" s="76" customFormat="1" ht="12.75" customHeight="1" x14ac:dyDescent="0.2">
      <c r="A446" s="406" t="s">
        <v>326</v>
      </c>
      <c r="B446" s="556">
        <f>IF($M446&gt;0,('Amounts Pivot Table'!R$514/$M446),0)</f>
        <v>0</v>
      </c>
      <c r="C446" s="556">
        <f>IF($M446&gt;0,('Amounts Pivot Table'!R$517/$M446),0)</f>
        <v>0</v>
      </c>
      <c r="D446" s="556">
        <f>IF($M446&gt;0,('Amounts Pivot Table'!R$520/$M446),0)</f>
        <v>0</v>
      </c>
      <c r="E446" s="556">
        <f>IF($M446&gt;0,('Amounts Pivot Table'!R$523/$M446),0)</f>
        <v>0</v>
      </c>
      <c r="F446" s="556">
        <f t="shared" si="38"/>
        <v>0</v>
      </c>
      <c r="G446" s="557">
        <f t="shared" si="39"/>
        <v>0</v>
      </c>
      <c r="H446" s="558">
        <f t="shared" si="40"/>
        <v>0</v>
      </c>
      <c r="I446" s="558">
        <f t="shared" si="41"/>
        <v>0</v>
      </c>
      <c r="J446" s="558">
        <f t="shared" si="42"/>
        <v>0</v>
      </c>
      <c r="K446" s="558">
        <f t="shared" si="43"/>
        <v>0</v>
      </c>
      <c r="L446" s="169"/>
      <c r="M446" s="841">
        <f>+'[1]NEW-Tables 80-86'!AL209</f>
        <v>0</v>
      </c>
    </row>
    <row r="447" spans="1:13" s="491" customFormat="1" ht="12.75" customHeight="1" x14ac:dyDescent="0.2">
      <c r="A447" s="406" t="s">
        <v>327</v>
      </c>
      <c r="B447" s="556">
        <f>IF($M447&gt;0,('Amounts Pivot Table'!R$553/$M447),0)</f>
        <v>0</v>
      </c>
      <c r="C447" s="556">
        <f>IF($M447&gt;0,('Amounts Pivot Table'!R$556/$M447),0)</f>
        <v>0</v>
      </c>
      <c r="D447" s="556">
        <f>IF($M447&gt;0,('Amounts Pivot Table'!R$559/$M447),0)</f>
        <v>0</v>
      </c>
      <c r="E447" s="556">
        <f>IF($M447&gt;0,('Amounts Pivot Table'!R$562/$M447),0)</f>
        <v>0</v>
      </c>
      <c r="F447" s="556">
        <f t="shared" si="38"/>
        <v>0</v>
      </c>
      <c r="G447" s="557">
        <f t="shared" si="39"/>
        <v>0</v>
      </c>
      <c r="H447" s="558">
        <f t="shared" si="40"/>
        <v>0</v>
      </c>
      <c r="I447" s="558">
        <f t="shared" si="41"/>
        <v>0</v>
      </c>
      <c r="J447" s="558">
        <f t="shared" si="42"/>
        <v>0</v>
      </c>
      <c r="K447" s="558">
        <f t="shared" si="43"/>
        <v>0</v>
      </c>
      <c r="L447" s="655"/>
      <c r="M447" s="841">
        <f>+'[1]NEW-Tables 80-86'!AL210</f>
        <v>0</v>
      </c>
    </row>
    <row r="448" spans="1:13" s="491" customFormat="1" ht="15" customHeight="1" x14ac:dyDescent="0.2">
      <c r="A448" s="407" t="s">
        <v>332</v>
      </c>
      <c r="B448" s="562">
        <f>IF($M448&gt;0,('Amounts Pivot Table'!R$592/$M448),0)</f>
        <v>0</v>
      </c>
      <c r="C448" s="562">
        <f>IF($M448&gt;0,('Amounts Pivot Table'!R$595/$M448),0)</f>
        <v>0</v>
      </c>
      <c r="D448" s="562">
        <f>IF($M448&gt;0,('Amounts Pivot Table'!R$598/$M448),0)</f>
        <v>0</v>
      </c>
      <c r="E448" s="562">
        <f>IF($M448&gt;0,('Amounts Pivot Table'!R$601/$M448),0)</f>
        <v>0</v>
      </c>
      <c r="F448" s="563">
        <f t="shared" si="38"/>
        <v>0</v>
      </c>
      <c r="G448" s="564">
        <f t="shared" si="39"/>
        <v>0</v>
      </c>
      <c r="H448" s="565">
        <f t="shared" si="40"/>
        <v>0</v>
      </c>
      <c r="I448" s="565">
        <f t="shared" si="41"/>
        <v>0</v>
      </c>
      <c r="J448" s="565">
        <f t="shared" si="42"/>
        <v>0</v>
      </c>
      <c r="K448" s="565">
        <f t="shared" si="43"/>
        <v>0</v>
      </c>
      <c r="L448" s="658"/>
      <c r="M448" s="841">
        <f>+'[1]NEW-Tables 80-86'!AL211</f>
        <v>0</v>
      </c>
    </row>
    <row r="449" spans="1:13" s="76" customFormat="1" ht="34.5" customHeight="1" x14ac:dyDescent="0.2">
      <c r="A449" s="1558" t="s">
        <v>17</v>
      </c>
      <c r="B449" s="1582"/>
      <c r="C449" s="1582"/>
      <c r="D449" s="1582"/>
      <c r="E449" s="1582"/>
      <c r="F449" s="1582"/>
      <c r="G449" s="1582"/>
      <c r="H449" s="1582"/>
      <c r="I449" s="1582"/>
      <c r="J449" s="1582"/>
      <c r="K449" s="1582"/>
      <c r="L449" s="169"/>
      <c r="M449" s="649"/>
    </row>
    <row r="450" spans="1:13" s="205" customFormat="1" ht="13.5" customHeight="1" x14ac:dyDescent="0.2">
      <c r="A450" s="1558" t="s">
        <v>54</v>
      </c>
      <c r="B450" s="1582"/>
      <c r="C450" s="1582"/>
      <c r="D450" s="1582"/>
      <c r="E450" s="1582"/>
      <c r="F450" s="1582"/>
      <c r="G450" s="1582"/>
      <c r="H450" s="1582"/>
      <c r="I450" s="1582"/>
      <c r="J450" s="1582"/>
      <c r="K450" s="1582"/>
      <c r="L450" s="204"/>
      <c r="M450" s="649"/>
    </row>
    <row r="451" spans="1:13" s="491" customFormat="1" ht="13.5" customHeight="1" x14ac:dyDescent="0.2">
      <c r="A451" s="1558" t="s">
        <v>233</v>
      </c>
      <c r="B451" s="1593"/>
      <c r="C451" s="1593"/>
      <c r="D451" s="1593"/>
      <c r="E451" s="1593"/>
      <c r="F451" s="1593"/>
      <c r="G451" s="1594"/>
      <c r="H451" s="1594"/>
      <c r="I451" s="1594"/>
      <c r="J451" s="1594"/>
      <c r="K451" s="1594"/>
      <c r="L451" s="658"/>
      <c r="M451" s="649"/>
    </row>
    <row r="452" spans="1:13" s="491" customFormat="1" ht="13.5" customHeight="1" x14ac:dyDescent="0.2">
      <c r="A452" s="644"/>
      <c r="B452" s="657"/>
      <c r="C452" s="657"/>
      <c r="D452" s="657"/>
      <c r="E452" s="657"/>
      <c r="F452" s="657"/>
      <c r="G452" s="659"/>
      <c r="H452" s="659"/>
      <c r="I452" s="659"/>
      <c r="J452" s="659"/>
      <c r="K452" s="659"/>
      <c r="L452" s="658"/>
      <c r="M452" s="649"/>
    </row>
    <row r="453" spans="1:13" s="491" customFormat="1" x14ac:dyDescent="0.2">
      <c r="A453" s="644"/>
      <c r="B453" s="657"/>
      <c r="C453" s="657"/>
      <c r="D453" s="657"/>
      <c r="E453" s="657"/>
      <c r="F453" s="657"/>
      <c r="G453" s="659"/>
      <c r="H453" s="659"/>
      <c r="I453" s="659"/>
      <c r="J453" s="659"/>
      <c r="K453" s="535" t="s">
        <v>1898</v>
      </c>
      <c r="L453" s="406"/>
      <c r="M453" s="649"/>
    </row>
    <row r="454" spans="1:13" s="491" customFormat="1" ht="18.75" customHeight="1" x14ac:dyDescent="0.2">
      <c r="A454" s="1557" t="s">
        <v>372</v>
      </c>
      <c r="B454" s="1557"/>
      <c r="C454" s="1557"/>
      <c r="D454" s="1557"/>
      <c r="E454" s="1557"/>
      <c r="F454" s="1557"/>
      <c r="G454" s="1557"/>
      <c r="H454" s="1557"/>
      <c r="I454" s="1557"/>
      <c r="J454" s="1557"/>
      <c r="K454" s="1557"/>
      <c r="L454" s="655"/>
      <c r="M454" s="649"/>
    </row>
    <row r="455" spans="1:13" s="491" customFormat="1" ht="18.75" x14ac:dyDescent="0.2">
      <c r="A455" s="1557" t="s">
        <v>18</v>
      </c>
      <c r="B455" s="1557"/>
      <c r="C455" s="1557"/>
      <c r="D455" s="1557"/>
      <c r="E455" s="1557"/>
      <c r="F455" s="1557"/>
      <c r="G455" s="1557"/>
      <c r="H455" s="1557"/>
      <c r="I455" s="1557"/>
      <c r="J455" s="1557"/>
      <c r="K455" s="1557"/>
      <c r="L455" s="165"/>
      <c r="M455" s="649"/>
    </row>
    <row r="456" spans="1:13" s="491" customFormat="1" ht="15.75" customHeight="1" x14ac:dyDescent="0.15">
      <c r="A456" s="1557" t="s">
        <v>446</v>
      </c>
      <c r="B456" s="1557"/>
      <c r="C456" s="1557"/>
      <c r="D456" s="1557"/>
      <c r="E456" s="1557"/>
      <c r="F456" s="1557"/>
      <c r="G456" s="1557"/>
      <c r="H456" s="1557"/>
      <c r="I456" s="1557"/>
      <c r="J456" s="1557"/>
      <c r="K456" s="1557"/>
      <c r="L456" s="165"/>
      <c r="M456" s="660"/>
    </row>
    <row r="457" spans="1:13" s="112" customFormat="1" ht="8.25" x14ac:dyDescent="0.15">
      <c r="A457" s="194"/>
      <c r="B457" s="194"/>
      <c r="C457" s="194"/>
      <c r="D457" s="194"/>
      <c r="E457" s="194"/>
      <c r="F457" s="194"/>
      <c r="G457" s="195"/>
      <c r="H457" s="194"/>
      <c r="I457" s="194"/>
      <c r="J457" s="194"/>
      <c r="K457" s="194"/>
      <c r="L457" s="196"/>
      <c r="M457" s="674"/>
    </row>
    <row r="458" spans="1:13" s="491" customFormat="1" ht="14.25" customHeight="1" x14ac:dyDescent="0.2">
      <c r="A458" s="60"/>
      <c r="B458" s="1595" t="s">
        <v>55</v>
      </c>
      <c r="C458" s="1596"/>
      <c r="D458" s="1596"/>
      <c r="E458" s="1596"/>
      <c r="F458" s="1596"/>
      <c r="G458" s="57" t="s">
        <v>119</v>
      </c>
      <c r="H458" s="58"/>
      <c r="I458" s="58"/>
      <c r="J458" s="58"/>
      <c r="K458" s="58"/>
      <c r="L458" s="173"/>
      <c r="M458" s="649"/>
    </row>
    <row r="459" spans="1:13" s="378" customFormat="1" ht="45" x14ac:dyDescent="0.2">
      <c r="A459" s="650"/>
      <c r="B459" s="51" t="s">
        <v>87</v>
      </c>
      <c r="C459" s="52" t="s">
        <v>89</v>
      </c>
      <c r="D459" s="52" t="s">
        <v>88</v>
      </c>
      <c r="E459" s="52" t="s">
        <v>306</v>
      </c>
      <c r="F459" s="52" t="s">
        <v>97</v>
      </c>
      <c r="G459" s="53" t="s">
        <v>87</v>
      </c>
      <c r="H459" s="52" t="s">
        <v>89</v>
      </c>
      <c r="I459" s="52" t="s">
        <v>88</v>
      </c>
      <c r="J459" s="52" t="s">
        <v>306</v>
      </c>
      <c r="K459" s="52" t="s">
        <v>97</v>
      </c>
      <c r="L459" s="652"/>
      <c r="M459" s="661" t="s">
        <v>260</v>
      </c>
    </row>
    <row r="460" spans="1:13" s="491" customFormat="1" ht="14.25" x14ac:dyDescent="0.2">
      <c r="A460" s="406" t="s">
        <v>56</v>
      </c>
      <c r="B460" s="553">
        <f>IF($M460&gt;0,('Amounts Pivot Table'!P$630/$M460),0)</f>
        <v>3386.4409589483162</v>
      </c>
      <c r="C460" s="553">
        <f>IF($M460&gt;0,('Amounts Pivot Table'!P$633/$M460),0)</f>
        <v>5.7782387681412111</v>
      </c>
      <c r="D460" s="553">
        <f>IF($M460&gt;0,('Amounts Pivot Table'!P$636/$M460),0)</f>
        <v>0</v>
      </c>
      <c r="E460" s="553">
        <f>IF($M460&gt;0,('Amounts Pivot Table'!P$639/$M460),0)</f>
        <v>3166.0395645617759</v>
      </c>
      <c r="F460" s="553">
        <f>SUM(B460:E460)</f>
        <v>6558.2587622782339</v>
      </c>
      <c r="G460" s="675"/>
      <c r="H460" s="555"/>
      <c r="I460" s="555"/>
      <c r="J460" s="555"/>
      <c r="K460" s="555"/>
      <c r="L460" s="654"/>
      <c r="M460" s="841">
        <f>+'[1]NEW-Tables 80-86'!AJ191</f>
        <v>103314.87222222223</v>
      </c>
    </row>
    <row r="461" spans="1:13" s="112" customFormat="1" x14ac:dyDescent="0.2">
      <c r="A461" s="194"/>
      <c r="B461" s="194"/>
      <c r="C461" s="194"/>
      <c r="D461" s="194"/>
      <c r="E461" s="194"/>
      <c r="F461" s="194"/>
      <c r="G461" s="198"/>
      <c r="H461" s="194"/>
      <c r="I461" s="194"/>
      <c r="J461" s="194"/>
      <c r="K461" s="194"/>
      <c r="L461" s="196"/>
      <c r="M461" s="841"/>
    </row>
    <row r="462" spans="1:13" s="491" customFormat="1" ht="12.75" customHeight="1" x14ac:dyDescent="0.2">
      <c r="A462" s="406" t="s">
        <v>320</v>
      </c>
      <c r="B462" s="556">
        <f>IF($M462&gt;0,('Amounts Pivot Table'!P$6/$M462),0)</f>
        <v>6678.7005286822468</v>
      </c>
      <c r="C462" s="556">
        <f>IF($M462&gt;0,('Amounts Pivot Table'!P$9/$M462),0)</f>
        <v>442.44626710805869</v>
      </c>
      <c r="D462" s="556">
        <f>IF($M462&gt;0,('Amounts Pivot Table'!P$12/$M462),0)</f>
        <v>0</v>
      </c>
      <c r="E462" s="556">
        <f>IF($M462&gt;0,('Amounts Pivot Table'!P$15/$M462),0)</f>
        <v>3646.4052077671822</v>
      </c>
      <c r="F462" s="556">
        <f t="shared" ref="F462:F480" si="44">SUM(B462:E462)</f>
        <v>10767.552003557488</v>
      </c>
      <c r="G462" s="557">
        <f>IF(B462&gt;0,RANK(B462,$B$462:$B$480),)</f>
        <v>1</v>
      </c>
      <c r="H462" s="558">
        <f>IF(C462&gt;0,RANK(C462,$C$462:$C$480),)</f>
        <v>1</v>
      </c>
      <c r="I462" s="558">
        <f>IF(D462&gt;0,RANK(D462,$D$462:$D$480),)</f>
        <v>0</v>
      </c>
      <c r="J462" s="558">
        <f>IF(E462&gt;0,RANK(E462,$E$462:$E$480),)</f>
        <v>2</v>
      </c>
      <c r="K462" s="558">
        <f>IF(F462&gt;0,RANK(F462,$F$462:$F$480),)</f>
        <v>1</v>
      </c>
      <c r="L462" s="654"/>
      <c r="M462" s="841">
        <f>+'[1]NEW-Tables 80-86'!AJ193</f>
        <v>1349.2666666666667</v>
      </c>
    </row>
    <row r="463" spans="1:13" s="491" customFormat="1" ht="12.75" customHeight="1" x14ac:dyDescent="0.2">
      <c r="A463" s="406" t="s">
        <v>334</v>
      </c>
      <c r="B463" s="556">
        <f>IF($M463&gt;0,('Amounts Pivot Table'!P$45/$M463),0)</f>
        <v>0</v>
      </c>
      <c r="C463" s="556">
        <f>IF($M463&gt;0,('Amounts Pivot Table'!P$48/$M463),0)</f>
        <v>0</v>
      </c>
      <c r="D463" s="556">
        <f>IF($M463&gt;0,('Amounts Pivot Table'!P$51/$M463),0)</f>
        <v>0</v>
      </c>
      <c r="E463" s="556">
        <f>IF($M463&gt;0,('Amounts Pivot Table'!P$54/$M463),0)</f>
        <v>0</v>
      </c>
      <c r="F463" s="556">
        <f t="shared" si="44"/>
        <v>0</v>
      </c>
      <c r="G463" s="557">
        <f>IF(B463&gt;0,RANK(B463,$B$462:$B$480),)</f>
        <v>0</v>
      </c>
      <c r="H463" s="558">
        <f>IF(C463&gt;0,RANK(C463,$C$462:$C$480),)</f>
        <v>0</v>
      </c>
      <c r="I463" s="558">
        <f>IF(D463&gt;0,RANK(D463,$D$462:$D$480),)</f>
        <v>0</v>
      </c>
      <c r="J463" s="558">
        <f>IF(E463&gt;0,RANK(E463,$E$462:$E$480),)</f>
        <v>0</v>
      </c>
      <c r="K463" s="558">
        <f>IF(F463&gt;0,RANK(F463,$F$462:$F$480),)</f>
        <v>0</v>
      </c>
      <c r="L463" s="654"/>
      <c r="M463" s="841">
        <f>+'[1]NEW-Tables 80-86'!AJ194</f>
        <v>0</v>
      </c>
    </row>
    <row r="464" spans="1:13" s="491" customFormat="1" ht="12.75" customHeight="1" x14ac:dyDescent="0.2">
      <c r="A464" s="406" t="s">
        <v>321</v>
      </c>
      <c r="B464" s="556">
        <f>IF($M464&gt;0,('Amounts Pivot Table'!P$84/$M464),0)</f>
        <v>0</v>
      </c>
      <c r="C464" s="556">
        <f>IF($M464&gt;0,('Amounts Pivot Table'!P$87/$M464),0)</f>
        <v>0</v>
      </c>
      <c r="D464" s="556">
        <f>IF($M464&gt;0,('Amounts Pivot Table'!P$90/$M464),0)</f>
        <v>0</v>
      </c>
      <c r="E464" s="556">
        <f>IF($M464&gt;0,('Amounts Pivot Table'!P$93/$M464),0)</f>
        <v>0</v>
      </c>
      <c r="F464" s="556">
        <f t="shared" si="44"/>
        <v>0</v>
      </c>
      <c r="G464" s="557">
        <f>IF(B464&gt;0,RANK(B464,$B$462:$B$480),)</f>
        <v>0</v>
      </c>
      <c r="H464" s="558">
        <f>IF(C464&gt;0,RANK(C464,$C$462:$C$480),)</f>
        <v>0</v>
      </c>
      <c r="I464" s="558">
        <f>IF(D464&gt;0,RANK(D464,$D$462:$D$480),)</f>
        <v>0</v>
      </c>
      <c r="J464" s="558">
        <f>IF(E464&gt;0,RANK(E464,$E$462:$E$480),)</f>
        <v>0</v>
      </c>
      <c r="K464" s="558">
        <f>IF(F464&gt;0,RANK(F464,$F$462:$F$480),)</f>
        <v>0</v>
      </c>
      <c r="L464" s="175"/>
      <c r="M464" s="841">
        <f>+'[1]NEW-Tables 80-86'!AJ195</f>
        <v>0</v>
      </c>
    </row>
    <row r="465" spans="1:13" s="491" customFormat="1" ht="12.75" customHeight="1" x14ac:dyDescent="0.2">
      <c r="A465" s="406" t="s">
        <v>328</v>
      </c>
      <c r="B465" s="556">
        <f>IF($M465&gt;0,('Amounts Pivot Table'!P$123/$M465),0)</f>
        <v>0</v>
      </c>
      <c r="C465" s="556">
        <f>IF($M465&gt;0,('Amounts Pivot Table'!P$126/$M465),0)</f>
        <v>0</v>
      </c>
      <c r="D465" s="556">
        <f>IF($M465&gt;0,('Amounts Pivot Table'!P$129/$M465),0)</f>
        <v>0</v>
      </c>
      <c r="E465" s="556">
        <f>IF($M465&gt;0,('Amounts Pivot Table'!P$132/$M465),0)</f>
        <v>0</v>
      </c>
      <c r="F465" s="556">
        <f t="shared" si="44"/>
        <v>0</v>
      </c>
      <c r="G465" s="557">
        <f>IF(B465&gt;0,RANK(B465,$B$462:$B$480),)</f>
        <v>0</v>
      </c>
      <c r="H465" s="558">
        <f>IF(C465&gt;0,RANK(C465,$C$462:$C$480),)</f>
        <v>0</v>
      </c>
      <c r="I465" s="558">
        <f>IF(D465&gt;0,RANK(D465,$D$462:$D$480),)</f>
        <v>0</v>
      </c>
      <c r="J465" s="558">
        <f>IF(E465&gt;0,RANK(E465,$E$462:$E$480),)</f>
        <v>0</v>
      </c>
      <c r="K465" s="558">
        <f>IF(F465&gt;0,RANK(F465,$F$462:$F$480),)</f>
        <v>0</v>
      </c>
      <c r="L465" s="654"/>
      <c r="M465" s="841">
        <f>+'[1]NEW-Tables 80-86'!AJ196</f>
        <v>0</v>
      </c>
    </row>
    <row r="466" spans="1:13" s="112" customFormat="1" x14ac:dyDescent="0.2">
      <c r="A466" s="194"/>
      <c r="B466" s="194"/>
      <c r="C466" s="194"/>
      <c r="D466" s="194"/>
      <c r="E466" s="194"/>
      <c r="F466" s="194"/>
      <c r="G466" s="198"/>
      <c r="H466" s="194"/>
      <c r="I466" s="194"/>
      <c r="J466" s="194"/>
      <c r="K466" s="194"/>
      <c r="L466" s="196"/>
      <c r="M466" s="841"/>
    </row>
    <row r="467" spans="1:13" s="491" customFormat="1" ht="12.75" customHeight="1" x14ac:dyDescent="0.2">
      <c r="A467" s="406" t="s">
        <v>329</v>
      </c>
      <c r="B467" s="556">
        <f>IF($M467&gt;0,('Amounts Pivot Table'!P$162/$M467),0)</f>
        <v>3440.4330563653639</v>
      </c>
      <c r="C467" s="556">
        <f>IF($M467&gt;0,('Amounts Pivot Table'!P$165/$M467),0)</f>
        <v>0</v>
      </c>
      <c r="D467" s="556">
        <f>IF($M467&gt;0,('Amounts Pivot Table'!P$168/$M467),0)</f>
        <v>0</v>
      </c>
      <c r="E467" s="556">
        <f>IF($M467&gt;0,('Amounts Pivot Table'!P$171/$M467),0)</f>
        <v>3373.8060234285736</v>
      </c>
      <c r="F467" s="556">
        <f t="shared" si="44"/>
        <v>6814.239079793937</v>
      </c>
      <c r="G467" s="557">
        <f>IF(B467&gt;0,RANK(B467,$B$462:$B$480),)</f>
        <v>3</v>
      </c>
      <c r="H467" s="558">
        <f>IF(C467&gt;0,RANK(C467,$C$462:$C$480),)</f>
        <v>0</v>
      </c>
      <c r="I467" s="558">
        <f>IF(D467&gt;0,RANK(D467,$D$462:$D$480),)</f>
        <v>0</v>
      </c>
      <c r="J467" s="558">
        <f>IF(E467&gt;0,RANK(E467,$E$462:$E$480),)</f>
        <v>3</v>
      </c>
      <c r="K467" s="558">
        <f>IF(F467&gt;0,RANK(F467,$F$462:$F$480),)</f>
        <v>3</v>
      </c>
      <c r="L467" s="175"/>
      <c r="M467" s="841">
        <f>+'[1]NEW-Tables 80-86'!AJ198</f>
        <v>77975.723333333342</v>
      </c>
    </row>
    <row r="468" spans="1:13" s="491" customFormat="1" ht="12.75" customHeight="1" x14ac:dyDescent="0.2">
      <c r="A468" s="406" t="s">
        <v>322</v>
      </c>
      <c r="B468" s="556">
        <f>IF($M468&gt;0,('Amounts Pivot Table'!P$201/$M468),0)</f>
        <v>3018.0290489218105</v>
      </c>
      <c r="C468" s="556">
        <f>IF($M468&gt;0,('Amounts Pivot Table'!P$204/$M468),0)</f>
        <v>0</v>
      </c>
      <c r="D468" s="556">
        <f>IF($M468&gt;0,('Amounts Pivot Table'!P$207/$M468),0)</f>
        <v>0</v>
      </c>
      <c r="E468" s="556">
        <f>IF($M468&gt;0,('Amounts Pivot Table'!P$210/$M468),0)</f>
        <v>4448.3264206271633</v>
      </c>
      <c r="F468" s="556">
        <f t="shared" si="44"/>
        <v>7466.3554695489738</v>
      </c>
      <c r="G468" s="557">
        <f>IF(B468&gt;0,RANK(B468,$B$462:$B$480),)</f>
        <v>5</v>
      </c>
      <c r="H468" s="558">
        <f>IF(C468&gt;0,RANK(C468,$C$462:$C$480),)</f>
        <v>0</v>
      </c>
      <c r="I468" s="558">
        <f>IF(D468&gt;0,RANK(D468,$D$462:$D$480),)</f>
        <v>0</v>
      </c>
      <c r="J468" s="558">
        <f>IF(E468&gt;0,RANK(E468,$E$462:$E$480),)</f>
        <v>1</v>
      </c>
      <c r="K468" s="558">
        <f>IF(F468&gt;0,RANK(F468,$F$462:$F$480),)</f>
        <v>2</v>
      </c>
      <c r="L468" s="654"/>
      <c r="M468" s="841">
        <f>+'[1]NEW-Tables 80-86'!AJ199</f>
        <v>5047.0666666666666</v>
      </c>
    </row>
    <row r="469" spans="1:13" s="491" customFormat="1" ht="12.75" customHeight="1" x14ac:dyDescent="0.2">
      <c r="A469" s="406" t="s">
        <v>330</v>
      </c>
      <c r="B469" s="556">
        <f>IF($M469&gt;0,('Amounts Pivot Table'!P$240/$M469),0)</f>
        <v>2876.2680795482074</v>
      </c>
      <c r="C469" s="556">
        <f>IF($M469&gt;0,('Amounts Pivot Table'!P$243/$M469),0)</f>
        <v>0</v>
      </c>
      <c r="D469" s="556">
        <f>IF($M469&gt;0,('Amounts Pivot Table'!P$246/$M469),0)</f>
        <v>0</v>
      </c>
      <c r="E469" s="556">
        <f>IF($M469&gt;0,('Amounts Pivot Table'!P$249/$M469),0)</f>
        <v>1999.1634874506276</v>
      </c>
      <c r="F469" s="556">
        <f t="shared" si="44"/>
        <v>4875.4315669988355</v>
      </c>
      <c r="G469" s="557">
        <f>IF(B469&gt;0,RANK(B469,$B$462:$B$480),)</f>
        <v>6</v>
      </c>
      <c r="H469" s="558">
        <f>IF(C469&gt;0,RANK(C469,$C$462:$C$480),)</f>
        <v>0</v>
      </c>
      <c r="I469" s="558">
        <f>IF(D469&gt;0,RANK(D469,$D$462:$D$480),)</f>
        <v>0</v>
      </c>
      <c r="J469" s="558">
        <f>IF(E469&gt;0,RANK(E469,$E$462:$E$480),)</f>
        <v>5</v>
      </c>
      <c r="K469" s="558">
        <f>IF(F469&gt;0,RANK(F469,$F$462:$F$480),)</f>
        <v>6</v>
      </c>
      <c r="L469" s="654"/>
      <c r="M469" s="841">
        <f>+'[1]NEW-Tables 80-86'!AJ200</f>
        <v>13854.743333333334</v>
      </c>
    </row>
    <row r="470" spans="1:13" s="491" customFormat="1" ht="12.75" customHeight="1" x14ac:dyDescent="0.2">
      <c r="A470" s="406" t="s">
        <v>333</v>
      </c>
      <c r="B470" s="556">
        <f>IF($M470&gt;0,('Amounts Pivot Table'!P$279/$M470),0)</f>
        <v>0</v>
      </c>
      <c r="C470" s="556">
        <f>IF($M470&gt;0,('Amounts Pivot Table'!P$282/$M470),0)</f>
        <v>0</v>
      </c>
      <c r="D470" s="556">
        <f>IF($M470&gt;0,('Amounts Pivot Table'!P$285/$M470),0)</f>
        <v>0</v>
      </c>
      <c r="E470" s="556">
        <f>IF($M470&gt;0,('Amounts Pivot Table'!P$288/$M470),0)</f>
        <v>0</v>
      </c>
      <c r="F470" s="556">
        <f t="shared" si="44"/>
        <v>0</v>
      </c>
      <c r="G470" s="557">
        <f>IF(B470&gt;0,RANK(B470,$B$462:$B$480),)</f>
        <v>0</v>
      </c>
      <c r="H470" s="558">
        <f>IF(C470&gt;0,RANK(C470,$C$462:$C$480),)</f>
        <v>0</v>
      </c>
      <c r="I470" s="558">
        <f>IF(D470&gt;0,RANK(D470,$D$462:$D$480),)</f>
        <v>0</v>
      </c>
      <c r="J470" s="558">
        <f>IF(E470&gt;0,RANK(E470,$E$462:$E$480),)</f>
        <v>0</v>
      </c>
      <c r="K470" s="558">
        <f>IF(F470&gt;0,RANK(F470,$F$462:$F$480),)</f>
        <v>0</v>
      </c>
      <c r="L470" s="175"/>
      <c r="M470" s="841">
        <f>+'[1]NEW-Tables 80-86'!AJ201</f>
        <v>0</v>
      </c>
    </row>
    <row r="471" spans="1:13" s="112" customFormat="1" x14ac:dyDescent="0.2">
      <c r="A471" s="194"/>
      <c r="B471" s="194"/>
      <c r="C471" s="194"/>
      <c r="D471" s="194"/>
      <c r="E471" s="194"/>
      <c r="F471" s="194"/>
      <c r="G471" s="198"/>
      <c r="H471" s="194"/>
      <c r="I471" s="194"/>
      <c r="J471" s="194"/>
      <c r="K471" s="194"/>
      <c r="L471" s="196"/>
      <c r="M471" s="841"/>
    </row>
    <row r="472" spans="1:13" s="491" customFormat="1" ht="12.75" customHeight="1" x14ac:dyDescent="0.2">
      <c r="A472" s="406" t="s">
        <v>323</v>
      </c>
      <c r="B472" s="556">
        <f>IF($M472&gt;0,('Amounts Pivot Table'!P$318/$M472),0)</f>
        <v>0</v>
      </c>
      <c r="C472" s="556">
        <f>IF($M472&gt;0,('Amounts Pivot Table'!P$321/$M472),0)</f>
        <v>0</v>
      </c>
      <c r="D472" s="556">
        <f>IF($M472&gt;0,('Amounts Pivot Table'!P$324/$M472),0)</f>
        <v>0</v>
      </c>
      <c r="E472" s="556">
        <f>IF($M472&gt;0,('Amounts Pivot Table'!P$327/$M472),0)</f>
        <v>0</v>
      </c>
      <c r="F472" s="556">
        <f t="shared" si="44"/>
        <v>0</v>
      </c>
      <c r="G472" s="557">
        <f>IF(B472&gt;0,RANK(B472,$B$462:$B$480),)</f>
        <v>0</v>
      </c>
      <c r="H472" s="558">
        <f>IF(C472&gt;0,RANK(C472,$C$462:$C$480),)</f>
        <v>0</v>
      </c>
      <c r="I472" s="558">
        <f>IF(D472&gt;0,RANK(D472,$D$462:$D$480),)</f>
        <v>0</v>
      </c>
      <c r="J472" s="558">
        <f>IF(E472&gt;0,RANK(E472,$E$462:$E$480),)</f>
        <v>0</v>
      </c>
      <c r="K472" s="558">
        <f>IF(F472&gt;0,RANK(F472,$F$462:$F$480),)</f>
        <v>0</v>
      </c>
      <c r="L472" s="654"/>
      <c r="M472" s="841">
        <f>+'[1]NEW-Tables 80-86'!AJ203</f>
        <v>0</v>
      </c>
    </row>
    <row r="473" spans="1:13" s="491" customFormat="1" ht="12.75" customHeight="1" x14ac:dyDescent="0.2">
      <c r="A473" s="406" t="s">
        <v>324</v>
      </c>
      <c r="B473" s="556">
        <f>IF($M473&gt;0,('Amounts Pivot Table'!P$357/$M473),0)</f>
        <v>0</v>
      </c>
      <c r="C473" s="556">
        <f>IF($M473&gt;0,('Amounts Pivot Table'!P$360/$M473),0)</f>
        <v>0</v>
      </c>
      <c r="D473" s="556">
        <f>IF($M473&gt;0,('Amounts Pivot Table'!P$363/$M473),0)</f>
        <v>0</v>
      </c>
      <c r="E473" s="556">
        <f>IF($M473&gt;0,('Amounts Pivot Table'!P$366/$M473),0)</f>
        <v>0</v>
      </c>
      <c r="F473" s="556">
        <f t="shared" si="44"/>
        <v>0</v>
      </c>
      <c r="G473" s="557">
        <f>IF(B473&gt;0,RANK(B473,$B$462:$B$480),)</f>
        <v>0</v>
      </c>
      <c r="H473" s="558">
        <f>IF(C473&gt;0,RANK(C473,$C$462:$C$480),)</f>
        <v>0</v>
      </c>
      <c r="I473" s="558">
        <f>IF(D473&gt;0,RANK(D473,$D$462:$D$480),)</f>
        <v>0</v>
      </c>
      <c r="J473" s="558">
        <f>IF(E473&gt;0,RANK(E473,$E$462:$E$480),)</f>
        <v>0</v>
      </c>
      <c r="K473" s="558">
        <f>IF(F473&gt;0,RANK(F473,$F$462:$F$480),)</f>
        <v>0</v>
      </c>
      <c r="L473" s="175"/>
      <c r="M473" s="841">
        <f>+'[1]NEW-Tables 80-86'!AJ204</f>
        <v>0</v>
      </c>
    </row>
    <row r="474" spans="1:13" s="491" customFormat="1" ht="12.75" customHeight="1" x14ac:dyDescent="0.2">
      <c r="A474" s="406" t="s">
        <v>331</v>
      </c>
      <c r="B474" s="556">
        <f>IF($M474&gt;0,('Amounts Pivot Table'!P$396/$M474),0)</f>
        <v>3529.1516103735207</v>
      </c>
      <c r="C474" s="556">
        <f>IF($M474&gt;0,('Amounts Pivot Table'!P$399/$M474),0)</f>
        <v>0</v>
      </c>
      <c r="D474" s="556">
        <f>IF($M474&gt;0,('Amounts Pivot Table'!P$402/$M474),0)</f>
        <v>0</v>
      </c>
      <c r="E474" s="556">
        <f>IF($M474&gt;0,('Amounts Pivot Table'!P$405/$M474),0)</f>
        <v>1627.8436349497845</v>
      </c>
      <c r="F474" s="556">
        <f t="shared" si="44"/>
        <v>5156.9952453233054</v>
      </c>
      <c r="G474" s="557">
        <f>IF(B474&gt;0,RANK(B474,$B$462:$B$480),)</f>
        <v>2</v>
      </c>
      <c r="H474" s="558">
        <f>IF(C474&gt;0,RANK(C474,$C$462:$C$480),)</f>
        <v>0</v>
      </c>
      <c r="I474" s="558">
        <f>IF(D474&gt;0,RANK(D474,$D$462:$D$480),)</f>
        <v>0</v>
      </c>
      <c r="J474" s="558">
        <f>IF(E474&gt;0,RANK(E474,$E$462:$E$480),)</f>
        <v>6</v>
      </c>
      <c r="K474" s="558">
        <f>IF(F474&gt;0,RANK(F474,$F$462:$F$480),)</f>
        <v>5</v>
      </c>
      <c r="L474" s="654"/>
      <c r="M474" s="841">
        <f>+'[1]NEW-Tables 80-86'!AJ205</f>
        <v>4046.5422222222219</v>
      </c>
    </row>
    <row r="475" spans="1:13" s="491" customFormat="1" ht="12.75" customHeight="1" x14ac:dyDescent="0.2">
      <c r="A475" s="406" t="s">
        <v>325</v>
      </c>
      <c r="B475" s="556">
        <f>IF($M475&gt;0,('Amounts Pivot Table'!P$435/$M475),0)</f>
        <v>0</v>
      </c>
      <c r="C475" s="556">
        <f>IF($M475&gt;0,('Amounts Pivot Table'!P$438/$M475),0)</f>
        <v>0</v>
      </c>
      <c r="D475" s="556">
        <f>IF($M475&gt;0,('Amounts Pivot Table'!P$441/$M475),0)</f>
        <v>0</v>
      </c>
      <c r="E475" s="556">
        <f>IF($M475&gt;0,('Amounts Pivot Table'!P$444/$M475),0)</f>
        <v>0</v>
      </c>
      <c r="F475" s="556">
        <f t="shared" si="44"/>
        <v>0</v>
      </c>
      <c r="G475" s="557">
        <f>IF(B475&gt;0,RANK(B475,$B$462:$B$480),)</f>
        <v>0</v>
      </c>
      <c r="H475" s="558">
        <f>IF(C475&gt;0,RANK(C475,$C$462:$C$480),)</f>
        <v>0</v>
      </c>
      <c r="I475" s="558">
        <f>IF(D475&gt;0,RANK(D475,$D$462:$D$480),)</f>
        <v>0</v>
      </c>
      <c r="J475" s="558">
        <f>IF(E475&gt;0,RANK(E475,$E$462:$E$480),)</f>
        <v>0</v>
      </c>
      <c r="K475" s="558">
        <f>IF(F475&gt;0,RANK(F475,$F$462:$F$480),)</f>
        <v>0</v>
      </c>
      <c r="L475" s="654"/>
      <c r="M475" s="841">
        <f>+'[1]NEW-Tables 80-86'!AJ206</f>
        <v>0</v>
      </c>
    </row>
    <row r="476" spans="1:13" s="112" customFormat="1" x14ac:dyDescent="0.2">
      <c r="A476" s="194"/>
      <c r="B476" s="194"/>
      <c r="C476" s="194"/>
      <c r="D476" s="194"/>
      <c r="E476" s="194"/>
      <c r="F476" s="194"/>
      <c r="G476" s="198"/>
      <c r="H476" s="194"/>
      <c r="I476" s="194"/>
      <c r="J476" s="194"/>
      <c r="K476" s="194"/>
      <c r="L476" s="196"/>
      <c r="M476" s="841"/>
    </row>
    <row r="477" spans="1:13" s="491" customFormat="1" ht="12.75" customHeight="1" x14ac:dyDescent="0.2">
      <c r="A477" s="406" t="s">
        <v>90</v>
      </c>
      <c r="B477" s="556">
        <f>IF($M477&gt;0,('Amounts Pivot Table'!P$474/$M477),0)</f>
        <v>3096.5022610966562</v>
      </c>
      <c r="C477" s="556">
        <f>IF($M477&gt;0,('Amounts Pivot Table'!P$477/$M477),0)</f>
        <v>0</v>
      </c>
      <c r="D477" s="556">
        <f>IF($M477&gt;0,('Amounts Pivot Table'!P$480/$M477),0)</f>
        <v>0</v>
      </c>
      <c r="E477" s="556">
        <f>IF($M477&gt;0,('Amounts Pivot Table'!P$483/$M477),0)</f>
        <v>2273.5782934721037</v>
      </c>
      <c r="F477" s="556">
        <f t="shared" si="44"/>
        <v>5370.0805545687599</v>
      </c>
      <c r="G477" s="557">
        <f>IF(B477&gt;0,RANK(B477,$B$462:$B$480),)</f>
        <v>4</v>
      </c>
      <c r="H477" s="558">
        <f>IF(C477&gt;0,RANK(C477,$C$462:$C$480),)</f>
        <v>0</v>
      </c>
      <c r="I477" s="558">
        <f>IF(D477&gt;0,RANK(D477,$D$462:$D$480),)</f>
        <v>0</v>
      </c>
      <c r="J477" s="558">
        <f>IF(E477&gt;0,RANK(E477,$E$462:$E$480),)</f>
        <v>4</v>
      </c>
      <c r="K477" s="558">
        <f>IF(F477&gt;0,RANK(F477,$F$462:$F$480),)</f>
        <v>4</v>
      </c>
      <c r="L477" s="654"/>
      <c r="M477" s="841">
        <f>+'[1]NEW-Tables 80-86'!AJ208</f>
        <v>1041.53</v>
      </c>
    </row>
    <row r="478" spans="1:13" s="76" customFormat="1" ht="12.75" customHeight="1" x14ac:dyDescent="0.2">
      <c r="A478" s="406" t="s">
        <v>326</v>
      </c>
      <c r="B478" s="556">
        <f>IF($M478&gt;0,('Amounts Pivot Table'!P$513/$M478),0)</f>
        <v>0</v>
      </c>
      <c r="C478" s="556">
        <f>IF($M478&gt;0,('Amounts Pivot Table'!P$516/$M478),0)</f>
        <v>0</v>
      </c>
      <c r="D478" s="556">
        <f>IF($M478&gt;0,('Amounts Pivot Table'!P$519/$M478),0)</f>
        <v>0</v>
      </c>
      <c r="E478" s="556">
        <f>IF($M478&gt;0,('Amounts Pivot Table'!P$522/$M478),0)</f>
        <v>0</v>
      </c>
      <c r="F478" s="556">
        <f t="shared" si="44"/>
        <v>0</v>
      </c>
      <c r="G478" s="557">
        <f>IF(B478&gt;0,RANK(B478,$B$462:$B$480),)</f>
        <v>0</v>
      </c>
      <c r="H478" s="558">
        <f>IF(C478&gt;0,RANK(C478,$C$462:$C$480),)</f>
        <v>0</v>
      </c>
      <c r="I478" s="558">
        <f>IF(D478&gt;0,RANK(D478,$D$462:$D$480),)</f>
        <v>0</v>
      </c>
      <c r="J478" s="558">
        <f>IF(E478&gt;0,RANK(E478,$E$462:$E$480),)</f>
        <v>0</v>
      </c>
      <c r="K478" s="558">
        <f>IF(F478&gt;0,RANK(F478,$F$462:$F$480),)</f>
        <v>0</v>
      </c>
      <c r="L478" s="654"/>
      <c r="M478" s="841">
        <f>+'[1]NEW-Tables 80-86'!AJ209</f>
        <v>0</v>
      </c>
    </row>
    <row r="479" spans="1:13" s="491" customFormat="1" ht="12.75" customHeight="1" x14ac:dyDescent="0.2">
      <c r="A479" s="406" t="s">
        <v>327</v>
      </c>
      <c r="B479" s="556">
        <f>IF($M479&gt;0,('Amounts Pivot Table'!P$552/$M479),0)</f>
        <v>0</v>
      </c>
      <c r="C479" s="556">
        <f>IF($M479&gt;0,('Amounts Pivot Table'!P$555/$M479),0)</f>
        <v>0</v>
      </c>
      <c r="D479" s="556">
        <f>IF($M479&gt;0,('Amounts Pivot Table'!P$558/$M479),0)</f>
        <v>0</v>
      </c>
      <c r="E479" s="556">
        <f>IF($M479&gt;0,('Amounts Pivot Table'!P$561/$M479),0)</f>
        <v>0</v>
      </c>
      <c r="F479" s="556">
        <f t="shared" si="44"/>
        <v>0</v>
      </c>
      <c r="G479" s="557">
        <f>IF(B479&gt;0,RANK(B479,$B$462:$B$480),)</f>
        <v>0</v>
      </c>
      <c r="H479" s="558">
        <f>IF(C479&gt;0,RANK(C479,$C$462:$C$480),)</f>
        <v>0</v>
      </c>
      <c r="I479" s="558">
        <f>IF(D479&gt;0,RANK(D479,$D$462:$D$480),)</f>
        <v>0</v>
      </c>
      <c r="J479" s="558">
        <f>IF(E479&gt;0,RANK(E479,$E$462:$E$480),)</f>
        <v>0</v>
      </c>
      <c r="K479" s="558">
        <f>IF(F479&gt;0,RANK(F479,$F$462:$F$480),)</f>
        <v>0</v>
      </c>
      <c r="L479" s="175"/>
      <c r="M479" s="841">
        <f>+'[1]NEW-Tables 80-86'!AJ210</f>
        <v>0</v>
      </c>
    </row>
    <row r="480" spans="1:13" s="491" customFormat="1" ht="17.25" customHeight="1" x14ac:dyDescent="0.2">
      <c r="A480" s="407" t="s">
        <v>332</v>
      </c>
      <c r="B480" s="562">
        <f>IF($M480&gt;0,('Amounts Pivot Table'!P$591/$M480),0)</f>
        <v>0</v>
      </c>
      <c r="C480" s="562">
        <f>IF($M480&gt;0,('Amounts Pivot Table'!P$594/$M480),0)</f>
        <v>0</v>
      </c>
      <c r="D480" s="562">
        <f>IF($M480&gt;0,('Amounts Pivot Table'!P$597/$M480),0)</f>
        <v>0</v>
      </c>
      <c r="E480" s="562">
        <f>IF($M480&gt;0,('Amounts Pivot Table'!P$600/$M480),0)</f>
        <v>0</v>
      </c>
      <c r="F480" s="563">
        <f t="shared" si="44"/>
        <v>0</v>
      </c>
      <c r="G480" s="564">
        <f>IF(B480&gt;0,RANK(B480,$B$462:$B$480),)</f>
        <v>0</v>
      </c>
      <c r="H480" s="565">
        <f>IF(C480&gt;0,RANK(C480,$C$462:$C$480),)</f>
        <v>0</v>
      </c>
      <c r="I480" s="565">
        <f>IF(D480&gt;0,RANK(D480,$D$462:$D$480),)</f>
        <v>0</v>
      </c>
      <c r="J480" s="565">
        <f>IF(E480&gt;0,RANK(E480,$E$462:$E$480),)</f>
        <v>0</v>
      </c>
      <c r="K480" s="565">
        <f>IF(F480&gt;0,RANK(F480,$F$462:$F$480),)</f>
        <v>0</v>
      </c>
      <c r="L480" s="654"/>
      <c r="M480" s="841">
        <f>+'[1]NEW-Tables 80-86'!AJ211</f>
        <v>0</v>
      </c>
    </row>
    <row r="481" spans="1:13" s="76" customFormat="1" ht="34.5" customHeight="1" x14ac:dyDescent="0.2">
      <c r="A481" s="1558" t="s">
        <v>17</v>
      </c>
      <c r="B481" s="1582"/>
      <c r="C481" s="1582"/>
      <c r="D481" s="1582"/>
      <c r="E481" s="1582"/>
      <c r="F481" s="1582"/>
      <c r="G481" s="1582"/>
      <c r="H481" s="1582"/>
      <c r="I481" s="1582"/>
      <c r="J481" s="1582"/>
      <c r="K481" s="1582"/>
      <c r="L481" s="169"/>
      <c r="M481" s="649"/>
    </row>
    <row r="482" spans="1:13" s="205" customFormat="1" ht="13.5" customHeight="1" x14ac:dyDescent="0.2">
      <c r="A482" s="1558" t="s">
        <v>54</v>
      </c>
      <c r="B482" s="1582"/>
      <c r="C482" s="1582"/>
      <c r="D482" s="1582"/>
      <c r="E482" s="1582"/>
      <c r="F482" s="1582"/>
      <c r="G482" s="1582"/>
      <c r="H482" s="1582"/>
      <c r="I482" s="1582"/>
      <c r="J482" s="1582"/>
      <c r="K482" s="1582"/>
      <c r="L482" s="204"/>
      <c r="M482" s="649"/>
    </row>
    <row r="483" spans="1:13" s="491" customFormat="1" ht="13.5" customHeight="1" x14ac:dyDescent="0.2">
      <c r="A483" s="1558" t="s">
        <v>233</v>
      </c>
      <c r="B483" s="1593"/>
      <c r="C483" s="1593"/>
      <c r="D483" s="1593"/>
      <c r="E483" s="1593"/>
      <c r="F483" s="1593"/>
      <c r="G483" s="1594"/>
      <c r="H483" s="1594"/>
      <c r="I483" s="1594"/>
      <c r="J483" s="1594"/>
      <c r="K483" s="1594"/>
      <c r="L483" s="658"/>
      <c r="M483" s="649"/>
    </row>
    <row r="484" spans="1:13" s="491" customFormat="1" ht="13.5" customHeight="1" x14ac:dyDescent="0.2">
      <c r="A484" s="644"/>
      <c r="B484" s="657"/>
      <c r="C484" s="657"/>
      <c r="D484" s="657"/>
      <c r="E484" s="657"/>
      <c r="F484" s="657"/>
      <c r="G484" s="659"/>
      <c r="H484" s="659"/>
      <c r="I484" s="659"/>
      <c r="J484" s="659"/>
      <c r="K484" s="659"/>
      <c r="L484" s="658"/>
      <c r="M484" s="649"/>
    </row>
    <row r="485" spans="1:13" s="491" customFormat="1" x14ac:dyDescent="0.2">
      <c r="A485" s="644"/>
      <c r="B485" s="657"/>
      <c r="C485" s="657"/>
      <c r="D485" s="657"/>
      <c r="E485" s="657"/>
      <c r="F485" s="657"/>
      <c r="G485" s="659"/>
      <c r="H485" s="659"/>
      <c r="I485" s="659"/>
      <c r="J485" s="659"/>
      <c r="K485" s="535" t="s">
        <v>1898</v>
      </c>
      <c r="L485" s="658"/>
      <c r="M485" s="649"/>
    </row>
    <row r="486" spans="1:13" s="491" customFormat="1" ht="18.75" customHeight="1" x14ac:dyDescent="0.2">
      <c r="A486" s="1557" t="s">
        <v>373</v>
      </c>
      <c r="B486" s="1557"/>
      <c r="C486" s="1557"/>
      <c r="D486" s="1557"/>
      <c r="E486" s="1557"/>
      <c r="F486" s="1557"/>
      <c r="G486" s="1557"/>
      <c r="H486" s="1557"/>
      <c r="I486" s="1557"/>
      <c r="J486" s="1557"/>
      <c r="K486" s="1557"/>
      <c r="L486" s="655"/>
      <c r="M486" s="649"/>
    </row>
    <row r="487" spans="1:13" s="491" customFormat="1" ht="18.75" x14ac:dyDescent="0.2">
      <c r="A487" s="1557" t="s">
        <v>18</v>
      </c>
      <c r="B487" s="1557"/>
      <c r="C487" s="1557"/>
      <c r="D487" s="1557"/>
      <c r="E487" s="1557"/>
      <c r="F487" s="1557"/>
      <c r="G487" s="1557"/>
      <c r="H487" s="1557"/>
      <c r="I487" s="1557"/>
      <c r="J487" s="1557"/>
      <c r="K487" s="1557"/>
      <c r="L487" s="165"/>
      <c r="M487" s="649"/>
    </row>
    <row r="488" spans="1:13" s="491" customFormat="1" ht="15.75" customHeight="1" x14ac:dyDescent="0.2">
      <c r="A488" s="1557" t="s">
        <v>447</v>
      </c>
      <c r="B488" s="1557"/>
      <c r="C488" s="1557"/>
      <c r="D488" s="1557"/>
      <c r="E488" s="1557"/>
      <c r="F488" s="1557"/>
      <c r="G488" s="1557"/>
      <c r="H488" s="1557"/>
      <c r="I488" s="1557"/>
      <c r="J488" s="1557"/>
      <c r="K488" s="1557"/>
      <c r="L488" s="165"/>
      <c r="M488" s="649"/>
    </row>
    <row r="489" spans="1:13" s="491" customFormat="1" ht="9.75" customHeight="1" x14ac:dyDescent="0.2">
      <c r="A489" s="91"/>
      <c r="B489" s="91"/>
      <c r="C489" s="91"/>
      <c r="D489" s="91"/>
      <c r="E489" s="91"/>
      <c r="F489" s="91"/>
      <c r="G489" s="108"/>
      <c r="H489" s="91"/>
      <c r="I489" s="91"/>
      <c r="J489" s="91"/>
      <c r="K489" s="91"/>
      <c r="L489" s="165"/>
      <c r="M489" s="649"/>
    </row>
    <row r="490" spans="1:13" s="668" customFormat="1" ht="15.75" customHeight="1" x14ac:dyDescent="0.2">
      <c r="A490" s="56"/>
      <c r="B490" s="1595" t="s">
        <v>55</v>
      </c>
      <c r="C490" s="1596"/>
      <c r="D490" s="1596"/>
      <c r="E490" s="1596"/>
      <c r="F490" s="1596"/>
      <c r="G490" s="1597" t="s">
        <v>119</v>
      </c>
      <c r="H490" s="1598"/>
      <c r="I490" s="1598"/>
      <c r="J490" s="1598"/>
      <c r="K490" s="1598"/>
      <c r="L490" s="173"/>
      <c r="M490" s="649"/>
    </row>
    <row r="491" spans="1:13" s="378" customFormat="1" ht="47.25" customHeight="1" x14ac:dyDescent="0.2">
      <c r="A491" s="650"/>
      <c r="B491" s="51" t="s">
        <v>87</v>
      </c>
      <c r="C491" s="52" t="s">
        <v>89</v>
      </c>
      <c r="D491" s="52" t="s">
        <v>88</v>
      </c>
      <c r="E491" s="52" t="s">
        <v>306</v>
      </c>
      <c r="F491" s="52" t="s">
        <v>97</v>
      </c>
      <c r="G491" s="53" t="s">
        <v>87</v>
      </c>
      <c r="H491" s="52" t="s">
        <v>89</v>
      </c>
      <c r="I491" s="52" t="s">
        <v>88</v>
      </c>
      <c r="J491" s="52" t="s">
        <v>306</v>
      </c>
      <c r="K491" s="52" t="s">
        <v>97</v>
      </c>
      <c r="L491" s="652"/>
      <c r="M491" s="649" t="s">
        <v>260</v>
      </c>
    </row>
    <row r="492" spans="1:13" s="491" customFormat="1" ht="16.5" customHeight="1" x14ac:dyDescent="0.2">
      <c r="A492" s="406" t="s">
        <v>56</v>
      </c>
      <c r="B492" s="553">
        <f>IF($M492&gt;0,('Amounts Pivot Table'!Q$630/$M492),0)</f>
        <v>5374.1791444822538</v>
      </c>
      <c r="C492" s="553">
        <f>IF($M492&gt;0,('Amounts Pivot Table'!Q$633/$M492),0)</f>
        <v>47.243474964864319</v>
      </c>
      <c r="D492" s="553">
        <f>IF($M492&gt;0,('Amounts Pivot Table'!Q$636/$M492),0)</f>
        <v>0</v>
      </c>
      <c r="E492" s="553">
        <f>IF($M492&gt;0,('Amounts Pivot Table'!Q$639/$M492),0)</f>
        <v>1972.311199592709</v>
      </c>
      <c r="F492" s="553">
        <f>SUM(B492:E492)</f>
        <v>7393.7338190398277</v>
      </c>
      <c r="G492" s="554"/>
      <c r="H492" s="555"/>
      <c r="I492" s="555"/>
      <c r="J492" s="555"/>
      <c r="K492" s="555"/>
      <c r="L492" s="654"/>
      <c r="M492" s="841">
        <f>+'[1]NEW-Tables 80-86'!AK191</f>
        <v>28325.901111111107</v>
      </c>
    </row>
    <row r="493" spans="1:13" s="112" customFormat="1" x14ac:dyDescent="0.2">
      <c r="A493" s="110"/>
      <c r="B493" s="190"/>
      <c r="C493" s="190"/>
      <c r="D493" s="190"/>
      <c r="E493" s="190"/>
      <c r="F493" s="190"/>
      <c r="G493" s="191"/>
      <c r="H493" s="192"/>
      <c r="I493" s="192"/>
      <c r="J493" s="192"/>
      <c r="K493" s="192"/>
      <c r="L493" s="175"/>
      <c r="M493" s="841"/>
    </row>
    <row r="494" spans="1:13" s="491" customFormat="1" ht="12.75" customHeight="1" x14ac:dyDescent="0.2">
      <c r="A494" s="406" t="s">
        <v>320</v>
      </c>
      <c r="B494" s="556">
        <f>IF($M494&gt;0,('Amounts Pivot Table'!Q$6/$M494),0)</f>
        <v>7274.4971774705064</v>
      </c>
      <c r="C494" s="556">
        <f>IF($M494&gt;0,('Amounts Pivot Table'!Q$9/$M494),0)</f>
        <v>636.59805911455032</v>
      </c>
      <c r="D494" s="556">
        <f>IF($M494&gt;0,('Amounts Pivot Table'!Q$12/$M494),0)</f>
        <v>0</v>
      </c>
      <c r="E494" s="556">
        <f>IF($M494&gt;0,('Amounts Pivot Table'!Q$15/$M494),0)</f>
        <v>3692.8276037041737</v>
      </c>
      <c r="F494" s="556">
        <f t="shared" ref="F494:F512" si="45">SUM(B494:E494)</f>
        <v>11603.922840289231</v>
      </c>
      <c r="G494" s="557">
        <f>IF(B494&gt;0,RANK(B494,$B$494:$B$512),)</f>
        <v>1</v>
      </c>
      <c r="H494" s="558">
        <f>IF(C494&gt;0,RANK(C494,$C$494:$C$512),)</f>
        <v>1</v>
      </c>
      <c r="I494" s="558">
        <f>IF(D494&gt;0,RANK(D494,$D$494:$D$512),)</f>
        <v>0</v>
      </c>
      <c r="J494" s="558">
        <f>IF(E494&gt;0,RANK(E494,$E$494:$E$512),)</f>
        <v>1</v>
      </c>
      <c r="K494" s="558">
        <f>IF(F494&gt;0,RANK(F494,$F$494:$F$512),)</f>
        <v>1</v>
      </c>
      <c r="L494" s="654"/>
      <c r="M494" s="841">
        <f>+'[1]NEW-Tables 80-86'!AK193</f>
        <v>2102.1333333333332</v>
      </c>
    </row>
    <row r="495" spans="1:13" s="491" customFormat="1" ht="12.75" customHeight="1" x14ac:dyDescent="0.2">
      <c r="A495" s="406" t="s">
        <v>334</v>
      </c>
      <c r="B495" s="556">
        <f>IF($M495&gt;0,('Amounts Pivot Table'!Q$45/$M495),0)</f>
        <v>0</v>
      </c>
      <c r="C495" s="556">
        <f>IF($M495&gt;0,('Amounts Pivot Table'!Q$48/$M495),0)</f>
        <v>0</v>
      </c>
      <c r="D495" s="556">
        <f>IF($M495&gt;0,('Amounts Pivot Table'!Q$51/$M495),0)</f>
        <v>0</v>
      </c>
      <c r="E495" s="556">
        <f>IF($M495&gt;0,('Amounts Pivot Table'!Q$54/$M495),0)</f>
        <v>0</v>
      </c>
      <c r="F495" s="556">
        <f t="shared" si="45"/>
        <v>0</v>
      </c>
      <c r="G495" s="557">
        <f>IF(B495&gt;0,RANK(B495,$B$494:$B$512),)</f>
        <v>0</v>
      </c>
      <c r="H495" s="558">
        <f>IF(C495&gt;0,RANK(C495,$C$494:$C$512),)</f>
        <v>0</v>
      </c>
      <c r="I495" s="558">
        <f>IF(D495&gt;0,RANK(D495,$D$494:$D$512),)</f>
        <v>0</v>
      </c>
      <c r="J495" s="558">
        <f>IF(E495&gt;0,RANK(E495,$E$494:$E$512),)</f>
        <v>0</v>
      </c>
      <c r="K495" s="558">
        <f>IF(F495&gt;0,RANK(F495,$F$494:$F$512),)</f>
        <v>0</v>
      </c>
      <c r="L495" s="654"/>
      <c r="M495" s="841">
        <f>+'[1]NEW-Tables 80-86'!AK194</f>
        <v>0</v>
      </c>
    </row>
    <row r="496" spans="1:13" s="491" customFormat="1" ht="12.75" customHeight="1" x14ac:dyDescent="0.2">
      <c r="A496" s="406" t="s">
        <v>321</v>
      </c>
      <c r="B496" s="556">
        <f>IF($M496&gt;0,('Amounts Pivot Table'!Q$84/$M496),0)</f>
        <v>0</v>
      </c>
      <c r="C496" s="556">
        <f>IF($M496&gt;0,('Amounts Pivot Table'!Q$87/$M496),0)</f>
        <v>0</v>
      </c>
      <c r="D496" s="556">
        <f>IF($M496&gt;0,('Amounts Pivot Table'!Q$90/$M496),0)</f>
        <v>0</v>
      </c>
      <c r="E496" s="556">
        <f>IF($M496&gt;0,('Amounts Pivot Table'!Q$93/$M496),0)</f>
        <v>0</v>
      </c>
      <c r="F496" s="556">
        <f t="shared" si="45"/>
        <v>0</v>
      </c>
      <c r="G496" s="557">
        <f>IF(B496&gt;0,RANK(B496,$B$494:$B$512),)</f>
        <v>0</v>
      </c>
      <c r="H496" s="558">
        <f>IF(C496&gt;0,RANK(C496,$C$494:$C$512),)</f>
        <v>0</v>
      </c>
      <c r="I496" s="558">
        <f>IF(D496&gt;0,RANK(D496,$D$494:$D$512),)</f>
        <v>0</v>
      </c>
      <c r="J496" s="558">
        <f>IF(E496&gt;0,RANK(E496,$E$494:$E$512),)</f>
        <v>0</v>
      </c>
      <c r="K496" s="558">
        <f>IF(F496&gt;0,RANK(F496,$F$494:$F$512),)</f>
        <v>0</v>
      </c>
      <c r="L496" s="654"/>
      <c r="M496" s="841">
        <f>+'[1]NEW-Tables 80-86'!AK195</f>
        <v>0</v>
      </c>
    </row>
    <row r="497" spans="1:13" s="491" customFormat="1" ht="12.75" customHeight="1" x14ac:dyDescent="0.2">
      <c r="A497" s="406" t="s">
        <v>328</v>
      </c>
      <c r="B497" s="556">
        <f>IF($M497&gt;0,('Amounts Pivot Table'!Q$123/$M497),0)</f>
        <v>0</v>
      </c>
      <c r="C497" s="556">
        <f>IF($M497&gt;0,('Amounts Pivot Table'!Q$126/$M497),0)</f>
        <v>0</v>
      </c>
      <c r="D497" s="556">
        <f>IF($M497&gt;0,('Amounts Pivot Table'!Q$129/$M497),0)</f>
        <v>0</v>
      </c>
      <c r="E497" s="556">
        <f>IF($M497&gt;0,('Amounts Pivot Table'!Q$132/$M497),0)</f>
        <v>0</v>
      </c>
      <c r="F497" s="556">
        <f t="shared" si="45"/>
        <v>0</v>
      </c>
      <c r="G497" s="557">
        <f>IF(B497&gt;0,RANK(B497,$B$494:$B$512),)</f>
        <v>0</v>
      </c>
      <c r="H497" s="558">
        <f>IF(C497&gt;0,RANK(C497,$C$494:$C$512),)</f>
        <v>0</v>
      </c>
      <c r="I497" s="558">
        <f>IF(D497&gt;0,RANK(D497,$D$494:$D$512),)</f>
        <v>0</v>
      </c>
      <c r="J497" s="558">
        <f>IF(E497&gt;0,RANK(E497,$E$494:$E$512),)</f>
        <v>0</v>
      </c>
      <c r="K497" s="558">
        <f>IF(F497&gt;0,RANK(F497,$F$494:$F$512),)</f>
        <v>0</v>
      </c>
      <c r="L497" s="654"/>
      <c r="M497" s="841">
        <f>+'[1]NEW-Tables 80-86'!AK196</f>
        <v>0</v>
      </c>
    </row>
    <row r="498" spans="1:13" s="112" customFormat="1" x14ac:dyDescent="0.2">
      <c r="A498" s="110"/>
      <c r="B498" s="111"/>
      <c r="C498" s="111"/>
      <c r="D498" s="111"/>
      <c r="E498" s="111"/>
      <c r="F498" s="111"/>
      <c r="G498" s="119"/>
      <c r="H498" s="120"/>
      <c r="I498" s="120"/>
      <c r="J498" s="120"/>
      <c r="K498" s="120"/>
      <c r="L498" s="175"/>
      <c r="M498" s="841"/>
    </row>
    <row r="499" spans="1:13" s="491" customFormat="1" ht="12.75" customHeight="1" x14ac:dyDescent="0.2">
      <c r="A499" s="406" t="s">
        <v>329</v>
      </c>
      <c r="B499" s="556">
        <f>IF($M499&gt;0,('Amounts Pivot Table'!Q$162/$M499),0)</f>
        <v>0</v>
      </c>
      <c r="C499" s="556">
        <f>IF($M499&gt;0,('Amounts Pivot Table'!Q$165/$M499),0)</f>
        <v>0</v>
      </c>
      <c r="D499" s="556">
        <f>IF($M499&gt;0,('Amounts Pivot Table'!Q$166/$M499),0)</f>
        <v>0</v>
      </c>
      <c r="E499" s="556">
        <f>IF($M499&gt;0,('Amounts Pivot Table'!Q$171/$M499),0)</f>
        <v>0</v>
      </c>
      <c r="F499" s="556">
        <f t="shared" si="45"/>
        <v>0</v>
      </c>
      <c r="G499" s="557">
        <f>IF(B499&gt;0,RANK(B499,$B$494:$B$512),)</f>
        <v>0</v>
      </c>
      <c r="H499" s="558">
        <f>IF(C499&gt;0,RANK(C499,$C$494:$C$512),)</f>
        <v>0</v>
      </c>
      <c r="I499" s="558">
        <f>IF(D499&gt;0,RANK(D499,$D$494:$D$512),)</f>
        <v>0</v>
      </c>
      <c r="J499" s="558">
        <f>IF(E499&gt;0,RANK(E499,$E$494:$E$512),)</f>
        <v>0</v>
      </c>
      <c r="K499" s="558">
        <f>IF(F499&gt;0,RANK(F499,$F$494:$F$512),)</f>
        <v>0</v>
      </c>
      <c r="L499" s="654"/>
      <c r="M499" s="841">
        <f>+'[1]NEW-Tables 80-86'!AK198</f>
        <v>0</v>
      </c>
    </row>
    <row r="500" spans="1:13" s="491" customFormat="1" ht="12.75" customHeight="1" x14ac:dyDescent="0.2">
      <c r="A500" s="406" t="s">
        <v>322</v>
      </c>
      <c r="B500" s="556">
        <f>IF($M500&gt;0,('Amounts Pivot Table'!Q$201/$M500),0)</f>
        <v>0</v>
      </c>
      <c r="C500" s="556">
        <f>IF($M500&gt;0,('Amounts Pivot Table'!Q$204/$M500),0)</f>
        <v>0</v>
      </c>
      <c r="D500" s="556">
        <f>IF($M500&gt;0,('Amounts Pivot Table'!Q$207/$M500),0)</f>
        <v>0</v>
      </c>
      <c r="E500" s="556">
        <f>IF($M500&gt;0,('Amounts Pivot Table'!Q$210/$M500),0)</f>
        <v>0</v>
      </c>
      <c r="F500" s="556">
        <f t="shared" si="45"/>
        <v>0</v>
      </c>
      <c r="G500" s="557">
        <f>IF(B500&gt;0,RANK(B500,$B$494:$B$512),)</f>
        <v>0</v>
      </c>
      <c r="H500" s="558">
        <f>IF(C500&gt;0,RANK(C500,$C$494:$C$512),)</f>
        <v>0</v>
      </c>
      <c r="I500" s="558">
        <f>IF(D500&gt;0,RANK(D500,$D$494:$D$512),)</f>
        <v>0</v>
      </c>
      <c r="J500" s="558">
        <f>IF(E500&gt;0,RANK(E500,$E$494:$E$512),)</f>
        <v>0</v>
      </c>
      <c r="K500" s="558">
        <f>IF(F500&gt;0,RANK(F500,$F$494:$F$512),)</f>
        <v>0</v>
      </c>
      <c r="L500" s="654"/>
      <c r="M500" s="841">
        <f>+'[1]NEW-Tables 80-86'!AK199</f>
        <v>0</v>
      </c>
    </row>
    <row r="501" spans="1:13" s="491" customFormat="1" ht="12.75" customHeight="1" x14ac:dyDescent="0.2">
      <c r="A501" s="406" t="s">
        <v>330</v>
      </c>
      <c r="B501" s="556">
        <f>IF($M501&gt;0,('Amounts Pivot Table'!Q$240/$M501),0)</f>
        <v>0</v>
      </c>
      <c r="C501" s="556">
        <f>IF($M501&gt;0,('Amounts Pivot Table'!Q$243/$M501),0)</f>
        <v>0</v>
      </c>
      <c r="D501" s="556">
        <f>IF($M501&gt;0,('Amounts Pivot Table'!Q$246/$M501),0)</f>
        <v>0</v>
      </c>
      <c r="E501" s="556">
        <f>IF($M501&gt;0,('Amounts Pivot Table'!Q$249/$M501),0)</f>
        <v>0</v>
      </c>
      <c r="F501" s="556">
        <f t="shared" si="45"/>
        <v>0</v>
      </c>
      <c r="G501" s="557">
        <f>IF(B501&gt;0,RANK(B501,$B$494:$B$512),)</f>
        <v>0</v>
      </c>
      <c r="H501" s="558">
        <f>IF(C501&gt;0,RANK(C501,$C$494:$C$512),)</f>
        <v>0</v>
      </c>
      <c r="I501" s="558">
        <f>IF(D501&gt;0,RANK(D501,$D$494:$D$512),)</f>
        <v>0</v>
      </c>
      <c r="J501" s="558">
        <f>IF(E501&gt;0,RANK(E501,$E$494:$E$512),)</f>
        <v>0</v>
      </c>
      <c r="K501" s="558">
        <f>IF(F501&gt;0,RANK(F501,$F$494:$F$512),)</f>
        <v>0</v>
      </c>
      <c r="L501" s="654"/>
      <c r="M501" s="841">
        <f>+'[1]NEW-Tables 80-86'!AK200</f>
        <v>0</v>
      </c>
    </row>
    <row r="502" spans="1:13" s="491" customFormat="1" ht="12.75" customHeight="1" x14ac:dyDescent="0.2">
      <c r="A502" s="406" t="s">
        <v>333</v>
      </c>
      <c r="B502" s="556">
        <f>IF($M502&gt;0,('Amounts Pivot Table'!Q$279/$M502),0)</f>
        <v>0</v>
      </c>
      <c r="C502" s="556">
        <f>IF($M502&gt;0,('Amounts Pivot Table'!Q$282/$M502),0)</f>
        <v>0</v>
      </c>
      <c r="D502" s="556">
        <f>IF($M502&gt;0,('Amounts Pivot Table'!Q$285/$M502),0)</f>
        <v>0</v>
      </c>
      <c r="E502" s="556">
        <f>IF($M502&gt;0,('Amounts Pivot Table'!Q$288/$M502),0)</f>
        <v>0</v>
      </c>
      <c r="F502" s="556">
        <f t="shared" si="45"/>
        <v>0</v>
      </c>
      <c r="G502" s="557">
        <f>IF(B502&gt;0,RANK(B502,$B$494:$B$512),)</f>
        <v>0</v>
      </c>
      <c r="H502" s="558">
        <f>IF(C502&gt;0,RANK(C502,$C$494:$C$512),)</f>
        <v>0</v>
      </c>
      <c r="I502" s="558">
        <f>IF(D502&gt;0,RANK(D502,$D$494:$D$512),)</f>
        <v>0</v>
      </c>
      <c r="J502" s="558">
        <f>IF(E502&gt;0,RANK(E502,$E$494:$E$512),)</f>
        <v>0</v>
      </c>
      <c r="K502" s="558">
        <f>IF(F502&gt;0,RANK(F502,$F$494:$F$512),)</f>
        <v>0</v>
      </c>
      <c r="L502" s="654"/>
      <c r="M502" s="841">
        <f>+'[1]NEW-Tables 80-86'!AK201</f>
        <v>0</v>
      </c>
    </row>
    <row r="503" spans="1:13" s="112" customFormat="1" x14ac:dyDescent="0.2">
      <c r="A503" s="110"/>
      <c r="B503" s="111"/>
      <c r="C503" s="111"/>
      <c r="D503" s="111"/>
      <c r="E503" s="111"/>
      <c r="F503" s="111"/>
      <c r="G503" s="119"/>
      <c r="H503" s="120"/>
      <c r="I503" s="120"/>
      <c r="J503" s="120"/>
      <c r="K503" s="120"/>
      <c r="L503" s="175"/>
      <c r="M503" s="841"/>
    </row>
    <row r="504" spans="1:13" s="491" customFormat="1" ht="12.75" customHeight="1" x14ac:dyDescent="0.2">
      <c r="A504" s="406" t="s">
        <v>323</v>
      </c>
      <c r="B504" s="556">
        <f>IF($M504&gt;0,('Amounts Pivot Table'!Q$318/$M504),0)</f>
        <v>0</v>
      </c>
      <c r="C504" s="556">
        <f>IF($M504&gt;0,('Amounts Pivot Table'!Q$321/$M504),0)</f>
        <v>0</v>
      </c>
      <c r="D504" s="556">
        <f>IF($M504&gt;0,('Amounts Pivot Table'!Q$324/$M504),0)</f>
        <v>0</v>
      </c>
      <c r="E504" s="556">
        <f>IF($M504&gt;0,('Amounts Pivot Table'!Q$327/$M504),0)</f>
        <v>0</v>
      </c>
      <c r="F504" s="556">
        <f t="shared" si="45"/>
        <v>0</v>
      </c>
      <c r="G504" s="557">
        <f>IF(B504&gt;0,RANK(B504,$B$494:$B$512),)</f>
        <v>0</v>
      </c>
      <c r="H504" s="558">
        <f>IF(C504&gt;0,RANK(C504,$C$494:$C$512),)</f>
        <v>0</v>
      </c>
      <c r="I504" s="558">
        <f>IF(D504&gt;0,RANK(D504,$D$494:$D$512),)</f>
        <v>0</v>
      </c>
      <c r="J504" s="558">
        <f>IF(E504&gt;0,RANK(E504,$E$494:$E$512),)</f>
        <v>0</v>
      </c>
      <c r="K504" s="558">
        <f>IF(F504&gt;0,RANK(F504,$F$494:$F$512),)</f>
        <v>0</v>
      </c>
      <c r="L504" s="654"/>
      <c r="M504" s="841">
        <f>+'[1]NEW-Tables 80-86'!AK203</f>
        <v>0</v>
      </c>
    </row>
    <row r="505" spans="1:13" s="491" customFormat="1" ht="12.75" customHeight="1" x14ac:dyDescent="0.2">
      <c r="A505" s="406" t="s">
        <v>324</v>
      </c>
      <c r="B505" s="556">
        <f>IF($M505&gt;0,('Amounts Pivot Table'!Q$357/$M505),0)</f>
        <v>0</v>
      </c>
      <c r="C505" s="556">
        <f>IF($M505&gt;0,('Amounts Pivot Table'!Q$360/$M505),0)</f>
        <v>0</v>
      </c>
      <c r="D505" s="556">
        <f>IF($M505&gt;0,('Amounts Pivot Table'!Q$363/$M505),0)</f>
        <v>0</v>
      </c>
      <c r="E505" s="556">
        <f>IF($M505&gt;0,('Amounts Pivot Table'!Q$366/$M505),0)</f>
        <v>0</v>
      </c>
      <c r="F505" s="556">
        <f t="shared" si="45"/>
        <v>0</v>
      </c>
      <c r="G505" s="557">
        <f>IF(B505&gt;0,RANK(B505,$B$494:$B$512),)</f>
        <v>0</v>
      </c>
      <c r="H505" s="558">
        <f>IF(C505&gt;0,RANK(C505,$C$494:$C$512),)</f>
        <v>0</v>
      </c>
      <c r="I505" s="558">
        <f>IF(D505&gt;0,RANK(D505,$D$494:$D$512),)</f>
        <v>0</v>
      </c>
      <c r="J505" s="558">
        <f>IF(E505&gt;0,RANK(E505,$E$494:$E$512),)</f>
        <v>0</v>
      </c>
      <c r="K505" s="558">
        <f>IF(F505&gt;0,RANK(F505,$F$494:$F$512),)</f>
        <v>0</v>
      </c>
      <c r="L505" s="654"/>
      <c r="M505" s="841">
        <f>+'[1]NEW-Tables 80-86'!AK204</f>
        <v>0</v>
      </c>
    </row>
    <row r="506" spans="1:13" s="491" customFormat="1" ht="12.75" customHeight="1" x14ac:dyDescent="0.2">
      <c r="A506" s="406" t="s">
        <v>331</v>
      </c>
      <c r="B506" s="556">
        <f>IF($M506&gt;0,('Amounts Pivot Table'!Q$396/$M506),0)</f>
        <v>5357.2879296196143</v>
      </c>
      <c r="C506" s="556">
        <f>IF($M506&gt;0,('Amounts Pivot Table'!Q$399/$M506),0)</f>
        <v>0</v>
      </c>
      <c r="D506" s="556">
        <f>IF($M506&gt;0,('Amounts Pivot Table'!Q$402/$M506),0)</f>
        <v>0</v>
      </c>
      <c r="E506" s="556">
        <f>IF($M506&gt;0,('Amounts Pivot Table'!Q$405/$M506),0)</f>
        <v>1377.1006380450974</v>
      </c>
      <c r="F506" s="556">
        <f t="shared" si="45"/>
        <v>6734.3885676647114</v>
      </c>
      <c r="G506" s="557">
        <f>IF(B506&gt;0,RANK(B506,$B$494:$B$512),)</f>
        <v>2</v>
      </c>
      <c r="H506" s="558">
        <f>IF(C506&gt;0,RANK(C506,$C$494:$C$512),)</f>
        <v>0</v>
      </c>
      <c r="I506" s="558">
        <f>IF(D506&gt;0,RANK(D506,$D$494:$D$512),)</f>
        <v>0</v>
      </c>
      <c r="J506" s="558">
        <f>IF(E506&gt;0,RANK(E506,$E$494:$E$512),)</f>
        <v>3</v>
      </c>
      <c r="K506" s="558">
        <f>IF(F506&gt;0,RANK(F506,$F$494:$F$512),)</f>
        <v>3</v>
      </c>
      <c r="L506" s="654"/>
      <c r="M506" s="841">
        <f>+'[1]NEW-Tables 80-86'!AK205</f>
        <v>15930.953333333329</v>
      </c>
    </row>
    <row r="507" spans="1:13" s="491" customFormat="1" ht="12.75" customHeight="1" x14ac:dyDescent="0.2">
      <c r="A507" s="406" t="s">
        <v>325</v>
      </c>
      <c r="B507" s="556">
        <f>IF($M507&gt;0,('Amounts Pivot Table'!Q$435/$M507),0)</f>
        <v>0</v>
      </c>
      <c r="C507" s="556">
        <f>IF($M507&gt;0,('Amounts Pivot Table'!Q$438/$M507),0)</f>
        <v>0</v>
      </c>
      <c r="D507" s="556">
        <f>IF($M507&gt;0,('Amounts Pivot Table'!Q$441/$M507),0)</f>
        <v>0</v>
      </c>
      <c r="E507" s="556">
        <f>IF($M507&gt;0,('Amounts Pivot Table'!Q$444/$M507),0)</f>
        <v>0</v>
      </c>
      <c r="F507" s="556">
        <f t="shared" si="45"/>
        <v>0</v>
      </c>
      <c r="G507" s="557">
        <f>IF(B507&gt;0,RANK(B507,$B$494:$B$512),)</f>
        <v>0</v>
      </c>
      <c r="H507" s="558">
        <f>IF(C507&gt;0,RANK(C507,$C$494:$C$512),)</f>
        <v>0</v>
      </c>
      <c r="I507" s="558">
        <f>IF(D507&gt;0,RANK(D507,$D$494:$D$512),)</f>
        <v>0</v>
      </c>
      <c r="J507" s="558">
        <f>IF(E507&gt;0,RANK(E507,$E$494:$E$512),)</f>
        <v>0</v>
      </c>
      <c r="K507" s="558">
        <f>IF(F507&gt;0,RANK(F507,$F$494:$F$512),)</f>
        <v>0</v>
      </c>
      <c r="L507" s="654"/>
      <c r="M507" s="841">
        <f>+'[1]NEW-Tables 80-86'!AK206</f>
        <v>0</v>
      </c>
    </row>
    <row r="508" spans="1:13" s="112" customFormat="1" x14ac:dyDescent="0.2">
      <c r="A508" s="110"/>
      <c r="B508" s="111"/>
      <c r="C508" s="111"/>
      <c r="D508" s="111"/>
      <c r="E508" s="111"/>
      <c r="F508" s="111"/>
      <c r="G508" s="119"/>
      <c r="H508" s="120"/>
      <c r="I508" s="120"/>
      <c r="J508" s="120"/>
      <c r="K508" s="120"/>
      <c r="L508" s="175"/>
      <c r="M508" s="841"/>
    </row>
    <row r="509" spans="1:13" s="491" customFormat="1" ht="12.75" customHeight="1" x14ac:dyDescent="0.2">
      <c r="A509" s="406" t="s">
        <v>90</v>
      </c>
      <c r="B509" s="556">
        <f>IF($M509&gt;0,('Amounts Pivot Table'!Q$474/$M509),0)</f>
        <v>5012.2151019486846</v>
      </c>
      <c r="C509" s="556">
        <f>IF($M509&gt;0,('Amounts Pivot Table'!Q$477/$M509),0)</f>
        <v>0</v>
      </c>
      <c r="D509" s="556">
        <f>IF($M509&gt;0,('Amounts Pivot Table'!Q$480/$M509),0)</f>
        <v>0</v>
      </c>
      <c r="E509" s="556">
        <f>IF($M509&gt;0,('Amounts Pivot Table'!Q$483/$M509),0)</f>
        <v>2542.176402890776</v>
      </c>
      <c r="F509" s="556">
        <f t="shared" si="45"/>
        <v>7554.391504839461</v>
      </c>
      <c r="G509" s="557">
        <f>IF(B509&gt;0,RANK(B509,$B$494:$B$512),)</f>
        <v>3</v>
      </c>
      <c r="H509" s="558">
        <f>IF(C509&gt;0,RANK(C509,$C$494:$C$512),)</f>
        <v>0</v>
      </c>
      <c r="I509" s="558">
        <f>IF(D509&gt;0,RANK(D509,$D$494:$D$512),)</f>
        <v>0</v>
      </c>
      <c r="J509" s="558">
        <f>IF(E509&gt;0,RANK(E509,$E$494:$E$512),)</f>
        <v>2</v>
      </c>
      <c r="K509" s="558">
        <f>IF(F509&gt;0,RANK(F509,$F$494:$F$512),)</f>
        <v>2</v>
      </c>
      <c r="L509" s="654"/>
      <c r="M509" s="841">
        <f>+'[1]NEW-Tables 80-86'!AK208</f>
        <v>10292.814444444444</v>
      </c>
    </row>
    <row r="510" spans="1:13" s="491" customFormat="1" ht="12.75" customHeight="1" x14ac:dyDescent="0.2">
      <c r="A510" s="406" t="s">
        <v>326</v>
      </c>
      <c r="B510" s="556">
        <f>IF($M510&gt;0,('Amounts Pivot Table'!Q$513/$M510),0)</f>
        <v>0</v>
      </c>
      <c r="C510" s="556">
        <f>IF($M510&gt;0,('Amounts Pivot Table'!Q$516/$M510),0)</f>
        <v>0</v>
      </c>
      <c r="D510" s="556">
        <f>IF($M510&gt;0,('Amounts Pivot Table'!Q$519/$M510),0)</f>
        <v>0</v>
      </c>
      <c r="E510" s="556">
        <f>IF($M510&gt;0,('Amounts Pivot Table'!Q$522/$M510),0)</f>
        <v>0</v>
      </c>
      <c r="F510" s="556">
        <f t="shared" si="45"/>
        <v>0</v>
      </c>
      <c r="G510" s="557">
        <f>IF(B510&gt;0,RANK(B510,$B$494:$B$512),)</f>
        <v>0</v>
      </c>
      <c r="H510" s="558">
        <f>IF(C510&gt;0,RANK(C510,$C$494:$C$512),)</f>
        <v>0</v>
      </c>
      <c r="I510" s="558">
        <f>IF(D510&gt;0,RANK(D510,$D$494:$D$512),)</f>
        <v>0</v>
      </c>
      <c r="J510" s="558">
        <f>IF(E510&gt;0,RANK(E510,$E$494:$E$512),)</f>
        <v>0</v>
      </c>
      <c r="K510" s="558">
        <f>IF(F510&gt;0,RANK(F510,$F$494:$F$512),)</f>
        <v>0</v>
      </c>
      <c r="L510" s="654"/>
      <c r="M510" s="841">
        <f>+'[1]NEW-Tables 80-86'!AK209</f>
        <v>0</v>
      </c>
    </row>
    <row r="511" spans="1:13" s="491" customFormat="1" ht="12.75" customHeight="1" x14ac:dyDescent="0.2">
      <c r="A511" s="406" t="s">
        <v>327</v>
      </c>
      <c r="B511" s="556">
        <f>IF($M511&gt;0,('Amounts Pivot Table'!Q$552/$M511),0)</f>
        <v>0</v>
      </c>
      <c r="C511" s="556">
        <f>IF($M511&gt;0,('Amounts Pivot Table'!Q$555/$M511),0)</f>
        <v>0</v>
      </c>
      <c r="D511" s="556">
        <f>IF($M511&gt;0,('Amounts Pivot Table'!Q$558/$M511),0)</f>
        <v>0</v>
      </c>
      <c r="E511" s="556">
        <f>IF($M511&gt;0,('Amounts Pivot Table'!Q$561/$M511),0)</f>
        <v>0</v>
      </c>
      <c r="F511" s="556">
        <f t="shared" si="45"/>
        <v>0</v>
      </c>
      <c r="G511" s="557">
        <f>IF(B511&gt;0,RANK(B511,$B$494:$B$512),)</f>
        <v>0</v>
      </c>
      <c r="H511" s="558">
        <f>IF(C511&gt;0,RANK(C511,$C$494:$C$512),)</f>
        <v>0</v>
      </c>
      <c r="I511" s="558">
        <f>IF(D511&gt;0,RANK(D511,$D$494:$D$512),)</f>
        <v>0</v>
      </c>
      <c r="J511" s="558">
        <f>IF(E511&gt;0,RANK(E511,$E$494:$E$512),)</f>
        <v>0</v>
      </c>
      <c r="K511" s="558">
        <f>IF(F511&gt;0,RANK(F511,$F$494:$F$512),)</f>
        <v>0</v>
      </c>
      <c r="L511" s="654"/>
      <c r="M511" s="841">
        <f>+'[1]NEW-Tables 80-86'!AK210</f>
        <v>0</v>
      </c>
    </row>
    <row r="512" spans="1:13" s="491" customFormat="1" ht="12.75" customHeight="1" x14ac:dyDescent="0.2">
      <c r="A512" s="407" t="s">
        <v>332</v>
      </c>
      <c r="B512" s="562">
        <f>IF($M512&gt;0,('Amounts Pivot Table'!Q$591/$M512),0)</f>
        <v>0</v>
      </c>
      <c r="C512" s="562">
        <f>IF($M512&gt;0,('Amounts Pivot Table'!Q$594/$M512),0)</f>
        <v>0</v>
      </c>
      <c r="D512" s="562">
        <f>IF($M512&gt;0,('Amounts Pivot Table'!Q$597/$M512),0)</f>
        <v>0</v>
      </c>
      <c r="E512" s="562">
        <f>IF($M512&gt;0,('Amounts Pivot Table'!Q$600/$M512),0)</f>
        <v>0</v>
      </c>
      <c r="F512" s="562">
        <f t="shared" si="45"/>
        <v>0</v>
      </c>
      <c r="G512" s="564">
        <f>IF(B512&gt;0,RANK(B512,$B$494:$B$512),)</f>
        <v>0</v>
      </c>
      <c r="H512" s="565">
        <f>IF(C512&gt;0,RANK(C512,$C$494:$C$512),)</f>
        <v>0</v>
      </c>
      <c r="I512" s="565">
        <f>IF(D512&gt;0,RANK(D512,$D$494:$D$512),)</f>
        <v>0</v>
      </c>
      <c r="J512" s="565">
        <f>IF(E512&gt;0,RANK(E512,$E$494:$E$512),)</f>
        <v>0</v>
      </c>
      <c r="K512" s="565">
        <f>IF(F512&gt;0,RANK(F512,$F$494:$F$512),)</f>
        <v>0</v>
      </c>
      <c r="L512" s="654"/>
      <c r="M512" s="841">
        <f>+'[1]NEW-Tables 80-86'!AK211</f>
        <v>0</v>
      </c>
    </row>
    <row r="513" spans="1:13" s="76" customFormat="1" ht="34.5" customHeight="1" x14ac:dyDescent="0.2">
      <c r="A513" s="1558" t="s">
        <v>17</v>
      </c>
      <c r="B513" s="1582"/>
      <c r="C513" s="1582"/>
      <c r="D513" s="1582"/>
      <c r="E513" s="1582"/>
      <c r="F513" s="1582"/>
      <c r="G513" s="1582"/>
      <c r="H513" s="1582"/>
      <c r="I513" s="1582"/>
      <c r="J513" s="1582"/>
      <c r="K513" s="1582"/>
      <c r="L513" s="169"/>
      <c r="M513" s="649"/>
    </row>
    <row r="514" spans="1:13" s="205" customFormat="1" ht="13.5" customHeight="1" x14ac:dyDescent="0.2">
      <c r="A514" s="1558" t="s">
        <v>54</v>
      </c>
      <c r="B514" s="1582"/>
      <c r="C514" s="1582"/>
      <c r="D514" s="1582"/>
      <c r="E514" s="1582"/>
      <c r="F514" s="1582"/>
      <c r="G514" s="1582"/>
      <c r="H514" s="1582"/>
      <c r="I514" s="1582"/>
      <c r="J514" s="1582"/>
      <c r="K514" s="1582"/>
      <c r="L514" s="204"/>
      <c r="M514" s="649"/>
    </row>
    <row r="515" spans="1:13" s="491" customFormat="1" ht="13.5" customHeight="1" x14ac:dyDescent="0.2">
      <c r="A515" s="1558" t="s">
        <v>233</v>
      </c>
      <c r="B515" s="1593"/>
      <c r="C515" s="1593"/>
      <c r="D515" s="1593"/>
      <c r="E515" s="1593"/>
      <c r="F515" s="1593"/>
      <c r="G515" s="1594"/>
      <c r="H515" s="1594"/>
      <c r="I515" s="1594"/>
      <c r="J515" s="1594"/>
      <c r="K515" s="1594"/>
      <c r="L515" s="658"/>
      <c r="M515" s="649"/>
    </row>
    <row r="516" spans="1:13" s="491" customFormat="1" ht="13.5" customHeight="1" x14ac:dyDescent="0.2">
      <c r="A516" s="644"/>
      <c r="B516" s="657"/>
      <c r="C516" s="657"/>
      <c r="D516" s="657"/>
      <c r="E516" s="657"/>
      <c r="F516" s="657"/>
      <c r="G516" s="659"/>
      <c r="H516" s="659"/>
      <c r="I516" s="659"/>
      <c r="J516" s="659"/>
      <c r="K516" s="659"/>
      <c r="L516" s="658"/>
      <c r="M516" s="649"/>
    </row>
    <row r="517" spans="1:13" s="491" customFormat="1" x14ac:dyDescent="0.2">
      <c r="A517" s="644"/>
      <c r="B517" s="657"/>
      <c r="C517" s="657"/>
      <c r="D517" s="657"/>
      <c r="E517" s="657"/>
      <c r="F517" s="657"/>
      <c r="G517" s="659"/>
      <c r="H517" s="659"/>
      <c r="I517" s="659"/>
      <c r="J517" s="659"/>
      <c r="K517" s="535" t="s">
        <v>1898</v>
      </c>
      <c r="L517" s="658"/>
      <c r="M517" s="649"/>
    </row>
    <row r="518" spans="1:13" s="491" customFormat="1" ht="18.75" customHeight="1" x14ac:dyDescent="0.2">
      <c r="A518" s="1557" t="s">
        <v>1919</v>
      </c>
      <c r="B518" s="1557"/>
      <c r="C518" s="1557"/>
      <c r="D518" s="1557"/>
      <c r="E518" s="1557"/>
      <c r="F518" s="1557"/>
      <c r="G518" s="1557"/>
      <c r="H518" s="1557"/>
      <c r="I518" s="1557"/>
      <c r="J518" s="1557"/>
      <c r="K518" s="1557"/>
      <c r="L518" s="655"/>
      <c r="M518" s="649"/>
    </row>
    <row r="519" spans="1:13" s="491" customFormat="1" ht="18.75" x14ac:dyDescent="0.2">
      <c r="A519" s="1557" t="s">
        <v>18</v>
      </c>
      <c r="B519" s="1557"/>
      <c r="C519" s="1557"/>
      <c r="D519" s="1557"/>
      <c r="E519" s="1557"/>
      <c r="F519" s="1557"/>
      <c r="G519" s="1557"/>
      <c r="H519" s="1557"/>
      <c r="I519" s="1557"/>
      <c r="J519" s="1557"/>
      <c r="K519" s="1557"/>
      <c r="L519" s="165"/>
      <c r="M519" s="649"/>
    </row>
    <row r="520" spans="1:13" s="491" customFormat="1" ht="15.75" customHeight="1" x14ac:dyDescent="0.15">
      <c r="A520" s="1557" t="s">
        <v>349</v>
      </c>
      <c r="B520" s="1557"/>
      <c r="C520" s="1557"/>
      <c r="D520" s="1557"/>
      <c r="E520" s="1557"/>
      <c r="F520" s="1557"/>
      <c r="G520" s="1557"/>
      <c r="H520" s="1557"/>
      <c r="I520" s="1557"/>
      <c r="J520" s="1557"/>
      <c r="K520" s="1557"/>
      <c r="L520" s="165"/>
      <c r="M520" s="660"/>
    </row>
    <row r="521" spans="1:13" s="491" customFormat="1" ht="15.75" customHeight="1" x14ac:dyDescent="0.2">
      <c r="A521" s="91"/>
      <c r="B521" s="91"/>
      <c r="C521" s="91"/>
      <c r="D521" s="91"/>
      <c r="E521" s="91"/>
      <c r="F521" s="91"/>
      <c r="G521" s="108"/>
      <c r="H521" s="91"/>
      <c r="I521" s="91"/>
      <c r="J521" s="91"/>
      <c r="K521" s="91"/>
      <c r="L521" s="165"/>
      <c r="M521" s="649"/>
    </row>
    <row r="522" spans="1:13" s="668" customFormat="1" ht="15.75" customHeight="1" x14ac:dyDescent="0.2">
      <c r="A522" s="56"/>
      <c r="B522" s="1595" t="s">
        <v>55</v>
      </c>
      <c r="C522" s="1596"/>
      <c r="D522" s="1596"/>
      <c r="E522" s="1596"/>
      <c r="F522" s="1596"/>
      <c r="G522" s="1597" t="s">
        <v>119</v>
      </c>
      <c r="H522" s="1598"/>
      <c r="I522" s="1598"/>
      <c r="J522" s="1598"/>
      <c r="K522" s="1598"/>
      <c r="L522" s="173"/>
      <c r="M522" s="649"/>
    </row>
    <row r="523" spans="1:13" s="378" customFormat="1" ht="47.25" customHeight="1" x14ac:dyDescent="0.2">
      <c r="A523" s="650"/>
      <c r="B523" s="51" t="s">
        <v>87</v>
      </c>
      <c r="C523" s="52" t="s">
        <v>89</v>
      </c>
      <c r="D523" s="52" t="s">
        <v>88</v>
      </c>
      <c r="E523" s="52" t="s">
        <v>306</v>
      </c>
      <c r="F523" s="52" t="s">
        <v>97</v>
      </c>
      <c r="G523" s="53" t="s">
        <v>87</v>
      </c>
      <c r="H523" s="52" t="s">
        <v>89</v>
      </c>
      <c r="I523" s="52" t="s">
        <v>88</v>
      </c>
      <c r="J523" s="52" t="s">
        <v>306</v>
      </c>
      <c r="K523" s="52" t="s">
        <v>97</v>
      </c>
      <c r="L523" s="652"/>
      <c r="M523" s="661" t="s">
        <v>260</v>
      </c>
    </row>
    <row r="524" spans="1:13" s="491" customFormat="1" ht="14.25" x14ac:dyDescent="0.2">
      <c r="A524" s="406" t="s">
        <v>56</v>
      </c>
      <c r="B524" s="553">
        <f>IF($M524&gt;0,('Amounts Pivot Table'!R$630/$M524),0)</f>
        <v>0</v>
      </c>
      <c r="C524" s="553">
        <f>IF($M524&gt;0,('Amounts Pivot Table'!R$633/$M524),0)</f>
        <v>0</v>
      </c>
      <c r="D524" s="553">
        <f>IF($M524&gt;0,('Amounts Pivot Table'!R$636/$M524),0)</f>
        <v>0</v>
      </c>
      <c r="E524" s="553">
        <f>IF($M524&gt;0,('Amounts Pivot Table'!R$639/$M524),0)</f>
        <v>0</v>
      </c>
      <c r="F524" s="553">
        <f>SUM(B524:E524)</f>
        <v>0</v>
      </c>
      <c r="G524" s="554"/>
      <c r="H524" s="555"/>
      <c r="I524" s="555"/>
      <c r="J524" s="555"/>
      <c r="K524" s="555"/>
      <c r="L524" s="654"/>
      <c r="M524" s="649"/>
    </row>
    <row r="525" spans="1:13" s="112" customFormat="1" x14ac:dyDescent="0.2">
      <c r="A525" s="110"/>
      <c r="B525" s="111"/>
      <c r="C525" s="111"/>
      <c r="D525" s="111"/>
      <c r="E525" s="111"/>
      <c r="F525" s="111">
        <f>SUM(B525:E525)</f>
        <v>0</v>
      </c>
      <c r="G525" s="119"/>
      <c r="H525" s="120"/>
      <c r="I525" s="120"/>
      <c r="J525" s="120"/>
      <c r="K525" s="120"/>
      <c r="L525" s="175"/>
      <c r="M525" s="649">
        <f>+'[1]NEW-Tables 80-86'!AZ194</f>
        <v>0</v>
      </c>
    </row>
    <row r="526" spans="1:13" s="491" customFormat="1" ht="12.75" customHeight="1" x14ac:dyDescent="0.2">
      <c r="A526" s="406" t="s">
        <v>320</v>
      </c>
      <c r="B526" s="556">
        <f>IF($M526&gt;0,('Amounts Pivot Table'!R$6/$M526),0)</f>
        <v>0</v>
      </c>
      <c r="C526" s="556">
        <f>IF($M526&gt;0,('Amounts Pivot Table'!R$9/$M526),0)</f>
        <v>0</v>
      </c>
      <c r="D526" s="556">
        <f>IF($M526&gt;0,('Amounts Pivot Table'!R$12/$M526),0)</f>
        <v>0</v>
      </c>
      <c r="E526" s="556">
        <f>IF($M526&gt;0,('Amounts Pivot Table'!R$15/$M526),0)</f>
        <v>0</v>
      </c>
      <c r="F526" s="556">
        <f t="shared" ref="F526:F544" si="46">SUM(B526:E526)</f>
        <v>0</v>
      </c>
      <c r="G526" s="557">
        <f>IF(B526&gt;0,RANK(B526,$B$526:$B$544),)</f>
        <v>0</v>
      </c>
      <c r="H526" s="558">
        <f>IF(C526&gt;0,RANK(C526,$C$526:$C$544),)</f>
        <v>0</v>
      </c>
      <c r="I526" s="558">
        <f>IF(D526&gt;0,RANK(D526,$D$526:$D$544),)</f>
        <v>0</v>
      </c>
      <c r="J526" s="558">
        <f>IF(E526&gt;0,RANK(E526,$E$526:$E$544),)</f>
        <v>0</v>
      </c>
      <c r="K526" s="558">
        <f>IF(F526&gt;0,RANK(F526,$F$526:$F$544),)</f>
        <v>0</v>
      </c>
      <c r="L526" s="654"/>
      <c r="M526" s="649">
        <f>+'[1]NEW-Tables 80-86'!AZ195</f>
        <v>0</v>
      </c>
    </row>
    <row r="527" spans="1:13" s="491" customFormat="1" ht="12.75" customHeight="1" x14ac:dyDescent="0.2">
      <c r="A527" s="406" t="s">
        <v>334</v>
      </c>
      <c r="B527" s="556">
        <f>IF($M527&gt;0,('Amounts Pivot Table'!R$45/$M527),0)</f>
        <v>0</v>
      </c>
      <c r="C527" s="556">
        <f>IF($M527&gt;0,('Amounts Pivot Table'!R$48/$M527),0)</f>
        <v>0</v>
      </c>
      <c r="D527" s="556">
        <f>IF($M527&gt;0,('Amounts Pivot Table'!R$51/$M527),0)</f>
        <v>0</v>
      </c>
      <c r="E527" s="556">
        <f>IF($M527&gt;0,('Amounts Pivot Table'!R$54/$M527),0)</f>
        <v>0</v>
      </c>
      <c r="F527" s="556">
        <f t="shared" si="46"/>
        <v>0</v>
      </c>
      <c r="G527" s="557">
        <f>IF(B527&gt;0,RANK(B527,$B$526:$B$544),)</f>
        <v>0</v>
      </c>
      <c r="H527" s="558">
        <f>IF(C527&gt;0,RANK(C527,$C$526:$C$544),)</f>
        <v>0</v>
      </c>
      <c r="I527" s="558">
        <f>IF(D527&gt;0,RANK(D527,$D$526:$D$544),)</f>
        <v>0</v>
      </c>
      <c r="J527" s="558">
        <f>IF(E527&gt;0,RANK(E527,$E$526:$E$544),)</f>
        <v>0</v>
      </c>
      <c r="K527" s="558">
        <f>IF(F527&gt;0,RANK(F527,$F$526:$F$544),)</f>
        <v>0</v>
      </c>
      <c r="L527" s="654"/>
      <c r="M527" s="649">
        <f>+'[1]NEW-Tables 80-86'!AZ196</f>
        <v>0</v>
      </c>
    </row>
    <row r="528" spans="1:13" s="491" customFormat="1" ht="12.75" customHeight="1" x14ac:dyDescent="0.2">
      <c r="A528" s="406" t="s">
        <v>321</v>
      </c>
      <c r="B528" s="556">
        <f>IF($M528&gt;0,('Amounts Pivot Table'!R$84/$M528),0)</f>
        <v>0</v>
      </c>
      <c r="C528" s="556">
        <f>IF($M528&gt;0,('Amounts Pivot Table'!R$87/$M528),0)</f>
        <v>0</v>
      </c>
      <c r="D528" s="556">
        <f>IF($M528&gt;0,('Amounts Pivot Table'!R$90/$M528),0)</f>
        <v>0</v>
      </c>
      <c r="E528" s="556">
        <f>IF($M528&gt;0,('Amounts Pivot Table'!R$93/$M528),0)</f>
        <v>0</v>
      </c>
      <c r="F528" s="556">
        <f t="shared" si="46"/>
        <v>0</v>
      </c>
      <c r="G528" s="557">
        <f>IF(B528&gt;0,RANK(B528,$B$526:$B$544),)</f>
        <v>0</v>
      </c>
      <c r="H528" s="558">
        <f>IF(C528&gt;0,RANK(C528,$C$526:$C$544),)</f>
        <v>0</v>
      </c>
      <c r="I528" s="558">
        <f>IF(D528&gt;0,RANK(D528,$D$526:$D$544),)</f>
        <v>0</v>
      </c>
      <c r="J528" s="558">
        <f>IF(E528&gt;0,RANK(E528,$E$526:$E$544),)</f>
        <v>0</v>
      </c>
      <c r="K528" s="558">
        <f>IF(F528&gt;0,RANK(F528,$F$526:$F$544),)</f>
        <v>0</v>
      </c>
      <c r="L528" s="654"/>
      <c r="M528" s="649">
        <f>+'[1]NEW-Tables 80-86'!AZ197</f>
        <v>0</v>
      </c>
    </row>
    <row r="529" spans="1:13" s="491" customFormat="1" ht="12.75" customHeight="1" x14ac:dyDescent="0.2">
      <c r="A529" s="406" t="s">
        <v>328</v>
      </c>
      <c r="B529" s="556">
        <f>IF($M529&gt;0,('Amounts Pivot Table'!R$123/$M529),0)</f>
        <v>0</v>
      </c>
      <c r="C529" s="556">
        <f>IF($M529&gt;0,('Amounts Pivot Table'!R$126/$M529),0)</f>
        <v>0</v>
      </c>
      <c r="D529" s="556">
        <f>IF($M529&gt;0,('Amounts Pivot Table'!R$129/$M529),0)</f>
        <v>0</v>
      </c>
      <c r="E529" s="556">
        <f>IF($M529&gt;0,('Amounts Pivot Table'!R$132/$M529),0)</f>
        <v>0</v>
      </c>
      <c r="F529" s="556">
        <f t="shared" si="46"/>
        <v>0</v>
      </c>
      <c r="G529" s="557">
        <f>IF(B529&gt;0,RANK(B529,$B$526:$B$544),)</f>
        <v>0</v>
      </c>
      <c r="H529" s="558">
        <f>IF(C529&gt;0,RANK(C529,$C$526:$C$544),)</f>
        <v>0</v>
      </c>
      <c r="I529" s="558">
        <f>IF(D529&gt;0,RANK(D529,$D$526:$D$544),)</f>
        <v>0</v>
      </c>
      <c r="J529" s="558">
        <f>IF(E529&gt;0,RANK(E529,$E$526:$E$544),)</f>
        <v>0</v>
      </c>
      <c r="K529" s="558">
        <f>IF(F529&gt;0,RANK(F529,$F$526:$F$544),)</f>
        <v>0</v>
      </c>
      <c r="L529" s="654"/>
      <c r="M529" s="649">
        <f>+'[1]NEW-Tables 80-86'!AZ198</f>
        <v>0</v>
      </c>
    </row>
    <row r="530" spans="1:13" s="112" customFormat="1" x14ac:dyDescent="0.2">
      <c r="A530" s="110"/>
      <c r="B530" s="111"/>
      <c r="C530" s="111"/>
      <c r="D530" s="111"/>
      <c r="E530" s="111"/>
      <c r="F530" s="111">
        <f t="shared" si="46"/>
        <v>0</v>
      </c>
      <c r="G530" s="119"/>
      <c r="H530" s="120"/>
      <c r="I530" s="120"/>
      <c r="J530" s="120"/>
      <c r="K530" s="120"/>
      <c r="L530" s="175"/>
      <c r="M530" s="649">
        <f>+'[1]NEW-Tables 80-86'!AZ199</f>
        <v>0</v>
      </c>
    </row>
    <row r="531" spans="1:13" s="491" customFormat="1" ht="12.75" customHeight="1" x14ac:dyDescent="0.2">
      <c r="A531" s="406" t="s">
        <v>329</v>
      </c>
      <c r="B531" s="556">
        <f>IF($M531&gt;0,('Amounts Pivot Table'!R$162/$M531),0)</f>
        <v>0</v>
      </c>
      <c r="C531" s="556">
        <f>IF($M531&gt;0,('Amounts Pivot Table'!R$165/$M531),0)</f>
        <v>0</v>
      </c>
      <c r="D531" s="556">
        <f>IF($M531&gt;0,('Amounts Pivot Table'!R$168/$M531),0)</f>
        <v>0</v>
      </c>
      <c r="E531" s="556">
        <f>IF($M531&gt;0,('Amounts Pivot Table'!R$171/$M531),0)</f>
        <v>0</v>
      </c>
      <c r="F531" s="556">
        <f t="shared" si="46"/>
        <v>0</v>
      </c>
      <c r="G531" s="557">
        <f>IF(B531&gt;0,RANK(B531,$B$526:$B$544),)</f>
        <v>0</v>
      </c>
      <c r="H531" s="558">
        <f>IF(C531&gt;0,RANK(C531,$C$526:$C$544),)</f>
        <v>0</v>
      </c>
      <c r="I531" s="558">
        <f>IF(D531&gt;0,RANK(D531,$D$526:$D$544),)</f>
        <v>0</v>
      </c>
      <c r="J531" s="558">
        <f>IF(E531&gt;0,RANK(E531,$E$526:$E$544),)</f>
        <v>0</v>
      </c>
      <c r="K531" s="558">
        <f>IF(F531&gt;0,RANK(F531,$F$526:$F$544),)</f>
        <v>0</v>
      </c>
      <c r="L531" s="654"/>
      <c r="M531" s="649">
        <f>+'[1]NEW-Tables 80-86'!AZ200</f>
        <v>0</v>
      </c>
    </row>
    <row r="532" spans="1:13" s="491" customFormat="1" ht="12.75" customHeight="1" x14ac:dyDescent="0.2">
      <c r="A532" s="406" t="s">
        <v>322</v>
      </c>
      <c r="B532" s="556">
        <f>IF($M532&gt;0,('Amounts Pivot Table'!R$201/$M532),0)</f>
        <v>0</v>
      </c>
      <c r="C532" s="556">
        <f>IF($M532&gt;0,('Amounts Pivot Table'!R$204/$M532),0)</f>
        <v>0</v>
      </c>
      <c r="D532" s="556">
        <f>IF($M532&gt;0,('Amounts Pivot Table'!R$207/$M532),0)</f>
        <v>0</v>
      </c>
      <c r="E532" s="556">
        <f>IF($M532&gt;0,('Amounts Pivot Table'!R$210/$M532),0)</f>
        <v>0</v>
      </c>
      <c r="F532" s="556">
        <f t="shared" si="46"/>
        <v>0</v>
      </c>
      <c r="G532" s="557">
        <f>IF(B532&gt;0,RANK(B532,$B$526:$B$544),)</f>
        <v>0</v>
      </c>
      <c r="H532" s="558">
        <f>IF(C532&gt;0,RANK(C532,$C$526:$C$544),)</f>
        <v>0</v>
      </c>
      <c r="I532" s="558">
        <f>IF(D532&gt;0,RANK(D532,$D$526:$D$544),)</f>
        <v>0</v>
      </c>
      <c r="J532" s="558">
        <f>IF(E532&gt;0,RANK(E532,$E$526:$E$544),)</f>
        <v>0</v>
      </c>
      <c r="K532" s="558">
        <f>IF(F532&gt;0,RANK(F532,$F$526:$F$544),)</f>
        <v>0</v>
      </c>
      <c r="L532" s="654"/>
      <c r="M532" s="649">
        <f>+'[1]NEW-Tables 80-86'!AZ201</f>
        <v>0</v>
      </c>
    </row>
    <row r="533" spans="1:13" s="491" customFormat="1" ht="12.75" customHeight="1" x14ac:dyDescent="0.2">
      <c r="A533" s="406" t="s">
        <v>330</v>
      </c>
      <c r="B533" s="556">
        <f>IF($M533&gt;0,('Amounts Pivot Table'!R$240/$M533),0)</f>
        <v>0</v>
      </c>
      <c r="C533" s="556">
        <f>IF($M533&gt;0,('Amounts Pivot Table'!R$243/$M533),0)</f>
        <v>0</v>
      </c>
      <c r="D533" s="556">
        <f>IF($M533&gt;0,('Amounts Pivot Table'!R$246/$M533),0)</f>
        <v>0</v>
      </c>
      <c r="E533" s="556">
        <f>IF($M533&gt;0,('Amounts Pivot Table'!R$249/$M533),0)</f>
        <v>0</v>
      </c>
      <c r="F533" s="556">
        <f t="shared" si="46"/>
        <v>0</v>
      </c>
      <c r="G533" s="557">
        <f>IF(B533&gt;0,RANK(B533,$B$526:$B$544),)</f>
        <v>0</v>
      </c>
      <c r="H533" s="558">
        <f>IF(C533&gt;0,RANK(C533,$C$526:$C$544),)</f>
        <v>0</v>
      </c>
      <c r="I533" s="558">
        <f>IF(D533&gt;0,RANK(D533,$D$526:$D$544),)</f>
        <v>0</v>
      </c>
      <c r="J533" s="558">
        <f>IF(E533&gt;0,RANK(E533,$E$526:$E$544),)</f>
        <v>0</v>
      </c>
      <c r="K533" s="558">
        <f>IF(F533&gt;0,RANK(F533,$F$526:$F$544),)</f>
        <v>0</v>
      </c>
      <c r="L533" s="654"/>
      <c r="M533" s="649">
        <f>+'[1]NEW-Tables 80-86'!AZ202</f>
        <v>0</v>
      </c>
    </row>
    <row r="534" spans="1:13" s="491" customFormat="1" ht="12.75" customHeight="1" x14ac:dyDescent="0.2">
      <c r="A534" s="406" t="s">
        <v>333</v>
      </c>
      <c r="B534" s="556">
        <f>IF($M534&gt;0,('Amounts Pivot Table'!R$279/$M534),0)</f>
        <v>0</v>
      </c>
      <c r="C534" s="556">
        <f>IF($M534&gt;0,('Amounts Pivot Table'!R$282/$M534),0)</f>
        <v>0</v>
      </c>
      <c r="D534" s="556">
        <f>IF($M534&gt;0,('Amounts Pivot Table'!R$285/$M534),0)</f>
        <v>0</v>
      </c>
      <c r="E534" s="556">
        <f>IF($M534&gt;0,('Amounts Pivot Table'!R$288/$M534),0)</f>
        <v>0</v>
      </c>
      <c r="F534" s="556">
        <f t="shared" si="46"/>
        <v>0</v>
      </c>
      <c r="G534" s="557">
        <f>IF(B534&gt;0,RANK(B534,$B$526:$B$544),)</f>
        <v>0</v>
      </c>
      <c r="H534" s="558">
        <f>IF(C534&gt;0,RANK(C534,$C$526:$C$544),)</f>
        <v>0</v>
      </c>
      <c r="I534" s="558">
        <f>IF(D534&gt;0,RANK(D534,$D$526:$D$544),)</f>
        <v>0</v>
      </c>
      <c r="J534" s="558">
        <f>IF(E534&gt;0,RANK(E534,$E$526:$E$544),)</f>
        <v>0</v>
      </c>
      <c r="K534" s="558">
        <f>IF(F534&gt;0,RANK(F534,$F$526:$F$544),)</f>
        <v>0</v>
      </c>
      <c r="L534" s="654"/>
      <c r="M534" s="649">
        <f>+'[1]NEW-Tables 80-86'!AZ203</f>
        <v>0</v>
      </c>
    </row>
    <row r="535" spans="1:13" s="112" customFormat="1" x14ac:dyDescent="0.2">
      <c r="A535" s="110"/>
      <c r="B535" s="111"/>
      <c r="C535" s="111"/>
      <c r="D535" s="111"/>
      <c r="E535" s="111"/>
      <c r="F535" s="111">
        <f>SUM(B535:E535)</f>
        <v>0</v>
      </c>
      <c r="G535" s="119"/>
      <c r="H535" s="120"/>
      <c r="I535" s="120"/>
      <c r="J535" s="120"/>
      <c r="K535" s="120"/>
      <c r="L535" s="175"/>
      <c r="M535" s="649">
        <f>+'[1]NEW-Tables 80-86'!AZ204</f>
        <v>0</v>
      </c>
    </row>
    <row r="536" spans="1:13" s="491" customFormat="1" ht="12.75" customHeight="1" x14ac:dyDescent="0.2">
      <c r="A536" s="406" t="s">
        <v>323</v>
      </c>
      <c r="B536" s="556">
        <f>IF($M536&gt;0,('Amounts Pivot Table'!R$318/$M536),0)</f>
        <v>0</v>
      </c>
      <c r="C536" s="556">
        <f>IF($M536&gt;0,('Amounts Pivot Table'!R$321/$M536),0)</f>
        <v>0</v>
      </c>
      <c r="D536" s="556">
        <f>IF($M536&gt;0,('Amounts Pivot Table'!R$324/$M536),0)</f>
        <v>0</v>
      </c>
      <c r="E536" s="556">
        <f>IF($M536&gt;0,('Amounts Pivot Table'!R$327/$M536),0)</f>
        <v>0</v>
      </c>
      <c r="F536" s="556">
        <f t="shared" si="46"/>
        <v>0</v>
      </c>
      <c r="G536" s="557">
        <f>IF(B536&gt;0,RANK(B536,$B$526:$B$544),)</f>
        <v>0</v>
      </c>
      <c r="H536" s="558">
        <f>IF(C536&gt;0,RANK(C536,$C$526:$C$544),)</f>
        <v>0</v>
      </c>
      <c r="I536" s="558">
        <f>IF(D536&gt;0,RANK(D536,$D$526:$D$544),)</f>
        <v>0</v>
      </c>
      <c r="J536" s="558">
        <f>IF(E536&gt;0,RANK(E536,$E$526:$E$544),)</f>
        <v>0</v>
      </c>
      <c r="K536" s="558">
        <f>IF(F536&gt;0,RANK(F536,$F$526:$F$544),)</f>
        <v>0</v>
      </c>
      <c r="L536" s="654"/>
      <c r="M536" s="649">
        <f>+'[1]NEW-Tables 80-86'!AZ205</f>
        <v>0</v>
      </c>
    </row>
    <row r="537" spans="1:13" s="491" customFormat="1" ht="12.75" customHeight="1" x14ac:dyDescent="0.2">
      <c r="A537" s="406" t="s">
        <v>324</v>
      </c>
      <c r="B537" s="556">
        <f>IF($M537&gt;0,('Amounts Pivot Table'!R$357/$M537),0)</f>
        <v>0</v>
      </c>
      <c r="C537" s="556">
        <f>IF($M537&gt;0,('Amounts Pivot Table'!R$360/$M537),0)</f>
        <v>0</v>
      </c>
      <c r="D537" s="556">
        <f>IF($M537&gt;0,('Amounts Pivot Table'!R$363/$M537),0)</f>
        <v>0</v>
      </c>
      <c r="E537" s="556">
        <f>IF($M537&gt;0,('Amounts Pivot Table'!R$366/$M537),0)</f>
        <v>0</v>
      </c>
      <c r="F537" s="556">
        <f t="shared" si="46"/>
        <v>0</v>
      </c>
      <c r="G537" s="557">
        <f>IF(B537&gt;0,RANK(B537,$B$526:$B$544),)</f>
        <v>0</v>
      </c>
      <c r="H537" s="558">
        <f>IF(C537&gt;0,RANK(C537,$C$526:$C$544),)</f>
        <v>0</v>
      </c>
      <c r="I537" s="558">
        <f>IF(D537&gt;0,RANK(D537,$D$526:$D$544),)</f>
        <v>0</v>
      </c>
      <c r="J537" s="558">
        <f>IF(E537&gt;0,RANK(E537,$E$526:$E$544),)</f>
        <v>0</v>
      </c>
      <c r="K537" s="558">
        <f>IF(F537&gt;0,RANK(F537,$F$526:$F$544),)</f>
        <v>0</v>
      </c>
      <c r="L537" s="654"/>
      <c r="M537" s="649">
        <f>+'[1]NEW-Tables 80-86'!AZ206</f>
        <v>0</v>
      </c>
    </row>
    <row r="538" spans="1:13" s="491" customFormat="1" ht="12.75" customHeight="1" x14ac:dyDescent="0.2">
      <c r="A538" s="406" t="s">
        <v>331</v>
      </c>
      <c r="B538" s="556">
        <f>IF($M538&gt;0,('Amounts Pivot Table'!R$396/$M538),0)</f>
        <v>0</v>
      </c>
      <c r="C538" s="556">
        <f>IF($M538&gt;0,('Amounts Pivot Table'!R$399/$M538),0)</f>
        <v>0</v>
      </c>
      <c r="D538" s="556">
        <f>IF($M538&gt;0,('Amounts Pivot Table'!R$402/$M538),0)</f>
        <v>0</v>
      </c>
      <c r="E538" s="556">
        <f>IF($M538&gt;0,('Amounts Pivot Table'!R$405/$M538),0)</f>
        <v>0</v>
      </c>
      <c r="F538" s="556">
        <f t="shared" si="46"/>
        <v>0</v>
      </c>
      <c r="G538" s="557">
        <f>IF(B538&gt;0,RANK(B538,$B$526:$B$544),)</f>
        <v>0</v>
      </c>
      <c r="H538" s="558">
        <f>IF(C538&gt;0,RANK(C538,$C$526:$C$544),)</f>
        <v>0</v>
      </c>
      <c r="I538" s="558">
        <f>IF(D538&gt;0,RANK(D538,$D$526:$D$544),)</f>
        <v>0</v>
      </c>
      <c r="J538" s="558">
        <f>IF(E538&gt;0,RANK(E538,$E$526:$E$544),)</f>
        <v>0</v>
      </c>
      <c r="K538" s="558">
        <f>IF(F538&gt;0,RANK(F538,$F$526:$F$544),)</f>
        <v>0</v>
      </c>
      <c r="L538" s="654"/>
      <c r="M538" s="649">
        <f>+'[1]NEW-Tables 80-86'!AZ207</f>
        <v>0</v>
      </c>
    </row>
    <row r="539" spans="1:13" s="491" customFormat="1" ht="12.75" customHeight="1" x14ac:dyDescent="0.2">
      <c r="A539" s="406" t="s">
        <v>325</v>
      </c>
      <c r="B539" s="556">
        <f>IF($M539&gt;0,('Amounts Pivot Table'!R$435/$M539),0)</f>
        <v>0</v>
      </c>
      <c r="C539" s="556">
        <f>IF($M539&gt;0,('Amounts Pivot Table'!R$438/$M539),0)</f>
        <v>0</v>
      </c>
      <c r="D539" s="556">
        <f>IF($M539&gt;0,('Amounts Pivot Table'!R$441/$M539),0)</f>
        <v>0</v>
      </c>
      <c r="E539" s="556">
        <f>IF($M539&gt;0,('Amounts Pivot Table'!R$444/$M539),0)</f>
        <v>0</v>
      </c>
      <c r="F539" s="556">
        <f t="shared" si="46"/>
        <v>0</v>
      </c>
      <c r="G539" s="557">
        <f>IF(B539&gt;0,RANK(B539,$B$526:$B$544),)</f>
        <v>0</v>
      </c>
      <c r="H539" s="558">
        <f>IF(C539&gt;0,RANK(C539,$C$526:$C$544),)</f>
        <v>0</v>
      </c>
      <c r="I539" s="558">
        <f>IF(D539&gt;0,RANK(D539,$D$526:$D$544),)</f>
        <v>0</v>
      </c>
      <c r="J539" s="558">
        <f>IF(E539&gt;0,RANK(E539,$E$526:$E$544),)</f>
        <v>0</v>
      </c>
      <c r="K539" s="558">
        <f>IF(F539&gt;0,RANK(F539,$F$526:$F$544),)</f>
        <v>0</v>
      </c>
      <c r="L539" s="654"/>
      <c r="M539" s="649">
        <f>+'[1]NEW-Tables 80-86'!AZ208</f>
        <v>0</v>
      </c>
    </row>
    <row r="540" spans="1:13" s="112" customFormat="1" x14ac:dyDescent="0.2">
      <c r="A540" s="110"/>
      <c r="B540" s="111"/>
      <c r="C540" s="111"/>
      <c r="D540" s="111"/>
      <c r="E540" s="111"/>
      <c r="F540" s="111">
        <f>SUM(B540:E540)</f>
        <v>0</v>
      </c>
      <c r="G540" s="119"/>
      <c r="H540" s="120"/>
      <c r="I540" s="120"/>
      <c r="J540" s="120"/>
      <c r="K540" s="120"/>
      <c r="L540" s="175"/>
      <c r="M540" s="649">
        <f>+'[1]NEW-Tables 80-86'!AZ209</f>
        <v>0</v>
      </c>
    </row>
    <row r="541" spans="1:13" s="491" customFormat="1" ht="12.75" customHeight="1" x14ac:dyDescent="0.2">
      <c r="A541" s="406" t="s">
        <v>90</v>
      </c>
      <c r="B541" s="556">
        <f>IF($M541&gt;0,('Amounts Pivot Table'!R$474/$M541),0)</f>
        <v>0</v>
      </c>
      <c r="C541" s="556">
        <f>IF($M541&gt;0,('Amounts Pivot Table'!R$477/$M541),0)</f>
        <v>0</v>
      </c>
      <c r="D541" s="556">
        <f>IF($M541&gt;0,('Amounts Pivot Table'!R$480/$M541),0)</f>
        <v>0</v>
      </c>
      <c r="E541" s="556">
        <f>IF($M541&gt;0,('Amounts Pivot Table'!R$483/$M541),0)</f>
        <v>0</v>
      </c>
      <c r="F541" s="556">
        <f t="shared" si="46"/>
        <v>0</v>
      </c>
      <c r="G541" s="557">
        <f>IF(B541&gt;0,RANK(B541,$B$526:$B$544),)</f>
        <v>0</v>
      </c>
      <c r="H541" s="558">
        <f>IF(C541&gt;0,RANK(C541,$C$526:$C$544),)</f>
        <v>0</v>
      </c>
      <c r="I541" s="558">
        <f>IF(D541&gt;0,RANK(D541,$D$526:$D$544),)</f>
        <v>0</v>
      </c>
      <c r="J541" s="558">
        <f>IF(E541&gt;0,RANK(E541,$E$526:$E$544),)</f>
        <v>0</v>
      </c>
      <c r="K541" s="558">
        <f>IF(F541&gt;0,RANK(F541,$F$526:$F$544),)</f>
        <v>0</v>
      </c>
      <c r="L541" s="654"/>
      <c r="M541" s="649">
        <f>+'[1]NEW-Tables 80-86'!AZ210</f>
        <v>0</v>
      </c>
    </row>
    <row r="542" spans="1:13" s="76" customFormat="1" ht="12.75" customHeight="1" x14ac:dyDescent="0.2">
      <c r="A542" s="406" t="s">
        <v>326</v>
      </c>
      <c r="B542" s="556">
        <f>IF($M542&gt;0,('Amounts Pivot Table'!R$513/$M542),0)</f>
        <v>0</v>
      </c>
      <c r="C542" s="556">
        <f>IF($M542&gt;0,('Amounts Pivot Table'!R$516/$M542),0)</f>
        <v>0</v>
      </c>
      <c r="D542" s="556">
        <f>IF($M542&gt;0,('Amounts Pivot Table'!R$519/$M542),0)</f>
        <v>0</v>
      </c>
      <c r="E542" s="556">
        <f>IF($M542&gt;0,('Amounts Pivot Table'!R$522/$M542),0)</f>
        <v>0</v>
      </c>
      <c r="F542" s="556">
        <f t="shared" si="46"/>
        <v>0</v>
      </c>
      <c r="G542" s="557">
        <f>IF(B542&gt;0,RANK(B542,$B$526:$B$544),)</f>
        <v>0</v>
      </c>
      <c r="H542" s="558">
        <f>IF(C542&gt;0,RANK(C542,$C$526:$C$544),)</f>
        <v>0</v>
      </c>
      <c r="I542" s="558">
        <f>IF(D542&gt;0,RANK(D542,$D$526:$D$544),)</f>
        <v>0</v>
      </c>
      <c r="J542" s="558">
        <f>IF(E542&gt;0,RANK(E542,$E$526:$E$544),)</f>
        <v>0</v>
      </c>
      <c r="K542" s="558">
        <f>IF(F542&gt;0,RANK(F542,$F$526:$F$544),)</f>
        <v>0</v>
      </c>
      <c r="L542" s="169"/>
      <c r="M542" s="649">
        <f>+'[1]NEW-Tables 80-86'!AZ211</f>
        <v>0</v>
      </c>
    </row>
    <row r="543" spans="1:13" s="491" customFormat="1" ht="12.75" customHeight="1" x14ac:dyDescent="0.2">
      <c r="A543" s="406" t="s">
        <v>327</v>
      </c>
      <c r="B543" s="556">
        <f>IF($M543&gt;0,('Amounts Pivot Table'!R$552/$M543),0)</f>
        <v>0</v>
      </c>
      <c r="C543" s="556">
        <f>IF($M543&gt;0,('Amounts Pivot Table'!R$555/$M543),0)</f>
        <v>0</v>
      </c>
      <c r="D543" s="556">
        <f>IF($M543&gt;0,('Amounts Pivot Table'!R$558/$M543),0)</f>
        <v>0</v>
      </c>
      <c r="E543" s="556">
        <f>IF($M543&gt;0,('Amounts Pivot Table'!R$561/$M543),0)</f>
        <v>0</v>
      </c>
      <c r="F543" s="556">
        <f t="shared" si="46"/>
        <v>0</v>
      </c>
      <c r="G543" s="557">
        <f>IF(B543&gt;0,RANK(B543,$B$526:$B$544),)</f>
        <v>0</v>
      </c>
      <c r="H543" s="558">
        <f>IF(C543&gt;0,RANK(C543,$C$526:$C$544),)</f>
        <v>0</v>
      </c>
      <c r="I543" s="558">
        <f>IF(D543&gt;0,RANK(D543,$D$526:$D$544),)</f>
        <v>0</v>
      </c>
      <c r="J543" s="558">
        <f>IF(E543&gt;0,RANK(E543,$E$526:$E$544),)</f>
        <v>0</v>
      </c>
      <c r="K543" s="558">
        <f>IF(F543&gt;0,RANK(F543,$F$526:$F$544),)</f>
        <v>0</v>
      </c>
      <c r="L543" s="655"/>
      <c r="M543" s="649">
        <f>+'[1]NEW-Tables 80-86'!AZ212</f>
        <v>0</v>
      </c>
    </row>
    <row r="544" spans="1:13" s="491" customFormat="1" ht="15" customHeight="1" x14ac:dyDescent="0.2">
      <c r="A544" s="407" t="s">
        <v>332</v>
      </c>
      <c r="B544" s="562">
        <f>IF($M544&gt;0,('Amounts Pivot Table'!R$591/$M544),0)</f>
        <v>0</v>
      </c>
      <c r="C544" s="562">
        <f>IF($M544&gt;0,('Amounts Pivot Table'!R$594/$M544),0)</f>
        <v>0</v>
      </c>
      <c r="D544" s="562">
        <f>IF($M544&gt;0,('Amounts Pivot Table'!R$597/$M544),0)</f>
        <v>0</v>
      </c>
      <c r="E544" s="562">
        <f>IF($M544&gt;0,('Amounts Pivot Table'!R$600/$M544),0)</f>
        <v>0</v>
      </c>
      <c r="F544" s="563">
        <f t="shared" si="46"/>
        <v>0</v>
      </c>
      <c r="G544" s="564">
        <f>IF(B544&gt;0,RANK(B544,$B$526:$B$544),)</f>
        <v>0</v>
      </c>
      <c r="H544" s="565">
        <f>IF(C544&gt;0,RANK(C544,$C$526:$C$544),)</f>
        <v>0</v>
      </c>
      <c r="I544" s="565">
        <f>IF(D544&gt;0,RANK(D544,$D$526:$D$544),)</f>
        <v>0</v>
      </c>
      <c r="J544" s="565">
        <f>IF(E544&gt;0,RANK(E544,$E$526:$E$544),)</f>
        <v>0</v>
      </c>
      <c r="K544" s="565">
        <f>IF(F544&gt;0,RANK(F544,$F$526:$F$544),)</f>
        <v>0</v>
      </c>
      <c r="L544" s="658"/>
      <c r="M544" s="649">
        <f>+'[1]NEW-Tables 80-86'!AZ213</f>
        <v>0</v>
      </c>
    </row>
    <row r="545" spans="1:13" s="76" customFormat="1" ht="34.5" customHeight="1" x14ac:dyDescent="0.2">
      <c r="A545" s="1558" t="s">
        <v>17</v>
      </c>
      <c r="B545" s="1582"/>
      <c r="C545" s="1582"/>
      <c r="D545" s="1582"/>
      <c r="E545" s="1582"/>
      <c r="F545" s="1582"/>
      <c r="G545" s="1582"/>
      <c r="H545" s="1582"/>
      <c r="I545" s="1582"/>
      <c r="J545" s="1582"/>
      <c r="K545" s="1582"/>
      <c r="L545" s="169"/>
      <c r="M545" s="649"/>
    </row>
    <row r="546" spans="1:13" s="205" customFormat="1" ht="13.5" customHeight="1" x14ac:dyDescent="0.15">
      <c r="A546" s="1558" t="s">
        <v>54</v>
      </c>
      <c r="B546" s="1582"/>
      <c r="C546" s="1582"/>
      <c r="D546" s="1582"/>
      <c r="E546" s="1582"/>
      <c r="F546" s="1582"/>
      <c r="G546" s="1582"/>
      <c r="H546" s="1582"/>
      <c r="I546" s="1582"/>
      <c r="J546" s="1582"/>
      <c r="K546" s="1582"/>
      <c r="L546" s="204"/>
      <c r="M546" s="676"/>
    </row>
    <row r="547" spans="1:13" s="491" customFormat="1" ht="13.5" customHeight="1" x14ac:dyDescent="0.2">
      <c r="A547" s="1558" t="s">
        <v>233</v>
      </c>
      <c r="B547" s="1593"/>
      <c r="C547" s="1593"/>
      <c r="D547" s="1593"/>
      <c r="E547" s="1593"/>
      <c r="F547" s="1593"/>
      <c r="G547" s="1594"/>
      <c r="H547" s="1594"/>
      <c r="I547" s="1594"/>
      <c r="J547" s="1594"/>
      <c r="K547" s="1594"/>
      <c r="L547" s="658"/>
      <c r="M547" s="663"/>
    </row>
    <row r="548" spans="1:13" s="491" customFormat="1" ht="13.5" customHeight="1" x14ac:dyDescent="0.2">
      <c r="A548" s="644"/>
      <c r="B548" s="657"/>
      <c r="C548" s="657"/>
      <c r="D548" s="657"/>
      <c r="E548" s="657"/>
      <c r="F548" s="657"/>
      <c r="G548" s="659"/>
      <c r="H548" s="659"/>
      <c r="I548" s="659"/>
      <c r="J548" s="659"/>
      <c r="K548" s="659"/>
      <c r="L548" s="658"/>
      <c r="M548" s="663"/>
    </row>
    <row r="549" spans="1:13" x14ac:dyDescent="0.2">
      <c r="K549" s="535"/>
    </row>
  </sheetData>
  <mergeCells count="115">
    <mergeCell ref="A29:I29"/>
    <mergeCell ref="A30:I30"/>
    <mergeCell ref="A31:I31"/>
    <mergeCell ref="A2:I2"/>
    <mergeCell ref="B5:E5"/>
    <mergeCell ref="F5:I5"/>
    <mergeCell ref="A65:I65"/>
    <mergeCell ref="A66:I66"/>
    <mergeCell ref="A67:I67"/>
    <mergeCell ref="A92:I92"/>
    <mergeCell ref="A93:I93"/>
    <mergeCell ref="A97:I97"/>
    <mergeCell ref="A33:I33"/>
    <mergeCell ref="A34:I34"/>
    <mergeCell ref="A35:I35"/>
    <mergeCell ref="A60:I60"/>
    <mergeCell ref="A61:I61"/>
    <mergeCell ref="A62:K62"/>
    <mergeCell ref="A131:I131"/>
    <mergeCell ref="A157:I157"/>
    <mergeCell ref="A158:I158"/>
    <mergeCell ref="A159:I159"/>
    <mergeCell ref="A161:I161"/>
    <mergeCell ref="A162:I162"/>
    <mergeCell ref="A98:I98"/>
    <mergeCell ref="A99:I99"/>
    <mergeCell ref="A124:I124"/>
    <mergeCell ref="A125:I125"/>
    <mergeCell ref="A129:I129"/>
    <mergeCell ref="A130:I130"/>
    <mergeCell ref="A195:I195"/>
    <mergeCell ref="A220:I220"/>
    <mergeCell ref="A221:I221"/>
    <mergeCell ref="A225:K225"/>
    <mergeCell ref="A226:K226"/>
    <mergeCell ref="A227:K227"/>
    <mergeCell ref="A163:I163"/>
    <mergeCell ref="A188:I188"/>
    <mergeCell ref="A189:I189"/>
    <mergeCell ref="A190:K190"/>
    <mergeCell ref="A193:I193"/>
    <mergeCell ref="A194:I194"/>
    <mergeCell ref="A259:K259"/>
    <mergeCell ref="B261:F261"/>
    <mergeCell ref="A284:K284"/>
    <mergeCell ref="A285:K285"/>
    <mergeCell ref="A286:K286"/>
    <mergeCell ref="A289:K289"/>
    <mergeCell ref="B229:F229"/>
    <mergeCell ref="A252:K252"/>
    <mergeCell ref="A253:K253"/>
    <mergeCell ref="A254:K254"/>
    <mergeCell ref="A257:K257"/>
    <mergeCell ref="A258:K258"/>
    <mergeCell ref="A319:K319"/>
    <mergeCell ref="A322:K322"/>
    <mergeCell ref="A323:K323"/>
    <mergeCell ref="A324:K324"/>
    <mergeCell ref="B326:F326"/>
    <mergeCell ref="A349:K349"/>
    <mergeCell ref="A290:K290"/>
    <mergeCell ref="A291:K291"/>
    <mergeCell ref="B293:F293"/>
    <mergeCell ref="A316:K316"/>
    <mergeCell ref="A317:K317"/>
    <mergeCell ref="A318:K318"/>
    <mergeCell ref="B359:F359"/>
    <mergeCell ref="A382:K382"/>
    <mergeCell ref="A384:K384"/>
    <mergeCell ref="A385:K385"/>
    <mergeCell ref="A386:K386"/>
    <mergeCell ref="A389:K389"/>
    <mergeCell ref="A350:K350"/>
    <mergeCell ref="A351:K351"/>
    <mergeCell ref="A352:K352"/>
    <mergeCell ref="A355:K355"/>
    <mergeCell ref="A356:K356"/>
    <mergeCell ref="A357:K357"/>
    <mergeCell ref="A419:K419"/>
    <mergeCell ref="A422:K422"/>
    <mergeCell ref="A423:K423"/>
    <mergeCell ref="A424:K424"/>
    <mergeCell ref="B426:F426"/>
    <mergeCell ref="A449:K449"/>
    <mergeCell ref="A390:K390"/>
    <mergeCell ref="A391:K391"/>
    <mergeCell ref="B393:F393"/>
    <mergeCell ref="A416:K416"/>
    <mergeCell ref="A417:K417"/>
    <mergeCell ref="A418:K418"/>
    <mergeCell ref="A481:K481"/>
    <mergeCell ref="A482:K482"/>
    <mergeCell ref="A483:K483"/>
    <mergeCell ref="A486:K486"/>
    <mergeCell ref="A487:K487"/>
    <mergeCell ref="A488:K488"/>
    <mergeCell ref="A450:K450"/>
    <mergeCell ref="A451:K451"/>
    <mergeCell ref="A454:K454"/>
    <mergeCell ref="A455:K455"/>
    <mergeCell ref="A456:K456"/>
    <mergeCell ref="B458:F458"/>
    <mergeCell ref="A547:K547"/>
    <mergeCell ref="A519:K519"/>
    <mergeCell ref="A520:K520"/>
    <mergeCell ref="B522:F522"/>
    <mergeCell ref="G522:K522"/>
    <mergeCell ref="A545:K545"/>
    <mergeCell ref="A546:K546"/>
    <mergeCell ref="B490:F490"/>
    <mergeCell ref="G490:K490"/>
    <mergeCell ref="A513:K513"/>
    <mergeCell ref="A514:K514"/>
    <mergeCell ref="A515:K515"/>
    <mergeCell ref="A518:K518"/>
  </mergeCells>
  <printOptions horizontalCentered="1"/>
  <pageMargins left="0.5" right="0.5" top="0.85" bottom="0.42" header="0.85" footer="0.4"/>
  <pageSetup scale="93" firstPageNumber="117" orientation="landscape" useFirstPageNumber="1" r:id="rId1"/>
  <headerFooter alignWithMargins="0">
    <oddHeader>&amp;R&amp;"Arial,Regular"&amp;8SREB-State Data Exchange</oddHeader>
    <oddFooter>&amp;C&amp;"Arial,Regular"C-&amp;P</oddFooter>
  </headerFooter>
  <rowBreaks count="16" manualBreakCount="16">
    <brk id="32" max="10" man="1"/>
    <brk id="64" max="10" man="1"/>
    <brk id="96" max="10" man="1"/>
    <brk id="128" max="10" man="1"/>
    <brk id="160" max="10" man="1"/>
    <brk id="192" max="10" man="1"/>
    <brk id="224" max="10" man="1"/>
    <brk id="256" max="10" man="1"/>
    <brk id="288" max="10" man="1"/>
    <brk id="321" max="10" man="1"/>
    <brk id="354" max="10" man="1"/>
    <brk id="388" max="10" man="1"/>
    <brk id="421" max="10" man="1"/>
    <brk id="453" max="10" man="1"/>
    <brk id="485" max="10" man="1"/>
    <brk id="517" max="10"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8000"/>
  </sheetPr>
  <dimension ref="A1:AB707"/>
  <sheetViews>
    <sheetView tabSelected="1" zoomScaleNormal="100" workbookViewId="0">
      <pane xSplit="2" ySplit="5" topLeftCell="O6" activePane="bottomRight" state="frozen"/>
      <selection pane="topRight" activeCell="C1" sqref="C1"/>
      <selection pane="bottomLeft" activeCell="A6" sqref="A6"/>
      <selection pane="bottomRight" activeCell="Q12" sqref="Q12:Q13"/>
    </sheetView>
  </sheetViews>
  <sheetFormatPr defaultColWidth="12.75" defaultRowHeight="12.75" x14ac:dyDescent="0.2"/>
  <cols>
    <col min="1" max="1" width="5.375" style="588" customWidth="1"/>
    <col min="2" max="2" width="27.625" style="588" customWidth="1"/>
    <col min="3" max="3" width="12.75" style="589"/>
    <col min="4" max="9" width="12.75" style="588"/>
    <col min="10" max="14" width="12.25" style="588" customWidth="1"/>
    <col min="15" max="15" width="12.75" style="588" customWidth="1"/>
    <col min="16" max="18" width="11" style="588" customWidth="1"/>
    <col min="19" max="19" width="11.75" style="588" customWidth="1"/>
    <col min="20" max="20" width="12.125" style="588" customWidth="1"/>
    <col min="21" max="21" width="11.625" style="588" customWidth="1"/>
    <col min="22" max="22" width="13.125" style="590" customWidth="1"/>
    <col min="23" max="23" width="12.75" style="588"/>
    <col min="24" max="24" width="12.75" style="590"/>
    <col min="25" max="25" width="12.75" style="588"/>
    <col min="26" max="28" width="12.75" style="590"/>
    <col min="29" max="16384" width="12.75" style="588"/>
  </cols>
  <sheetData>
    <row r="1" spans="1:28" x14ac:dyDescent="0.2">
      <c r="A1" s="434"/>
      <c r="B1" s="379"/>
      <c r="C1" s="588"/>
      <c r="D1" s="641"/>
      <c r="V1" s="588"/>
      <c r="X1" s="588"/>
      <c r="Z1" s="588"/>
      <c r="AA1" s="588"/>
      <c r="AB1" s="588"/>
    </row>
    <row r="2" spans="1:28" x14ac:dyDescent="0.2">
      <c r="C2" s="588"/>
      <c r="V2" s="588"/>
      <c r="X2" s="588"/>
      <c r="Z2" s="588"/>
      <c r="AA2" s="588"/>
      <c r="AB2" s="588"/>
    </row>
    <row r="3" spans="1:28" s="214" customFormat="1" x14ac:dyDescent="0.2">
      <c r="A3" s="382"/>
      <c r="B3" s="383"/>
      <c r="C3" s="230" t="s">
        <v>185</v>
      </c>
      <c r="D3" s="213" t="s">
        <v>125</v>
      </c>
      <c r="E3" s="213"/>
      <c r="F3" s="213"/>
      <c r="G3" s="213"/>
      <c r="H3" s="213"/>
      <c r="I3" s="213"/>
      <c r="J3" s="213"/>
      <c r="K3" s="213"/>
      <c r="L3" s="213"/>
      <c r="M3" s="213"/>
      <c r="N3" s="213"/>
      <c r="O3" s="213"/>
      <c r="P3" s="213"/>
      <c r="Q3" s="213"/>
      <c r="R3" s="213"/>
      <c r="S3" s="213"/>
      <c r="T3" s="213"/>
      <c r="U3" s="213"/>
      <c r="V3" s="231"/>
      <c r="W3" s="638"/>
      <c r="X3" s="378"/>
      <c r="Y3" s="180"/>
      <c r="Z3" s="180"/>
      <c r="AA3" s="180"/>
      <c r="AB3" s="180"/>
    </row>
    <row r="4" spans="1:28" s="214" customFormat="1" x14ac:dyDescent="0.2">
      <c r="A4" s="381"/>
      <c r="B4" s="384"/>
      <c r="C4" s="230" t="s">
        <v>186</v>
      </c>
      <c r="D4" s="213"/>
      <c r="E4" s="213"/>
      <c r="F4" s="213"/>
      <c r="G4" s="213"/>
      <c r="H4" s="213"/>
      <c r="I4" s="764" t="s">
        <v>99</v>
      </c>
      <c r="J4" s="232" t="s">
        <v>427</v>
      </c>
      <c r="K4" s="213"/>
      <c r="L4" s="213"/>
      <c r="M4" s="213"/>
      <c r="N4" s="213"/>
      <c r="O4" s="764" t="s">
        <v>428</v>
      </c>
      <c r="P4" s="388" t="s">
        <v>425</v>
      </c>
      <c r="Q4" s="390"/>
      <c r="R4" s="390"/>
      <c r="S4" s="1514" t="s">
        <v>426</v>
      </c>
      <c r="T4" s="232" t="s">
        <v>179</v>
      </c>
      <c r="U4" s="1514" t="s">
        <v>191</v>
      </c>
      <c r="V4" s="230" t="s">
        <v>295</v>
      </c>
      <c r="W4" s="764" t="s">
        <v>335</v>
      </c>
      <c r="X4" s="378"/>
      <c r="Y4" s="180"/>
      <c r="Z4" s="180"/>
      <c r="AA4" s="180"/>
      <c r="AB4" s="180"/>
    </row>
    <row r="5" spans="1:28" s="214" customFormat="1" ht="13.5" thickBot="1" x14ac:dyDescent="0.25">
      <c r="A5" s="380" t="s">
        <v>122</v>
      </c>
      <c r="B5" s="232" t="s">
        <v>118</v>
      </c>
      <c r="C5" s="230">
        <v>1</v>
      </c>
      <c r="D5" s="771">
        <v>2</v>
      </c>
      <c r="E5" s="771">
        <v>3</v>
      </c>
      <c r="F5" s="771">
        <v>4</v>
      </c>
      <c r="G5" s="771">
        <v>5</v>
      </c>
      <c r="H5" s="772">
        <v>6</v>
      </c>
      <c r="I5" s="773"/>
      <c r="J5" s="230">
        <v>7</v>
      </c>
      <c r="K5" s="771">
        <v>8</v>
      </c>
      <c r="L5" s="771">
        <v>9</v>
      </c>
      <c r="M5" s="774">
        <v>10</v>
      </c>
      <c r="N5" s="775">
        <v>11</v>
      </c>
      <c r="O5" s="773"/>
      <c r="P5" s="388">
        <v>12</v>
      </c>
      <c r="Q5" s="642">
        <v>13</v>
      </c>
      <c r="R5" s="642">
        <v>14</v>
      </c>
      <c r="S5" s="1515"/>
      <c r="T5" s="776">
        <v>15</v>
      </c>
      <c r="U5" s="1516"/>
      <c r="V5" s="776"/>
      <c r="W5" s="764"/>
      <c r="X5" s="378"/>
      <c r="Y5" s="180"/>
      <c r="Z5" s="180"/>
      <c r="AA5" s="180"/>
      <c r="AB5" s="180"/>
    </row>
    <row r="6" spans="1:28" ht="13.5" thickTop="1" x14ac:dyDescent="0.2">
      <c r="A6" s="230" t="s">
        <v>142</v>
      </c>
      <c r="B6" s="780" t="s">
        <v>190</v>
      </c>
      <c r="C6" s="781">
        <v>268008680</v>
      </c>
      <c r="D6" s="781">
        <v>83517563</v>
      </c>
      <c r="E6" s="781">
        <v>139971859</v>
      </c>
      <c r="F6" s="781">
        <v>87504635</v>
      </c>
      <c r="G6" s="781">
        <v>29776113</v>
      </c>
      <c r="H6" s="781">
        <v>11178201</v>
      </c>
      <c r="I6" s="782">
        <v>619957051</v>
      </c>
      <c r="J6" s="781"/>
      <c r="K6" s="781">
        <v>77721873</v>
      </c>
      <c r="L6" s="781">
        <v>134191164</v>
      </c>
      <c r="M6" s="781">
        <v>37815728</v>
      </c>
      <c r="N6" s="781"/>
      <c r="O6" s="782">
        <v>249728765</v>
      </c>
      <c r="P6" s="781">
        <v>9011348</v>
      </c>
      <c r="Q6" s="781">
        <v>15291963</v>
      </c>
      <c r="R6" s="781"/>
      <c r="S6" s="782">
        <v>24303311</v>
      </c>
      <c r="T6" s="781"/>
      <c r="U6" s="782"/>
      <c r="V6" s="781"/>
      <c r="W6" s="782">
        <v>893989127</v>
      </c>
      <c r="X6" s="378"/>
      <c r="Y6" s="180"/>
      <c r="Z6" s="180"/>
      <c r="AA6" s="180"/>
      <c r="AB6" s="180"/>
    </row>
    <row r="7" spans="1:28" s="203" customFormat="1" x14ac:dyDescent="0.2">
      <c r="A7" s="636"/>
      <c r="B7" s="389" t="s">
        <v>4</v>
      </c>
      <c r="C7" s="392">
        <v>271873459</v>
      </c>
      <c r="D7" s="392">
        <v>73555179</v>
      </c>
      <c r="E7" s="392">
        <v>132385881</v>
      </c>
      <c r="F7" s="392">
        <v>89651355</v>
      </c>
      <c r="G7" s="392">
        <v>30348923</v>
      </c>
      <c r="H7" s="392">
        <v>11264712</v>
      </c>
      <c r="I7" s="766">
        <v>609079509</v>
      </c>
      <c r="J7" s="392"/>
      <c r="K7" s="392">
        <v>82079803</v>
      </c>
      <c r="L7" s="392">
        <v>137264237</v>
      </c>
      <c r="M7" s="392">
        <v>38922176</v>
      </c>
      <c r="N7" s="392"/>
      <c r="O7" s="766">
        <v>258266216</v>
      </c>
      <c r="P7" s="392">
        <v>9155363</v>
      </c>
      <c r="Q7" s="392">
        <v>15820980</v>
      </c>
      <c r="R7" s="392"/>
      <c r="S7" s="766">
        <v>24976343</v>
      </c>
      <c r="T7" s="392"/>
      <c r="U7" s="766"/>
      <c r="V7" s="392"/>
      <c r="W7" s="766">
        <v>892322068</v>
      </c>
      <c r="X7" s="378"/>
      <c r="Y7" s="180"/>
      <c r="Z7" s="180"/>
      <c r="AA7" s="180"/>
      <c r="AB7" s="180"/>
    </row>
    <row r="8" spans="1:28" s="202" customFormat="1" x14ac:dyDescent="0.2">
      <c r="A8" s="637"/>
      <c r="B8" s="639" t="s">
        <v>116</v>
      </c>
      <c r="C8" s="466">
        <v>1.4420350117018599</v>
      </c>
      <c r="D8" s="763">
        <v>-11.928489819560467</v>
      </c>
      <c r="E8" s="466">
        <v>-5.4196451016628986</v>
      </c>
      <c r="F8" s="466">
        <v>2.453264332797914</v>
      </c>
      <c r="G8" s="466">
        <v>1.9237232206903567</v>
      </c>
      <c r="H8" s="466">
        <v>0.77392596536777247</v>
      </c>
      <c r="I8" s="767">
        <v>-1.7545638012269338</v>
      </c>
      <c r="J8" s="466">
        <v>0</v>
      </c>
      <c r="K8" s="466">
        <v>5.6070830922975832</v>
      </c>
      <c r="L8" s="466">
        <v>2.2900710511759179</v>
      </c>
      <c r="M8" s="466">
        <v>2.9258936916406846</v>
      </c>
      <c r="N8" s="466">
        <v>0</v>
      </c>
      <c r="O8" s="767">
        <v>3.4186894729567894</v>
      </c>
      <c r="P8" s="466">
        <v>1.5981515751028592</v>
      </c>
      <c r="Q8" s="466">
        <v>3.4594446769195035</v>
      </c>
      <c r="R8" s="466">
        <v>0</v>
      </c>
      <c r="S8" s="767">
        <v>2.7693016807462985</v>
      </c>
      <c r="T8" s="466">
        <v>0</v>
      </c>
      <c r="U8" s="767">
        <v>0</v>
      </c>
      <c r="V8" s="466">
        <v>0</v>
      </c>
      <c r="W8" s="767">
        <v>-0.1864741918723582</v>
      </c>
      <c r="X8" s="378"/>
      <c r="Y8" s="180"/>
      <c r="Z8" s="180"/>
      <c r="AA8" s="180"/>
      <c r="AB8" s="180"/>
    </row>
    <row r="9" spans="1:28" x14ac:dyDescent="0.2">
      <c r="A9" s="636"/>
      <c r="B9" s="388" t="s">
        <v>195</v>
      </c>
      <c r="C9" s="391">
        <v>62886435</v>
      </c>
      <c r="D9" s="391">
        <v>658396</v>
      </c>
      <c r="E9" s="391">
        <v>9381433</v>
      </c>
      <c r="F9" s="391">
        <v>535345</v>
      </c>
      <c r="G9" s="391">
        <v>1108871</v>
      </c>
      <c r="H9" s="391">
        <v>214479</v>
      </c>
      <c r="I9" s="765">
        <v>74784959</v>
      </c>
      <c r="J9" s="391"/>
      <c r="K9" s="391">
        <v>4634819</v>
      </c>
      <c r="L9" s="391">
        <v>9316138</v>
      </c>
      <c r="M9" s="391">
        <v>2945575</v>
      </c>
      <c r="N9" s="391"/>
      <c r="O9" s="765">
        <v>16896532</v>
      </c>
      <c r="P9" s="391">
        <v>596978</v>
      </c>
      <c r="Q9" s="391">
        <v>1338214</v>
      </c>
      <c r="R9" s="391"/>
      <c r="S9" s="765">
        <v>1935192</v>
      </c>
      <c r="T9" s="391"/>
      <c r="U9" s="765"/>
      <c r="V9" s="391">
        <v>23777373</v>
      </c>
      <c r="W9" s="765">
        <v>117394056</v>
      </c>
      <c r="X9" s="378"/>
      <c r="Y9" s="180"/>
      <c r="Z9" s="180"/>
      <c r="AA9" s="180"/>
      <c r="AB9" s="180"/>
    </row>
    <row r="10" spans="1:28" s="203" customFormat="1" x14ac:dyDescent="0.2">
      <c r="A10" s="636"/>
      <c r="B10" s="389" t="s">
        <v>242</v>
      </c>
      <c r="C10" s="392">
        <v>65302995</v>
      </c>
      <c r="D10" s="392">
        <v>908396</v>
      </c>
      <c r="E10" s="392">
        <v>9181433</v>
      </c>
      <c r="F10" s="392">
        <v>834345</v>
      </c>
      <c r="G10" s="392">
        <v>1183871</v>
      </c>
      <c r="H10" s="392">
        <v>214479</v>
      </c>
      <c r="I10" s="766">
        <v>77625519</v>
      </c>
      <c r="J10" s="392"/>
      <c r="K10" s="392">
        <v>3875507</v>
      </c>
      <c r="L10" s="392">
        <v>9865007</v>
      </c>
      <c r="M10" s="392">
        <v>2033718</v>
      </c>
      <c r="N10" s="392"/>
      <c r="O10" s="766">
        <v>15774232</v>
      </c>
      <c r="P10" s="392">
        <v>611218</v>
      </c>
      <c r="Q10" s="392">
        <v>1209699</v>
      </c>
      <c r="R10" s="392"/>
      <c r="S10" s="766">
        <v>1820917</v>
      </c>
      <c r="T10" s="392"/>
      <c r="U10" s="766"/>
      <c r="V10" s="392">
        <v>25353431</v>
      </c>
      <c r="W10" s="766">
        <v>120574099</v>
      </c>
      <c r="X10" s="378"/>
      <c r="Y10" s="180"/>
      <c r="Z10" s="180"/>
      <c r="AA10" s="180"/>
      <c r="AB10" s="180"/>
    </row>
    <row r="11" spans="1:28" s="202" customFormat="1" x14ac:dyDescent="0.2">
      <c r="A11" s="636"/>
      <c r="B11" s="639" t="s">
        <v>244</v>
      </c>
      <c r="C11" s="466">
        <v>3.8427365138443608</v>
      </c>
      <c r="D11" s="763">
        <v>37.971069083044249</v>
      </c>
      <c r="E11" s="466">
        <v>-2.1318704722402217</v>
      </c>
      <c r="F11" s="763">
        <v>55.851833864143686</v>
      </c>
      <c r="G11" s="466">
        <v>6.7636361668760383</v>
      </c>
      <c r="H11" s="466">
        <v>0</v>
      </c>
      <c r="I11" s="767">
        <v>3.7983038808646001</v>
      </c>
      <c r="J11" s="466">
        <v>0</v>
      </c>
      <c r="K11" s="466">
        <v>-16.382775681207832</v>
      </c>
      <c r="L11" s="466">
        <v>5.8915937054603527</v>
      </c>
      <c r="M11" s="763">
        <v>-30.956842042725103</v>
      </c>
      <c r="N11" s="466">
        <v>0</v>
      </c>
      <c r="O11" s="767">
        <v>-6.6421914272112161</v>
      </c>
      <c r="P11" s="466">
        <v>2.3853475337449623</v>
      </c>
      <c r="Q11" s="466">
        <v>-9.6034714926013329</v>
      </c>
      <c r="R11" s="466">
        <v>0</v>
      </c>
      <c r="S11" s="767">
        <v>-5.9050988222357264</v>
      </c>
      <c r="T11" s="466">
        <v>0</v>
      </c>
      <c r="U11" s="767">
        <v>0</v>
      </c>
      <c r="V11" s="466">
        <v>6.6283941459807192</v>
      </c>
      <c r="W11" s="767">
        <v>2.708862022792704</v>
      </c>
      <c r="X11" s="378"/>
      <c r="Y11" s="180"/>
      <c r="Z11" s="180"/>
      <c r="AA11" s="180"/>
      <c r="AB11" s="180"/>
    </row>
    <row r="12" spans="1:28" x14ac:dyDescent="0.2">
      <c r="A12" s="636"/>
      <c r="B12" s="388" t="s">
        <v>5</v>
      </c>
      <c r="C12" s="391"/>
      <c r="D12" s="391"/>
      <c r="E12" s="391"/>
      <c r="F12" s="391"/>
      <c r="G12" s="391"/>
      <c r="H12" s="391"/>
      <c r="I12" s="765"/>
      <c r="J12" s="391"/>
      <c r="K12" s="391">
        <v>84550</v>
      </c>
      <c r="L12" s="391">
        <v>1373798</v>
      </c>
      <c r="M12" s="391"/>
      <c r="N12" s="391"/>
      <c r="O12" s="765">
        <v>1458348</v>
      </c>
      <c r="P12" s="391"/>
      <c r="Q12" s="391"/>
      <c r="R12" s="391"/>
      <c r="S12" s="765"/>
      <c r="T12" s="391"/>
      <c r="U12" s="765"/>
      <c r="V12" s="391"/>
      <c r="W12" s="765">
        <v>1458348</v>
      </c>
      <c r="X12" s="378"/>
      <c r="Y12" s="180"/>
      <c r="Z12" s="180"/>
      <c r="AA12" s="180"/>
      <c r="AB12" s="180"/>
    </row>
    <row r="13" spans="1:28" s="203" customFormat="1" x14ac:dyDescent="0.2">
      <c r="A13" s="636"/>
      <c r="B13" s="389" t="s">
        <v>6</v>
      </c>
      <c r="C13" s="392"/>
      <c r="D13" s="392"/>
      <c r="E13" s="392"/>
      <c r="F13" s="392"/>
      <c r="G13" s="392"/>
      <c r="H13" s="392"/>
      <c r="I13" s="766"/>
      <c r="J13" s="392"/>
      <c r="K13" s="392">
        <v>1650000</v>
      </c>
      <c r="L13" s="392">
        <v>985000</v>
      </c>
      <c r="M13" s="1513">
        <v>80000</v>
      </c>
      <c r="N13" s="392"/>
      <c r="O13" s="766">
        <v>2715000</v>
      </c>
      <c r="P13" s="392"/>
      <c r="Q13" s="392">
        <v>3000</v>
      </c>
      <c r="R13" s="392"/>
      <c r="S13" s="766">
        <v>3000</v>
      </c>
      <c r="T13" s="392"/>
      <c r="U13" s="766"/>
      <c r="V13" s="392"/>
      <c r="W13" s="766">
        <v>2718000</v>
      </c>
      <c r="X13" s="378"/>
      <c r="Y13" s="180"/>
      <c r="Z13" s="180"/>
      <c r="AA13" s="180"/>
      <c r="AB13" s="180"/>
    </row>
    <row r="14" spans="1:28" s="202" customFormat="1" x14ac:dyDescent="0.2">
      <c r="A14" s="636"/>
      <c r="B14" s="639" t="s">
        <v>298</v>
      </c>
      <c r="C14" s="466">
        <v>0</v>
      </c>
      <c r="D14" s="466">
        <v>0</v>
      </c>
      <c r="E14" s="466">
        <v>0</v>
      </c>
      <c r="F14" s="466">
        <v>0</v>
      </c>
      <c r="G14" s="466">
        <v>0</v>
      </c>
      <c r="H14" s="466">
        <v>0</v>
      </c>
      <c r="I14" s="767">
        <v>0</v>
      </c>
      <c r="J14" s="466">
        <v>0</v>
      </c>
      <c r="K14" s="763">
        <v>1851.5079834417506</v>
      </c>
      <c r="L14" s="763">
        <v>-28.300958365058037</v>
      </c>
      <c r="M14" s="466">
        <v>0</v>
      </c>
      <c r="N14" s="466">
        <v>0</v>
      </c>
      <c r="O14" s="767">
        <v>86.169556237605832</v>
      </c>
      <c r="P14" s="466">
        <v>0</v>
      </c>
      <c r="Q14" s="466">
        <v>0</v>
      </c>
      <c r="R14" s="466">
        <v>0</v>
      </c>
      <c r="S14" s="767">
        <v>0</v>
      </c>
      <c r="T14" s="466">
        <v>0</v>
      </c>
      <c r="U14" s="767">
        <v>0</v>
      </c>
      <c r="V14" s="466">
        <v>0</v>
      </c>
      <c r="W14" s="767">
        <v>86.375268454442974</v>
      </c>
      <c r="X14" s="378"/>
      <c r="Y14" s="180"/>
      <c r="Z14" s="180"/>
      <c r="AA14" s="180"/>
      <c r="AB14" s="180"/>
    </row>
    <row r="15" spans="1:28" x14ac:dyDescent="0.2">
      <c r="A15" s="636"/>
      <c r="B15" s="388" t="s">
        <v>223</v>
      </c>
      <c r="C15" s="391">
        <v>849737452</v>
      </c>
      <c r="D15" s="391">
        <v>184799396</v>
      </c>
      <c r="E15" s="391">
        <v>230781303</v>
      </c>
      <c r="F15" s="391">
        <v>121164474</v>
      </c>
      <c r="G15" s="391">
        <v>41004558</v>
      </c>
      <c r="H15" s="391">
        <v>14481984</v>
      </c>
      <c r="I15" s="765">
        <v>1441969167</v>
      </c>
      <c r="J15" s="391"/>
      <c r="K15" s="391">
        <v>87168427</v>
      </c>
      <c r="L15" s="391">
        <v>123470275</v>
      </c>
      <c r="M15" s="391">
        <v>33307351</v>
      </c>
      <c r="N15" s="391"/>
      <c r="O15" s="765">
        <v>243946053</v>
      </c>
      <c r="P15" s="391">
        <v>4919973</v>
      </c>
      <c r="Q15" s="391">
        <v>7762816</v>
      </c>
      <c r="R15" s="391"/>
      <c r="S15" s="765">
        <v>12682789</v>
      </c>
      <c r="T15" s="391"/>
      <c r="U15" s="765"/>
      <c r="V15" s="391"/>
      <c r="W15" s="765">
        <v>1698598009</v>
      </c>
      <c r="X15" s="378"/>
      <c r="Y15" s="180"/>
      <c r="Z15" s="180"/>
      <c r="AA15" s="180"/>
      <c r="AB15" s="180"/>
    </row>
    <row r="16" spans="1:28" s="591" customFormat="1" x14ac:dyDescent="0.2">
      <c r="A16" s="636"/>
      <c r="B16" s="389" t="s">
        <v>14</v>
      </c>
      <c r="C16" s="392">
        <v>771256029</v>
      </c>
      <c r="D16" s="392">
        <v>199193107</v>
      </c>
      <c r="E16" s="392">
        <v>242272688</v>
      </c>
      <c r="F16" s="392">
        <v>124951010</v>
      </c>
      <c r="G16" s="392">
        <v>44868222</v>
      </c>
      <c r="H16" s="392">
        <v>16998815</v>
      </c>
      <c r="I16" s="766">
        <v>1399539871</v>
      </c>
      <c r="J16" s="392"/>
      <c r="K16" s="392">
        <v>87060235</v>
      </c>
      <c r="L16" s="392">
        <v>129047896</v>
      </c>
      <c r="M16" s="392">
        <v>33754186</v>
      </c>
      <c r="N16" s="392"/>
      <c r="O16" s="766">
        <v>249862317</v>
      </c>
      <c r="P16" s="392">
        <v>5060716</v>
      </c>
      <c r="Q16" s="392">
        <v>7612612</v>
      </c>
      <c r="R16" s="392"/>
      <c r="S16" s="766">
        <v>12673328</v>
      </c>
      <c r="T16" s="392"/>
      <c r="U16" s="766"/>
      <c r="V16" s="392"/>
      <c r="W16" s="766">
        <v>1662075516</v>
      </c>
      <c r="X16" s="378"/>
      <c r="Y16" s="180"/>
      <c r="Z16" s="180"/>
      <c r="AA16" s="180"/>
      <c r="AB16" s="180"/>
    </row>
    <row r="17" spans="1:28" s="202" customFormat="1" x14ac:dyDescent="0.2">
      <c r="A17" s="636"/>
      <c r="B17" s="639" t="s">
        <v>247</v>
      </c>
      <c r="C17" s="466">
        <v>-9.2359613919900525</v>
      </c>
      <c r="D17" s="466">
        <v>7.7888301106785001</v>
      </c>
      <c r="E17" s="466">
        <v>4.9793396824698579</v>
      </c>
      <c r="F17" s="466">
        <v>3.1251206521145796</v>
      </c>
      <c r="G17" s="466">
        <v>9.4225232229060971</v>
      </c>
      <c r="H17" s="763">
        <v>17.379048340337899</v>
      </c>
      <c r="I17" s="767">
        <v>-2.9424551489040263</v>
      </c>
      <c r="J17" s="466">
        <v>0</v>
      </c>
      <c r="K17" s="466">
        <v>-0.12411833472686158</v>
      </c>
      <c r="L17" s="466">
        <v>4.5173795879210603</v>
      </c>
      <c r="M17" s="466">
        <v>1.3415506985229777</v>
      </c>
      <c r="N17" s="466">
        <v>0</v>
      </c>
      <c r="O17" s="767">
        <v>2.4252345661030228</v>
      </c>
      <c r="P17" s="466">
        <v>2.8606457799666787</v>
      </c>
      <c r="Q17" s="466">
        <v>-1.9349164014708062</v>
      </c>
      <c r="R17" s="466">
        <v>0</v>
      </c>
      <c r="S17" s="767">
        <v>-7.459715682410234E-2</v>
      </c>
      <c r="T17" s="466">
        <v>0</v>
      </c>
      <c r="U17" s="767">
        <v>0</v>
      </c>
      <c r="V17" s="466">
        <v>0</v>
      </c>
      <c r="W17" s="767">
        <v>-2.1501551754144321</v>
      </c>
      <c r="X17" s="378"/>
      <c r="Y17" s="180"/>
      <c r="Z17" s="180"/>
      <c r="AA17" s="180"/>
      <c r="AB17" s="180"/>
    </row>
    <row r="18" spans="1:28" x14ac:dyDescent="0.2">
      <c r="A18" s="636"/>
      <c r="B18" s="388" t="s">
        <v>225</v>
      </c>
      <c r="C18" s="391">
        <v>30325075</v>
      </c>
      <c r="D18" s="391">
        <v>1080000</v>
      </c>
      <c r="E18" s="391">
        <v>31315537</v>
      </c>
      <c r="F18" s="391">
        <v>22299203</v>
      </c>
      <c r="G18" s="391"/>
      <c r="H18" s="391">
        <v>2867842</v>
      </c>
      <c r="I18" s="765">
        <v>87887657</v>
      </c>
      <c r="J18" s="391"/>
      <c r="K18" s="391">
        <v>11888301</v>
      </c>
      <c r="L18" s="391">
        <v>14187474</v>
      </c>
      <c r="M18" s="391">
        <v>2283130</v>
      </c>
      <c r="N18" s="391"/>
      <c r="O18" s="765">
        <v>28358905</v>
      </c>
      <c r="P18" s="391">
        <v>508430</v>
      </c>
      <c r="Q18" s="391">
        <v>436659</v>
      </c>
      <c r="R18" s="391"/>
      <c r="S18" s="765">
        <v>945089</v>
      </c>
      <c r="T18" s="391"/>
      <c r="U18" s="765"/>
      <c r="V18" s="391"/>
      <c r="W18" s="765">
        <v>117191651</v>
      </c>
      <c r="X18" s="378"/>
      <c r="Y18" s="180"/>
      <c r="Z18" s="180"/>
      <c r="AA18" s="180"/>
      <c r="AB18" s="180"/>
    </row>
    <row r="19" spans="1:28" s="591" customFormat="1" x14ac:dyDescent="0.2">
      <c r="A19" s="636"/>
      <c r="B19" s="389" t="s">
        <v>166</v>
      </c>
      <c r="C19" s="392">
        <v>30921099</v>
      </c>
      <c r="D19" s="392">
        <v>1800000</v>
      </c>
      <c r="E19" s="392">
        <v>31426771</v>
      </c>
      <c r="F19" s="392">
        <v>23714906</v>
      </c>
      <c r="G19" s="392"/>
      <c r="H19" s="392">
        <v>1300000</v>
      </c>
      <c r="I19" s="766">
        <v>89162776</v>
      </c>
      <c r="J19" s="392"/>
      <c r="K19" s="392">
        <v>12244902</v>
      </c>
      <c r="L19" s="392">
        <v>10995238</v>
      </c>
      <c r="M19" s="392">
        <v>2014395</v>
      </c>
      <c r="N19" s="392"/>
      <c r="O19" s="766">
        <v>25254535</v>
      </c>
      <c r="P19" s="392">
        <v>512611</v>
      </c>
      <c r="Q19" s="392">
        <v>422897</v>
      </c>
      <c r="R19" s="392"/>
      <c r="S19" s="766">
        <v>935508</v>
      </c>
      <c r="T19" s="392"/>
      <c r="U19" s="766"/>
      <c r="V19" s="392"/>
      <c r="W19" s="766">
        <v>115352819</v>
      </c>
      <c r="X19" s="378"/>
      <c r="Y19" s="180"/>
      <c r="Z19" s="180"/>
      <c r="AA19" s="180"/>
      <c r="AB19" s="180"/>
    </row>
    <row r="20" spans="1:28" s="202" customFormat="1" x14ac:dyDescent="0.2">
      <c r="A20" s="636"/>
      <c r="B20" s="639" t="s">
        <v>175</v>
      </c>
      <c r="C20" s="466">
        <v>1.965449384708859</v>
      </c>
      <c r="D20" s="763">
        <v>66.666666666666657</v>
      </c>
      <c r="E20" s="466">
        <v>0.35520387212264637</v>
      </c>
      <c r="F20" s="466">
        <v>6.348670847115029</v>
      </c>
      <c r="G20" s="466">
        <v>0</v>
      </c>
      <c r="H20" s="763">
        <v>-54.669748193938162</v>
      </c>
      <c r="I20" s="767">
        <v>1.4508510563661972</v>
      </c>
      <c r="J20" s="466">
        <v>0</v>
      </c>
      <c r="K20" s="466">
        <v>2.9995959893680353</v>
      </c>
      <c r="L20" s="763">
        <v>-22.500383084402483</v>
      </c>
      <c r="M20" s="763">
        <v>-11.770464231121311</v>
      </c>
      <c r="N20" s="466">
        <v>0</v>
      </c>
      <c r="O20" s="767">
        <v>-10.946720263000282</v>
      </c>
      <c r="P20" s="466">
        <v>0.82233542473890209</v>
      </c>
      <c r="Q20" s="466">
        <v>-3.1516583878953597</v>
      </c>
      <c r="R20" s="466">
        <v>0</v>
      </c>
      <c r="S20" s="767">
        <v>-1.0137669573976631</v>
      </c>
      <c r="T20" s="466">
        <v>0</v>
      </c>
      <c r="U20" s="767">
        <v>0</v>
      </c>
      <c r="V20" s="466">
        <v>0</v>
      </c>
      <c r="W20" s="767">
        <v>-1.5690810602198957</v>
      </c>
      <c r="X20" s="378"/>
      <c r="Y20" s="180"/>
      <c r="Z20" s="180"/>
      <c r="AA20" s="180"/>
      <c r="AB20" s="180"/>
    </row>
    <row r="21" spans="1:28" x14ac:dyDescent="0.2">
      <c r="A21" s="636"/>
      <c r="B21" s="768" t="s">
        <v>317</v>
      </c>
      <c r="C21" s="765">
        <v>880062527</v>
      </c>
      <c r="D21" s="765">
        <v>185879396</v>
      </c>
      <c r="E21" s="765">
        <v>262096840</v>
      </c>
      <c r="F21" s="765">
        <v>143463677</v>
      </c>
      <c r="G21" s="765">
        <v>41004558</v>
      </c>
      <c r="H21" s="765">
        <v>17349826</v>
      </c>
      <c r="I21" s="765">
        <v>1529856824</v>
      </c>
      <c r="J21" s="765"/>
      <c r="K21" s="765">
        <v>99056728</v>
      </c>
      <c r="L21" s="765">
        <v>137657749</v>
      </c>
      <c r="M21" s="765">
        <v>35590481</v>
      </c>
      <c r="N21" s="765"/>
      <c r="O21" s="765">
        <v>272304958</v>
      </c>
      <c r="P21" s="765">
        <v>5428403</v>
      </c>
      <c r="Q21" s="765">
        <v>8199475</v>
      </c>
      <c r="R21" s="765"/>
      <c r="S21" s="765">
        <v>13627878</v>
      </c>
      <c r="T21" s="765">
        <v>0</v>
      </c>
      <c r="U21" s="765">
        <v>0</v>
      </c>
      <c r="V21" s="765">
        <v>0</v>
      </c>
      <c r="W21" s="765">
        <v>1815789660</v>
      </c>
      <c r="X21" s="378"/>
      <c r="Y21" s="180"/>
      <c r="Z21" s="180"/>
      <c r="AA21" s="180"/>
      <c r="AB21" s="180"/>
    </row>
    <row r="22" spans="1:28" s="203" customFormat="1" x14ac:dyDescent="0.2">
      <c r="A22" s="636"/>
      <c r="B22" s="769" t="s">
        <v>70</v>
      </c>
      <c r="C22" s="766">
        <v>802177128</v>
      </c>
      <c r="D22" s="766">
        <v>200993107</v>
      </c>
      <c r="E22" s="766">
        <v>273699459</v>
      </c>
      <c r="F22" s="766">
        <v>148665916</v>
      </c>
      <c r="G22" s="766">
        <v>44868222</v>
      </c>
      <c r="H22" s="766">
        <v>18298815</v>
      </c>
      <c r="I22" s="766">
        <v>1488702647</v>
      </c>
      <c r="J22" s="766"/>
      <c r="K22" s="766">
        <v>99305137</v>
      </c>
      <c r="L22" s="766">
        <v>140043134</v>
      </c>
      <c r="M22" s="766">
        <v>35768581</v>
      </c>
      <c r="N22" s="766"/>
      <c r="O22" s="766">
        <v>275116852</v>
      </c>
      <c r="P22" s="766">
        <v>5573327</v>
      </c>
      <c r="Q22" s="766">
        <v>8035509</v>
      </c>
      <c r="R22" s="766"/>
      <c r="S22" s="766">
        <v>13608836</v>
      </c>
      <c r="T22" s="766">
        <v>0</v>
      </c>
      <c r="U22" s="766">
        <v>0</v>
      </c>
      <c r="V22" s="766">
        <v>0</v>
      </c>
      <c r="W22" s="766">
        <v>1777428335</v>
      </c>
      <c r="X22" s="378"/>
      <c r="Y22" s="180"/>
      <c r="Z22" s="180"/>
      <c r="AA22" s="180"/>
      <c r="AB22" s="180"/>
    </row>
    <row r="23" spans="1:28" s="202" customFormat="1" x14ac:dyDescent="0.2">
      <c r="A23" s="636"/>
      <c r="B23" s="770" t="s">
        <v>57</v>
      </c>
      <c r="C23" s="767">
        <v>-8.8499847011438533</v>
      </c>
      <c r="D23" s="767">
        <v>8.1309232358383614</v>
      </c>
      <c r="E23" s="767">
        <v>4.4268442915984796</v>
      </c>
      <c r="F23" s="767">
        <v>3.626171522147728</v>
      </c>
      <c r="G23" s="767">
        <v>9.4225232229060971</v>
      </c>
      <c r="H23" s="767">
        <v>5.4697320883794456</v>
      </c>
      <c r="I23" s="767">
        <v>-2.6900672242254222</v>
      </c>
      <c r="J23" s="767">
        <v>0</v>
      </c>
      <c r="K23" s="767">
        <v>0.25077448550491188</v>
      </c>
      <c r="L23" s="767">
        <v>1.7328374300236451</v>
      </c>
      <c r="M23" s="767">
        <v>0.5004147035832418</v>
      </c>
      <c r="N23" s="767">
        <v>0</v>
      </c>
      <c r="O23" s="767">
        <v>1.0326268095346247</v>
      </c>
      <c r="P23" s="767">
        <v>2.6697354636345163</v>
      </c>
      <c r="Q23" s="767">
        <v>-1.9997133962845182</v>
      </c>
      <c r="R23" s="767">
        <v>0</v>
      </c>
      <c r="S23" s="767">
        <v>-0.13972828344955832</v>
      </c>
      <c r="T23" s="767">
        <v>0</v>
      </c>
      <c r="U23" s="767">
        <v>0</v>
      </c>
      <c r="V23" s="767">
        <v>0</v>
      </c>
      <c r="W23" s="767">
        <v>-2.1126524643829065</v>
      </c>
      <c r="X23" s="378"/>
      <c r="Y23" s="180"/>
      <c r="Z23" s="180"/>
      <c r="AA23" s="180"/>
      <c r="AB23" s="180"/>
    </row>
    <row r="24" spans="1:28" x14ac:dyDescent="0.2">
      <c r="A24" s="636"/>
      <c r="B24" s="388" t="s">
        <v>72</v>
      </c>
      <c r="C24" s="391"/>
      <c r="D24" s="391"/>
      <c r="E24" s="391"/>
      <c r="F24" s="391"/>
      <c r="G24" s="391"/>
      <c r="H24" s="391"/>
      <c r="I24" s="765"/>
      <c r="J24" s="391"/>
      <c r="K24" s="391"/>
      <c r="L24" s="391"/>
      <c r="M24" s="391"/>
      <c r="N24" s="391"/>
      <c r="O24" s="765"/>
      <c r="P24" s="391"/>
      <c r="Q24" s="391"/>
      <c r="R24" s="391"/>
      <c r="S24" s="765"/>
      <c r="T24" s="391">
        <v>5875936</v>
      </c>
      <c r="U24" s="765">
        <v>5875936</v>
      </c>
      <c r="V24" s="391">
        <v>73640995</v>
      </c>
      <c r="W24" s="765">
        <v>79516931</v>
      </c>
      <c r="X24" s="378"/>
      <c r="Y24" s="180"/>
      <c r="Z24" s="180"/>
      <c r="AA24" s="180"/>
      <c r="AB24" s="180"/>
    </row>
    <row r="25" spans="1:28" s="203" customFormat="1" x14ac:dyDescent="0.2">
      <c r="A25" s="636"/>
      <c r="B25" s="389" t="s">
        <v>74</v>
      </c>
      <c r="C25" s="392"/>
      <c r="D25" s="392"/>
      <c r="E25" s="392"/>
      <c r="F25" s="392"/>
      <c r="G25" s="392"/>
      <c r="H25" s="392"/>
      <c r="I25" s="766"/>
      <c r="J25" s="392"/>
      <c r="K25" s="392"/>
      <c r="L25" s="392"/>
      <c r="M25" s="392"/>
      <c r="N25" s="392"/>
      <c r="O25" s="766"/>
      <c r="P25" s="392"/>
      <c r="Q25" s="392"/>
      <c r="R25" s="392"/>
      <c r="S25" s="766"/>
      <c r="T25" s="392">
        <v>6125936</v>
      </c>
      <c r="U25" s="766">
        <v>6125936</v>
      </c>
      <c r="V25" s="392">
        <v>81888826</v>
      </c>
      <c r="W25" s="766">
        <v>88014762</v>
      </c>
      <c r="X25" s="378"/>
      <c r="Y25" s="180"/>
      <c r="Z25" s="180"/>
      <c r="AA25" s="180"/>
      <c r="AB25" s="180"/>
    </row>
    <row r="26" spans="1:28" s="202" customFormat="1" x14ac:dyDescent="0.2">
      <c r="A26" s="636"/>
      <c r="B26" s="639" t="s">
        <v>76</v>
      </c>
      <c r="C26" s="466">
        <v>0</v>
      </c>
      <c r="D26" s="466">
        <v>0</v>
      </c>
      <c r="E26" s="466">
        <v>0</v>
      </c>
      <c r="F26" s="466">
        <v>0</v>
      </c>
      <c r="G26" s="466">
        <v>0</v>
      </c>
      <c r="H26" s="466">
        <v>0</v>
      </c>
      <c r="I26" s="767">
        <v>0</v>
      </c>
      <c r="J26" s="466">
        <v>0</v>
      </c>
      <c r="K26" s="466">
        <v>0</v>
      </c>
      <c r="L26" s="466">
        <v>0</v>
      </c>
      <c r="M26" s="466">
        <v>0</v>
      </c>
      <c r="N26" s="466">
        <v>0</v>
      </c>
      <c r="O26" s="767">
        <v>0</v>
      </c>
      <c r="P26" s="466">
        <v>0</v>
      </c>
      <c r="Q26" s="466">
        <v>0</v>
      </c>
      <c r="R26" s="466">
        <v>0</v>
      </c>
      <c r="S26" s="767">
        <v>0</v>
      </c>
      <c r="T26" s="466">
        <v>4.254641303104731</v>
      </c>
      <c r="U26" s="767">
        <v>4.254641303104731</v>
      </c>
      <c r="V26" s="466">
        <v>11.200053720078063</v>
      </c>
      <c r="W26" s="767">
        <v>10.686819640964263</v>
      </c>
      <c r="X26" s="378"/>
      <c r="Y26" s="180"/>
      <c r="Z26" s="180"/>
      <c r="AA26" s="180"/>
      <c r="AB26" s="180"/>
    </row>
    <row r="27" spans="1:28" x14ac:dyDescent="0.2">
      <c r="A27" s="636"/>
      <c r="B27" s="388" t="s">
        <v>240</v>
      </c>
      <c r="C27" s="391"/>
      <c r="D27" s="391"/>
      <c r="E27" s="391"/>
      <c r="F27" s="391"/>
      <c r="G27" s="391"/>
      <c r="H27" s="391"/>
      <c r="I27" s="765"/>
      <c r="J27" s="391"/>
      <c r="K27" s="391"/>
      <c r="L27" s="391"/>
      <c r="M27" s="391"/>
      <c r="N27" s="391"/>
      <c r="O27" s="765"/>
      <c r="P27" s="391"/>
      <c r="Q27" s="391"/>
      <c r="R27" s="391"/>
      <c r="S27" s="765"/>
      <c r="T27" s="391">
        <v>3982157</v>
      </c>
      <c r="U27" s="765">
        <v>3982157</v>
      </c>
      <c r="V27" s="391"/>
      <c r="W27" s="765">
        <v>3982157</v>
      </c>
      <c r="X27" s="378"/>
      <c r="Y27" s="180"/>
      <c r="Z27" s="180"/>
      <c r="AA27" s="180"/>
      <c r="AB27" s="180"/>
    </row>
    <row r="28" spans="1:28" s="203" customFormat="1" x14ac:dyDescent="0.2">
      <c r="A28" s="636"/>
      <c r="B28" s="389" t="s">
        <v>163</v>
      </c>
      <c r="C28" s="392"/>
      <c r="D28" s="392"/>
      <c r="E28" s="392"/>
      <c r="F28" s="392"/>
      <c r="G28" s="392"/>
      <c r="H28" s="392"/>
      <c r="I28" s="766"/>
      <c r="J28" s="392"/>
      <c r="K28" s="392"/>
      <c r="L28" s="392"/>
      <c r="M28" s="392"/>
      <c r="N28" s="392"/>
      <c r="O28" s="766"/>
      <c r="P28" s="392"/>
      <c r="Q28" s="392"/>
      <c r="R28" s="392"/>
      <c r="S28" s="766"/>
      <c r="T28" s="392">
        <v>3747000</v>
      </c>
      <c r="U28" s="766">
        <v>3747000</v>
      </c>
      <c r="V28" s="392"/>
      <c r="W28" s="766">
        <v>3747000</v>
      </c>
      <c r="X28" s="378"/>
      <c r="Y28" s="180"/>
      <c r="Z28" s="180"/>
      <c r="AA28" s="180"/>
      <c r="AB28" s="180"/>
    </row>
    <row r="29" spans="1:28" s="202" customFormat="1" x14ac:dyDescent="0.2">
      <c r="A29" s="636"/>
      <c r="B29" s="639" t="s">
        <v>59</v>
      </c>
      <c r="C29" s="466">
        <v>0</v>
      </c>
      <c r="D29" s="466">
        <v>0</v>
      </c>
      <c r="E29" s="466">
        <v>0</v>
      </c>
      <c r="F29" s="466">
        <v>0</v>
      </c>
      <c r="G29" s="466">
        <v>0</v>
      </c>
      <c r="H29" s="466">
        <v>0</v>
      </c>
      <c r="I29" s="767">
        <v>0</v>
      </c>
      <c r="J29" s="466">
        <v>0</v>
      </c>
      <c r="K29" s="466">
        <v>0</v>
      </c>
      <c r="L29" s="466">
        <v>0</v>
      </c>
      <c r="M29" s="466">
        <v>0</v>
      </c>
      <c r="N29" s="466">
        <v>0</v>
      </c>
      <c r="O29" s="767">
        <v>0</v>
      </c>
      <c r="P29" s="466">
        <v>0</v>
      </c>
      <c r="Q29" s="466">
        <v>0</v>
      </c>
      <c r="R29" s="466">
        <v>0</v>
      </c>
      <c r="S29" s="767">
        <v>0</v>
      </c>
      <c r="T29" s="466">
        <v>-5.905266919410761</v>
      </c>
      <c r="U29" s="767">
        <v>-5.905266919410761</v>
      </c>
      <c r="V29" s="466">
        <v>0</v>
      </c>
      <c r="W29" s="767">
        <v>-5.905266919410761</v>
      </c>
      <c r="X29" s="378"/>
      <c r="Y29" s="180"/>
      <c r="Z29" s="180"/>
      <c r="AA29" s="180"/>
      <c r="AB29" s="180"/>
    </row>
    <row r="30" spans="1:28" x14ac:dyDescent="0.2">
      <c r="A30" s="636"/>
      <c r="B30" s="388" t="s">
        <v>159</v>
      </c>
      <c r="C30" s="391"/>
      <c r="D30" s="391"/>
      <c r="E30" s="391"/>
      <c r="F30" s="391"/>
      <c r="G30" s="391"/>
      <c r="H30" s="391"/>
      <c r="I30" s="765"/>
      <c r="J30" s="391"/>
      <c r="K30" s="391"/>
      <c r="L30" s="391"/>
      <c r="M30" s="391"/>
      <c r="N30" s="391"/>
      <c r="O30" s="765"/>
      <c r="P30" s="391"/>
      <c r="Q30" s="391"/>
      <c r="R30" s="391"/>
      <c r="S30" s="765"/>
      <c r="T30" s="391">
        <v>212502</v>
      </c>
      <c r="U30" s="765">
        <v>212502</v>
      </c>
      <c r="V30" s="391"/>
      <c r="W30" s="765">
        <v>212502</v>
      </c>
      <c r="X30" s="378"/>
      <c r="Y30" s="180"/>
      <c r="Z30" s="180"/>
      <c r="AA30" s="180"/>
      <c r="AB30" s="180"/>
    </row>
    <row r="31" spans="1:28" s="203" customFormat="1" x14ac:dyDescent="0.2">
      <c r="A31" s="636"/>
      <c r="B31" s="389" t="s">
        <v>100</v>
      </c>
      <c r="C31" s="392"/>
      <c r="D31" s="392"/>
      <c r="E31" s="392"/>
      <c r="F31" s="392"/>
      <c r="G31" s="392"/>
      <c r="H31" s="392"/>
      <c r="I31" s="766"/>
      <c r="J31" s="392"/>
      <c r="K31" s="392"/>
      <c r="L31" s="392"/>
      <c r="M31" s="392"/>
      <c r="N31" s="392"/>
      <c r="O31" s="766"/>
      <c r="P31" s="392"/>
      <c r="Q31" s="392"/>
      <c r="R31" s="392"/>
      <c r="S31" s="766"/>
      <c r="T31" s="392">
        <v>177000</v>
      </c>
      <c r="U31" s="766">
        <v>177000</v>
      </c>
      <c r="V31" s="392"/>
      <c r="W31" s="766">
        <v>177000</v>
      </c>
      <c r="X31" s="378"/>
      <c r="Y31" s="180"/>
      <c r="Z31" s="180"/>
      <c r="AA31" s="180"/>
      <c r="AB31" s="180"/>
    </row>
    <row r="32" spans="1:28" s="202" customFormat="1" x14ac:dyDescent="0.2">
      <c r="A32" s="636"/>
      <c r="B32" s="639" t="s">
        <v>110</v>
      </c>
      <c r="C32" s="466">
        <v>0</v>
      </c>
      <c r="D32" s="466">
        <v>0</v>
      </c>
      <c r="E32" s="466">
        <v>0</v>
      </c>
      <c r="F32" s="466">
        <v>0</v>
      </c>
      <c r="G32" s="466">
        <v>0</v>
      </c>
      <c r="H32" s="466">
        <v>0</v>
      </c>
      <c r="I32" s="767">
        <v>0</v>
      </c>
      <c r="J32" s="466">
        <v>0</v>
      </c>
      <c r="K32" s="466">
        <v>0</v>
      </c>
      <c r="L32" s="466">
        <v>0</v>
      </c>
      <c r="M32" s="466">
        <v>0</v>
      </c>
      <c r="N32" s="466">
        <v>0</v>
      </c>
      <c r="O32" s="767">
        <v>0</v>
      </c>
      <c r="P32" s="466">
        <v>0</v>
      </c>
      <c r="Q32" s="466">
        <v>0</v>
      </c>
      <c r="R32" s="466">
        <v>0</v>
      </c>
      <c r="S32" s="767">
        <v>0</v>
      </c>
      <c r="T32" s="466">
        <v>-16.706666290199621</v>
      </c>
      <c r="U32" s="767">
        <v>-16.706666290199621</v>
      </c>
      <c r="V32" s="466">
        <v>0</v>
      </c>
      <c r="W32" s="767">
        <v>-16.706666290199621</v>
      </c>
      <c r="X32" s="378"/>
      <c r="Y32" s="180"/>
      <c r="Z32" s="180"/>
      <c r="AA32" s="180"/>
      <c r="AB32" s="180"/>
    </row>
    <row r="33" spans="1:28" x14ac:dyDescent="0.2">
      <c r="A33" s="636"/>
      <c r="B33" s="388" t="s">
        <v>161</v>
      </c>
      <c r="C33" s="391">
        <v>0</v>
      </c>
      <c r="D33" s="391">
        <v>0</v>
      </c>
      <c r="E33" s="391">
        <v>0</v>
      </c>
      <c r="F33" s="391">
        <v>0</v>
      </c>
      <c r="G33" s="391">
        <v>0</v>
      </c>
      <c r="H33" s="391">
        <v>0</v>
      </c>
      <c r="I33" s="765">
        <v>0</v>
      </c>
      <c r="J33" s="391"/>
      <c r="K33" s="391">
        <v>0</v>
      </c>
      <c r="L33" s="391">
        <v>0</v>
      </c>
      <c r="M33" s="391">
        <v>0</v>
      </c>
      <c r="N33" s="391"/>
      <c r="O33" s="765">
        <v>0</v>
      </c>
      <c r="P33" s="391">
        <v>0</v>
      </c>
      <c r="Q33" s="391">
        <v>0</v>
      </c>
      <c r="R33" s="391"/>
      <c r="S33" s="765">
        <v>0</v>
      </c>
      <c r="T33" s="391">
        <v>4194659</v>
      </c>
      <c r="U33" s="765">
        <v>4194659</v>
      </c>
      <c r="V33" s="391">
        <v>0</v>
      </c>
      <c r="W33" s="765">
        <v>4194659</v>
      </c>
      <c r="X33" s="378"/>
      <c r="Y33" s="180"/>
      <c r="Z33" s="180"/>
      <c r="AA33" s="180"/>
      <c r="AB33" s="180"/>
    </row>
    <row r="34" spans="1:28" s="203" customFormat="1" x14ac:dyDescent="0.2">
      <c r="A34" s="636"/>
      <c r="B34" s="389" t="s">
        <v>102</v>
      </c>
      <c r="C34" s="392">
        <v>0</v>
      </c>
      <c r="D34" s="392">
        <v>0</v>
      </c>
      <c r="E34" s="392">
        <v>0</v>
      </c>
      <c r="F34" s="392">
        <v>0</v>
      </c>
      <c r="G34" s="392">
        <v>0</v>
      </c>
      <c r="H34" s="392">
        <v>0</v>
      </c>
      <c r="I34" s="766">
        <v>0</v>
      </c>
      <c r="J34" s="392"/>
      <c r="K34" s="392">
        <v>0</v>
      </c>
      <c r="L34" s="392">
        <v>0</v>
      </c>
      <c r="M34" s="392">
        <v>0</v>
      </c>
      <c r="N34" s="392"/>
      <c r="O34" s="766">
        <v>0</v>
      </c>
      <c r="P34" s="392">
        <v>0</v>
      </c>
      <c r="Q34" s="392">
        <v>0</v>
      </c>
      <c r="R34" s="392"/>
      <c r="S34" s="766">
        <v>0</v>
      </c>
      <c r="T34" s="392">
        <v>3924000</v>
      </c>
      <c r="U34" s="766">
        <v>3924000</v>
      </c>
      <c r="V34" s="392">
        <v>0</v>
      </c>
      <c r="W34" s="766">
        <v>3924000</v>
      </c>
      <c r="X34" s="378"/>
      <c r="Y34" s="180"/>
      <c r="Z34" s="180"/>
      <c r="AA34" s="180"/>
      <c r="AB34" s="180"/>
    </row>
    <row r="35" spans="1:28" s="202" customFormat="1" x14ac:dyDescent="0.2">
      <c r="A35" s="636"/>
      <c r="B35" s="639" t="s">
        <v>183</v>
      </c>
      <c r="C35" s="466">
        <v>0</v>
      </c>
      <c r="D35" s="466">
        <v>0</v>
      </c>
      <c r="E35" s="466">
        <v>0</v>
      </c>
      <c r="F35" s="466">
        <v>0</v>
      </c>
      <c r="G35" s="466">
        <v>0</v>
      </c>
      <c r="H35" s="466">
        <v>0</v>
      </c>
      <c r="I35" s="767">
        <v>0</v>
      </c>
      <c r="J35" s="466">
        <v>0</v>
      </c>
      <c r="K35" s="466">
        <v>0</v>
      </c>
      <c r="L35" s="466">
        <v>0</v>
      </c>
      <c r="M35" s="466">
        <v>0</v>
      </c>
      <c r="N35" s="466">
        <v>0</v>
      </c>
      <c r="O35" s="767">
        <v>0</v>
      </c>
      <c r="P35" s="466">
        <v>0</v>
      </c>
      <c r="Q35" s="466">
        <v>0</v>
      </c>
      <c r="R35" s="466">
        <v>0</v>
      </c>
      <c r="S35" s="767">
        <v>0</v>
      </c>
      <c r="T35" s="466">
        <v>-6.4524672923353243</v>
      </c>
      <c r="U35" s="767">
        <v>-6.4524672923353243</v>
      </c>
      <c r="V35" s="466">
        <v>0</v>
      </c>
      <c r="W35" s="767">
        <v>-6.4524672923353243</v>
      </c>
      <c r="X35" s="378"/>
      <c r="Y35" s="180"/>
      <c r="Z35" s="180"/>
      <c r="AA35" s="180"/>
      <c r="AB35" s="180"/>
    </row>
    <row r="36" spans="1:28" x14ac:dyDescent="0.2">
      <c r="A36" s="636"/>
      <c r="B36" s="388" t="s">
        <v>78</v>
      </c>
      <c r="C36" s="391">
        <v>26661935</v>
      </c>
      <c r="D36" s="391">
        <v>217203218</v>
      </c>
      <c r="E36" s="391">
        <v>72133226</v>
      </c>
      <c r="F36" s="391"/>
      <c r="G36" s="391"/>
      <c r="H36" s="391"/>
      <c r="I36" s="765">
        <v>315998379</v>
      </c>
      <c r="J36" s="391"/>
      <c r="K36" s="391"/>
      <c r="L36" s="391"/>
      <c r="M36" s="391"/>
      <c r="N36" s="391"/>
      <c r="O36" s="765"/>
      <c r="P36" s="391"/>
      <c r="Q36" s="391"/>
      <c r="R36" s="391"/>
      <c r="S36" s="765"/>
      <c r="T36" s="391"/>
      <c r="U36" s="765"/>
      <c r="V36" s="391"/>
      <c r="W36" s="765">
        <v>315998379</v>
      </c>
      <c r="X36" s="378"/>
      <c r="Y36" s="180"/>
      <c r="Z36" s="180"/>
      <c r="AA36" s="180"/>
      <c r="AB36" s="180"/>
    </row>
    <row r="37" spans="1:28" s="203" customFormat="1" x14ac:dyDescent="0.2">
      <c r="A37" s="636"/>
      <c r="B37" s="389" t="s">
        <v>80</v>
      </c>
      <c r="C37" s="392">
        <v>27686319</v>
      </c>
      <c r="D37" s="392">
        <v>231857341</v>
      </c>
      <c r="E37" s="392">
        <v>83280987</v>
      </c>
      <c r="F37" s="392"/>
      <c r="G37" s="392"/>
      <c r="H37" s="392"/>
      <c r="I37" s="766">
        <v>342824647</v>
      </c>
      <c r="J37" s="392"/>
      <c r="K37" s="392"/>
      <c r="L37" s="392"/>
      <c r="M37" s="392"/>
      <c r="N37" s="392"/>
      <c r="O37" s="766"/>
      <c r="P37" s="392"/>
      <c r="Q37" s="392"/>
      <c r="R37" s="392"/>
      <c r="S37" s="766"/>
      <c r="T37" s="392"/>
      <c r="U37" s="766"/>
      <c r="V37" s="392"/>
      <c r="W37" s="766">
        <v>342824647</v>
      </c>
      <c r="X37" s="378"/>
      <c r="Y37" s="180"/>
      <c r="Z37" s="180"/>
      <c r="AA37" s="180"/>
      <c r="AB37" s="180"/>
    </row>
    <row r="38" spans="1:28" s="202" customFormat="1" x14ac:dyDescent="0.2">
      <c r="A38" s="636"/>
      <c r="B38" s="639" t="s">
        <v>215</v>
      </c>
      <c r="C38" s="466">
        <v>3.8421217364756157</v>
      </c>
      <c r="D38" s="466">
        <v>6.7467338352233801</v>
      </c>
      <c r="E38" s="763">
        <v>15.454405158588083</v>
      </c>
      <c r="F38" s="466">
        <v>0</v>
      </c>
      <c r="G38" s="466">
        <v>0</v>
      </c>
      <c r="H38" s="466">
        <v>0</v>
      </c>
      <c r="I38" s="767">
        <v>8.489368864768764</v>
      </c>
      <c r="J38" s="466">
        <v>0</v>
      </c>
      <c r="K38" s="466">
        <v>0</v>
      </c>
      <c r="L38" s="466">
        <v>0</v>
      </c>
      <c r="M38" s="466">
        <v>0</v>
      </c>
      <c r="N38" s="466">
        <v>0</v>
      </c>
      <c r="O38" s="767">
        <v>0</v>
      </c>
      <c r="P38" s="466">
        <v>0</v>
      </c>
      <c r="Q38" s="466">
        <v>0</v>
      </c>
      <c r="R38" s="466">
        <v>0</v>
      </c>
      <c r="S38" s="767">
        <v>0</v>
      </c>
      <c r="T38" s="466">
        <v>0</v>
      </c>
      <c r="U38" s="767">
        <v>0</v>
      </c>
      <c r="V38" s="466">
        <v>0</v>
      </c>
      <c r="W38" s="767">
        <v>8.489368864768764</v>
      </c>
      <c r="X38" s="378"/>
      <c r="Y38" s="180"/>
      <c r="Z38" s="180"/>
      <c r="AA38" s="180"/>
      <c r="AB38" s="180"/>
    </row>
    <row r="39" spans="1:28" x14ac:dyDescent="0.2">
      <c r="A39" s="636"/>
      <c r="B39" s="388" t="s">
        <v>81</v>
      </c>
      <c r="C39" s="391">
        <v>22543612</v>
      </c>
      <c r="D39" s="391">
        <v>77287037</v>
      </c>
      <c r="E39" s="391">
        <v>46183686</v>
      </c>
      <c r="F39" s="391"/>
      <c r="G39" s="391"/>
      <c r="H39" s="391"/>
      <c r="I39" s="765">
        <v>146014335</v>
      </c>
      <c r="J39" s="391"/>
      <c r="K39" s="391"/>
      <c r="L39" s="391"/>
      <c r="M39" s="391"/>
      <c r="N39" s="391"/>
      <c r="O39" s="765"/>
      <c r="P39" s="391"/>
      <c r="Q39" s="391"/>
      <c r="R39" s="391"/>
      <c r="S39" s="765"/>
      <c r="T39" s="391"/>
      <c r="U39" s="765"/>
      <c r="V39" s="391"/>
      <c r="W39" s="765">
        <v>146014335</v>
      </c>
      <c r="X39" s="378"/>
      <c r="Y39" s="180"/>
      <c r="Z39" s="180"/>
      <c r="AA39" s="180"/>
      <c r="AB39" s="180"/>
    </row>
    <row r="40" spans="1:28" s="203" customFormat="1" x14ac:dyDescent="0.2">
      <c r="A40" s="636"/>
      <c r="B40" s="389" t="s">
        <v>318</v>
      </c>
      <c r="C40" s="392">
        <v>24356920</v>
      </c>
      <c r="D40" s="392">
        <v>78807211</v>
      </c>
      <c r="E40" s="392">
        <v>46631094</v>
      </c>
      <c r="F40" s="392"/>
      <c r="G40" s="392"/>
      <c r="H40" s="392"/>
      <c r="I40" s="766">
        <v>149795225</v>
      </c>
      <c r="J40" s="392"/>
      <c r="K40" s="392"/>
      <c r="L40" s="392"/>
      <c r="M40" s="392"/>
      <c r="N40" s="392"/>
      <c r="O40" s="766"/>
      <c r="P40" s="392"/>
      <c r="Q40" s="392"/>
      <c r="R40" s="392"/>
      <c r="S40" s="766"/>
      <c r="T40" s="392"/>
      <c r="U40" s="766"/>
      <c r="V40" s="392"/>
      <c r="W40" s="766">
        <v>149795225</v>
      </c>
      <c r="X40" s="378"/>
      <c r="Y40" s="180"/>
      <c r="Z40" s="180"/>
      <c r="AA40" s="180"/>
      <c r="AB40" s="180"/>
    </row>
    <row r="41" spans="1:28" s="202" customFormat="1" x14ac:dyDescent="0.2">
      <c r="A41" s="636"/>
      <c r="B41" s="639" t="s">
        <v>236</v>
      </c>
      <c r="C41" s="466">
        <v>8.04355575317744</v>
      </c>
      <c r="D41" s="466">
        <v>1.9669197565433905</v>
      </c>
      <c r="E41" s="466">
        <v>0.96875766910419403</v>
      </c>
      <c r="F41" s="466">
        <v>0</v>
      </c>
      <c r="G41" s="466">
        <v>0</v>
      </c>
      <c r="H41" s="466">
        <v>0</v>
      </c>
      <c r="I41" s="767">
        <v>2.5893964452188891</v>
      </c>
      <c r="J41" s="466">
        <v>0</v>
      </c>
      <c r="K41" s="466">
        <v>0</v>
      </c>
      <c r="L41" s="466">
        <v>0</v>
      </c>
      <c r="M41" s="466">
        <v>0</v>
      </c>
      <c r="N41" s="466">
        <v>0</v>
      </c>
      <c r="O41" s="767">
        <v>0</v>
      </c>
      <c r="P41" s="466">
        <v>0</v>
      </c>
      <c r="Q41" s="466">
        <v>0</v>
      </c>
      <c r="R41" s="466">
        <v>0</v>
      </c>
      <c r="S41" s="767">
        <v>0</v>
      </c>
      <c r="T41" s="466">
        <v>0</v>
      </c>
      <c r="U41" s="767">
        <v>0</v>
      </c>
      <c r="V41" s="466">
        <v>0</v>
      </c>
      <c r="W41" s="767">
        <v>2.5893964452188891</v>
      </c>
      <c r="X41" s="378"/>
      <c r="Y41" s="180"/>
      <c r="Z41" s="180"/>
      <c r="AA41" s="180"/>
      <c r="AB41" s="180"/>
    </row>
    <row r="42" spans="1:28" x14ac:dyDescent="0.2">
      <c r="A42" s="636"/>
      <c r="B42" s="388" t="s">
        <v>19</v>
      </c>
      <c r="C42" s="391">
        <v>1180632567</v>
      </c>
      <c r="D42" s="391">
        <v>268975355</v>
      </c>
      <c r="E42" s="391">
        <v>380134595</v>
      </c>
      <c r="F42" s="391">
        <v>209204454</v>
      </c>
      <c r="G42" s="391">
        <v>71889542</v>
      </c>
      <c r="H42" s="391">
        <v>25874664</v>
      </c>
      <c r="I42" s="765">
        <v>2136711177</v>
      </c>
      <c r="J42" s="391"/>
      <c r="K42" s="391">
        <v>169609669</v>
      </c>
      <c r="L42" s="391">
        <v>268351375</v>
      </c>
      <c r="M42" s="391">
        <v>74068654</v>
      </c>
      <c r="N42" s="391"/>
      <c r="O42" s="765">
        <v>512029698</v>
      </c>
      <c r="P42" s="391">
        <v>14528299</v>
      </c>
      <c r="Q42" s="391">
        <v>24392993</v>
      </c>
      <c r="R42" s="391"/>
      <c r="S42" s="765">
        <v>38921292</v>
      </c>
      <c r="T42" s="391">
        <v>0</v>
      </c>
      <c r="U42" s="765">
        <v>0</v>
      </c>
      <c r="V42" s="391">
        <v>23777373</v>
      </c>
      <c r="W42" s="765">
        <v>2711439540</v>
      </c>
      <c r="X42" s="378"/>
      <c r="Y42" s="180"/>
      <c r="Z42" s="180"/>
      <c r="AA42" s="180"/>
      <c r="AB42" s="180"/>
    </row>
    <row r="43" spans="1:28" s="203" customFormat="1" x14ac:dyDescent="0.2">
      <c r="A43" s="636"/>
      <c r="B43" s="389" t="s">
        <v>21</v>
      </c>
      <c r="C43" s="392">
        <v>1108432483</v>
      </c>
      <c r="D43" s="392">
        <v>273656682</v>
      </c>
      <c r="E43" s="392">
        <v>383840002</v>
      </c>
      <c r="F43" s="392">
        <v>215436710</v>
      </c>
      <c r="G43" s="392">
        <v>76401016</v>
      </c>
      <c r="H43" s="392">
        <v>28478006</v>
      </c>
      <c r="I43" s="766">
        <v>2086244899</v>
      </c>
      <c r="J43" s="392"/>
      <c r="K43" s="392">
        <v>174665545</v>
      </c>
      <c r="L43" s="392">
        <v>277162140</v>
      </c>
      <c r="M43" s="392">
        <v>74790080</v>
      </c>
      <c r="N43" s="392"/>
      <c r="O43" s="766">
        <v>526617765</v>
      </c>
      <c r="P43" s="392">
        <v>14827297</v>
      </c>
      <c r="Q43" s="392">
        <v>24646291</v>
      </c>
      <c r="R43" s="392"/>
      <c r="S43" s="766">
        <v>39473588</v>
      </c>
      <c r="T43" s="392">
        <v>0</v>
      </c>
      <c r="U43" s="766">
        <v>0</v>
      </c>
      <c r="V43" s="392">
        <v>25353431</v>
      </c>
      <c r="W43" s="766">
        <v>2677689683</v>
      </c>
      <c r="X43" s="378"/>
      <c r="Y43" s="180"/>
      <c r="Z43" s="180"/>
      <c r="AA43" s="180"/>
      <c r="AB43" s="180"/>
    </row>
    <row r="44" spans="1:28" s="215" customFormat="1" ht="13.5" thickBot="1" x14ac:dyDescent="0.25">
      <c r="A44" s="640"/>
      <c r="B44" s="777" t="s">
        <v>23</v>
      </c>
      <c r="C44" s="778">
        <v>-6.1153728956894007</v>
      </c>
      <c r="D44" s="778">
        <v>1.7404297133467861</v>
      </c>
      <c r="E44" s="778">
        <v>0.97476184718204884</v>
      </c>
      <c r="F44" s="778">
        <v>2.9790264408041716</v>
      </c>
      <c r="G44" s="778">
        <v>6.2755636974290363</v>
      </c>
      <c r="H44" s="778">
        <v>10.061355772581241</v>
      </c>
      <c r="I44" s="779">
        <v>-2.3618670854175066</v>
      </c>
      <c r="J44" s="778">
        <v>0</v>
      </c>
      <c r="K44" s="778">
        <v>2.9808890199532199</v>
      </c>
      <c r="L44" s="778">
        <v>3.2832941511851765</v>
      </c>
      <c r="M44" s="778">
        <v>0.97399636828826397</v>
      </c>
      <c r="N44" s="778">
        <v>0</v>
      </c>
      <c r="O44" s="779">
        <v>2.8490665789467551</v>
      </c>
      <c r="P44" s="778">
        <v>2.0580385907531227</v>
      </c>
      <c r="Q44" s="778">
        <v>1.0384047582844795</v>
      </c>
      <c r="R44" s="778">
        <v>0</v>
      </c>
      <c r="S44" s="779">
        <v>1.4190073649148132</v>
      </c>
      <c r="T44" s="778">
        <v>0</v>
      </c>
      <c r="U44" s="779">
        <v>0</v>
      </c>
      <c r="V44" s="778">
        <v>6.6283941459807192</v>
      </c>
      <c r="W44" s="779">
        <v>-1.2447209868452387</v>
      </c>
      <c r="X44" s="378"/>
      <c r="Y44" s="180"/>
      <c r="Z44" s="180"/>
      <c r="AA44" s="180"/>
      <c r="AB44" s="180"/>
    </row>
    <row r="45" spans="1:28" ht="13.5" thickTop="1" x14ac:dyDescent="0.2">
      <c r="A45" s="230" t="s">
        <v>143</v>
      </c>
      <c r="B45" s="780" t="s">
        <v>190</v>
      </c>
      <c r="C45" s="781">
        <v>122375196</v>
      </c>
      <c r="D45" s="781"/>
      <c r="E45" s="781">
        <v>209587747</v>
      </c>
      <c r="F45" s="781">
        <v>37234229</v>
      </c>
      <c r="G45" s="781">
        <v>14006506</v>
      </c>
      <c r="H45" s="781">
        <v>50323205</v>
      </c>
      <c r="I45" s="782">
        <v>433526883</v>
      </c>
      <c r="J45" s="781"/>
      <c r="K45" s="781">
        <v>27803690</v>
      </c>
      <c r="L45" s="781">
        <v>24992513</v>
      </c>
      <c r="M45" s="781">
        <v>116926781</v>
      </c>
      <c r="N45" s="781"/>
      <c r="O45" s="782">
        <v>169722984</v>
      </c>
      <c r="P45" s="781"/>
      <c r="Q45" s="781"/>
      <c r="R45" s="781"/>
      <c r="S45" s="782"/>
      <c r="T45" s="781"/>
      <c r="U45" s="782"/>
      <c r="V45" s="781"/>
      <c r="W45" s="782">
        <v>603249867</v>
      </c>
      <c r="X45" s="378"/>
      <c r="Y45" s="180"/>
      <c r="Z45" s="180"/>
      <c r="AA45" s="180"/>
      <c r="AB45" s="180"/>
    </row>
    <row r="46" spans="1:28" s="203" customFormat="1" x14ac:dyDescent="0.2">
      <c r="A46" s="636"/>
      <c r="B46" s="389" t="s">
        <v>4</v>
      </c>
      <c r="C46" s="392">
        <v>125527147</v>
      </c>
      <c r="D46" s="392"/>
      <c r="E46" s="392">
        <v>212663512</v>
      </c>
      <c r="F46" s="392">
        <v>37269367</v>
      </c>
      <c r="G46" s="392">
        <v>14017774</v>
      </c>
      <c r="H46" s="392">
        <v>50545047</v>
      </c>
      <c r="I46" s="766">
        <v>440022847</v>
      </c>
      <c r="J46" s="392"/>
      <c r="K46" s="392">
        <v>29022363</v>
      </c>
      <c r="L46" s="392">
        <v>24908684</v>
      </c>
      <c r="M46" s="392">
        <v>117688205</v>
      </c>
      <c r="N46" s="392"/>
      <c r="O46" s="766">
        <v>171619252</v>
      </c>
      <c r="P46" s="392"/>
      <c r="Q46" s="392"/>
      <c r="R46" s="392"/>
      <c r="S46" s="766"/>
      <c r="T46" s="392"/>
      <c r="U46" s="766"/>
      <c r="V46" s="392"/>
      <c r="W46" s="766">
        <v>611642099</v>
      </c>
      <c r="X46" s="378"/>
      <c r="Y46" s="180"/>
      <c r="Z46" s="180"/>
      <c r="AA46" s="180"/>
      <c r="AB46" s="180"/>
    </row>
    <row r="47" spans="1:28" s="202" customFormat="1" x14ac:dyDescent="0.2">
      <c r="A47" s="637"/>
      <c r="B47" s="639" t="s">
        <v>116</v>
      </c>
      <c r="C47" s="466">
        <v>2.5756453129603161</v>
      </c>
      <c r="D47" s="466">
        <v>0</v>
      </c>
      <c r="E47" s="466">
        <v>1.4675309239332583</v>
      </c>
      <c r="F47" s="466">
        <v>9.437015601961303E-2</v>
      </c>
      <c r="G47" s="466">
        <v>8.0448328798059993E-2</v>
      </c>
      <c r="H47" s="466">
        <v>0.44083440233983506</v>
      </c>
      <c r="I47" s="767">
        <v>1.498399350704164</v>
      </c>
      <c r="J47" s="466">
        <v>0</v>
      </c>
      <c r="K47" s="466">
        <v>4.3831340372446963</v>
      </c>
      <c r="L47" s="466">
        <v>-0.33541645051860131</v>
      </c>
      <c r="M47" s="466">
        <v>0.65119726506453646</v>
      </c>
      <c r="N47" s="466">
        <v>0</v>
      </c>
      <c r="O47" s="767">
        <v>1.1172723665994466</v>
      </c>
      <c r="P47" s="466">
        <v>0</v>
      </c>
      <c r="Q47" s="466">
        <v>0</v>
      </c>
      <c r="R47" s="466">
        <v>0</v>
      </c>
      <c r="S47" s="767">
        <v>0</v>
      </c>
      <c r="T47" s="466">
        <v>0</v>
      </c>
      <c r="U47" s="767">
        <v>0</v>
      </c>
      <c r="V47" s="466">
        <v>0</v>
      </c>
      <c r="W47" s="767">
        <v>1.3911701368017044</v>
      </c>
      <c r="X47" s="378"/>
      <c r="Y47" s="180"/>
      <c r="Z47" s="180"/>
      <c r="AA47" s="180"/>
      <c r="AB47" s="180"/>
    </row>
    <row r="48" spans="1:28" x14ac:dyDescent="0.2">
      <c r="A48" s="636"/>
      <c r="B48" s="388" t="s">
        <v>195</v>
      </c>
      <c r="C48" s="391">
        <v>82870445</v>
      </c>
      <c r="D48" s="391"/>
      <c r="E48" s="391">
        <v>6780381</v>
      </c>
      <c r="F48" s="391">
        <v>210585</v>
      </c>
      <c r="G48" s="391">
        <v>4245431</v>
      </c>
      <c r="H48" s="391"/>
      <c r="I48" s="765">
        <v>94106842</v>
      </c>
      <c r="J48" s="391"/>
      <c r="K48" s="391"/>
      <c r="L48" s="391"/>
      <c r="M48" s="391">
        <v>2137751</v>
      </c>
      <c r="N48" s="391"/>
      <c r="O48" s="765">
        <v>2137751</v>
      </c>
      <c r="P48" s="391"/>
      <c r="Q48" s="391"/>
      <c r="R48" s="391"/>
      <c r="S48" s="765"/>
      <c r="T48" s="391"/>
      <c r="U48" s="765"/>
      <c r="V48" s="391">
        <v>350000</v>
      </c>
      <c r="W48" s="765">
        <v>96594593</v>
      </c>
      <c r="X48" s="378"/>
      <c r="Y48" s="180"/>
      <c r="Z48" s="180"/>
      <c r="AA48" s="180"/>
      <c r="AB48" s="180"/>
    </row>
    <row r="49" spans="1:28" s="203" customFormat="1" x14ac:dyDescent="0.2">
      <c r="A49" s="636"/>
      <c r="B49" s="389" t="s">
        <v>242</v>
      </c>
      <c r="C49" s="392">
        <v>83004390</v>
      </c>
      <c r="D49" s="392"/>
      <c r="E49" s="392">
        <v>6777997</v>
      </c>
      <c r="F49" s="392">
        <v>210585</v>
      </c>
      <c r="G49" s="392">
        <v>4241340</v>
      </c>
      <c r="H49" s="392">
        <v>0</v>
      </c>
      <c r="I49" s="766">
        <v>94234312</v>
      </c>
      <c r="J49" s="392"/>
      <c r="K49" s="392"/>
      <c r="L49" s="392"/>
      <c r="M49" s="392">
        <v>2139017</v>
      </c>
      <c r="N49" s="392"/>
      <c r="O49" s="766">
        <v>2139017</v>
      </c>
      <c r="P49" s="392"/>
      <c r="Q49" s="392"/>
      <c r="R49" s="392"/>
      <c r="S49" s="766"/>
      <c r="T49" s="392"/>
      <c r="U49" s="766"/>
      <c r="V49" s="392">
        <v>350000</v>
      </c>
      <c r="W49" s="766">
        <v>96723329</v>
      </c>
      <c r="X49" s="378"/>
      <c r="Y49" s="180"/>
      <c r="Z49" s="180"/>
      <c r="AA49" s="180"/>
      <c r="AB49" s="180"/>
    </row>
    <row r="50" spans="1:28" s="202" customFormat="1" x14ac:dyDescent="0.2">
      <c r="A50" s="636"/>
      <c r="B50" s="639" t="s">
        <v>244</v>
      </c>
      <c r="C50" s="466">
        <v>0.16163180974833669</v>
      </c>
      <c r="D50" s="466">
        <v>0</v>
      </c>
      <c r="E50" s="466">
        <v>-3.5160266067644282E-2</v>
      </c>
      <c r="F50" s="466">
        <v>0</v>
      </c>
      <c r="G50" s="466">
        <v>-9.6362418797997187E-2</v>
      </c>
      <c r="H50" s="466">
        <v>0</v>
      </c>
      <c r="I50" s="767">
        <v>0.13545242544638783</v>
      </c>
      <c r="J50" s="466">
        <v>0</v>
      </c>
      <c r="K50" s="466">
        <v>0</v>
      </c>
      <c r="L50" s="466">
        <v>0</v>
      </c>
      <c r="M50" s="466">
        <v>5.9221116023334804E-2</v>
      </c>
      <c r="N50" s="466">
        <v>0</v>
      </c>
      <c r="O50" s="767">
        <v>5.9221116023334804E-2</v>
      </c>
      <c r="P50" s="466">
        <v>0</v>
      </c>
      <c r="Q50" s="466">
        <v>0</v>
      </c>
      <c r="R50" s="466">
        <v>0</v>
      </c>
      <c r="S50" s="767">
        <v>0</v>
      </c>
      <c r="T50" s="466">
        <v>0</v>
      </c>
      <c r="U50" s="767">
        <v>0</v>
      </c>
      <c r="V50" s="466">
        <v>0</v>
      </c>
      <c r="W50" s="767">
        <v>0.133274540532512</v>
      </c>
      <c r="X50" s="378"/>
      <c r="Y50" s="180"/>
      <c r="Z50" s="180"/>
      <c r="AA50" s="180"/>
      <c r="AB50" s="180"/>
    </row>
    <row r="51" spans="1:28" x14ac:dyDescent="0.2">
      <c r="A51" s="636"/>
      <c r="B51" s="388" t="s">
        <v>5</v>
      </c>
      <c r="C51" s="391"/>
      <c r="D51" s="391"/>
      <c r="E51" s="391"/>
      <c r="F51" s="391"/>
      <c r="G51" s="391"/>
      <c r="H51" s="391">
        <v>5508890</v>
      </c>
      <c r="I51" s="765">
        <v>5508890</v>
      </c>
      <c r="J51" s="391"/>
      <c r="K51" s="391">
        <v>5653284</v>
      </c>
      <c r="L51" s="391">
        <v>1832878</v>
      </c>
      <c r="M51" s="391">
        <v>8267812</v>
      </c>
      <c r="N51" s="391"/>
      <c r="O51" s="765">
        <v>15753974</v>
      </c>
      <c r="P51" s="391"/>
      <c r="Q51" s="391"/>
      <c r="R51" s="391"/>
      <c r="S51" s="765"/>
      <c r="T51" s="391"/>
      <c r="U51" s="765"/>
      <c r="V51" s="391"/>
      <c r="W51" s="765">
        <v>21262864</v>
      </c>
      <c r="X51" s="378"/>
      <c r="Y51" s="180"/>
      <c r="Z51" s="180"/>
      <c r="AA51" s="180"/>
      <c r="AB51" s="180"/>
    </row>
    <row r="52" spans="1:28" s="203" customFormat="1" x14ac:dyDescent="0.2">
      <c r="A52" s="636"/>
      <c r="B52" s="389" t="s">
        <v>6</v>
      </c>
      <c r="C52" s="392"/>
      <c r="D52" s="392"/>
      <c r="E52" s="392"/>
      <c r="F52" s="392"/>
      <c r="G52" s="392"/>
      <c r="H52" s="392">
        <v>5654987</v>
      </c>
      <c r="I52" s="766">
        <v>5654987</v>
      </c>
      <c r="J52" s="392"/>
      <c r="K52" s="392">
        <v>5952227</v>
      </c>
      <c r="L52" s="392">
        <v>1779744</v>
      </c>
      <c r="M52" s="392">
        <v>9420391</v>
      </c>
      <c r="N52" s="392"/>
      <c r="O52" s="766">
        <v>17152362</v>
      </c>
      <c r="P52" s="392"/>
      <c r="Q52" s="392"/>
      <c r="R52" s="392"/>
      <c r="S52" s="766"/>
      <c r="T52" s="392"/>
      <c r="U52" s="766"/>
      <c r="V52" s="392"/>
      <c r="W52" s="766">
        <v>22807349</v>
      </c>
      <c r="X52" s="378"/>
      <c r="Y52" s="180"/>
      <c r="Z52" s="180"/>
      <c r="AA52" s="180"/>
      <c r="AB52" s="180"/>
    </row>
    <row r="53" spans="1:28" s="202" customFormat="1" x14ac:dyDescent="0.2">
      <c r="A53" s="636"/>
      <c r="B53" s="639" t="s">
        <v>298</v>
      </c>
      <c r="C53" s="466">
        <v>0</v>
      </c>
      <c r="D53" s="466">
        <v>0</v>
      </c>
      <c r="E53" s="466">
        <v>0</v>
      </c>
      <c r="F53" s="466">
        <v>0</v>
      </c>
      <c r="G53" s="466">
        <v>0</v>
      </c>
      <c r="H53" s="466">
        <v>2.6520224582447645</v>
      </c>
      <c r="I53" s="767">
        <v>2.6520224582447645</v>
      </c>
      <c r="J53" s="466">
        <v>0</v>
      </c>
      <c r="K53" s="466">
        <v>5.2879529844953836</v>
      </c>
      <c r="L53" s="466">
        <v>-2.8989381726443328</v>
      </c>
      <c r="M53" s="763">
        <v>13.940556461612818</v>
      </c>
      <c r="N53" s="466">
        <v>0</v>
      </c>
      <c r="O53" s="767">
        <v>8.8764142939425952</v>
      </c>
      <c r="P53" s="466">
        <v>0</v>
      </c>
      <c r="Q53" s="466">
        <v>0</v>
      </c>
      <c r="R53" s="466">
        <v>0</v>
      </c>
      <c r="S53" s="767">
        <v>0</v>
      </c>
      <c r="T53" s="466">
        <v>0</v>
      </c>
      <c r="U53" s="767">
        <v>0</v>
      </c>
      <c r="V53" s="466">
        <v>0</v>
      </c>
      <c r="W53" s="767">
        <v>7.2637674774197869</v>
      </c>
      <c r="X53" s="378"/>
      <c r="Y53" s="180"/>
      <c r="Z53" s="180"/>
      <c r="AA53" s="180"/>
      <c r="AB53" s="180"/>
    </row>
    <row r="54" spans="1:28" x14ac:dyDescent="0.2">
      <c r="A54" s="636"/>
      <c r="B54" s="388" t="s">
        <v>223</v>
      </c>
      <c r="C54" s="391">
        <v>194389640</v>
      </c>
      <c r="D54" s="391"/>
      <c r="E54" s="391">
        <v>288322210</v>
      </c>
      <c r="F54" s="391">
        <v>46639637</v>
      </c>
      <c r="G54" s="391">
        <v>16045635</v>
      </c>
      <c r="H54" s="391">
        <v>48121808</v>
      </c>
      <c r="I54" s="765">
        <v>593518930</v>
      </c>
      <c r="J54" s="391"/>
      <c r="K54" s="391">
        <v>53210381</v>
      </c>
      <c r="L54" s="391">
        <v>17955254</v>
      </c>
      <c r="M54" s="391">
        <v>70314838.140000001</v>
      </c>
      <c r="N54" s="391"/>
      <c r="O54" s="765">
        <v>141480473.13999999</v>
      </c>
      <c r="P54" s="391"/>
      <c r="Q54" s="391"/>
      <c r="R54" s="391"/>
      <c r="S54" s="765"/>
      <c r="T54" s="391"/>
      <c r="U54" s="765"/>
      <c r="V54" s="391"/>
      <c r="W54" s="765">
        <v>734999403.13999999</v>
      </c>
      <c r="X54" s="378"/>
      <c r="Y54" s="180"/>
      <c r="Z54" s="180"/>
      <c r="AA54" s="180"/>
      <c r="AB54" s="180"/>
    </row>
    <row r="55" spans="1:28" s="203" customFormat="1" x14ac:dyDescent="0.2">
      <c r="A55" s="636"/>
      <c r="B55" s="389" t="s">
        <v>14</v>
      </c>
      <c r="C55" s="392">
        <v>221553974</v>
      </c>
      <c r="D55" s="392"/>
      <c r="E55" s="392">
        <v>297774945</v>
      </c>
      <c r="F55" s="392">
        <v>49108615</v>
      </c>
      <c r="G55" s="392">
        <v>16379821</v>
      </c>
      <c r="H55" s="392">
        <v>46936341</v>
      </c>
      <c r="I55" s="766">
        <v>631753696</v>
      </c>
      <c r="J55" s="392"/>
      <c r="K55" s="392">
        <v>53000328</v>
      </c>
      <c r="L55" s="392">
        <v>17534918</v>
      </c>
      <c r="M55" s="392">
        <v>80246629</v>
      </c>
      <c r="N55" s="392"/>
      <c r="O55" s="766">
        <v>150781875</v>
      </c>
      <c r="P55" s="392"/>
      <c r="Q55" s="392"/>
      <c r="R55" s="392"/>
      <c r="S55" s="766"/>
      <c r="T55" s="392"/>
      <c r="U55" s="766"/>
      <c r="V55" s="392"/>
      <c r="W55" s="766">
        <v>782535571</v>
      </c>
      <c r="X55" s="378"/>
      <c r="Y55" s="180"/>
      <c r="Z55" s="180"/>
      <c r="AA55" s="180"/>
      <c r="AB55" s="180"/>
    </row>
    <row r="56" spans="1:28" s="202" customFormat="1" x14ac:dyDescent="0.2">
      <c r="A56" s="636"/>
      <c r="B56" s="639" t="s">
        <v>247</v>
      </c>
      <c r="C56" s="763">
        <v>13.974167553373729</v>
      </c>
      <c r="D56" s="466">
        <v>0</v>
      </c>
      <c r="E56" s="466">
        <v>3.2785316816210588</v>
      </c>
      <c r="F56" s="466">
        <v>5.2937333110032565</v>
      </c>
      <c r="G56" s="466">
        <v>2.0827221858156437</v>
      </c>
      <c r="H56" s="466">
        <v>-2.4634714472905923</v>
      </c>
      <c r="I56" s="767">
        <v>6.4420465915046714</v>
      </c>
      <c r="J56" s="466">
        <v>0</v>
      </c>
      <c r="K56" s="466">
        <v>-0.39475943613333647</v>
      </c>
      <c r="L56" s="466">
        <v>-2.3410195143995178</v>
      </c>
      <c r="M56" s="763">
        <v>14.124743969722802</v>
      </c>
      <c r="N56" s="466">
        <v>0</v>
      </c>
      <c r="O56" s="767">
        <v>6.5743361282061485</v>
      </c>
      <c r="P56" s="466">
        <v>0</v>
      </c>
      <c r="Q56" s="466">
        <v>0</v>
      </c>
      <c r="R56" s="466">
        <v>0</v>
      </c>
      <c r="S56" s="767">
        <v>0</v>
      </c>
      <c r="T56" s="466">
        <v>0</v>
      </c>
      <c r="U56" s="767">
        <v>0</v>
      </c>
      <c r="V56" s="466">
        <v>0</v>
      </c>
      <c r="W56" s="767">
        <v>6.467511083263493</v>
      </c>
      <c r="X56" s="378"/>
      <c r="Y56" s="180"/>
      <c r="Z56" s="180"/>
      <c r="AA56" s="180"/>
      <c r="AB56" s="180"/>
    </row>
    <row r="57" spans="1:28" x14ac:dyDescent="0.2">
      <c r="A57" s="636"/>
      <c r="B57" s="388" t="s">
        <v>225</v>
      </c>
      <c r="C57" s="391"/>
      <c r="D57" s="391"/>
      <c r="E57" s="391">
        <v>432224</v>
      </c>
      <c r="F57" s="391"/>
      <c r="G57" s="391"/>
      <c r="H57" s="391"/>
      <c r="I57" s="765">
        <v>432224</v>
      </c>
      <c r="J57" s="391"/>
      <c r="K57" s="391"/>
      <c r="L57" s="391"/>
      <c r="M57" s="391">
        <v>1041528</v>
      </c>
      <c r="N57" s="391"/>
      <c r="O57" s="765">
        <v>1041528</v>
      </c>
      <c r="P57" s="391"/>
      <c r="Q57" s="391"/>
      <c r="R57" s="391"/>
      <c r="S57" s="765"/>
      <c r="T57" s="391"/>
      <c r="U57" s="765"/>
      <c r="V57" s="391"/>
      <c r="W57" s="765">
        <v>1473752</v>
      </c>
      <c r="X57" s="378"/>
      <c r="Y57" s="180"/>
      <c r="Z57" s="180"/>
      <c r="AA57" s="180"/>
      <c r="AB57" s="180"/>
    </row>
    <row r="58" spans="1:28" s="203" customFormat="1" x14ac:dyDescent="0.2">
      <c r="A58" s="636"/>
      <c r="B58" s="389" t="s">
        <v>166</v>
      </c>
      <c r="C58" s="392"/>
      <c r="D58" s="392"/>
      <c r="E58" s="392">
        <v>838912</v>
      </c>
      <c r="F58" s="392">
        <v>2368167</v>
      </c>
      <c r="G58" s="392"/>
      <c r="H58" s="392"/>
      <c r="I58" s="766">
        <v>3207079</v>
      </c>
      <c r="J58" s="392"/>
      <c r="K58" s="392"/>
      <c r="L58" s="392"/>
      <c r="M58" s="392">
        <v>974086</v>
      </c>
      <c r="N58" s="392"/>
      <c r="O58" s="766">
        <v>974086</v>
      </c>
      <c r="P58" s="392"/>
      <c r="Q58" s="392"/>
      <c r="R58" s="392"/>
      <c r="S58" s="766"/>
      <c r="T58" s="392"/>
      <c r="U58" s="766"/>
      <c r="V58" s="392"/>
      <c r="W58" s="766">
        <v>4181165</v>
      </c>
      <c r="X58" s="378"/>
      <c r="Y58" s="180"/>
      <c r="Z58" s="180"/>
      <c r="AA58" s="180"/>
      <c r="AB58" s="180"/>
    </row>
    <row r="59" spans="1:28" s="202" customFormat="1" x14ac:dyDescent="0.2">
      <c r="A59" s="636"/>
      <c r="B59" s="639" t="s">
        <v>175</v>
      </c>
      <c r="C59" s="466">
        <v>0</v>
      </c>
      <c r="D59" s="466">
        <v>0</v>
      </c>
      <c r="E59" s="466">
        <v>94.091952321018738</v>
      </c>
      <c r="F59" s="466">
        <v>0</v>
      </c>
      <c r="G59" s="466">
        <v>0</v>
      </c>
      <c r="H59" s="466">
        <v>0</v>
      </c>
      <c r="I59" s="767">
        <v>641.99466017620489</v>
      </c>
      <c r="J59" s="466">
        <v>0</v>
      </c>
      <c r="K59" s="466">
        <v>0</v>
      </c>
      <c r="L59" s="466">
        <v>0</v>
      </c>
      <c r="M59" s="466">
        <v>-6.4752939911361</v>
      </c>
      <c r="N59" s="466">
        <v>0</v>
      </c>
      <c r="O59" s="767">
        <v>-6.4752939911361</v>
      </c>
      <c r="P59" s="466">
        <v>0</v>
      </c>
      <c r="Q59" s="466">
        <v>0</v>
      </c>
      <c r="R59" s="466">
        <v>0</v>
      </c>
      <c r="S59" s="767">
        <v>0</v>
      </c>
      <c r="T59" s="466">
        <v>0</v>
      </c>
      <c r="U59" s="767">
        <v>0</v>
      </c>
      <c r="V59" s="466">
        <v>0</v>
      </c>
      <c r="W59" s="767">
        <v>183.70886010672081</v>
      </c>
      <c r="X59" s="378"/>
      <c r="Y59" s="180"/>
      <c r="Z59" s="180"/>
      <c r="AA59" s="180"/>
      <c r="AB59" s="180"/>
    </row>
    <row r="60" spans="1:28" x14ac:dyDescent="0.2">
      <c r="A60" s="636"/>
      <c r="B60" s="768" t="s">
        <v>317</v>
      </c>
      <c r="C60" s="765">
        <v>194389640</v>
      </c>
      <c r="D60" s="765"/>
      <c r="E60" s="765">
        <v>288754434</v>
      </c>
      <c r="F60" s="765">
        <v>46639637</v>
      </c>
      <c r="G60" s="765">
        <v>16045635</v>
      </c>
      <c r="H60" s="765">
        <v>48121808</v>
      </c>
      <c r="I60" s="765">
        <v>593951154</v>
      </c>
      <c r="J60" s="765"/>
      <c r="K60" s="765">
        <v>53210381</v>
      </c>
      <c r="L60" s="765">
        <v>17955254</v>
      </c>
      <c r="M60" s="765">
        <v>71356366.140000001</v>
      </c>
      <c r="N60" s="765"/>
      <c r="O60" s="765">
        <v>142522001.13999999</v>
      </c>
      <c r="P60" s="765"/>
      <c r="Q60" s="765"/>
      <c r="R60" s="765"/>
      <c r="S60" s="765"/>
      <c r="T60" s="765">
        <v>0</v>
      </c>
      <c r="U60" s="765">
        <v>0</v>
      </c>
      <c r="V60" s="765">
        <v>0</v>
      </c>
      <c r="W60" s="765">
        <v>736473155.13999999</v>
      </c>
      <c r="X60" s="378"/>
      <c r="Y60" s="180"/>
      <c r="Z60" s="180"/>
      <c r="AA60" s="180"/>
      <c r="AB60" s="180"/>
    </row>
    <row r="61" spans="1:28" s="203" customFormat="1" x14ac:dyDescent="0.2">
      <c r="A61" s="636"/>
      <c r="B61" s="769" t="s">
        <v>70</v>
      </c>
      <c r="C61" s="766">
        <v>221553974</v>
      </c>
      <c r="D61" s="766"/>
      <c r="E61" s="766">
        <v>298613857</v>
      </c>
      <c r="F61" s="766">
        <v>51476782</v>
      </c>
      <c r="G61" s="766">
        <v>16379821</v>
      </c>
      <c r="H61" s="766">
        <v>46936341</v>
      </c>
      <c r="I61" s="766">
        <v>634960775</v>
      </c>
      <c r="J61" s="766"/>
      <c r="K61" s="766">
        <v>53000328</v>
      </c>
      <c r="L61" s="766">
        <v>17534918</v>
      </c>
      <c r="M61" s="766">
        <v>81220715</v>
      </c>
      <c r="N61" s="766"/>
      <c r="O61" s="766">
        <v>151755961</v>
      </c>
      <c r="P61" s="766"/>
      <c r="Q61" s="766"/>
      <c r="R61" s="766"/>
      <c r="S61" s="766"/>
      <c r="T61" s="766">
        <v>0</v>
      </c>
      <c r="U61" s="766">
        <v>0</v>
      </c>
      <c r="V61" s="766">
        <v>0</v>
      </c>
      <c r="W61" s="766">
        <v>786716736</v>
      </c>
      <c r="X61" s="378"/>
      <c r="Y61" s="180"/>
      <c r="Z61" s="180"/>
      <c r="AA61" s="180"/>
      <c r="AB61" s="180"/>
    </row>
    <row r="62" spans="1:28" s="202" customFormat="1" x14ac:dyDescent="0.2">
      <c r="A62" s="636"/>
      <c r="B62" s="770" t="s">
        <v>57</v>
      </c>
      <c r="C62" s="767">
        <v>13.974167553373729</v>
      </c>
      <c r="D62" s="767">
        <v>0</v>
      </c>
      <c r="E62" s="767">
        <v>3.4144663558655517</v>
      </c>
      <c r="F62" s="767">
        <v>10.371317855668559</v>
      </c>
      <c r="G62" s="767">
        <v>2.0827221858156437</v>
      </c>
      <c r="H62" s="767">
        <v>-2.4634714472905923</v>
      </c>
      <c r="I62" s="767">
        <v>6.9045443760515024</v>
      </c>
      <c r="J62" s="767">
        <v>0</v>
      </c>
      <c r="K62" s="767">
        <v>-0.39475943613333647</v>
      </c>
      <c r="L62" s="767">
        <v>-2.3410195143995178</v>
      </c>
      <c r="M62" s="767">
        <v>13.824062790201944</v>
      </c>
      <c r="N62" s="767">
        <v>0</v>
      </c>
      <c r="O62" s="767">
        <v>6.4789715174778202</v>
      </c>
      <c r="P62" s="767">
        <v>0</v>
      </c>
      <c r="Q62" s="767">
        <v>0</v>
      </c>
      <c r="R62" s="767">
        <v>0</v>
      </c>
      <c r="S62" s="767">
        <v>0</v>
      </c>
      <c r="T62" s="767">
        <v>0</v>
      </c>
      <c r="U62" s="767">
        <v>0</v>
      </c>
      <c r="V62" s="767">
        <v>0</v>
      </c>
      <c r="W62" s="767">
        <v>6.8221876804795354</v>
      </c>
      <c r="X62" s="378"/>
      <c r="Y62" s="180"/>
      <c r="Z62" s="180"/>
      <c r="AA62" s="180"/>
      <c r="AB62" s="180"/>
    </row>
    <row r="63" spans="1:28" x14ac:dyDescent="0.2">
      <c r="A63" s="636"/>
      <c r="B63" s="388" t="s">
        <v>72</v>
      </c>
      <c r="C63" s="391"/>
      <c r="D63" s="391"/>
      <c r="E63" s="391"/>
      <c r="F63" s="391"/>
      <c r="G63" s="391"/>
      <c r="H63" s="391"/>
      <c r="I63" s="765"/>
      <c r="J63" s="391"/>
      <c r="K63" s="391"/>
      <c r="L63" s="391"/>
      <c r="M63" s="391"/>
      <c r="N63" s="391"/>
      <c r="O63" s="765"/>
      <c r="P63" s="391"/>
      <c r="Q63" s="391"/>
      <c r="R63" s="391"/>
      <c r="S63" s="765"/>
      <c r="T63" s="391"/>
      <c r="U63" s="765"/>
      <c r="V63" s="391">
        <v>172593897</v>
      </c>
      <c r="W63" s="765">
        <v>172593897</v>
      </c>
      <c r="X63" s="378"/>
      <c r="Y63" s="180"/>
      <c r="Z63" s="180"/>
      <c r="AA63" s="180"/>
      <c r="AB63" s="180"/>
    </row>
    <row r="64" spans="1:28" s="203" customFormat="1" x14ac:dyDescent="0.2">
      <c r="A64" s="636"/>
      <c r="B64" s="389" t="s">
        <v>74</v>
      </c>
      <c r="C64" s="392"/>
      <c r="D64" s="392"/>
      <c r="E64" s="392"/>
      <c r="F64" s="392"/>
      <c r="G64" s="392"/>
      <c r="H64" s="392"/>
      <c r="I64" s="766"/>
      <c r="J64" s="392"/>
      <c r="K64" s="392"/>
      <c r="L64" s="392"/>
      <c r="M64" s="392"/>
      <c r="N64" s="392"/>
      <c r="O64" s="766"/>
      <c r="P64" s="392"/>
      <c r="Q64" s="392"/>
      <c r="R64" s="392"/>
      <c r="S64" s="766"/>
      <c r="T64" s="392"/>
      <c r="U64" s="766"/>
      <c r="V64" s="392">
        <v>150685124</v>
      </c>
      <c r="W64" s="766">
        <v>150685124</v>
      </c>
      <c r="X64" s="378"/>
      <c r="Y64" s="180"/>
      <c r="Z64" s="180"/>
      <c r="AA64" s="180"/>
      <c r="AB64" s="180"/>
    </row>
    <row r="65" spans="1:28" s="202" customFormat="1" x14ac:dyDescent="0.2">
      <c r="A65" s="636"/>
      <c r="B65" s="639" t="s">
        <v>76</v>
      </c>
      <c r="C65" s="466">
        <v>0</v>
      </c>
      <c r="D65" s="466">
        <v>0</v>
      </c>
      <c r="E65" s="466">
        <v>0</v>
      </c>
      <c r="F65" s="466">
        <v>0</v>
      </c>
      <c r="G65" s="466">
        <v>0</v>
      </c>
      <c r="H65" s="466">
        <v>0</v>
      </c>
      <c r="I65" s="767">
        <v>0</v>
      </c>
      <c r="J65" s="466">
        <v>0</v>
      </c>
      <c r="K65" s="466">
        <v>0</v>
      </c>
      <c r="L65" s="466">
        <v>0</v>
      </c>
      <c r="M65" s="466">
        <v>0</v>
      </c>
      <c r="N65" s="466">
        <v>0</v>
      </c>
      <c r="O65" s="767">
        <v>0</v>
      </c>
      <c r="P65" s="466">
        <v>0</v>
      </c>
      <c r="Q65" s="466">
        <v>0</v>
      </c>
      <c r="R65" s="466">
        <v>0</v>
      </c>
      <c r="S65" s="767">
        <v>0</v>
      </c>
      <c r="T65" s="466">
        <v>0</v>
      </c>
      <c r="U65" s="767">
        <v>0</v>
      </c>
      <c r="V65" s="763">
        <v>-12.693828333918436</v>
      </c>
      <c r="W65" s="767">
        <v>-12.693828333918436</v>
      </c>
      <c r="X65" s="378"/>
      <c r="Y65" s="180"/>
      <c r="Z65" s="180"/>
      <c r="AA65" s="180"/>
      <c r="AB65" s="180"/>
    </row>
    <row r="66" spans="1:28" x14ac:dyDescent="0.2">
      <c r="A66" s="636"/>
      <c r="B66" s="388" t="s">
        <v>240</v>
      </c>
      <c r="C66" s="391"/>
      <c r="D66" s="391"/>
      <c r="E66" s="391"/>
      <c r="F66" s="391"/>
      <c r="G66" s="391"/>
      <c r="H66" s="391"/>
      <c r="I66" s="765"/>
      <c r="J66" s="391"/>
      <c r="K66" s="391"/>
      <c r="L66" s="391"/>
      <c r="M66" s="391"/>
      <c r="N66" s="391"/>
      <c r="O66" s="765"/>
      <c r="P66" s="391"/>
      <c r="Q66" s="391"/>
      <c r="R66" s="391"/>
      <c r="S66" s="765"/>
      <c r="T66" s="391"/>
      <c r="U66" s="765"/>
      <c r="V66" s="391"/>
      <c r="W66" s="765"/>
      <c r="X66" s="378"/>
      <c r="Y66" s="180"/>
      <c r="Z66" s="180"/>
      <c r="AA66" s="180"/>
      <c r="AB66" s="180"/>
    </row>
    <row r="67" spans="1:28" s="203" customFormat="1" x14ac:dyDescent="0.2">
      <c r="A67" s="636"/>
      <c r="B67" s="389" t="s">
        <v>163</v>
      </c>
      <c r="C67" s="392"/>
      <c r="D67" s="392"/>
      <c r="E67" s="392"/>
      <c r="F67" s="392"/>
      <c r="G67" s="392"/>
      <c r="H67" s="392"/>
      <c r="I67" s="766"/>
      <c r="J67" s="392"/>
      <c r="K67" s="392"/>
      <c r="L67" s="392"/>
      <c r="M67" s="392"/>
      <c r="N67" s="392"/>
      <c r="O67" s="766"/>
      <c r="P67" s="392"/>
      <c r="Q67" s="392"/>
      <c r="R67" s="392"/>
      <c r="S67" s="766"/>
      <c r="T67" s="392"/>
      <c r="U67" s="766"/>
      <c r="V67" s="392"/>
      <c r="W67" s="766"/>
      <c r="X67" s="378"/>
      <c r="Y67" s="180"/>
      <c r="Z67" s="180"/>
      <c r="AA67" s="180"/>
      <c r="AB67" s="180"/>
    </row>
    <row r="68" spans="1:28" s="202" customFormat="1" x14ac:dyDescent="0.2">
      <c r="A68" s="636"/>
      <c r="B68" s="639" t="s">
        <v>59</v>
      </c>
      <c r="C68" s="466">
        <v>0</v>
      </c>
      <c r="D68" s="466">
        <v>0</v>
      </c>
      <c r="E68" s="466">
        <v>0</v>
      </c>
      <c r="F68" s="466">
        <v>0</v>
      </c>
      <c r="G68" s="466">
        <v>0</v>
      </c>
      <c r="H68" s="466">
        <v>0</v>
      </c>
      <c r="I68" s="767">
        <v>0</v>
      </c>
      <c r="J68" s="466">
        <v>0</v>
      </c>
      <c r="K68" s="466">
        <v>0</v>
      </c>
      <c r="L68" s="466">
        <v>0</v>
      </c>
      <c r="M68" s="466">
        <v>0</v>
      </c>
      <c r="N68" s="466">
        <v>0</v>
      </c>
      <c r="O68" s="767">
        <v>0</v>
      </c>
      <c r="P68" s="466">
        <v>0</v>
      </c>
      <c r="Q68" s="466">
        <v>0</v>
      </c>
      <c r="R68" s="466">
        <v>0</v>
      </c>
      <c r="S68" s="767">
        <v>0</v>
      </c>
      <c r="T68" s="466">
        <v>0</v>
      </c>
      <c r="U68" s="767">
        <v>0</v>
      </c>
      <c r="V68" s="466">
        <v>0</v>
      </c>
      <c r="W68" s="767">
        <v>0</v>
      </c>
      <c r="X68" s="378"/>
      <c r="Y68" s="180"/>
      <c r="Z68" s="180"/>
      <c r="AA68" s="180"/>
      <c r="AB68" s="180"/>
    </row>
    <row r="69" spans="1:28" x14ac:dyDescent="0.2">
      <c r="A69" s="636"/>
      <c r="B69" s="388" t="s">
        <v>159</v>
      </c>
      <c r="C69" s="391"/>
      <c r="D69" s="391"/>
      <c r="E69" s="391"/>
      <c r="F69" s="391"/>
      <c r="G69" s="391"/>
      <c r="H69" s="391"/>
      <c r="I69" s="765"/>
      <c r="J69" s="391"/>
      <c r="K69" s="391"/>
      <c r="L69" s="391"/>
      <c r="M69" s="391"/>
      <c r="N69" s="391"/>
      <c r="O69" s="765"/>
      <c r="P69" s="391"/>
      <c r="Q69" s="391"/>
      <c r="R69" s="391"/>
      <c r="S69" s="765"/>
      <c r="T69" s="391"/>
      <c r="U69" s="765"/>
      <c r="V69" s="391"/>
      <c r="W69" s="765"/>
      <c r="X69" s="378"/>
      <c r="Y69" s="180"/>
      <c r="Z69" s="180"/>
      <c r="AA69" s="180"/>
      <c r="AB69" s="180"/>
    </row>
    <row r="70" spans="1:28" s="203" customFormat="1" x14ac:dyDescent="0.2">
      <c r="A70" s="636"/>
      <c r="B70" s="389" t="s">
        <v>100</v>
      </c>
      <c r="C70" s="392"/>
      <c r="D70" s="392"/>
      <c r="E70" s="392"/>
      <c r="F70" s="392"/>
      <c r="G70" s="392"/>
      <c r="H70" s="392"/>
      <c r="I70" s="766"/>
      <c r="J70" s="392"/>
      <c r="K70" s="392"/>
      <c r="L70" s="392"/>
      <c r="M70" s="392"/>
      <c r="N70" s="392"/>
      <c r="O70" s="766"/>
      <c r="P70" s="392"/>
      <c r="Q70" s="392"/>
      <c r="R70" s="392"/>
      <c r="S70" s="766"/>
      <c r="T70" s="392"/>
      <c r="U70" s="766"/>
      <c r="V70" s="392"/>
      <c r="W70" s="766"/>
      <c r="X70" s="378"/>
      <c r="Y70" s="180"/>
      <c r="Z70" s="180"/>
      <c r="AA70" s="180"/>
      <c r="AB70" s="180"/>
    </row>
    <row r="71" spans="1:28" s="202" customFormat="1" x14ac:dyDescent="0.2">
      <c r="A71" s="636"/>
      <c r="B71" s="639" t="s">
        <v>110</v>
      </c>
      <c r="C71" s="466">
        <v>0</v>
      </c>
      <c r="D71" s="466">
        <v>0</v>
      </c>
      <c r="E71" s="466">
        <v>0</v>
      </c>
      <c r="F71" s="466">
        <v>0</v>
      </c>
      <c r="G71" s="466">
        <v>0</v>
      </c>
      <c r="H71" s="466">
        <v>0</v>
      </c>
      <c r="I71" s="767">
        <v>0</v>
      </c>
      <c r="J71" s="466">
        <v>0</v>
      </c>
      <c r="K71" s="466">
        <v>0</v>
      </c>
      <c r="L71" s="466">
        <v>0</v>
      </c>
      <c r="M71" s="466">
        <v>0</v>
      </c>
      <c r="N71" s="466">
        <v>0</v>
      </c>
      <c r="O71" s="767">
        <v>0</v>
      </c>
      <c r="P71" s="466">
        <v>0</v>
      </c>
      <c r="Q71" s="466">
        <v>0</v>
      </c>
      <c r="R71" s="466">
        <v>0</v>
      </c>
      <c r="S71" s="767">
        <v>0</v>
      </c>
      <c r="T71" s="466">
        <v>0</v>
      </c>
      <c r="U71" s="767">
        <v>0</v>
      </c>
      <c r="V71" s="466">
        <v>0</v>
      </c>
      <c r="W71" s="767">
        <v>0</v>
      </c>
      <c r="X71" s="378"/>
      <c r="Y71" s="180"/>
      <c r="Z71" s="180"/>
      <c r="AA71" s="180"/>
      <c r="AB71" s="180"/>
    </row>
    <row r="72" spans="1:28" x14ac:dyDescent="0.2">
      <c r="A72" s="636"/>
      <c r="B72" s="388" t="s">
        <v>161</v>
      </c>
      <c r="C72" s="391">
        <v>0</v>
      </c>
      <c r="D72" s="391"/>
      <c r="E72" s="391">
        <v>0</v>
      </c>
      <c r="F72" s="391">
        <v>0</v>
      </c>
      <c r="G72" s="391">
        <v>0</v>
      </c>
      <c r="H72" s="391">
        <v>0</v>
      </c>
      <c r="I72" s="765">
        <v>0</v>
      </c>
      <c r="J72" s="391"/>
      <c r="K72" s="391">
        <v>0</v>
      </c>
      <c r="L72" s="391">
        <v>0</v>
      </c>
      <c r="M72" s="391">
        <v>0</v>
      </c>
      <c r="N72" s="391"/>
      <c r="O72" s="765">
        <v>0</v>
      </c>
      <c r="P72" s="391"/>
      <c r="Q72" s="391"/>
      <c r="R72" s="391"/>
      <c r="S72" s="765"/>
      <c r="T72" s="391">
        <v>0</v>
      </c>
      <c r="U72" s="765">
        <v>0</v>
      </c>
      <c r="V72" s="391">
        <v>0</v>
      </c>
      <c r="W72" s="765">
        <v>0</v>
      </c>
      <c r="X72" s="378"/>
      <c r="Y72" s="180"/>
      <c r="Z72" s="180"/>
      <c r="AA72" s="180"/>
      <c r="AB72" s="180"/>
    </row>
    <row r="73" spans="1:28" s="203" customFormat="1" x14ac:dyDescent="0.2">
      <c r="A73" s="636"/>
      <c r="B73" s="389" t="s">
        <v>102</v>
      </c>
      <c r="C73" s="392">
        <v>0</v>
      </c>
      <c r="D73" s="392"/>
      <c r="E73" s="392">
        <v>0</v>
      </c>
      <c r="F73" s="392">
        <v>0</v>
      </c>
      <c r="G73" s="392">
        <v>0</v>
      </c>
      <c r="H73" s="392">
        <v>0</v>
      </c>
      <c r="I73" s="766">
        <v>0</v>
      </c>
      <c r="J73" s="392"/>
      <c r="K73" s="392">
        <v>0</v>
      </c>
      <c r="L73" s="392">
        <v>0</v>
      </c>
      <c r="M73" s="392">
        <v>0</v>
      </c>
      <c r="N73" s="392"/>
      <c r="O73" s="766">
        <v>0</v>
      </c>
      <c r="P73" s="392"/>
      <c r="Q73" s="392"/>
      <c r="R73" s="392"/>
      <c r="S73" s="766"/>
      <c r="T73" s="392">
        <v>0</v>
      </c>
      <c r="U73" s="766">
        <v>0</v>
      </c>
      <c r="V73" s="392">
        <v>0</v>
      </c>
      <c r="W73" s="766">
        <v>0</v>
      </c>
      <c r="X73" s="378"/>
      <c r="Y73" s="180"/>
      <c r="Z73" s="180"/>
      <c r="AA73" s="180"/>
      <c r="AB73" s="180"/>
    </row>
    <row r="74" spans="1:28" s="202" customFormat="1" x14ac:dyDescent="0.2">
      <c r="A74" s="636"/>
      <c r="B74" s="639" t="s">
        <v>183</v>
      </c>
      <c r="C74" s="466">
        <v>0</v>
      </c>
      <c r="D74" s="466">
        <v>0</v>
      </c>
      <c r="E74" s="466">
        <v>0</v>
      </c>
      <c r="F74" s="466">
        <v>0</v>
      </c>
      <c r="G74" s="466">
        <v>0</v>
      </c>
      <c r="H74" s="466">
        <v>0</v>
      </c>
      <c r="I74" s="767">
        <v>0</v>
      </c>
      <c r="J74" s="466">
        <v>0</v>
      </c>
      <c r="K74" s="466">
        <v>0</v>
      </c>
      <c r="L74" s="466">
        <v>0</v>
      </c>
      <c r="M74" s="466">
        <v>0</v>
      </c>
      <c r="N74" s="466">
        <v>0</v>
      </c>
      <c r="O74" s="767">
        <v>0</v>
      </c>
      <c r="P74" s="466">
        <v>0</v>
      </c>
      <c r="Q74" s="466">
        <v>0</v>
      </c>
      <c r="R74" s="466">
        <v>0</v>
      </c>
      <c r="S74" s="767">
        <v>0</v>
      </c>
      <c r="T74" s="466">
        <v>0</v>
      </c>
      <c r="U74" s="767">
        <v>0</v>
      </c>
      <c r="V74" s="466">
        <v>0</v>
      </c>
      <c r="W74" s="767">
        <v>0</v>
      </c>
      <c r="X74" s="378"/>
      <c r="Y74" s="180"/>
      <c r="Z74" s="180"/>
      <c r="AA74" s="180"/>
      <c r="AB74" s="180"/>
    </row>
    <row r="75" spans="1:28" x14ac:dyDescent="0.2">
      <c r="A75" s="636"/>
      <c r="B75" s="388" t="s">
        <v>78</v>
      </c>
      <c r="C75" s="391"/>
      <c r="D75" s="391"/>
      <c r="E75" s="391"/>
      <c r="F75" s="391"/>
      <c r="G75" s="391"/>
      <c r="H75" s="391"/>
      <c r="I75" s="765"/>
      <c r="J75" s="391"/>
      <c r="K75" s="391"/>
      <c r="L75" s="391"/>
      <c r="M75" s="391"/>
      <c r="N75" s="391"/>
      <c r="O75" s="765"/>
      <c r="P75" s="391"/>
      <c r="Q75" s="391"/>
      <c r="R75" s="391"/>
      <c r="S75" s="765"/>
      <c r="T75" s="391">
        <v>113645774</v>
      </c>
      <c r="U75" s="765">
        <v>113645774</v>
      </c>
      <c r="V75" s="391"/>
      <c r="W75" s="765">
        <v>113645774</v>
      </c>
      <c r="X75" s="378"/>
      <c r="Y75" s="180"/>
      <c r="Z75" s="180"/>
      <c r="AA75" s="180"/>
      <c r="AB75" s="180"/>
    </row>
    <row r="76" spans="1:28" s="203" customFormat="1" x14ac:dyDescent="0.2">
      <c r="A76" s="636"/>
      <c r="B76" s="389" t="s">
        <v>80</v>
      </c>
      <c r="C76" s="392"/>
      <c r="D76" s="392"/>
      <c r="E76" s="392"/>
      <c r="F76" s="392"/>
      <c r="G76" s="392"/>
      <c r="H76" s="392"/>
      <c r="I76" s="766"/>
      <c r="J76" s="392"/>
      <c r="K76" s="392"/>
      <c r="L76" s="392"/>
      <c r="M76" s="392"/>
      <c r="N76" s="392"/>
      <c r="O76" s="766"/>
      <c r="P76" s="392"/>
      <c r="Q76" s="392"/>
      <c r="R76" s="392"/>
      <c r="S76" s="766"/>
      <c r="T76" s="392">
        <v>112144733</v>
      </c>
      <c r="U76" s="766">
        <v>112144733</v>
      </c>
      <c r="V76" s="392"/>
      <c r="W76" s="766">
        <v>112144733</v>
      </c>
      <c r="X76" s="378"/>
      <c r="Y76" s="180"/>
      <c r="Z76" s="180"/>
      <c r="AA76" s="180"/>
      <c r="AB76" s="180"/>
    </row>
    <row r="77" spans="1:28" s="202" customFormat="1" x14ac:dyDescent="0.2">
      <c r="A77" s="636"/>
      <c r="B77" s="639" t="s">
        <v>215</v>
      </c>
      <c r="C77" s="466">
        <v>0</v>
      </c>
      <c r="D77" s="466">
        <v>0</v>
      </c>
      <c r="E77" s="466">
        <v>0</v>
      </c>
      <c r="F77" s="466">
        <v>0</v>
      </c>
      <c r="G77" s="466">
        <v>0</v>
      </c>
      <c r="H77" s="466">
        <v>0</v>
      </c>
      <c r="I77" s="767">
        <v>0</v>
      </c>
      <c r="J77" s="466">
        <v>0</v>
      </c>
      <c r="K77" s="466">
        <v>0</v>
      </c>
      <c r="L77" s="466">
        <v>0</v>
      </c>
      <c r="M77" s="466">
        <v>0</v>
      </c>
      <c r="N77" s="466">
        <v>0</v>
      </c>
      <c r="O77" s="767">
        <v>0</v>
      </c>
      <c r="P77" s="466">
        <v>0</v>
      </c>
      <c r="Q77" s="466">
        <v>0</v>
      </c>
      <c r="R77" s="466">
        <v>0</v>
      </c>
      <c r="S77" s="767">
        <v>0</v>
      </c>
      <c r="T77" s="466">
        <v>-1.3208067024120052</v>
      </c>
      <c r="U77" s="767">
        <v>-1.3208067024120052</v>
      </c>
      <c r="V77" s="466">
        <v>0</v>
      </c>
      <c r="W77" s="767">
        <v>-1.3208067024120052</v>
      </c>
      <c r="X77" s="378"/>
      <c r="Y77" s="180"/>
      <c r="Z77" s="180"/>
      <c r="AA77" s="180"/>
      <c r="AB77" s="180"/>
    </row>
    <row r="78" spans="1:28" x14ac:dyDescent="0.2">
      <c r="A78" s="636"/>
      <c r="B78" s="388" t="s">
        <v>81</v>
      </c>
      <c r="C78" s="391"/>
      <c r="D78" s="391"/>
      <c r="E78" s="391"/>
      <c r="F78" s="391"/>
      <c r="G78" s="391"/>
      <c r="H78" s="391"/>
      <c r="I78" s="765"/>
      <c r="J78" s="391"/>
      <c r="K78" s="391"/>
      <c r="L78" s="391"/>
      <c r="M78" s="391"/>
      <c r="N78" s="391"/>
      <c r="O78" s="765"/>
      <c r="P78" s="391"/>
      <c r="Q78" s="391"/>
      <c r="R78" s="391"/>
      <c r="S78" s="765"/>
      <c r="T78" s="391">
        <v>30249989</v>
      </c>
      <c r="U78" s="765">
        <v>30249989</v>
      </c>
      <c r="V78" s="391"/>
      <c r="W78" s="765">
        <v>30249989</v>
      </c>
      <c r="X78" s="378"/>
      <c r="Y78" s="180"/>
      <c r="Z78" s="180"/>
      <c r="AA78" s="180"/>
      <c r="AB78" s="180"/>
    </row>
    <row r="79" spans="1:28" s="203" customFormat="1" x14ac:dyDescent="0.2">
      <c r="A79" s="636"/>
      <c r="B79" s="389" t="s">
        <v>318</v>
      </c>
      <c r="C79" s="392"/>
      <c r="D79" s="392"/>
      <c r="E79" s="392"/>
      <c r="F79" s="392"/>
      <c r="G79" s="392"/>
      <c r="H79" s="392"/>
      <c r="I79" s="766"/>
      <c r="J79" s="392"/>
      <c r="K79" s="392"/>
      <c r="L79" s="392"/>
      <c r="M79" s="392"/>
      <c r="N79" s="392"/>
      <c r="O79" s="766"/>
      <c r="P79" s="392"/>
      <c r="Q79" s="392"/>
      <c r="R79" s="392"/>
      <c r="S79" s="766"/>
      <c r="T79" s="392">
        <v>32220221</v>
      </c>
      <c r="U79" s="766">
        <v>32220221</v>
      </c>
      <c r="V79" s="392"/>
      <c r="W79" s="766">
        <v>32220221</v>
      </c>
      <c r="X79" s="378"/>
      <c r="Y79" s="180"/>
      <c r="Z79" s="180"/>
      <c r="AA79" s="180"/>
      <c r="AB79" s="180"/>
    </row>
    <row r="80" spans="1:28" s="202" customFormat="1" x14ac:dyDescent="0.2">
      <c r="A80" s="636"/>
      <c r="B80" s="639" t="s">
        <v>236</v>
      </c>
      <c r="C80" s="466">
        <v>0</v>
      </c>
      <c r="D80" s="466">
        <v>0</v>
      </c>
      <c r="E80" s="466">
        <v>0</v>
      </c>
      <c r="F80" s="466">
        <v>0</v>
      </c>
      <c r="G80" s="466">
        <v>0</v>
      </c>
      <c r="H80" s="466">
        <v>0</v>
      </c>
      <c r="I80" s="767">
        <v>0</v>
      </c>
      <c r="J80" s="466">
        <v>0</v>
      </c>
      <c r="K80" s="466">
        <v>0</v>
      </c>
      <c r="L80" s="466">
        <v>0</v>
      </c>
      <c r="M80" s="466">
        <v>0</v>
      </c>
      <c r="N80" s="466">
        <v>0</v>
      </c>
      <c r="O80" s="767">
        <v>0</v>
      </c>
      <c r="P80" s="466">
        <v>0</v>
      </c>
      <c r="Q80" s="466">
        <v>0</v>
      </c>
      <c r="R80" s="466">
        <v>0</v>
      </c>
      <c r="S80" s="767">
        <v>0</v>
      </c>
      <c r="T80" s="466">
        <v>6.5131660047876379</v>
      </c>
      <c r="U80" s="767">
        <v>6.5131660047876379</v>
      </c>
      <c r="V80" s="466">
        <v>0</v>
      </c>
      <c r="W80" s="767">
        <v>6.5131660047876379</v>
      </c>
      <c r="X80" s="378"/>
      <c r="Y80" s="180"/>
      <c r="Z80" s="180"/>
      <c r="AA80" s="180"/>
      <c r="AB80" s="180"/>
    </row>
    <row r="81" spans="1:28" x14ac:dyDescent="0.2">
      <c r="A81" s="636"/>
      <c r="B81" s="388" t="s">
        <v>19</v>
      </c>
      <c r="C81" s="391">
        <v>399635281</v>
      </c>
      <c r="D81" s="391"/>
      <c r="E81" s="391">
        <v>504690338</v>
      </c>
      <c r="F81" s="391">
        <v>84084451</v>
      </c>
      <c r="G81" s="391">
        <v>34297572</v>
      </c>
      <c r="H81" s="391">
        <v>103953903</v>
      </c>
      <c r="I81" s="765">
        <v>1126661545</v>
      </c>
      <c r="J81" s="391"/>
      <c r="K81" s="391">
        <v>86667355</v>
      </c>
      <c r="L81" s="391">
        <v>44780645</v>
      </c>
      <c r="M81" s="391">
        <v>197647182.13999999</v>
      </c>
      <c r="N81" s="391"/>
      <c r="O81" s="765">
        <v>329095182.13999999</v>
      </c>
      <c r="P81" s="391"/>
      <c r="Q81" s="391"/>
      <c r="R81" s="391"/>
      <c r="S81" s="765"/>
      <c r="T81" s="391">
        <v>0</v>
      </c>
      <c r="U81" s="765">
        <v>0</v>
      </c>
      <c r="V81" s="391">
        <v>350000</v>
      </c>
      <c r="W81" s="765">
        <v>1456106727.1399999</v>
      </c>
      <c r="X81" s="378"/>
      <c r="Y81" s="180"/>
      <c r="Z81" s="180"/>
      <c r="AA81" s="180"/>
      <c r="AB81" s="180"/>
    </row>
    <row r="82" spans="1:28" s="203" customFormat="1" x14ac:dyDescent="0.2">
      <c r="A82" s="636"/>
      <c r="B82" s="389" t="s">
        <v>21</v>
      </c>
      <c r="C82" s="392">
        <v>430085511</v>
      </c>
      <c r="D82" s="392"/>
      <c r="E82" s="392">
        <v>517216454</v>
      </c>
      <c r="F82" s="392">
        <v>86588567</v>
      </c>
      <c r="G82" s="392">
        <v>34638935</v>
      </c>
      <c r="H82" s="392">
        <v>103136375</v>
      </c>
      <c r="I82" s="766">
        <v>1171665842</v>
      </c>
      <c r="J82" s="392"/>
      <c r="K82" s="392">
        <v>87974918</v>
      </c>
      <c r="L82" s="392">
        <v>44223346</v>
      </c>
      <c r="M82" s="392">
        <v>209494242</v>
      </c>
      <c r="N82" s="392"/>
      <c r="O82" s="766">
        <v>341692506</v>
      </c>
      <c r="P82" s="392"/>
      <c r="Q82" s="392"/>
      <c r="R82" s="392"/>
      <c r="S82" s="766"/>
      <c r="T82" s="392">
        <v>0</v>
      </c>
      <c r="U82" s="766">
        <v>0</v>
      </c>
      <c r="V82" s="392">
        <v>350000</v>
      </c>
      <c r="W82" s="766">
        <v>1513708348</v>
      </c>
      <c r="X82" s="378"/>
      <c r="Y82" s="180"/>
      <c r="Z82" s="180"/>
      <c r="AA82" s="180"/>
      <c r="AB82" s="180"/>
    </row>
    <row r="83" spans="1:28" s="212" customFormat="1" ht="13.5" thickBot="1" x14ac:dyDescent="0.25">
      <c r="A83" s="640"/>
      <c r="B83" s="777" t="s">
        <v>23</v>
      </c>
      <c r="C83" s="778">
        <v>7.6195049455605997</v>
      </c>
      <c r="D83" s="778">
        <v>0</v>
      </c>
      <c r="E83" s="778">
        <v>2.4819409164119963</v>
      </c>
      <c r="F83" s="778">
        <v>2.9780963902588837</v>
      </c>
      <c r="G83" s="778">
        <v>0.99529785956860151</v>
      </c>
      <c r="H83" s="778">
        <v>-0.78643319433614722</v>
      </c>
      <c r="I83" s="779">
        <v>3.9944823891189079</v>
      </c>
      <c r="J83" s="778">
        <v>0</v>
      </c>
      <c r="K83" s="778">
        <v>1.5087145557863164</v>
      </c>
      <c r="L83" s="778">
        <v>-1.2445086487700212</v>
      </c>
      <c r="M83" s="778">
        <v>5.9940444036325058</v>
      </c>
      <c r="N83" s="778">
        <v>0</v>
      </c>
      <c r="O83" s="779">
        <v>3.8278663874942422</v>
      </c>
      <c r="P83" s="778">
        <v>0</v>
      </c>
      <c r="Q83" s="778">
        <v>0</v>
      </c>
      <c r="R83" s="778">
        <v>0</v>
      </c>
      <c r="S83" s="779">
        <v>0</v>
      </c>
      <c r="T83" s="778">
        <v>0</v>
      </c>
      <c r="U83" s="779">
        <v>0</v>
      </c>
      <c r="V83" s="778">
        <v>0</v>
      </c>
      <c r="W83" s="779">
        <v>3.9558653075614609</v>
      </c>
      <c r="X83" s="378"/>
      <c r="Y83" s="180"/>
      <c r="Z83" s="180"/>
      <c r="AA83" s="180"/>
      <c r="AB83" s="180"/>
    </row>
    <row r="84" spans="1:28" ht="13.5" thickTop="1" x14ac:dyDescent="0.2">
      <c r="A84" s="230" t="s">
        <v>148</v>
      </c>
      <c r="B84" s="780" t="s">
        <v>190</v>
      </c>
      <c r="C84" s="781">
        <v>114274900</v>
      </c>
      <c r="D84" s="781"/>
      <c r="E84" s="781">
        <v>32773400</v>
      </c>
      <c r="F84" s="781"/>
      <c r="G84" s="781"/>
      <c r="H84" s="781"/>
      <c r="I84" s="782">
        <v>147048300</v>
      </c>
      <c r="J84" s="781"/>
      <c r="K84" s="781">
        <v>29204100</v>
      </c>
      <c r="L84" s="781">
        <v>28349900</v>
      </c>
      <c r="M84" s="781"/>
      <c r="N84" s="781"/>
      <c r="O84" s="782">
        <v>57554000</v>
      </c>
      <c r="P84" s="781"/>
      <c r="Q84" s="781"/>
      <c r="R84" s="781"/>
      <c r="S84" s="782"/>
      <c r="T84" s="781"/>
      <c r="U84" s="782"/>
      <c r="V84" s="781"/>
      <c r="W84" s="782">
        <v>204602300</v>
      </c>
      <c r="X84" s="378"/>
      <c r="Y84" s="180"/>
      <c r="Z84" s="180"/>
      <c r="AA84" s="180"/>
      <c r="AB84" s="180"/>
    </row>
    <row r="85" spans="1:28" s="203" customFormat="1" x14ac:dyDescent="0.2">
      <c r="A85" s="636"/>
      <c r="B85" s="389" t="s">
        <v>4</v>
      </c>
      <c r="C85" s="392">
        <v>117784700</v>
      </c>
      <c r="D85" s="392"/>
      <c r="E85" s="392">
        <v>34327800</v>
      </c>
      <c r="F85" s="392"/>
      <c r="G85" s="392"/>
      <c r="H85" s="392"/>
      <c r="I85" s="766">
        <v>152112500</v>
      </c>
      <c r="J85" s="392"/>
      <c r="K85" s="392">
        <v>30761700</v>
      </c>
      <c r="L85" s="392">
        <v>30867700</v>
      </c>
      <c r="M85" s="392"/>
      <c r="N85" s="392"/>
      <c r="O85" s="766">
        <v>61629400</v>
      </c>
      <c r="P85" s="392"/>
      <c r="Q85" s="392"/>
      <c r="R85" s="392"/>
      <c r="S85" s="766"/>
      <c r="T85" s="392"/>
      <c r="U85" s="766"/>
      <c r="V85" s="392"/>
      <c r="W85" s="766">
        <v>213741900</v>
      </c>
      <c r="X85" s="378"/>
      <c r="Y85" s="180"/>
      <c r="Z85" s="180"/>
      <c r="AA85" s="180"/>
      <c r="AB85" s="180"/>
    </row>
    <row r="86" spans="1:28" s="202" customFormat="1" x14ac:dyDescent="0.2">
      <c r="A86" s="637"/>
      <c r="B86" s="639" t="s">
        <v>116</v>
      </c>
      <c r="C86" s="466">
        <v>3.0713656279725465</v>
      </c>
      <c r="D86" s="466">
        <v>0</v>
      </c>
      <c r="E86" s="466">
        <v>4.7428707427364873</v>
      </c>
      <c r="F86" s="466">
        <v>0</v>
      </c>
      <c r="G86" s="466">
        <v>0</v>
      </c>
      <c r="H86" s="466">
        <v>0</v>
      </c>
      <c r="I86" s="767">
        <v>3.443902445659011</v>
      </c>
      <c r="J86" s="466">
        <v>0</v>
      </c>
      <c r="K86" s="466">
        <v>5.3334976938169643</v>
      </c>
      <c r="L86" s="466">
        <v>8.8811600746387107</v>
      </c>
      <c r="M86" s="466">
        <v>0</v>
      </c>
      <c r="N86" s="466">
        <v>0</v>
      </c>
      <c r="O86" s="767">
        <v>7.0810021892483572</v>
      </c>
      <c r="P86" s="466">
        <v>0</v>
      </c>
      <c r="Q86" s="466">
        <v>0</v>
      </c>
      <c r="R86" s="466">
        <v>0</v>
      </c>
      <c r="S86" s="767">
        <v>0</v>
      </c>
      <c r="T86" s="466">
        <v>0</v>
      </c>
      <c r="U86" s="767">
        <v>0</v>
      </c>
      <c r="V86" s="466">
        <v>0</v>
      </c>
      <c r="W86" s="767">
        <v>4.4670074578829277</v>
      </c>
      <c r="X86" s="378"/>
      <c r="Y86" s="180"/>
      <c r="Z86" s="180"/>
      <c r="AA86" s="180"/>
      <c r="AB86" s="180"/>
    </row>
    <row r="87" spans="1:28" x14ac:dyDescent="0.2">
      <c r="A87" s="636"/>
      <c r="B87" s="388" t="s">
        <v>195</v>
      </c>
      <c r="C87" s="391">
        <v>8757100</v>
      </c>
      <c r="D87" s="391"/>
      <c r="E87" s="391"/>
      <c r="F87" s="391"/>
      <c r="G87" s="391"/>
      <c r="H87" s="391"/>
      <c r="I87" s="765">
        <v>8757100</v>
      </c>
      <c r="J87" s="391"/>
      <c r="K87" s="391"/>
      <c r="L87" s="391"/>
      <c r="M87" s="391"/>
      <c r="N87" s="391"/>
      <c r="O87" s="765"/>
      <c r="P87" s="391"/>
      <c r="Q87" s="391"/>
      <c r="R87" s="391"/>
      <c r="S87" s="765"/>
      <c r="T87" s="391"/>
      <c r="U87" s="765"/>
      <c r="V87" s="391">
        <v>1918000</v>
      </c>
      <c r="W87" s="765">
        <v>10675100</v>
      </c>
      <c r="X87" s="378"/>
      <c r="Y87" s="180"/>
      <c r="Z87" s="180"/>
      <c r="AA87" s="180"/>
      <c r="AB87" s="180"/>
    </row>
    <row r="88" spans="1:28" s="203" customFormat="1" x14ac:dyDescent="0.2">
      <c r="A88" s="636"/>
      <c r="B88" s="389" t="s">
        <v>242</v>
      </c>
      <c r="C88" s="392">
        <v>6344461</v>
      </c>
      <c r="D88" s="392"/>
      <c r="E88" s="392"/>
      <c r="F88" s="392"/>
      <c r="G88" s="392"/>
      <c r="H88" s="392"/>
      <c r="I88" s="766">
        <v>6344461</v>
      </c>
      <c r="J88" s="392"/>
      <c r="K88" s="392"/>
      <c r="L88" s="392"/>
      <c r="M88" s="392"/>
      <c r="N88" s="392"/>
      <c r="O88" s="766"/>
      <c r="P88" s="392"/>
      <c r="Q88" s="392"/>
      <c r="R88" s="392"/>
      <c r="S88" s="766"/>
      <c r="T88" s="392"/>
      <c r="U88" s="766"/>
      <c r="V88" s="392">
        <v>1918000</v>
      </c>
      <c r="W88" s="766">
        <v>8262461</v>
      </c>
      <c r="X88" s="378"/>
      <c r="Y88" s="180"/>
      <c r="Z88" s="180"/>
      <c r="AA88" s="180"/>
      <c r="AB88" s="180"/>
    </row>
    <row r="89" spans="1:28" s="202" customFormat="1" x14ac:dyDescent="0.2">
      <c r="A89" s="636"/>
      <c r="B89" s="639" t="s">
        <v>244</v>
      </c>
      <c r="C89" s="763">
        <v>-27.550661748752443</v>
      </c>
      <c r="D89" s="466">
        <v>0</v>
      </c>
      <c r="E89" s="466">
        <v>0</v>
      </c>
      <c r="F89" s="466">
        <v>0</v>
      </c>
      <c r="G89" s="466">
        <v>0</v>
      </c>
      <c r="H89" s="466">
        <v>0</v>
      </c>
      <c r="I89" s="767">
        <v>-27.550661748752443</v>
      </c>
      <c r="J89" s="466">
        <v>0</v>
      </c>
      <c r="K89" s="466">
        <v>0</v>
      </c>
      <c r="L89" s="466">
        <v>0</v>
      </c>
      <c r="M89" s="466">
        <v>0</v>
      </c>
      <c r="N89" s="466">
        <v>0</v>
      </c>
      <c r="O89" s="767">
        <v>0</v>
      </c>
      <c r="P89" s="466">
        <v>0</v>
      </c>
      <c r="Q89" s="466">
        <v>0</v>
      </c>
      <c r="R89" s="466">
        <v>0</v>
      </c>
      <c r="S89" s="767">
        <v>0</v>
      </c>
      <c r="T89" s="466">
        <v>0</v>
      </c>
      <c r="U89" s="767">
        <v>0</v>
      </c>
      <c r="V89" s="466">
        <v>0</v>
      </c>
      <c r="W89" s="767">
        <v>-22.600622008224747</v>
      </c>
      <c r="X89" s="378"/>
      <c r="Y89" s="180"/>
      <c r="Z89" s="180"/>
      <c r="AA89" s="180"/>
      <c r="AB89" s="180"/>
    </row>
    <row r="90" spans="1:28" x14ac:dyDescent="0.2">
      <c r="A90" s="636"/>
      <c r="B90" s="388" t="s">
        <v>5</v>
      </c>
      <c r="C90" s="391"/>
      <c r="D90" s="391"/>
      <c r="E90" s="391"/>
      <c r="F90" s="391"/>
      <c r="G90" s="391"/>
      <c r="H90" s="391"/>
      <c r="I90" s="765"/>
      <c r="J90" s="391"/>
      <c r="K90" s="391"/>
      <c r="L90" s="391"/>
      <c r="M90" s="391"/>
      <c r="N90" s="391"/>
      <c r="O90" s="765"/>
      <c r="P90" s="391"/>
      <c r="Q90" s="391"/>
      <c r="R90" s="391"/>
      <c r="S90" s="765"/>
      <c r="T90" s="391"/>
      <c r="U90" s="765"/>
      <c r="V90" s="391"/>
      <c r="W90" s="765"/>
      <c r="X90" s="378"/>
      <c r="Y90" s="180"/>
      <c r="Z90" s="180"/>
      <c r="AA90" s="180"/>
      <c r="AB90" s="180"/>
    </row>
    <row r="91" spans="1:28" s="203" customFormat="1" x14ac:dyDescent="0.2">
      <c r="A91" s="636"/>
      <c r="B91" s="389" t="s">
        <v>6</v>
      </c>
      <c r="C91" s="392"/>
      <c r="D91" s="392"/>
      <c r="E91" s="392"/>
      <c r="F91" s="392"/>
      <c r="G91" s="392"/>
      <c r="H91" s="392"/>
      <c r="I91" s="766"/>
      <c r="J91" s="392"/>
      <c r="K91" s="392"/>
      <c r="L91" s="392"/>
      <c r="M91" s="392"/>
      <c r="N91" s="392"/>
      <c r="O91" s="766"/>
      <c r="P91" s="392"/>
      <c r="Q91" s="392"/>
      <c r="R91" s="392"/>
      <c r="S91" s="766"/>
      <c r="T91" s="392"/>
      <c r="U91" s="766"/>
      <c r="V91" s="392"/>
      <c r="W91" s="766"/>
      <c r="X91" s="378"/>
      <c r="Y91" s="180"/>
      <c r="Z91" s="180"/>
      <c r="AA91" s="180"/>
      <c r="AB91" s="180"/>
    </row>
    <row r="92" spans="1:28" s="202" customFormat="1" x14ac:dyDescent="0.2">
      <c r="A92" s="636"/>
      <c r="B92" s="639" t="s">
        <v>298</v>
      </c>
      <c r="C92" s="466">
        <v>0</v>
      </c>
      <c r="D92" s="466">
        <v>0</v>
      </c>
      <c r="E92" s="466">
        <v>0</v>
      </c>
      <c r="F92" s="466">
        <v>0</v>
      </c>
      <c r="G92" s="466">
        <v>0</v>
      </c>
      <c r="H92" s="466">
        <v>0</v>
      </c>
      <c r="I92" s="767">
        <v>0</v>
      </c>
      <c r="J92" s="466">
        <v>0</v>
      </c>
      <c r="K92" s="466">
        <v>0</v>
      </c>
      <c r="L92" s="466">
        <v>0</v>
      </c>
      <c r="M92" s="466">
        <v>0</v>
      </c>
      <c r="N92" s="466">
        <v>0</v>
      </c>
      <c r="O92" s="767">
        <v>0</v>
      </c>
      <c r="P92" s="466">
        <v>0</v>
      </c>
      <c r="Q92" s="466">
        <v>0</v>
      </c>
      <c r="R92" s="466">
        <v>0</v>
      </c>
      <c r="S92" s="767">
        <v>0</v>
      </c>
      <c r="T92" s="466">
        <v>0</v>
      </c>
      <c r="U92" s="767">
        <v>0</v>
      </c>
      <c r="V92" s="466">
        <v>0</v>
      </c>
      <c r="W92" s="767">
        <v>0</v>
      </c>
      <c r="X92" s="378"/>
      <c r="Y92" s="180"/>
      <c r="Z92" s="180"/>
      <c r="AA92" s="180"/>
      <c r="AB92" s="180"/>
    </row>
    <row r="93" spans="1:28" x14ac:dyDescent="0.2">
      <c r="A93" s="636"/>
      <c r="B93" s="388" t="s">
        <v>223</v>
      </c>
      <c r="C93" s="391">
        <v>482645088</v>
      </c>
      <c r="D93" s="391"/>
      <c r="E93" s="391">
        <v>43477739</v>
      </c>
      <c r="F93" s="391"/>
      <c r="G93" s="391"/>
      <c r="H93" s="391"/>
      <c r="I93" s="765">
        <v>526122827</v>
      </c>
      <c r="J93" s="391"/>
      <c r="K93" s="391">
        <v>22955100</v>
      </c>
      <c r="L93" s="391">
        <v>24256400</v>
      </c>
      <c r="M93" s="391"/>
      <c r="N93" s="391"/>
      <c r="O93" s="765">
        <v>47211500</v>
      </c>
      <c r="P93" s="391"/>
      <c r="Q93" s="391"/>
      <c r="R93" s="391"/>
      <c r="S93" s="765"/>
      <c r="T93" s="391"/>
      <c r="U93" s="765"/>
      <c r="V93" s="391"/>
      <c r="W93" s="765">
        <v>573334327</v>
      </c>
      <c r="X93" s="378"/>
      <c r="Y93" s="180"/>
      <c r="Z93" s="180"/>
      <c r="AA93" s="180"/>
      <c r="AB93" s="180"/>
    </row>
    <row r="94" spans="1:28" s="203" customFormat="1" x14ac:dyDescent="0.2">
      <c r="A94" s="636"/>
      <c r="B94" s="389" t="s">
        <v>14</v>
      </c>
      <c r="C94" s="392">
        <v>510269870</v>
      </c>
      <c r="D94" s="392"/>
      <c r="E94" s="392">
        <v>49121388</v>
      </c>
      <c r="F94" s="392"/>
      <c r="G94" s="392"/>
      <c r="H94" s="392"/>
      <c r="I94" s="766">
        <v>559391258</v>
      </c>
      <c r="J94" s="392"/>
      <c r="K94" s="392">
        <v>23638600</v>
      </c>
      <c r="L94" s="392">
        <v>24577800</v>
      </c>
      <c r="M94" s="392"/>
      <c r="N94" s="392"/>
      <c r="O94" s="766">
        <v>48216400</v>
      </c>
      <c r="P94" s="392"/>
      <c r="Q94" s="392"/>
      <c r="R94" s="392"/>
      <c r="S94" s="766"/>
      <c r="T94" s="392"/>
      <c r="U94" s="766"/>
      <c r="V94" s="392"/>
      <c r="W94" s="766">
        <v>607607658</v>
      </c>
      <c r="X94" s="378"/>
      <c r="Y94" s="180"/>
      <c r="Z94" s="180"/>
      <c r="AA94" s="180"/>
      <c r="AB94" s="180"/>
    </row>
    <row r="95" spans="1:28" s="202" customFormat="1" x14ac:dyDescent="0.2">
      <c r="A95" s="636"/>
      <c r="B95" s="639" t="s">
        <v>247</v>
      </c>
      <c r="C95" s="466">
        <v>5.7236223234908383</v>
      </c>
      <c r="D95" s="466">
        <v>0</v>
      </c>
      <c r="E95" s="763">
        <v>12.980548505523712</v>
      </c>
      <c r="F95" s="466">
        <v>0</v>
      </c>
      <c r="G95" s="466">
        <v>0</v>
      </c>
      <c r="H95" s="466">
        <v>0</v>
      </c>
      <c r="I95" s="767">
        <v>6.3233202006648535</v>
      </c>
      <c r="J95" s="466">
        <v>0</v>
      </c>
      <c r="K95" s="466">
        <v>2.977551829440952</v>
      </c>
      <c r="L95" s="466">
        <v>1.3250111310829307</v>
      </c>
      <c r="M95" s="466">
        <v>0</v>
      </c>
      <c r="N95" s="466">
        <v>0</v>
      </c>
      <c r="O95" s="767">
        <v>2.1285068256674751</v>
      </c>
      <c r="P95" s="466">
        <v>0</v>
      </c>
      <c r="Q95" s="466">
        <v>0</v>
      </c>
      <c r="R95" s="466">
        <v>0</v>
      </c>
      <c r="S95" s="767">
        <v>0</v>
      </c>
      <c r="T95" s="466">
        <v>0</v>
      </c>
      <c r="U95" s="767">
        <v>0</v>
      </c>
      <c r="V95" s="466">
        <v>0</v>
      </c>
      <c r="W95" s="767">
        <v>5.9778962092391863</v>
      </c>
      <c r="X95" s="378"/>
      <c r="Y95" s="180"/>
      <c r="Z95" s="180"/>
      <c r="AA95" s="180"/>
      <c r="AB95" s="180"/>
    </row>
    <row r="96" spans="1:28" x14ac:dyDescent="0.2">
      <c r="A96" s="636"/>
      <c r="B96" s="388" t="s">
        <v>225</v>
      </c>
      <c r="C96" s="391">
        <v>0</v>
      </c>
      <c r="D96" s="391"/>
      <c r="E96" s="391">
        <v>1495622</v>
      </c>
      <c r="F96" s="391"/>
      <c r="G96" s="391"/>
      <c r="H96" s="391"/>
      <c r="I96" s="765">
        <v>1495622</v>
      </c>
      <c r="J96" s="391"/>
      <c r="K96" s="391"/>
      <c r="L96" s="391"/>
      <c r="M96" s="391"/>
      <c r="N96" s="391"/>
      <c r="O96" s="765"/>
      <c r="P96" s="391"/>
      <c r="Q96" s="391"/>
      <c r="R96" s="391"/>
      <c r="S96" s="765"/>
      <c r="T96" s="391"/>
      <c r="U96" s="765"/>
      <c r="V96" s="391"/>
      <c r="W96" s="765">
        <v>1495622</v>
      </c>
      <c r="X96" s="378"/>
      <c r="Y96" s="180"/>
      <c r="Z96" s="180"/>
      <c r="AA96" s="180"/>
      <c r="AB96" s="180"/>
    </row>
    <row r="97" spans="1:28" s="203" customFormat="1" x14ac:dyDescent="0.2">
      <c r="A97" s="636"/>
      <c r="B97" s="389" t="s">
        <v>166</v>
      </c>
      <c r="C97" s="392">
        <v>0</v>
      </c>
      <c r="D97" s="392"/>
      <c r="E97" s="392">
        <v>1519800</v>
      </c>
      <c r="F97" s="392"/>
      <c r="G97" s="392"/>
      <c r="H97" s="392"/>
      <c r="I97" s="766">
        <v>1519800</v>
      </c>
      <c r="J97" s="392"/>
      <c r="K97" s="392"/>
      <c r="L97" s="392"/>
      <c r="M97" s="392"/>
      <c r="N97" s="392"/>
      <c r="O97" s="766"/>
      <c r="P97" s="392"/>
      <c r="Q97" s="392"/>
      <c r="R97" s="392"/>
      <c r="S97" s="766"/>
      <c r="T97" s="392"/>
      <c r="U97" s="766"/>
      <c r="V97" s="392"/>
      <c r="W97" s="766">
        <v>1519800</v>
      </c>
      <c r="X97" s="378"/>
      <c r="Y97" s="180"/>
      <c r="Z97" s="180"/>
      <c r="AA97" s="180"/>
      <c r="AB97" s="180"/>
    </row>
    <row r="98" spans="1:28" s="202" customFormat="1" x14ac:dyDescent="0.2">
      <c r="A98" s="636"/>
      <c r="B98" s="639" t="s">
        <v>175</v>
      </c>
      <c r="C98" s="466">
        <v>0</v>
      </c>
      <c r="D98" s="466">
        <v>0</v>
      </c>
      <c r="E98" s="466">
        <v>1.6165849392426694</v>
      </c>
      <c r="F98" s="466">
        <v>0</v>
      </c>
      <c r="G98" s="466">
        <v>0</v>
      </c>
      <c r="H98" s="466">
        <v>0</v>
      </c>
      <c r="I98" s="767">
        <v>1.6165849392426694</v>
      </c>
      <c r="J98" s="466">
        <v>0</v>
      </c>
      <c r="K98" s="466">
        <v>0</v>
      </c>
      <c r="L98" s="466">
        <v>0</v>
      </c>
      <c r="M98" s="466">
        <v>0</v>
      </c>
      <c r="N98" s="466">
        <v>0</v>
      </c>
      <c r="O98" s="767">
        <v>0</v>
      </c>
      <c r="P98" s="466">
        <v>0</v>
      </c>
      <c r="Q98" s="466">
        <v>0</v>
      </c>
      <c r="R98" s="466">
        <v>0</v>
      </c>
      <c r="S98" s="767">
        <v>0</v>
      </c>
      <c r="T98" s="466">
        <v>0</v>
      </c>
      <c r="U98" s="767">
        <v>0</v>
      </c>
      <c r="V98" s="466">
        <v>0</v>
      </c>
      <c r="W98" s="767">
        <v>1.6165849392426694</v>
      </c>
      <c r="X98" s="378"/>
      <c r="Y98" s="180"/>
      <c r="Z98" s="180"/>
      <c r="AA98" s="180"/>
      <c r="AB98" s="180"/>
    </row>
    <row r="99" spans="1:28" x14ac:dyDescent="0.2">
      <c r="A99" s="636"/>
      <c r="B99" s="768" t="s">
        <v>317</v>
      </c>
      <c r="C99" s="765">
        <v>482645088</v>
      </c>
      <c r="D99" s="765"/>
      <c r="E99" s="765">
        <v>44973361</v>
      </c>
      <c r="F99" s="765"/>
      <c r="G99" s="765"/>
      <c r="H99" s="765"/>
      <c r="I99" s="765">
        <v>527618449</v>
      </c>
      <c r="J99" s="765"/>
      <c r="K99" s="765">
        <v>22955100</v>
      </c>
      <c r="L99" s="765">
        <v>24256400</v>
      </c>
      <c r="M99" s="765"/>
      <c r="N99" s="765"/>
      <c r="O99" s="765">
        <v>47211500</v>
      </c>
      <c r="P99" s="765"/>
      <c r="Q99" s="765"/>
      <c r="R99" s="765"/>
      <c r="S99" s="765"/>
      <c r="T99" s="765"/>
      <c r="U99" s="765"/>
      <c r="V99" s="765">
        <v>0</v>
      </c>
      <c r="W99" s="765">
        <v>574829949</v>
      </c>
      <c r="X99" s="378"/>
      <c r="Y99" s="180"/>
      <c r="Z99" s="180"/>
      <c r="AA99" s="180"/>
      <c r="AB99" s="180"/>
    </row>
    <row r="100" spans="1:28" s="203" customFormat="1" x14ac:dyDescent="0.2">
      <c r="A100" s="636"/>
      <c r="B100" s="769" t="s">
        <v>70</v>
      </c>
      <c r="C100" s="766">
        <v>510269870</v>
      </c>
      <c r="D100" s="766"/>
      <c r="E100" s="766">
        <v>50641188</v>
      </c>
      <c r="F100" s="766"/>
      <c r="G100" s="766"/>
      <c r="H100" s="766"/>
      <c r="I100" s="766">
        <v>560911058</v>
      </c>
      <c r="J100" s="766"/>
      <c r="K100" s="766">
        <v>23638600</v>
      </c>
      <c r="L100" s="766">
        <v>24577800</v>
      </c>
      <c r="M100" s="766"/>
      <c r="N100" s="766"/>
      <c r="O100" s="766">
        <v>48216400</v>
      </c>
      <c r="P100" s="766"/>
      <c r="Q100" s="766"/>
      <c r="R100" s="766"/>
      <c r="S100" s="766"/>
      <c r="T100" s="766"/>
      <c r="U100" s="766"/>
      <c r="V100" s="766">
        <v>0</v>
      </c>
      <c r="W100" s="766">
        <v>609127458</v>
      </c>
      <c r="X100" s="378"/>
      <c r="Y100" s="180"/>
      <c r="Z100" s="180"/>
      <c r="AA100" s="180"/>
      <c r="AB100" s="180"/>
    </row>
    <row r="101" spans="1:28" s="202" customFormat="1" x14ac:dyDescent="0.2">
      <c r="A101" s="636"/>
      <c r="B101" s="770" t="s">
        <v>57</v>
      </c>
      <c r="C101" s="767">
        <v>5.7236223234908383</v>
      </c>
      <c r="D101" s="767">
        <v>0</v>
      </c>
      <c r="E101" s="767">
        <v>12.602631588953292</v>
      </c>
      <c r="F101" s="767">
        <v>0</v>
      </c>
      <c r="G101" s="767">
        <v>0</v>
      </c>
      <c r="H101" s="767">
        <v>0</v>
      </c>
      <c r="I101" s="767">
        <v>6.3099781789472651</v>
      </c>
      <c r="J101" s="767">
        <v>0</v>
      </c>
      <c r="K101" s="767">
        <v>2.977551829440952</v>
      </c>
      <c r="L101" s="767">
        <v>1.3250111310829307</v>
      </c>
      <c r="M101" s="767">
        <v>0</v>
      </c>
      <c r="N101" s="767">
        <v>0</v>
      </c>
      <c r="O101" s="767">
        <v>2.1285068256674751</v>
      </c>
      <c r="P101" s="767">
        <v>0</v>
      </c>
      <c r="Q101" s="767">
        <v>0</v>
      </c>
      <c r="R101" s="767">
        <v>0</v>
      </c>
      <c r="S101" s="767">
        <v>0</v>
      </c>
      <c r="T101" s="767">
        <v>0</v>
      </c>
      <c r="U101" s="767">
        <v>0</v>
      </c>
      <c r="V101" s="767">
        <v>0</v>
      </c>
      <c r="W101" s="767">
        <v>5.9665487262216397</v>
      </c>
      <c r="X101" s="378"/>
      <c r="Y101" s="180"/>
      <c r="Z101" s="180"/>
      <c r="AA101" s="180"/>
      <c r="AB101" s="180"/>
    </row>
    <row r="102" spans="1:28" x14ac:dyDescent="0.2">
      <c r="A102" s="636"/>
      <c r="B102" s="388" t="s">
        <v>72</v>
      </c>
      <c r="C102" s="391"/>
      <c r="D102" s="391"/>
      <c r="E102" s="391"/>
      <c r="F102" s="391"/>
      <c r="G102" s="391"/>
      <c r="H102" s="391"/>
      <c r="I102" s="765"/>
      <c r="J102" s="391"/>
      <c r="K102" s="391"/>
      <c r="L102" s="391"/>
      <c r="M102" s="391"/>
      <c r="N102" s="391"/>
      <c r="O102" s="765"/>
      <c r="P102" s="391"/>
      <c r="Q102" s="391"/>
      <c r="R102" s="391"/>
      <c r="S102" s="765"/>
      <c r="T102" s="391"/>
      <c r="U102" s="765"/>
      <c r="V102" s="391">
        <v>20688391</v>
      </c>
      <c r="W102" s="765">
        <v>20688391</v>
      </c>
      <c r="X102" s="378"/>
      <c r="Y102" s="180"/>
      <c r="Z102" s="180"/>
      <c r="AA102" s="180"/>
      <c r="AB102" s="180"/>
    </row>
    <row r="103" spans="1:28" s="203" customFormat="1" x14ac:dyDescent="0.2">
      <c r="A103" s="636"/>
      <c r="B103" s="389" t="s">
        <v>74</v>
      </c>
      <c r="C103" s="392"/>
      <c r="D103" s="392"/>
      <c r="E103" s="392"/>
      <c r="F103" s="392"/>
      <c r="G103" s="392"/>
      <c r="H103" s="392"/>
      <c r="I103" s="766"/>
      <c r="J103" s="392"/>
      <c r="K103" s="392"/>
      <c r="L103" s="392"/>
      <c r="M103" s="392"/>
      <c r="N103" s="392"/>
      <c r="O103" s="766"/>
      <c r="P103" s="392"/>
      <c r="Q103" s="392"/>
      <c r="R103" s="392"/>
      <c r="S103" s="766"/>
      <c r="T103" s="392"/>
      <c r="U103" s="766"/>
      <c r="V103" s="392">
        <v>22547216</v>
      </c>
      <c r="W103" s="766">
        <v>22547216</v>
      </c>
      <c r="X103" s="378"/>
      <c r="Y103" s="180"/>
      <c r="Z103" s="180"/>
      <c r="AA103" s="180"/>
      <c r="AB103" s="180"/>
    </row>
    <row r="104" spans="1:28" s="202" customFormat="1" x14ac:dyDescent="0.2">
      <c r="A104" s="636"/>
      <c r="B104" s="639" t="s">
        <v>76</v>
      </c>
      <c r="C104" s="466">
        <v>0</v>
      </c>
      <c r="D104" s="466">
        <v>0</v>
      </c>
      <c r="E104" s="466">
        <v>0</v>
      </c>
      <c r="F104" s="466">
        <v>0</v>
      </c>
      <c r="G104" s="466">
        <v>0</v>
      </c>
      <c r="H104" s="466">
        <v>0</v>
      </c>
      <c r="I104" s="767">
        <v>0</v>
      </c>
      <c r="J104" s="466">
        <v>0</v>
      </c>
      <c r="K104" s="466">
        <v>0</v>
      </c>
      <c r="L104" s="466">
        <v>0</v>
      </c>
      <c r="M104" s="466">
        <v>0</v>
      </c>
      <c r="N104" s="466">
        <v>0</v>
      </c>
      <c r="O104" s="767">
        <v>0</v>
      </c>
      <c r="P104" s="466">
        <v>0</v>
      </c>
      <c r="Q104" s="466">
        <v>0</v>
      </c>
      <c r="R104" s="466">
        <v>0</v>
      </c>
      <c r="S104" s="767">
        <v>0</v>
      </c>
      <c r="T104" s="466">
        <v>0</v>
      </c>
      <c r="U104" s="767">
        <v>0</v>
      </c>
      <c r="V104" s="466">
        <v>8.9848698238543534</v>
      </c>
      <c r="W104" s="767">
        <v>8.9848698238543534</v>
      </c>
      <c r="X104" s="378"/>
      <c r="Y104" s="180"/>
      <c r="Z104" s="180"/>
      <c r="AA104" s="180"/>
      <c r="AB104" s="180"/>
    </row>
    <row r="105" spans="1:28" x14ac:dyDescent="0.2">
      <c r="A105" s="636"/>
      <c r="B105" s="388" t="s">
        <v>240</v>
      </c>
      <c r="C105" s="391"/>
      <c r="D105" s="391"/>
      <c r="E105" s="391"/>
      <c r="F105" s="391"/>
      <c r="G105" s="391"/>
      <c r="H105" s="391"/>
      <c r="I105" s="765"/>
      <c r="J105" s="391"/>
      <c r="K105" s="391"/>
      <c r="L105" s="391"/>
      <c r="M105" s="391"/>
      <c r="N105" s="391"/>
      <c r="O105" s="765"/>
      <c r="P105" s="391"/>
      <c r="Q105" s="391"/>
      <c r="R105" s="391"/>
      <c r="S105" s="765"/>
      <c r="T105" s="391"/>
      <c r="U105" s="765"/>
      <c r="V105" s="391"/>
      <c r="W105" s="765"/>
      <c r="X105" s="378"/>
      <c r="Y105" s="180"/>
      <c r="Z105" s="180"/>
      <c r="AA105" s="180"/>
      <c r="AB105" s="180"/>
    </row>
    <row r="106" spans="1:28" s="203" customFormat="1" x14ac:dyDescent="0.2">
      <c r="A106" s="636"/>
      <c r="B106" s="389" t="s">
        <v>163</v>
      </c>
      <c r="C106" s="392"/>
      <c r="D106" s="392"/>
      <c r="E106" s="392"/>
      <c r="F106" s="392"/>
      <c r="G106" s="392"/>
      <c r="H106" s="392"/>
      <c r="I106" s="766"/>
      <c r="J106" s="392"/>
      <c r="K106" s="392"/>
      <c r="L106" s="392"/>
      <c r="M106" s="392"/>
      <c r="N106" s="392"/>
      <c r="O106" s="766"/>
      <c r="P106" s="392"/>
      <c r="Q106" s="392"/>
      <c r="R106" s="392"/>
      <c r="S106" s="766"/>
      <c r="T106" s="392"/>
      <c r="U106" s="766"/>
      <c r="V106" s="392"/>
      <c r="W106" s="766"/>
      <c r="X106" s="378"/>
      <c r="Y106" s="180"/>
      <c r="Z106" s="180"/>
      <c r="AA106" s="180"/>
      <c r="AB106" s="180"/>
    </row>
    <row r="107" spans="1:28" s="202" customFormat="1" x14ac:dyDescent="0.2">
      <c r="A107" s="636"/>
      <c r="B107" s="639" t="s">
        <v>59</v>
      </c>
      <c r="C107" s="466">
        <v>0</v>
      </c>
      <c r="D107" s="466">
        <v>0</v>
      </c>
      <c r="E107" s="466">
        <v>0</v>
      </c>
      <c r="F107" s="466">
        <v>0</v>
      </c>
      <c r="G107" s="466">
        <v>0</v>
      </c>
      <c r="H107" s="466">
        <v>0</v>
      </c>
      <c r="I107" s="767">
        <v>0</v>
      </c>
      <c r="J107" s="466">
        <v>0</v>
      </c>
      <c r="K107" s="466">
        <v>0</v>
      </c>
      <c r="L107" s="466">
        <v>0</v>
      </c>
      <c r="M107" s="466">
        <v>0</v>
      </c>
      <c r="N107" s="466">
        <v>0</v>
      </c>
      <c r="O107" s="767">
        <v>0</v>
      </c>
      <c r="P107" s="466">
        <v>0</v>
      </c>
      <c r="Q107" s="466">
        <v>0</v>
      </c>
      <c r="R107" s="466">
        <v>0</v>
      </c>
      <c r="S107" s="767">
        <v>0</v>
      </c>
      <c r="T107" s="466">
        <v>0</v>
      </c>
      <c r="U107" s="767">
        <v>0</v>
      </c>
      <c r="V107" s="466">
        <v>0</v>
      </c>
      <c r="W107" s="767">
        <v>0</v>
      </c>
      <c r="X107" s="378"/>
      <c r="Y107" s="180"/>
      <c r="Z107" s="180"/>
      <c r="AA107" s="180"/>
      <c r="AB107" s="180"/>
    </row>
    <row r="108" spans="1:28" x14ac:dyDescent="0.2">
      <c r="A108" s="636"/>
      <c r="B108" s="388" t="s">
        <v>159</v>
      </c>
      <c r="C108" s="391"/>
      <c r="D108" s="391"/>
      <c r="E108" s="391"/>
      <c r="F108" s="391"/>
      <c r="G108" s="391"/>
      <c r="H108" s="391"/>
      <c r="I108" s="765"/>
      <c r="J108" s="391"/>
      <c r="K108" s="391"/>
      <c r="L108" s="391"/>
      <c r="M108" s="391"/>
      <c r="N108" s="391"/>
      <c r="O108" s="765"/>
      <c r="P108" s="391"/>
      <c r="Q108" s="391"/>
      <c r="R108" s="391"/>
      <c r="S108" s="765"/>
      <c r="T108" s="391"/>
      <c r="U108" s="765"/>
      <c r="V108" s="391"/>
      <c r="W108" s="765"/>
      <c r="X108" s="378"/>
      <c r="Y108" s="180"/>
      <c r="Z108" s="180"/>
      <c r="AA108" s="180"/>
      <c r="AB108" s="180"/>
    </row>
    <row r="109" spans="1:28" s="203" customFormat="1" x14ac:dyDescent="0.2">
      <c r="A109" s="636"/>
      <c r="B109" s="389" t="s">
        <v>100</v>
      </c>
      <c r="C109" s="392"/>
      <c r="D109" s="392"/>
      <c r="E109" s="392"/>
      <c r="F109" s="392"/>
      <c r="G109" s="392"/>
      <c r="H109" s="392"/>
      <c r="I109" s="766"/>
      <c r="J109" s="392"/>
      <c r="K109" s="392"/>
      <c r="L109" s="392"/>
      <c r="M109" s="392"/>
      <c r="N109" s="392"/>
      <c r="O109" s="766"/>
      <c r="P109" s="392"/>
      <c r="Q109" s="392"/>
      <c r="R109" s="392"/>
      <c r="S109" s="766"/>
      <c r="T109" s="392"/>
      <c r="U109" s="766"/>
      <c r="V109" s="392"/>
      <c r="W109" s="766"/>
      <c r="X109" s="378"/>
      <c r="Y109" s="180"/>
      <c r="Z109" s="180"/>
      <c r="AA109" s="180"/>
      <c r="AB109" s="180"/>
    </row>
    <row r="110" spans="1:28" s="202" customFormat="1" x14ac:dyDescent="0.2">
      <c r="A110" s="636"/>
      <c r="B110" s="639" t="s">
        <v>110</v>
      </c>
      <c r="C110" s="466">
        <v>0</v>
      </c>
      <c r="D110" s="466">
        <v>0</v>
      </c>
      <c r="E110" s="466">
        <v>0</v>
      </c>
      <c r="F110" s="466">
        <v>0</v>
      </c>
      <c r="G110" s="466">
        <v>0</v>
      </c>
      <c r="H110" s="466">
        <v>0</v>
      </c>
      <c r="I110" s="767">
        <v>0</v>
      </c>
      <c r="J110" s="466">
        <v>0</v>
      </c>
      <c r="K110" s="466">
        <v>0</v>
      </c>
      <c r="L110" s="466">
        <v>0</v>
      </c>
      <c r="M110" s="466">
        <v>0</v>
      </c>
      <c r="N110" s="466">
        <v>0</v>
      </c>
      <c r="O110" s="767">
        <v>0</v>
      </c>
      <c r="P110" s="466">
        <v>0</v>
      </c>
      <c r="Q110" s="466">
        <v>0</v>
      </c>
      <c r="R110" s="466">
        <v>0</v>
      </c>
      <c r="S110" s="767">
        <v>0</v>
      </c>
      <c r="T110" s="466">
        <v>0</v>
      </c>
      <c r="U110" s="767">
        <v>0</v>
      </c>
      <c r="V110" s="466">
        <v>0</v>
      </c>
      <c r="W110" s="767">
        <v>0</v>
      </c>
      <c r="X110" s="378"/>
      <c r="Y110" s="180"/>
      <c r="Z110" s="180"/>
      <c r="AA110" s="180"/>
      <c r="AB110" s="180"/>
    </row>
    <row r="111" spans="1:28" x14ac:dyDescent="0.2">
      <c r="A111" s="636"/>
      <c r="B111" s="388" t="s">
        <v>161</v>
      </c>
      <c r="C111" s="391">
        <v>0</v>
      </c>
      <c r="D111" s="391"/>
      <c r="E111" s="391">
        <v>0</v>
      </c>
      <c r="F111" s="391"/>
      <c r="G111" s="391"/>
      <c r="H111" s="391"/>
      <c r="I111" s="765">
        <v>0</v>
      </c>
      <c r="J111" s="391"/>
      <c r="K111" s="391">
        <v>0</v>
      </c>
      <c r="L111" s="391">
        <v>0</v>
      </c>
      <c r="M111" s="391"/>
      <c r="N111" s="391"/>
      <c r="O111" s="765">
        <v>0</v>
      </c>
      <c r="P111" s="391"/>
      <c r="Q111" s="391"/>
      <c r="R111" s="391"/>
      <c r="S111" s="765"/>
      <c r="T111" s="391"/>
      <c r="U111" s="765"/>
      <c r="V111" s="391">
        <v>0</v>
      </c>
      <c r="W111" s="765">
        <v>0</v>
      </c>
      <c r="X111" s="378"/>
      <c r="Y111" s="180"/>
      <c r="Z111" s="180"/>
      <c r="AA111" s="180"/>
      <c r="AB111" s="180"/>
    </row>
    <row r="112" spans="1:28" s="203" customFormat="1" x14ac:dyDescent="0.2">
      <c r="A112" s="636"/>
      <c r="B112" s="389" t="s">
        <v>102</v>
      </c>
      <c r="C112" s="392">
        <v>0</v>
      </c>
      <c r="D112" s="392"/>
      <c r="E112" s="392">
        <v>0</v>
      </c>
      <c r="F112" s="392"/>
      <c r="G112" s="392"/>
      <c r="H112" s="392"/>
      <c r="I112" s="766">
        <v>0</v>
      </c>
      <c r="J112" s="392"/>
      <c r="K112" s="392">
        <v>0</v>
      </c>
      <c r="L112" s="392">
        <v>0</v>
      </c>
      <c r="M112" s="392"/>
      <c r="N112" s="392"/>
      <c r="O112" s="766">
        <v>0</v>
      </c>
      <c r="P112" s="392"/>
      <c r="Q112" s="392"/>
      <c r="R112" s="392"/>
      <c r="S112" s="766"/>
      <c r="T112" s="392"/>
      <c r="U112" s="766"/>
      <c r="V112" s="392">
        <v>0</v>
      </c>
      <c r="W112" s="766">
        <v>0</v>
      </c>
      <c r="X112" s="378"/>
      <c r="Y112" s="180"/>
      <c r="Z112" s="180"/>
      <c r="AA112" s="180"/>
      <c r="AB112" s="180"/>
    </row>
    <row r="113" spans="1:28" s="202" customFormat="1" x14ac:dyDescent="0.2">
      <c r="A113" s="636"/>
      <c r="B113" s="639" t="s">
        <v>183</v>
      </c>
      <c r="C113" s="466">
        <v>0</v>
      </c>
      <c r="D113" s="466">
        <v>0</v>
      </c>
      <c r="E113" s="466">
        <v>0</v>
      </c>
      <c r="F113" s="466">
        <v>0</v>
      </c>
      <c r="G113" s="466">
        <v>0</v>
      </c>
      <c r="H113" s="466">
        <v>0</v>
      </c>
      <c r="I113" s="767">
        <v>0</v>
      </c>
      <c r="J113" s="466">
        <v>0</v>
      </c>
      <c r="K113" s="466">
        <v>0</v>
      </c>
      <c r="L113" s="466">
        <v>0</v>
      </c>
      <c r="M113" s="466">
        <v>0</v>
      </c>
      <c r="N113" s="466">
        <v>0</v>
      </c>
      <c r="O113" s="767">
        <v>0</v>
      </c>
      <c r="P113" s="466">
        <v>0</v>
      </c>
      <c r="Q113" s="466">
        <v>0</v>
      </c>
      <c r="R113" s="466">
        <v>0</v>
      </c>
      <c r="S113" s="767">
        <v>0</v>
      </c>
      <c r="T113" s="466">
        <v>0</v>
      </c>
      <c r="U113" s="767">
        <v>0</v>
      </c>
      <c r="V113" s="466">
        <v>0</v>
      </c>
      <c r="W113" s="767">
        <v>0</v>
      </c>
      <c r="X113" s="378"/>
      <c r="Y113" s="180"/>
      <c r="Z113" s="180"/>
      <c r="AA113" s="180"/>
      <c r="AB113" s="180"/>
    </row>
    <row r="114" spans="1:28" x14ac:dyDescent="0.2">
      <c r="A114" s="636"/>
      <c r="B114" s="388" t="s">
        <v>78</v>
      </c>
      <c r="C114" s="391"/>
      <c r="D114" s="391"/>
      <c r="E114" s="391"/>
      <c r="F114" s="391"/>
      <c r="G114" s="391"/>
      <c r="H114" s="391"/>
      <c r="I114" s="765"/>
      <c r="J114" s="391"/>
      <c r="K114" s="391"/>
      <c r="L114" s="391"/>
      <c r="M114" s="391"/>
      <c r="N114" s="391"/>
      <c r="O114" s="765"/>
      <c r="P114" s="391"/>
      <c r="Q114" s="391"/>
      <c r="R114" s="391"/>
      <c r="S114" s="765"/>
      <c r="T114" s="391"/>
      <c r="U114" s="765"/>
      <c r="V114" s="391"/>
      <c r="W114" s="765"/>
      <c r="X114" s="378"/>
      <c r="Y114" s="180"/>
      <c r="Z114" s="180"/>
      <c r="AA114" s="180"/>
      <c r="AB114" s="180"/>
    </row>
    <row r="115" spans="1:28" s="203" customFormat="1" x14ac:dyDescent="0.2">
      <c r="A115" s="636"/>
      <c r="B115" s="389" t="s">
        <v>80</v>
      </c>
      <c r="C115" s="392"/>
      <c r="D115" s="392"/>
      <c r="E115" s="392"/>
      <c r="F115" s="392"/>
      <c r="G115" s="392"/>
      <c r="H115" s="392"/>
      <c r="I115" s="766"/>
      <c r="J115" s="392"/>
      <c r="K115" s="392"/>
      <c r="L115" s="392"/>
      <c r="M115" s="392"/>
      <c r="N115" s="392"/>
      <c r="O115" s="766"/>
      <c r="P115" s="392"/>
      <c r="Q115" s="392"/>
      <c r="R115" s="392"/>
      <c r="S115" s="766"/>
      <c r="T115" s="392"/>
      <c r="U115" s="766"/>
      <c r="V115" s="392"/>
      <c r="W115" s="766"/>
      <c r="X115" s="378"/>
      <c r="Y115" s="180"/>
      <c r="Z115" s="180"/>
      <c r="AA115" s="180"/>
      <c r="AB115" s="180"/>
    </row>
    <row r="116" spans="1:28" s="202" customFormat="1" x14ac:dyDescent="0.2">
      <c r="A116" s="636"/>
      <c r="B116" s="639" t="s">
        <v>215</v>
      </c>
      <c r="C116" s="466">
        <v>0</v>
      </c>
      <c r="D116" s="466">
        <v>0</v>
      </c>
      <c r="E116" s="466">
        <v>0</v>
      </c>
      <c r="F116" s="466">
        <v>0</v>
      </c>
      <c r="G116" s="466">
        <v>0</v>
      </c>
      <c r="H116" s="466">
        <v>0</v>
      </c>
      <c r="I116" s="767">
        <v>0</v>
      </c>
      <c r="J116" s="466">
        <v>0</v>
      </c>
      <c r="K116" s="466">
        <v>0</v>
      </c>
      <c r="L116" s="466">
        <v>0</v>
      </c>
      <c r="M116" s="466">
        <v>0</v>
      </c>
      <c r="N116" s="466">
        <v>0</v>
      </c>
      <c r="O116" s="767">
        <v>0</v>
      </c>
      <c r="P116" s="466">
        <v>0</v>
      </c>
      <c r="Q116" s="466">
        <v>0</v>
      </c>
      <c r="R116" s="466">
        <v>0</v>
      </c>
      <c r="S116" s="767">
        <v>0</v>
      </c>
      <c r="T116" s="466">
        <v>0</v>
      </c>
      <c r="U116" s="767">
        <v>0</v>
      </c>
      <c r="V116" s="466">
        <v>0</v>
      </c>
      <c r="W116" s="767">
        <v>0</v>
      </c>
      <c r="X116" s="378"/>
      <c r="Y116" s="180"/>
      <c r="Z116" s="180"/>
      <c r="AA116" s="180"/>
      <c r="AB116" s="180"/>
    </row>
    <row r="117" spans="1:28" x14ac:dyDescent="0.2">
      <c r="A117" s="636"/>
      <c r="B117" s="388" t="s">
        <v>81</v>
      </c>
      <c r="C117" s="391"/>
      <c r="D117" s="391"/>
      <c r="E117" s="391"/>
      <c r="F117" s="391"/>
      <c r="G117" s="391"/>
      <c r="H117" s="391"/>
      <c r="I117" s="765"/>
      <c r="J117" s="391"/>
      <c r="K117" s="391"/>
      <c r="L117" s="391"/>
      <c r="M117" s="391"/>
      <c r="N117" s="391"/>
      <c r="O117" s="765"/>
      <c r="P117" s="391"/>
      <c r="Q117" s="391"/>
      <c r="R117" s="391"/>
      <c r="S117" s="765"/>
      <c r="T117" s="391"/>
      <c r="U117" s="765"/>
      <c r="V117" s="391"/>
      <c r="W117" s="765"/>
      <c r="X117" s="378"/>
      <c r="Y117" s="180"/>
      <c r="Z117" s="180"/>
      <c r="AA117" s="180"/>
      <c r="AB117" s="180"/>
    </row>
    <row r="118" spans="1:28" s="203" customFormat="1" x14ac:dyDescent="0.2">
      <c r="A118" s="636"/>
      <c r="B118" s="389" t="s">
        <v>318</v>
      </c>
      <c r="C118" s="392"/>
      <c r="D118" s="392"/>
      <c r="E118" s="392"/>
      <c r="F118" s="392"/>
      <c r="G118" s="392"/>
      <c r="H118" s="392"/>
      <c r="I118" s="766"/>
      <c r="J118" s="392"/>
      <c r="K118" s="392"/>
      <c r="L118" s="392"/>
      <c r="M118" s="392"/>
      <c r="N118" s="392"/>
      <c r="O118" s="766"/>
      <c r="P118" s="392"/>
      <c r="Q118" s="392"/>
      <c r="R118" s="392"/>
      <c r="S118" s="766"/>
      <c r="T118" s="392"/>
      <c r="U118" s="766"/>
      <c r="V118" s="392"/>
      <c r="W118" s="766"/>
      <c r="X118" s="378"/>
      <c r="Y118" s="180"/>
      <c r="Z118" s="180"/>
      <c r="AA118" s="180"/>
      <c r="AB118" s="180"/>
    </row>
    <row r="119" spans="1:28" s="202" customFormat="1" x14ac:dyDescent="0.2">
      <c r="A119" s="636"/>
      <c r="B119" s="639" t="s">
        <v>236</v>
      </c>
      <c r="C119" s="466">
        <v>0</v>
      </c>
      <c r="D119" s="466">
        <v>0</v>
      </c>
      <c r="E119" s="466">
        <v>0</v>
      </c>
      <c r="F119" s="466">
        <v>0</v>
      </c>
      <c r="G119" s="466">
        <v>0</v>
      </c>
      <c r="H119" s="466">
        <v>0</v>
      </c>
      <c r="I119" s="767">
        <v>0</v>
      </c>
      <c r="J119" s="466">
        <v>0</v>
      </c>
      <c r="K119" s="466">
        <v>0</v>
      </c>
      <c r="L119" s="466">
        <v>0</v>
      </c>
      <c r="M119" s="466">
        <v>0</v>
      </c>
      <c r="N119" s="466">
        <v>0</v>
      </c>
      <c r="O119" s="767">
        <v>0</v>
      </c>
      <c r="P119" s="466">
        <v>0</v>
      </c>
      <c r="Q119" s="466">
        <v>0</v>
      </c>
      <c r="R119" s="466">
        <v>0</v>
      </c>
      <c r="S119" s="767">
        <v>0</v>
      </c>
      <c r="T119" s="466">
        <v>0</v>
      </c>
      <c r="U119" s="767">
        <v>0</v>
      </c>
      <c r="V119" s="466">
        <v>0</v>
      </c>
      <c r="W119" s="767">
        <v>0</v>
      </c>
      <c r="X119" s="378"/>
      <c r="Y119" s="180"/>
      <c r="Z119" s="180"/>
      <c r="AA119" s="180"/>
      <c r="AB119" s="180"/>
    </row>
    <row r="120" spans="1:28" x14ac:dyDescent="0.2">
      <c r="A120" s="636"/>
      <c r="B120" s="388" t="s">
        <v>19</v>
      </c>
      <c r="C120" s="391">
        <v>605677088</v>
      </c>
      <c r="D120" s="391"/>
      <c r="E120" s="391">
        <v>76251139</v>
      </c>
      <c r="F120" s="391"/>
      <c r="G120" s="391"/>
      <c r="H120" s="391"/>
      <c r="I120" s="765">
        <v>681928227</v>
      </c>
      <c r="J120" s="391"/>
      <c r="K120" s="391">
        <v>52159200</v>
      </c>
      <c r="L120" s="391">
        <v>52606300</v>
      </c>
      <c r="M120" s="391"/>
      <c r="N120" s="391"/>
      <c r="O120" s="765">
        <v>104765500</v>
      </c>
      <c r="P120" s="391"/>
      <c r="Q120" s="391"/>
      <c r="R120" s="391"/>
      <c r="S120" s="765"/>
      <c r="T120" s="391"/>
      <c r="U120" s="765"/>
      <c r="V120" s="391">
        <v>1918000</v>
      </c>
      <c r="W120" s="765">
        <v>788611727</v>
      </c>
      <c r="X120" s="378"/>
      <c r="Y120" s="180"/>
      <c r="Z120" s="180"/>
      <c r="AA120" s="180"/>
      <c r="AB120" s="180"/>
    </row>
    <row r="121" spans="1:28" s="203" customFormat="1" x14ac:dyDescent="0.2">
      <c r="A121" s="636"/>
      <c r="B121" s="389" t="s">
        <v>21</v>
      </c>
      <c r="C121" s="392">
        <v>634399031</v>
      </c>
      <c r="D121" s="392"/>
      <c r="E121" s="392">
        <v>83449188</v>
      </c>
      <c r="F121" s="392"/>
      <c r="G121" s="392"/>
      <c r="H121" s="392"/>
      <c r="I121" s="766">
        <v>717848219</v>
      </c>
      <c r="J121" s="392"/>
      <c r="K121" s="392">
        <v>54400300</v>
      </c>
      <c r="L121" s="392">
        <v>55445500</v>
      </c>
      <c r="M121" s="392"/>
      <c r="N121" s="392"/>
      <c r="O121" s="766">
        <v>109845800</v>
      </c>
      <c r="P121" s="392"/>
      <c r="Q121" s="392"/>
      <c r="R121" s="392"/>
      <c r="S121" s="766"/>
      <c r="T121" s="392"/>
      <c r="U121" s="766"/>
      <c r="V121" s="392">
        <v>1918000</v>
      </c>
      <c r="W121" s="766">
        <v>829612019</v>
      </c>
      <c r="X121" s="378"/>
      <c r="Y121" s="180"/>
      <c r="Z121" s="180"/>
      <c r="AA121" s="180"/>
      <c r="AB121" s="180"/>
    </row>
    <row r="122" spans="1:28" s="212" customFormat="1" ht="13.5" thickBot="1" x14ac:dyDescent="0.25">
      <c r="A122" s="640"/>
      <c r="B122" s="777" t="s">
        <v>23</v>
      </c>
      <c r="C122" s="778">
        <v>4.742121432204482</v>
      </c>
      <c r="D122" s="778">
        <v>0</v>
      </c>
      <c r="E122" s="778">
        <v>9.4399232515071034</v>
      </c>
      <c r="F122" s="778">
        <v>0</v>
      </c>
      <c r="G122" s="778">
        <v>0</v>
      </c>
      <c r="H122" s="778">
        <v>0</v>
      </c>
      <c r="I122" s="779">
        <v>5.2674153346052943</v>
      </c>
      <c r="J122" s="778">
        <v>0</v>
      </c>
      <c r="K122" s="778">
        <v>4.2966533229037251</v>
      </c>
      <c r="L122" s="778">
        <v>5.3970722137842806</v>
      </c>
      <c r="M122" s="778">
        <v>0</v>
      </c>
      <c r="N122" s="778">
        <v>0</v>
      </c>
      <c r="O122" s="779">
        <v>4.8492108566274199</v>
      </c>
      <c r="P122" s="778">
        <v>0</v>
      </c>
      <c r="Q122" s="778">
        <v>0</v>
      </c>
      <c r="R122" s="778">
        <v>0</v>
      </c>
      <c r="S122" s="779">
        <v>0</v>
      </c>
      <c r="T122" s="778">
        <v>0</v>
      </c>
      <c r="U122" s="779">
        <v>0</v>
      </c>
      <c r="V122" s="778">
        <v>0</v>
      </c>
      <c r="W122" s="779">
        <v>5.199046704006216</v>
      </c>
      <c r="X122" s="378"/>
      <c r="Y122" s="180"/>
      <c r="Z122" s="180"/>
      <c r="AA122" s="180"/>
      <c r="AB122" s="180"/>
    </row>
    <row r="123" spans="1:28" ht="13.5" thickTop="1" x14ac:dyDescent="0.2">
      <c r="A123" s="230" t="s">
        <v>149</v>
      </c>
      <c r="B123" s="780" t="s">
        <v>190</v>
      </c>
      <c r="C123" s="781">
        <v>916093745</v>
      </c>
      <c r="D123" s="781">
        <v>105414476</v>
      </c>
      <c r="E123" s="781">
        <v>184897389</v>
      </c>
      <c r="F123" s="781">
        <v>41444084</v>
      </c>
      <c r="G123" s="781"/>
      <c r="H123" s="781">
        <v>13590274</v>
      </c>
      <c r="I123" s="782">
        <v>1261439968</v>
      </c>
      <c r="J123" s="781">
        <v>647624120</v>
      </c>
      <c r="K123" s="781">
        <v>332618814</v>
      </c>
      <c r="L123" s="781">
        <v>59610392</v>
      </c>
      <c r="M123" s="781">
        <v>11936948</v>
      </c>
      <c r="N123" s="781"/>
      <c r="O123" s="782">
        <v>1051790274</v>
      </c>
      <c r="P123" s="781"/>
      <c r="Q123" s="781"/>
      <c r="R123" s="781"/>
      <c r="S123" s="782"/>
      <c r="T123" s="781"/>
      <c r="U123" s="782"/>
      <c r="V123" s="781"/>
      <c r="W123" s="782">
        <v>2313230242</v>
      </c>
      <c r="X123" s="378"/>
      <c r="Y123" s="180"/>
      <c r="Z123" s="180"/>
      <c r="AA123" s="180"/>
      <c r="AB123" s="180"/>
    </row>
    <row r="124" spans="1:28" s="203" customFormat="1" x14ac:dyDescent="0.2">
      <c r="A124" s="636"/>
      <c r="B124" s="389" t="s">
        <v>4</v>
      </c>
      <c r="C124" s="392">
        <v>1263033314</v>
      </c>
      <c r="D124" s="392">
        <v>134534266</v>
      </c>
      <c r="E124" s="392">
        <v>237443910</v>
      </c>
      <c r="F124" s="392">
        <v>55191063</v>
      </c>
      <c r="G124" s="392"/>
      <c r="H124" s="392">
        <v>16739914</v>
      </c>
      <c r="I124" s="766">
        <v>1706942467</v>
      </c>
      <c r="J124" s="392">
        <v>677541754</v>
      </c>
      <c r="K124" s="392">
        <v>345729801</v>
      </c>
      <c r="L124" s="392">
        <v>63760779</v>
      </c>
      <c r="M124" s="392">
        <v>13356376</v>
      </c>
      <c r="N124" s="392"/>
      <c r="O124" s="766">
        <v>1100388710</v>
      </c>
      <c r="P124" s="392"/>
      <c r="Q124" s="392"/>
      <c r="R124" s="392"/>
      <c r="S124" s="766"/>
      <c r="T124" s="392"/>
      <c r="U124" s="766"/>
      <c r="V124" s="392"/>
      <c r="W124" s="766">
        <v>2807331177</v>
      </c>
      <c r="X124" s="378"/>
      <c r="Y124" s="180"/>
      <c r="Z124" s="180"/>
      <c r="AA124" s="180"/>
      <c r="AB124" s="180"/>
    </row>
    <row r="125" spans="1:28" s="202" customFormat="1" x14ac:dyDescent="0.2">
      <c r="A125" s="637"/>
      <c r="B125" s="639" t="s">
        <v>116</v>
      </c>
      <c r="C125" s="763">
        <v>37.871622952736125</v>
      </c>
      <c r="D125" s="763">
        <v>27.624090262517647</v>
      </c>
      <c r="E125" s="763">
        <v>28.419287738022085</v>
      </c>
      <c r="F125" s="763">
        <v>33.169942904275551</v>
      </c>
      <c r="G125" s="466">
        <v>0</v>
      </c>
      <c r="H125" s="763">
        <v>23.175691674796255</v>
      </c>
      <c r="I125" s="767">
        <v>35.316979824758491</v>
      </c>
      <c r="J125" s="466">
        <v>4.6195984794389684</v>
      </c>
      <c r="K125" s="466">
        <v>3.9417454600147783</v>
      </c>
      <c r="L125" s="466">
        <v>6.9625225749228425</v>
      </c>
      <c r="M125" s="763">
        <v>11.891046187015307</v>
      </c>
      <c r="N125" s="466">
        <v>0</v>
      </c>
      <c r="O125" s="767">
        <v>4.6205443424741155</v>
      </c>
      <c r="P125" s="466">
        <v>0</v>
      </c>
      <c r="Q125" s="466">
        <v>0</v>
      </c>
      <c r="R125" s="466">
        <v>0</v>
      </c>
      <c r="S125" s="767">
        <v>0</v>
      </c>
      <c r="T125" s="466">
        <v>0</v>
      </c>
      <c r="U125" s="767">
        <v>0</v>
      </c>
      <c r="V125" s="466">
        <v>0</v>
      </c>
      <c r="W125" s="767">
        <v>21.359781920056705</v>
      </c>
      <c r="X125" s="378"/>
      <c r="Y125" s="180"/>
      <c r="Z125" s="180"/>
      <c r="AA125" s="180"/>
      <c r="AB125" s="180"/>
    </row>
    <row r="126" spans="1:28" x14ac:dyDescent="0.2">
      <c r="A126" s="636"/>
      <c r="B126" s="388" t="s">
        <v>195</v>
      </c>
      <c r="C126" s="391">
        <v>178752654</v>
      </c>
      <c r="D126" s="391">
        <v>16395494</v>
      </c>
      <c r="E126" s="391">
        <v>7043044</v>
      </c>
      <c r="F126" s="391">
        <v>698935</v>
      </c>
      <c r="G126" s="391"/>
      <c r="H126" s="391">
        <v>490124</v>
      </c>
      <c r="I126" s="765">
        <v>203380251</v>
      </c>
      <c r="J126" s="391"/>
      <c r="K126" s="391"/>
      <c r="L126" s="391"/>
      <c r="M126" s="391"/>
      <c r="N126" s="391"/>
      <c r="O126" s="765"/>
      <c r="P126" s="391"/>
      <c r="Q126" s="391"/>
      <c r="R126" s="391"/>
      <c r="S126" s="765"/>
      <c r="T126" s="391"/>
      <c r="U126" s="765"/>
      <c r="V126" s="391">
        <v>13316114</v>
      </c>
      <c r="W126" s="765">
        <v>216696365</v>
      </c>
      <c r="X126" s="378"/>
      <c r="Y126" s="180"/>
      <c r="Z126" s="180"/>
      <c r="AA126" s="180"/>
      <c r="AB126" s="180"/>
    </row>
    <row r="127" spans="1:28" s="203" customFormat="1" x14ac:dyDescent="0.2">
      <c r="A127" s="636"/>
      <c r="B127" s="389" t="s">
        <v>242</v>
      </c>
      <c r="C127" s="392">
        <v>185379285</v>
      </c>
      <c r="D127" s="392">
        <v>17839654</v>
      </c>
      <c r="E127" s="392">
        <v>7215961</v>
      </c>
      <c r="F127" s="392">
        <v>698935</v>
      </c>
      <c r="G127" s="392"/>
      <c r="H127" s="392">
        <v>490126</v>
      </c>
      <c r="I127" s="766">
        <v>211623961</v>
      </c>
      <c r="J127" s="392"/>
      <c r="K127" s="392"/>
      <c r="L127" s="392"/>
      <c r="M127" s="392"/>
      <c r="N127" s="392"/>
      <c r="O127" s="766"/>
      <c r="P127" s="392"/>
      <c r="Q127" s="392"/>
      <c r="R127" s="392"/>
      <c r="S127" s="766"/>
      <c r="T127" s="392"/>
      <c r="U127" s="766"/>
      <c r="V127" s="392">
        <v>13316114</v>
      </c>
      <c r="W127" s="766">
        <v>224940075</v>
      </c>
      <c r="X127" s="378"/>
      <c r="Y127" s="180"/>
      <c r="Z127" s="180"/>
      <c r="AA127" s="180"/>
      <c r="AB127" s="180"/>
    </row>
    <row r="128" spans="1:28" s="202" customFormat="1" x14ac:dyDescent="0.2">
      <c r="A128" s="636"/>
      <c r="B128" s="639" t="s">
        <v>244</v>
      </c>
      <c r="C128" s="466">
        <v>3.7071511117255915</v>
      </c>
      <c r="D128" s="466">
        <v>8.8082737854681294</v>
      </c>
      <c r="E128" s="466">
        <v>2.4551458147925813</v>
      </c>
      <c r="F128" s="466">
        <v>0</v>
      </c>
      <c r="G128" s="466">
        <v>0</v>
      </c>
      <c r="H128" s="466">
        <v>4.0806000114256805E-4</v>
      </c>
      <c r="I128" s="767">
        <v>4.0533483263328254</v>
      </c>
      <c r="J128" s="466">
        <v>0</v>
      </c>
      <c r="K128" s="466">
        <v>0</v>
      </c>
      <c r="L128" s="466">
        <v>0</v>
      </c>
      <c r="M128" s="466">
        <v>0</v>
      </c>
      <c r="N128" s="466">
        <v>0</v>
      </c>
      <c r="O128" s="767">
        <v>0</v>
      </c>
      <c r="P128" s="466">
        <v>0</v>
      </c>
      <c r="Q128" s="466">
        <v>0</v>
      </c>
      <c r="R128" s="466">
        <v>0</v>
      </c>
      <c r="S128" s="767">
        <v>0</v>
      </c>
      <c r="T128" s="466">
        <v>0</v>
      </c>
      <c r="U128" s="767">
        <v>0</v>
      </c>
      <c r="V128" s="466">
        <v>0</v>
      </c>
      <c r="W128" s="767">
        <v>3.8042677827106144</v>
      </c>
      <c r="X128" s="378"/>
      <c r="Y128" s="180"/>
      <c r="Z128" s="180"/>
      <c r="AA128" s="180"/>
      <c r="AB128" s="180"/>
    </row>
    <row r="129" spans="1:28" x14ac:dyDescent="0.2">
      <c r="A129" s="636"/>
      <c r="B129" s="388" t="s">
        <v>5</v>
      </c>
      <c r="C129" s="391"/>
      <c r="D129" s="391"/>
      <c r="E129" s="391"/>
      <c r="F129" s="391"/>
      <c r="G129" s="391"/>
      <c r="H129" s="391"/>
      <c r="I129" s="765"/>
      <c r="J129" s="391"/>
      <c r="K129" s="391"/>
      <c r="L129" s="391"/>
      <c r="M129" s="391"/>
      <c r="N129" s="391"/>
      <c r="O129" s="765"/>
      <c r="P129" s="391"/>
      <c r="Q129" s="391"/>
      <c r="R129" s="391"/>
      <c r="S129" s="765"/>
      <c r="T129" s="391"/>
      <c r="U129" s="765"/>
      <c r="V129" s="391"/>
      <c r="W129" s="765"/>
      <c r="X129" s="378"/>
      <c r="Y129" s="180"/>
      <c r="Z129" s="180"/>
      <c r="AA129" s="180"/>
      <c r="AB129" s="180"/>
    </row>
    <row r="130" spans="1:28" s="203" customFormat="1" x14ac:dyDescent="0.2">
      <c r="A130" s="636"/>
      <c r="B130" s="389" t="s">
        <v>6</v>
      </c>
      <c r="C130" s="392"/>
      <c r="D130" s="392"/>
      <c r="E130" s="392"/>
      <c r="F130" s="392"/>
      <c r="G130" s="392"/>
      <c r="H130" s="392"/>
      <c r="I130" s="766"/>
      <c r="J130" s="392"/>
      <c r="K130" s="392"/>
      <c r="L130" s="392"/>
      <c r="M130" s="392"/>
      <c r="N130" s="392"/>
      <c r="O130" s="766"/>
      <c r="P130" s="392"/>
      <c r="Q130" s="392"/>
      <c r="R130" s="392"/>
      <c r="S130" s="766"/>
      <c r="T130" s="392"/>
      <c r="U130" s="766"/>
      <c r="V130" s="392"/>
      <c r="W130" s="766"/>
      <c r="X130" s="378"/>
      <c r="Y130" s="180"/>
      <c r="Z130" s="180"/>
      <c r="AA130" s="180"/>
      <c r="AB130" s="180"/>
    </row>
    <row r="131" spans="1:28" s="202" customFormat="1" x14ac:dyDescent="0.2">
      <c r="A131" s="636"/>
      <c r="B131" s="639" t="s">
        <v>298</v>
      </c>
      <c r="C131" s="466">
        <v>0</v>
      </c>
      <c r="D131" s="466">
        <v>0</v>
      </c>
      <c r="E131" s="466">
        <v>0</v>
      </c>
      <c r="F131" s="466">
        <v>0</v>
      </c>
      <c r="G131" s="466">
        <v>0</v>
      </c>
      <c r="H131" s="466">
        <v>0</v>
      </c>
      <c r="I131" s="767">
        <v>0</v>
      </c>
      <c r="J131" s="466">
        <v>0</v>
      </c>
      <c r="K131" s="466">
        <v>0</v>
      </c>
      <c r="L131" s="466">
        <v>0</v>
      </c>
      <c r="M131" s="466">
        <v>0</v>
      </c>
      <c r="N131" s="466">
        <v>0</v>
      </c>
      <c r="O131" s="767">
        <v>0</v>
      </c>
      <c r="P131" s="466">
        <v>0</v>
      </c>
      <c r="Q131" s="466">
        <v>0</v>
      </c>
      <c r="R131" s="466">
        <v>0</v>
      </c>
      <c r="S131" s="767">
        <v>0</v>
      </c>
      <c r="T131" s="466">
        <v>0</v>
      </c>
      <c r="U131" s="767">
        <v>0</v>
      </c>
      <c r="V131" s="466">
        <v>0</v>
      </c>
      <c r="W131" s="767">
        <v>0</v>
      </c>
      <c r="X131" s="378"/>
      <c r="Y131" s="180"/>
      <c r="Z131" s="180"/>
      <c r="AA131" s="180"/>
      <c r="AB131" s="180"/>
    </row>
    <row r="132" spans="1:28" x14ac:dyDescent="0.2">
      <c r="A132" s="636"/>
      <c r="B132" s="388" t="s">
        <v>223</v>
      </c>
      <c r="C132" s="391">
        <v>1235562801.2751999</v>
      </c>
      <c r="D132" s="391">
        <v>114182180.752</v>
      </c>
      <c r="E132" s="391">
        <v>188817225.13599998</v>
      </c>
      <c r="F132" s="391">
        <v>59772181.347199999</v>
      </c>
      <c r="G132" s="391"/>
      <c r="H132" s="391">
        <v>6100592.4896</v>
      </c>
      <c r="I132" s="765">
        <v>1604434980.9999998</v>
      </c>
      <c r="J132" s="391">
        <v>539103627</v>
      </c>
      <c r="K132" s="391">
        <v>304412794</v>
      </c>
      <c r="L132" s="391">
        <v>24497370</v>
      </c>
      <c r="M132" s="391">
        <v>4484055</v>
      </c>
      <c r="N132" s="391"/>
      <c r="O132" s="765">
        <v>872497846</v>
      </c>
      <c r="P132" s="391"/>
      <c r="Q132" s="391"/>
      <c r="R132" s="391"/>
      <c r="S132" s="765"/>
      <c r="T132" s="391"/>
      <c r="U132" s="765"/>
      <c r="V132" s="391"/>
      <c r="W132" s="765">
        <v>2476932827</v>
      </c>
      <c r="X132" s="378"/>
      <c r="Y132" s="180"/>
      <c r="Z132" s="180"/>
      <c r="AA132" s="180"/>
      <c r="AB132" s="180"/>
    </row>
    <row r="133" spans="1:28" s="203" customFormat="1" x14ac:dyDescent="0.2">
      <c r="A133" s="636"/>
      <c r="B133" s="389" t="s">
        <v>14</v>
      </c>
      <c r="C133" s="392">
        <v>1322472896</v>
      </c>
      <c r="D133" s="392">
        <v>123055364</v>
      </c>
      <c r="E133" s="392">
        <v>194914769</v>
      </c>
      <c r="F133" s="392">
        <v>61039484</v>
      </c>
      <c r="G133" s="392"/>
      <c r="H133" s="392">
        <v>6157918</v>
      </c>
      <c r="I133" s="766">
        <v>1707640431</v>
      </c>
      <c r="J133" s="392">
        <v>522138713</v>
      </c>
      <c r="K133" s="392">
        <v>290706508</v>
      </c>
      <c r="L133" s="392">
        <v>23697000</v>
      </c>
      <c r="M133" s="392">
        <v>4143202</v>
      </c>
      <c r="N133" s="392"/>
      <c r="O133" s="766">
        <v>840685423</v>
      </c>
      <c r="P133" s="392"/>
      <c r="Q133" s="392"/>
      <c r="R133" s="392"/>
      <c r="S133" s="766"/>
      <c r="T133" s="392"/>
      <c r="U133" s="766"/>
      <c r="V133" s="392"/>
      <c r="W133" s="766">
        <v>2548325854</v>
      </c>
      <c r="X133" s="378"/>
      <c r="Y133" s="180"/>
      <c r="Z133" s="180"/>
      <c r="AA133" s="180"/>
      <c r="AB133" s="180"/>
    </row>
    <row r="134" spans="1:28" s="202" customFormat="1" x14ac:dyDescent="0.2">
      <c r="A134" s="636"/>
      <c r="B134" s="639" t="s">
        <v>247</v>
      </c>
      <c r="C134" s="466">
        <v>7.0340491503225842</v>
      </c>
      <c r="D134" s="466">
        <v>7.7710753022595194</v>
      </c>
      <c r="E134" s="466">
        <v>3.2293366559158598</v>
      </c>
      <c r="F134" s="466">
        <v>2.1202215215111395</v>
      </c>
      <c r="G134" s="466">
        <v>0</v>
      </c>
      <c r="H134" s="466">
        <v>0.93967119583427072</v>
      </c>
      <c r="I134" s="767">
        <v>6.4325105861052183</v>
      </c>
      <c r="J134" s="466">
        <v>-3.1468743948925426</v>
      </c>
      <c r="K134" s="466">
        <v>-4.5025328337546817</v>
      </c>
      <c r="L134" s="466">
        <v>-3.2671670469115663</v>
      </c>
      <c r="M134" s="466">
        <v>-7.6014455665686524</v>
      </c>
      <c r="N134" s="466">
        <v>0</v>
      </c>
      <c r="O134" s="767">
        <v>-3.6461319813963189</v>
      </c>
      <c r="P134" s="466">
        <v>0</v>
      </c>
      <c r="Q134" s="466">
        <v>0</v>
      </c>
      <c r="R134" s="466">
        <v>0</v>
      </c>
      <c r="S134" s="767">
        <v>0</v>
      </c>
      <c r="T134" s="466">
        <v>0</v>
      </c>
      <c r="U134" s="767">
        <v>0</v>
      </c>
      <c r="V134" s="466">
        <v>0</v>
      </c>
      <c r="W134" s="767">
        <v>2.8823158311672694</v>
      </c>
      <c r="X134" s="378"/>
      <c r="Y134" s="180"/>
      <c r="Z134" s="180"/>
      <c r="AA134" s="180"/>
      <c r="AB134" s="180"/>
    </row>
    <row r="135" spans="1:28" x14ac:dyDescent="0.2">
      <c r="A135" s="636"/>
      <c r="B135" s="388" t="s">
        <v>225</v>
      </c>
      <c r="C135" s="391">
        <v>20270101.5</v>
      </c>
      <c r="D135" s="391">
        <v>2208553.8199999998</v>
      </c>
      <c r="E135" s="391">
        <v>3579003.78</v>
      </c>
      <c r="F135" s="391">
        <v>1149321.58</v>
      </c>
      <c r="G135" s="391"/>
      <c r="H135" s="391">
        <v>92819.32</v>
      </c>
      <c r="I135" s="765">
        <v>27299800</v>
      </c>
      <c r="J135" s="391"/>
      <c r="K135" s="391"/>
      <c r="L135" s="391"/>
      <c r="M135" s="391"/>
      <c r="N135" s="391"/>
      <c r="O135" s="765"/>
      <c r="P135" s="391"/>
      <c r="Q135" s="391"/>
      <c r="R135" s="391"/>
      <c r="S135" s="765"/>
      <c r="T135" s="391"/>
      <c r="U135" s="765"/>
      <c r="V135" s="391"/>
      <c r="W135" s="765">
        <v>27299800</v>
      </c>
      <c r="X135" s="378"/>
      <c r="Y135" s="180"/>
      <c r="Z135" s="180"/>
      <c r="AA135" s="180"/>
      <c r="AB135" s="180"/>
    </row>
    <row r="136" spans="1:28" s="203" customFormat="1" x14ac:dyDescent="0.2">
      <c r="A136" s="636"/>
      <c r="B136" s="389" t="s">
        <v>166</v>
      </c>
      <c r="C136" s="392">
        <v>15950955.190000001</v>
      </c>
      <c r="D136" s="392">
        <v>1918098.03</v>
      </c>
      <c r="E136" s="392">
        <v>2779726.71</v>
      </c>
      <c r="F136" s="392">
        <v>933070.26</v>
      </c>
      <c r="G136" s="392"/>
      <c r="H136" s="392">
        <v>67111.78</v>
      </c>
      <c r="I136" s="766">
        <v>21648961.970000006</v>
      </c>
      <c r="J136" s="392"/>
      <c r="K136" s="392"/>
      <c r="L136" s="392"/>
      <c r="M136" s="392"/>
      <c r="N136" s="392"/>
      <c r="O136" s="766"/>
      <c r="P136" s="392"/>
      <c r="Q136" s="392"/>
      <c r="R136" s="392"/>
      <c r="S136" s="766"/>
      <c r="T136" s="392"/>
      <c r="U136" s="766"/>
      <c r="V136" s="392"/>
      <c r="W136" s="766">
        <v>21648961.970000006</v>
      </c>
      <c r="X136" s="378"/>
      <c r="Y136" s="180"/>
      <c r="Z136" s="180"/>
      <c r="AA136" s="180"/>
      <c r="AB136" s="180"/>
    </row>
    <row r="137" spans="1:28" s="202" customFormat="1" x14ac:dyDescent="0.2">
      <c r="A137" s="636"/>
      <c r="B137" s="639" t="s">
        <v>175</v>
      </c>
      <c r="C137" s="763">
        <v>-21.307965872790515</v>
      </c>
      <c r="D137" s="763">
        <v>-13.151401943195562</v>
      </c>
      <c r="E137" s="763">
        <v>-22.332389657325255</v>
      </c>
      <c r="F137" s="763">
        <v>-18.815562481651135</v>
      </c>
      <c r="G137" s="466">
        <v>0</v>
      </c>
      <c r="H137" s="763">
        <v>-27.696324429008968</v>
      </c>
      <c r="I137" s="767">
        <v>-20.69919204536297</v>
      </c>
      <c r="J137" s="466">
        <v>0</v>
      </c>
      <c r="K137" s="466">
        <v>0</v>
      </c>
      <c r="L137" s="466">
        <v>0</v>
      </c>
      <c r="M137" s="466">
        <v>0</v>
      </c>
      <c r="N137" s="466">
        <v>0</v>
      </c>
      <c r="O137" s="767">
        <v>0</v>
      </c>
      <c r="P137" s="466">
        <v>0</v>
      </c>
      <c r="Q137" s="466">
        <v>0</v>
      </c>
      <c r="R137" s="466">
        <v>0</v>
      </c>
      <c r="S137" s="767">
        <v>0</v>
      </c>
      <c r="T137" s="466">
        <v>0</v>
      </c>
      <c r="U137" s="767">
        <v>0</v>
      </c>
      <c r="V137" s="466">
        <v>0</v>
      </c>
      <c r="W137" s="767">
        <v>-20.69919204536297</v>
      </c>
      <c r="X137" s="378"/>
      <c r="Y137" s="180"/>
      <c r="Z137" s="180"/>
      <c r="AA137" s="180"/>
      <c r="AB137" s="180"/>
    </row>
    <row r="138" spans="1:28" x14ac:dyDescent="0.2">
      <c r="A138" s="636"/>
      <c r="B138" s="768" t="s">
        <v>317</v>
      </c>
      <c r="C138" s="765">
        <v>1255832902.7751999</v>
      </c>
      <c r="D138" s="765">
        <v>116390734.572</v>
      </c>
      <c r="E138" s="765">
        <v>192396228.91599998</v>
      </c>
      <c r="F138" s="765">
        <v>60921502.927199997</v>
      </c>
      <c r="G138" s="765"/>
      <c r="H138" s="765">
        <v>6193411.8096000003</v>
      </c>
      <c r="I138" s="765">
        <v>1631734781</v>
      </c>
      <c r="J138" s="765">
        <v>539103627</v>
      </c>
      <c r="K138" s="765">
        <v>304412794</v>
      </c>
      <c r="L138" s="765">
        <v>24497370</v>
      </c>
      <c r="M138" s="765">
        <v>4484055</v>
      </c>
      <c r="N138" s="765"/>
      <c r="O138" s="765">
        <v>872497846</v>
      </c>
      <c r="P138" s="765"/>
      <c r="Q138" s="765"/>
      <c r="R138" s="765"/>
      <c r="S138" s="765"/>
      <c r="T138" s="765"/>
      <c r="U138" s="765"/>
      <c r="V138" s="765">
        <v>0</v>
      </c>
      <c r="W138" s="765">
        <v>2504232627</v>
      </c>
      <c r="X138" s="378"/>
      <c r="Y138" s="180"/>
      <c r="Z138" s="180"/>
      <c r="AA138" s="180"/>
      <c r="AB138" s="180"/>
    </row>
    <row r="139" spans="1:28" s="203" customFormat="1" x14ac:dyDescent="0.2">
      <c r="A139" s="636"/>
      <c r="B139" s="769" t="s">
        <v>70</v>
      </c>
      <c r="C139" s="766">
        <v>1338423851.1900001</v>
      </c>
      <c r="D139" s="766">
        <v>124973462.03</v>
      </c>
      <c r="E139" s="766">
        <v>197694495.70999998</v>
      </c>
      <c r="F139" s="766">
        <v>61972554.259999998</v>
      </c>
      <c r="G139" s="766"/>
      <c r="H139" s="766">
        <v>6225029.7800000003</v>
      </c>
      <c r="I139" s="766">
        <v>1729289392.97</v>
      </c>
      <c r="J139" s="766">
        <v>522138713</v>
      </c>
      <c r="K139" s="766">
        <v>290706508</v>
      </c>
      <c r="L139" s="766">
        <v>23697000</v>
      </c>
      <c r="M139" s="766">
        <v>4143202</v>
      </c>
      <c r="N139" s="766"/>
      <c r="O139" s="766">
        <v>840685423</v>
      </c>
      <c r="P139" s="766"/>
      <c r="Q139" s="766"/>
      <c r="R139" s="766"/>
      <c r="S139" s="766"/>
      <c r="T139" s="766"/>
      <c r="U139" s="766"/>
      <c r="V139" s="766">
        <v>0</v>
      </c>
      <c r="W139" s="766">
        <v>2569974815.9700003</v>
      </c>
      <c r="X139" s="378"/>
      <c r="Y139" s="180"/>
      <c r="Z139" s="180"/>
      <c r="AA139" s="180"/>
      <c r="AB139" s="180"/>
    </row>
    <row r="140" spans="1:28" s="202" customFormat="1" x14ac:dyDescent="0.2">
      <c r="A140" s="636"/>
      <c r="B140" s="770" t="s">
        <v>57</v>
      </c>
      <c r="C140" s="767">
        <v>6.5765873972792654</v>
      </c>
      <c r="D140" s="767">
        <v>7.3740641723424112</v>
      </c>
      <c r="E140" s="767">
        <v>2.7538308956737496</v>
      </c>
      <c r="F140" s="767">
        <v>1.7252550943399847</v>
      </c>
      <c r="G140" s="767">
        <v>0</v>
      </c>
      <c r="H140" s="767">
        <v>0.5105097379604413</v>
      </c>
      <c r="I140" s="767">
        <v>5.9785826168523508</v>
      </c>
      <c r="J140" s="767">
        <v>-3.1468743948925426</v>
      </c>
      <c r="K140" s="767">
        <v>-4.5025328337546817</v>
      </c>
      <c r="L140" s="767">
        <v>-3.2671670469115663</v>
      </c>
      <c r="M140" s="767">
        <v>-7.6014455665686524</v>
      </c>
      <c r="N140" s="767">
        <v>0</v>
      </c>
      <c r="O140" s="767">
        <v>-3.6461319813963189</v>
      </c>
      <c r="P140" s="767">
        <v>0</v>
      </c>
      <c r="Q140" s="767">
        <v>0</v>
      </c>
      <c r="R140" s="767">
        <v>0</v>
      </c>
      <c r="S140" s="767">
        <v>0</v>
      </c>
      <c r="T140" s="767">
        <v>0</v>
      </c>
      <c r="U140" s="767">
        <v>0</v>
      </c>
      <c r="V140" s="767">
        <v>0</v>
      </c>
      <c r="W140" s="767">
        <v>2.6252428892262119</v>
      </c>
      <c r="X140" s="378"/>
      <c r="Y140" s="180"/>
      <c r="Z140" s="180"/>
      <c r="AA140" s="180"/>
      <c r="AB140" s="180"/>
    </row>
    <row r="141" spans="1:28" x14ac:dyDescent="0.2">
      <c r="A141" s="636"/>
      <c r="B141" s="388" t="s">
        <v>72</v>
      </c>
      <c r="C141" s="391"/>
      <c r="D141" s="391"/>
      <c r="E141" s="391"/>
      <c r="F141" s="391"/>
      <c r="G141" s="391"/>
      <c r="H141" s="391"/>
      <c r="I141" s="765"/>
      <c r="J141" s="391"/>
      <c r="K141" s="391"/>
      <c r="L141" s="391"/>
      <c r="M141" s="391"/>
      <c r="N141" s="391"/>
      <c r="O141" s="765"/>
      <c r="P141" s="391"/>
      <c r="Q141" s="391"/>
      <c r="R141" s="391"/>
      <c r="S141" s="765"/>
      <c r="T141" s="391"/>
      <c r="U141" s="765"/>
      <c r="V141" s="391">
        <v>571456666.07000005</v>
      </c>
      <c r="W141" s="765">
        <v>571456666.07000005</v>
      </c>
      <c r="X141" s="378"/>
      <c r="Y141" s="180"/>
      <c r="Z141" s="180"/>
      <c r="AA141" s="180"/>
      <c r="AB141" s="180"/>
    </row>
    <row r="142" spans="1:28" s="203" customFormat="1" x14ac:dyDescent="0.2">
      <c r="A142" s="636"/>
      <c r="B142" s="389" t="s">
        <v>74</v>
      </c>
      <c r="C142" s="392"/>
      <c r="D142" s="392"/>
      <c r="E142" s="392"/>
      <c r="F142" s="392"/>
      <c r="G142" s="392"/>
      <c r="H142" s="392"/>
      <c r="I142" s="766"/>
      <c r="J142" s="392"/>
      <c r="K142" s="392"/>
      <c r="L142" s="392"/>
      <c r="M142" s="392"/>
      <c r="N142" s="392"/>
      <c r="O142" s="766"/>
      <c r="P142" s="392"/>
      <c r="Q142" s="392"/>
      <c r="R142" s="392"/>
      <c r="S142" s="766"/>
      <c r="T142" s="392"/>
      <c r="U142" s="766"/>
      <c r="V142" s="392">
        <v>570609446</v>
      </c>
      <c r="W142" s="766">
        <v>570609446</v>
      </c>
      <c r="X142" s="378"/>
      <c r="Y142" s="180"/>
      <c r="Z142" s="180"/>
      <c r="AA142" s="180"/>
      <c r="AB142" s="180"/>
    </row>
    <row r="143" spans="1:28" s="202" customFormat="1" x14ac:dyDescent="0.2">
      <c r="A143" s="636"/>
      <c r="B143" s="639" t="s">
        <v>76</v>
      </c>
      <c r="C143" s="466">
        <v>0</v>
      </c>
      <c r="D143" s="466">
        <v>0</v>
      </c>
      <c r="E143" s="466">
        <v>0</v>
      </c>
      <c r="F143" s="466">
        <v>0</v>
      </c>
      <c r="G143" s="466">
        <v>0</v>
      </c>
      <c r="H143" s="466">
        <v>0</v>
      </c>
      <c r="I143" s="767">
        <v>0</v>
      </c>
      <c r="J143" s="466">
        <v>0</v>
      </c>
      <c r="K143" s="466">
        <v>0</v>
      </c>
      <c r="L143" s="466">
        <v>0</v>
      </c>
      <c r="M143" s="466">
        <v>0</v>
      </c>
      <c r="N143" s="466">
        <v>0</v>
      </c>
      <c r="O143" s="767">
        <v>0</v>
      </c>
      <c r="P143" s="466">
        <v>0</v>
      </c>
      <c r="Q143" s="466">
        <v>0</v>
      </c>
      <c r="R143" s="466">
        <v>0</v>
      </c>
      <c r="S143" s="767">
        <v>0</v>
      </c>
      <c r="T143" s="466">
        <v>0</v>
      </c>
      <c r="U143" s="767">
        <v>0</v>
      </c>
      <c r="V143" s="466">
        <v>-0.14825622314050899</v>
      </c>
      <c r="W143" s="767">
        <v>-0.14825622314050899</v>
      </c>
      <c r="X143" s="378"/>
      <c r="Y143" s="180"/>
      <c r="Z143" s="180"/>
      <c r="AA143" s="180"/>
      <c r="AB143" s="180"/>
    </row>
    <row r="144" spans="1:28" x14ac:dyDescent="0.2">
      <c r="A144" s="636"/>
      <c r="B144" s="388" t="s">
        <v>240</v>
      </c>
      <c r="C144" s="391"/>
      <c r="D144" s="391"/>
      <c r="E144" s="391"/>
      <c r="F144" s="391"/>
      <c r="G144" s="391"/>
      <c r="H144" s="391"/>
      <c r="I144" s="765"/>
      <c r="J144" s="391"/>
      <c r="K144" s="391"/>
      <c r="L144" s="391"/>
      <c r="M144" s="391"/>
      <c r="N144" s="391"/>
      <c r="O144" s="765"/>
      <c r="P144" s="391"/>
      <c r="Q144" s="391"/>
      <c r="R144" s="391"/>
      <c r="S144" s="765"/>
      <c r="T144" s="391"/>
      <c r="U144" s="765"/>
      <c r="V144" s="391"/>
      <c r="W144" s="765"/>
      <c r="X144" s="378"/>
      <c r="Y144" s="180"/>
      <c r="Z144" s="180"/>
      <c r="AA144" s="180"/>
      <c r="AB144" s="180"/>
    </row>
    <row r="145" spans="1:28" s="203" customFormat="1" x14ac:dyDescent="0.2">
      <c r="A145" s="636"/>
      <c r="B145" s="389" t="s">
        <v>163</v>
      </c>
      <c r="C145" s="392"/>
      <c r="D145" s="392"/>
      <c r="E145" s="392"/>
      <c r="F145" s="392"/>
      <c r="G145" s="392"/>
      <c r="H145" s="392"/>
      <c r="I145" s="766"/>
      <c r="J145" s="392"/>
      <c r="K145" s="392"/>
      <c r="L145" s="392"/>
      <c r="M145" s="392"/>
      <c r="N145" s="392"/>
      <c r="O145" s="766"/>
      <c r="P145" s="392"/>
      <c r="Q145" s="392"/>
      <c r="R145" s="392"/>
      <c r="S145" s="766"/>
      <c r="T145" s="392"/>
      <c r="U145" s="766"/>
      <c r="V145" s="392"/>
      <c r="W145" s="766"/>
      <c r="X145" s="378"/>
      <c r="Y145" s="180"/>
      <c r="Z145" s="180"/>
      <c r="AA145" s="180"/>
      <c r="AB145" s="180"/>
    </row>
    <row r="146" spans="1:28" s="202" customFormat="1" x14ac:dyDescent="0.2">
      <c r="A146" s="636"/>
      <c r="B146" s="639" t="s">
        <v>59</v>
      </c>
      <c r="C146" s="466">
        <v>0</v>
      </c>
      <c r="D146" s="466">
        <v>0</v>
      </c>
      <c r="E146" s="466">
        <v>0</v>
      </c>
      <c r="F146" s="466">
        <v>0</v>
      </c>
      <c r="G146" s="466">
        <v>0</v>
      </c>
      <c r="H146" s="466">
        <v>0</v>
      </c>
      <c r="I146" s="767">
        <v>0</v>
      </c>
      <c r="J146" s="466">
        <v>0</v>
      </c>
      <c r="K146" s="466">
        <v>0</v>
      </c>
      <c r="L146" s="466">
        <v>0</v>
      </c>
      <c r="M146" s="466">
        <v>0</v>
      </c>
      <c r="N146" s="466">
        <v>0</v>
      </c>
      <c r="O146" s="767">
        <v>0</v>
      </c>
      <c r="P146" s="466">
        <v>0</v>
      </c>
      <c r="Q146" s="466">
        <v>0</v>
      </c>
      <c r="R146" s="466">
        <v>0</v>
      </c>
      <c r="S146" s="767">
        <v>0</v>
      </c>
      <c r="T146" s="466">
        <v>0</v>
      </c>
      <c r="U146" s="767">
        <v>0</v>
      </c>
      <c r="V146" s="466">
        <v>0</v>
      </c>
      <c r="W146" s="767">
        <v>0</v>
      </c>
      <c r="X146" s="378"/>
      <c r="Y146" s="180"/>
      <c r="Z146" s="180"/>
      <c r="AA146" s="180"/>
      <c r="AB146" s="180"/>
    </row>
    <row r="147" spans="1:28" x14ac:dyDescent="0.2">
      <c r="A147" s="636"/>
      <c r="B147" s="388" t="s">
        <v>159</v>
      </c>
      <c r="C147" s="391"/>
      <c r="D147" s="391"/>
      <c r="E147" s="391"/>
      <c r="F147" s="391"/>
      <c r="G147" s="391"/>
      <c r="H147" s="391"/>
      <c r="I147" s="765"/>
      <c r="J147" s="391"/>
      <c r="K147" s="391"/>
      <c r="L147" s="391"/>
      <c r="M147" s="391"/>
      <c r="N147" s="391"/>
      <c r="O147" s="765"/>
      <c r="P147" s="391"/>
      <c r="Q147" s="391"/>
      <c r="R147" s="391"/>
      <c r="S147" s="765"/>
      <c r="T147" s="391"/>
      <c r="U147" s="765"/>
      <c r="V147" s="391"/>
      <c r="W147" s="765"/>
      <c r="X147" s="378"/>
      <c r="Y147" s="180"/>
      <c r="Z147" s="180"/>
      <c r="AA147" s="180"/>
      <c r="AB147" s="180"/>
    </row>
    <row r="148" spans="1:28" s="203" customFormat="1" x14ac:dyDescent="0.2">
      <c r="A148" s="636"/>
      <c r="B148" s="389" t="s">
        <v>100</v>
      </c>
      <c r="C148" s="392"/>
      <c r="D148" s="392"/>
      <c r="E148" s="392"/>
      <c r="F148" s="392"/>
      <c r="G148" s="392"/>
      <c r="H148" s="392"/>
      <c r="I148" s="766"/>
      <c r="J148" s="392"/>
      <c r="K148" s="392"/>
      <c r="L148" s="392"/>
      <c r="M148" s="392"/>
      <c r="N148" s="392"/>
      <c r="O148" s="766"/>
      <c r="P148" s="392"/>
      <c r="Q148" s="392"/>
      <c r="R148" s="392"/>
      <c r="S148" s="766"/>
      <c r="T148" s="392"/>
      <c r="U148" s="766"/>
      <c r="V148" s="392"/>
      <c r="W148" s="766"/>
      <c r="X148" s="378"/>
      <c r="Y148" s="180"/>
      <c r="Z148" s="180"/>
      <c r="AA148" s="180"/>
      <c r="AB148" s="180"/>
    </row>
    <row r="149" spans="1:28" s="202" customFormat="1" x14ac:dyDescent="0.2">
      <c r="A149" s="636"/>
      <c r="B149" s="639" t="s">
        <v>110</v>
      </c>
      <c r="C149" s="466">
        <v>0</v>
      </c>
      <c r="D149" s="466">
        <v>0</v>
      </c>
      <c r="E149" s="466">
        <v>0</v>
      </c>
      <c r="F149" s="466">
        <v>0</v>
      </c>
      <c r="G149" s="466">
        <v>0</v>
      </c>
      <c r="H149" s="466">
        <v>0</v>
      </c>
      <c r="I149" s="767">
        <v>0</v>
      </c>
      <c r="J149" s="466">
        <v>0</v>
      </c>
      <c r="K149" s="466">
        <v>0</v>
      </c>
      <c r="L149" s="466">
        <v>0</v>
      </c>
      <c r="M149" s="466">
        <v>0</v>
      </c>
      <c r="N149" s="466">
        <v>0</v>
      </c>
      <c r="O149" s="767">
        <v>0</v>
      </c>
      <c r="P149" s="466">
        <v>0</v>
      </c>
      <c r="Q149" s="466">
        <v>0</v>
      </c>
      <c r="R149" s="466">
        <v>0</v>
      </c>
      <c r="S149" s="767">
        <v>0</v>
      </c>
      <c r="T149" s="466">
        <v>0</v>
      </c>
      <c r="U149" s="767">
        <v>0</v>
      </c>
      <c r="V149" s="466">
        <v>0</v>
      </c>
      <c r="W149" s="767">
        <v>0</v>
      </c>
      <c r="X149" s="378"/>
      <c r="Y149" s="180"/>
      <c r="Z149" s="180"/>
      <c r="AA149" s="180"/>
      <c r="AB149" s="180"/>
    </row>
    <row r="150" spans="1:28" x14ac:dyDescent="0.2">
      <c r="A150" s="636"/>
      <c r="B150" s="388" t="s">
        <v>161</v>
      </c>
      <c r="C150" s="391">
        <v>0</v>
      </c>
      <c r="D150" s="391">
        <v>0</v>
      </c>
      <c r="E150" s="391">
        <v>0</v>
      </c>
      <c r="F150" s="391">
        <v>0</v>
      </c>
      <c r="G150" s="391"/>
      <c r="H150" s="391">
        <v>0</v>
      </c>
      <c r="I150" s="765">
        <v>0</v>
      </c>
      <c r="J150" s="391">
        <v>0</v>
      </c>
      <c r="K150" s="391">
        <v>0</v>
      </c>
      <c r="L150" s="391">
        <v>0</v>
      </c>
      <c r="M150" s="391">
        <v>0</v>
      </c>
      <c r="N150" s="391"/>
      <c r="O150" s="765">
        <v>0</v>
      </c>
      <c r="P150" s="391"/>
      <c r="Q150" s="391"/>
      <c r="R150" s="391"/>
      <c r="S150" s="765"/>
      <c r="T150" s="391"/>
      <c r="U150" s="765"/>
      <c r="V150" s="391">
        <v>0</v>
      </c>
      <c r="W150" s="765">
        <v>0</v>
      </c>
      <c r="X150" s="378"/>
      <c r="Y150" s="180"/>
      <c r="Z150" s="180"/>
      <c r="AA150" s="180"/>
      <c r="AB150" s="180"/>
    </row>
    <row r="151" spans="1:28" s="203" customFormat="1" x14ac:dyDescent="0.2">
      <c r="A151" s="636"/>
      <c r="B151" s="389" t="s">
        <v>102</v>
      </c>
      <c r="C151" s="392">
        <v>0</v>
      </c>
      <c r="D151" s="392">
        <v>0</v>
      </c>
      <c r="E151" s="392">
        <v>0</v>
      </c>
      <c r="F151" s="392">
        <v>0</v>
      </c>
      <c r="G151" s="392"/>
      <c r="H151" s="392">
        <v>0</v>
      </c>
      <c r="I151" s="766">
        <v>0</v>
      </c>
      <c r="J151" s="392">
        <v>0</v>
      </c>
      <c r="K151" s="392">
        <v>0</v>
      </c>
      <c r="L151" s="392">
        <v>0</v>
      </c>
      <c r="M151" s="392">
        <v>0</v>
      </c>
      <c r="N151" s="392"/>
      <c r="O151" s="766">
        <v>0</v>
      </c>
      <c r="P151" s="392"/>
      <c r="Q151" s="392"/>
      <c r="R151" s="392"/>
      <c r="S151" s="766"/>
      <c r="T151" s="392"/>
      <c r="U151" s="766"/>
      <c r="V151" s="392">
        <v>0</v>
      </c>
      <c r="W151" s="766">
        <v>0</v>
      </c>
      <c r="X151" s="378"/>
      <c r="Y151" s="180"/>
      <c r="Z151" s="180"/>
      <c r="AA151" s="180"/>
      <c r="AB151" s="180"/>
    </row>
    <row r="152" spans="1:28" s="202" customFormat="1" x14ac:dyDescent="0.2">
      <c r="A152" s="636"/>
      <c r="B152" s="639" t="s">
        <v>183</v>
      </c>
      <c r="C152" s="466">
        <v>0</v>
      </c>
      <c r="D152" s="466">
        <v>0</v>
      </c>
      <c r="E152" s="466">
        <v>0</v>
      </c>
      <c r="F152" s="466">
        <v>0</v>
      </c>
      <c r="G152" s="466">
        <v>0</v>
      </c>
      <c r="H152" s="466">
        <v>0</v>
      </c>
      <c r="I152" s="767">
        <v>0</v>
      </c>
      <c r="J152" s="466">
        <v>0</v>
      </c>
      <c r="K152" s="466">
        <v>0</v>
      </c>
      <c r="L152" s="466">
        <v>0</v>
      </c>
      <c r="M152" s="466">
        <v>0</v>
      </c>
      <c r="N152" s="466">
        <v>0</v>
      </c>
      <c r="O152" s="767">
        <v>0</v>
      </c>
      <c r="P152" s="466">
        <v>0</v>
      </c>
      <c r="Q152" s="466">
        <v>0</v>
      </c>
      <c r="R152" s="466">
        <v>0</v>
      </c>
      <c r="S152" s="767">
        <v>0</v>
      </c>
      <c r="T152" s="466">
        <v>0</v>
      </c>
      <c r="U152" s="767">
        <v>0</v>
      </c>
      <c r="V152" s="466">
        <v>0</v>
      </c>
      <c r="W152" s="767">
        <v>0</v>
      </c>
      <c r="X152" s="378"/>
      <c r="Y152" s="180"/>
      <c r="Z152" s="180"/>
      <c r="AA152" s="180"/>
      <c r="AB152" s="180"/>
    </row>
    <row r="153" spans="1:28" x14ac:dyDescent="0.2">
      <c r="A153" s="636"/>
      <c r="B153" s="388" t="s">
        <v>78</v>
      </c>
      <c r="C153" s="391">
        <v>247344534</v>
      </c>
      <c r="D153" s="391">
        <v>12778503</v>
      </c>
      <c r="E153" s="391"/>
      <c r="F153" s="391"/>
      <c r="G153" s="391"/>
      <c r="H153" s="391"/>
      <c r="I153" s="765">
        <v>260123037</v>
      </c>
      <c r="J153" s="391"/>
      <c r="K153" s="391"/>
      <c r="L153" s="391"/>
      <c r="M153" s="391"/>
      <c r="N153" s="391"/>
      <c r="O153" s="765"/>
      <c r="P153" s="391"/>
      <c r="Q153" s="391"/>
      <c r="R153" s="391"/>
      <c r="S153" s="765"/>
      <c r="T153" s="391"/>
      <c r="U153" s="765"/>
      <c r="V153" s="391"/>
      <c r="W153" s="765">
        <v>260123037</v>
      </c>
      <c r="X153" s="378"/>
      <c r="Y153" s="180"/>
      <c r="Z153" s="180"/>
      <c r="AA153" s="180"/>
      <c r="AB153" s="180"/>
    </row>
    <row r="154" spans="1:28" s="203" customFormat="1" x14ac:dyDescent="0.2">
      <c r="A154" s="636"/>
      <c r="B154" s="389" t="s">
        <v>80</v>
      </c>
      <c r="C154" s="392">
        <v>272850322</v>
      </c>
      <c r="D154" s="392">
        <v>14535791</v>
      </c>
      <c r="E154" s="392"/>
      <c r="F154" s="392"/>
      <c r="G154" s="392"/>
      <c r="H154" s="392"/>
      <c r="I154" s="766">
        <v>287386113</v>
      </c>
      <c r="J154" s="392"/>
      <c r="K154" s="392"/>
      <c r="L154" s="392"/>
      <c r="M154" s="392"/>
      <c r="N154" s="392"/>
      <c r="O154" s="766"/>
      <c r="P154" s="392"/>
      <c r="Q154" s="392"/>
      <c r="R154" s="392"/>
      <c r="S154" s="766"/>
      <c r="T154" s="392"/>
      <c r="U154" s="766"/>
      <c r="V154" s="392"/>
      <c r="W154" s="766">
        <v>287386113</v>
      </c>
      <c r="X154" s="378"/>
      <c r="Y154" s="180"/>
      <c r="Z154" s="180"/>
      <c r="AA154" s="180"/>
      <c r="AB154" s="180"/>
    </row>
    <row r="155" spans="1:28" s="202" customFormat="1" x14ac:dyDescent="0.2">
      <c r="A155" s="636"/>
      <c r="B155" s="639" t="s">
        <v>215</v>
      </c>
      <c r="C155" s="763">
        <v>10.31184622822512</v>
      </c>
      <c r="D155" s="763">
        <v>13.751908185176307</v>
      </c>
      <c r="E155" s="466">
        <v>0</v>
      </c>
      <c r="F155" s="466">
        <v>0</v>
      </c>
      <c r="G155" s="466">
        <v>0</v>
      </c>
      <c r="H155" s="466">
        <v>0</v>
      </c>
      <c r="I155" s="767">
        <v>10.480838727098208</v>
      </c>
      <c r="J155" s="466">
        <v>0</v>
      </c>
      <c r="K155" s="466">
        <v>0</v>
      </c>
      <c r="L155" s="466">
        <v>0</v>
      </c>
      <c r="M155" s="466">
        <v>0</v>
      </c>
      <c r="N155" s="466">
        <v>0</v>
      </c>
      <c r="O155" s="767">
        <v>0</v>
      </c>
      <c r="P155" s="466">
        <v>0</v>
      </c>
      <c r="Q155" s="466">
        <v>0</v>
      </c>
      <c r="R155" s="466">
        <v>0</v>
      </c>
      <c r="S155" s="767">
        <v>0</v>
      </c>
      <c r="T155" s="466">
        <v>0</v>
      </c>
      <c r="U155" s="767">
        <v>0</v>
      </c>
      <c r="V155" s="466">
        <v>0</v>
      </c>
      <c r="W155" s="767">
        <v>10.480838727098208</v>
      </c>
      <c r="X155" s="378"/>
      <c r="Y155" s="180"/>
      <c r="Z155" s="180"/>
      <c r="AA155" s="180"/>
      <c r="AB155" s="180"/>
    </row>
    <row r="156" spans="1:28" x14ac:dyDescent="0.2">
      <c r="A156" s="636"/>
      <c r="B156" s="388" t="s">
        <v>81</v>
      </c>
      <c r="C156" s="391">
        <v>120422135</v>
      </c>
      <c r="D156" s="391">
        <v>4196880</v>
      </c>
      <c r="E156" s="391"/>
      <c r="F156" s="391"/>
      <c r="G156" s="391"/>
      <c r="H156" s="391"/>
      <c r="I156" s="765">
        <v>124619015</v>
      </c>
      <c r="J156" s="391"/>
      <c r="K156" s="391"/>
      <c r="L156" s="391"/>
      <c r="M156" s="391"/>
      <c r="N156" s="391"/>
      <c r="O156" s="765"/>
      <c r="P156" s="391"/>
      <c r="Q156" s="391"/>
      <c r="R156" s="391"/>
      <c r="S156" s="765"/>
      <c r="T156" s="391"/>
      <c r="U156" s="765"/>
      <c r="V156" s="391"/>
      <c r="W156" s="765">
        <v>124619015</v>
      </c>
      <c r="X156" s="378"/>
      <c r="Y156" s="180"/>
      <c r="Z156" s="180"/>
      <c r="AA156" s="180"/>
      <c r="AB156" s="180"/>
    </row>
    <row r="157" spans="1:28" s="203" customFormat="1" x14ac:dyDescent="0.2">
      <c r="A157" s="636"/>
      <c r="B157" s="389" t="s">
        <v>318</v>
      </c>
      <c r="C157" s="392">
        <v>128011679</v>
      </c>
      <c r="D157" s="392">
        <v>6158280</v>
      </c>
      <c r="E157" s="392"/>
      <c r="F157" s="392"/>
      <c r="G157" s="392"/>
      <c r="H157" s="392"/>
      <c r="I157" s="766">
        <v>134169959</v>
      </c>
      <c r="J157" s="392"/>
      <c r="K157" s="392"/>
      <c r="L157" s="392"/>
      <c r="M157" s="392"/>
      <c r="N157" s="392"/>
      <c r="O157" s="766"/>
      <c r="P157" s="392"/>
      <c r="Q157" s="392"/>
      <c r="R157" s="392"/>
      <c r="S157" s="766"/>
      <c r="T157" s="392"/>
      <c r="U157" s="766"/>
      <c r="V157" s="392"/>
      <c r="W157" s="766">
        <v>134169959</v>
      </c>
      <c r="X157" s="378"/>
      <c r="Y157" s="180"/>
      <c r="Z157" s="180"/>
      <c r="AA157" s="180"/>
      <c r="AB157" s="180"/>
    </row>
    <row r="158" spans="1:28" s="202" customFormat="1" x14ac:dyDescent="0.2">
      <c r="A158" s="636"/>
      <c r="B158" s="639" t="s">
        <v>236</v>
      </c>
      <c r="C158" s="466">
        <v>6.3024492963855856</v>
      </c>
      <c r="D158" s="763">
        <v>46.734717218505175</v>
      </c>
      <c r="E158" s="466">
        <v>0</v>
      </c>
      <c r="F158" s="466">
        <v>0</v>
      </c>
      <c r="G158" s="466">
        <v>0</v>
      </c>
      <c r="H158" s="466">
        <v>0</v>
      </c>
      <c r="I158" s="767">
        <v>7.6641145013062406</v>
      </c>
      <c r="J158" s="466">
        <v>0</v>
      </c>
      <c r="K158" s="466">
        <v>0</v>
      </c>
      <c r="L158" s="466">
        <v>0</v>
      </c>
      <c r="M158" s="466">
        <v>0</v>
      </c>
      <c r="N158" s="466">
        <v>0</v>
      </c>
      <c r="O158" s="767">
        <v>0</v>
      </c>
      <c r="P158" s="466">
        <v>0</v>
      </c>
      <c r="Q158" s="466">
        <v>0</v>
      </c>
      <c r="R158" s="466">
        <v>0</v>
      </c>
      <c r="S158" s="767">
        <v>0</v>
      </c>
      <c r="T158" s="466">
        <v>0</v>
      </c>
      <c r="U158" s="767">
        <v>0</v>
      </c>
      <c r="V158" s="466">
        <v>0</v>
      </c>
      <c r="W158" s="767">
        <v>7.6641145013062406</v>
      </c>
      <c r="X158" s="378"/>
      <c r="Y158" s="180"/>
      <c r="Z158" s="180"/>
      <c r="AA158" s="180"/>
      <c r="AB158" s="180"/>
    </row>
    <row r="159" spans="1:28" x14ac:dyDescent="0.2">
      <c r="A159" s="636"/>
      <c r="B159" s="388" t="s">
        <v>19</v>
      </c>
      <c r="C159" s="391">
        <v>2330409200.2751999</v>
      </c>
      <c r="D159" s="391">
        <v>235992150.752</v>
      </c>
      <c r="E159" s="391">
        <v>380757658.13600004</v>
      </c>
      <c r="F159" s="391">
        <v>101915200.34720001</v>
      </c>
      <c r="G159" s="391"/>
      <c r="H159" s="391">
        <v>20180990.489599999</v>
      </c>
      <c r="I159" s="765">
        <v>3069255200</v>
      </c>
      <c r="J159" s="391">
        <v>1186727747</v>
      </c>
      <c r="K159" s="391">
        <v>637031608</v>
      </c>
      <c r="L159" s="391">
        <v>84107762</v>
      </c>
      <c r="M159" s="391">
        <v>16421003</v>
      </c>
      <c r="N159" s="391"/>
      <c r="O159" s="765">
        <v>1924288120</v>
      </c>
      <c r="P159" s="391"/>
      <c r="Q159" s="391"/>
      <c r="R159" s="391"/>
      <c r="S159" s="765"/>
      <c r="T159" s="391"/>
      <c r="U159" s="765"/>
      <c r="V159" s="391">
        <v>13316114</v>
      </c>
      <c r="W159" s="765">
        <v>5006859434</v>
      </c>
      <c r="X159" s="378"/>
      <c r="Y159" s="180"/>
      <c r="Z159" s="180"/>
      <c r="AA159" s="180"/>
      <c r="AB159" s="180"/>
    </row>
    <row r="160" spans="1:28" s="203" customFormat="1" x14ac:dyDescent="0.2">
      <c r="A160" s="636"/>
      <c r="B160" s="389" t="s">
        <v>21</v>
      </c>
      <c r="C160" s="392">
        <v>2770885495</v>
      </c>
      <c r="D160" s="392">
        <v>275429284</v>
      </c>
      <c r="E160" s="392">
        <v>439574640</v>
      </c>
      <c r="F160" s="392">
        <v>116929482</v>
      </c>
      <c r="G160" s="392"/>
      <c r="H160" s="392">
        <v>23387958</v>
      </c>
      <c r="I160" s="766">
        <v>3626206859</v>
      </c>
      <c r="J160" s="392">
        <v>1199680467</v>
      </c>
      <c r="K160" s="392">
        <v>636436309</v>
      </c>
      <c r="L160" s="392">
        <v>87457779</v>
      </c>
      <c r="M160" s="392">
        <v>17499578</v>
      </c>
      <c r="N160" s="392"/>
      <c r="O160" s="766">
        <v>1941074133</v>
      </c>
      <c r="P160" s="392"/>
      <c r="Q160" s="392"/>
      <c r="R160" s="392"/>
      <c r="S160" s="766"/>
      <c r="T160" s="392"/>
      <c r="U160" s="766"/>
      <c r="V160" s="392">
        <v>13316114</v>
      </c>
      <c r="W160" s="766">
        <v>5580597106</v>
      </c>
      <c r="X160" s="378"/>
      <c r="Y160" s="180"/>
      <c r="Z160" s="180"/>
      <c r="AA160" s="180"/>
      <c r="AB160" s="180"/>
    </row>
    <row r="161" spans="1:28" s="212" customFormat="1" ht="13.5" thickBot="1" x14ac:dyDescent="0.25">
      <c r="A161" s="640"/>
      <c r="B161" s="777" t="s">
        <v>23</v>
      </c>
      <c r="C161" s="1512">
        <v>18.901242523106411</v>
      </c>
      <c r="D161" s="1512">
        <v>16.711205488119724</v>
      </c>
      <c r="E161" s="1512">
        <v>15.447353613828446</v>
      </c>
      <c r="F161" s="1512">
        <v>14.73213181316431</v>
      </c>
      <c r="G161" s="778">
        <v>0</v>
      </c>
      <c r="H161" s="1512">
        <v>15.891031275460282</v>
      </c>
      <c r="I161" s="779">
        <v>18.146150212598808</v>
      </c>
      <c r="J161" s="778">
        <v>1.0914651682109864</v>
      </c>
      <c r="K161" s="778">
        <v>-9.3448895239119756E-2</v>
      </c>
      <c r="L161" s="778">
        <v>3.9830057539754771</v>
      </c>
      <c r="M161" s="778">
        <v>6.5682650444677471</v>
      </c>
      <c r="N161" s="778">
        <v>0</v>
      </c>
      <c r="O161" s="779">
        <v>0.87232326726623455</v>
      </c>
      <c r="P161" s="778">
        <v>0</v>
      </c>
      <c r="Q161" s="778">
        <v>0</v>
      </c>
      <c r="R161" s="778">
        <v>0</v>
      </c>
      <c r="S161" s="779">
        <v>0</v>
      </c>
      <c r="T161" s="778">
        <v>0</v>
      </c>
      <c r="U161" s="779">
        <v>0</v>
      </c>
      <c r="V161" s="778">
        <v>0</v>
      </c>
      <c r="W161" s="779">
        <v>11.459032943963411</v>
      </c>
      <c r="X161" s="378"/>
      <c r="Y161" s="180"/>
      <c r="Z161" s="180"/>
      <c r="AA161" s="180"/>
      <c r="AB161" s="180"/>
    </row>
    <row r="162" spans="1:28" ht="13.5" thickTop="1" x14ac:dyDescent="0.2">
      <c r="A162" s="230" t="s">
        <v>144</v>
      </c>
      <c r="B162" s="780" t="s">
        <v>190</v>
      </c>
      <c r="C162" s="781">
        <v>453839524</v>
      </c>
      <c r="D162" s="781">
        <v>194313067</v>
      </c>
      <c r="E162" s="781">
        <v>241676617</v>
      </c>
      <c r="F162" s="781">
        <v>167929684</v>
      </c>
      <c r="G162" s="781">
        <v>72058558</v>
      </c>
      <c r="H162" s="781">
        <v>80432023</v>
      </c>
      <c r="I162" s="782">
        <v>1210249473</v>
      </c>
      <c r="J162" s="781">
        <v>36684013</v>
      </c>
      <c r="K162" s="781">
        <v>45018238</v>
      </c>
      <c r="L162" s="781">
        <v>61257575</v>
      </c>
      <c r="M162" s="781"/>
      <c r="N162" s="781"/>
      <c r="O162" s="782">
        <v>142959826</v>
      </c>
      <c r="P162" s="781">
        <v>268270256.15000004</v>
      </c>
      <c r="Q162" s="781"/>
      <c r="R162" s="781"/>
      <c r="S162" s="782">
        <v>268270256.15000004</v>
      </c>
      <c r="T162" s="781"/>
      <c r="U162" s="782"/>
      <c r="V162" s="781"/>
      <c r="W162" s="782">
        <v>1621479555.1500001</v>
      </c>
      <c r="X162" s="378"/>
      <c r="Y162" s="180"/>
      <c r="Z162" s="180"/>
      <c r="AA162" s="180"/>
      <c r="AB162" s="180"/>
    </row>
    <row r="163" spans="1:28" s="203" customFormat="1" x14ac:dyDescent="0.2">
      <c r="A163" s="636"/>
      <c r="B163" s="389" t="s">
        <v>4</v>
      </c>
      <c r="C163" s="392">
        <v>487449185</v>
      </c>
      <c r="D163" s="392">
        <v>209550458</v>
      </c>
      <c r="E163" s="392">
        <v>257042407</v>
      </c>
      <c r="F163" s="392">
        <v>179997657</v>
      </c>
      <c r="G163" s="392">
        <v>77961135</v>
      </c>
      <c r="H163" s="392">
        <v>88226279</v>
      </c>
      <c r="I163" s="766">
        <v>1300227121</v>
      </c>
      <c r="J163" s="392">
        <v>38676237</v>
      </c>
      <c r="K163" s="392">
        <v>56886594</v>
      </c>
      <c r="L163" s="392">
        <v>67569725</v>
      </c>
      <c r="M163" s="392"/>
      <c r="N163" s="392"/>
      <c r="O163" s="766">
        <v>163132556</v>
      </c>
      <c r="P163" s="392">
        <v>260815199</v>
      </c>
      <c r="Q163" s="392"/>
      <c r="R163" s="392"/>
      <c r="S163" s="766">
        <v>260815199</v>
      </c>
      <c r="T163" s="392"/>
      <c r="U163" s="766"/>
      <c r="V163" s="392"/>
      <c r="W163" s="766">
        <v>1724174876</v>
      </c>
      <c r="X163" s="378"/>
      <c r="Y163" s="180"/>
      <c r="Z163" s="180"/>
      <c r="AA163" s="180"/>
      <c r="AB163" s="180"/>
    </row>
    <row r="164" spans="1:28" s="202" customFormat="1" x14ac:dyDescent="0.2">
      <c r="A164" s="637"/>
      <c r="B164" s="639" t="s">
        <v>116</v>
      </c>
      <c r="C164" s="466">
        <v>7.4056267078228295</v>
      </c>
      <c r="D164" s="466">
        <v>7.8416707817184514</v>
      </c>
      <c r="E164" s="466">
        <v>6.3579961482165244</v>
      </c>
      <c r="F164" s="466">
        <v>7.1863250811571824</v>
      </c>
      <c r="G164" s="466">
        <v>8.1913615312701644</v>
      </c>
      <c r="H164" s="466">
        <v>9.6904885756758841</v>
      </c>
      <c r="I164" s="767">
        <v>7.4346364123556201</v>
      </c>
      <c r="J164" s="466">
        <v>5.4307689837532225</v>
      </c>
      <c r="K164" s="763">
        <v>26.363439635287367</v>
      </c>
      <c r="L164" s="466">
        <v>10.304276654764736</v>
      </c>
      <c r="M164" s="466">
        <v>0</v>
      </c>
      <c r="N164" s="466">
        <v>0</v>
      </c>
      <c r="O164" s="767">
        <v>14.110768433643727</v>
      </c>
      <c r="P164" s="466">
        <v>-2.7789354127397679</v>
      </c>
      <c r="Q164" s="466">
        <v>0</v>
      </c>
      <c r="R164" s="466">
        <v>0</v>
      </c>
      <c r="S164" s="767">
        <v>-2.7789354127397679</v>
      </c>
      <c r="T164" s="466">
        <v>0</v>
      </c>
      <c r="U164" s="767">
        <v>0</v>
      </c>
      <c r="V164" s="466">
        <v>0</v>
      </c>
      <c r="W164" s="767">
        <v>6.3334329763103145</v>
      </c>
      <c r="X164" s="378"/>
      <c r="Y164" s="180"/>
      <c r="Z164" s="180"/>
      <c r="AA164" s="180"/>
      <c r="AB164" s="180"/>
    </row>
    <row r="165" spans="1:28" x14ac:dyDescent="0.2">
      <c r="A165" s="636"/>
      <c r="B165" s="388" t="s">
        <v>195</v>
      </c>
      <c r="C165" s="391">
        <v>72361758</v>
      </c>
      <c r="D165" s="391">
        <v>12723559</v>
      </c>
      <c r="E165" s="391"/>
      <c r="F165" s="391"/>
      <c r="G165" s="391"/>
      <c r="H165" s="391"/>
      <c r="I165" s="765">
        <v>85085317</v>
      </c>
      <c r="J165" s="391"/>
      <c r="K165" s="391"/>
      <c r="L165" s="391"/>
      <c r="M165" s="391"/>
      <c r="N165" s="391"/>
      <c r="O165" s="765"/>
      <c r="P165" s="391"/>
      <c r="Q165" s="391"/>
      <c r="R165" s="391"/>
      <c r="S165" s="765"/>
      <c r="T165" s="391"/>
      <c r="U165" s="765"/>
      <c r="V165" s="391">
        <v>54743472</v>
      </c>
      <c r="W165" s="765">
        <v>139828789</v>
      </c>
      <c r="X165" s="378"/>
      <c r="Y165" s="180"/>
      <c r="Z165" s="180"/>
      <c r="AA165" s="180"/>
      <c r="AB165" s="180"/>
    </row>
    <row r="166" spans="1:28" s="203" customFormat="1" x14ac:dyDescent="0.2">
      <c r="A166" s="636"/>
      <c r="B166" s="389" t="s">
        <v>242</v>
      </c>
      <c r="C166" s="392">
        <v>74922966</v>
      </c>
      <c r="D166" s="392">
        <v>12776132</v>
      </c>
      <c r="E166" s="392"/>
      <c r="F166" s="392"/>
      <c r="G166" s="392"/>
      <c r="H166" s="392"/>
      <c r="I166" s="766">
        <v>87699098</v>
      </c>
      <c r="J166" s="392"/>
      <c r="K166" s="392"/>
      <c r="L166" s="392"/>
      <c r="M166" s="392"/>
      <c r="N166" s="392"/>
      <c r="O166" s="766"/>
      <c r="P166" s="392"/>
      <c r="Q166" s="392"/>
      <c r="R166" s="392"/>
      <c r="S166" s="766"/>
      <c r="T166" s="392"/>
      <c r="U166" s="766"/>
      <c r="V166" s="392">
        <v>98079458</v>
      </c>
      <c r="W166" s="766">
        <v>185778556</v>
      </c>
      <c r="X166" s="378"/>
      <c r="Y166" s="180"/>
      <c r="Z166" s="180"/>
      <c r="AA166" s="180"/>
      <c r="AB166" s="180"/>
    </row>
    <row r="167" spans="1:28" s="202" customFormat="1" x14ac:dyDescent="0.2">
      <c r="A167" s="636"/>
      <c r="B167" s="639" t="s">
        <v>244</v>
      </c>
      <c r="C167" s="466">
        <v>3.5394496634534498</v>
      </c>
      <c r="D167" s="466">
        <v>0.41319413852680686</v>
      </c>
      <c r="E167" s="466">
        <v>0</v>
      </c>
      <c r="F167" s="466">
        <v>0</v>
      </c>
      <c r="G167" s="466">
        <v>0</v>
      </c>
      <c r="H167" s="466">
        <v>0</v>
      </c>
      <c r="I167" s="767">
        <v>3.0719530609493999</v>
      </c>
      <c r="J167" s="466">
        <v>0</v>
      </c>
      <c r="K167" s="466">
        <v>0</v>
      </c>
      <c r="L167" s="466">
        <v>0</v>
      </c>
      <c r="M167" s="466">
        <v>0</v>
      </c>
      <c r="N167" s="466">
        <v>0</v>
      </c>
      <c r="O167" s="767">
        <v>0</v>
      </c>
      <c r="P167" s="466">
        <v>0</v>
      </c>
      <c r="Q167" s="466">
        <v>0</v>
      </c>
      <c r="R167" s="466">
        <v>0</v>
      </c>
      <c r="S167" s="767">
        <v>0</v>
      </c>
      <c r="T167" s="466">
        <v>0</v>
      </c>
      <c r="U167" s="767">
        <v>0</v>
      </c>
      <c r="V167" s="763">
        <v>79.161924548738895</v>
      </c>
      <c r="W167" s="767">
        <v>32.861449583175606</v>
      </c>
      <c r="X167" s="378"/>
      <c r="Y167" s="180"/>
      <c r="Z167" s="180"/>
      <c r="AA167" s="180"/>
      <c r="AB167" s="180"/>
    </row>
    <row r="168" spans="1:28" x14ac:dyDescent="0.2">
      <c r="A168" s="636"/>
      <c r="B168" s="388" t="s">
        <v>5</v>
      </c>
      <c r="C168" s="391"/>
      <c r="D168" s="391"/>
      <c r="E168" s="391"/>
      <c r="F168" s="391"/>
      <c r="G168" s="391"/>
      <c r="H168" s="391"/>
      <c r="I168" s="765"/>
      <c r="J168" s="391"/>
      <c r="K168" s="391"/>
      <c r="L168" s="391"/>
      <c r="M168" s="391"/>
      <c r="N168" s="391"/>
      <c r="O168" s="765"/>
      <c r="P168" s="391"/>
      <c r="Q168" s="391"/>
      <c r="R168" s="391"/>
      <c r="S168" s="765"/>
      <c r="T168" s="391"/>
      <c r="U168" s="765"/>
      <c r="V168" s="391"/>
      <c r="W168" s="765"/>
      <c r="X168" s="378"/>
      <c r="Y168" s="180"/>
      <c r="Z168" s="180"/>
      <c r="AA168" s="180"/>
      <c r="AB168" s="180"/>
    </row>
    <row r="169" spans="1:28" s="203" customFormat="1" x14ac:dyDescent="0.2">
      <c r="A169" s="636"/>
      <c r="B169" s="389" t="s">
        <v>6</v>
      </c>
      <c r="C169" s="392"/>
      <c r="D169" s="392"/>
      <c r="E169" s="392"/>
      <c r="F169" s="392"/>
      <c r="G169" s="392"/>
      <c r="H169" s="392"/>
      <c r="I169" s="766"/>
      <c r="J169" s="392"/>
      <c r="K169" s="392"/>
      <c r="L169" s="392"/>
      <c r="M169" s="392"/>
      <c r="N169" s="392"/>
      <c r="O169" s="766"/>
      <c r="P169" s="392"/>
      <c r="Q169" s="392"/>
      <c r="R169" s="392"/>
      <c r="S169" s="766"/>
      <c r="T169" s="392"/>
      <c r="U169" s="766"/>
      <c r="V169" s="392"/>
      <c r="W169" s="766"/>
      <c r="X169" s="378"/>
      <c r="Y169" s="180"/>
      <c r="Z169" s="180"/>
      <c r="AA169" s="180"/>
      <c r="AB169" s="180"/>
    </row>
    <row r="170" spans="1:28" s="202" customFormat="1" x14ac:dyDescent="0.2">
      <c r="A170" s="636"/>
      <c r="B170" s="639" t="s">
        <v>298</v>
      </c>
      <c r="C170" s="466">
        <v>0</v>
      </c>
      <c r="D170" s="466">
        <v>0</v>
      </c>
      <c r="E170" s="466">
        <v>0</v>
      </c>
      <c r="F170" s="466">
        <v>0</v>
      </c>
      <c r="G170" s="466">
        <v>0</v>
      </c>
      <c r="H170" s="466">
        <v>0</v>
      </c>
      <c r="I170" s="767">
        <v>0</v>
      </c>
      <c r="J170" s="466">
        <v>0</v>
      </c>
      <c r="K170" s="466">
        <v>0</v>
      </c>
      <c r="L170" s="466">
        <v>0</v>
      </c>
      <c r="M170" s="466">
        <v>0</v>
      </c>
      <c r="N170" s="466">
        <v>0</v>
      </c>
      <c r="O170" s="767">
        <v>0</v>
      </c>
      <c r="P170" s="466">
        <v>0</v>
      </c>
      <c r="Q170" s="466">
        <v>0</v>
      </c>
      <c r="R170" s="466">
        <v>0</v>
      </c>
      <c r="S170" s="767">
        <v>0</v>
      </c>
      <c r="T170" s="466">
        <v>0</v>
      </c>
      <c r="U170" s="767">
        <v>0</v>
      </c>
      <c r="V170" s="466">
        <v>0</v>
      </c>
      <c r="W170" s="767">
        <v>0</v>
      </c>
      <c r="X170" s="378"/>
      <c r="Y170" s="180"/>
      <c r="Z170" s="180"/>
      <c r="AA170" s="180"/>
      <c r="AB170" s="180"/>
    </row>
    <row r="171" spans="1:28" x14ac:dyDescent="0.2">
      <c r="A171" s="636"/>
      <c r="B171" s="388" t="s">
        <v>223</v>
      </c>
      <c r="C171" s="391">
        <v>588394267</v>
      </c>
      <c r="D171" s="391">
        <v>313900000</v>
      </c>
      <c r="E171" s="391">
        <v>380994795</v>
      </c>
      <c r="F171" s="391">
        <v>234217593</v>
      </c>
      <c r="G171" s="391">
        <v>84341197</v>
      </c>
      <c r="H171" s="391">
        <v>74070736</v>
      </c>
      <c r="I171" s="765">
        <v>1675918588</v>
      </c>
      <c r="J171" s="391">
        <v>29792425</v>
      </c>
      <c r="K171" s="391">
        <v>63274289</v>
      </c>
      <c r="L171" s="391">
        <v>62511498</v>
      </c>
      <c r="M171" s="391"/>
      <c r="N171" s="391"/>
      <c r="O171" s="765">
        <v>155578212</v>
      </c>
      <c r="P171" s="391">
        <v>263074965.0632</v>
      </c>
      <c r="Q171" s="391"/>
      <c r="R171" s="391"/>
      <c r="S171" s="765">
        <v>263074965.0632</v>
      </c>
      <c r="T171" s="391"/>
      <c r="U171" s="765"/>
      <c r="V171" s="391"/>
      <c r="W171" s="765">
        <v>2094571765.0632</v>
      </c>
      <c r="X171" s="378"/>
      <c r="Y171" s="180"/>
      <c r="Z171" s="180"/>
      <c r="AA171" s="180"/>
      <c r="AB171" s="180"/>
    </row>
    <row r="172" spans="1:28" s="203" customFormat="1" x14ac:dyDescent="0.2">
      <c r="A172" s="636"/>
      <c r="B172" s="389" t="s">
        <v>14</v>
      </c>
      <c r="C172" s="392">
        <v>607681265</v>
      </c>
      <c r="D172" s="392">
        <v>329757719</v>
      </c>
      <c r="E172" s="392">
        <v>379941293</v>
      </c>
      <c r="F172" s="392">
        <v>248630936</v>
      </c>
      <c r="G172" s="392">
        <v>85466732</v>
      </c>
      <c r="H172" s="392">
        <v>73611591</v>
      </c>
      <c r="I172" s="766">
        <v>1725089536</v>
      </c>
      <c r="J172" s="392">
        <v>30731888</v>
      </c>
      <c r="K172" s="392">
        <v>57412699</v>
      </c>
      <c r="L172" s="392">
        <v>58119672</v>
      </c>
      <c r="M172" s="392"/>
      <c r="N172" s="392"/>
      <c r="O172" s="766">
        <v>146264259</v>
      </c>
      <c r="P172" s="392">
        <v>257758881.66958007</v>
      </c>
      <c r="Q172" s="392"/>
      <c r="R172" s="392"/>
      <c r="S172" s="766">
        <v>257758881.66958007</v>
      </c>
      <c r="T172" s="392"/>
      <c r="U172" s="766"/>
      <c r="V172" s="392"/>
      <c r="W172" s="766">
        <v>2129112676.66958</v>
      </c>
      <c r="X172" s="378"/>
      <c r="Y172" s="180"/>
      <c r="Z172" s="180"/>
      <c r="AA172" s="180"/>
      <c r="AB172" s="180"/>
    </row>
    <row r="173" spans="1:28" s="202" customFormat="1" x14ac:dyDescent="0.2">
      <c r="A173" s="636"/>
      <c r="B173" s="639" t="s">
        <v>247</v>
      </c>
      <c r="C173" s="466">
        <v>3.2779037937159234</v>
      </c>
      <c r="D173" s="466">
        <v>5.0518378464479134</v>
      </c>
      <c r="E173" s="466">
        <v>-0.27651348885225585</v>
      </c>
      <c r="F173" s="466">
        <v>6.1538259425285782</v>
      </c>
      <c r="G173" s="466">
        <v>1.3345020464909931</v>
      </c>
      <c r="H173" s="466">
        <v>-0.61987368398769527</v>
      </c>
      <c r="I173" s="767">
        <v>2.933969964416911</v>
      </c>
      <c r="J173" s="466">
        <v>3.1533619703666282</v>
      </c>
      <c r="K173" s="466">
        <v>-9.2637785309606571</v>
      </c>
      <c r="L173" s="466">
        <v>-7.025629109064063</v>
      </c>
      <c r="M173" s="466">
        <v>0</v>
      </c>
      <c r="N173" s="466">
        <v>0</v>
      </c>
      <c r="O173" s="767">
        <v>-5.9866692644597306</v>
      </c>
      <c r="P173" s="466">
        <v>-2.0207484936253102</v>
      </c>
      <c r="Q173" s="466">
        <v>0</v>
      </c>
      <c r="R173" s="466">
        <v>0</v>
      </c>
      <c r="S173" s="767">
        <v>-2.0207484936253102</v>
      </c>
      <c r="T173" s="466">
        <v>0</v>
      </c>
      <c r="U173" s="767">
        <v>0</v>
      </c>
      <c r="V173" s="466">
        <v>0</v>
      </c>
      <c r="W173" s="767">
        <v>1.6490679470864773</v>
      </c>
      <c r="X173" s="378"/>
      <c r="Y173" s="180"/>
      <c r="Z173" s="180"/>
      <c r="AA173" s="180"/>
      <c r="AB173" s="180"/>
    </row>
    <row r="174" spans="1:28" x14ac:dyDescent="0.2">
      <c r="A174" s="636"/>
      <c r="B174" s="388" t="s">
        <v>225</v>
      </c>
      <c r="C174" s="391"/>
      <c r="D174" s="391"/>
      <c r="E174" s="391"/>
      <c r="F174" s="391"/>
      <c r="G174" s="391"/>
      <c r="H174" s="391"/>
      <c r="I174" s="765"/>
      <c r="J174" s="391"/>
      <c r="K174" s="391"/>
      <c r="L174" s="391"/>
      <c r="M174" s="391"/>
      <c r="N174" s="391"/>
      <c r="O174" s="765"/>
      <c r="P174" s="391"/>
      <c r="Q174" s="391"/>
      <c r="R174" s="391"/>
      <c r="S174" s="765"/>
      <c r="T174" s="391"/>
      <c r="U174" s="765"/>
      <c r="V174" s="391"/>
      <c r="W174" s="765"/>
      <c r="X174" s="378"/>
      <c r="Y174" s="180"/>
      <c r="Z174" s="180"/>
      <c r="AA174" s="180"/>
      <c r="AB174" s="180"/>
    </row>
    <row r="175" spans="1:28" s="203" customFormat="1" x14ac:dyDescent="0.2">
      <c r="A175" s="636"/>
      <c r="B175" s="389" t="s">
        <v>166</v>
      </c>
      <c r="C175" s="392"/>
      <c r="D175" s="392"/>
      <c r="E175" s="392"/>
      <c r="F175" s="392"/>
      <c r="G175" s="392"/>
      <c r="H175" s="392"/>
      <c r="I175" s="766"/>
      <c r="J175" s="392"/>
      <c r="K175" s="392"/>
      <c r="L175" s="392"/>
      <c r="M175" s="392"/>
      <c r="N175" s="392"/>
      <c r="O175" s="766"/>
      <c r="P175" s="392"/>
      <c r="Q175" s="392"/>
      <c r="R175" s="392"/>
      <c r="S175" s="766"/>
      <c r="T175" s="392"/>
      <c r="U175" s="766"/>
      <c r="V175" s="392"/>
      <c r="W175" s="766"/>
      <c r="X175" s="378"/>
      <c r="Y175" s="180"/>
      <c r="Z175" s="180"/>
      <c r="AA175" s="180"/>
      <c r="AB175" s="180"/>
    </row>
    <row r="176" spans="1:28" s="202" customFormat="1" x14ac:dyDescent="0.2">
      <c r="A176" s="636"/>
      <c r="B176" s="639" t="s">
        <v>175</v>
      </c>
      <c r="C176" s="466">
        <v>0</v>
      </c>
      <c r="D176" s="466">
        <v>0</v>
      </c>
      <c r="E176" s="466">
        <v>0</v>
      </c>
      <c r="F176" s="466">
        <v>0</v>
      </c>
      <c r="G176" s="466">
        <v>0</v>
      </c>
      <c r="H176" s="466">
        <v>0</v>
      </c>
      <c r="I176" s="767">
        <v>0</v>
      </c>
      <c r="J176" s="466">
        <v>0</v>
      </c>
      <c r="K176" s="466">
        <v>0</v>
      </c>
      <c r="L176" s="466">
        <v>0</v>
      </c>
      <c r="M176" s="466">
        <v>0</v>
      </c>
      <c r="N176" s="466">
        <v>0</v>
      </c>
      <c r="O176" s="767">
        <v>0</v>
      </c>
      <c r="P176" s="466">
        <v>0</v>
      </c>
      <c r="Q176" s="466">
        <v>0</v>
      </c>
      <c r="R176" s="466">
        <v>0</v>
      </c>
      <c r="S176" s="767">
        <v>0</v>
      </c>
      <c r="T176" s="466">
        <v>0</v>
      </c>
      <c r="U176" s="767">
        <v>0</v>
      </c>
      <c r="V176" s="466">
        <v>0</v>
      </c>
      <c r="W176" s="767">
        <v>0</v>
      </c>
      <c r="X176" s="378"/>
      <c r="Y176" s="180"/>
      <c r="Z176" s="180"/>
      <c r="AA176" s="180"/>
      <c r="AB176" s="180"/>
    </row>
    <row r="177" spans="1:28" x14ac:dyDescent="0.2">
      <c r="A177" s="636"/>
      <c r="B177" s="768" t="s">
        <v>317</v>
      </c>
      <c r="C177" s="765">
        <v>588394267</v>
      </c>
      <c r="D177" s="765">
        <v>313900000</v>
      </c>
      <c r="E177" s="765">
        <v>380994795</v>
      </c>
      <c r="F177" s="765">
        <v>234217593</v>
      </c>
      <c r="G177" s="765">
        <v>84341197</v>
      </c>
      <c r="H177" s="765">
        <v>74070736</v>
      </c>
      <c r="I177" s="765">
        <v>1675918588</v>
      </c>
      <c r="J177" s="765">
        <v>29792425</v>
      </c>
      <c r="K177" s="765">
        <v>63274289</v>
      </c>
      <c r="L177" s="765">
        <v>62511498</v>
      </c>
      <c r="M177" s="765"/>
      <c r="N177" s="765"/>
      <c r="O177" s="765">
        <v>155578212</v>
      </c>
      <c r="P177" s="765">
        <v>263074965.0632</v>
      </c>
      <c r="Q177" s="765"/>
      <c r="R177" s="765"/>
      <c r="S177" s="765">
        <v>263074965.0632</v>
      </c>
      <c r="T177" s="765">
        <v>0</v>
      </c>
      <c r="U177" s="765">
        <v>0</v>
      </c>
      <c r="V177" s="765">
        <v>0</v>
      </c>
      <c r="W177" s="765">
        <v>2094571765.0632</v>
      </c>
      <c r="X177" s="378"/>
      <c r="Y177" s="180"/>
      <c r="Z177" s="180"/>
      <c r="AA177" s="180"/>
      <c r="AB177" s="180"/>
    </row>
    <row r="178" spans="1:28" s="203" customFormat="1" x14ac:dyDescent="0.2">
      <c r="A178" s="636"/>
      <c r="B178" s="769" t="s">
        <v>70</v>
      </c>
      <c r="C178" s="766">
        <v>607681265</v>
      </c>
      <c r="D178" s="766">
        <v>329757719</v>
      </c>
      <c r="E178" s="766">
        <v>379941293</v>
      </c>
      <c r="F178" s="766">
        <v>248630936</v>
      </c>
      <c r="G178" s="766">
        <v>85466732</v>
      </c>
      <c r="H178" s="766">
        <v>73611591</v>
      </c>
      <c r="I178" s="766">
        <v>1725089536</v>
      </c>
      <c r="J178" s="766">
        <v>30731888</v>
      </c>
      <c r="K178" s="766">
        <v>57412699</v>
      </c>
      <c r="L178" s="766">
        <v>58119672</v>
      </c>
      <c r="M178" s="766"/>
      <c r="N178" s="766"/>
      <c r="O178" s="766">
        <v>146264259</v>
      </c>
      <c r="P178" s="766">
        <v>257758881.66958007</v>
      </c>
      <c r="Q178" s="766"/>
      <c r="R178" s="766"/>
      <c r="S178" s="766">
        <v>257758881.66958007</v>
      </c>
      <c r="T178" s="766">
        <v>0</v>
      </c>
      <c r="U178" s="766">
        <v>0</v>
      </c>
      <c r="V178" s="766">
        <v>0</v>
      </c>
      <c r="W178" s="766">
        <v>2129112676.66958</v>
      </c>
      <c r="X178" s="378"/>
      <c r="Y178" s="180"/>
      <c r="Z178" s="180"/>
      <c r="AA178" s="180"/>
      <c r="AB178" s="180"/>
    </row>
    <row r="179" spans="1:28" s="202" customFormat="1" x14ac:dyDescent="0.2">
      <c r="A179" s="636"/>
      <c r="B179" s="770" t="s">
        <v>57</v>
      </c>
      <c r="C179" s="767">
        <v>3.2779037937159234</v>
      </c>
      <c r="D179" s="767">
        <v>5.0518378464479134</v>
      </c>
      <c r="E179" s="767">
        <v>-0.27651348885225585</v>
      </c>
      <c r="F179" s="767">
        <v>6.1538259425285782</v>
      </c>
      <c r="G179" s="767">
        <v>1.3345020464909931</v>
      </c>
      <c r="H179" s="767">
        <v>-0.61987368398769527</v>
      </c>
      <c r="I179" s="767">
        <v>2.933969964416911</v>
      </c>
      <c r="J179" s="767">
        <v>3.1533619703666282</v>
      </c>
      <c r="K179" s="767">
        <v>-9.2637785309606571</v>
      </c>
      <c r="L179" s="767">
        <v>-7.025629109064063</v>
      </c>
      <c r="M179" s="767">
        <v>0</v>
      </c>
      <c r="N179" s="767">
        <v>0</v>
      </c>
      <c r="O179" s="767">
        <v>-5.9866692644597306</v>
      </c>
      <c r="P179" s="767">
        <v>-2.0207484936253102</v>
      </c>
      <c r="Q179" s="767">
        <v>0</v>
      </c>
      <c r="R179" s="767">
        <v>0</v>
      </c>
      <c r="S179" s="767">
        <v>-2.0207484936253102</v>
      </c>
      <c r="T179" s="767">
        <v>0</v>
      </c>
      <c r="U179" s="767">
        <v>0</v>
      </c>
      <c r="V179" s="767">
        <v>0</v>
      </c>
      <c r="W179" s="767">
        <v>1.6490679470864773</v>
      </c>
      <c r="X179" s="378"/>
      <c r="Y179" s="180"/>
      <c r="Z179" s="180"/>
      <c r="AA179" s="180"/>
      <c r="AB179" s="180"/>
    </row>
    <row r="180" spans="1:28" x14ac:dyDescent="0.2">
      <c r="A180" s="636"/>
      <c r="B180" s="388" t="s">
        <v>72</v>
      </c>
      <c r="C180" s="391"/>
      <c r="D180" s="391"/>
      <c r="E180" s="391"/>
      <c r="F180" s="391"/>
      <c r="G180" s="391"/>
      <c r="H180" s="391"/>
      <c r="I180" s="765"/>
      <c r="J180" s="391"/>
      <c r="K180" s="391"/>
      <c r="L180" s="391"/>
      <c r="M180" s="391"/>
      <c r="N180" s="391"/>
      <c r="O180" s="765"/>
      <c r="P180" s="391"/>
      <c r="Q180" s="391"/>
      <c r="R180" s="391"/>
      <c r="S180" s="765"/>
      <c r="T180" s="391">
        <v>19678891</v>
      </c>
      <c r="U180" s="765">
        <v>19678891</v>
      </c>
      <c r="V180" s="391">
        <v>463907722</v>
      </c>
      <c r="W180" s="765">
        <v>483586613</v>
      </c>
      <c r="X180" s="378"/>
      <c r="Y180" s="180"/>
      <c r="Z180" s="180"/>
      <c r="AA180" s="180"/>
      <c r="AB180" s="180"/>
    </row>
    <row r="181" spans="1:28" s="203" customFormat="1" x14ac:dyDescent="0.2">
      <c r="A181" s="636"/>
      <c r="B181" s="389" t="s">
        <v>74</v>
      </c>
      <c r="C181" s="392"/>
      <c r="D181" s="392"/>
      <c r="E181" s="392"/>
      <c r="F181" s="392"/>
      <c r="G181" s="392"/>
      <c r="H181" s="392"/>
      <c r="I181" s="766"/>
      <c r="J181" s="392"/>
      <c r="K181" s="392"/>
      <c r="L181" s="392"/>
      <c r="M181" s="392"/>
      <c r="N181" s="392"/>
      <c r="O181" s="766"/>
      <c r="P181" s="392"/>
      <c r="Q181" s="392"/>
      <c r="R181" s="392"/>
      <c r="S181" s="766"/>
      <c r="T181" s="392">
        <v>21375236</v>
      </c>
      <c r="U181" s="766">
        <v>21375236</v>
      </c>
      <c r="V181" s="392">
        <v>489560369</v>
      </c>
      <c r="W181" s="766">
        <v>510935605</v>
      </c>
      <c r="X181" s="378"/>
      <c r="Y181" s="180"/>
      <c r="Z181" s="180"/>
      <c r="AA181" s="180"/>
      <c r="AB181" s="180"/>
    </row>
    <row r="182" spans="1:28" s="202" customFormat="1" x14ac:dyDescent="0.2">
      <c r="A182" s="636"/>
      <c r="B182" s="639" t="s">
        <v>76</v>
      </c>
      <c r="C182" s="466">
        <v>0</v>
      </c>
      <c r="D182" s="466">
        <v>0</v>
      </c>
      <c r="E182" s="466">
        <v>0</v>
      </c>
      <c r="F182" s="466">
        <v>0</v>
      </c>
      <c r="G182" s="466">
        <v>0</v>
      </c>
      <c r="H182" s="466">
        <v>0</v>
      </c>
      <c r="I182" s="767">
        <v>0</v>
      </c>
      <c r="J182" s="466">
        <v>0</v>
      </c>
      <c r="K182" s="466">
        <v>0</v>
      </c>
      <c r="L182" s="466">
        <v>0</v>
      </c>
      <c r="M182" s="466">
        <v>0</v>
      </c>
      <c r="N182" s="466">
        <v>0</v>
      </c>
      <c r="O182" s="767">
        <v>0</v>
      </c>
      <c r="P182" s="466">
        <v>0</v>
      </c>
      <c r="Q182" s="466">
        <v>0</v>
      </c>
      <c r="R182" s="466">
        <v>0</v>
      </c>
      <c r="S182" s="767">
        <v>0</v>
      </c>
      <c r="T182" s="466">
        <v>8.6201249857016844</v>
      </c>
      <c r="U182" s="767">
        <v>8.6201249857016844</v>
      </c>
      <c r="V182" s="466">
        <v>5.5296874321053018</v>
      </c>
      <c r="W182" s="767">
        <v>5.6554485307888367</v>
      </c>
      <c r="X182" s="378"/>
      <c r="Y182" s="180"/>
      <c r="Z182" s="180"/>
      <c r="AA182" s="180"/>
      <c r="AB182" s="180"/>
    </row>
    <row r="183" spans="1:28" x14ac:dyDescent="0.2">
      <c r="A183" s="636"/>
      <c r="B183" s="388" t="s">
        <v>240</v>
      </c>
      <c r="C183" s="391"/>
      <c r="D183" s="391"/>
      <c r="E183" s="391"/>
      <c r="F183" s="391"/>
      <c r="G183" s="391"/>
      <c r="H183" s="391"/>
      <c r="I183" s="765"/>
      <c r="J183" s="391"/>
      <c r="K183" s="391"/>
      <c r="L183" s="391"/>
      <c r="M183" s="391"/>
      <c r="N183" s="391"/>
      <c r="O183" s="765"/>
      <c r="P183" s="391"/>
      <c r="Q183" s="391"/>
      <c r="R183" s="391"/>
      <c r="S183" s="765"/>
      <c r="T183" s="391">
        <v>34765683</v>
      </c>
      <c r="U183" s="765">
        <v>34765683</v>
      </c>
      <c r="V183" s="391"/>
      <c r="W183" s="765">
        <v>34765683</v>
      </c>
      <c r="X183" s="378"/>
      <c r="Y183" s="180"/>
      <c r="Z183" s="180"/>
      <c r="AA183" s="180"/>
      <c r="AB183" s="180"/>
    </row>
    <row r="184" spans="1:28" s="203" customFormat="1" x14ac:dyDescent="0.2">
      <c r="A184" s="636"/>
      <c r="B184" s="389" t="s">
        <v>163</v>
      </c>
      <c r="C184" s="392"/>
      <c r="D184" s="392"/>
      <c r="E184" s="392"/>
      <c r="F184" s="392"/>
      <c r="G184" s="392"/>
      <c r="H184" s="392"/>
      <c r="I184" s="766"/>
      <c r="J184" s="392"/>
      <c r="K184" s="392"/>
      <c r="L184" s="392"/>
      <c r="M184" s="392"/>
      <c r="N184" s="392"/>
      <c r="O184" s="766"/>
      <c r="P184" s="392"/>
      <c r="Q184" s="392"/>
      <c r="R184" s="392"/>
      <c r="S184" s="766"/>
      <c r="T184" s="392">
        <v>36426718</v>
      </c>
      <c r="U184" s="766">
        <v>36426718</v>
      </c>
      <c r="V184" s="392"/>
      <c r="W184" s="766">
        <v>36426718</v>
      </c>
      <c r="X184" s="378"/>
      <c r="Y184" s="180"/>
      <c r="Z184" s="180"/>
      <c r="AA184" s="180"/>
      <c r="AB184" s="180"/>
    </row>
    <row r="185" spans="1:28" s="202" customFormat="1" x14ac:dyDescent="0.2">
      <c r="A185" s="636"/>
      <c r="B185" s="639" t="s">
        <v>59</v>
      </c>
      <c r="C185" s="466">
        <v>0</v>
      </c>
      <c r="D185" s="466">
        <v>0</v>
      </c>
      <c r="E185" s="466">
        <v>0</v>
      </c>
      <c r="F185" s="466">
        <v>0</v>
      </c>
      <c r="G185" s="466">
        <v>0</v>
      </c>
      <c r="H185" s="466">
        <v>0</v>
      </c>
      <c r="I185" s="767">
        <v>0</v>
      </c>
      <c r="J185" s="466">
        <v>0</v>
      </c>
      <c r="K185" s="466">
        <v>0</v>
      </c>
      <c r="L185" s="466">
        <v>0</v>
      </c>
      <c r="M185" s="466">
        <v>0</v>
      </c>
      <c r="N185" s="466">
        <v>0</v>
      </c>
      <c r="O185" s="767">
        <v>0</v>
      </c>
      <c r="P185" s="466">
        <v>0</v>
      </c>
      <c r="Q185" s="466">
        <v>0</v>
      </c>
      <c r="R185" s="466">
        <v>0</v>
      </c>
      <c r="S185" s="767">
        <v>0</v>
      </c>
      <c r="T185" s="466">
        <v>4.777800568451366</v>
      </c>
      <c r="U185" s="767">
        <v>4.777800568451366</v>
      </c>
      <c r="V185" s="466">
        <v>0</v>
      </c>
      <c r="W185" s="767">
        <v>4.777800568451366</v>
      </c>
      <c r="X185" s="378"/>
      <c r="Y185" s="180"/>
      <c r="Z185" s="180"/>
      <c r="AA185" s="180"/>
      <c r="AB185" s="180"/>
    </row>
    <row r="186" spans="1:28" x14ac:dyDescent="0.2">
      <c r="A186" s="636"/>
      <c r="B186" s="388" t="s">
        <v>159</v>
      </c>
      <c r="C186" s="391"/>
      <c r="D186" s="391"/>
      <c r="E186" s="391"/>
      <c r="F186" s="391"/>
      <c r="G186" s="391"/>
      <c r="H186" s="391"/>
      <c r="I186" s="765"/>
      <c r="J186" s="391"/>
      <c r="K186" s="391"/>
      <c r="L186" s="391"/>
      <c r="M186" s="391"/>
      <c r="N186" s="391"/>
      <c r="O186" s="765"/>
      <c r="P186" s="391"/>
      <c r="Q186" s="391"/>
      <c r="R186" s="391"/>
      <c r="S186" s="765"/>
      <c r="T186" s="391"/>
      <c r="U186" s="765"/>
      <c r="V186" s="391"/>
      <c r="W186" s="765"/>
      <c r="X186" s="378"/>
      <c r="Y186" s="180"/>
      <c r="Z186" s="180"/>
      <c r="AA186" s="180"/>
      <c r="AB186" s="180"/>
    </row>
    <row r="187" spans="1:28" s="203" customFormat="1" x14ac:dyDescent="0.2">
      <c r="A187" s="636"/>
      <c r="B187" s="389" t="s">
        <v>100</v>
      </c>
      <c r="C187" s="392"/>
      <c r="D187" s="392"/>
      <c r="E187" s="392"/>
      <c r="F187" s="392"/>
      <c r="G187" s="392"/>
      <c r="H187" s="392"/>
      <c r="I187" s="766"/>
      <c r="J187" s="392"/>
      <c r="K187" s="392"/>
      <c r="L187" s="392"/>
      <c r="M187" s="392"/>
      <c r="N187" s="392"/>
      <c r="O187" s="766"/>
      <c r="P187" s="392"/>
      <c r="Q187" s="392"/>
      <c r="R187" s="392"/>
      <c r="S187" s="766"/>
      <c r="T187" s="392"/>
      <c r="U187" s="766"/>
      <c r="V187" s="392"/>
      <c r="W187" s="766"/>
      <c r="X187" s="378"/>
      <c r="Y187" s="180"/>
      <c r="Z187" s="180"/>
      <c r="AA187" s="180"/>
      <c r="AB187" s="180"/>
    </row>
    <row r="188" spans="1:28" s="202" customFormat="1" x14ac:dyDescent="0.2">
      <c r="A188" s="636"/>
      <c r="B188" s="639" t="s">
        <v>110</v>
      </c>
      <c r="C188" s="466">
        <v>0</v>
      </c>
      <c r="D188" s="466">
        <v>0</v>
      </c>
      <c r="E188" s="466">
        <v>0</v>
      </c>
      <c r="F188" s="466">
        <v>0</v>
      </c>
      <c r="G188" s="466">
        <v>0</v>
      </c>
      <c r="H188" s="466">
        <v>0</v>
      </c>
      <c r="I188" s="767">
        <v>0</v>
      </c>
      <c r="J188" s="466">
        <v>0</v>
      </c>
      <c r="K188" s="466">
        <v>0</v>
      </c>
      <c r="L188" s="466">
        <v>0</v>
      </c>
      <c r="M188" s="466">
        <v>0</v>
      </c>
      <c r="N188" s="466">
        <v>0</v>
      </c>
      <c r="O188" s="767">
        <v>0</v>
      </c>
      <c r="P188" s="466">
        <v>0</v>
      </c>
      <c r="Q188" s="466">
        <v>0</v>
      </c>
      <c r="R188" s="466">
        <v>0</v>
      </c>
      <c r="S188" s="767">
        <v>0</v>
      </c>
      <c r="T188" s="466">
        <v>0</v>
      </c>
      <c r="U188" s="767">
        <v>0</v>
      </c>
      <c r="V188" s="466">
        <v>0</v>
      </c>
      <c r="W188" s="767">
        <v>0</v>
      </c>
      <c r="X188" s="378"/>
      <c r="Y188" s="180"/>
      <c r="Z188" s="180"/>
      <c r="AA188" s="180"/>
      <c r="AB188" s="180"/>
    </row>
    <row r="189" spans="1:28" x14ac:dyDescent="0.2">
      <c r="A189" s="636"/>
      <c r="B189" s="388" t="s">
        <v>161</v>
      </c>
      <c r="C189" s="391">
        <v>0</v>
      </c>
      <c r="D189" s="391">
        <v>0</v>
      </c>
      <c r="E189" s="391">
        <v>0</v>
      </c>
      <c r="F189" s="391">
        <v>0</v>
      </c>
      <c r="G189" s="391">
        <v>0</v>
      </c>
      <c r="H189" s="391">
        <v>0</v>
      </c>
      <c r="I189" s="765">
        <v>0</v>
      </c>
      <c r="J189" s="391">
        <v>0</v>
      </c>
      <c r="K189" s="391">
        <v>0</v>
      </c>
      <c r="L189" s="391">
        <v>0</v>
      </c>
      <c r="M189" s="391"/>
      <c r="N189" s="391"/>
      <c r="O189" s="765">
        <v>0</v>
      </c>
      <c r="P189" s="391">
        <v>0</v>
      </c>
      <c r="Q189" s="391"/>
      <c r="R189" s="391"/>
      <c r="S189" s="765">
        <v>0</v>
      </c>
      <c r="T189" s="391">
        <v>34765683</v>
      </c>
      <c r="U189" s="765">
        <v>34765683</v>
      </c>
      <c r="V189" s="391">
        <v>0</v>
      </c>
      <c r="W189" s="765">
        <v>34765683</v>
      </c>
      <c r="X189" s="378"/>
      <c r="Y189" s="180"/>
      <c r="Z189" s="180"/>
      <c r="AA189" s="180"/>
      <c r="AB189" s="180"/>
    </row>
    <row r="190" spans="1:28" s="203" customFormat="1" x14ac:dyDescent="0.2">
      <c r="A190" s="636"/>
      <c r="B190" s="389" t="s">
        <v>102</v>
      </c>
      <c r="C190" s="392">
        <v>0</v>
      </c>
      <c r="D190" s="392">
        <v>0</v>
      </c>
      <c r="E190" s="392">
        <v>0</v>
      </c>
      <c r="F190" s="392">
        <v>0</v>
      </c>
      <c r="G190" s="392">
        <v>0</v>
      </c>
      <c r="H190" s="392">
        <v>0</v>
      </c>
      <c r="I190" s="766">
        <v>0</v>
      </c>
      <c r="J190" s="392">
        <v>0</v>
      </c>
      <c r="K190" s="392">
        <v>0</v>
      </c>
      <c r="L190" s="392">
        <v>0</v>
      </c>
      <c r="M190" s="392"/>
      <c r="N190" s="392"/>
      <c r="O190" s="766">
        <v>0</v>
      </c>
      <c r="P190" s="392">
        <v>0</v>
      </c>
      <c r="Q190" s="392"/>
      <c r="R190" s="392"/>
      <c r="S190" s="766">
        <v>0</v>
      </c>
      <c r="T190" s="392">
        <v>36426718</v>
      </c>
      <c r="U190" s="766">
        <v>36426718</v>
      </c>
      <c r="V190" s="392">
        <v>0</v>
      </c>
      <c r="W190" s="766">
        <v>36426718</v>
      </c>
      <c r="X190" s="378"/>
      <c r="Y190" s="180"/>
      <c r="Z190" s="180"/>
      <c r="AA190" s="180"/>
      <c r="AB190" s="180"/>
    </row>
    <row r="191" spans="1:28" s="202" customFormat="1" x14ac:dyDescent="0.2">
      <c r="A191" s="636"/>
      <c r="B191" s="639" t="s">
        <v>183</v>
      </c>
      <c r="C191" s="466">
        <v>0</v>
      </c>
      <c r="D191" s="466">
        <v>0</v>
      </c>
      <c r="E191" s="466">
        <v>0</v>
      </c>
      <c r="F191" s="466">
        <v>0</v>
      </c>
      <c r="G191" s="466">
        <v>0</v>
      </c>
      <c r="H191" s="466">
        <v>0</v>
      </c>
      <c r="I191" s="767">
        <v>0</v>
      </c>
      <c r="J191" s="466">
        <v>0</v>
      </c>
      <c r="K191" s="466">
        <v>0</v>
      </c>
      <c r="L191" s="466">
        <v>0</v>
      </c>
      <c r="M191" s="466">
        <v>0</v>
      </c>
      <c r="N191" s="466">
        <v>0</v>
      </c>
      <c r="O191" s="767">
        <v>0</v>
      </c>
      <c r="P191" s="466">
        <v>0</v>
      </c>
      <c r="Q191" s="466">
        <v>0</v>
      </c>
      <c r="R191" s="466">
        <v>0</v>
      </c>
      <c r="S191" s="767">
        <v>0</v>
      </c>
      <c r="T191" s="466">
        <v>4.777800568451366</v>
      </c>
      <c r="U191" s="767">
        <v>4.777800568451366</v>
      </c>
      <c r="V191" s="466">
        <v>0</v>
      </c>
      <c r="W191" s="767">
        <v>4.777800568451366</v>
      </c>
      <c r="X191" s="378"/>
      <c r="Y191" s="180"/>
      <c r="Z191" s="180"/>
      <c r="AA191" s="180"/>
      <c r="AB191" s="180"/>
    </row>
    <row r="192" spans="1:28" x14ac:dyDescent="0.2">
      <c r="A192" s="636"/>
      <c r="B192" s="388" t="s">
        <v>78</v>
      </c>
      <c r="C192" s="391">
        <v>13473051</v>
      </c>
      <c r="D192" s="391"/>
      <c r="E192" s="391"/>
      <c r="F192" s="391">
        <v>167379550</v>
      </c>
      <c r="G192" s="391"/>
      <c r="H192" s="391"/>
      <c r="I192" s="765">
        <v>180852601</v>
      </c>
      <c r="J192" s="391"/>
      <c r="K192" s="391"/>
      <c r="L192" s="391"/>
      <c r="M192" s="391"/>
      <c r="N192" s="391"/>
      <c r="O192" s="765"/>
      <c r="P192" s="391"/>
      <c r="Q192" s="391"/>
      <c r="R192" s="391"/>
      <c r="S192" s="765"/>
      <c r="T192" s="391"/>
      <c r="U192" s="765"/>
      <c r="V192" s="391"/>
      <c r="W192" s="765">
        <v>180852601</v>
      </c>
      <c r="X192" s="378"/>
      <c r="Y192" s="180"/>
      <c r="Z192" s="180"/>
      <c r="AA192" s="180"/>
      <c r="AB192" s="180"/>
    </row>
    <row r="193" spans="1:28" s="203" customFormat="1" x14ac:dyDescent="0.2">
      <c r="A193" s="636"/>
      <c r="B193" s="389" t="s">
        <v>80</v>
      </c>
      <c r="C193" s="392">
        <v>13431532</v>
      </c>
      <c r="D193" s="392"/>
      <c r="E193" s="392"/>
      <c r="F193" s="392">
        <v>177232939</v>
      </c>
      <c r="G193" s="392"/>
      <c r="H193" s="392"/>
      <c r="I193" s="766">
        <v>190664471</v>
      </c>
      <c r="J193" s="392"/>
      <c r="K193" s="392"/>
      <c r="L193" s="392"/>
      <c r="M193" s="392"/>
      <c r="N193" s="392"/>
      <c r="O193" s="766"/>
      <c r="P193" s="392"/>
      <c r="Q193" s="392"/>
      <c r="R193" s="392"/>
      <c r="S193" s="766"/>
      <c r="T193" s="392"/>
      <c r="U193" s="766"/>
      <c r="V193" s="392"/>
      <c r="W193" s="766">
        <v>190664471</v>
      </c>
      <c r="X193" s="378"/>
      <c r="Y193" s="180"/>
      <c r="Z193" s="180"/>
      <c r="AA193" s="180"/>
      <c r="AB193" s="180"/>
    </row>
    <row r="194" spans="1:28" s="202" customFormat="1" x14ac:dyDescent="0.2">
      <c r="A194" s="636"/>
      <c r="B194" s="639" t="s">
        <v>215</v>
      </c>
      <c r="C194" s="466">
        <v>-0.3081633105968351</v>
      </c>
      <c r="D194" s="466">
        <v>0</v>
      </c>
      <c r="E194" s="466">
        <v>0</v>
      </c>
      <c r="F194" s="466">
        <v>5.8868535612624129</v>
      </c>
      <c r="G194" s="466">
        <v>0</v>
      </c>
      <c r="H194" s="466">
        <v>0</v>
      </c>
      <c r="I194" s="767">
        <v>5.425340827694261</v>
      </c>
      <c r="J194" s="466">
        <v>0</v>
      </c>
      <c r="K194" s="466">
        <v>0</v>
      </c>
      <c r="L194" s="466">
        <v>0</v>
      </c>
      <c r="M194" s="466">
        <v>0</v>
      </c>
      <c r="N194" s="466">
        <v>0</v>
      </c>
      <c r="O194" s="767">
        <v>0</v>
      </c>
      <c r="P194" s="466">
        <v>0</v>
      </c>
      <c r="Q194" s="466">
        <v>0</v>
      </c>
      <c r="R194" s="466">
        <v>0</v>
      </c>
      <c r="S194" s="767">
        <v>0</v>
      </c>
      <c r="T194" s="466">
        <v>0</v>
      </c>
      <c r="U194" s="767">
        <v>0</v>
      </c>
      <c r="V194" s="466">
        <v>0</v>
      </c>
      <c r="W194" s="767">
        <v>5.425340827694261</v>
      </c>
      <c r="X194" s="378"/>
      <c r="Y194" s="180"/>
      <c r="Z194" s="180"/>
      <c r="AA194" s="180"/>
      <c r="AB194" s="180"/>
    </row>
    <row r="195" spans="1:28" x14ac:dyDescent="0.2">
      <c r="A195" s="636"/>
      <c r="B195" s="388" t="s">
        <v>81</v>
      </c>
      <c r="C195" s="391">
        <v>6810336</v>
      </c>
      <c r="D195" s="391"/>
      <c r="E195" s="391"/>
      <c r="F195" s="391">
        <v>45964716</v>
      </c>
      <c r="G195" s="391"/>
      <c r="H195" s="391"/>
      <c r="I195" s="765">
        <v>52775052</v>
      </c>
      <c r="J195" s="391"/>
      <c r="K195" s="391"/>
      <c r="L195" s="391"/>
      <c r="M195" s="391"/>
      <c r="N195" s="391"/>
      <c r="O195" s="765"/>
      <c r="P195" s="391"/>
      <c r="Q195" s="391"/>
      <c r="R195" s="391"/>
      <c r="S195" s="765"/>
      <c r="T195" s="391"/>
      <c r="U195" s="765"/>
      <c r="V195" s="391"/>
      <c r="W195" s="765">
        <v>52775052</v>
      </c>
      <c r="X195" s="378"/>
      <c r="Y195" s="180"/>
      <c r="Z195" s="180"/>
      <c r="AA195" s="180"/>
      <c r="AB195" s="180"/>
    </row>
    <row r="196" spans="1:28" s="203" customFormat="1" x14ac:dyDescent="0.2">
      <c r="A196" s="636"/>
      <c r="B196" s="389" t="s">
        <v>318</v>
      </c>
      <c r="C196" s="392">
        <v>7067460</v>
      </c>
      <c r="D196" s="392"/>
      <c r="E196" s="392"/>
      <c r="F196" s="392">
        <v>43211088</v>
      </c>
      <c r="G196" s="392"/>
      <c r="H196" s="392"/>
      <c r="I196" s="766">
        <v>50278548</v>
      </c>
      <c r="J196" s="392"/>
      <c r="K196" s="392"/>
      <c r="L196" s="392"/>
      <c r="M196" s="392"/>
      <c r="N196" s="392"/>
      <c r="O196" s="766"/>
      <c r="P196" s="392"/>
      <c r="Q196" s="392"/>
      <c r="R196" s="392"/>
      <c r="S196" s="766"/>
      <c r="T196" s="392"/>
      <c r="U196" s="766"/>
      <c r="V196" s="392"/>
      <c r="W196" s="766">
        <v>50278548</v>
      </c>
      <c r="X196" s="378"/>
      <c r="Y196" s="180"/>
      <c r="Z196" s="180"/>
      <c r="AA196" s="180"/>
      <c r="AB196" s="180"/>
    </row>
    <row r="197" spans="1:28" s="202" customFormat="1" x14ac:dyDescent="0.2">
      <c r="A197" s="636"/>
      <c r="B197" s="639" t="s">
        <v>236</v>
      </c>
      <c r="C197" s="466">
        <v>3.7754965393777926</v>
      </c>
      <c r="D197" s="466">
        <v>0</v>
      </c>
      <c r="E197" s="466">
        <v>0</v>
      </c>
      <c r="F197" s="466">
        <v>-5.9907429864246309</v>
      </c>
      <c r="G197" s="466">
        <v>0</v>
      </c>
      <c r="H197" s="466">
        <v>0</v>
      </c>
      <c r="I197" s="767">
        <v>-4.7304624162189359</v>
      </c>
      <c r="J197" s="466">
        <v>0</v>
      </c>
      <c r="K197" s="466">
        <v>0</v>
      </c>
      <c r="L197" s="466">
        <v>0</v>
      </c>
      <c r="M197" s="466">
        <v>0</v>
      </c>
      <c r="N197" s="466">
        <v>0</v>
      </c>
      <c r="O197" s="767">
        <v>0</v>
      </c>
      <c r="P197" s="466">
        <v>0</v>
      </c>
      <c r="Q197" s="466">
        <v>0</v>
      </c>
      <c r="R197" s="466">
        <v>0</v>
      </c>
      <c r="S197" s="767">
        <v>0</v>
      </c>
      <c r="T197" s="466">
        <v>0</v>
      </c>
      <c r="U197" s="767">
        <v>0</v>
      </c>
      <c r="V197" s="466">
        <v>0</v>
      </c>
      <c r="W197" s="767">
        <v>-4.7304624162189359</v>
      </c>
      <c r="X197" s="378"/>
      <c r="Y197" s="180"/>
      <c r="Z197" s="180"/>
      <c r="AA197" s="180"/>
      <c r="AB197" s="180"/>
    </row>
    <row r="198" spans="1:28" x14ac:dyDescent="0.2">
      <c r="A198" s="636"/>
      <c r="B198" s="388" t="s">
        <v>19</v>
      </c>
      <c r="C198" s="391">
        <v>1114595549</v>
      </c>
      <c r="D198" s="391">
        <v>520936626</v>
      </c>
      <c r="E198" s="391">
        <v>622671412</v>
      </c>
      <c r="F198" s="391">
        <v>402147277</v>
      </c>
      <c r="G198" s="391">
        <v>156399755</v>
      </c>
      <c r="H198" s="391">
        <v>154502759</v>
      </c>
      <c r="I198" s="765">
        <v>2971253378</v>
      </c>
      <c r="J198" s="391">
        <v>66476438</v>
      </c>
      <c r="K198" s="391">
        <v>108292527</v>
      </c>
      <c r="L198" s="391">
        <v>123769073</v>
      </c>
      <c r="M198" s="391"/>
      <c r="N198" s="391"/>
      <c r="O198" s="765">
        <v>298538038</v>
      </c>
      <c r="P198" s="391">
        <v>531345221.21319997</v>
      </c>
      <c r="Q198" s="391"/>
      <c r="R198" s="391"/>
      <c r="S198" s="765">
        <v>531345221.21319997</v>
      </c>
      <c r="T198" s="391">
        <v>0</v>
      </c>
      <c r="U198" s="765">
        <v>0</v>
      </c>
      <c r="V198" s="391">
        <v>54743472</v>
      </c>
      <c r="W198" s="765">
        <v>3855880109.2132001</v>
      </c>
      <c r="X198" s="378"/>
      <c r="Y198" s="180"/>
      <c r="Z198" s="180"/>
      <c r="AA198" s="180"/>
      <c r="AB198" s="180"/>
    </row>
    <row r="199" spans="1:28" s="203" customFormat="1" x14ac:dyDescent="0.2">
      <c r="A199" s="636"/>
      <c r="B199" s="389" t="s">
        <v>21</v>
      </c>
      <c r="C199" s="392">
        <v>1170053416</v>
      </c>
      <c r="D199" s="392">
        <v>552084309</v>
      </c>
      <c r="E199" s="392">
        <v>636983700</v>
      </c>
      <c r="F199" s="392">
        <v>428628593</v>
      </c>
      <c r="G199" s="392">
        <v>163427867</v>
      </c>
      <c r="H199" s="392">
        <v>161837870</v>
      </c>
      <c r="I199" s="766">
        <v>3113015755</v>
      </c>
      <c r="J199" s="392">
        <v>69408125</v>
      </c>
      <c r="K199" s="392">
        <v>114299293</v>
      </c>
      <c r="L199" s="392">
        <v>125689397</v>
      </c>
      <c r="M199" s="392"/>
      <c r="N199" s="392"/>
      <c r="O199" s="766">
        <v>309396815</v>
      </c>
      <c r="P199" s="392">
        <v>518574080.66957998</v>
      </c>
      <c r="Q199" s="392"/>
      <c r="R199" s="392"/>
      <c r="S199" s="766">
        <v>518574080.66957998</v>
      </c>
      <c r="T199" s="392">
        <v>0</v>
      </c>
      <c r="U199" s="766">
        <v>0</v>
      </c>
      <c r="V199" s="392">
        <v>98079458</v>
      </c>
      <c r="W199" s="766">
        <v>4039066108.66958</v>
      </c>
      <c r="X199" s="378"/>
      <c r="Y199" s="180"/>
      <c r="Z199" s="180"/>
      <c r="AA199" s="180"/>
      <c r="AB199" s="180"/>
    </row>
    <row r="200" spans="1:28" s="212" customFormat="1" ht="13.5" thickBot="1" x14ac:dyDescent="0.25">
      <c r="A200" s="640"/>
      <c r="B200" s="777" t="s">
        <v>23</v>
      </c>
      <c r="C200" s="778">
        <v>4.9756045634451036</v>
      </c>
      <c r="D200" s="778">
        <v>5.979169335657347</v>
      </c>
      <c r="E200" s="778">
        <v>2.2985298062792707</v>
      </c>
      <c r="F200" s="778">
        <v>6.5849795621020712</v>
      </c>
      <c r="G200" s="778">
        <v>4.4936847887005964</v>
      </c>
      <c r="H200" s="778">
        <v>4.7475598801442764</v>
      </c>
      <c r="I200" s="779">
        <v>4.7711305286061672</v>
      </c>
      <c r="J200" s="778">
        <v>4.410114452883291</v>
      </c>
      <c r="K200" s="778">
        <v>5.5467964100606872</v>
      </c>
      <c r="L200" s="778">
        <v>1.5515378385358027</v>
      </c>
      <c r="M200" s="778">
        <v>0</v>
      </c>
      <c r="N200" s="778">
        <v>0</v>
      </c>
      <c r="O200" s="779">
        <v>3.6373177343652268</v>
      </c>
      <c r="P200" s="778">
        <v>-2.4035485845643136</v>
      </c>
      <c r="Q200" s="778">
        <v>0</v>
      </c>
      <c r="R200" s="778">
        <v>0</v>
      </c>
      <c r="S200" s="779">
        <v>-2.4035485845643136</v>
      </c>
      <c r="T200" s="778">
        <v>0</v>
      </c>
      <c r="U200" s="779">
        <v>0</v>
      </c>
      <c r="V200" s="1512">
        <v>79.161924548738895</v>
      </c>
      <c r="W200" s="779">
        <v>4.7508219723605034</v>
      </c>
      <c r="X200" s="378"/>
      <c r="Y200" s="180"/>
      <c r="Z200" s="180"/>
      <c r="AA200" s="180"/>
      <c r="AB200" s="180"/>
    </row>
    <row r="201" spans="1:28" ht="13.5" thickTop="1" x14ac:dyDescent="0.2">
      <c r="A201" s="230" t="s">
        <v>150</v>
      </c>
      <c r="B201" s="780" t="s">
        <v>190</v>
      </c>
      <c r="C201" s="781">
        <v>289135629</v>
      </c>
      <c r="D201" s="781"/>
      <c r="E201" s="781">
        <v>222508000</v>
      </c>
      <c r="F201" s="781">
        <v>64511945</v>
      </c>
      <c r="G201" s="781"/>
      <c r="H201" s="781"/>
      <c r="I201" s="782">
        <v>576155574</v>
      </c>
      <c r="J201" s="781"/>
      <c r="K201" s="781">
        <v>29385037.286021207</v>
      </c>
      <c r="L201" s="781">
        <v>109319444.5291504</v>
      </c>
      <c r="M201" s="781">
        <v>5161524.3729834203</v>
      </c>
      <c r="N201" s="781"/>
      <c r="O201" s="782">
        <v>143866006.18815503</v>
      </c>
      <c r="P201" s="781">
        <v>15232193.811844973</v>
      </c>
      <c r="Q201" s="781"/>
      <c r="R201" s="781"/>
      <c r="S201" s="782">
        <v>15232193.811844973</v>
      </c>
      <c r="T201" s="781"/>
      <c r="U201" s="782"/>
      <c r="V201" s="781"/>
      <c r="W201" s="782">
        <v>735253774</v>
      </c>
      <c r="X201" s="378"/>
      <c r="Y201" s="180"/>
      <c r="Z201" s="180"/>
      <c r="AA201" s="180"/>
      <c r="AB201" s="180"/>
    </row>
    <row r="202" spans="1:28" s="203" customFormat="1" x14ac:dyDescent="0.2">
      <c r="A202" s="636"/>
      <c r="B202" s="389" t="s">
        <v>4</v>
      </c>
      <c r="C202" s="392">
        <v>288230573.77999997</v>
      </c>
      <c r="D202" s="392"/>
      <c r="E202" s="392">
        <v>222508000</v>
      </c>
      <c r="F202" s="392">
        <v>64511945</v>
      </c>
      <c r="G202" s="392"/>
      <c r="H202" s="392"/>
      <c r="I202" s="766">
        <v>575250518.77999997</v>
      </c>
      <c r="J202" s="392"/>
      <c r="K202" s="392">
        <v>27459967.674065802</v>
      </c>
      <c r="L202" s="392">
        <v>109176745.86162119</v>
      </c>
      <c r="M202" s="392">
        <v>4982764.4273456559</v>
      </c>
      <c r="N202" s="392"/>
      <c r="O202" s="766">
        <v>141619477.96303266</v>
      </c>
      <c r="P202" s="392">
        <v>15240322.036967365</v>
      </c>
      <c r="Q202" s="392"/>
      <c r="R202" s="392"/>
      <c r="S202" s="766">
        <v>15240322.036967365</v>
      </c>
      <c r="T202" s="392"/>
      <c r="U202" s="766"/>
      <c r="V202" s="392"/>
      <c r="W202" s="766">
        <v>732110318.77999997</v>
      </c>
      <c r="X202" s="378"/>
      <c r="Y202" s="180"/>
      <c r="Z202" s="180"/>
      <c r="AA202" s="180"/>
      <c r="AB202" s="180"/>
    </row>
    <row r="203" spans="1:28" s="202" customFormat="1" x14ac:dyDescent="0.2">
      <c r="A203" s="637"/>
      <c r="B203" s="639" t="s">
        <v>116</v>
      </c>
      <c r="C203" s="466">
        <v>-0.31302099403322881</v>
      </c>
      <c r="D203" s="466">
        <v>0</v>
      </c>
      <c r="E203" s="466">
        <v>0</v>
      </c>
      <c r="F203" s="466">
        <v>0</v>
      </c>
      <c r="G203" s="466">
        <v>0</v>
      </c>
      <c r="H203" s="466">
        <v>0</v>
      </c>
      <c r="I203" s="767">
        <v>-0.15708521462642808</v>
      </c>
      <c r="J203" s="466">
        <v>0</v>
      </c>
      <c r="K203" s="466">
        <v>-6.551189958405061</v>
      </c>
      <c r="L203" s="466">
        <v>-0.13053365587780622</v>
      </c>
      <c r="M203" s="466">
        <v>-3.4633168947808164</v>
      </c>
      <c r="N203" s="466">
        <v>0</v>
      </c>
      <c r="O203" s="767">
        <v>-1.5615420797768185</v>
      </c>
      <c r="P203" s="466">
        <v>5.3362143515213456E-2</v>
      </c>
      <c r="Q203" s="466">
        <v>0</v>
      </c>
      <c r="R203" s="466">
        <v>0</v>
      </c>
      <c r="S203" s="767">
        <v>5.3362143515213456E-2</v>
      </c>
      <c r="T203" s="466">
        <v>0</v>
      </c>
      <c r="U203" s="767">
        <v>0</v>
      </c>
      <c r="V203" s="466">
        <v>0</v>
      </c>
      <c r="W203" s="767">
        <v>-0.42753336754720933</v>
      </c>
      <c r="X203" s="378"/>
      <c r="Y203" s="180"/>
      <c r="Z203" s="180"/>
      <c r="AA203" s="180"/>
      <c r="AB203" s="180"/>
    </row>
    <row r="204" spans="1:28" x14ac:dyDescent="0.2">
      <c r="A204" s="636"/>
      <c r="B204" s="388" t="s">
        <v>195</v>
      </c>
      <c r="C204" s="391">
        <v>75143571</v>
      </c>
      <c r="D204" s="391"/>
      <c r="E204" s="391">
        <v>6613100</v>
      </c>
      <c r="F204" s="391">
        <v>5860555</v>
      </c>
      <c r="G204" s="391"/>
      <c r="H204" s="391"/>
      <c r="I204" s="765">
        <v>87617226</v>
      </c>
      <c r="J204" s="391"/>
      <c r="K204" s="391"/>
      <c r="L204" s="391"/>
      <c r="M204" s="391"/>
      <c r="N204" s="391"/>
      <c r="O204" s="765"/>
      <c r="P204" s="391"/>
      <c r="Q204" s="391"/>
      <c r="R204" s="391"/>
      <c r="S204" s="765"/>
      <c r="T204" s="391"/>
      <c r="U204" s="765"/>
      <c r="V204" s="391">
        <v>45430405</v>
      </c>
      <c r="W204" s="765">
        <v>133047631</v>
      </c>
      <c r="X204" s="378"/>
      <c r="Y204" s="180"/>
      <c r="Z204" s="180"/>
      <c r="AA204" s="180"/>
      <c r="AB204" s="180"/>
    </row>
    <row r="205" spans="1:28" s="203" customFormat="1" x14ac:dyDescent="0.2">
      <c r="A205" s="636"/>
      <c r="B205" s="389" t="s">
        <v>242</v>
      </c>
      <c r="C205" s="392">
        <v>79405726.219999999</v>
      </c>
      <c r="D205" s="392"/>
      <c r="E205" s="392">
        <v>6613100</v>
      </c>
      <c r="F205" s="392">
        <v>5075498</v>
      </c>
      <c r="G205" s="392"/>
      <c r="H205" s="392"/>
      <c r="I205" s="766">
        <v>91094324.219999999</v>
      </c>
      <c r="J205" s="392"/>
      <c r="K205" s="392"/>
      <c r="L205" s="392"/>
      <c r="M205" s="392"/>
      <c r="N205" s="392"/>
      <c r="O205" s="766"/>
      <c r="P205" s="392"/>
      <c r="Q205" s="392"/>
      <c r="R205" s="392"/>
      <c r="S205" s="766"/>
      <c r="T205" s="392"/>
      <c r="U205" s="766"/>
      <c r="V205" s="392">
        <v>45365900</v>
      </c>
      <c r="W205" s="766">
        <v>136460224.22</v>
      </c>
      <c r="X205" s="378"/>
      <c r="Y205" s="180"/>
      <c r="Z205" s="180"/>
      <c r="AA205" s="180"/>
      <c r="AB205" s="180"/>
    </row>
    <row r="206" spans="1:28" s="202" customFormat="1" x14ac:dyDescent="0.2">
      <c r="A206" s="636"/>
      <c r="B206" s="639" t="s">
        <v>244</v>
      </c>
      <c r="C206" s="466">
        <v>5.6720158002605423</v>
      </c>
      <c r="D206" s="466">
        <v>0</v>
      </c>
      <c r="E206" s="466">
        <v>0</v>
      </c>
      <c r="F206" s="763">
        <v>-13.395608436402354</v>
      </c>
      <c r="G206" s="466">
        <v>0</v>
      </c>
      <c r="H206" s="466">
        <v>0</v>
      </c>
      <c r="I206" s="767">
        <v>3.9685098224862756</v>
      </c>
      <c r="J206" s="466">
        <v>0</v>
      </c>
      <c r="K206" s="466">
        <v>0</v>
      </c>
      <c r="L206" s="466">
        <v>0</v>
      </c>
      <c r="M206" s="466">
        <v>0</v>
      </c>
      <c r="N206" s="466">
        <v>0</v>
      </c>
      <c r="O206" s="767">
        <v>0</v>
      </c>
      <c r="P206" s="466">
        <v>0</v>
      </c>
      <c r="Q206" s="466">
        <v>0</v>
      </c>
      <c r="R206" s="466">
        <v>0</v>
      </c>
      <c r="S206" s="767">
        <v>0</v>
      </c>
      <c r="T206" s="466">
        <v>0</v>
      </c>
      <c r="U206" s="767">
        <v>0</v>
      </c>
      <c r="V206" s="466">
        <v>-0.14198640756119169</v>
      </c>
      <c r="W206" s="767">
        <v>2.5649409871867608</v>
      </c>
      <c r="X206" s="378"/>
      <c r="Y206" s="180"/>
      <c r="Z206" s="180"/>
      <c r="AA206" s="180"/>
      <c r="AB206" s="180"/>
    </row>
    <row r="207" spans="1:28" x14ac:dyDescent="0.2">
      <c r="A207" s="636"/>
      <c r="B207" s="388" t="s">
        <v>5</v>
      </c>
      <c r="C207" s="391"/>
      <c r="D207" s="391"/>
      <c r="E207" s="391"/>
      <c r="F207" s="391"/>
      <c r="G207" s="391"/>
      <c r="H207" s="391"/>
      <c r="I207" s="765"/>
      <c r="J207" s="391"/>
      <c r="K207" s="391"/>
      <c r="L207" s="391"/>
      <c r="M207" s="391"/>
      <c r="N207" s="391"/>
      <c r="O207" s="765"/>
      <c r="P207" s="391"/>
      <c r="Q207" s="391"/>
      <c r="R207" s="391"/>
      <c r="S207" s="765"/>
      <c r="T207" s="391"/>
      <c r="U207" s="765"/>
      <c r="V207" s="391"/>
      <c r="W207" s="765"/>
      <c r="X207" s="378"/>
      <c r="Y207" s="180"/>
      <c r="Z207" s="180"/>
      <c r="AA207" s="180"/>
      <c r="AB207" s="180"/>
    </row>
    <row r="208" spans="1:28" s="203" customFormat="1" x14ac:dyDescent="0.2">
      <c r="A208" s="636"/>
      <c r="B208" s="389" t="s">
        <v>6</v>
      </c>
      <c r="C208" s="392"/>
      <c r="D208" s="392"/>
      <c r="E208" s="392"/>
      <c r="F208" s="392"/>
      <c r="G208" s="392"/>
      <c r="H208" s="392"/>
      <c r="I208" s="766"/>
      <c r="J208" s="392"/>
      <c r="K208" s="392"/>
      <c r="L208" s="392"/>
      <c r="M208" s="392"/>
      <c r="N208" s="392"/>
      <c r="O208" s="766"/>
      <c r="P208" s="392"/>
      <c r="Q208" s="392"/>
      <c r="R208" s="392"/>
      <c r="S208" s="766"/>
      <c r="T208" s="392"/>
      <c r="U208" s="766"/>
      <c r="V208" s="392"/>
      <c r="W208" s="766"/>
      <c r="X208" s="378"/>
      <c r="Y208" s="180"/>
      <c r="Z208" s="180"/>
      <c r="AA208" s="180"/>
      <c r="AB208" s="180"/>
    </row>
    <row r="209" spans="1:28" s="202" customFormat="1" x14ac:dyDescent="0.2">
      <c r="A209" s="636"/>
      <c r="B209" s="639" t="s">
        <v>298</v>
      </c>
      <c r="C209" s="466">
        <v>0</v>
      </c>
      <c r="D209" s="466">
        <v>0</v>
      </c>
      <c r="E209" s="466">
        <v>0</v>
      </c>
      <c r="F209" s="466">
        <v>0</v>
      </c>
      <c r="G209" s="466">
        <v>0</v>
      </c>
      <c r="H209" s="466">
        <v>0</v>
      </c>
      <c r="I209" s="767">
        <v>0</v>
      </c>
      <c r="J209" s="466">
        <v>0</v>
      </c>
      <c r="K209" s="466">
        <v>0</v>
      </c>
      <c r="L209" s="466">
        <v>0</v>
      </c>
      <c r="M209" s="466">
        <v>0</v>
      </c>
      <c r="N209" s="466">
        <v>0</v>
      </c>
      <c r="O209" s="767">
        <v>0</v>
      </c>
      <c r="P209" s="466">
        <v>0</v>
      </c>
      <c r="Q209" s="466">
        <v>0</v>
      </c>
      <c r="R209" s="466">
        <v>0</v>
      </c>
      <c r="S209" s="767">
        <v>0</v>
      </c>
      <c r="T209" s="466">
        <v>0</v>
      </c>
      <c r="U209" s="767">
        <v>0</v>
      </c>
      <c r="V209" s="466">
        <v>0</v>
      </c>
      <c r="W209" s="767">
        <v>0</v>
      </c>
      <c r="X209" s="378"/>
      <c r="Y209" s="180"/>
      <c r="Z209" s="180"/>
      <c r="AA209" s="180"/>
      <c r="AB209" s="180"/>
    </row>
    <row r="210" spans="1:28" x14ac:dyDescent="0.2">
      <c r="A210" s="636"/>
      <c r="B210" s="388" t="s">
        <v>223</v>
      </c>
      <c r="C210" s="391">
        <v>559567518.02840912</v>
      </c>
      <c r="D210" s="391"/>
      <c r="E210" s="391">
        <v>477167997</v>
      </c>
      <c r="F210" s="391">
        <v>158737312.41</v>
      </c>
      <c r="G210" s="391"/>
      <c r="H210" s="391"/>
      <c r="I210" s="765">
        <v>1195472827.4384091</v>
      </c>
      <c r="J210" s="391"/>
      <c r="K210" s="391">
        <v>73345000</v>
      </c>
      <c r="L210" s="391">
        <v>136785000</v>
      </c>
      <c r="M210" s="391">
        <v>5437000</v>
      </c>
      <c r="N210" s="391"/>
      <c r="O210" s="765">
        <v>215567000</v>
      </c>
      <c r="P210" s="391">
        <v>22451000</v>
      </c>
      <c r="Q210" s="391"/>
      <c r="R210" s="391"/>
      <c r="S210" s="765">
        <v>22451000</v>
      </c>
      <c r="T210" s="391"/>
      <c r="U210" s="765"/>
      <c r="V210" s="391"/>
      <c r="W210" s="765">
        <v>1433490827.4384091</v>
      </c>
      <c r="X210" s="378"/>
      <c r="Y210" s="180"/>
      <c r="Z210" s="180"/>
      <c r="AA210" s="180"/>
      <c r="AB210" s="180"/>
    </row>
    <row r="211" spans="1:28" s="203" customFormat="1" x14ac:dyDescent="0.2">
      <c r="A211" s="636"/>
      <c r="B211" s="389" t="s">
        <v>14</v>
      </c>
      <c r="C211" s="392">
        <v>573463044.04540253</v>
      </c>
      <c r="D211" s="392"/>
      <c r="E211" s="392">
        <v>495759783</v>
      </c>
      <c r="F211" s="392">
        <v>166171633.90000001</v>
      </c>
      <c r="G211" s="392"/>
      <c r="H211" s="392"/>
      <c r="I211" s="766">
        <v>1235394460.9454026</v>
      </c>
      <c r="J211" s="392"/>
      <c r="K211" s="392">
        <v>68452100</v>
      </c>
      <c r="L211" s="392">
        <v>129421400</v>
      </c>
      <c r="M211" s="392">
        <v>5074000</v>
      </c>
      <c r="N211" s="392"/>
      <c r="O211" s="766">
        <v>202947500</v>
      </c>
      <c r="P211" s="392">
        <v>19856000</v>
      </c>
      <c r="Q211" s="392"/>
      <c r="R211" s="392"/>
      <c r="S211" s="766">
        <v>19856000</v>
      </c>
      <c r="T211" s="392"/>
      <c r="U211" s="766"/>
      <c r="V211" s="392"/>
      <c r="W211" s="766">
        <v>1458197960.9454026</v>
      </c>
      <c r="X211" s="378"/>
      <c r="Y211" s="180"/>
      <c r="Z211" s="180"/>
      <c r="AA211" s="180"/>
      <c r="AB211" s="180"/>
    </row>
    <row r="212" spans="1:28" s="202" customFormat="1" x14ac:dyDescent="0.2">
      <c r="A212" s="636"/>
      <c r="B212" s="639" t="s">
        <v>247</v>
      </c>
      <c r="C212" s="466">
        <v>2.4832617279060738</v>
      </c>
      <c r="D212" s="466">
        <v>0</v>
      </c>
      <c r="E212" s="466">
        <v>3.8962768075160747</v>
      </c>
      <c r="F212" s="466">
        <v>4.6834114658549986</v>
      </c>
      <c r="G212" s="466">
        <v>0</v>
      </c>
      <c r="H212" s="466">
        <v>0</v>
      </c>
      <c r="I212" s="767">
        <v>3.3394011633485077</v>
      </c>
      <c r="J212" s="466">
        <v>0</v>
      </c>
      <c r="K212" s="466">
        <v>-6.6710750562410519</v>
      </c>
      <c r="L212" s="466">
        <v>-5.3833388163906859</v>
      </c>
      <c r="M212" s="466">
        <v>-6.6764759977929007</v>
      </c>
      <c r="N212" s="466">
        <v>0</v>
      </c>
      <c r="O212" s="767">
        <v>-5.854096406221732</v>
      </c>
      <c r="P212" s="763">
        <v>-11.558505189078437</v>
      </c>
      <c r="Q212" s="466">
        <v>0</v>
      </c>
      <c r="R212" s="466">
        <v>0</v>
      </c>
      <c r="S212" s="767">
        <v>-11.558505189078437</v>
      </c>
      <c r="T212" s="466">
        <v>0</v>
      </c>
      <c r="U212" s="767">
        <v>0</v>
      </c>
      <c r="V212" s="466">
        <v>0</v>
      </c>
      <c r="W212" s="767">
        <v>1.7235641159381672</v>
      </c>
      <c r="X212" s="378"/>
      <c r="Y212" s="180"/>
      <c r="Z212" s="180"/>
      <c r="AA212" s="180"/>
      <c r="AB212" s="180"/>
    </row>
    <row r="213" spans="1:28" x14ac:dyDescent="0.2">
      <c r="A213" s="636"/>
      <c r="B213" s="388" t="s">
        <v>225</v>
      </c>
      <c r="C213" s="391">
        <v>2055848</v>
      </c>
      <c r="D213" s="391"/>
      <c r="E213" s="391">
        <v>2813103</v>
      </c>
      <c r="F213" s="391">
        <v>2438326</v>
      </c>
      <c r="G213" s="391"/>
      <c r="H213" s="391"/>
      <c r="I213" s="765">
        <v>7307277</v>
      </c>
      <c r="J213" s="391"/>
      <c r="K213" s="391"/>
      <c r="L213" s="391"/>
      <c r="M213" s="391"/>
      <c r="N213" s="391"/>
      <c r="O213" s="765"/>
      <c r="P213" s="391"/>
      <c r="Q213" s="391"/>
      <c r="R213" s="391"/>
      <c r="S213" s="765"/>
      <c r="T213" s="391"/>
      <c r="U213" s="765"/>
      <c r="V213" s="391"/>
      <c r="W213" s="765">
        <v>7307277</v>
      </c>
      <c r="X213" s="378"/>
      <c r="Y213" s="180"/>
      <c r="Z213" s="180"/>
      <c r="AA213" s="180"/>
      <c r="AB213" s="180"/>
    </row>
    <row r="214" spans="1:28" s="203" customFormat="1" x14ac:dyDescent="0.2">
      <c r="A214" s="636"/>
      <c r="B214" s="389" t="s">
        <v>166</v>
      </c>
      <c r="C214" s="392">
        <v>2992692</v>
      </c>
      <c r="D214" s="392"/>
      <c r="E214" s="392">
        <v>2784517</v>
      </c>
      <c r="F214" s="392">
        <v>273328.09999999998</v>
      </c>
      <c r="G214" s="392"/>
      <c r="H214" s="392"/>
      <c r="I214" s="766">
        <v>6050537.0999999996</v>
      </c>
      <c r="J214" s="392"/>
      <c r="K214" s="392"/>
      <c r="L214" s="392"/>
      <c r="M214" s="392"/>
      <c r="N214" s="392"/>
      <c r="O214" s="766"/>
      <c r="P214" s="392"/>
      <c r="Q214" s="392"/>
      <c r="R214" s="392"/>
      <c r="S214" s="766"/>
      <c r="T214" s="392"/>
      <c r="U214" s="766"/>
      <c r="V214" s="392"/>
      <c r="W214" s="766">
        <v>6050537.0999999996</v>
      </c>
      <c r="X214" s="378"/>
      <c r="Y214" s="180"/>
      <c r="Z214" s="180"/>
      <c r="AA214" s="180"/>
      <c r="AB214" s="180"/>
    </row>
    <row r="215" spans="1:28" s="202" customFormat="1" x14ac:dyDescent="0.2">
      <c r="A215" s="636"/>
      <c r="B215" s="639" t="s">
        <v>175</v>
      </c>
      <c r="C215" s="763">
        <v>45.569711379440506</v>
      </c>
      <c r="D215" s="466">
        <v>0</v>
      </c>
      <c r="E215" s="466">
        <v>-1.0161732435676902</v>
      </c>
      <c r="F215" s="763">
        <v>-88.790338125418828</v>
      </c>
      <c r="G215" s="466">
        <v>0</v>
      </c>
      <c r="H215" s="466">
        <v>0</v>
      </c>
      <c r="I215" s="767">
        <v>-17.19847078467123</v>
      </c>
      <c r="J215" s="466">
        <v>0</v>
      </c>
      <c r="K215" s="466">
        <v>0</v>
      </c>
      <c r="L215" s="466">
        <v>0</v>
      </c>
      <c r="M215" s="466">
        <v>0</v>
      </c>
      <c r="N215" s="466">
        <v>0</v>
      </c>
      <c r="O215" s="767">
        <v>0</v>
      </c>
      <c r="P215" s="466">
        <v>0</v>
      </c>
      <c r="Q215" s="466">
        <v>0</v>
      </c>
      <c r="R215" s="466">
        <v>0</v>
      </c>
      <c r="S215" s="767">
        <v>0</v>
      </c>
      <c r="T215" s="466">
        <v>0</v>
      </c>
      <c r="U215" s="767">
        <v>0</v>
      </c>
      <c r="V215" s="466">
        <v>0</v>
      </c>
      <c r="W215" s="767">
        <v>-17.19847078467123</v>
      </c>
      <c r="X215" s="378"/>
      <c r="Y215" s="180"/>
      <c r="Z215" s="180"/>
      <c r="AA215" s="180"/>
      <c r="AB215" s="180"/>
    </row>
    <row r="216" spans="1:28" x14ac:dyDescent="0.2">
      <c r="A216" s="636"/>
      <c r="B216" s="768" t="s">
        <v>317</v>
      </c>
      <c r="C216" s="765">
        <v>561623366.02840912</v>
      </c>
      <c r="D216" s="765"/>
      <c r="E216" s="765">
        <v>479981100</v>
      </c>
      <c r="F216" s="765">
        <v>161175638.41</v>
      </c>
      <c r="G216" s="765"/>
      <c r="H216" s="765"/>
      <c r="I216" s="765">
        <v>1202780104.4384091</v>
      </c>
      <c r="J216" s="765"/>
      <c r="K216" s="765">
        <v>73345000</v>
      </c>
      <c r="L216" s="765">
        <v>136785000</v>
      </c>
      <c r="M216" s="765">
        <v>5437000</v>
      </c>
      <c r="N216" s="765"/>
      <c r="O216" s="765">
        <v>215567000</v>
      </c>
      <c r="P216" s="765">
        <v>22451000</v>
      </c>
      <c r="Q216" s="765"/>
      <c r="R216" s="765"/>
      <c r="S216" s="765">
        <v>22451000</v>
      </c>
      <c r="T216" s="765"/>
      <c r="U216" s="765"/>
      <c r="V216" s="765">
        <v>0</v>
      </c>
      <c r="W216" s="765">
        <v>1440798104.4384091</v>
      </c>
      <c r="X216" s="378"/>
      <c r="Y216" s="180"/>
      <c r="Z216" s="180"/>
      <c r="AA216" s="180"/>
      <c r="AB216" s="180"/>
    </row>
    <row r="217" spans="1:28" s="203" customFormat="1" x14ac:dyDescent="0.2">
      <c r="A217" s="636"/>
      <c r="B217" s="769" t="s">
        <v>70</v>
      </c>
      <c r="C217" s="766">
        <v>576455736.04540253</v>
      </c>
      <c r="D217" s="766"/>
      <c r="E217" s="766">
        <v>498544300</v>
      </c>
      <c r="F217" s="766">
        <v>166444962</v>
      </c>
      <c r="G217" s="766"/>
      <c r="H217" s="766"/>
      <c r="I217" s="766">
        <v>1241444998.0454025</v>
      </c>
      <c r="J217" s="766"/>
      <c r="K217" s="766">
        <v>68452100</v>
      </c>
      <c r="L217" s="766">
        <v>129421400</v>
      </c>
      <c r="M217" s="766">
        <v>5074000</v>
      </c>
      <c r="N217" s="766"/>
      <c r="O217" s="766">
        <v>202947500</v>
      </c>
      <c r="P217" s="766">
        <v>19856000</v>
      </c>
      <c r="Q217" s="766"/>
      <c r="R217" s="766"/>
      <c r="S217" s="766">
        <v>19856000</v>
      </c>
      <c r="T217" s="766"/>
      <c r="U217" s="766"/>
      <c r="V217" s="766">
        <v>0</v>
      </c>
      <c r="W217" s="766">
        <v>1464248498.0454025</v>
      </c>
      <c r="X217" s="378"/>
      <c r="Y217" s="180"/>
      <c r="Z217" s="180"/>
      <c r="AA217" s="180"/>
      <c r="AB217" s="180"/>
    </row>
    <row r="218" spans="1:28" s="202" customFormat="1" x14ac:dyDescent="0.2">
      <c r="A218" s="636"/>
      <c r="B218" s="770" t="s">
        <v>57</v>
      </c>
      <c r="C218" s="767">
        <v>2.6409816460953874</v>
      </c>
      <c r="D218" s="767">
        <v>0</v>
      </c>
      <c r="E218" s="767">
        <v>3.8674856155794468</v>
      </c>
      <c r="F218" s="767">
        <v>3.2693052386712758</v>
      </c>
      <c r="G218" s="767">
        <v>0</v>
      </c>
      <c r="H218" s="767">
        <v>0</v>
      </c>
      <c r="I218" s="767">
        <v>3.2146269683307152</v>
      </c>
      <c r="J218" s="767">
        <v>0</v>
      </c>
      <c r="K218" s="767">
        <v>-6.6710750562410519</v>
      </c>
      <c r="L218" s="767">
        <v>-5.3833388163906859</v>
      </c>
      <c r="M218" s="767">
        <v>-6.6764759977929007</v>
      </c>
      <c r="N218" s="767">
        <v>0</v>
      </c>
      <c r="O218" s="767">
        <v>-5.854096406221732</v>
      </c>
      <c r="P218" s="767">
        <v>-11.558505189078437</v>
      </c>
      <c r="Q218" s="767">
        <v>0</v>
      </c>
      <c r="R218" s="767">
        <v>0</v>
      </c>
      <c r="S218" s="767">
        <v>-11.558505189078437</v>
      </c>
      <c r="T218" s="767">
        <v>0</v>
      </c>
      <c r="U218" s="767">
        <v>0</v>
      </c>
      <c r="V218" s="767">
        <v>0</v>
      </c>
      <c r="W218" s="767">
        <v>1.6275974777280731</v>
      </c>
      <c r="X218" s="378"/>
      <c r="Y218" s="180"/>
      <c r="Z218" s="180"/>
      <c r="AA218" s="180"/>
      <c r="AB218" s="180"/>
    </row>
    <row r="219" spans="1:28" x14ac:dyDescent="0.2">
      <c r="A219" s="636"/>
      <c r="B219" s="388" t="s">
        <v>72</v>
      </c>
      <c r="C219" s="391"/>
      <c r="D219" s="391"/>
      <c r="E219" s="391"/>
      <c r="F219" s="391"/>
      <c r="G219" s="391"/>
      <c r="H219" s="391"/>
      <c r="I219" s="765"/>
      <c r="J219" s="391"/>
      <c r="K219" s="391"/>
      <c r="L219" s="391"/>
      <c r="M219" s="391"/>
      <c r="N219" s="391"/>
      <c r="O219" s="765"/>
      <c r="P219" s="391"/>
      <c r="Q219" s="391"/>
      <c r="R219" s="391"/>
      <c r="S219" s="765"/>
      <c r="T219" s="391"/>
      <c r="U219" s="765"/>
      <c r="V219" s="391">
        <v>223362220</v>
      </c>
      <c r="W219" s="765">
        <v>223362220</v>
      </c>
      <c r="X219" s="378"/>
      <c r="Y219" s="180"/>
      <c r="Z219" s="180"/>
      <c r="AA219" s="180"/>
      <c r="AB219" s="180"/>
    </row>
    <row r="220" spans="1:28" s="203" customFormat="1" x14ac:dyDescent="0.2">
      <c r="A220" s="636"/>
      <c r="B220" s="389" t="s">
        <v>74</v>
      </c>
      <c r="C220" s="392"/>
      <c r="D220" s="392"/>
      <c r="E220" s="392"/>
      <c r="F220" s="392"/>
      <c r="G220" s="392"/>
      <c r="H220" s="392"/>
      <c r="I220" s="766"/>
      <c r="J220" s="392"/>
      <c r="K220" s="392"/>
      <c r="L220" s="392"/>
      <c r="M220" s="392"/>
      <c r="N220" s="392"/>
      <c r="O220" s="766"/>
      <c r="P220" s="392"/>
      <c r="Q220" s="392"/>
      <c r="R220" s="392"/>
      <c r="S220" s="766"/>
      <c r="T220" s="392"/>
      <c r="U220" s="766"/>
      <c r="V220" s="392">
        <v>233743706</v>
      </c>
      <c r="W220" s="766">
        <v>233743706</v>
      </c>
      <c r="X220" s="378"/>
      <c r="Y220" s="180"/>
      <c r="Z220" s="180"/>
      <c r="AA220" s="180"/>
      <c r="AB220" s="180"/>
    </row>
    <row r="221" spans="1:28" s="202" customFormat="1" x14ac:dyDescent="0.2">
      <c r="A221" s="636"/>
      <c r="B221" s="639" t="s">
        <v>76</v>
      </c>
      <c r="C221" s="466">
        <v>0</v>
      </c>
      <c r="D221" s="466">
        <v>0</v>
      </c>
      <c r="E221" s="466">
        <v>0</v>
      </c>
      <c r="F221" s="466">
        <v>0</v>
      </c>
      <c r="G221" s="466">
        <v>0</v>
      </c>
      <c r="H221" s="466">
        <v>0</v>
      </c>
      <c r="I221" s="767">
        <v>0</v>
      </c>
      <c r="J221" s="466">
        <v>0</v>
      </c>
      <c r="K221" s="466">
        <v>0</v>
      </c>
      <c r="L221" s="466">
        <v>0</v>
      </c>
      <c r="M221" s="466">
        <v>0</v>
      </c>
      <c r="N221" s="466">
        <v>0</v>
      </c>
      <c r="O221" s="767">
        <v>0</v>
      </c>
      <c r="P221" s="466">
        <v>0</v>
      </c>
      <c r="Q221" s="466">
        <v>0</v>
      </c>
      <c r="R221" s="466">
        <v>0</v>
      </c>
      <c r="S221" s="767">
        <v>0</v>
      </c>
      <c r="T221" s="466">
        <v>0</v>
      </c>
      <c r="U221" s="767">
        <v>0</v>
      </c>
      <c r="V221" s="466">
        <v>4.6478254021651466</v>
      </c>
      <c r="W221" s="767">
        <v>4.6478254021651466</v>
      </c>
      <c r="X221" s="378"/>
      <c r="Y221" s="180"/>
      <c r="Z221" s="180"/>
      <c r="AA221" s="180"/>
      <c r="AB221" s="180"/>
    </row>
    <row r="222" spans="1:28" x14ac:dyDescent="0.2">
      <c r="A222" s="636"/>
      <c r="B222" s="388" t="s">
        <v>240</v>
      </c>
      <c r="C222" s="391"/>
      <c r="D222" s="391"/>
      <c r="E222" s="391"/>
      <c r="F222" s="391"/>
      <c r="G222" s="391"/>
      <c r="H222" s="391"/>
      <c r="I222" s="765"/>
      <c r="J222" s="391"/>
      <c r="K222" s="391"/>
      <c r="L222" s="391"/>
      <c r="M222" s="391"/>
      <c r="N222" s="391"/>
      <c r="O222" s="765"/>
      <c r="P222" s="391"/>
      <c r="Q222" s="391"/>
      <c r="R222" s="391"/>
      <c r="S222" s="765"/>
      <c r="T222" s="391"/>
      <c r="U222" s="765"/>
      <c r="V222" s="391"/>
      <c r="W222" s="765"/>
      <c r="X222" s="378"/>
      <c r="Y222" s="180"/>
      <c r="Z222" s="180"/>
      <c r="AA222" s="180"/>
      <c r="AB222" s="180"/>
    </row>
    <row r="223" spans="1:28" s="203" customFormat="1" x14ac:dyDescent="0.2">
      <c r="A223" s="636"/>
      <c r="B223" s="389" t="s">
        <v>163</v>
      </c>
      <c r="C223" s="392"/>
      <c r="D223" s="392"/>
      <c r="E223" s="392"/>
      <c r="F223" s="392"/>
      <c r="G223" s="392"/>
      <c r="H223" s="392"/>
      <c r="I223" s="766"/>
      <c r="J223" s="392"/>
      <c r="K223" s="392"/>
      <c r="L223" s="392"/>
      <c r="M223" s="392"/>
      <c r="N223" s="392"/>
      <c r="O223" s="766"/>
      <c r="P223" s="392"/>
      <c r="Q223" s="392"/>
      <c r="R223" s="392"/>
      <c r="S223" s="766"/>
      <c r="T223" s="392"/>
      <c r="U223" s="766"/>
      <c r="V223" s="392"/>
      <c r="W223" s="766"/>
      <c r="X223" s="378"/>
      <c r="Y223" s="180"/>
      <c r="Z223" s="180"/>
      <c r="AA223" s="180"/>
      <c r="AB223" s="180"/>
    </row>
    <row r="224" spans="1:28" s="202" customFormat="1" x14ac:dyDescent="0.2">
      <c r="A224" s="636"/>
      <c r="B224" s="639" t="s">
        <v>59</v>
      </c>
      <c r="C224" s="466">
        <v>0</v>
      </c>
      <c r="D224" s="466">
        <v>0</v>
      </c>
      <c r="E224" s="466">
        <v>0</v>
      </c>
      <c r="F224" s="466">
        <v>0</v>
      </c>
      <c r="G224" s="466">
        <v>0</v>
      </c>
      <c r="H224" s="466">
        <v>0</v>
      </c>
      <c r="I224" s="767">
        <v>0</v>
      </c>
      <c r="J224" s="466">
        <v>0</v>
      </c>
      <c r="K224" s="466">
        <v>0</v>
      </c>
      <c r="L224" s="466">
        <v>0</v>
      </c>
      <c r="M224" s="466">
        <v>0</v>
      </c>
      <c r="N224" s="466">
        <v>0</v>
      </c>
      <c r="O224" s="767">
        <v>0</v>
      </c>
      <c r="P224" s="466">
        <v>0</v>
      </c>
      <c r="Q224" s="466">
        <v>0</v>
      </c>
      <c r="R224" s="466">
        <v>0</v>
      </c>
      <c r="S224" s="767">
        <v>0</v>
      </c>
      <c r="T224" s="466">
        <v>0</v>
      </c>
      <c r="U224" s="767">
        <v>0</v>
      </c>
      <c r="V224" s="466">
        <v>0</v>
      </c>
      <c r="W224" s="767">
        <v>0</v>
      </c>
      <c r="X224" s="378"/>
      <c r="Y224" s="180"/>
      <c r="Z224" s="180"/>
      <c r="AA224" s="180"/>
      <c r="AB224" s="180"/>
    </row>
    <row r="225" spans="1:28" x14ac:dyDescent="0.2">
      <c r="A225" s="636"/>
      <c r="B225" s="388" t="s">
        <v>159</v>
      </c>
      <c r="C225" s="391"/>
      <c r="D225" s="391"/>
      <c r="E225" s="391"/>
      <c r="F225" s="391"/>
      <c r="G225" s="391"/>
      <c r="H225" s="391"/>
      <c r="I225" s="765"/>
      <c r="J225" s="391"/>
      <c r="K225" s="391"/>
      <c r="L225" s="391"/>
      <c r="M225" s="391"/>
      <c r="N225" s="391"/>
      <c r="O225" s="765"/>
      <c r="P225" s="391"/>
      <c r="Q225" s="391"/>
      <c r="R225" s="391"/>
      <c r="S225" s="765"/>
      <c r="T225" s="391"/>
      <c r="U225" s="765"/>
      <c r="V225" s="391"/>
      <c r="W225" s="765"/>
      <c r="X225" s="378"/>
      <c r="Y225" s="180"/>
      <c r="Z225" s="180"/>
      <c r="AA225" s="180"/>
      <c r="AB225" s="180"/>
    </row>
    <row r="226" spans="1:28" s="203" customFormat="1" x14ac:dyDescent="0.2">
      <c r="A226" s="636"/>
      <c r="B226" s="389" t="s">
        <v>100</v>
      </c>
      <c r="C226" s="392"/>
      <c r="D226" s="392"/>
      <c r="E226" s="392"/>
      <c r="F226" s="392"/>
      <c r="G226" s="392"/>
      <c r="H226" s="392"/>
      <c r="I226" s="766"/>
      <c r="J226" s="392"/>
      <c r="K226" s="392"/>
      <c r="L226" s="392"/>
      <c r="M226" s="392"/>
      <c r="N226" s="392"/>
      <c r="O226" s="766"/>
      <c r="P226" s="392"/>
      <c r="Q226" s="392"/>
      <c r="R226" s="392"/>
      <c r="S226" s="766"/>
      <c r="T226" s="392"/>
      <c r="U226" s="766"/>
      <c r="V226" s="392"/>
      <c r="W226" s="766"/>
      <c r="X226" s="378"/>
      <c r="Y226" s="180"/>
      <c r="Z226" s="180"/>
      <c r="AA226" s="180"/>
      <c r="AB226" s="180"/>
    </row>
    <row r="227" spans="1:28" s="202" customFormat="1" x14ac:dyDescent="0.2">
      <c r="A227" s="636"/>
      <c r="B227" s="639" t="s">
        <v>110</v>
      </c>
      <c r="C227" s="466">
        <v>0</v>
      </c>
      <c r="D227" s="466">
        <v>0</v>
      </c>
      <c r="E227" s="466">
        <v>0</v>
      </c>
      <c r="F227" s="466">
        <v>0</v>
      </c>
      <c r="G227" s="466">
        <v>0</v>
      </c>
      <c r="H227" s="466">
        <v>0</v>
      </c>
      <c r="I227" s="767">
        <v>0</v>
      </c>
      <c r="J227" s="466">
        <v>0</v>
      </c>
      <c r="K227" s="466">
        <v>0</v>
      </c>
      <c r="L227" s="466">
        <v>0</v>
      </c>
      <c r="M227" s="466">
        <v>0</v>
      </c>
      <c r="N227" s="466">
        <v>0</v>
      </c>
      <c r="O227" s="767">
        <v>0</v>
      </c>
      <c r="P227" s="466">
        <v>0</v>
      </c>
      <c r="Q227" s="466">
        <v>0</v>
      </c>
      <c r="R227" s="466">
        <v>0</v>
      </c>
      <c r="S227" s="767">
        <v>0</v>
      </c>
      <c r="T227" s="466">
        <v>0</v>
      </c>
      <c r="U227" s="767">
        <v>0</v>
      </c>
      <c r="V227" s="466">
        <v>0</v>
      </c>
      <c r="W227" s="767">
        <v>0</v>
      </c>
      <c r="X227" s="378"/>
      <c r="Y227" s="180"/>
      <c r="Z227" s="180"/>
      <c r="AA227" s="180"/>
      <c r="AB227" s="180"/>
    </row>
    <row r="228" spans="1:28" x14ac:dyDescent="0.2">
      <c r="A228" s="636"/>
      <c r="B228" s="388" t="s">
        <v>161</v>
      </c>
      <c r="C228" s="391">
        <v>0</v>
      </c>
      <c r="D228" s="391"/>
      <c r="E228" s="391">
        <v>0</v>
      </c>
      <c r="F228" s="391">
        <v>0</v>
      </c>
      <c r="G228" s="391"/>
      <c r="H228" s="391"/>
      <c r="I228" s="765">
        <v>0</v>
      </c>
      <c r="J228" s="391"/>
      <c r="K228" s="391">
        <v>0</v>
      </c>
      <c r="L228" s="391">
        <v>0</v>
      </c>
      <c r="M228" s="391">
        <v>0</v>
      </c>
      <c r="N228" s="391"/>
      <c r="O228" s="765">
        <v>0</v>
      </c>
      <c r="P228" s="391">
        <v>0</v>
      </c>
      <c r="Q228" s="391"/>
      <c r="R228" s="391"/>
      <c r="S228" s="765">
        <v>0</v>
      </c>
      <c r="T228" s="391"/>
      <c r="U228" s="765"/>
      <c r="V228" s="391">
        <v>0</v>
      </c>
      <c r="W228" s="765">
        <v>0</v>
      </c>
      <c r="X228" s="378"/>
      <c r="Y228" s="180"/>
      <c r="Z228" s="180"/>
      <c r="AA228" s="180"/>
      <c r="AB228" s="180"/>
    </row>
    <row r="229" spans="1:28" s="203" customFormat="1" x14ac:dyDescent="0.2">
      <c r="A229" s="636"/>
      <c r="B229" s="389" t="s">
        <v>102</v>
      </c>
      <c r="C229" s="392">
        <v>0</v>
      </c>
      <c r="D229" s="392"/>
      <c r="E229" s="392">
        <v>0</v>
      </c>
      <c r="F229" s="392">
        <v>0</v>
      </c>
      <c r="G229" s="392"/>
      <c r="H229" s="392"/>
      <c r="I229" s="766">
        <v>0</v>
      </c>
      <c r="J229" s="392"/>
      <c r="K229" s="392">
        <v>0</v>
      </c>
      <c r="L229" s="392">
        <v>0</v>
      </c>
      <c r="M229" s="392">
        <v>0</v>
      </c>
      <c r="N229" s="392"/>
      <c r="O229" s="766">
        <v>0</v>
      </c>
      <c r="P229" s="392">
        <v>0</v>
      </c>
      <c r="Q229" s="392"/>
      <c r="R229" s="392"/>
      <c r="S229" s="766">
        <v>0</v>
      </c>
      <c r="T229" s="392"/>
      <c r="U229" s="766"/>
      <c r="V229" s="392">
        <v>0</v>
      </c>
      <c r="W229" s="766">
        <v>0</v>
      </c>
      <c r="X229" s="378"/>
      <c r="Y229" s="180"/>
      <c r="Z229" s="180"/>
      <c r="AA229" s="180"/>
      <c r="AB229" s="180"/>
    </row>
    <row r="230" spans="1:28" s="202" customFormat="1" x14ac:dyDescent="0.2">
      <c r="A230" s="636"/>
      <c r="B230" s="639" t="s">
        <v>183</v>
      </c>
      <c r="C230" s="466">
        <v>0</v>
      </c>
      <c r="D230" s="466">
        <v>0</v>
      </c>
      <c r="E230" s="466">
        <v>0</v>
      </c>
      <c r="F230" s="466">
        <v>0</v>
      </c>
      <c r="G230" s="466">
        <v>0</v>
      </c>
      <c r="H230" s="466">
        <v>0</v>
      </c>
      <c r="I230" s="767">
        <v>0</v>
      </c>
      <c r="J230" s="466">
        <v>0</v>
      </c>
      <c r="K230" s="466">
        <v>0</v>
      </c>
      <c r="L230" s="466">
        <v>0</v>
      </c>
      <c r="M230" s="466">
        <v>0</v>
      </c>
      <c r="N230" s="466">
        <v>0</v>
      </c>
      <c r="O230" s="767">
        <v>0</v>
      </c>
      <c r="P230" s="466">
        <v>0</v>
      </c>
      <c r="Q230" s="466">
        <v>0</v>
      </c>
      <c r="R230" s="466">
        <v>0</v>
      </c>
      <c r="S230" s="767">
        <v>0</v>
      </c>
      <c r="T230" s="466">
        <v>0</v>
      </c>
      <c r="U230" s="767">
        <v>0</v>
      </c>
      <c r="V230" s="466">
        <v>0</v>
      </c>
      <c r="W230" s="767">
        <v>0</v>
      </c>
      <c r="X230" s="378"/>
      <c r="Y230" s="180"/>
      <c r="Z230" s="180"/>
      <c r="AA230" s="180"/>
      <c r="AB230" s="180"/>
    </row>
    <row r="231" spans="1:28" x14ac:dyDescent="0.2">
      <c r="A231" s="636"/>
      <c r="B231" s="388" t="s">
        <v>78</v>
      </c>
      <c r="C231" s="391">
        <v>81219300</v>
      </c>
      <c r="D231" s="391"/>
      <c r="E231" s="391"/>
      <c r="F231" s="391"/>
      <c r="G231" s="391"/>
      <c r="H231" s="391"/>
      <c r="I231" s="765">
        <v>81219300</v>
      </c>
      <c r="J231" s="391"/>
      <c r="K231" s="391"/>
      <c r="L231" s="391"/>
      <c r="M231" s="391"/>
      <c r="N231" s="391"/>
      <c r="O231" s="765"/>
      <c r="P231" s="391"/>
      <c r="Q231" s="391"/>
      <c r="R231" s="391"/>
      <c r="S231" s="765"/>
      <c r="T231" s="391"/>
      <c r="U231" s="765"/>
      <c r="V231" s="391"/>
      <c r="W231" s="765">
        <v>81219300</v>
      </c>
      <c r="X231" s="378"/>
      <c r="Y231" s="180"/>
      <c r="Z231" s="180"/>
      <c r="AA231" s="180"/>
      <c r="AB231" s="180"/>
    </row>
    <row r="232" spans="1:28" s="203" customFormat="1" x14ac:dyDescent="0.2">
      <c r="A232" s="636"/>
      <c r="B232" s="389" t="s">
        <v>80</v>
      </c>
      <c r="C232" s="392">
        <v>78517400</v>
      </c>
      <c r="D232" s="392"/>
      <c r="E232" s="392"/>
      <c r="F232" s="392"/>
      <c r="G232" s="392"/>
      <c r="H232" s="392"/>
      <c r="I232" s="766">
        <v>78517400</v>
      </c>
      <c r="J232" s="392"/>
      <c r="K232" s="392"/>
      <c r="L232" s="392"/>
      <c r="M232" s="392"/>
      <c r="N232" s="392"/>
      <c r="O232" s="766"/>
      <c r="P232" s="392"/>
      <c r="Q232" s="392"/>
      <c r="R232" s="392"/>
      <c r="S232" s="766"/>
      <c r="T232" s="392"/>
      <c r="U232" s="766"/>
      <c r="V232" s="392"/>
      <c r="W232" s="766">
        <v>78517400</v>
      </c>
      <c r="X232" s="378"/>
      <c r="Y232" s="180"/>
      <c r="Z232" s="180"/>
      <c r="AA232" s="180"/>
      <c r="AB232" s="180"/>
    </row>
    <row r="233" spans="1:28" s="202" customFormat="1" x14ac:dyDescent="0.2">
      <c r="A233" s="636"/>
      <c r="B233" s="639" t="s">
        <v>215</v>
      </c>
      <c r="C233" s="466">
        <v>-3.3266723549698161</v>
      </c>
      <c r="D233" s="466">
        <v>0</v>
      </c>
      <c r="E233" s="466">
        <v>0</v>
      </c>
      <c r="F233" s="466">
        <v>0</v>
      </c>
      <c r="G233" s="466">
        <v>0</v>
      </c>
      <c r="H233" s="466">
        <v>0</v>
      </c>
      <c r="I233" s="767">
        <v>-3.3266723549698161</v>
      </c>
      <c r="J233" s="466">
        <v>0</v>
      </c>
      <c r="K233" s="466">
        <v>0</v>
      </c>
      <c r="L233" s="466">
        <v>0</v>
      </c>
      <c r="M233" s="466">
        <v>0</v>
      </c>
      <c r="N233" s="466">
        <v>0</v>
      </c>
      <c r="O233" s="767">
        <v>0</v>
      </c>
      <c r="P233" s="466">
        <v>0</v>
      </c>
      <c r="Q233" s="466">
        <v>0</v>
      </c>
      <c r="R233" s="466">
        <v>0</v>
      </c>
      <c r="S233" s="767">
        <v>0</v>
      </c>
      <c r="T233" s="466">
        <v>0</v>
      </c>
      <c r="U233" s="767">
        <v>0</v>
      </c>
      <c r="V233" s="466">
        <v>0</v>
      </c>
      <c r="W233" s="767">
        <v>-3.3266723549698161</v>
      </c>
      <c r="X233" s="378"/>
      <c r="Y233" s="180"/>
      <c r="Z233" s="180"/>
      <c r="AA233" s="180"/>
      <c r="AB233" s="180"/>
    </row>
    <row r="234" spans="1:28" x14ac:dyDescent="0.2">
      <c r="A234" s="636"/>
      <c r="B234" s="388" t="s">
        <v>81</v>
      </c>
      <c r="C234" s="391">
        <v>67650141</v>
      </c>
      <c r="D234" s="391"/>
      <c r="E234" s="391"/>
      <c r="F234" s="391"/>
      <c r="G234" s="391"/>
      <c r="H234" s="391"/>
      <c r="I234" s="765">
        <v>67650141</v>
      </c>
      <c r="J234" s="391"/>
      <c r="K234" s="391"/>
      <c r="L234" s="391"/>
      <c r="M234" s="391"/>
      <c r="N234" s="391"/>
      <c r="O234" s="765"/>
      <c r="P234" s="391"/>
      <c r="Q234" s="391"/>
      <c r="R234" s="391"/>
      <c r="S234" s="765"/>
      <c r="T234" s="391"/>
      <c r="U234" s="765"/>
      <c r="V234" s="391"/>
      <c r="W234" s="765">
        <v>67650141</v>
      </c>
      <c r="X234" s="378"/>
      <c r="Y234" s="180"/>
      <c r="Z234" s="180"/>
      <c r="AA234" s="180"/>
      <c r="AB234" s="180"/>
    </row>
    <row r="235" spans="1:28" s="203" customFormat="1" x14ac:dyDescent="0.2">
      <c r="A235" s="636"/>
      <c r="B235" s="389" t="s">
        <v>318</v>
      </c>
      <c r="C235" s="392">
        <v>74562763.954597384</v>
      </c>
      <c r="D235" s="392"/>
      <c r="E235" s="392"/>
      <c r="F235" s="392"/>
      <c r="G235" s="392"/>
      <c r="H235" s="392"/>
      <c r="I235" s="766">
        <v>74562763.954597384</v>
      </c>
      <c r="J235" s="392"/>
      <c r="K235" s="392"/>
      <c r="L235" s="392"/>
      <c r="M235" s="392"/>
      <c r="N235" s="392"/>
      <c r="O235" s="766"/>
      <c r="P235" s="392"/>
      <c r="Q235" s="392"/>
      <c r="R235" s="392"/>
      <c r="S235" s="766"/>
      <c r="T235" s="392"/>
      <c r="U235" s="766"/>
      <c r="V235" s="392"/>
      <c r="W235" s="766">
        <v>74562763.954597384</v>
      </c>
      <c r="X235" s="378"/>
      <c r="Y235" s="180"/>
      <c r="Z235" s="180"/>
      <c r="AA235" s="180"/>
      <c r="AB235" s="180"/>
    </row>
    <row r="236" spans="1:28" s="202" customFormat="1" x14ac:dyDescent="0.2">
      <c r="A236" s="636"/>
      <c r="B236" s="639" t="s">
        <v>236</v>
      </c>
      <c r="C236" s="763">
        <v>10.218194452244207</v>
      </c>
      <c r="D236" s="466">
        <v>0</v>
      </c>
      <c r="E236" s="466">
        <v>0</v>
      </c>
      <c r="F236" s="466">
        <v>0</v>
      </c>
      <c r="G236" s="466">
        <v>0</v>
      </c>
      <c r="H236" s="466">
        <v>0</v>
      </c>
      <c r="I236" s="767">
        <v>10.218194452244207</v>
      </c>
      <c r="J236" s="466">
        <v>0</v>
      </c>
      <c r="K236" s="466">
        <v>0</v>
      </c>
      <c r="L236" s="466">
        <v>0</v>
      </c>
      <c r="M236" s="466">
        <v>0</v>
      </c>
      <c r="N236" s="466">
        <v>0</v>
      </c>
      <c r="O236" s="767">
        <v>0</v>
      </c>
      <c r="P236" s="466">
        <v>0</v>
      </c>
      <c r="Q236" s="466">
        <v>0</v>
      </c>
      <c r="R236" s="466">
        <v>0</v>
      </c>
      <c r="S236" s="767">
        <v>0</v>
      </c>
      <c r="T236" s="466">
        <v>0</v>
      </c>
      <c r="U236" s="767">
        <v>0</v>
      </c>
      <c r="V236" s="466">
        <v>0</v>
      </c>
      <c r="W236" s="767">
        <v>10.218194452244207</v>
      </c>
      <c r="X236" s="378"/>
      <c r="Y236" s="180"/>
      <c r="Z236" s="180"/>
      <c r="AA236" s="180"/>
      <c r="AB236" s="180"/>
    </row>
    <row r="237" spans="1:28" x14ac:dyDescent="0.2">
      <c r="A237" s="636"/>
      <c r="B237" s="388" t="s">
        <v>19</v>
      </c>
      <c r="C237" s="391">
        <v>923846718.02840912</v>
      </c>
      <c r="D237" s="391"/>
      <c r="E237" s="391">
        <v>706289097</v>
      </c>
      <c r="F237" s="391">
        <v>229109812.41</v>
      </c>
      <c r="G237" s="391"/>
      <c r="H237" s="391"/>
      <c r="I237" s="765">
        <v>1859245627.4384091</v>
      </c>
      <c r="J237" s="391"/>
      <c r="K237" s="391">
        <v>102730037.2860212</v>
      </c>
      <c r="L237" s="391">
        <v>246104444.52915043</v>
      </c>
      <c r="M237" s="391">
        <v>10598524.37298342</v>
      </c>
      <c r="N237" s="391"/>
      <c r="O237" s="765">
        <v>359433006.188155</v>
      </c>
      <c r="P237" s="391">
        <v>37683193.811844975</v>
      </c>
      <c r="Q237" s="391"/>
      <c r="R237" s="391"/>
      <c r="S237" s="765">
        <v>37683193.811844975</v>
      </c>
      <c r="T237" s="391"/>
      <c r="U237" s="765"/>
      <c r="V237" s="391">
        <v>45430405</v>
      </c>
      <c r="W237" s="765">
        <v>2301792232.4384089</v>
      </c>
      <c r="X237" s="378"/>
      <c r="Y237" s="180"/>
      <c r="Z237" s="180"/>
      <c r="AA237" s="180"/>
      <c r="AB237" s="180"/>
    </row>
    <row r="238" spans="1:28" s="203" customFormat="1" x14ac:dyDescent="0.2">
      <c r="A238" s="636"/>
      <c r="B238" s="389" t="s">
        <v>21</v>
      </c>
      <c r="C238" s="392">
        <v>941099344.04540253</v>
      </c>
      <c r="D238" s="392"/>
      <c r="E238" s="392">
        <v>724880883</v>
      </c>
      <c r="F238" s="392">
        <v>235759076.90000001</v>
      </c>
      <c r="G238" s="392"/>
      <c r="H238" s="392"/>
      <c r="I238" s="766">
        <v>1901739303.9454026</v>
      </c>
      <c r="J238" s="392"/>
      <c r="K238" s="392">
        <v>95912067.674065799</v>
      </c>
      <c r="L238" s="392">
        <v>238598145.8616212</v>
      </c>
      <c r="M238" s="392">
        <v>10056764.427345656</v>
      </c>
      <c r="N238" s="392"/>
      <c r="O238" s="766">
        <v>344566977.9630326</v>
      </c>
      <c r="P238" s="392">
        <v>35096322.036967367</v>
      </c>
      <c r="Q238" s="392"/>
      <c r="R238" s="392"/>
      <c r="S238" s="766">
        <v>35096322.036967367</v>
      </c>
      <c r="T238" s="392"/>
      <c r="U238" s="766"/>
      <c r="V238" s="392">
        <v>45365900</v>
      </c>
      <c r="W238" s="766">
        <v>2326768503.9454026</v>
      </c>
      <c r="X238" s="378"/>
      <c r="Y238" s="180"/>
      <c r="Z238" s="180"/>
      <c r="AA238" s="180"/>
      <c r="AB238" s="180"/>
    </row>
    <row r="239" spans="1:28" s="212" customFormat="1" ht="13.5" thickBot="1" x14ac:dyDescent="0.25">
      <c r="A239" s="640"/>
      <c r="B239" s="777" t="s">
        <v>23</v>
      </c>
      <c r="C239" s="778">
        <v>1.8674771128496741</v>
      </c>
      <c r="D239" s="778">
        <v>0</v>
      </c>
      <c r="E239" s="778">
        <v>2.6323195528530152</v>
      </c>
      <c r="F239" s="778">
        <v>2.9022172468549359</v>
      </c>
      <c r="G239" s="778">
        <v>0</v>
      </c>
      <c r="H239" s="778">
        <v>0</v>
      </c>
      <c r="I239" s="779">
        <v>2.285533222715685</v>
      </c>
      <c r="J239" s="778">
        <v>0</v>
      </c>
      <c r="K239" s="778">
        <v>-6.6367829624872003</v>
      </c>
      <c r="L239" s="778">
        <v>-3.0500459599136267</v>
      </c>
      <c r="M239" s="778">
        <v>-5.1116544772851453</v>
      </c>
      <c r="N239" s="778">
        <v>0</v>
      </c>
      <c r="O239" s="779">
        <v>-4.13596636067986</v>
      </c>
      <c r="P239" s="778">
        <v>-6.8647890828841458</v>
      </c>
      <c r="Q239" s="778">
        <v>0</v>
      </c>
      <c r="R239" s="778">
        <v>0</v>
      </c>
      <c r="S239" s="779">
        <v>-6.8647890828841458</v>
      </c>
      <c r="T239" s="778">
        <v>0</v>
      </c>
      <c r="U239" s="779">
        <v>0</v>
      </c>
      <c r="V239" s="778">
        <v>-0.14198640756119169</v>
      </c>
      <c r="W239" s="779">
        <v>1.0850793201493734</v>
      </c>
      <c r="X239" s="378"/>
      <c r="Y239" s="180"/>
      <c r="Z239" s="180"/>
      <c r="AA239" s="180"/>
      <c r="AB239" s="180"/>
    </row>
    <row r="240" spans="1:28" ht="13.5" thickTop="1" x14ac:dyDescent="0.2">
      <c r="A240" s="230" t="s">
        <v>145</v>
      </c>
      <c r="B240" s="780" t="s">
        <v>190</v>
      </c>
      <c r="C240" s="781">
        <v>127858499</v>
      </c>
      <c r="D240" s="781">
        <v>132529106</v>
      </c>
      <c r="E240" s="781">
        <v>103802380</v>
      </c>
      <c r="F240" s="781">
        <v>101696568</v>
      </c>
      <c r="G240" s="781"/>
      <c r="H240" s="781">
        <v>6620415</v>
      </c>
      <c r="I240" s="782">
        <v>472506968</v>
      </c>
      <c r="J240" s="781"/>
      <c r="K240" s="781">
        <v>47577118</v>
      </c>
      <c r="L240" s="781">
        <v>33900492</v>
      </c>
      <c r="M240" s="781">
        <v>6617493</v>
      </c>
      <c r="N240" s="781"/>
      <c r="O240" s="782">
        <v>88095103</v>
      </c>
      <c r="P240" s="781">
        <v>39849956</v>
      </c>
      <c r="Q240" s="781"/>
      <c r="R240" s="781"/>
      <c r="S240" s="782">
        <v>39849956</v>
      </c>
      <c r="T240" s="781"/>
      <c r="U240" s="782"/>
      <c r="V240" s="781"/>
      <c r="W240" s="782">
        <v>600452027</v>
      </c>
      <c r="X240" s="378"/>
      <c r="Y240" s="180"/>
      <c r="Z240" s="180"/>
      <c r="AA240" s="180"/>
      <c r="AB240" s="180"/>
    </row>
    <row r="241" spans="1:28" s="203" customFormat="1" x14ac:dyDescent="0.2">
      <c r="A241" s="636"/>
      <c r="B241" s="389" t="s">
        <v>4</v>
      </c>
      <c r="C241" s="392">
        <v>101941968</v>
      </c>
      <c r="D241" s="392">
        <v>109983703</v>
      </c>
      <c r="E241" s="392">
        <v>86849995</v>
      </c>
      <c r="F241" s="392">
        <v>88130840</v>
      </c>
      <c r="G241" s="392"/>
      <c r="H241" s="392">
        <v>5520027</v>
      </c>
      <c r="I241" s="766">
        <v>392426533</v>
      </c>
      <c r="J241" s="392"/>
      <c r="K241" s="392">
        <v>49958981</v>
      </c>
      <c r="L241" s="392">
        <v>33715305</v>
      </c>
      <c r="M241" s="392">
        <v>6259934</v>
      </c>
      <c r="N241" s="392"/>
      <c r="O241" s="766">
        <v>89934220</v>
      </c>
      <c r="P241" s="392">
        <v>31279946</v>
      </c>
      <c r="Q241" s="392"/>
      <c r="R241" s="392"/>
      <c r="S241" s="766">
        <v>31279946</v>
      </c>
      <c r="T241" s="392"/>
      <c r="U241" s="766"/>
      <c r="V241" s="392"/>
      <c r="W241" s="766">
        <v>513640699</v>
      </c>
      <c r="X241" s="378"/>
      <c r="Y241" s="180"/>
      <c r="Z241" s="180"/>
      <c r="AA241" s="180"/>
      <c r="AB241" s="180"/>
    </row>
    <row r="242" spans="1:28" s="202" customFormat="1" x14ac:dyDescent="0.2">
      <c r="A242" s="637"/>
      <c r="B242" s="639" t="s">
        <v>116</v>
      </c>
      <c r="C242" s="763">
        <v>-20.269697519286538</v>
      </c>
      <c r="D242" s="763">
        <v>-17.01166157417526</v>
      </c>
      <c r="E242" s="763">
        <v>-16.33140299865957</v>
      </c>
      <c r="F242" s="763">
        <v>-13.339415741148708</v>
      </c>
      <c r="G242" s="466">
        <v>0</v>
      </c>
      <c r="H242" s="763">
        <v>-16.621133267325387</v>
      </c>
      <c r="I242" s="767">
        <v>-16.947990278103159</v>
      </c>
      <c r="J242" s="466">
        <v>0</v>
      </c>
      <c r="K242" s="466">
        <v>5.0063204753175672</v>
      </c>
      <c r="L242" s="466">
        <v>-0.54626640816894334</v>
      </c>
      <c r="M242" s="466">
        <v>-5.4032395651948555</v>
      </c>
      <c r="N242" s="466">
        <v>0</v>
      </c>
      <c r="O242" s="767">
        <v>2.0876495257630836</v>
      </c>
      <c r="P242" s="763">
        <v>-21.50569501256162</v>
      </c>
      <c r="Q242" s="466">
        <v>0</v>
      </c>
      <c r="R242" s="466">
        <v>0</v>
      </c>
      <c r="S242" s="767">
        <v>-21.50569501256162</v>
      </c>
      <c r="T242" s="466">
        <v>0</v>
      </c>
      <c r="U242" s="767">
        <v>0</v>
      </c>
      <c r="V242" s="466">
        <v>0</v>
      </c>
      <c r="W242" s="767">
        <v>-14.457662576930563</v>
      </c>
      <c r="X242" s="378"/>
      <c r="Y242" s="180"/>
      <c r="Z242" s="180"/>
      <c r="AA242" s="180"/>
      <c r="AB242" s="180"/>
    </row>
    <row r="243" spans="1:28" x14ac:dyDescent="0.2">
      <c r="A243" s="636"/>
      <c r="B243" s="388" t="s">
        <v>195</v>
      </c>
      <c r="C243" s="391">
        <v>69784790</v>
      </c>
      <c r="D243" s="391"/>
      <c r="E243" s="391">
        <v>4317454</v>
      </c>
      <c r="F243" s="391"/>
      <c r="G243" s="391"/>
      <c r="H243" s="391"/>
      <c r="I243" s="765">
        <v>74102244</v>
      </c>
      <c r="J243" s="391"/>
      <c r="K243" s="391"/>
      <c r="L243" s="391"/>
      <c r="M243" s="391"/>
      <c r="N243" s="391"/>
      <c r="O243" s="765"/>
      <c r="P243" s="391"/>
      <c r="Q243" s="391"/>
      <c r="R243" s="391"/>
      <c r="S243" s="765"/>
      <c r="T243" s="391"/>
      <c r="U243" s="765"/>
      <c r="V243" s="391">
        <v>25937285</v>
      </c>
      <c r="W243" s="765">
        <v>100039529</v>
      </c>
      <c r="X243" s="378"/>
      <c r="Y243" s="180"/>
      <c r="Z243" s="180"/>
      <c r="AA243" s="180"/>
      <c r="AB243" s="180"/>
    </row>
    <row r="244" spans="1:28" s="203" customFormat="1" x14ac:dyDescent="0.2">
      <c r="A244" s="636"/>
      <c r="B244" s="389" t="s">
        <v>242</v>
      </c>
      <c r="C244" s="392">
        <v>70504842</v>
      </c>
      <c r="D244" s="392"/>
      <c r="E244" s="392">
        <v>5215083</v>
      </c>
      <c r="F244" s="392"/>
      <c r="G244" s="392"/>
      <c r="H244" s="392"/>
      <c r="I244" s="766">
        <v>75719925</v>
      </c>
      <c r="J244" s="392"/>
      <c r="K244" s="392"/>
      <c r="L244" s="392"/>
      <c r="M244" s="392"/>
      <c r="N244" s="392"/>
      <c r="O244" s="766"/>
      <c r="P244" s="392"/>
      <c r="Q244" s="392"/>
      <c r="R244" s="392"/>
      <c r="S244" s="766"/>
      <c r="T244" s="392"/>
      <c r="U244" s="766"/>
      <c r="V244" s="392">
        <v>27059776</v>
      </c>
      <c r="W244" s="766">
        <v>102779701</v>
      </c>
      <c r="X244" s="378"/>
      <c r="Y244" s="180"/>
      <c r="Z244" s="180"/>
      <c r="AA244" s="180"/>
      <c r="AB244" s="180"/>
    </row>
    <row r="245" spans="1:28" s="202" customFormat="1" x14ac:dyDescent="0.2">
      <c r="A245" s="636"/>
      <c r="B245" s="639" t="s">
        <v>244</v>
      </c>
      <c r="C245" s="466">
        <v>1.0318179649175701</v>
      </c>
      <c r="D245" s="466">
        <v>0</v>
      </c>
      <c r="E245" s="763">
        <v>20.790702112865592</v>
      </c>
      <c r="F245" s="466">
        <v>0</v>
      </c>
      <c r="G245" s="466">
        <v>0</v>
      </c>
      <c r="H245" s="466">
        <v>0</v>
      </c>
      <c r="I245" s="767">
        <v>2.1830391533082318</v>
      </c>
      <c r="J245" s="466">
        <v>0</v>
      </c>
      <c r="K245" s="466">
        <v>0</v>
      </c>
      <c r="L245" s="466">
        <v>0</v>
      </c>
      <c r="M245" s="466">
        <v>0</v>
      </c>
      <c r="N245" s="466">
        <v>0</v>
      </c>
      <c r="O245" s="767">
        <v>0</v>
      </c>
      <c r="P245" s="466">
        <v>0</v>
      </c>
      <c r="Q245" s="466">
        <v>0</v>
      </c>
      <c r="R245" s="466">
        <v>0</v>
      </c>
      <c r="S245" s="767">
        <v>0</v>
      </c>
      <c r="T245" s="466">
        <v>0</v>
      </c>
      <c r="U245" s="767">
        <v>0</v>
      </c>
      <c r="V245" s="466">
        <v>4.3277120176610619</v>
      </c>
      <c r="W245" s="767">
        <v>2.739089265404278</v>
      </c>
      <c r="X245" s="378"/>
      <c r="Y245" s="180"/>
      <c r="Z245" s="180"/>
      <c r="AA245" s="180"/>
      <c r="AB245" s="180"/>
    </row>
    <row r="246" spans="1:28" x14ac:dyDescent="0.2">
      <c r="A246" s="636"/>
      <c r="B246" s="388" t="s">
        <v>5</v>
      </c>
      <c r="C246" s="391"/>
      <c r="D246" s="391"/>
      <c r="E246" s="391"/>
      <c r="F246" s="391"/>
      <c r="G246" s="391"/>
      <c r="H246" s="391"/>
      <c r="I246" s="765"/>
      <c r="J246" s="391"/>
      <c r="K246" s="391"/>
      <c r="L246" s="391"/>
      <c r="M246" s="391"/>
      <c r="N246" s="391"/>
      <c r="O246" s="765"/>
      <c r="P246" s="391"/>
      <c r="Q246" s="391"/>
      <c r="R246" s="391"/>
      <c r="S246" s="765"/>
      <c r="T246" s="391"/>
      <c r="U246" s="765"/>
      <c r="V246" s="391"/>
      <c r="W246" s="765"/>
      <c r="X246" s="378"/>
      <c r="Y246" s="180"/>
      <c r="Z246" s="180"/>
      <c r="AA246" s="180"/>
      <c r="AB246" s="180"/>
    </row>
    <row r="247" spans="1:28" s="203" customFormat="1" x14ac:dyDescent="0.2">
      <c r="A247" s="636"/>
      <c r="B247" s="389" t="s">
        <v>6</v>
      </c>
      <c r="C247" s="392"/>
      <c r="D247" s="392"/>
      <c r="E247" s="392"/>
      <c r="F247" s="392"/>
      <c r="G247" s="392"/>
      <c r="H247" s="392"/>
      <c r="I247" s="766"/>
      <c r="J247" s="392"/>
      <c r="K247" s="392"/>
      <c r="L247" s="392"/>
      <c r="M247" s="392"/>
      <c r="N247" s="392"/>
      <c r="O247" s="766"/>
      <c r="P247" s="392"/>
      <c r="Q247" s="392"/>
      <c r="R247" s="392"/>
      <c r="S247" s="766"/>
      <c r="T247" s="392"/>
      <c r="U247" s="766"/>
      <c r="V247" s="392"/>
      <c r="W247" s="766"/>
      <c r="X247" s="378"/>
      <c r="Y247" s="180"/>
      <c r="Z247" s="180"/>
      <c r="AA247" s="180"/>
      <c r="AB247" s="180"/>
    </row>
    <row r="248" spans="1:28" s="202" customFormat="1" x14ac:dyDescent="0.2">
      <c r="A248" s="636"/>
      <c r="B248" s="639" t="s">
        <v>298</v>
      </c>
      <c r="C248" s="466">
        <v>0</v>
      </c>
      <c r="D248" s="466">
        <v>0</v>
      </c>
      <c r="E248" s="466">
        <v>0</v>
      </c>
      <c r="F248" s="466">
        <v>0</v>
      </c>
      <c r="G248" s="466">
        <v>0</v>
      </c>
      <c r="H248" s="466">
        <v>0</v>
      </c>
      <c r="I248" s="767">
        <v>0</v>
      </c>
      <c r="J248" s="466">
        <v>0</v>
      </c>
      <c r="K248" s="466">
        <v>0</v>
      </c>
      <c r="L248" s="466">
        <v>0</v>
      </c>
      <c r="M248" s="466">
        <v>0</v>
      </c>
      <c r="N248" s="466">
        <v>0</v>
      </c>
      <c r="O248" s="767">
        <v>0</v>
      </c>
      <c r="P248" s="466">
        <v>0</v>
      </c>
      <c r="Q248" s="466">
        <v>0</v>
      </c>
      <c r="R248" s="466">
        <v>0</v>
      </c>
      <c r="S248" s="767">
        <v>0</v>
      </c>
      <c r="T248" s="466">
        <v>0</v>
      </c>
      <c r="U248" s="767">
        <v>0</v>
      </c>
      <c r="V248" s="466">
        <v>0</v>
      </c>
      <c r="W248" s="767">
        <v>0</v>
      </c>
      <c r="X248" s="378"/>
      <c r="Y248" s="180"/>
      <c r="Z248" s="180"/>
      <c r="AA248" s="180"/>
      <c r="AB248" s="180"/>
    </row>
    <row r="249" spans="1:28" x14ac:dyDescent="0.2">
      <c r="A249" s="636"/>
      <c r="B249" s="388" t="s">
        <v>223</v>
      </c>
      <c r="C249" s="391">
        <v>272282704</v>
      </c>
      <c r="D249" s="391">
        <v>189632699</v>
      </c>
      <c r="E249" s="391">
        <v>151141327</v>
      </c>
      <c r="F249" s="391">
        <v>173338243</v>
      </c>
      <c r="G249" s="391"/>
      <c r="H249" s="391">
        <v>9115459</v>
      </c>
      <c r="I249" s="765">
        <v>795510432</v>
      </c>
      <c r="J249" s="391"/>
      <c r="K249" s="391">
        <v>90215934</v>
      </c>
      <c r="L249" s="391">
        <v>36629610</v>
      </c>
      <c r="M249" s="391">
        <v>9086267</v>
      </c>
      <c r="N249" s="391"/>
      <c r="O249" s="765">
        <v>135931811</v>
      </c>
      <c r="P249" s="391">
        <v>27697897</v>
      </c>
      <c r="Q249" s="391"/>
      <c r="R249" s="391"/>
      <c r="S249" s="765">
        <v>27697897</v>
      </c>
      <c r="T249" s="391"/>
      <c r="U249" s="765"/>
      <c r="V249" s="391"/>
      <c r="W249" s="765">
        <v>959140140</v>
      </c>
      <c r="X249" s="378"/>
      <c r="Y249" s="180"/>
      <c r="Z249" s="180"/>
      <c r="AA249" s="180"/>
      <c r="AB249" s="180"/>
    </row>
    <row r="250" spans="1:28" s="203" customFormat="1" x14ac:dyDescent="0.2">
      <c r="A250" s="636"/>
      <c r="B250" s="389" t="s">
        <v>14</v>
      </c>
      <c r="C250" s="392">
        <v>307892089</v>
      </c>
      <c r="D250" s="392">
        <v>204091990</v>
      </c>
      <c r="E250" s="392">
        <v>160053468</v>
      </c>
      <c r="F250" s="392">
        <v>184693611</v>
      </c>
      <c r="G250" s="392"/>
      <c r="H250" s="392">
        <v>9838448</v>
      </c>
      <c r="I250" s="766">
        <v>866569606</v>
      </c>
      <c r="J250" s="392"/>
      <c r="K250" s="392">
        <v>97020762</v>
      </c>
      <c r="L250" s="392">
        <v>37289836</v>
      </c>
      <c r="M250" s="392">
        <v>9088814</v>
      </c>
      <c r="N250" s="392"/>
      <c r="O250" s="766">
        <v>143399412</v>
      </c>
      <c r="P250" s="392">
        <v>26592618</v>
      </c>
      <c r="Q250" s="392"/>
      <c r="R250" s="392"/>
      <c r="S250" s="766">
        <v>26592618</v>
      </c>
      <c r="T250" s="392"/>
      <c r="U250" s="766"/>
      <c r="V250" s="392"/>
      <c r="W250" s="766">
        <v>1036561636</v>
      </c>
      <c r="X250" s="378"/>
      <c r="Y250" s="180"/>
      <c r="Z250" s="180"/>
      <c r="AA250" s="180"/>
      <c r="AB250" s="180"/>
    </row>
    <row r="251" spans="1:28" s="202" customFormat="1" x14ac:dyDescent="0.2">
      <c r="A251" s="636"/>
      <c r="B251" s="639" t="s">
        <v>247</v>
      </c>
      <c r="C251" s="763">
        <v>13.078092907436384</v>
      </c>
      <c r="D251" s="466">
        <v>7.6248933207452794</v>
      </c>
      <c r="E251" s="466">
        <v>5.8965613025218442</v>
      </c>
      <c r="F251" s="466">
        <v>6.5509882894105491</v>
      </c>
      <c r="G251" s="466">
        <v>0</v>
      </c>
      <c r="H251" s="466">
        <v>7.9314601711224855</v>
      </c>
      <c r="I251" s="767">
        <v>8.9325257270793408</v>
      </c>
      <c r="J251" s="466">
        <v>0</v>
      </c>
      <c r="K251" s="466">
        <v>7.5428227567870652</v>
      </c>
      <c r="L251" s="466">
        <v>1.8024379729950715</v>
      </c>
      <c r="M251" s="466">
        <v>2.8031313629678725E-2</v>
      </c>
      <c r="N251" s="466">
        <v>0</v>
      </c>
      <c r="O251" s="767">
        <v>5.493637541546474</v>
      </c>
      <c r="P251" s="466">
        <v>-3.990479854842409</v>
      </c>
      <c r="Q251" s="466">
        <v>0</v>
      </c>
      <c r="R251" s="466">
        <v>0</v>
      </c>
      <c r="S251" s="767">
        <v>-3.990479854842409</v>
      </c>
      <c r="T251" s="466">
        <v>0</v>
      </c>
      <c r="U251" s="767">
        <v>0</v>
      </c>
      <c r="V251" s="466">
        <v>0</v>
      </c>
      <c r="W251" s="767">
        <v>8.0719691285154624</v>
      </c>
      <c r="X251" s="378"/>
      <c r="Y251" s="180"/>
      <c r="Z251" s="180"/>
      <c r="AA251" s="180"/>
      <c r="AB251" s="180"/>
    </row>
    <row r="252" spans="1:28" x14ac:dyDescent="0.2">
      <c r="A252" s="636"/>
      <c r="B252" s="388" t="s">
        <v>225</v>
      </c>
      <c r="C252" s="391"/>
      <c r="D252" s="391"/>
      <c r="E252" s="391"/>
      <c r="F252" s="391"/>
      <c r="G252" s="391"/>
      <c r="H252" s="391"/>
      <c r="I252" s="765"/>
      <c r="J252" s="391"/>
      <c r="K252" s="391"/>
      <c r="L252" s="391"/>
      <c r="M252" s="391"/>
      <c r="N252" s="391"/>
      <c r="O252" s="765"/>
      <c r="P252" s="391"/>
      <c r="Q252" s="391"/>
      <c r="R252" s="391"/>
      <c r="S252" s="765"/>
      <c r="T252" s="391"/>
      <c r="U252" s="765"/>
      <c r="V252" s="391"/>
      <c r="W252" s="765"/>
      <c r="X252" s="378"/>
      <c r="Y252" s="180"/>
      <c r="Z252" s="180"/>
      <c r="AA252" s="180"/>
      <c r="AB252" s="180"/>
    </row>
    <row r="253" spans="1:28" s="203" customFormat="1" x14ac:dyDescent="0.2">
      <c r="A253" s="636"/>
      <c r="B253" s="389" t="s">
        <v>166</v>
      </c>
      <c r="C253" s="392"/>
      <c r="D253" s="392"/>
      <c r="E253" s="392"/>
      <c r="F253" s="392"/>
      <c r="G253" s="392"/>
      <c r="H253" s="392"/>
      <c r="I253" s="766"/>
      <c r="J253" s="392"/>
      <c r="K253" s="392"/>
      <c r="L253" s="392"/>
      <c r="M253" s="392"/>
      <c r="N253" s="392"/>
      <c r="O253" s="766"/>
      <c r="P253" s="392"/>
      <c r="Q253" s="392"/>
      <c r="R253" s="392"/>
      <c r="S253" s="766"/>
      <c r="T253" s="392"/>
      <c r="U253" s="766"/>
      <c r="V253" s="392"/>
      <c r="W253" s="766"/>
      <c r="X253" s="378"/>
      <c r="Y253" s="180"/>
      <c r="Z253" s="180"/>
      <c r="AA253" s="180"/>
      <c r="AB253" s="180"/>
    </row>
    <row r="254" spans="1:28" s="202" customFormat="1" x14ac:dyDescent="0.2">
      <c r="A254" s="636"/>
      <c r="B254" s="639" t="s">
        <v>175</v>
      </c>
      <c r="C254" s="466">
        <v>0</v>
      </c>
      <c r="D254" s="466">
        <v>0</v>
      </c>
      <c r="E254" s="466">
        <v>0</v>
      </c>
      <c r="F254" s="466">
        <v>0</v>
      </c>
      <c r="G254" s="466">
        <v>0</v>
      </c>
      <c r="H254" s="466">
        <v>0</v>
      </c>
      <c r="I254" s="767">
        <v>0</v>
      </c>
      <c r="J254" s="466">
        <v>0</v>
      </c>
      <c r="K254" s="466">
        <v>0</v>
      </c>
      <c r="L254" s="466">
        <v>0</v>
      </c>
      <c r="M254" s="466">
        <v>0</v>
      </c>
      <c r="N254" s="466">
        <v>0</v>
      </c>
      <c r="O254" s="767">
        <v>0</v>
      </c>
      <c r="P254" s="466">
        <v>0</v>
      </c>
      <c r="Q254" s="466">
        <v>0</v>
      </c>
      <c r="R254" s="466">
        <v>0</v>
      </c>
      <c r="S254" s="767">
        <v>0</v>
      </c>
      <c r="T254" s="466">
        <v>0</v>
      </c>
      <c r="U254" s="767">
        <v>0</v>
      </c>
      <c r="V254" s="466">
        <v>0</v>
      </c>
      <c r="W254" s="767">
        <v>0</v>
      </c>
      <c r="X254" s="378"/>
      <c r="Y254" s="180"/>
      <c r="Z254" s="180"/>
      <c r="AA254" s="180"/>
      <c r="AB254" s="180"/>
    </row>
    <row r="255" spans="1:28" x14ac:dyDescent="0.2">
      <c r="A255" s="636"/>
      <c r="B255" s="768" t="s">
        <v>317</v>
      </c>
      <c r="C255" s="765">
        <v>272282704</v>
      </c>
      <c r="D255" s="765">
        <v>189632699</v>
      </c>
      <c r="E255" s="765">
        <v>151141327</v>
      </c>
      <c r="F255" s="765">
        <v>173338243</v>
      </c>
      <c r="G255" s="765"/>
      <c r="H255" s="765">
        <v>9115459</v>
      </c>
      <c r="I255" s="765">
        <v>795510432</v>
      </c>
      <c r="J255" s="765"/>
      <c r="K255" s="765">
        <v>90215934</v>
      </c>
      <c r="L255" s="765">
        <v>36629610</v>
      </c>
      <c r="M255" s="765">
        <v>9086267</v>
      </c>
      <c r="N255" s="765"/>
      <c r="O255" s="765">
        <v>135931811</v>
      </c>
      <c r="P255" s="765">
        <v>27697897</v>
      </c>
      <c r="Q255" s="765"/>
      <c r="R255" s="765"/>
      <c r="S255" s="765">
        <v>27697897</v>
      </c>
      <c r="T255" s="765">
        <v>0</v>
      </c>
      <c r="U255" s="765">
        <v>0</v>
      </c>
      <c r="V255" s="765">
        <v>0</v>
      </c>
      <c r="W255" s="765">
        <v>959140140</v>
      </c>
      <c r="X255" s="378"/>
      <c r="Y255" s="180"/>
      <c r="Z255" s="180"/>
      <c r="AA255" s="180"/>
      <c r="AB255" s="180"/>
    </row>
    <row r="256" spans="1:28" s="203" customFormat="1" x14ac:dyDescent="0.2">
      <c r="A256" s="636"/>
      <c r="B256" s="769" t="s">
        <v>70</v>
      </c>
      <c r="C256" s="766">
        <v>307892089</v>
      </c>
      <c r="D256" s="766">
        <v>204091990</v>
      </c>
      <c r="E256" s="766">
        <v>160053468</v>
      </c>
      <c r="F256" s="766">
        <v>184693611</v>
      </c>
      <c r="G256" s="766"/>
      <c r="H256" s="766">
        <v>9838448</v>
      </c>
      <c r="I256" s="766">
        <v>866569606</v>
      </c>
      <c r="J256" s="766"/>
      <c r="K256" s="766">
        <v>97020762</v>
      </c>
      <c r="L256" s="766">
        <v>37289836</v>
      </c>
      <c r="M256" s="766">
        <v>9088814</v>
      </c>
      <c r="N256" s="766"/>
      <c r="O256" s="766">
        <v>143399412</v>
      </c>
      <c r="P256" s="766">
        <v>26592618</v>
      </c>
      <c r="Q256" s="766"/>
      <c r="R256" s="766"/>
      <c r="S256" s="766">
        <v>26592618</v>
      </c>
      <c r="T256" s="766">
        <v>0</v>
      </c>
      <c r="U256" s="766">
        <v>0</v>
      </c>
      <c r="V256" s="766">
        <v>0</v>
      </c>
      <c r="W256" s="766">
        <v>1036561636</v>
      </c>
      <c r="X256" s="378"/>
      <c r="Y256" s="180"/>
      <c r="Z256" s="180"/>
      <c r="AA256" s="180"/>
      <c r="AB256" s="180"/>
    </row>
    <row r="257" spans="1:28" s="202" customFormat="1" x14ac:dyDescent="0.2">
      <c r="A257" s="636"/>
      <c r="B257" s="770" t="s">
        <v>57</v>
      </c>
      <c r="C257" s="767">
        <v>13.078092907436384</v>
      </c>
      <c r="D257" s="767">
        <v>7.6248933207452794</v>
      </c>
      <c r="E257" s="767">
        <v>5.8965613025218442</v>
      </c>
      <c r="F257" s="767">
        <v>6.5509882894105491</v>
      </c>
      <c r="G257" s="767">
        <v>0</v>
      </c>
      <c r="H257" s="767">
        <v>7.9314601711224855</v>
      </c>
      <c r="I257" s="767">
        <v>8.9325257270793408</v>
      </c>
      <c r="J257" s="767">
        <v>0</v>
      </c>
      <c r="K257" s="767">
        <v>7.5428227567870652</v>
      </c>
      <c r="L257" s="767">
        <v>1.8024379729950715</v>
      </c>
      <c r="M257" s="767">
        <v>2.8031313629678725E-2</v>
      </c>
      <c r="N257" s="767">
        <v>0</v>
      </c>
      <c r="O257" s="767">
        <v>5.493637541546474</v>
      </c>
      <c r="P257" s="767">
        <v>-3.990479854842409</v>
      </c>
      <c r="Q257" s="767">
        <v>0</v>
      </c>
      <c r="R257" s="767">
        <v>0</v>
      </c>
      <c r="S257" s="767">
        <v>-3.990479854842409</v>
      </c>
      <c r="T257" s="767">
        <v>0</v>
      </c>
      <c r="U257" s="767">
        <v>0</v>
      </c>
      <c r="V257" s="767">
        <v>0</v>
      </c>
      <c r="W257" s="767">
        <v>8.0719691285154624</v>
      </c>
      <c r="X257" s="378"/>
      <c r="Y257" s="180"/>
      <c r="Z257" s="180"/>
      <c r="AA257" s="180"/>
      <c r="AB257" s="180"/>
    </row>
    <row r="258" spans="1:28" x14ac:dyDescent="0.2">
      <c r="A258" s="636"/>
      <c r="B258" s="388" t="s">
        <v>72</v>
      </c>
      <c r="C258" s="391"/>
      <c r="D258" s="391"/>
      <c r="E258" s="391"/>
      <c r="F258" s="391"/>
      <c r="G258" s="391"/>
      <c r="H258" s="391"/>
      <c r="I258" s="765"/>
      <c r="J258" s="391"/>
      <c r="K258" s="391"/>
      <c r="L258" s="391"/>
      <c r="M258" s="391"/>
      <c r="N258" s="391"/>
      <c r="O258" s="765"/>
      <c r="P258" s="391"/>
      <c r="Q258" s="391"/>
      <c r="R258" s="391"/>
      <c r="S258" s="765"/>
      <c r="T258" s="391"/>
      <c r="U258" s="765"/>
      <c r="V258" s="391">
        <v>250236731</v>
      </c>
      <c r="W258" s="765">
        <v>250236731</v>
      </c>
      <c r="X258" s="378"/>
      <c r="Y258" s="180"/>
      <c r="Z258" s="180"/>
      <c r="AA258" s="180"/>
      <c r="AB258" s="180"/>
    </row>
    <row r="259" spans="1:28" s="203" customFormat="1" x14ac:dyDescent="0.2">
      <c r="A259" s="636"/>
      <c r="B259" s="389" t="s">
        <v>74</v>
      </c>
      <c r="C259" s="392"/>
      <c r="D259" s="392"/>
      <c r="E259" s="392"/>
      <c r="F259" s="392"/>
      <c r="G259" s="392"/>
      <c r="H259" s="392"/>
      <c r="I259" s="766"/>
      <c r="J259" s="392"/>
      <c r="K259" s="392"/>
      <c r="L259" s="392"/>
      <c r="M259" s="392"/>
      <c r="N259" s="392"/>
      <c r="O259" s="766"/>
      <c r="P259" s="392"/>
      <c r="Q259" s="392"/>
      <c r="R259" s="392"/>
      <c r="S259" s="766"/>
      <c r="T259" s="392"/>
      <c r="U259" s="766"/>
      <c r="V259" s="392">
        <v>313524571</v>
      </c>
      <c r="W259" s="766">
        <v>313524571</v>
      </c>
      <c r="X259" s="378"/>
      <c r="Y259" s="180"/>
      <c r="Z259" s="180"/>
      <c r="AA259" s="180"/>
      <c r="AB259" s="180"/>
    </row>
    <row r="260" spans="1:28" s="202" customFormat="1" x14ac:dyDescent="0.2">
      <c r="A260" s="636"/>
      <c r="B260" s="639" t="s">
        <v>76</v>
      </c>
      <c r="C260" s="466">
        <v>0</v>
      </c>
      <c r="D260" s="466">
        <v>0</v>
      </c>
      <c r="E260" s="466">
        <v>0</v>
      </c>
      <c r="F260" s="466">
        <v>0</v>
      </c>
      <c r="G260" s="466">
        <v>0</v>
      </c>
      <c r="H260" s="466">
        <v>0</v>
      </c>
      <c r="I260" s="767">
        <v>0</v>
      </c>
      <c r="J260" s="466">
        <v>0</v>
      </c>
      <c r="K260" s="466">
        <v>0</v>
      </c>
      <c r="L260" s="466">
        <v>0</v>
      </c>
      <c r="M260" s="466">
        <v>0</v>
      </c>
      <c r="N260" s="466">
        <v>0</v>
      </c>
      <c r="O260" s="767">
        <v>0</v>
      </c>
      <c r="P260" s="466">
        <v>0</v>
      </c>
      <c r="Q260" s="466">
        <v>0</v>
      </c>
      <c r="R260" s="466">
        <v>0</v>
      </c>
      <c r="S260" s="767">
        <v>0</v>
      </c>
      <c r="T260" s="466">
        <v>0</v>
      </c>
      <c r="U260" s="767">
        <v>0</v>
      </c>
      <c r="V260" s="763">
        <v>25.291187167882239</v>
      </c>
      <c r="W260" s="767">
        <v>25.291187167882239</v>
      </c>
      <c r="X260" s="378"/>
      <c r="Y260" s="180"/>
      <c r="Z260" s="180"/>
      <c r="AA260" s="180"/>
      <c r="AB260" s="180"/>
    </row>
    <row r="261" spans="1:28" x14ac:dyDescent="0.2">
      <c r="A261" s="636"/>
      <c r="B261" s="388" t="s">
        <v>240</v>
      </c>
      <c r="C261" s="391"/>
      <c r="D261" s="391"/>
      <c r="E261" s="391"/>
      <c r="F261" s="391"/>
      <c r="G261" s="391"/>
      <c r="H261" s="391"/>
      <c r="I261" s="765"/>
      <c r="J261" s="391"/>
      <c r="K261" s="391"/>
      <c r="L261" s="391"/>
      <c r="M261" s="391"/>
      <c r="N261" s="391"/>
      <c r="O261" s="765"/>
      <c r="P261" s="391"/>
      <c r="Q261" s="391"/>
      <c r="R261" s="391"/>
      <c r="S261" s="765"/>
      <c r="T261" s="391"/>
      <c r="U261" s="765"/>
      <c r="V261" s="391"/>
      <c r="W261" s="765"/>
      <c r="X261" s="378"/>
      <c r="Y261" s="180"/>
      <c r="Z261" s="180"/>
      <c r="AA261" s="180"/>
      <c r="AB261" s="180"/>
    </row>
    <row r="262" spans="1:28" s="203" customFormat="1" x14ac:dyDescent="0.2">
      <c r="A262" s="636"/>
      <c r="B262" s="389" t="s">
        <v>163</v>
      </c>
      <c r="C262" s="392"/>
      <c r="D262" s="392"/>
      <c r="E262" s="392"/>
      <c r="F262" s="392"/>
      <c r="G262" s="392"/>
      <c r="H262" s="392"/>
      <c r="I262" s="766"/>
      <c r="J262" s="392"/>
      <c r="K262" s="392"/>
      <c r="L262" s="392"/>
      <c r="M262" s="392"/>
      <c r="N262" s="392"/>
      <c r="O262" s="766"/>
      <c r="P262" s="392"/>
      <c r="Q262" s="392"/>
      <c r="R262" s="392"/>
      <c r="S262" s="766"/>
      <c r="T262" s="392"/>
      <c r="U262" s="766"/>
      <c r="V262" s="392"/>
      <c r="W262" s="766"/>
      <c r="X262" s="378"/>
      <c r="Y262" s="180"/>
      <c r="Z262" s="180"/>
      <c r="AA262" s="180"/>
      <c r="AB262" s="180"/>
    </row>
    <row r="263" spans="1:28" s="202" customFormat="1" x14ac:dyDescent="0.2">
      <c r="A263" s="636"/>
      <c r="B263" s="639" t="s">
        <v>59</v>
      </c>
      <c r="C263" s="466">
        <v>0</v>
      </c>
      <c r="D263" s="466">
        <v>0</v>
      </c>
      <c r="E263" s="466">
        <v>0</v>
      </c>
      <c r="F263" s="466">
        <v>0</v>
      </c>
      <c r="G263" s="466">
        <v>0</v>
      </c>
      <c r="H263" s="466">
        <v>0</v>
      </c>
      <c r="I263" s="767">
        <v>0</v>
      </c>
      <c r="J263" s="466">
        <v>0</v>
      </c>
      <c r="K263" s="466">
        <v>0</v>
      </c>
      <c r="L263" s="466">
        <v>0</v>
      </c>
      <c r="M263" s="466">
        <v>0</v>
      </c>
      <c r="N263" s="466">
        <v>0</v>
      </c>
      <c r="O263" s="767">
        <v>0</v>
      </c>
      <c r="P263" s="466">
        <v>0</v>
      </c>
      <c r="Q263" s="466">
        <v>0</v>
      </c>
      <c r="R263" s="466">
        <v>0</v>
      </c>
      <c r="S263" s="767">
        <v>0</v>
      </c>
      <c r="T263" s="466">
        <v>0</v>
      </c>
      <c r="U263" s="767">
        <v>0</v>
      </c>
      <c r="V263" s="466">
        <v>0</v>
      </c>
      <c r="W263" s="767">
        <v>0</v>
      </c>
      <c r="X263" s="378"/>
      <c r="Y263" s="180"/>
      <c r="Z263" s="180"/>
      <c r="AA263" s="180"/>
      <c r="AB263" s="180"/>
    </row>
    <row r="264" spans="1:28" x14ac:dyDescent="0.2">
      <c r="A264" s="636"/>
      <c r="B264" s="388" t="s">
        <v>159</v>
      </c>
      <c r="C264" s="391"/>
      <c r="D264" s="391"/>
      <c r="E264" s="391"/>
      <c r="F264" s="391"/>
      <c r="G264" s="391"/>
      <c r="H264" s="391"/>
      <c r="I264" s="765"/>
      <c r="J264" s="391"/>
      <c r="K264" s="391"/>
      <c r="L264" s="391"/>
      <c r="M264" s="391"/>
      <c r="N264" s="391"/>
      <c r="O264" s="765"/>
      <c r="P264" s="391"/>
      <c r="Q264" s="391"/>
      <c r="R264" s="391"/>
      <c r="S264" s="765"/>
      <c r="T264" s="391"/>
      <c r="U264" s="765"/>
      <c r="V264" s="391"/>
      <c r="W264" s="765"/>
      <c r="X264" s="378"/>
      <c r="Y264" s="180"/>
      <c r="Z264" s="180"/>
      <c r="AA264" s="180"/>
      <c r="AB264" s="180"/>
    </row>
    <row r="265" spans="1:28" s="203" customFormat="1" x14ac:dyDescent="0.2">
      <c r="A265" s="636"/>
      <c r="B265" s="389" t="s">
        <v>100</v>
      </c>
      <c r="C265" s="392"/>
      <c r="D265" s="392"/>
      <c r="E265" s="392"/>
      <c r="F265" s="392"/>
      <c r="G265" s="392"/>
      <c r="H265" s="392"/>
      <c r="I265" s="766"/>
      <c r="J265" s="392"/>
      <c r="K265" s="392"/>
      <c r="L265" s="392"/>
      <c r="M265" s="392"/>
      <c r="N265" s="392"/>
      <c r="O265" s="766"/>
      <c r="P265" s="392"/>
      <c r="Q265" s="392"/>
      <c r="R265" s="392"/>
      <c r="S265" s="766"/>
      <c r="T265" s="392"/>
      <c r="U265" s="766"/>
      <c r="V265" s="392"/>
      <c r="W265" s="766"/>
      <c r="X265" s="378"/>
      <c r="Y265" s="180"/>
      <c r="Z265" s="180"/>
      <c r="AA265" s="180"/>
      <c r="AB265" s="180"/>
    </row>
    <row r="266" spans="1:28" s="202" customFormat="1" x14ac:dyDescent="0.2">
      <c r="A266" s="636"/>
      <c r="B266" s="639" t="s">
        <v>110</v>
      </c>
      <c r="C266" s="466">
        <v>0</v>
      </c>
      <c r="D266" s="466">
        <v>0</v>
      </c>
      <c r="E266" s="466">
        <v>0</v>
      </c>
      <c r="F266" s="466">
        <v>0</v>
      </c>
      <c r="G266" s="466">
        <v>0</v>
      </c>
      <c r="H266" s="466">
        <v>0</v>
      </c>
      <c r="I266" s="767">
        <v>0</v>
      </c>
      <c r="J266" s="466">
        <v>0</v>
      </c>
      <c r="K266" s="466">
        <v>0</v>
      </c>
      <c r="L266" s="466">
        <v>0</v>
      </c>
      <c r="M266" s="466">
        <v>0</v>
      </c>
      <c r="N266" s="466">
        <v>0</v>
      </c>
      <c r="O266" s="767">
        <v>0</v>
      </c>
      <c r="P266" s="466">
        <v>0</v>
      </c>
      <c r="Q266" s="466">
        <v>0</v>
      </c>
      <c r="R266" s="466">
        <v>0</v>
      </c>
      <c r="S266" s="767">
        <v>0</v>
      </c>
      <c r="T266" s="466">
        <v>0</v>
      </c>
      <c r="U266" s="767">
        <v>0</v>
      </c>
      <c r="V266" s="466">
        <v>0</v>
      </c>
      <c r="W266" s="767">
        <v>0</v>
      </c>
      <c r="X266" s="378"/>
      <c r="Y266" s="180"/>
      <c r="Z266" s="180"/>
      <c r="AA266" s="180"/>
      <c r="AB266" s="180"/>
    </row>
    <row r="267" spans="1:28" x14ac:dyDescent="0.2">
      <c r="A267" s="636"/>
      <c r="B267" s="388" t="s">
        <v>161</v>
      </c>
      <c r="C267" s="391">
        <v>0</v>
      </c>
      <c r="D267" s="391">
        <v>0</v>
      </c>
      <c r="E267" s="391">
        <v>0</v>
      </c>
      <c r="F267" s="391">
        <v>0</v>
      </c>
      <c r="G267" s="391"/>
      <c r="H267" s="391">
        <v>0</v>
      </c>
      <c r="I267" s="765">
        <v>0</v>
      </c>
      <c r="J267" s="391"/>
      <c r="K267" s="391">
        <v>0</v>
      </c>
      <c r="L267" s="391">
        <v>0</v>
      </c>
      <c r="M267" s="391">
        <v>0</v>
      </c>
      <c r="N267" s="391"/>
      <c r="O267" s="765">
        <v>0</v>
      </c>
      <c r="P267" s="391">
        <v>0</v>
      </c>
      <c r="Q267" s="391"/>
      <c r="R267" s="391"/>
      <c r="S267" s="765">
        <v>0</v>
      </c>
      <c r="T267" s="391">
        <v>0</v>
      </c>
      <c r="U267" s="765">
        <v>0</v>
      </c>
      <c r="V267" s="391">
        <v>0</v>
      </c>
      <c r="W267" s="765">
        <v>0</v>
      </c>
      <c r="X267" s="378"/>
      <c r="Y267" s="180"/>
      <c r="Z267" s="180"/>
      <c r="AA267" s="180"/>
      <c r="AB267" s="180"/>
    </row>
    <row r="268" spans="1:28" s="203" customFormat="1" x14ac:dyDescent="0.2">
      <c r="A268" s="636"/>
      <c r="B268" s="389" t="s">
        <v>102</v>
      </c>
      <c r="C268" s="392">
        <v>0</v>
      </c>
      <c r="D268" s="392">
        <v>0</v>
      </c>
      <c r="E268" s="392">
        <v>0</v>
      </c>
      <c r="F268" s="392">
        <v>0</v>
      </c>
      <c r="G268" s="392"/>
      <c r="H268" s="392">
        <v>0</v>
      </c>
      <c r="I268" s="766">
        <v>0</v>
      </c>
      <c r="J268" s="392"/>
      <c r="K268" s="392">
        <v>0</v>
      </c>
      <c r="L268" s="392">
        <v>0</v>
      </c>
      <c r="M268" s="392">
        <v>0</v>
      </c>
      <c r="N268" s="392"/>
      <c r="O268" s="766">
        <v>0</v>
      </c>
      <c r="P268" s="392">
        <v>0</v>
      </c>
      <c r="Q268" s="392"/>
      <c r="R268" s="392"/>
      <c r="S268" s="766">
        <v>0</v>
      </c>
      <c r="T268" s="392">
        <v>0</v>
      </c>
      <c r="U268" s="766">
        <v>0</v>
      </c>
      <c r="V268" s="392">
        <v>0</v>
      </c>
      <c r="W268" s="766">
        <v>0</v>
      </c>
      <c r="X268" s="378"/>
      <c r="Y268" s="180"/>
      <c r="Z268" s="180"/>
      <c r="AA268" s="180"/>
      <c r="AB268" s="180"/>
    </row>
    <row r="269" spans="1:28" s="202" customFormat="1" x14ac:dyDescent="0.2">
      <c r="A269" s="636"/>
      <c r="B269" s="639" t="s">
        <v>183</v>
      </c>
      <c r="C269" s="466">
        <v>0</v>
      </c>
      <c r="D269" s="466">
        <v>0</v>
      </c>
      <c r="E269" s="466">
        <v>0</v>
      </c>
      <c r="F269" s="466">
        <v>0</v>
      </c>
      <c r="G269" s="466">
        <v>0</v>
      </c>
      <c r="H269" s="466">
        <v>0</v>
      </c>
      <c r="I269" s="767">
        <v>0</v>
      </c>
      <c r="J269" s="466">
        <v>0</v>
      </c>
      <c r="K269" s="466">
        <v>0</v>
      </c>
      <c r="L269" s="466">
        <v>0</v>
      </c>
      <c r="M269" s="466">
        <v>0</v>
      </c>
      <c r="N269" s="466">
        <v>0</v>
      </c>
      <c r="O269" s="767">
        <v>0</v>
      </c>
      <c r="P269" s="466">
        <v>0</v>
      </c>
      <c r="Q269" s="466">
        <v>0</v>
      </c>
      <c r="R269" s="466">
        <v>0</v>
      </c>
      <c r="S269" s="767">
        <v>0</v>
      </c>
      <c r="T269" s="466">
        <v>0</v>
      </c>
      <c r="U269" s="767">
        <v>0</v>
      </c>
      <c r="V269" s="466">
        <v>0</v>
      </c>
      <c r="W269" s="767">
        <v>0</v>
      </c>
      <c r="X269" s="378"/>
      <c r="Y269" s="180"/>
      <c r="Z269" s="180"/>
      <c r="AA269" s="180"/>
      <c r="AB269" s="180"/>
    </row>
    <row r="270" spans="1:28" x14ac:dyDescent="0.2">
      <c r="A270" s="636"/>
      <c r="B270" s="388" t="s">
        <v>78</v>
      </c>
      <c r="C270" s="391">
        <v>19582008</v>
      </c>
      <c r="D270" s="391"/>
      <c r="E270" s="391"/>
      <c r="F270" s="391"/>
      <c r="G270" s="391"/>
      <c r="H270" s="391"/>
      <c r="I270" s="765">
        <v>19582008</v>
      </c>
      <c r="J270" s="391"/>
      <c r="K270" s="391"/>
      <c r="L270" s="391"/>
      <c r="M270" s="391"/>
      <c r="N270" s="391"/>
      <c r="O270" s="765"/>
      <c r="P270" s="391"/>
      <c r="Q270" s="391"/>
      <c r="R270" s="391"/>
      <c r="S270" s="765"/>
      <c r="T270" s="391">
        <v>155977555</v>
      </c>
      <c r="U270" s="765">
        <v>155977555</v>
      </c>
      <c r="V270" s="391"/>
      <c r="W270" s="765">
        <v>175559563</v>
      </c>
      <c r="X270" s="378"/>
      <c r="Y270" s="180"/>
      <c r="Z270" s="180"/>
      <c r="AA270" s="180"/>
      <c r="AB270" s="180"/>
    </row>
    <row r="271" spans="1:28" s="203" customFormat="1" x14ac:dyDescent="0.2">
      <c r="A271" s="636"/>
      <c r="B271" s="389" t="s">
        <v>80</v>
      </c>
      <c r="C271" s="392">
        <v>19901821</v>
      </c>
      <c r="D271" s="392"/>
      <c r="E271" s="392"/>
      <c r="F271" s="392"/>
      <c r="G271" s="392"/>
      <c r="H271" s="392"/>
      <c r="I271" s="766">
        <v>19901821</v>
      </c>
      <c r="J271" s="392"/>
      <c r="K271" s="392"/>
      <c r="L271" s="392"/>
      <c r="M271" s="392"/>
      <c r="N271" s="392"/>
      <c r="O271" s="766"/>
      <c r="P271" s="392"/>
      <c r="Q271" s="392"/>
      <c r="R271" s="392"/>
      <c r="S271" s="766"/>
      <c r="T271" s="392">
        <v>139713545</v>
      </c>
      <c r="U271" s="766">
        <v>139713545</v>
      </c>
      <c r="V271" s="392"/>
      <c r="W271" s="766">
        <v>159615366</v>
      </c>
      <c r="X271" s="378"/>
      <c r="Y271" s="180"/>
      <c r="Z271" s="180"/>
      <c r="AA271" s="180"/>
      <c r="AB271" s="180"/>
    </row>
    <row r="272" spans="1:28" s="202" customFormat="1" x14ac:dyDescent="0.2">
      <c r="A272" s="636"/>
      <c r="B272" s="639" t="s">
        <v>215</v>
      </c>
      <c r="C272" s="466">
        <v>1.6331981888680669</v>
      </c>
      <c r="D272" s="466">
        <v>0</v>
      </c>
      <c r="E272" s="466">
        <v>0</v>
      </c>
      <c r="F272" s="466">
        <v>0</v>
      </c>
      <c r="G272" s="466">
        <v>0</v>
      </c>
      <c r="H272" s="466">
        <v>0</v>
      </c>
      <c r="I272" s="767">
        <v>1.6331981888680669</v>
      </c>
      <c r="J272" s="466">
        <v>0</v>
      </c>
      <c r="K272" s="466">
        <v>0</v>
      </c>
      <c r="L272" s="466">
        <v>0</v>
      </c>
      <c r="M272" s="466">
        <v>0</v>
      </c>
      <c r="N272" s="466">
        <v>0</v>
      </c>
      <c r="O272" s="767">
        <v>0</v>
      </c>
      <c r="P272" s="466">
        <v>0</v>
      </c>
      <c r="Q272" s="466">
        <v>0</v>
      </c>
      <c r="R272" s="466">
        <v>0</v>
      </c>
      <c r="S272" s="767">
        <v>0</v>
      </c>
      <c r="T272" s="466">
        <v>-10.427147675189548</v>
      </c>
      <c r="U272" s="767">
        <v>-10.427147675189548</v>
      </c>
      <c r="V272" s="466">
        <v>0</v>
      </c>
      <c r="W272" s="767">
        <v>-9.0819302164701785</v>
      </c>
      <c r="X272" s="378"/>
      <c r="Y272" s="180"/>
      <c r="Z272" s="180"/>
      <c r="AA272" s="180"/>
      <c r="AB272" s="180"/>
    </row>
    <row r="273" spans="1:28" x14ac:dyDescent="0.2">
      <c r="A273" s="636"/>
      <c r="B273" s="388" t="s">
        <v>81</v>
      </c>
      <c r="C273" s="391">
        <v>11274295</v>
      </c>
      <c r="D273" s="391"/>
      <c r="E273" s="391"/>
      <c r="F273" s="391"/>
      <c r="G273" s="391"/>
      <c r="H273" s="391"/>
      <c r="I273" s="765">
        <v>11274295</v>
      </c>
      <c r="J273" s="391"/>
      <c r="K273" s="391"/>
      <c r="L273" s="391"/>
      <c r="M273" s="391"/>
      <c r="N273" s="391"/>
      <c r="O273" s="765"/>
      <c r="P273" s="391"/>
      <c r="Q273" s="391"/>
      <c r="R273" s="391"/>
      <c r="S273" s="765"/>
      <c r="T273" s="391">
        <v>45944440</v>
      </c>
      <c r="U273" s="765">
        <v>45944440</v>
      </c>
      <c r="V273" s="391"/>
      <c r="W273" s="765">
        <v>57218735</v>
      </c>
      <c r="X273" s="378"/>
      <c r="Y273" s="180"/>
      <c r="Z273" s="180"/>
      <c r="AA273" s="180"/>
      <c r="AB273" s="180"/>
    </row>
    <row r="274" spans="1:28" s="203" customFormat="1" x14ac:dyDescent="0.2">
      <c r="A274" s="636"/>
      <c r="B274" s="389" t="s">
        <v>318</v>
      </c>
      <c r="C274" s="392">
        <v>12462470</v>
      </c>
      <c r="D274" s="392"/>
      <c r="E274" s="392"/>
      <c r="F274" s="392"/>
      <c r="G274" s="392"/>
      <c r="H274" s="392"/>
      <c r="I274" s="766">
        <v>12462470</v>
      </c>
      <c r="J274" s="392"/>
      <c r="K274" s="392"/>
      <c r="L274" s="392"/>
      <c r="M274" s="392"/>
      <c r="N274" s="392"/>
      <c r="O274" s="766"/>
      <c r="P274" s="392"/>
      <c r="Q274" s="392"/>
      <c r="R274" s="392"/>
      <c r="S274" s="766"/>
      <c r="T274" s="392">
        <v>52237092</v>
      </c>
      <c r="U274" s="766">
        <v>52237092</v>
      </c>
      <c r="V274" s="392"/>
      <c r="W274" s="766">
        <v>64699562</v>
      </c>
      <c r="X274" s="378"/>
      <c r="Y274" s="180"/>
      <c r="Z274" s="180"/>
      <c r="AA274" s="180"/>
      <c r="AB274" s="180"/>
    </row>
    <row r="275" spans="1:28" s="202" customFormat="1" x14ac:dyDescent="0.2">
      <c r="A275" s="636"/>
      <c r="B275" s="639" t="s">
        <v>236</v>
      </c>
      <c r="C275" s="763">
        <v>10.538796439156506</v>
      </c>
      <c r="D275" s="466">
        <v>0</v>
      </c>
      <c r="E275" s="466">
        <v>0</v>
      </c>
      <c r="F275" s="466">
        <v>0</v>
      </c>
      <c r="G275" s="466">
        <v>0</v>
      </c>
      <c r="H275" s="466">
        <v>0</v>
      </c>
      <c r="I275" s="767">
        <v>10.538796439156506</v>
      </c>
      <c r="J275" s="466">
        <v>0</v>
      </c>
      <c r="K275" s="466">
        <v>0</v>
      </c>
      <c r="L275" s="466">
        <v>0</v>
      </c>
      <c r="M275" s="466">
        <v>0</v>
      </c>
      <c r="N275" s="466">
        <v>0</v>
      </c>
      <c r="O275" s="767">
        <v>0</v>
      </c>
      <c r="P275" s="466">
        <v>0</v>
      </c>
      <c r="Q275" s="466">
        <v>0</v>
      </c>
      <c r="R275" s="466">
        <v>0</v>
      </c>
      <c r="S275" s="767">
        <v>0</v>
      </c>
      <c r="T275" s="466">
        <v>13.69622091378195</v>
      </c>
      <c r="U275" s="767">
        <v>13.69622091378195</v>
      </c>
      <c r="V275" s="466">
        <v>0</v>
      </c>
      <c r="W275" s="767">
        <v>13.074086660601637</v>
      </c>
      <c r="X275" s="378"/>
      <c r="Y275" s="180"/>
      <c r="Z275" s="180"/>
      <c r="AA275" s="180"/>
      <c r="AB275" s="180"/>
    </row>
    <row r="276" spans="1:28" x14ac:dyDescent="0.2">
      <c r="A276" s="636"/>
      <c r="B276" s="388" t="s">
        <v>19</v>
      </c>
      <c r="C276" s="391">
        <v>469925993</v>
      </c>
      <c r="D276" s="391">
        <v>322161805</v>
      </c>
      <c r="E276" s="391">
        <v>259261161</v>
      </c>
      <c r="F276" s="391">
        <v>275034811</v>
      </c>
      <c r="G276" s="391"/>
      <c r="H276" s="391">
        <v>15735874</v>
      </c>
      <c r="I276" s="765">
        <v>1342119644</v>
      </c>
      <c r="J276" s="391"/>
      <c r="K276" s="391">
        <v>137793052</v>
      </c>
      <c r="L276" s="391">
        <v>70530102</v>
      </c>
      <c r="M276" s="391">
        <v>15703760</v>
      </c>
      <c r="N276" s="391"/>
      <c r="O276" s="765">
        <v>224026914</v>
      </c>
      <c r="P276" s="391">
        <v>67547853</v>
      </c>
      <c r="Q276" s="391"/>
      <c r="R276" s="391"/>
      <c r="S276" s="765">
        <v>67547853</v>
      </c>
      <c r="T276" s="391">
        <v>0</v>
      </c>
      <c r="U276" s="765">
        <v>0</v>
      </c>
      <c r="V276" s="391">
        <v>25937285</v>
      </c>
      <c r="W276" s="765">
        <v>1659631696</v>
      </c>
      <c r="X276" s="378"/>
      <c r="Y276" s="180"/>
      <c r="Z276" s="180"/>
      <c r="AA276" s="180"/>
      <c r="AB276" s="180"/>
    </row>
    <row r="277" spans="1:28" s="203" customFormat="1" x14ac:dyDescent="0.2">
      <c r="A277" s="636"/>
      <c r="B277" s="389" t="s">
        <v>21</v>
      </c>
      <c r="C277" s="392">
        <v>480338899</v>
      </c>
      <c r="D277" s="392">
        <v>314075693</v>
      </c>
      <c r="E277" s="392">
        <v>252118546</v>
      </c>
      <c r="F277" s="392">
        <v>272824451</v>
      </c>
      <c r="G277" s="392"/>
      <c r="H277" s="392">
        <v>15358475</v>
      </c>
      <c r="I277" s="766">
        <v>1334716064</v>
      </c>
      <c r="J277" s="392"/>
      <c r="K277" s="392">
        <v>146979743</v>
      </c>
      <c r="L277" s="392">
        <v>71005141</v>
      </c>
      <c r="M277" s="392">
        <v>15348748</v>
      </c>
      <c r="N277" s="392"/>
      <c r="O277" s="766">
        <v>233333632</v>
      </c>
      <c r="P277" s="392">
        <v>57872564</v>
      </c>
      <c r="Q277" s="392"/>
      <c r="R277" s="392"/>
      <c r="S277" s="766">
        <v>57872564</v>
      </c>
      <c r="T277" s="392">
        <v>0</v>
      </c>
      <c r="U277" s="766">
        <v>0</v>
      </c>
      <c r="V277" s="392">
        <v>27059776</v>
      </c>
      <c r="W277" s="766">
        <v>1652982036</v>
      </c>
      <c r="X277" s="378"/>
      <c r="Y277" s="180"/>
      <c r="Z277" s="180"/>
      <c r="AA277" s="180"/>
      <c r="AB277" s="180"/>
    </row>
    <row r="278" spans="1:28" s="212" customFormat="1" ht="13.5" thickBot="1" x14ac:dyDescent="0.25">
      <c r="A278" s="640"/>
      <c r="B278" s="777" t="s">
        <v>23</v>
      </c>
      <c r="C278" s="778">
        <v>2.2158608281112895</v>
      </c>
      <c r="D278" s="778">
        <v>-2.5099536551205999</v>
      </c>
      <c r="E278" s="778">
        <v>-2.7549884342298379</v>
      </c>
      <c r="F278" s="778">
        <v>-0.80366554035954385</v>
      </c>
      <c r="G278" s="778">
        <v>0</v>
      </c>
      <c r="H278" s="778">
        <v>-2.3983351671473732</v>
      </c>
      <c r="I278" s="779">
        <v>-0.55163338329023071</v>
      </c>
      <c r="J278" s="778">
        <v>0</v>
      </c>
      <c r="K278" s="778">
        <v>6.6670204822809209</v>
      </c>
      <c r="L278" s="778">
        <v>0.67352660286809174</v>
      </c>
      <c r="M278" s="778">
        <v>-2.2606815183115381</v>
      </c>
      <c r="N278" s="778">
        <v>0</v>
      </c>
      <c r="O278" s="779">
        <v>4.154285676586162</v>
      </c>
      <c r="P278" s="778">
        <v>-14.323606999026307</v>
      </c>
      <c r="Q278" s="778">
        <v>0</v>
      </c>
      <c r="R278" s="778">
        <v>0</v>
      </c>
      <c r="S278" s="779">
        <v>-14.323606999026307</v>
      </c>
      <c r="T278" s="778">
        <v>0</v>
      </c>
      <c r="U278" s="779">
        <v>0</v>
      </c>
      <c r="V278" s="778">
        <v>4.3277120176610619</v>
      </c>
      <c r="W278" s="779">
        <v>-0.40067082449840125</v>
      </c>
      <c r="X278" s="378"/>
      <c r="Y278" s="180"/>
      <c r="Z278" s="180"/>
      <c r="AA278" s="180"/>
      <c r="AB278" s="180"/>
    </row>
    <row r="279" spans="1:28" ht="13.5" thickTop="1" x14ac:dyDescent="0.2">
      <c r="A279" s="230" t="s">
        <v>151</v>
      </c>
      <c r="B279" s="780" t="s">
        <v>190</v>
      </c>
      <c r="C279" s="781">
        <v>410197182</v>
      </c>
      <c r="D279" s="781">
        <v>169077428</v>
      </c>
      <c r="E279" s="781">
        <v>90645750</v>
      </c>
      <c r="F279" s="781">
        <v>170384546</v>
      </c>
      <c r="G279" s="781">
        <v>37868454</v>
      </c>
      <c r="H279" s="781">
        <v>18074321</v>
      </c>
      <c r="I279" s="782">
        <v>896247681</v>
      </c>
      <c r="J279" s="781"/>
      <c r="K279" s="781">
        <v>143132387</v>
      </c>
      <c r="L279" s="781">
        <v>84076151</v>
      </c>
      <c r="M279" s="781">
        <v>12568331</v>
      </c>
      <c r="N279" s="781"/>
      <c r="O279" s="782">
        <v>239776869</v>
      </c>
      <c r="P279" s="781"/>
      <c r="Q279" s="781"/>
      <c r="R279" s="781"/>
      <c r="S279" s="782"/>
      <c r="T279" s="781"/>
      <c r="U279" s="782"/>
      <c r="V279" s="781"/>
      <c r="W279" s="782">
        <v>1136024550</v>
      </c>
      <c r="X279" s="378"/>
      <c r="Y279" s="180"/>
      <c r="Z279" s="180"/>
      <c r="AA279" s="180"/>
      <c r="AB279" s="180"/>
    </row>
    <row r="280" spans="1:28" s="203" customFormat="1" x14ac:dyDescent="0.2">
      <c r="A280" s="636"/>
      <c r="B280" s="389" t="s">
        <v>4</v>
      </c>
      <c r="C280" s="392">
        <v>455159393</v>
      </c>
      <c r="D280" s="392">
        <v>187531793</v>
      </c>
      <c r="E280" s="392">
        <v>101246531</v>
      </c>
      <c r="F280" s="392">
        <v>190670792</v>
      </c>
      <c r="G280" s="392">
        <v>42179694</v>
      </c>
      <c r="H280" s="392">
        <v>19908997</v>
      </c>
      <c r="I280" s="766">
        <v>996697200</v>
      </c>
      <c r="J280" s="392"/>
      <c r="K280" s="392">
        <v>153930898</v>
      </c>
      <c r="L280" s="392">
        <v>87704058</v>
      </c>
      <c r="M280" s="392">
        <v>13571884</v>
      </c>
      <c r="N280" s="392"/>
      <c r="O280" s="766">
        <v>255206840</v>
      </c>
      <c r="P280" s="392"/>
      <c r="Q280" s="392"/>
      <c r="R280" s="392"/>
      <c r="S280" s="766"/>
      <c r="T280" s="392"/>
      <c r="U280" s="766"/>
      <c r="V280" s="392"/>
      <c r="W280" s="766">
        <v>1251904040</v>
      </c>
      <c r="X280" s="378"/>
      <c r="Y280" s="180"/>
      <c r="Z280" s="180"/>
      <c r="AA280" s="180"/>
      <c r="AB280" s="180"/>
    </row>
    <row r="281" spans="1:28" s="202" customFormat="1" x14ac:dyDescent="0.2">
      <c r="A281" s="637"/>
      <c r="B281" s="639" t="s">
        <v>116</v>
      </c>
      <c r="C281" s="763">
        <v>10.961121376011793</v>
      </c>
      <c r="D281" s="763">
        <v>10.914741972535802</v>
      </c>
      <c r="E281" s="763">
        <v>11.694735826003978</v>
      </c>
      <c r="F281" s="763">
        <v>11.906153742370508</v>
      </c>
      <c r="G281" s="763">
        <v>11.384779531797101</v>
      </c>
      <c r="H281" s="763">
        <v>10.15073263333101</v>
      </c>
      <c r="I281" s="767">
        <v>11.20778565227886</v>
      </c>
      <c r="J281" s="466">
        <v>0</v>
      </c>
      <c r="K281" s="466">
        <v>7.5444217946284935</v>
      </c>
      <c r="L281" s="466">
        <v>4.3150250776822556</v>
      </c>
      <c r="M281" s="466">
        <v>7.9847753850531156</v>
      </c>
      <c r="N281" s="466">
        <v>0</v>
      </c>
      <c r="O281" s="767">
        <v>6.4351374110235797</v>
      </c>
      <c r="P281" s="466">
        <v>0</v>
      </c>
      <c r="Q281" s="466">
        <v>0</v>
      </c>
      <c r="R281" s="466">
        <v>0</v>
      </c>
      <c r="S281" s="767">
        <v>0</v>
      </c>
      <c r="T281" s="466">
        <v>0</v>
      </c>
      <c r="U281" s="767">
        <v>0</v>
      </c>
      <c r="V281" s="466">
        <v>0</v>
      </c>
      <c r="W281" s="767">
        <v>10.200438890163069</v>
      </c>
      <c r="X281" s="378"/>
      <c r="Y281" s="180"/>
      <c r="Z281" s="180"/>
      <c r="AA281" s="180"/>
      <c r="AB281" s="180"/>
    </row>
    <row r="282" spans="1:28" x14ac:dyDescent="0.2">
      <c r="A282" s="636"/>
      <c r="B282" s="388" t="s">
        <v>195</v>
      </c>
      <c r="C282" s="391">
        <v>57001959</v>
      </c>
      <c r="D282" s="391"/>
      <c r="E282" s="391"/>
      <c r="F282" s="391"/>
      <c r="G282" s="391"/>
      <c r="H282" s="391"/>
      <c r="I282" s="765">
        <v>57001959</v>
      </c>
      <c r="J282" s="391"/>
      <c r="K282" s="391"/>
      <c r="L282" s="391">
        <v>2321410</v>
      </c>
      <c r="M282" s="391">
        <v>1547600</v>
      </c>
      <c r="N282" s="391"/>
      <c r="O282" s="765">
        <v>3869010</v>
      </c>
      <c r="P282" s="391"/>
      <c r="Q282" s="391"/>
      <c r="R282" s="391"/>
      <c r="S282" s="765"/>
      <c r="T282" s="391"/>
      <c r="U282" s="765"/>
      <c r="V282" s="391">
        <v>6000000</v>
      </c>
      <c r="W282" s="765">
        <v>66870969</v>
      </c>
      <c r="X282" s="378"/>
      <c r="Y282" s="180"/>
      <c r="Z282" s="180"/>
      <c r="AA282" s="180"/>
      <c r="AB282" s="180"/>
    </row>
    <row r="283" spans="1:28" s="203" customFormat="1" x14ac:dyDescent="0.2">
      <c r="A283" s="636"/>
      <c r="B283" s="389" t="s">
        <v>242</v>
      </c>
      <c r="C283" s="392">
        <v>60861380</v>
      </c>
      <c r="D283" s="392"/>
      <c r="E283" s="392"/>
      <c r="F283" s="392"/>
      <c r="G283" s="392"/>
      <c r="H283" s="392"/>
      <c r="I283" s="766">
        <v>60861380</v>
      </c>
      <c r="J283" s="392"/>
      <c r="K283" s="392"/>
      <c r="L283" s="392"/>
      <c r="M283" s="392"/>
      <c r="N283" s="392"/>
      <c r="O283" s="766"/>
      <c r="P283" s="392"/>
      <c r="Q283" s="392"/>
      <c r="R283" s="392"/>
      <c r="S283" s="766"/>
      <c r="T283" s="392"/>
      <c r="U283" s="766"/>
      <c r="V283" s="392">
        <v>6000000</v>
      </c>
      <c r="W283" s="766">
        <v>66861380</v>
      </c>
      <c r="X283" s="378"/>
      <c r="Y283" s="180"/>
      <c r="Z283" s="180"/>
      <c r="AA283" s="180"/>
      <c r="AB283" s="180"/>
    </row>
    <row r="284" spans="1:28" s="202" customFormat="1" x14ac:dyDescent="0.2">
      <c r="A284" s="636"/>
      <c r="B284" s="639" t="s">
        <v>244</v>
      </c>
      <c r="C284" s="466">
        <v>6.7706813374607</v>
      </c>
      <c r="D284" s="466">
        <v>0</v>
      </c>
      <c r="E284" s="466">
        <v>0</v>
      </c>
      <c r="F284" s="466">
        <v>0</v>
      </c>
      <c r="G284" s="466">
        <v>0</v>
      </c>
      <c r="H284" s="466">
        <v>0</v>
      </c>
      <c r="I284" s="767">
        <v>6.7706813374607</v>
      </c>
      <c r="J284" s="466">
        <v>0</v>
      </c>
      <c r="K284" s="466">
        <v>0</v>
      </c>
      <c r="L284" s="763">
        <v>-100</v>
      </c>
      <c r="M284" s="763">
        <v>-100</v>
      </c>
      <c r="N284" s="466">
        <v>0</v>
      </c>
      <c r="O284" s="767">
        <v>-100</v>
      </c>
      <c r="P284" s="466">
        <v>0</v>
      </c>
      <c r="Q284" s="466">
        <v>0</v>
      </c>
      <c r="R284" s="466">
        <v>0</v>
      </c>
      <c r="S284" s="767">
        <v>0</v>
      </c>
      <c r="T284" s="466">
        <v>0</v>
      </c>
      <c r="U284" s="767">
        <v>0</v>
      </c>
      <c r="V284" s="466">
        <v>0</v>
      </c>
      <c r="W284" s="767">
        <v>-1.4339555928971211E-2</v>
      </c>
      <c r="X284" s="378"/>
      <c r="Y284" s="180"/>
      <c r="Z284" s="180"/>
      <c r="AA284" s="180"/>
      <c r="AB284" s="180"/>
    </row>
    <row r="285" spans="1:28" x14ac:dyDescent="0.2">
      <c r="A285" s="636"/>
      <c r="B285" s="388" t="s">
        <v>5</v>
      </c>
      <c r="C285" s="391"/>
      <c r="D285" s="391"/>
      <c r="E285" s="391"/>
      <c r="F285" s="391"/>
      <c r="G285" s="391"/>
      <c r="H285" s="391"/>
      <c r="I285" s="765"/>
      <c r="J285" s="391"/>
      <c r="K285" s="391">
        <v>240076504</v>
      </c>
      <c r="L285" s="391">
        <v>58514244</v>
      </c>
      <c r="M285" s="391">
        <v>18674899</v>
      </c>
      <c r="N285" s="391"/>
      <c r="O285" s="765">
        <v>317265647</v>
      </c>
      <c r="P285" s="391"/>
      <c r="Q285" s="391"/>
      <c r="R285" s="391"/>
      <c r="S285" s="765"/>
      <c r="T285" s="391"/>
      <c r="U285" s="765"/>
      <c r="V285" s="391"/>
      <c r="W285" s="765">
        <v>317265647</v>
      </c>
      <c r="X285" s="378"/>
      <c r="Y285" s="180"/>
      <c r="Z285" s="180"/>
      <c r="AA285" s="180"/>
      <c r="AB285" s="180"/>
    </row>
    <row r="286" spans="1:28" s="203" customFormat="1" x14ac:dyDescent="0.2">
      <c r="A286" s="636"/>
      <c r="B286" s="389" t="s">
        <v>6</v>
      </c>
      <c r="C286" s="392"/>
      <c r="D286" s="392"/>
      <c r="E286" s="392"/>
      <c r="F286" s="392"/>
      <c r="G286" s="392"/>
      <c r="H286" s="392"/>
      <c r="I286" s="766"/>
      <c r="J286" s="392"/>
      <c r="K286" s="392">
        <v>250284267</v>
      </c>
      <c r="L286" s="392">
        <v>60082835</v>
      </c>
      <c r="M286" s="392">
        <v>18605600</v>
      </c>
      <c r="N286" s="392"/>
      <c r="O286" s="766">
        <v>328972702</v>
      </c>
      <c r="P286" s="392"/>
      <c r="Q286" s="392"/>
      <c r="R286" s="392"/>
      <c r="S286" s="766"/>
      <c r="T286" s="392"/>
      <c r="U286" s="766"/>
      <c r="V286" s="392"/>
      <c r="W286" s="766">
        <v>328972702</v>
      </c>
      <c r="X286" s="378"/>
      <c r="Y286" s="180"/>
      <c r="Z286" s="180"/>
      <c r="AA286" s="180"/>
      <c r="AB286" s="180"/>
    </row>
    <row r="287" spans="1:28" s="202" customFormat="1" x14ac:dyDescent="0.2">
      <c r="A287" s="636"/>
      <c r="B287" s="639" t="s">
        <v>298</v>
      </c>
      <c r="C287" s="466">
        <v>0</v>
      </c>
      <c r="D287" s="466">
        <v>0</v>
      </c>
      <c r="E287" s="466">
        <v>0</v>
      </c>
      <c r="F287" s="466">
        <v>0</v>
      </c>
      <c r="G287" s="466">
        <v>0</v>
      </c>
      <c r="H287" s="466">
        <v>0</v>
      </c>
      <c r="I287" s="767">
        <v>0</v>
      </c>
      <c r="J287" s="466">
        <v>0</v>
      </c>
      <c r="K287" s="466">
        <v>4.2518792259654035</v>
      </c>
      <c r="L287" s="466">
        <v>2.6806994208111106</v>
      </c>
      <c r="M287" s="466">
        <v>-0.37108098951432078</v>
      </c>
      <c r="N287" s="466">
        <v>0</v>
      </c>
      <c r="O287" s="767">
        <v>3.6899850679389821</v>
      </c>
      <c r="P287" s="466">
        <v>0</v>
      </c>
      <c r="Q287" s="466">
        <v>0</v>
      </c>
      <c r="R287" s="466">
        <v>0</v>
      </c>
      <c r="S287" s="767">
        <v>0</v>
      </c>
      <c r="T287" s="466">
        <v>0</v>
      </c>
      <c r="U287" s="767">
        <v>0</v>
      </c>
      <c r="V287" s="466">
        <v>0</v>
      </c>
      <c r="W287" s="767">
        <v>3.6899850679389821</v>
      </c>
      <c r="X287" s="378"/>
      <c r="Y287" s="180"/>
      <c r="Z287" s="180"/>
      <c r="AA287" s="180"/>
      <c r="AB287" s="180"/>
    </row>
    <row r="288" spans="1:28" x14ac:dyDescent="0.2">
      <c r="A288" s="636"/>
      <c r="B288" s="388" t="s">
        <v>223</v>
      </c>
      <c r="C288" s="391">
        <v>473762537</v>
      </c>
      <c r="D288" s="391">
        <v>161286963</v>
      </c>
      <c r="E288" s="391">
        <v>171212937</v>
      </c>
      <c r="F288" s="391">
        <v>229051248</v>
      </c>
      <c r="G288" s="391">
        <v>16227546</v>
      </c>
      <c r="H288" s="391">
        <v>30502480</v>
      </c>
      <c r="I288" s="765">
        <v>1082043711</v>
      </c>
      <c r="J288" s="391"/>
      <c r="K288" s="391">
        <v>342681052</v>
      </c>
      <c r="L288" s="391">
        <v>111168479</v>
      </c>
      <c r="M288" s="391">
        <v>20157571</v>
      </c>
      <c r="N288" s="391"/>
      <c r="O288" s="765">
        <v>474007102</v>
      </c>
      <c r="P288" s="391"/>
      <c r="Q288" s="391"/>
      <c r="R288" s="391"/>
      <c r="S288" s="765"/>
      <c r="T288" s="391"/>
      <c r="U288" s="765"/>
      <c r="V288" s="391"/>
      <c r="W288" s="765">
        <v>1556050813</v>
      </c>
      <c r="X288" s="378"/>
      <c r="Y288" s="180"/>
      <c r="Z288" s="180"/>
      <c r="AA288" s="180"/>
      <c r="AB288" s="180"/>
    </row>
    <row r="289" spans="1:28" s="203" customFormat="1" x14ac:dyDescent="0.2">
      <c r="A289" s="636"/>
      <c r="B289" s="389" t="s">
        <v>14</v>
      </c>
      <c r="C289" s="392">
        <v>488480692</v>
      </c>
      <c r="D289" s="392">
        <v>163817870</v>
      </c>
      <c r="E289" s="392">
        <v>174715652</v>
      </c>
      <c r="F289" s="392">
        <v>233636676</v>
      </c>
      <c r="G289" s="392">
        <v>16109389</v>
      </c>
      <c r="H289" s="392">
        <v>27567945</v>
      </c>
      <c r="I289" s="766">
        <v>1104328224</v>
      </c>
      <c r="J289" s="392"/>
      <c r="K289" s="392">
        <v>343580440</v>
      </c>
      <c r="L289" s="392">
        <v>107044378</v>
      </c>
      <c r="M289" s="392">
        <v>20480493</v>
      </c>
      <c r="N289" s="392"/>
      <c r="O289" s="766">
        <v>471105311</v>
      </c>
      <c r="P289" s="392"/>
      <c r="Q289" s="392"/>
      <c r="R289" s="392"/>
      <c r="S289" s="766"/>
      <c r="T289" s="392"/>
      <c r="U289" s="766"/>
      <c r="V289" s="392"/>
      <c r="W289" s="766">
        <v>1575433535</v>
      </c>
      <c r="X289" s="378"/>
      <c r="Y289" s="180"/>
      <c r="Z289" s="180"/>
      <c r="AA289" s="180"/>
      <c r="AB289" s="180"/>
    </row>
    <row r="290" spans="1:28" s="202" customFormat="1" x14ac:dyDescent="0.2">
      <c r="A290" s="636"/>
      <c r="B290" s="639" t="s">
        <v>247</v>
      </c>
      <c r="C290" s="466">
        <v>3.1066523522943732</v>
      </c>
      <c r="D290" s="466">
        <v>1.569195025390862</v>
      </c>
      <c r="E290" s="466">
        <v>2.0458237919252564</v>
      </c>
      <c r="F290" s="466">
        <v>2.0019222946997437</v>
      </c>
      <c r="G290" s="466">
        <v>-0.72812611346164102</v>
      </c>
      <c r="H290" s="763">
        <v>-9.6206439607533554</v>
      </c>
      <c r="I290" s="767">
        <v>2.059483620990243</v>
      </c>
      <c r="J290" s="466">
        <v>0</v>
      </c>
      <c r="K290" s="466">
        <v>0.26245629711677199</v>
      </c>
      <c r="L290" s="466">
        <v>-3.7097755021007353</v>
      </c>
      <c r="M290" s="466">
        <v>1.601988652303395</v>
      </c>
      <c r="N290" s="466">
        <v>0</v>
      </c>
      <c r="O290" s="767">
        <v>-0.61218302167970473</v>
      </c>
      <c r="P290" s="466">
        <v>0</v>
      </c>
      <c r="Q290" s="466">
        <v>0</v>
      </c>
      <c r="R290" s="466">
        <v>0</v>
      </c>
      <c r="S290" s="767">
        <v>0</v>
      </c>
      <c r="T290" s="466">
        <v>0</v>
      </c>
      <c r="U290" s="767">
        <v>0</v>
      </c>
      <c r="V290" s="466">
        <v>0</v>
      </c>
      <c r="W290" s="767">
        <v>1.2456355433940447</v>
      </c>
      <c r="X290" s="378"/>
      <c r="Y290" s="180"/>
      <c r="Z290" s="180"/>
      <c r="AA290" s="180"/>
      <c r="AB290" s="180"/>
    </row>
    <row r="291" spans="1:28" x14ac:dyDescent="0.2">
      <c r="A291" s="636"/>
      <c r="B291" s="388" t="s">
        <v>225</v>
      </c>
      <c r="C291" s="391"/>
      <c r="D291" s="391"/>
      <c r="E291" s="391"/>
      <c r="F291" s="391"/>
      <c r="G291" s="391"/>
      <c r="H291" s="391"/>
      <c r="I291" s="765"/>
      <c r="J291" s="391"/>
      <c r="K291" s="391"/>
      <c r="L291" s="391"/>
      <c r="M291" s="391"/>
      <c r="N291" s="391"/>
      <c r="O291" s="765"/>
      <c r="P291" s="391"/>
      <c r="Q291" s="391"/>
      <c r="R291" s="391"/>
      <c r="S291" s="765"/>
      <c r="T291" s="391"/>
      <c r="U291" s="765"/>
      <c r="V291" s="391"/>
      <c r="W291" s="765"/>
      <c r="X291" s="378"/>
      <c r="Y291" s="180"/>
      <c r="Z291" s="180"/>
      <c r="AA291" s="180"/>
      <c r="AB291" s="180"/>
    </row>
    <row r="292" spans="1:28" s="203" customFormat="1" x14ac:dyDescent="0.2">
      <c r="A292" s="636"/>
      <c r="B292" s="389" t="s">
        <v>166</v>
      </c>
      <c r="C292" s="392"/>
      <c r="D292" s="392"/>
      <c r="E292" s="392"/>
      <c r="F292" s="392"/>
      <c r="G292" s="392"/>
      <c r="H292" s="392"/>
      <c r="I292" s="766"/>
      <c r="J292" s="392"/>
      <c r="K292" s="392"/>
      <c r="L292" s="392"/>
      <c r="M292" s="392"/>
      <c r="N292" s="392"/>
      <c r="O292" s="766"/>
      <c r="P292" s="392"/>
      <c r="Q292" s="392"/>
      <c r="R292" s="392"/>
      <c r="S292" s="766"/>
      <c r="T292" s="392"/>
      <c r="U292" s="766"/>
      <c r="V292" s="392"/>
      <c r="W292" s="766"/>
      <c r="X292" s="378"/>
      <c r="Y292" s="180"/>
      <c r="Z292" s="180"/>
      <c r="AA292" s="180"/>
      <c r="AB292" s="180"/>
    </row>
    <row r="293" spans="1:28" s="202" customFormat="1" x14ac:dyDescent="0.2">
      <c r="A293" s="636"/>
      <c r="B293" s="639" t="s">
        <v>175</v>
      </c>
      <c r="C293" s="466">
        <v>0</v>
      </c>
      <c r="D293" s="466">
        <v>0</v>
      </c>
      <c r="E293" s="466">
        <v>0</v>
      </c>
      <c r="F293" s="466">
        <v>0</v>
      </c>
      <c r="G293" s="466">
        <v>0</v>
      </c>
      <c r="H293" s="466">
        <v>0</v>
      </c>
      <c r="I293" s="767">
        <v>0</v>
      </c>
      <c r="J293" s="466">
        <v>0</v>
      </c>
      <c r="K293" s="466">
        <v>0</v>
      </c>
      <c r="L293" s="466">
        <v>0</v>
      </c>
      <c r="M293" s="466">
        <v>0</v>
      </c>
      <c r="N293" s="466">
        <v>0</v>
      </c>
      <c r="O293" s="767">
        <v>0</v>
      </c>
      <c r="P293" s="466">
        <v>0</v>
      </c>
      <c r="Q293" s="466">
        <v>0</v>
      </c>
      <c r="R293" s="466">
        <v>0</v>
      </c>
      <c r="S293" s="767">
        <v>0</v>
      </c>
      <c r="T293" s="466">
        <v>0</v>
      </c>
      <c r="U293" s="767">
        <v>0</v>
      </c>
      <c r="V293" s="466">
        <v>0</v>
      </c>
      <c r="W293" s="767">
        <v>0</v>
      </c>
      <c r="X293" s="378"/>
      <c r="Y293" s="180"/>
      <c r="Z293" s="180"/>
      <c r="AA293" s="180"/>
      <c r="AB293" s="180"/>
    </row>
    <row r="294" spans="1:28" x14ac:dyDescent="0.2">
      <c r="A294" s="636"/>
      <c r="B294" s="768" t="s">
        <v>317</v>
      </c>
      <c r="C294" s="765">
        <v>473762537</v>
      </c>
      <c r="D294" s="765">
        <v>161286963</v>
      </c>
      <c r="E294" s="765">
        <v>171212937</v>
      </c>
      <c r="F294" s="765">
        <v>229051248</v>
      </c>
      <c r="G294" s="765">
        <v>16227546</v>
      </c>
      <c r="H294" s="765">
        <v>30502480</v>
      </c>
      <c r="I294" s="765">
        <v>1082043711</v>
      </c>
      <c r="J294" s="765"/>
      <c r="K294" s="765">
        <v>342681052</v>
      </c>
      <c r="L294" s="765">
        <v>111168479</v>
      </c>
      <c r="M294" s="765">
        <v>20157571</v>
      </c>
      <c r="N294" s="765"/>
      <c r="O294" s="765">
        <v>474007102</v>
      </c>
      <c r="P294" s="765"/>
      <c r="Q294" s="765"/>
      <c r="R294" s="765"/>
      <c r="S294" s="765"/>
      <c r="T294" s="765">
        <v>0</v>
      </c>
      <c r="U294" s="765">
        <v>0</v>
      </c>
      <c r="V294" s="765">
        <v>0</v>
      </c>
      <c r="W294" s="765">
        <v>1556050813</v>
      </c>
      <c r="X294" s="378"/>
      <c r="Y294" s="180"/>
      <c r="Z294" s="180"/>
      <c r="AA294" s="180"/>
      <c r="AB294" s="180"/>
    </row>
    <row r="295" spans="1:28" s="203" customFormat="1" x14ac:dyDescent="0.2">
      <c r="A295" s="636"/>
      <c r="B295" s="769" t="s">
        <v>70</v>
      </c>
      <c r="C295" s="766">
        <v>488480692</v>
      </c>
      <c r="D295" s="766">
        <v>163817870</v>
      </c>
      <c r="E295" s="766">
        <v>174715652</v>
      </c>
      <c r="F295" s="766">
        <v>233636676</v>
      </c>
      <c r="G295" s="766">
        <v>16109389</v>
      </c>
      <c r="H295" s="766">
        <v>27567945</v>
      </c>
      <c r="I295" s="766">
        <v>1104328224</v>
      </c>
      <c r="J295" s="766"/>
      <c r="K295" s="766">
        <v>343580440</v>
      </c>
      <c r="L295" s="766">
        <v>107044378</v>
      </c>
      <c r="M295" s="766">
        <v>20480493</v>
      </c>
      <c r="N295" s="766"/>
      <c r="O295" s="766">
        <v>471105311</v>
      </c>
      <c r="P295" s="766"/>
      <c r="Q295" s="766"/>
      <c r="R295" s="766"/>
      <c r="S295" s="766"/>
      <c r="T295" s="766">
        <v>0</v>
      </c>
      <c r="U295" s="766">
        <v>0</v>
      </c>
      <c r="V295" s="766">
        <v>0</v>
      </c>
      <c r="W295" s="766">
        <v>1575433535</v>
      </c>
      <c r="X295" s="378"/>
      <c r="Y295" s="180"/>
      <c r="Z295" s="180"/>
      <c r="AA295" s="180"/>
      <c r="AB295" s="180"/>
    </row>
    <row r="296" spans="1:28" s="202" customFormat="1" x14ac:dyDescent="0.2">
      <c r="A296" s="636"/>
      <c r="B296" s="770" t="s">
        <v>57</v>
      </c>
      <c r="C296" s="767">
        <v>3.1066523522943732</v>
      </c>
      <c r="D296" s="767">
        <v>1.569195025390862</v>
      </c>
      <c r="E296" s="767">
        <v>2.0458237919252564</v>
      </c>
      <c r="F296" s="767">
        <v>2.0019222946997437</v>
      </c>
      <c r="G296" s="767">
        <v>-0.72812611346164102</v>
      </c>
      <c r="H296" s="767">
        <v>-9.6206439607533554</v>
      </c>
      <c r="I296" s="767">
        <v>2.059483620990243</v>
      </c>
      <c r="J296" s="767">
        <v>0</v>
      </c>
      <c r="K296" s="767">
        <v>0.26245629711677199</v>
      </c>
      <c r="L296" s="767">
        <v>-3.7097755021007353</v>
      </c>
      <c r="M296" s="767">
        <v>1.601988652303395</v>
      </c>
      <c r="N296" s="767">
        <v>0</v>
      </c>
      <c r="O296" s="767">
        <v>-0.61218302167970473</v>
      </c>
      <c r="P296" s="767">
        <v>0</v>
      </c>
      <c r="Q296" s="767">
        <v>0</v>
      </c>
      <c r="R296" s="767">
        <v>0</v>
      </c>
      <c r="S296" s="767">
        <v>0</v>
      </c>
      <c r="T296" s="767">
        <v>0</v>
      </c>
      <c r="U296" s="767">
        <v>0</v>
      </c>
      <c r="V296" s="767">
        <v>0</v>
      </c>
      <c r="W296" s="767">
        <v>1.2456355433940447</v>
      </c>
      <c r="X296" s="378"/>
      <c r="Y296" s="180"/>
      <c r="Z296" s="180"/>
      <c r="AA296" s="180"/>
      <c r="AB296" s="180"/>
    </row>
    <row r="297" spans="1:28" x14ac:dyDescent="0.2">
      <c r="A297" s="636"/>
      <c r="B297" s="388" t="s">
        <v>72</v>
      </c>
      <c r="C297" s="391"/>
      <c r="D297" s="391"/>
      <c r="E297" s="391"/>
      <c r="F297" s="391"/>
      <c r="G297" s="391"/>
      <c r="H297" s="391"/>
      <c r="I297" s="765"/>
      <c r="J297" s="391"/>
      <c r="K297" s="391"/>
      <c r="L297" s="391"/>
      <c r="M297" s="391"/>
      <c r="N297" s="391"/>
      <c r="O297" s="765"/>
      <c r="P297" s="391"/>
      <c r="Q297" s="391"/>
      <c r="R297" s="391"/>
      <c r="S297" s="765"/>
      <c r="T297" s="391">
        <v>33898386</v>
      </c>
      <c r="U297" s="765">
        <v>33898386</v>
      </c>
      <c r="V297" s="391">
        <v>156371073</v>
      </c>
      <c r="W297" s="765">
        <v>190269459</v>
      </c>
      <c r="X297" s="378"/>
      <c r="Y297" s="180"/>
      <c r="Z297" s="180"/>
      <c r="AA297" s="180"/>
      <c r="AB297" s="180"/>
    </row>
    <row r="298" spans="1:28" s="203" customFormat="1" x14ac:dyDescent="0.2">
      <c r="A298" s="636"/>
      <c r="B298" s="389" t="s">
        <v>74</v>
      </c>
      <c r="C298" s="392"/>
      <c r="D298" s="392"/>
      <c r="E298" s="392"/>
      <c r="F298" s="392"/>
      <c r="G298" s="392"/>
      <c r="H298" s="392"/>
      <c r="I298" s="766"/>
      <c r="J298" s="392"/>
      <c r="K298" s="392"/>
      <c r="L298" s="392"/>
      <c r="M298" s="392"/>
      <c r="N298" s="392"/>
      <c r="O298" s="766"/>
      <c r="P298" s="392"/>
      <c r="Q298" s="392"/>
      <c r="R298" s="392"/>
      <c r="S298" s="766"/>
      <c r="T298" s="392">
        <v>36601760</v>
      </c>
      <c r="U298" s="766">
        <v>36601760</v>
      </c>
      <c r="V298" s="392">
        <v>161898587</v>
      </c>
      <c r="W298" s="766">
        <v>198500347</v>
      </c>
      <c r="X298" s="378"/>
      <c r="Y298" s="180"/>
      <c r="Z298" s="180"/>
      <c r="AA298" s="180"/>
      <c r="AB298" s="180"/>
    </row>
    <row r="299" spans="1:28" s="202" customFormat="1" x14ac:dyDescent="0.2">
      <c r="A299" s="636"/>
      <c r="B299" s="639" t="s">
        <v>76</v>
      </c>
      <c r="C299" s="466">
        <v>0</v>
      </c>
      <c r="D299" s="466">
        <v>0</v>
      </c>
      <c r="E299" s="466">
        <v>0</v>
      </c>
      <c r="F299" s="466">
        <v>0</v>
      </c>
      <c r="G299" s="466">
        <v>0</v>
      </c>
      <c r="H299" s="466">
        <v>0</v>
      </c>
      <c r="I299" s="767">
        <v>0</v>
      </c>
      <c r="J299" s="466">
        <v>0</v>
      </c>
      <c r="K299" s="466">
        <v>0</v>
      </c>
      <c r="L299" s="466">
        <v>0</v>
      </c>
      <c r="M299" s="466">
        <v>0</v>
      </c>
      <c r="N299" s="466">
        <v>0</v>
      </c>
      <c r="O299" s="767">
        <v>0</v>
      </c>
      <c r="P299" s="466">
        <v>0</v>
      </c>
      <c r="Q299" s="466">
        <v>0</v>
      </c>
      <c r="R299" s="466">
        <v>0</v>
      </c>
      <c r="S299" s="767">
        <v>0</v>
      </c>
      <c r="T299" s="466">
        <v>7.9749342638319121</v>
      </c>
      <c r="U299" s="767">
        <v>7.9749342638319121</v>
      </c>
      <c r="V299" s="466">
        <v>3.5348699052541517</v>
      </c>
      <c r="W299" s="767">
        <v>4.3259112856362307</v>
      </c>
      <c r="X299" s="378"/>
      <c r="Y299" s="180"/>
      <c r="Z299" s="180"/>
      <c r="AA299" s="180"/>
      <c r="AB299" s="180"/>
    </row>
    <row r="300" spans="1:28" x14ac:dyDescent="0.2">
      <c r="A300" s="636"/>
      <c r="B300" s="388" t="s">
        <v>240</v>
      </c>
      <c r="C300" s="391"/>
      <c r="D300" s="391"/>
      <c r="E300" s="391"/>
      <c r="F300" s="391"/>
      <c r="G300" s="391"/>
      <c r="H300" s="391"/>
      <c r="I300" s="765"/>
      <c r="J300" s="391"/>
      <c r="K300" s="391"/>
      <c r="L300" s="391"/>
      <c r="M300" s="391"/>
      <c r="N300" s="391"/>
      <c r="O300" s="765"/>
      <c r="P300" s="391"/>
      <c r="Q300" s="391"/>
      <c r="R300" s="391"/>
      <c r="S300" s="765"/>
      <c r="T300" s="391">
        <v>350389432</v>
      </c>
      <c r="U300" s="765">
        <v>350389432</v>
      </c>
      <c r="V300" s="391"/>
      <c r="W300" s="765">
        <v>350389432</v>
      </c>
      <c r="X300" s="378"/>
      <c r="Y300" s="180"/>
      <c r="Z300" s="180"/>
      <c r="AA300" s="180"/>
      <c r="AB300" s="180"/>
    </row>
    <row r="301" spans="1:28" s="203" customFormat="1" x14ac:dyDescent="0.2">
      <c r="A301" s="636"/>
      <c r="B301" s="389" t="s">
        <v>163</v>
      </c>
      <c r="C301" s="392"/>
      <c r="D301" s="392"/>
      <c r="E301" s="392"/>
      <c r="F301" s="392"/>
      <c r="G301" s="392"/>
      <c r="H301" s="392"/>
      <c r="I301" s="766"/>
      <c r="J301" s="392"/>
      <c r="K301" s="392"/>
      <c r="L301" s="392"/>
      <c r="M301" s="392"/>
      <c r="N301" s="392"/>
      <c r="O301" s="766"/>
      <c r="P301" s="392"/>
      <c r="Q301" s="392"/>
      <c r="R301" s="392"/>
      <c r="S301" s="766"/>
      <c r="T301" s="392">
        <v>350158351</v>
      </c>
      <c r="U301" s="766">
        <v>350158351</v>
      </c>
      <c r="V301" s="392"/>
      <c r="W301" s="766">
        <v>350158351</v>
      </c>
      <c r="X301" s="378"/>
      <c r="Y301" s="180"/>
      <c r="Z301" s="180"/>
      <c r="AA301" s="180"/>
      <c r="AB301" s="180"/>
    </row>
    <row r="302" spans="1:28" s="202" customFormat="1" x14ac:dyDescent="0.2">
      <c r="A302" s="636"/>
      <c r="B302" s="639" t="s">
        <v>59</v>
      </c>
      <c r="C302" s="466">
        <v>0</v>
      </c>
      <c r="D302" s="466">
        <v>0</v>
      </c>
      <c r="E302" s="466">
        <v>0</v>
      </c>
      <c r="F302" s="466">
        <v>0</v>
      </c>
      <c r="G302" s="466">
        <v>0</v>
      </c>
      <c r="H302" s="466">
        <v>0</v>
      </c>
      <c r="I302" s="767">
        <v>0</v>
      </c>
      <c r="J302" s="466">
        <v>0</v>
      </c>
      <c r="K302" s="466">
        <v>0</v>
      </c>
      <c r="L302" s="466">
        <v>0</v>
      </c>
      <c r="M302" s="466">
        <v>0</v>
      </c>
      <c r="N302" s="466">
        <v>0</v>
      </c>
      <c r="O302" s="767">
        <v>0</v>
      </c>
      <c r="P302" s="466">
        <v>0</v>
      </c>
      <c r="Q302" s="466">
        <v>0</v>
      </c>
      <c r="R302" s="466">
        <v>0</v>
      </c>
      <c r="S302" s="767">
        <v>0</v>
      </c>
      <c r="T302" s="466">
        <v>-6.5949763005409362E-2</v>
      </c>
      <c r="U302" s="767">
        <v>-6.5949763005409362E-2</v>
      </c>
      <c r="V302" s="466">
        <v>0</v>
      </c>
      <c r="W302" s="767">
        <v>-6.5949763005409362E-2</v>
      </c>
      <c r="X302" s="378"/>
      <c r="Y302" s="180"/>
      <c r="Z302" s="180"/>
      <c r="AA302" s="180"/>
      <c r="AB302" s="180"/>
    </row>
    <row r="303" spans="1:28" x14ac:dyDescent="0.2">
      <c r="A303" s="636"/>
      <c r="B303" s="388" t="s">
        <v>159</v>
      </c>
      <c r="C303" s="391"/>
      <c r="D303" s="391"/>
      <c r="E303" s="391"/>
      <c r="F303" s="391"/>
      <c r="G303" s="391"/>
      <c r="H303" s="391"/>
      <c r="I303" s="765"/>
      <c r="J303" s="391"/>
      <c r="K303" s="391"/>
      <c r="L303" s="391"/>
      <c r="M303" s="391"/>
      <c r="N303" s="391"/>
      <c r="O303" s="765"/>
      <c r="P303" s="391"/>
      <c r="Q303" s="391"/>
      <c r="R303" s="391"/>
      <c r="S303" s="765"/>
      <c r="T303" s="391"/>
      <c r="U303" s="765"/>
      <c r="V303" s="391"/>
      <c r="W303" s="765"/>
      <c r="X303" s="378"/>
      <c r="Y303" s="180"/>
      <c r="Z303" s="180"/>
      <c r="AA303" s="180"/>
      <c r="AB303" s="180"/>
    </row>
    <row r="304" spans="1:28" s="203" customFormat="1" x14ac:dyDescent="0.2">
      <c r="A304" s="636"/>
      <c r="B304" s="389" t="s">
        <v>100</v>
      </c>
      <c r="C304" s="392"/>
      <c r="D304" s="392"/>
      <c r="E304" s="392"/>
      <c r="F304" s="392"/>
      <c r="G304" s="392"/>
      <c r="H304" s="392"/>
      <c r="I304" s="766"/>
      <c r="J304" s="392"/>
      <c r="K304" s="392"/>
      <c r="L304" s="392"/>
      <c r="M304" s="392"/>
      <c r="N304" s="392"/>
      <c r="O304" s="766"/>
      <c r="P304" s="392"/>
      <c r="Q304" s="392"/>
      <c r="R304" s="392"/>
      <c r="S304" s="766"/>
      <c r="T304" s="392"/>
      <c r="U304" s="766"/>
      <c r="V304" s="392"/>
      <c r="W304" s="766"/>
      <c r="X304" s="378"/>
      <c r="Y304" s="180"/>
      <c r="Z304" s="180"/>
      <c r="AA304" s="180"/>
      <c r="AB304" s="180"/>
    </row>
    <row r="305" spans="1:28" s="202" customFormat="1" x14ac:dyDescent="0.2">
      <c r="A305" s="636"/>
      <c r="B305" s="639" t="s">
        <v>110</v>
      </c>
      <c r="C305" s="466">
        <v>0</v>
      </c>
      <c r="D305" s="466">
        <v>0</v>
      </c>
      <c r="E305" s="466">
        <v>0</v>
      </c>
      <c r="F305" s="466">
        <v>0</v>
      </c>
      <c r="G305" s="466">
        <v>0</v>
      </c>
      <c r="H305" s="466">
        <v>0</v>
      </c>
      <c r="I305" s="767">
        <v>0</v>
      </c>
      <c r="J305" s="466">
        <v>0</v>
      </c>
      <c r="K305" s="466">
        <v>0</v>
      </c>
      <c r="L305" s="466">
        <v>0</v>
      </c>
      <c r="M305" s="466">
        <v>0</v>
      </c>
      <c r="N305" s="466">
        <v>0</v>
      </c>
      <c r="O305" s="767">
        <v>0</v>
      </c>
      <c r="P305" s="466">
        <v>0</v>
      </c>
      <c r="Q305" s="466">
        <v>0</v>
      </c>
      <c r="R305" s="466">
        <v>0</v>
      </c>
      <c r="S305" s="767">
        <v>0</v>
      </c>
      <c r="T305" s="466">
        <v>0</v>
      </c>
      <c r="U305" s="767">
        <v>0</v>
      </c>
      <c r="V305" s="466">
        <v>0</v>
      </c>
      <c r="W305" s="767">
        <v>0</v>
      </c>
      <c r="X305" s="378"/>
      <c r="Y305" s="180"/>
      <c r="Z305" s="180"/>
      <c r="AA305" s="180"/>
      <c r="AB305" s="180"/>
    </row>
    <row r="306" spans="1:28" x14ac:dyDescent="0.2">
      <c r="A306" s="636"/>
      <c r="B306" s="388" t="s">
        <v>161</v>
      </c>
      <c r="C306" s="391">
        <v>0</v>
      </c>
      <c r="D306" s="391">
        <v>0</v>
      </c>
      <c r="E306" s="391">
        <v>0</v>
      </c>
      <c r="F306" s="391">
        <v>0</v>
      </c>
      <c r="G306" s="391">
        <v>0</v>
      </c>
      <c r="H306" s="391">
        <v>0</v>
      </c>
      <c r="I306" s="765">
        <v>0</v>
      </c>
      <c r="J306" s="391"/>
      <c r="K306" s="391">
        <v>0</v>
      </c>
      <c r="L306" s="391">
        <v>0</v>
      </c>
      <c r="M306" s="391">
        <v>0</v>
      </c>
      <c r="N306" s="391"/>
      <c r="O306" s="765">
        <v>0</v>
      </c>
      <c r="P306" s="391"/>
      <c r="Q306" s="391"/>
      <c r="R306" s="391"/>
      <c r="S306" s="765"/>
      <c r="T306" s="391">
        <v>350389432</v>
      </c>
      <c r="U306" s="765">
        <v>350389432</v>
      </c>
      <c r="V306" s="391">
        <v>0</v>
      </c>
      <c r="W306" s="765">
        <v>350389432</v>
      </c>
      <c r="X306" s="378"/>
      <c r="Y306" s="180"/>
      <c r="Z306" s="180"/>
      <c r="AA306" s="180"/>
      <c r="AB306" s="180"/>
    </row>
    <row r="307" spans="1:28" s="203" customFormat="1" x14ac:dyDescent="0.2">
      <c r="A307" s="636"/>
      <c r="B307" s="389" t="s">
        <v>102</v>
      </c>
      <c r="C307" s="392">
        <v>0</v>
      </c>
      <c r="D307" s="392">
        <v>0</v>
      </c>
      <c r="E307" s="392">
        <v>0</v>
      </c>
      <c r="F307" s="392">
        <v>0</v>
      </c>
      <c r="G307" s="392">
        <v>0</v>
      </c>
      <c r="H307" s="392">
        <v>0</v>
      </c>
      <c r="I307" s="766">
        <v>0</v>
      </c>
      <c r="J307" s="392"/>
      <c r="K307" s="392">
        <v>0</v>
      </c>
      <c r="L307" s="392">
        <v>0</v>
      </c>
      <c r="M307" s="392">
        <v>0</v>
      </c>
      <c r="N307" s="392"/>
      <c r="O307" s="766">
        <v>0</v>
      </c>
      <c r="P307" s="392"/>
      <c r="Q307" s="392"/>
      <c r="R307" s="392"/>
      <c r="S307" s="766"/>
      <c r="T307" s="392">
        <v>350158351</v>
      </c>
      <c r="U307" s="766">
        <v>350158351</v>
      </c>
      <c r="V307" s="392">
        <v>0</v>
      </c>
      <c r="W307" s="766">
        <v>350158351</v>
      </c>
      <c r="X307" s="378"/>
      <c r="Y307" s="180"/>
      <c r="Z307" s="180"/>
      <c r="AA307" s="180"/>
      <c r="AB307" s="180"/>
    </row>
    <row r="308" spans="1:28" s="202" customFormat="1" x14ac:dyDescent="0.2">
      <c r="A308" s="636"/>
      <c r="B308" s="639" t="s">
        <v>183</v>
      </c>
      <c r="C308" s="466">
        <v>0</v>
      </c>
      <c r="D308" s="466">
        <v>0</v>
      </c>
      <c r="E308" s="466">
        <v>0</v>
      </c>
      <c r="F308" s="466">
        <v>0</v>
      </c>
      <c r="G308" s="466">
        <v>0</v>
      </c>
      <c r="H308" s="466">
        <v>0</v>
      </c>
      <c r="I308" s="767">
        <v>0</v>
      </c>
      <c r="J308" s="466">
        <v>0</v>
      </c>
      <c r="K308" s="466">
        <v>0</v>
      </c>
      <c r="L308" s="466">
        <v>0</v>
      </c>
      <c r="M308" s="466">
        <v>0</v>
      </c>
      <c r="N308" s="466">
        <v>0</v>
      </c>
      <c r="O308" s="767">
        <v>0</v>
      </c>
      <c r="P308" s="466">
        <v>0</v>
      </c>
      <c r="Q308" s="466">
        <v>0</v>
      </c>
      <c r="R308" s="466">
        <v>0</v>
      </c>
      <c r="S308" s="767">
        <v>0</v>
      </c>
      <c r="T308" s="466">
        <v>-6.5949763005409362E-2</v>
      </c>
      <c r="U308" s="767">
        <v>-6.5949763005409362E-2</v>
      </c>
      <c r="V308" s="466">
        <v>0</v>
      </c>
      <c r="W308" s="767">
        <v>-6.5949763005409362E-2</v>
      </c>
      <c r="X308" s="378"/>
      <c r="Y308" s="180"/>
      <c r="Z308" s="180"/>
      <c r="AA308" s="180"/>
      <c r="AB308" s="180"/>
    </row>
    <row r="309" spans="1:28" x14ac:dyDescent="0.2">
      <c r="A309" s="636"/>
      <c r="B309" s="388" t="s">
        <v>78</v>
      </c>
      <c r="C309" s="391"/>
      <c r="D309" s="391"/>
      <c r="E309" s="391"/>
      <c r="F309" s="391"/>
      <c r="G309" s="391"/>
      <c r="H309" s="391"/>
      <c r="I309" s="765"/>
      <c r="J309" s="391"/>
      <c r="K309" s="391"/>
      <c r="L309" s="391"/>
      <c r="M309" s="391"/>
      <c r="N309" s="391"/>
      <c r="O309" s="765"/>
      <c r="P309" s="391"/>
      <c r="Q309" s="391"/>
      <c r="R309" s="391"/>
      <c r="S309" s="765"/>
      <c r="T309" s="391">
        <v>183986492</v>
      </c>
      <c r="U309" s="765">
        <v>183986492</v>
      </c>
      <c r="V309" s="391"/>
      <c r="W309" s="765">
        <v>183986492</v>
      </c>
      <c r="X309" s="378"/>
      <c r="Y309" s="180"/>
      <c r="Z309" s="180"/>
      <c r="AA309" s="180"/>
      <c r="AB309" s="180"/>
    </row>
    <row r="310" spans="1:28" s="203" customFormat="1" x14ac:dyDescent="0.2">
      <c r="A310" s="636"/>
      <c r="B310" s="389" t="s">
        <v>80</v>
      </c>
      <c r="C310" s="392"/>
      <c r="D310" s="392"/>
      <c r="E310" s="392"/>
      <c r="F310" s="392"/>
      <c r="G310" s="392"/>
      <c r="H310" s="392"/>
      <c r="I310" s="766"/>
      <c r="J310" s="392"/>
      <c r="K310" s="392"/>
      <c r="L310" s="392"/>
      <c r="M310" s="392"/>
      <c r="N310" s="392"/>
      <c r="O310" s="766"/>
      <c r="P310" s="392"/>
      <c r="Q310" s="392"/>
      <c r="R310" s="392"/>
      <c r="S310" s="766"/>
      <c r="T310" s="392">
        <v>203312714</v>
      </c>
      <c r="U310" s="766">
        <v>203312714</v>
      </c>
      <c r="V310" s="392"/>
      <c r="W310" s="766">
        <v>203312714</v>
      </c>
      <c r="X310" s="378"/>
      <c r="Y310" s="180"/>
      <c r="Z310" s="180"/>
      <c r="AA310" s="180"/>
      <c r="AB310" s="180"/>
    </row>
    <row r="311" spans="1:28" s="202" customFormat="1" x14ac:dyDescent="0.2">
      <c r="A311" s="636"/>
      <c r="B311" s="639" t="s">
        <v>215</v>
      </c>
      <c r="C311" s="466">
        <v>0</v>
      </c>
      <c r="D311" s="466">
        <v>0</v>
      </c>
      <c r="E311" s="466">
        <v>0</v>
      </c>
      <c r="F311" s="466">
        <v>0</v>
      </c>
      <c r="G311" s="466">
        <v>0</v>
      </c>
      <c r="H311" s="466">
        <v>0</v>
      </c>
      <c r="I311" s="767">
        <v>0</v>
      </c>
      <c r="J311" s="466">
        <v>0</v>
      </c>
      <c r="K311" s="466">
        <v>0</v>
      </c>
      <c r="L311" s="466">
        <v>0</v>
      </c>
      <c r="M311" s="466">
        <v>0</v>
      </c>
      <c r="N311" s="466">
        <v>0</v>
      </c>
      <c r="O311" s="767">
        <v>0</v>
      </c>
      <c r="P311" s="466">
        <v>0</v>
      </c>
      <c r="Q311" s="466">
        <v>0</v>
      </c>
      <c r="R311" s="466">
        <v>0</v>
      </c>
      <c r="S311" s="767">
        <v>0</v>
      </c>
      <c r="T311" s="763">
        <v>10.504152663555322</v>
      </c>
      <c r="U311" s="767">
        <v>10.504152663555322</v>
      </c>
      <c r="V311" s="466">
        <v>0</v>
      </c>
      <c r="W311" s="767">
        <v>10.504152663555322</v>
      </c>
      <c r="X311" s="378"/>
      <c r="Y311" s="180"/>
      <c r="Z311" s="180"/>
      <c r="AA311" s="180"/>
      <c r="AB311" s="180"/>
    </row>
    <row r="312" spans="1:28" x14ac:dyDescent="0.2">
      <c r="A312" s="636"/>
      <c r="B312" s="388" t="s">
        <v>81</v>
      </c>
      <c r="C312" s="391"/>
      <c r="D312" s="391"/>
      <c r="E312" s="391"/>
      <c r="F312" s="391"/>
      <c r="G312" s="391"/>
      <c r="H312" s="391"/>
      <c r="I312" s="765"/>
      <c r="J312" s="391"/>
      <c r="K312" s="391"/>
      <c r="L312" s="391"/>
      <c r="M312" s="391"/>
      <c r="N312" s="391"/>
      <c r="O312" s="765"/>
      <c r="P312" s="391"/>
      <c r="Q312" s="391"/>
      <c r="R312" s="391"/>
      <c r="S312" s="765"/>
      <c r="T312" s="391">
        <v>116228036</v>
      </c>
      <c r="U312" s="765">
        <v>116228036</v>
      </c>
      <c r="V312" s="391"/>
      <c r="W312" s="765">
        <v>116228036</v>
      </c>
      <c r="X312" s="378"/>
      <c r="Y312" s="180"/>
      <c r="Z312" s="180"/>
      <c r="AA312" s="180"/>
      <c r="AB312" s="180"/>
    </row>
    <row r="313" spans="1:28" s="203" customFormat="1" x14ac:dyDescent="0.2">
      <c r="A313" s="636"/>
      <c r="B313" s="389" t="s">
        <v>318</v>
      </c>
      <c r="C313" s="392"/>
      <c r="D313" s="392"/>
      <c r="E313" s="392"/>
      <c r="F313" s="392"/>
      <c r="G313" s="392"/>
      <c r="H313" s="392"/>
      <c r="I313" s="766"/>
      <c r="J313" s="392"/>
      <c r="K313" s="392"/>
      <c r="L313" s="392"/>
      <c r="M313" s="392"/>
      <c r="N313" s="392"/>
      <c r="O313" s="766"/>
      <c r="P313" s="392"/>
      <c r="Q313" s="392"/>
      <c r="R313" s="392"/>
      <c r="S313" s="766"/>
      <c r="T313" s="392">
        <v>118107254</v>
      </c>
      <c r="U313" s="766">
        <v>118107254</v>
      </c>
      <c r="V313" s="392"/>
      <c r="W313" s="766">
        <v>118107254</v>
      </c>
      <c r="X313" s="378"/>
      <c r="Y313" s="180"/>
      <c r="Z313" s="180"/>
      <c r="AA313" s="180"/>
      <c r="AB313" s="180"/>
    </row>
    <row r="314" spans="1:28" s="202" customFormat="1" x14ac:dyDescent="0.2">
      <c r="A314" s="636"/>
      <c r="B314" s="639" t="s">
        <v>236</v>
      </c>
      <c r="C314" s="466">
        <v>0</v>
      </c>
      <c r="D314" s="466">
        <v>0</v>
      </c>
      <c r="E314" s="466">
        <v>0</v>
      </c>
      <c r="F314" s="466">
        <v>0</v>
      </c>
      <c r="G314" s="466">
        <v>0</v>
      </c>
      <c r="H314" s="466">
        <v>0</v>
      </c>
      <c r="I314" s="767">
        <v>0</v>
      </c>
      <c r="J314" s="466">
        <v>0</v>
      </c>
      <c r="K314" s="466">
        <v>0</v>
      </c>
      <c r="L314" s="466">
        <v>0</v>
      </c>
      <c r="M314" s="466">
        <v>0</v>
      </c>
      <c r="N314" s="466">
        <v>0</v>
      </c>
      <c r="O314" s="767">
        <v>0</v>
      </c>
      <c r="P314" s="466">
        <v>0</v>
      </c>
      <c r="Q314" s="466">
        <v>0</v>
      </c>
      <c r="R314" s="466">
        <v>0</v>
      </c>
      <c r="S314" s="767">
        <v>0</v>
      </c>
      <c r="T314" s="466">
        <v>1.6168370942790431</v>
      </c>
      <c r="U314" s="767">
        <v>1.6168370942790431</v>
      </c>
      <c r="V314" s="466">
        <v>0</v>
      </c>
      <c r="W314" s="767">
        <v>1.6168370942790431</v>
      </c>
      <c r="X314" s="378"/>
      <c r="Y314" s="180"/>
      <c r="Z314" s="180"/>
      <c r="AA314" s="180"/>
      <c r="AB314" s="180"/>
    </row>
    <row r="315" spans="1:28" x14ac:dyDescent="0.2">
      <c r="A315" s="636"/>
      <c r="B315" s="388" t="s">
        <v>19</v>
      </c>
      <c r="C315" s="391">
        <v>940961678</v>
      </c>
      <c r="D315" s="391">
        <v>330364391</v>
      </c>
      <c r="E315" s="391">
        <v>261858687</v>
      </c>
      <c r="F315" s="391">
        <v>399435794</v>
      </c>
      <c r="G315" s="391">
        <v>54096000</v>
      </c>
      <c r="H315" s="391">
        <v>48576801</v>
      </c>
      <c r="I315" s="765">
        <v>2035293351</v>
      </c>
      <c r="J315" s="391"/>
      <c r="K315" s="391">
        <v>725889943</v>
      </c>
      <c r="L315" s="391">
        <v>256080284</v>
      </c>
      <c r="M315" s="391">
        <v>52948401</v>
      </c>
      <c r="N315" s="391"/>
      <c r="O315" s="765">
        <v>1034918628</v>
      </c>
      <c r="P315" s="391"/>
      <c r="Q315" s="391"/>
      <c r="R315" s="391"/>
      <c r="S315" s="765"/>
      <c r="T315" s="391">
        <v>0</v>
      </c>
      <c r="U315" s="765">
        <v>0</v>
      </c>
      <c r="V315" s="391">
        <v>6000000</v>
      </c>
      <c r="W315" s="765">
        <v>3076211979</v>
      </c>
      <c r="X315" s="378"/>
      <c r="Y315" s="180"/>
      <c r="Z315" s="180"/>
      <c r="AA315" s="180"/>
      <c r="AB315" s="180"/>
    </row>
    <row r="316" spans="1:28" s="203" customFormat="1" x14ac:dyDescent="0.2">
      <c r="A316" s="636"/>
      <c r="B316" s="389" t="s">
        <v>21</v>
      </c>
      <c r="C316" s="392">
        <v>1004501465</v>
      </c>
      <c r="D316" s="392">
        <v>351349663</v>
      </c>
      <c r="E316" s="392">
        <v>275962183</v>
      </c>
      <c r="F316" s="392">
        <v>424307468</v>
      </c>
      <c r="G316" s="392">
        <v>58289083</v>
      </c>
      <c r="H316" s="392">
        <v>47476942</v>
      </c>
      <c r="I316" s="766">
        <v>2161886804</v>
      </c>
      <c r="J316" s="392"/>
      <c r="K316" s="392">
        <v>747795605</v>
      </c>
      <c r="L316" s="392">
        <v>254831271</v>
      </c>
      <c r="M316" s="392">
        <v>52657977</v>
      </c>
      <c r="N316" s="392"/>
      <c r="O316" s="766">
        <v>1055284853</v>
      </c>
      <c r="P316" s="392"/>
      <c r="Q316" s="392"/>
      <c r="R316" s="392"/>
      <c r="S316" s="766"/>
      <c r="T316" s="392">
        <v>0</v>
      </c>
      <c r="U316" s="766">
        <v>0</v>
      </c>
      <c r="V316" s="392">
        <v>6000000</v>
      </c>
      <c r="W316" s="766">
        <v>3223171657</v>
      </c>
      <c r="X316" s="378"/>
      <c r="Y316" s="180"/>
      <c r="Z316" s="180"/>
      <c r="AA316" s="180"/>
      <c r="AB316" s="180"/>
    </row>
    <row r="317" spans="1:28" s="212" customFormat="1" ht="13.5" thickBot="1" x14ac:dyDescent="0.25">
      <c r="A317" s="640"/>
      <c r="B317" s="777" t="s">
        <v>23</v>
      </c>
      <c r="C317" s="778">
        <v>6.7526434376214848</v>
      </c>
      <c r="D317" s="778">
        <v>6.3521591829187178</v>
      </c>
      <c r="E317" s="778">
        <v>5.3859187035486817</v>
      </c>
      <c r="F317" s="778">
        <v>6.2267013556626827</v>
      </c>
      <c r="G317" s="778">
        <v>7.7511886276249635</v>
      </c>
      <c r="H317" s="1512">
        <v>-2.2641651515916004</v>
      </c>
      <c r="I317" s="779">
        <v>6.2199118833558265</v>
      </c>
      <c r="J317" s="778">
        <v>0</v>
      </c>
      <c r="K317" s="778">
        <v>3.0177662896756789</v>
      </c>
      <c r="L317" s="778">
        <v>-0.48774274242838628</v>
      </c>
      <c r="M317" s="778">
        <v>-0.54850381600758824</v>
      </c>
      <c r="N317" s="778">
        <v>0</v>
      </c>
      <c r="O317" s="779">
        <v>1.9679059250637045</v>
      </c>
      <c r="P317" s="778">
        <v>0</v>
      </c>
      <c r="Q317" s="778">
        <v>0</v>
      </c>
      <c r="R317" s="778">
        <v>0</v>
      </c>
      <c r="S317" s="779">
        <v>0</v>
      </c>
      <c r="T317" s="778">
        <v>0</v>
      </c>
      <c r="U317" s="779">
        <v>0</v>
      </c>
      <c r="V317" s="778">
        <v>0</v>
      </c>
      <c r="W317" s="779">
        <v>4.7772936001560247</v>
      </c>
      <c r="X317" s="378"/>
      <c r="Y317" s="180"/>
      <c r="Z317" s="180"/>
      <c r="AA317" s="180"/>
      <c r="AB317" s="180"/>
    </row>
    <row r="318" spans="1:28" ht="13.5" thickTop="1" x14ac:dyDescent="0.2">
      <c r="A318" s="230" t="s">
        <v>152</v>
      </c>
      <c r="B318" s="780" t="s">
        <v>190</v>
      </c>
      <c r="C318" s="781">
        <v>164412614</v>
      </c>
      <c r="D318" s="781">
        <v>119179142</v>
      </c>
      <c r="E318" s="781"/>
      <c r="F318" s="781">
        <v>63202507</v>
      </c>
      <c r="G318" s="781">
        <v>13638450</v>
      </c>
      <c r="H318" s="781"/>
      <c r="I318" s="782">
        <v>360432713</v>
      </c>
      <c r="J318" s="781"/>
      <c r="K318" s="781">
        <v>97610890</v>
      </c>
      <c r="L318" s="781">
        <v>112324358</v>
      </c>
      <c r="M318" s="781">
        <v>16050365</v>
      </c>
      <c r="N318" s="781"/>
      <c r="O318" s="782">
        <v>225985613</v>
      </c>
      <c r="P318" s="781"/>
      <c r="Q318" s="781"/>
      <c r="R318" s="781"/>
      <c r="S318" s="782"/>
      <c r="T318" s="781"/>
      <c r="U318" s="782"/>
      <c r="V318" s="781"/>
      <c r="W318" s="782">
        <v>586418326</v>
      </c>
      <c r="X318" s="378"/>
      <c r="Y318" s="180"/>
      <c r="Z318" s="180"/>
      <c r="AA318" s="180"/>
      <c r="AB318" s="180"/>
    </row>
    <row r="319" spans="1:28" s="203" customFormat="1" x14ac:dyDescent="0.2">
      <c r="A319" s="636"/>
      <c r="B319" s="389" t="s">
        <v>4</v>
      </c>
      <c r="C319" s="392">
        <v>173444521</v>
      </c>
      <c r="D319" s="392">
        <v>127259337</v>
      </c>
      <c r="E319" s="392"/>
      <c r="F319" s="392">
        <v>64028841</v>
      </c>
      <c r="G319" s="392">
        <v>15103402</v>
      </c>
      <c r="H319" s="392"/>
      <c r="I319" s="766">
        <v>379836101</v>
      </c>
      <c r="J319" s="392"/>
      <c r="K319" s="392">
        <v>100609742</v>
      </c>
      <c r="L319" s="392">
        <v>118263015</v>
      </c>
      <c r="M319" s="392">
        <v>16174609</v>
      </c>
      <c r="N319" s="392"/>
      <c r="O319" s="766">
        <v>235047366</v>
      </c>
      <c r="P319" s="392"/>
      <c r="Q319" s="392"/>
      <c r="R319" s="392"/>
      <c r="S319" s="766"/>
      <c r="T319" s="392"/>
      <c r="U319" s="766"/>
      <c r="V319" s="392"/>
      <c r="W319" s="766">
        <v>614883467</v>
      </c>
      <c r="X319" s="378"/>
      <c r="Y319" s="180"/>
      <c r="Z319" s="180"/>
      <c r="AA319" s="180"/>
      <c r="AB319" s="180"/>
    </row>
    <row r="320" spans="1:28" s="202" customFormat="1" x14ac:dyDescent="0.2">
      <c r="A320" s="637"/>
      <c r="B320" s="639" t="s">
        <v>116</v>
      </c>
      <c r="C320" s="466">
        <v>5.4934392077727079</v>
      </c>
      <c r="D320" s="466">
        <v>6.7798734446334583</v>
      </c>
      <c r="E320" s="466">
        <v>0</v>
      </c>
      <c r="F320" s="466">
        <v>1.3074386432171117</v>
      </c>
      <c r="G320" s="763">
        <v>10.741337908633312</v>
      </c>
      <c r="H320" s="466">
        <v>0</v>
      </c>
      <c r="I320" s="767">
        <v>5.3833593067896697</v>
      </c>
      <c r="J320" s="466">
        <v>0</v>
      </c>
      <c r="K320" s="466">
        <v>3.0722514670238126</v>
      </c>
      <c r="L320" s="466">
        <v>5.2870607103759273</v>
      </c>
      <c r="M320" s="466">
        <v>0.77408831512554388</v>
      </c>
      <c r="N320" s="466">
        <v>0</v>
      </c>
      <c r="O320" s="767">
        <v>4.0098804873919116</v>
      </c>
      <c r="P320" s="466">
        <v>0</v>
      </c>
      <c r="Q320" s="466">
        <v>0</v>
      </c>
      <c r="R320" s="466">
        <v>0</v>
      </c>
      <c r="S320" s="767">
        <v>0</v>
      </c>
      <c r="T320" s="466">
        <v>0</v>
      </c>
      <c r="U320" s="767">
        <v>0</v>
      </c>
      <c r="V320" s="466">
        <v>0</v>
      </c>
      <c r="W320" s="767">
        <v>4.8540674358120244</v>
      </c>
      <c r="X320" s="378"/>
      <c r="Y320" s="180"/>
      <c r="Z320" s="180"/>
      <c r="AA320" s="180"/>
      <c r="AB320" s="180"/>
    </row>
    <row r="321" spans="1:28" x14ac:dyDescent="0.2">
      <c r="A321" s="636"/>
      <c r="B321" s="388" t="s">
        <v>195</v>
      </c>
      <c r="C321" s="391">
        <v>64536702</v>
      </c>
      <c r="D321" s="391">
        <v>6850810</v>
      </c>
      <c r="E321" s="391"/>
      <c r="F321" s="391">
        <v>5498389</v>
      </c>
      <c r="G321" s="391"/>
      <c r="H321" s="391"/>
      <c r="I321" s="765">
        <v>76885901</v>
      </c>
      <c r="J321" s="391"/>
      <c r="K321" s="391">
        <v>11452802.109999999</v>
      </c>
      <c r="L321" s="391">
        <v>12794218.370000001</v>
      </c>
      <c r="M321" s="391">
        <v>2515797</v>
      </c>
      <c r="N321" s="391"/>
      <c r="O321" s="765">
        <v>26762817.48</v>
      </c>
      <c r="P321" s="391"/>
      <c r="Q321" s="391"/>
      <c r="R321" s="391"/>
      <c r="S321" s="765"/>
      <c r="T321" s="391"/>
      <c r="U321" s="765"/>
      <c r="V321" s="391">
        <v>6888397.7800000003</v>
      </c>
      <c r="W321" s="765">
        <v>110537116.26000001</v>
      </c>
      <c r="X321" s="378"/>
      <c r="Y321" s="180"/>
      <c r="Z321" s="180"/>
      <c r="AA321" s="180"/>
      <c r="AB321" s="180"/>
    </row>
    <row r="322" spans="1:28" s="203" customFormat="1" x14ac:dyDescent="0.2">
      <c r="A322" s="636"/>
      <c r="B322" s="389" t="s">
        <v>242</v>
      </c>
      <c r="C322" s="392">
        <v>68936863</v>
      </c>
      <c r="D322" s="392">
        <v>7345417</v>
      </c>
      <c r="E322" s="392"/>
      <c r="F322" s="392">
        <v>5819110</v>
      </c>
      <c r="G322" s="392"/>
      <c r="H322" s="392"/>
      <c r="I322" s="766">
        <v>82101390</v>
      </c>
      <c r="J322" s="392"/>
      <c r="K322" s="392">
        <v>11378968.460000001</v>
      </c>
      <c r="L322" s="392">
        <v>12971589.440000001</v>
      </c>
      <c r="M322" s="392">
        <v>2411356.66</v>
      </c>
      <c r="N322" s="392"/>
      <c r="O322" s="766">
        <v>26761914.560000002</v>
      </c>
      <c r="P322" s="392"/>
      <c r="Q322" s="392"/>
      <c r="R322" s="392"/>
      <c r="S322" s="766"/>
      <c r="T322" s="392"/>
      <c r="U322" s="766"/>
      <c r="V322" s="392">
        <v>6941891.1600000001</v>
      </c>
      <c r="W322" s="766">
        <v>115805195.72</v>
      </c>
      <c r="X322" s="378"/>
      <c r="Y322" s="180"/>
      <c r="Z322" s="180"/>
      <c r="AA322" s="180"/>
      <c r="AB322" s="180"/>
    </row>
    <row r="323" spans="1:28" s="202" customFormat="1" x14ac:dyDescent="0.2">
      <c r="A323" s="636"/>
      <c r="B323" s="639" t="s">
        <v>244</v>
      </c>
      <c r="C323" s="466">
        <v>6.8180753952998714</v>
      </c>
      <c r="D323" s="466">
        <v>7.2196864312395181</v>
      </c>
      <c r="E323" s="466">
        <v>0</v>
      </c>
      <c r="F323" s="466">
        <v>5.8329994476563947</v>
      </c>
      <c r="G323" s="466">
        <v>0</v>
      </c>
      <c r="H323" s="466">
        <v>0</v>
      </c>
      <c r="I323" s="767">
        <v>6.7834140358191286</v>
      </c>
      <c r="J323" s="466">
        <v>0</v>
      </c>
      <c r="K323" s="466">
        <v>-0.64467760196022905</v>
      </c>
      <c r="L323" s="466">
        <v>1.3863376790246256</v>
      </c>
      <c r="M323" s="466">
        <v>-4.1513818483764728</v>
      </c>
      <c r="N323" s="466">
        <v>0</v>
      </c>
      <c r="O323" s="767">
        <v>-3.3737852924970255E-3</v>
      </c>
      <c r="P323" s="466">
        <v>0</v>
      </c>
      <c r="Q323" s="466">
        <v>0</v>
      </c>
      <c r="R323" s="466">
        <v>0</v>
      </c>
      <c r="S323" s="767">
        <v>0</v>
      </c>
      <c r="T323" s="466">
        <v>0</v>
      </c>
      <c r="U323" s="767">
        <v>0</v>
      </c>
      <c r="V323" s="466">
        <v>0.77657216828148812</v>
      </c>
      <c r="W323" s="767">
        <v>4.765891890655678</v>
      </c>
      <c r="X323" s="378"/>
      <c r="Y323" s="180"/>
      <c r="Z323" s="180"/>
      <c r="AA323" s="180"/>
      <c r="AB323" s="180"/>
    </row>
    <row r="324" spans="1:28" x14ac:dyDescent="0.2">
      <c r="A324" s="636"/>
      <c r="B324" s="388" t="s">
        <v>5</v>
      </c>
      <c r="C324" s="391"/>
      <c r="D324" s="391"/>
      <c r="E324" s="391"/>
      <c r="F324" s="391"/>
      <c r="G324" s="391"/>
      <c r="H324" s="391"/>
      <c r="I324" s="765"/>
      <c r="J324" s="391"/>
      <c r="K324" s="391">
        <v>30198215</v>
      </c>
      <c r="L324" s="391">
        <v>19899353</v>
      </c>
      <c r="M324" s="391">
        <v>3081918</v>
      </c>
      <c r="N324" s="391"/>
      <c r="O324" s="765">
        <v>53179486</v>
      </c>
      <c r="P324" s="391"/>
      <c r="Q324" s="391"/>
      <c r="R324" s="391"/>
      <c r="S324" s="765"/>
      <c r="T324" s="391"/>
      <c r="U324" s="765"/>
      <c r="V324" s="391"/>
      <c r="W324" s="765">
        <v>53179486</v>
      </c>
      <c r="X324" s="378"/>
      <c r="Y324" s="180"/>
      <c r="Z324" s="180"/>
      <c r="AA324" s="180"/>
      <c r="AB324" s="180"/>
    </row>
    <row r="325" spans="1:28" s="203" customFormat="1" x14ac:dyDescent="0.2">
      <c r="A325" s="636"/>
      <c r="B325" s="389" t="s">
        <v>6</v>
      </c>
      <c r="C325" s="392"/>
      <c r="D325" s="392"/>
      <c r="E325" s="392"/>
      <c r="F325" s="392"/>
      <c r="G325" s="392"/>
      <c r="H325" s="392"/>
      <c r="I325" s="766"/>
      <c r="J325" s="392"/>
      <c r="K325" s="392">
        <v>30309895</v>
      </c>
      <c r="L325" s="392">
        <v>19649836</v>
      </c>
      <c r="M325" s="392">
        <v>3240603</v>
      </c>
      <c r="N325" s="392"/>
      <c r="O325" s="766">
        <v>53200334</v>
      </c>
      <c r="P325" s="392"/>
      <c r="Q325" s="392"/>
      <c r="R325" s="392"/>
      <c r="S325" s="766"/>
      <c r="T325" s="392"/>
      <c r="U325" s="766"/>
      <c r="V325" s="392"/>
      <c r="W325" s="766">
        <v>53200334</v>
      </c>
      <c r="X325" s="378"/>
      <c r="Y325" s="180"/>
      <c r="Z325" s="180"/>
      <c r="AA325" s="180"/>
      <c r="AB325" s="180"/>
    </row>
    <row r="326" spans="1:28" s="202" customFormat="1" x14ac:dyDescent="0.2">
      <c r="A326" s="636"/>
      <c r="B326" s="639" t="s">
        <v>298</v>
      </c>
      <c r="C326" s="466">
        <v>0</v>
      </c>
      <c r="D326" s="466">
        <v>0</v>
      </c>
      <c r="E326" s="466">
        <v>0</v>
      </c>
      <c r="F326" s="466">
        <v>0</v>
      </c>
      <c r="G326" s="466">
        <v>0</v>
      </c>
      <c r="H326" s="466">
        <v>0</v>
      </c>
      <c r="I326" s="767">
        <v>0</v>
      </c>
      <c r="J326" s="466">
        <v>0</v>
      </c>
      <c r="K326" s="466">
        <v>0.36982318325768593</v>
      </c>
      <c r="L326" s="466">
        <v>-1.2538950386979919</v>
      </c>
      <c r="M326" s="466">
        <v>5.1489040266483403</v>
      </c>
      <c r="N326" s="466">
        <v>0</v>
      </c>
      <c r="O326" s="767">
        <v>3.920308669399325E-2</v>
      </c>
      <c r="P326" s="466">
        <v>0</v>
      </c>
      <c r="Q326" s="466">
        <v>0</v>
      </c>
      <c r="R326" s="466">
        <v>0</v>
      </c>
      <c r="S326" s="767">
        <v>0</v>
      </c>
      <c r="T326" s="466">
        <v>0</v>
      </c>
      <c r="U326" s="767">
        <v>0</v>
      </c>
      <c r="V326" s="466">
        <v>0</v>
      </c>
      <c r="W326" s="767">
        <v>3.920308669399325E-2</v>
      </c>
      <c r="X326" s="378"/>
      <c r="Y326" s="180"/>
      <c r="Z326" s="180"/>
      <c r="AA326" s="180"/>
      <c r="AB326" s="180"/>
    </row>
    <row r="327" spans="1:28" x14ac:dyDescent="0.2">
      <c r="A327" s="636"/>
      <c r="B327" s="388" t="s">
        <v>223</v>
      </c>
      <c r="C327" s="391">
        <v>260485842</v>
      </c>
      <c r="D327" s="391">
        <v>234338364</v>
      </c>
      <c r="E327" s="391"/>
      <c r="F327" s="391">
        <v>63837353</v>
      </c>
      <c r="G327" s="391">
        <v>17024899</v>
      </c>
      <c r="H327" s="391"/>
      <c r="I327" s="765">
        <v>575686458</v>
      </c>
      <c r="J327" s="391"/>
      <c r="K327" s="391">
        <v>82224405</v>
      </c>
      <c r="L327" s="391">
        <v>93923403</v>
      </c>
      <c r="M327" s="391">
        <v>10626123</v>
      </c>
      <c r="N327" s="391"/>
      <c r="O327" s="765">
        <v>186773931</v>
      </c>
      <c r="P327" s="391"/>
      <c r="Q327" s="391"/>
      <c r="R327" s="391"/>
      <c r="S327" s="765"/>
      <c r="T327" s="391"/>
      <c r="U327" s="765"/>
      <c r="V327" s="391"/>
      <c r="W327" s="765">
        <v>762460389</v>
      </c>
      <c r="X327" s="378"/>
      <c r="Y327" s="180"/>
      <c r="Z327" s="180"/>
      <c r="AA327" s="180"/>
      <c r="AB327" s="180"/>
    </row>
    <row r="328" spans="1:28" s="203" customFormat="1" x14ac:dyDescent="0.2">
      <c r="A328" s="636"/>
      <c r="B328" s="389" t="s">
        <v>14</v>
      </c>
      <c r="C328" s="392">
        <v>274664660</v>
      </c>
      <c r="D328" s="392">
        <v>253890507</v>
      </c>
      <c r="E328" s="392"/>
      <c r="F328" s="392">
        <v>60786834</v>
      </c>
      <c r="G328" s="392">
        <v>18278223</v>
      </c>
      <c r="H328" s="392"/>
      <c r="I328" s="766">
        <v>607620224</v>
      </c>
      <c r="J328" s="392"/>
      <c r="K328" s="392">
        <v>86333407</v>
      </c>
      <c r="L328" s="392">
        <v>92055395</v>
      </c>
      <c r="M328" s="392">
        <v>10845608</v>
      </c>
      <c r="N328" s="392"/>
      <c r="O328" s="766">
        <v>189234410</v>
      </c>
      <c r="P328" s="392"/>
      <c r="Q328" s="392"/>
      <c r="R328" s="392"/>
      <c r="S328" s="766"/>
      <c r="T328" s="392"/>
      <c r="U328" s="766"/>
      <c r="V328" s="392"/>
      <c r="W328" s="766">
        <v>796854634</v>
      </c>
      <c r="X328" s="378"/>
      <c r="Y328" s="180"/>
      <c r="Z328" s="180"/>
      <c r="AA328" s="180"/>
      <c r="AB328" s="180"/>
    </row>
    <row r="329" spans="1:28" s="202" customFormat="1" x14ac:dyDescent="0.2">
      <c r="A329" s="636"/>
      <c r="B329" s="639" t="s">
        <v>247</v>
      </c>
      <c r="C329" s="466">
        <v>5.4432202115614405</v>
      </c>
      <c r="D329" s="466">
        <v>8.3435518906328117</v>
      </c>
      <c r="E329" s="466">
        <v>0</v>
      </c>
      <c r="F329" s="763">
        <v>-4.7785800266499141</v>
      </c>
      <c r="G329" s="466">
        <v>7.3617118080994191</v>
      </c>
      <c r="H329" s="466">
        <v>0</v>
      </c>
      <c r="I329" s="767">
        <v>5.5470761134353452</v>
      </c>
      <c r="J329" s="466">
        <v>0</v>
      </c>
      <c r="K329" s="466">
        <v>4.9973021999976766</v>
      </c>
      <c r="L329" s="763">
        <v>-1.9888632016452812</v>
      </c>
      <c r="M329" s="466">
        <v>2.0655228628541189</v>
      </c>
      <c r="N329" s="466">
        <v>0</v>
      </c>
      <c r="O329" s="767">
        <v>1.3173567568163462</v>
      </c>
      <c r="P329" s="466">
        <v>0</v>
      </c>
      <c r="Q329" s="466">
        <v>0</v>
      </c>
      <c r="R329" s="466">
        <v>0</v>
      </c>
      <c r="S329" s="767">
        <v>0</v>
      </c>
      <c r="T329" s="466">
        <v>0</v>
      </c>
      <c r="U329" s="767">
        <v>0</v>
      </c>
      <c r="V329" s="466">
        <v>0</v>
      </c>
      <c r="W329" s="767">
        <v>4.5109549946731731</v>
      </c>
      <c r="X329" s="378"/>
      <c r="Y329" s="180"/>
      <c r="Z329" s="180"/>
      <c r="AA329" s="180"/>
      <c r="AB329" s="180"/>
    </row>
    <row r="330" spans="1:28" x14ac:dyDescent="0.2">
      <c r="A330" s="636"/>
      <c r="B330" s="388" t="s">
        <v>225</v>
      </c>
      <c r="C330" s="391"/>
      <c r="D330" s="391"/>
      <c r="E330" s="391"/>
      <c r="F330" s="391"/>
      <c r="G330" s="391"/>
      <c r="H330" s="391"/>
      <c r="I330" s="765"/>
      <c r="J330" s="391"/>
      <c r="K330" s="391"/>
      <c r="L330" s="391"/>
      <c r="M330" s="391"/>
      <c r="N330" s="391"/>
      <c r="O330" s="765"/>
      <c r="P330" s="391"/>
      <c r="Q330" s="391"/>
      <c r="R330" s="391"/>
      <c r="S330" s="765"/>
      <c r="T330" s="391"/>
      <c r="U330" s="765"/>
      <c r="V330" s="391"/>
      <c r="W330" s="765"/>
      <c r="X330" s="378"/>
      <c r="Y330" s="180"/>
      <c r="Z330" s="180"/>
      <c r="AA330" s="180"/>
      <c r="AB330" s="180"/>
    </row>
    <row r="331" spans="1:28" s="203" customFormat="1" x14ac:dyDescent="0.2">
      <c r="A331" s="636"/>
      <c r="B331" s="389" t="s">
        <v>166</v>
      </c>
      <c r="C331" s="392"/>
      <c r="D331" s="392"/>
      <c r="E331" s="392"/>
      <c r="F331" s="392"/>
      <c r="G331" s="392"/>
      <c r="H331" s="392"/>
      <c r="I331" s="766"/>
      <c r="J331" s="392"/>
      <c r="K331" s="392"/>
      <c r="L331" s="392"/>
      <c r="M331" s="392"/>
      <c r="N331" s="392"/>
      <c r="O331" s="766"/>
      <c r="P331" s="392"/>
      <c r="Q331" s="392"/>
      <c r="R331" s="392"/>
      <c r="S331" s="766"/>
      <c r="T331" s="392"/>
      <c r="U331" s="766"/>
      <c r="V331" s="392"/>
      <c r="W331" s="766"/>
      <c r="X331" s="378"/>
      <c r="Y331" s="180"/>
      <c r="Z331" s="180"/>
      <c r="AA331" s="180"/>
      <c r="AB331" s="180"/>
    </row>
    <row r="332" spans="1:28" s="202" customFormat="1" x14ac:dyDescent="0.2">
      <c r="A332" s="636"/>
      <c r="B332" s="639" t="s">
        <v>175</v>
      </c>
      <c r="C332" s="466">
        <v>0</v>
      </c>
      <c r="D332" s="466">
        <v>0</v>
      </c>
      <c r="E332" s="466">
        <v>0</v>
      </c>
      <c r="F332" s="466">
        <v>0</v>
      </c>
      <c r="G332" s="466">
        <v>0</v>
      </c>
      <c r="H332" s="466">
        <v>0</v>
      </c>
      <c r="I332" s="767">
        <v>0</v>
      </c>
      <c r="J332" s="466">
        <v>0</v>
      </c>
      <c r="K332" s="466">
        <v>0</v>
      </c>
      <c r="L332" s="466">
        <v>0</v>
      </c>
      <c r="M332" s="466">
        <v>0</v>
      </c>
      <c r="N332" s="466">
        <v>0</v>
      </c>
      <c r="O332" s="767">
        <v>0</v>
      </c>
      <c r="P332" s="466">
        <v>0</v>
      </c>
      <c r="Q332" s="466">
        <v>0</v>
      </c>
      <c r="R332" s="466">
        <v>0</v>
      </c>
      <c r="S332" s="767">
        <v>0</v>
      </c>
      <c r="T332" s="466">
        <v>0</v>
      </c>
      <c r="U332" s="767">
        <v>0</v>
      </c>
      <c r="V332" s="466">
        <v>0</v>
      </c>
      <c r="W332" s="767">
        <v>0</v>
      </c>
      <c r="X332" s="378"/>
      <c r="Y332" s="180"/>
      <c r="Z332" s="180"/>
      <c r="AA332" s="180"/>
      <c r="AB332" s="180"/>
    </row>
    <row r="333" spans="1:28" x14ac:dyDescent="0.2">
      <c r="A333" s="636"/>
      <c r="B333" s="768" t="s">
        <v>317</v>
      </c>
      <c r="C333" s="765">
        <v>260485842</v>
      </c>
      <c r="D333" s="765">
        <v>234338364</v>
      </c>
      <c r="E333" s="765"/>
      <c r="F333" s="765">
        <v>63837353</v>
      </c>
      <c r="G333" s="765">
        <v>17024899</v>
      </c>
      <c r="H333" s="765"/>
      <c r="I333" s="765">
        <v>575686458</v>
      </c>
      <c r="J333" s="765"/>
      <c r="K333" s="765">
        <v>82224405</v>
      </c>
      <c r="L333" s="765">
        <v>93923403</v>
      </c>
      <c r="M333" s="765">
        <v>10626123</v>
      </c>
      <c r="N333" s="765"/>
      <c r="O333" s="765">
        <v>186773931</v>
      </c>
      <c r="P333" s="765"/>
      <c r="Q333" s="765"/>
      <c r="R333" s="765"/>
      <c r="S333" s="765"/>
      <c r="T333" s="765">
        <v>0</v>
      </c>
      <c r="U333" s="765">
        <v>0</v>
      </c>
      <c r="V333" s="765">
        <v>0</v>
      </c>
      <c r="W333" s="765">
        <v>762460389</v>
      </c>
      <c r="X333" s="378"/>
      <c r="Y333" s="180"/>
      <c r="Z333" s="180"/>
      <c r="AA333" s="180"/>
      <c r="AB333" s="180"/>
    </row>
    <row r="334" spans="1:28" s="203" customFormat="1" x14ac:dyDescent="0.2">
      <c r="A334" s="636"/>
      <c r="B334" s="769" t="s">
        <v>70</v>
      </c>
      <c r="C334" s="766">
        <v>274664660</v>
      </c>
      <c r="D334" s="766">
        <v>253890507</v>
      </c>
      <c r="E334" s="766"/>
      <c r="F334" s="766">
        <v>60786834</v>
      </c>
      <c r="G334" s="766">
        <v>18278223</v>
      </c>
      <c r="H334" s="766"/>
      <c r="I334" s="766">
        <v>607620224</v>
      </c>
      <c r="J334" s="766"/>
      <c r="K334" s="766">
        <v>86333407</v>
      </c>
      <c r="L334" s="766">
        <v>92055395</v>
      </c>
      <c r="M334" s="766">
        <v>10845608</v>
      </c>
      <c r="N334" s="766"/>
      <c r="O334" s="766">
        <v>189234410</v>
      </c>
      <c r="P334" s="766"/>
      <c r="Q334" s="766"/>
      <c r="R334" s="766"/>
      <c r="S334" s="766"/>
      <c r="T334" s="766">
        <v>0</v>
      </c>
      <c r="U334" s="766">
        <v>0</v>
      </c>
      <c r="V334" s="766">
        <v>0</v>
      </c>
      <c r="W334" s="766">
        <v>796854634</v>
      </c>
      <c r="X334" s="378"/>
      <c r="Y334" s="180"/>
      <c r="Z334" s="180"/>
      <c r="AA334" s="180"/>
      <c r="AB334" s="180"/>
    </row>
    <row r="335" spans="1:28" s="202" customFormat="1" x14ac:dyDescent="0.2">
      <c r="A335" s="636"/>
      <c r="B335" s="770" t="s">
        <v>57</v>
      </c>
      <c r="C335" s="767">
        <v>5.4432202115614405</v>
      </c>
      <c r="D335" s="767">
        <v>8.3435518906328117</v>
      </c>
      <c r="E335" s="767">
        <v>0</v>
      </c>
      <c r="F335" s="767">
        <v>-4.7785800266499141</v>
      </c>
      <c r="G335" s="767">
        <v>7.3617118080994191</v>
      </c>
      <c r="H335" s="767">
        <v>0</v>
      </c>
      <c r="I335" s="767">
        <v>5.5470761134353452</v>
      </c>
      <c r="J335" s="767">
        <v>0</v>
      </c>
      <c r="K335" s="767">
        <v>4.9973021999976766</v>
      </c>
      <c r="L335" s="767">
        <v>-1.9888632016452812</v>
      </c>
      <c r="M335" s="767">
        <v>2.0655228628541189</v>
      </c>
      <c r="N335" s="767">
        <v>0</v>
      </c>
      <c r="O335" s="767">
        <v>1.3173567568163462</v>
      </c>
      <c r="P335" s="767">
        <v>0</v>
      </c>
      <c r="Q335" s="767">
        <v>0</v>
      </c>
      <c r="R335" s="767">
        <v>0</v>
      </c>
      <c r="S335" s="767">
        <v>0</v>
      </c>
      <c r="T335" s="767">
        <v>0</v>
      </c>
      <c r="U335" s="767">
        <v>0</v>
      </c>
      <c r="V335" s="767">
        <v>0</v>
      </c>
      <c r="W335" s="767">
        <v>4.5109549946731731</v>
      </c>
      <c r="X335" s="378"/>
      <c r="Y335" s="180"/>
      <c r="Z335" s="180"/>
      <c r="AA335" s="180"/>
      <c r="AB335" s="180"/>
    </row>
    <row r="336" spans="1:28" x14ac:dyDescent="0.2">
      <c r="A336" s="636"/>
      <c r="B336" s="388" t="s">
        <v>72</v>
      </c>
      <c r="C336" s="391"/>
      <c r="D336" s="391"/>
      <c r="E336" s="391"/>
      <c r="F336" s="391"/>
      <c r="G336" s="391"/>
      <c r="H336" s="391"/>
      <c r="I336" s="765"/>
      <c r="J336" s="391"/>
      <c r="K336" s="391"/>
      <c r="L336" s="391"/>
      <c r="M336" s="391"/>
      <c r="N336" s="391"/>
      <c r="O336" s="765"/>
      <c r="P336" s="391"/>
      <c r="Q336" s="391"/>
      <c r="R336" s="391"/>
      <c r="S336" s="765"/>
      <c r="T336" s="391"/>
      <c r="U336" s="765"/>
      <c r="V336" s="391">
        <v>44033357</v>
      </c>
      <c r="W336" s="765">
        <v>44033357</v>
      </c>
      <c r="X336" s="378"/>
      <c r="Y336" s="180"/>
      <c r="Z336" s="180"/>
      <c r="AA336" s="180"/>
      <c r="AB336" s="180"/>
    </row>
    <row r="337" spans="1:28" s="203" customFormat="1" x14ac:dyDescent="0.2">
      <c r="A337" s="636"/>
      <c r="B337" s="389" t="s">
        <v>74</v>
      </c>
      <c r="C337" s="392"/>
      <c r="D337" s="392"/>
      <c r="E337" s="392"/>
      <c r="F337" s="392"/>
      <c r="G337" s="392"/>
      <c r="H337" s="392"/>
      <c r="I337" s="766"/>
      <c r="J337" s="392"/>
      <c r="K337" s="392"/>
      <c r="L337" s="392"/>
      <c r="M337" s="392"/>
      <c r="N337" s="392"/>
      <c r="O337" s="766"/>
      <c r="P337" s="392"/>
      <c r="Q337" s="392"/>
      <c r="R337" s="392"/>
      <c r="S337" s="766"/>
      <c r="T337" s="392"/>
      <c r="U337" s="766"/>
      <c r="V337" s="392">
        <v>46640742</v>
      </c>
      <c r="W337" s="766">
        <v>46640742</v>
      </c>
      <c r="X337" s="378"/>
      <c r="Y337" s="180"/>
      <c r="Z337" s="180"/>
      <c r="AA337" s="180"/>
      <c r="AB337" s="180"/>
    </row>
    <row r="338" spans="1:28" s="202" customFormat="1" x14ac:dyDescent="0.2">
      <c r="A338" s="636"/>
      <c r="B338" s="639" t="s">
        <v>76</v>
      </c>
      <c r="C338" s="466">
        <v>0</v>
      </c>
      <c r="D338" s="466">
        <v>0</v>
      </c>
      <c r="E338" s="466">
        <v>0</v>
      </c>
      <c r="F338" s="466">
        <v>0</v>
      </c>
      <c r="G338" s="466">
        <v>0</v>
      </c>
      <c r="H338" s="466">
        <v>0</v>
      </c>
      <c r="I338" s="767">
        <v>0</v>
      </c>
      <c r="J338" s="466">
        <v>0</v>
      </c>
      <c r="K338" s="466">
        <v>0</v>
      </c>
      <c r="L338" s="466">
        <v>0</v>
      </c>
      <c r="M338" s="466">
        <v>0</v>
      </c>
      <c r="N338" s="466">
        <v>0</v>
      </c>
      <c r="O338" s="767">
        <v>0</v>
      </c>
      <c r="P338" s="466">
        <v>0</v>
      </c>
      <c r="Q338" s="466">
        <v>0</v>
      </c>
      <c r="R338" s="466">
        <v>0</v>
      </c>
      <c r="S338" s="767">
        <v>0</v>
      </c>
      <c r="T338" s="466">
        <v>0</v>
      </c>
      <c r="U338" s="767">
        <v>0</v>
      </c>
      <c r="V338" s="466">
        <v>5.9213859165904612</v>
      </c>
      <c r="W338" s="767">
        <v>5.9213859165904612</v>
      </c>
      <c r="X338" s="378"/>
      <c r="Y338" s="180"/>
      <c r="Z338" s="180"/>
      <c r="AA338" s="180"/>
      <c r="AB338" s="180"/>
    </row>
    <row r="339" spans="1:28" x14ac:dyDescent="0.2">
      <c r="A339" s="636"/>
      <c r="B339" s="388" t="s">
        <v>240</v>
      </c>
      <c r="C339" s="391"/>
      <c r="D339" s="391"/>
      <c r="E339" s="391"/>
      <c r="F339" s="391"/>
      <c r="G339" s="391"/>
      <c r="H339" s="391"/>
      <c r="I339" s="765"/>
      <c r="J339" s="391"/>
      <c r="K339" s="391"/>
      <c r="L339" s="391"/>
      <c r="M339" s="391"/>
      <c r="N339" s="391"/>
      <c r="O339" s="765"/>
      <c r="P339" s="391"/>
      <c r="Q339" s="391"/>
      <c r="R339" s="391"/>
      <c r="S339" s="765"/>
      <c r="T339" s="391"/>
      <c r="U339" s="765"/>
      <c r="V339" s="391"/>
      <c r="W339" s="765"/>
      <c r="X339" s="378"/>
      <c r="Y339" s="180"/>
      <c r="Z339" s="180"/>
      <c r="AA339" s="180"/>
      <c r="AB339" s="180"/>
    </row>
    <row r="340" spans="1:28" s="203" customFormat="1" x14ac:dyDescent="0.2">
      <c r="A340" s="636"/>
      <c r="B340" s="389" t="s">
        <v>163</v>
      </c>
      <c r="C340" s="392"/>
      <c r="D340" s="392"/>
      <c r="E340" s="392"/>
      <c r="F340" s="392"/>
      <c r="G340" s="392"/>
      <c r="H340" s="392"/>
      <c r="I340" s="766"/>
      <c r="J340" s="392"/>
      <c r="K340" s="392"/>
      <c r="L340" s="392"/>
      <c r="M340" s="392"/>
      <c r="N340" s="392"/>
      <c r="O340" s="766"/>
      <c r="P340" s="392"/>
      <c r="Q340" s="392"/>
      <c r="R340" s="392"/>
      <c r="S340" s="766"/>
      <c r="T340" s="392"/>
      <c r="U340" s="766"/>
      <c r="V340" s="392"/>
      <c r="W340" s="766"/>
      <c r="X340" s="378"/>
      <c r="Y340" s="180"/>
      <c r="Z340" s="180"/>
      <c r="AA340" s="180"/>
      <c r="AB340" s="180"/>
    </row>
    <row r="341" spans="1:28" s="202" customFormat="1" x14ac:dyDescent="0.2">
      <c r="A341" s="636"/>
      <c r="B341" s="639" t="s">
        <v>59</v>
      </c>
      <c r="C341" s="466">
        <v>0</v>
      </c>
      <c r="D341" s="466">
        <v>0</v>
      </c>
      <c r="E341" s="466">
        <v>0</v>
      </c>
      <c r="F341" s="466">
        <v>0</v>
      </c>
      <c r="G341" s="466">
        <v>0</v>
      </c>
      <c r="H341" s="466">
        <v>0</v>
      </c>
      <c r="I341" s="767">
        <v>0</v>
      </c>
      <c r="J341" s="466">
        <v>0</v>
      </c>
      <c r="K341" s="466">
        <v>0</v>
      </c>
      <c r="L341" s="466">
        <v>0</v>
      </c>
      <c r="M341" s="466">
        <v>0</v>
      </c>
      <c r="N341" s="466">
        <v>0</v>
      </c>
      <c r="O341" s="767">
        <v>0</v>
      </c>
      <c r="P341" s="466">
        <v>0</v>
      </c>
      <c r="Q341" s="466">
        <v>0</v>
      </c>
      <c r="R341" s="466">
        <v>0</v>
      </c>
      <c r="S341" s="767">
        <v>0</v>
      </c>
      <c r="T341" s="466">
        <v>0</v>
      </c>
      <c r="U341" s="767">
        <v>0</v>
      </c>
      <c r="V341" s="466">
        <v>0</v>
      </c>
      <c r="W341" s="767">
        <v>0</v>
      </c>
      <c r="X341" s="378"/>
      <c r="Y341" s="180"/>
      <c r="Z341" s="180"/>
      <c r="AA341" s="180"/>
      <c r="AB341" s="180"/>
    </row>
    <row r="342" spans="1:28" x14ac:dyDescent="0.2">
      <c r="A342" s="636"/>
      <c r="B342" s="388" t="s">
        <v>159</v>
      </c>
      <c r="C342" s="391"/>
      <c r="D342" s="391"/>
      <c r="E342" s="391"/>
      <c r="F342" s="391"/>
      <c r="G342" s="391"/>
      <c r="H342" s="391"/>
      <c r="I342" s="765"/>
      <c r="J342" s="391"/>
      <c r="K342" s="391"/>
      <c r="L342" s="391"/>
      <c r="M342" s="391"/>
      <c r="N342" s="391"/>
      <c r="O342" s="765"/>
      <c r="P342" s="391"/>
      <c r="Q342" s="391"/>
      <c r="R342" s="391"/>
      <c r="S342" s="765"/>
      <c r="T342" s="391"/>
      <c r="U342" s="765"/>
      <c r="V342" s="391"/>
      <c r="W342" s="765"/>
      <c r="X342" s="378"/>
      <c r="Y342" s="180"/>
      <c r="Z342" s="180"/>
      <c r="AA342" s="180"/>
      <c r="AB342" s="180"/>
    </row>
    <row r="343" spans="1:28" s="203" customFormat="1" x14ac:dyDescent="0.2">
      <c r="A343" s="636"/>
      <c r="B343" s="389" t="s">
        <v>100</v>
      </c>
      <c r="C343" s="392"/>
      <c r="D343" s="392"/>
      <c r="E343" s="392"/>
      <c r="F343" s="392"/>
      <c r="G343" s="392"/>
      <c r="H343" s="392"/>
      <c r="I343" s="766"/>
      <c r="J343" s="392"/>
      <c r="K343" s="392"/>
      <c r="L343" s="392"/>
      <c r="M343" s="392"/>
      <c r="N343" s="392"/>
      <c r="O343" s="766"/>
      <c r="P343" s="392"/>
      <c r="Q343" s="392"/>
      <c r="R343" s="392"/>
      <c r="S343" s="766"/>
      <c r="T343" s="392"/>
      <c r="U343" s="766"/>
      <c r="V343" s="392"/>
      <c r="W343" s="766"/>
      <c r="X343" s="378"/>
      <c r="Y343" s="180"/>
      <c r="Z343" s="180"/>
      <c r="AA343" s="180"/>
      <c r="AB343" s="180"/>
    </row>
    <row r="344" spans="1:28" s="202" customFormat="1" x14ac:dyDescent="0.2">
      <c r="A344" s="636"/>
      <c r="B344" s="639" t="s">
        <v>110</v>
      </c>
      <c r="C344" s="466">
        <v>0</v>
      </c>
      <c r="D344" s="466">
        <v>0</v>
      </c>
      <c r="E344" s="466">
        <v>0</v>
      </c>
      <c r="F344" s="466">
        <v>0</v>
      </c>
      <c r="G344" s="466">
        <v>0</v>
      </c>
      <c r="H344" s="466">
        <v>0</v>
      </c>
      <c r="I344" s="767">
        <v>0</v>
      </c>
      <c r="J344" s="466">
        <v>0</v>
      </c>
      <c r="K344" s="466">
        <v>0</v>
      </c>
      <c r="L344" s="466">
        <v>0</v>
      </c>
      <c r="M344" s="466">
        <v>0</v>
      </c>
      <c r="N344" s="466">
        <v>0</v>
      </c>
      <c r="O344" s="767">
        <v>0</v>
      </c>
      <c r="P344" s="466">
        <v>0</v>
      </c>
      <c r="Q344" s="466">
        <v>0</v>
      </c>
      <c r="R344" s="466">
        <v>0</v>
      </c>
      <c r="S344" s="767">
        <v>0</v>
      </c>
      <c r="T344" s="466">
        <v>0</v>
      </c>
      <c r="U344" s="767">
        <v>0</v>
      </c>
      <c r="V344" s="466">
        <v>0</v>
      </c>
      <c r="W344" s="767">
        <v>0</v>
      </c>
      <c r="X344" s="378"/>
      <c r="Y344" s="180"/>
      <c r="Z344" s="180"/>
      <c r="AA344" s="180"/>
      <c r="AB344" s="180"/>
    </row>
    <row r="345" spans="1:28" x14ac:dyDescent="0.2">
      <c r="A345" s="636"/>
      <c r="B345" s="388" t="s">
        <v>161</v>
      </c>
      <c r="C345" s="391">
        <v>0</v>
      </c>
      <c r="D345" s="391">
        <v>0</v>
      </c>
      <c r="E345" s="391"/>
      <c r="F345" s="391">
        <v>0</v>
      </c>
      <c r="G345" s="391">
        <v>0</v>
      </c>
      <c r="H345" s="391"/>
      <c r="I345" s="765">
        <v>0</v>
      </c>
      <c r="J345" s="391"/>
      <c r="K345" s="391">
        <v>0</v>
      </c>
      <c r="L345" s="391">
        <v>0</v>
      </c>
      <c r="M345" s="391">
        <v>0</v>
      </c>
      <c r="N345" s="391"/>
      <c r="O345" s="765">
        <v>0</v>
      </c>
      <c r="P345" s="391"/>
      <c r="Q345" s="391"/>
      <c r="R345" s="391"/>
      <c r="S345" s="765"/>
      <c r="T345" s="391">
        <v>0</v>
      </c>
      <c r="U345" s="765">
        <v>0</v>
      </c>
      <c r="V345" s="391">
        <v>0</v>
      </c>
      <c r="W345" s="765">
        <v>0</v>
      </c>
      <c r="X345" s="378"/>
      <c r="Y345" s="180"/>
      <c r="Z345" s="180"/>
      <c r="AA345" s="180"/>
      <c r="AB345" s="180"/>
    </row>
    <row r="346" spans="1:28" s="203" customFormat="1" x14ac:dyDescent="0.2">
      <c r="A346" s="636"/>
      <c r="B346" s="389" t="s">
        <v>102</v>
      </c>
      <c r="C346" s="392">
        <v>0</v>
      </c>
      <c r="D346" s="392">
        <v>0</v>
      </c>
      <c r="E346" s="392"/>
      <c r="F346" s="392">
        <v>0</v>
      </c>
      <c r="G346" s="392">
        <v>0</v>
      </c>
      <c r="H346" s="392"/>
      <c r="I346" s="766">
        <v>0</v>
      </c>
      <c r="J346" s="392"/>
      <c r="K346" s="392">
        <v>0</v>
      </c>
      <c r="L346" s="392">
        <v>0</v>
      </c>
      <c r="M346" s="392">
        <v>0</v>
      </c>
      <c r="N346" s="392"/>
      <c r="O346" s="766">
        <v>0</v>
      </c>
      <c r="P346" s="392"/>
      <c r="Q346" s="392"/>
      <c r="R346" s="392"/>
      <c r="S346" s="766"/>
      <c r="T346" s="392">
        <v>0</v>
      </c>
      <c r="U346" s="766">
        <v>0</v>
      </c>
      <c r="V346" s="392">
        <v>0</v>
      </c>
      <c r="W346" s="766">
        <v>0</v>
      </c>
      <c r="X346" s="378"/>
      <c r="Y346" s="180"/>
      <c r="Z346" s="180"/>
      <c r="AA346" s="180"/>
      <c r="AB346" s="180"/>
    </row>
    <row r="347" spans="1:28" s="202" customFormat="1" x14ac:dyDescent="0.2">
      <c r="A347" s="636"/>
      <c r="B347" s="639" t="s">
        <v>183</v>
      </c>
      <c r="C347" s="466">
        <v>0</v>
      </c>
      <c r="D347" s="466">
        <v>0</v>
      </c>
      <c r="E347" s="466">
        <v>0</v>
      </c>
      <c r="F347" s="466">
        <v>0</v>
      </c>
      <c r="G347" s="466">
        <v>0</v>
      </c>
      <c r="H347" s="466">
        <v>0</v>
      </c>
      <c r="I347" s="767">
        <v>0</v>
      </c>
      <c r="J347" s="466">
        <v>0</v>
      </c>
      <c r="K347" s="466">
        <v>0</v>
      </c>
      <c r="L347" s="466">
        <v>0</v>
      </c>
      <c r="M347" s="466">
        <v>0</v>
      </c>
      <c r="N347" s="466">
        <v>0</v>
      </c>
      <c r="O347" s="767">
        <v>0</v>
      </c>
      <c r="P347" s="466">
        <v>0</v>
      </c>
      <c r="Q347" s="466">
        <v>0</v>
      </c>
      <c r="R347" s="466">
        <v>0</v>
      </c>
      <c r="S347" s="767">
        <v>0</v>
      </c>
      <c r="T347" s="466">
        <v>0</v>
      </c>
      <c r="U347" s="767">
        <v>0</v>
      </c>
      <c r="V347" s="466">
        <v>0</v>
      </c>
      <c r="W347" s="767">
        <v>0</v>
      </c>
      <c r="X347" s="378"/>
      <c r="Y347" s="180"/>
      <c r="Z347" s="180"/>
      <c r="AA347" s="180"/>
      <c r="AB347" s="180"/>
    </row>
    <row r="348" spans="1:28" x14ac:dyDescent="0.2">
      <c r="A348" s="636"/>
      <c r="B348" s="388" t="s">
        <v>78</v>
      </c>
      <c r="C348" s="391">
        <v>16203711</v>
      </c>
      <c r="D348" s="391"/>
      <c r="E348" s="391"/>
      <c r="F348" s="391"/>
      <c r="G348" s="391"/>
      <c r="H348" s="391"/>
      <c r="I348" s="765">
        <v>16203711</v>
      </c>
      <c r="J348" s="391"/>
      <c r="K348" s="391"/>
      <c r="L348" s="391"/>
      <c r="M348" s="391"/>
      <c r="N348" s="391"/>
      <c r="O348" s="765"/>
      <c r="P348" s="391"/>
      <c r="Q348" s="391"/>
      <c r="R348" s="391"/>
      <c r="S348" s="765"/>
      <c r="T348" s="391">
        <v>177017002</v>
      </c>
      <c r="U348" s="765">
        <v>177017002</v>
      </c>
      <c r="V348" s="391"/>
      <c r="W348" s="765">
        <v>193220713</v>
      </c>
      <c r="X348" s="378"/>
      <c r="Y348" s="180"/>
      <c r="Z348" s="180"/>
      <c r="AA348" s="180"/>
      <c r="AB348" s="180"/>
    </row>
    <row r="349" spans="1:28" s="203" customFormat="1" x14ac:dyDescent="0.2">
      <c r="A349" s="636"/>
      <c r="B349" s="389" t="s">
        <v>80</v>
      </c>
      <c r="C349" s="392">
        <v>17291269</v>
      </c>
      <c r="D349" s="392"/>
      <c r="E349" s="392"/>
      <c r="F349" s="392"/>
      <c r="G349" s="392"/>
      <c r="H349" s="392"/>
      <c r="I349" s="766">
        <v>17291269</v>
      </c>
      <c r="J349" s="392"/>
      <c r="K349" s="392"/>
      <c r="L349" s="392"/>
      <c r="M349" s="392"/>
      <c r="N349" s="392"/>
      <c r="O349" s="766"/>
      <c r="P349" s="392"/>
      <c r="Q349" s="392"/>
      <c r="R349" s="392"/>
      <c r="S349" s="766"/>
      <c r="T349" s="392">
        <v>185718612</v>
      </c>
      <c r="U349" s="766">
        <v>185718612</v>
      </c>
      <c r="V349" s="392"/>
      <c r="W349" s="766">
        <v>203009881</v>
      </c>
      <c r="X349" s="378"/>
      <c r="Y349" s="180"/>
      <c r="Z349" s="180"/>
      <c r="AA349" s="180"/>
      <c r="AB349" s="180"/>
    </row>
    <row r="350" spans="1:28" s="202" customFormat="1" x14ac:dyDescent="0.2">
      <c r="A350" s="636"/>
      <c r="B350" s="639" t="s">
        <v>215</v>
      </c>
      <c r="C350" s="466">
        <v>6.7117834920654902</v>
      </c>
      <c r="D350" s="466">
        <v>0</v>
      </c>
      <c r="E350" s="466">
        <v>0</v>
      </c>
      <c r="F350" s="466">
        <v>0</v>
      </c>
      <c r="G350" s="466">
        <v>0</v>
      </c>
      <c r="H350" s="466">
        <v>0</v>
      </c>
      <c r="I350" s="767">
        <v>6.7117834920654902</v>
      </c>
      <c r="J350" s="466">
        <v>0</v>
      </c>
      <c r="K350" s="466">
        <v>0</v>
      </c>
      <c r="L350" s="466">
        <v>0</v>
      </c>
      <c r="M350" s="466">
        <v>0</v>
      </c>
      <c r="N350" s="466">
        <v>0</v>
      </c>
      <c r="O350" s="767">
        <v>0</v>
      </c>
      <c r="P350" s="466">
        <v>0</v>
      </c>
      <c r="Q350" s="466">
        <v>0</v>
      </c>
      <c r="R350" s="466">
        <v>0</v>
      </c>
      <c r="S350" s="767">
        <v>0</v>
      </c>
      <c r="T350" s="466">
        <v>4.9156916576860787</v>
      </c>
      <c r="U350" s="767">
        <v>4.9156916576860787</v>
      </c>
      <c r="V350" s="466">
        <v>0</v>
      </c>
      <c r="W350" s="767">
        <v>5.0663139826008194</v>
      </c>
      <c r="X350" s="378"/>
      <c r="Y350" s="180"/>
      <c r="Z350" s="180"/>
      <c r="AA350" s="180"/>
      <c r="AB350" s="180"/>
    </row>
    <row r="351" spans="1:28" x14ac:dyDescent="0.2">
      <c r="A351" s="636"/>
      <c r="B351" s="388" t="s">
        <v>81</v>
      </c>
      <c r="C351" s="391">
        <v>9550000</v>
      </c>
      <c r="D351" s="391"/>
      <c r="E351" s="391"/>
      <c r="F351" s="391"/>
      <c r="G351" s="391"/>
      <c r="H351" s="391"/>
      <c r="I351" s="765">
        <v>9550000</v>
      </c>
      <c r="J351" s="391"/>
      <c r="K351" s="391"/>
      <c r="L351" s="391"/>
      <c r="M351" s="391"/>
      <c r="N351" s="391"/>
      <c r="O351" s="765"/>
      <c r="P351" s="391"/>
      <c r="Q351" s="391"/>
      <c r="R351" s="391"/>
      <c r="S351" s="765"/>
      <c r="T351" s="391">
        <v>22962335</v>
      </c>
      <c r="U351" s="765">
        <v>22962335</v>
      </c>
      <c r="V351" s="391"/>
      <c r="W351" s="765">
        <v>32512335</v>
      </c>
      <c r="X351" s="378"/>
      <c r="Y351" s="180"/>
      <c r="Z351" s="180"/>
      <c r="AA351" s="180"/>
      <c r="AB351" s="180"/>
    </row>
    <row r="352" spans="1:28" s="203" customFormat="1" x14ac:dyDescent="0.2">
      <c r="A352" s="636"/>
      <c r="B352" s="389" t="s">
        <v>318</v>
      </c>
      <c r="C352" s="392">
        <v>9900000</v>
      </c>
      <c r="D352" s="392"/>
      <c r="E352" s="392"/>
      <c r="F352" s="392"/>
      <c r="G352" s="392"/>
      <c r="H352" s="392"/>
      <c r="I352" s="766">
        <v>9900000</v>
      </c>
      <c r="J352" s="392"/>
      <c r="K352" s="392"/>
      <c r="L352" s="392"/>
      <c r="M352" s="392"/>
      <c r="N352" s="392"/>
      <c r="O352" s="766"/>
      <c r="P352" s="392"/>
      <c r="Q352" s="392"/>
      <c r="R352" s="392"/>
      <c r="S352" s="766"/>
      <c r="T352" s="392">
        <v>27320057</v>
      </c>
      <c r="U352" s="766">
        <v>27320057</v>
      </c>
      <c r="V352" s="392"/>
      <c r="W352" s="766">
        <v>37220057</v>
      </c>
      <c r="X352" s="378"/>
      <c r="Y352" s="180"/>
      <c r="Z352" s="180"/>
      <c r="AA352" s="180"/>
      <c r="AB352" s="180"/>
    </row>
    <row r="353" spans="1:28" s="202" customFormat="1" x14ac:dyDescent="0.2">
      <c r="A353" s="636"/>
      <c r="B353" s="639" t="s">
        <v>236</v>
      </c>
      <c r="C353" s="466">
        <v>3.664921465968586</v>
      </c>
      <c r="D353" s="466">
        <v>0</v>
      </c>
      <c r="E353" s="466">
        <v>0</v>
      </c>
      <c r="F353" s="466">
        <v>0</v>
      </c>
      <c r="G353" s="466">
        <v>0</v>
      </c>
      <c r="H353" s="466">
        <v>0</v>
      </c>
      <c r="I353" s="767">
        <v>3.664921465968586</v>
      </c>
      <c r="J353" s="466">
        <v>0</v>
      </c>
      <c r="K353" s="466">
        <v>0</v>
      </c>
      <c r="L353" s="466">
        <v>0</v>
      </c>
      <c r="M353" s="466">
        <v>0</v>
      </c>
      <c r="N353" s="466">
        <v>0</v>
      </c>
      <c r="O353" s="767">
        <v>0</v>
      </c>
      <c r="P353" s="466">
        <v>0</v>
      </c>
      <c r="Q353" s="466">
        <v>0</v>
      </c>
      <c r="R353" s="466">
        <v>0</v>
      </c>
      <c r="S353" s="767">
        <v>0</v>
      </c>
      <c r="T353" s="763">
        <v>18.977695430364552</v>
      </c>
      <c r="U353" s="767">
        <v>18.977695430364552</v>
      </c>
      <c r="V353" s="466">
        <v>0</v>
      </c>
      <c r="W353" s="767">
        <v>14.479802819452987</v>
      </c>
      <c r="X353" s="378"/>
      <c r="Y353" s="180"/>
      <c r="Z353" s="180"/>
      <c r="AA353" s="180"/>
      <c r="AB353" s="180"/>
    </row>
    <row r="354" spans="1:28" x14ac:dyDescent="0.2">
      <c r="A354" s="636"/>
      <c r="B354" s="388" t="s">
        <v>19</v>
      </c>
      <c r="C354" s="391">
        <v>489435158</v>
      </c>
      <c r="D354" s="391">
        <v>360368316</v>
      </c>
      <c r="E354" s="391"/>
      <c r="F354" s="391">
        <v>132538249</v>
      </c>
      <c r="G354" s="391">
        <v>30663349</v>
      </c>
      <c r="H354" s="391"/>
      <c r="I354" s="765">
        <v>1013005072</v>
      </c>
      <c r="J354" s="391"/>
      <c r="K354" s="391">
        <v>221486312.11000001</v>
      </c>
      <c r="L354" s="391">
        <v>238941332.37000003</v>
      </c>
      <c r="M354" s="391">
        <v>32274203</v>
      </c>
      <c r="N354" s="391"/>
      <c r="O354" s="765">
        <v>492701847.48000002</v>
      </c>
      <c r="P354" s="391"/>
      <c r="Q354" s="391"/>
      <c r="R354" s="391"/>
      <c r="S354" s="765"/>
      <c r="T354" s="391">
        <v>0</v>
      </c>
      <c r="U354" s="765">
        <v>0</v>
      </c>
      <c r="V354" s="391">
        <v>6888397.7800000003</v>
      </c>
      <c r="W354" s="765">
        <v>1512595317.2600002</v>
      </c>
      <c r="X354" s="378"/>
      <c r="Y354" s="180"/>
      <c r="Z354" s="180"/>
      <c r="AA354" s="180"/>
      <c r="AB354" s="180"/>
    </row>
    <row r="355" spans="1:28" s="203" customFormat="1" x14ac:dyDescent="0.2">
      <c r="A355" s="636"/>
      <c r="B355" s="389" t="s">
        <v>21</v>
      </c>
      <c r="C355" s="392">
        <v>517046044</v>
      </c>
      <c r="D355" s="392">
        <v>388495261</v>
      </c>
      <c r="E355" s="392"/>
      <c r="F355" s="392">
        <v>130634785</v>
      </c>
      <c r="G355" s="392">
        <v>33381625</v>
      </c>
      <c r="H355" s="392"/>
      <c r="I355" s="766">
        <v>1069557715</v>
      </c>
      <c r="J355" s="392"/>
      <c r="K355" s="392">
        <v>228632012.46000001</v>
      </c>
      <c r="L355" s="392">
        <v>242939835.44</v>
      </c>
      <c r="M355" s="392">
        <v>32672176.66</v>
      </c>
      <c r="N355" s="392"/>
      <c r="O355" s="766">
        <v>504244024.56</v>
      </c>
      <c r="P355" s="392"/>
      <c r="Q355" s="392"/>
      <c r="R355" s="392"/>
      <c r="S355" s="766"/>
      <c r="T355" s="392">
        <v>0</v>
      </c>
      <c r="U355" s="766">
        <v>0</v>
      </c>
      <c r="V355" s="392">
        <v>6941891.1600000001</v>
      </c>
      <c r="W355" s="766">
        <v>1580743630.7200003</v>
      </c>
      <c r="X355" s="378"/>
      <c r="Y355" s="180"/>
      <c r="Z355" s="180"/>
      <c r="AA355" s="180"/>
      <c r="AB355" s="180"/>
    </row>
    <row r="356" spans="1:28" s="212" customFormat="1" ht="13.5" thickBot="1" x14ac:dyDescent="0.25">
      <c r="A356" s="640"/>
      <c r="B356" s="777" t="s">
        <v>23</v>
      </c>
      <c r="C356" s="778">
        <v>5.6413777287327616</v>
      </c>
      <c r="D356" s="778">
        <v>7.8050549260829021</v>
      </c>
      <c r="E356" s="778">
        <v>0</v>
      </c>
      <c r="F356" s="1512">
        <v>-1.4361620244432232</v>
      </c>
      <c r="G356" s="778">
        <v>8.8649025258134717</v>
      </c>
      <c r="H356" s="778">
        <v>0</v>
      </c>
      <c r="I356" s="779">
        <v>5.5826613867141628</v>
      </c>
      <c r="J356" s="778">
        <v>0</v>
      </c>
      <c r="K356" s="778">
        <v>3.2262491898149981</v>
      </c>
      <c r="L356" s="778">
        <v>1.6734246144607126</v>
      </c>
      <c r="M356" s="778">
        <v>1.2331014339842881</v>
      </c>
      <c r="N356" s="778">
        <v>0</v>
      </c>
      <c r="O356" s="779">
        <v>2.3426291456048514</v>
      </c>
      <c r="P356" s="778">
        <v>0</v>
      </c>
      <c r="Q356" s="778">
        <v>0</v>
      </c>
      <c r="R356" s="778">
        <v>0</v>
      </c>
      <c r="S356" s="779">
        <v>0</v>
      </c>
      <c r="T356" s="778">
        <v>0</v>
      </c>
      <c r="U356" s="779">
        <v>0</v>
      </c>
      <c r="V356" s="778">
        <v>0.77657216828148812</v>
      </c>
      <c r="W356" s="779">
        <v>4.5053896889915146</v>
      </c>
      <c r="X356" s="378"/>
      <c r="Y356" s="180"/>
      <c r="Z356" s="180"/>
      <c r="AA356" s="180"/>
      <c r="AB356" s="180"/>
    </row>
    <row r="357" spans="1:28" ht="13.5" thickTop="1" x14ac:dyDescent="0.2">
      <c r="A357" s="230" t="s">
        <v>153</v>
      </c>
      <c r="B357" s="780" t="s">
        <v>190</v>
      </c>
      <c r="C357" s="781">
        <v>779216203</v>
      </c>
      <c r="D357" s="781">
        <v>410438953</v>
      </c>
      <c r="E357" s="781">
        <v>488370724</v>
      </c>
      <c r="F357" s="781">
        <v>49347987</v>
      </c>
      <c r="G357" s="781">
        <v>123258707</v>
      </c>
      <c r="H357" s="781">
        <v>72571440</v>
      </c>
      <c r="I357" s="782">
        <v>1923204014</v>
      </c>
      <c r="J357" s="781"/>
      <c r="K357" s="781">
        <v>286731709</v>
      </c>
      <c r="L357" s="781">
        <v>312911033</v>
      </c>
      <c r="M357" s="781">
        <v>160184537</v>
      </c>
      <c r="N357" s="781"/>
      <c r="O357" s="782">
        <v>759827279</v>
      </c>
      <c r="P357" s="781"/>
      <c r="Q357" s="781"/>
      <c r="R357" s="781"/>
      <c r="S357" s="782"/>
      <c r="T357" s="781">
        <v>27154238</v>
      </c>
      <c r="U357" s="782">
        <v>27154238</v>
      </c>
      <c r="V357" s="781"/>
      <c r="W357" s="782">
        <v>2710185531</v>
      </c>
      <c r="X357" s="378"/>
      <c r="Y357" s="180"/>
      <c r="Z357" s="180"/>
      <c r="AA357" s="180"/>
      <c r="AB357" s="180"/>
    </row>
    <row r="358" spans="1:28" s="203" customFormat="1" x14ac:dyDescent="0.2">
      <c r="A358" s="636"/>
      <c r="B358" s="389" t="s">
        <v>4</v>
      </c>
      <c r="C358" s="392">
        <v>760849511</v>
      </c>
      <c r="D358" s="392">
        <v>406116169</v>
      </c>
      <c r="E358" s="392">
        <v>483213070</v>
      </c>
      <c r="F358" s="392">
        <v>48005712</v>
      </c>
      <c r="G358" s="392">
        <v>117566104</v>
      </c>
      <c r="H358" s="392">
        <v>69864008</v>
      </c>
      <c r="I358" s="766">
        <v>1885614574</v>
      </c>
      <c r="J358" s="392"/>
      <c r="K358" s="392">
        <v>297373038</v>
      </c>
      <c r="L358" s="392">
        <v>296450773</v>
      </c>
      <c r="M358" s="392">
        <v>150044385</v>
      </c>
      <c r="N358" s="392"/>
      <c r="O358" s="766">
        <v>743868196</v>
      </c>
      <c r="P358" s="392"/>
      <c r="Q358" s="392"/>
      <c r="R358" s="392"/>
      <c r="S358" s="766"/>
      <c r="T358" s="392">
        <v>31919104</v>
      </c>
      <c r="U358" s="766">
        <v>31919104</v>
      </c>
      <c r="V358" s="392"/>
      <c r="W358" s="766">
        <v>2661401874</v>
      </c>
      <c r="X358" s="378"/>
      <c r="Y358" s="180"/>
      <c r="Z358" s="180"/>
      <c r="AA358" s="180"/>
      <c r="AB358" s="180"/>
    </row>
    <row r="359" spans="1:28" s="202" customFormat="1" x14ac:dyDescent="0.2">
      <c r="A359" s="637"/>
      <c r="B359" s="639" t="s">
        <v>116</v>
      </c>
      <c r="C359" s="466">
        <v>-2.3570726493222063</v>
      </c>
      <c r="D359" s="466">
        <v>-1.0532099763932494</v>
      </c>
      <c r="E359" s="466">
        <v>-1.0560940176258395</v>
      </c>
      <c r="F359" s="466">
        <v>-2.720019764939956</v>
      </c>
      <c r="G359" s="466">
        <v>-4.6184185592665674</v>
      </c>
      <c r="H359" s="466">
        <v>-3.7307127983129447</v>
      </c>
      <c r="I359" s="767">
        <v>-1.9545217109764206</v>
      </c>
      <c r="J359" s="466">
        <v>0</v>
      </c>
      <c r="K359" s="466">
        <v>3.7112494593334286</v>
      </c>
      <c r="L359" s="466">
        <v>-5.2603642134919548</v>
      </c>
      <c r="M359" s="466">
        <v>-6.3302939159477045</v>
      </c>
      <c r="N359" s="466">
        <v>0</v>
      </c>
      <c r="O359" s="767">
        <v>-2.1003566785603653</v>
      </c>
      <c r="P359" s="466">
        <v>0</v>
      </c>
      <c r="Q359" s="466">
        <v>0</v>
      </c>
      <c r="R359" s="466">
        <v>0</v>
      </c>
      <c r="S359" s="767">
        <v>0</v>
      </c>
      <c r="T359" s="763">
        <v>17.547411936214154</v>
      </c>
      <c r="U359" s="767">
        <v>17.547411936214154</v>
      </c>
      <c r="V359" s="466">
        <v>0</v>
      </c>
      <c r="W359" s="767">
        <v>-1.8000117129250512</v>
      </c>
      <c r="X359" s="378"/>
      <c r="Y359" s="180"/>
      <c r="Z359" s="180"/>
      <c r="AA359" s="180"/>
      <c r="AB359" s="180"/>
    </row>
    <row r="360" spans="1:28" x14ac:dyDescent="0.2">
      <c r="A360" s="636"/>
      <c r="B360" s="388" t="s">
        <v>195</v>
      </c>
      <c r="C360" s="391">
        <v>94785706</v>
      </c>
      <c r="D360" s="391"/>
      <c r="E360" s="391"/>
      <c r="F360" s="391"/>
      <c r="G360" s="391"/>
      <c r="H360" s="391"/>
      <c r="I360" s="765">
        <v>94785706</v>
      </c>
      <c r="J360" s="391"/>
      <c r="K360" s="391">
        <v>45095206</v>
      </c>
      <c r="L360" s="391">
        <v>65360357</v>
      </c>
      <c r="M360" s="391">
        <v>38610615</v>
      </c>
      <c r="N360" s="391"/>
      <c r="O360" s="765">
        <v>149066178</v>
      </c>
      <c r="P360" s="391"/>
      <c r="Q360" s="391"/>
      <c r="R360" s="391"/>
      <c r="S360" s="765"/>
      <c r="T360" s="391"/>
      <c r="U360" s="765"/>
      <c r="V360" s="391">
        <v>37830680</v>
      </c>
      <c r="W360" s="765">
        <v>281682564</v>
      </c>
      <c r="X360" s="378"/>
      <c r="Y360" s="180"/>
      <c r="Z360" s="180"/>
      <c r="AA360" s="180"/>
      <c r="AB360" s="180"/>
    </row>
    <row r="361" spans="1:28" s="203" customFormat="1" x14ac:dyDescent="0.2">
      <c r="A361" s="636"/>
      <c r="B361" s="389" t="s">
        <v>242</v>
      </c>
      <c r="C361" s="392">
        <v>91791650</v>
      </c>
      <c r="D361" s="392"/>
      <c r="E361" s="392"/>
      <c r="F361" s="392"/>
      <c r="G361" s="392"/>
      <c r="H361" s="392"/>
      <c r="I361" s="766">
        <v>91791650</v>
      </c>
      <c r="J361" s="392"/>
      <c r="K361" s="392">
        <v>45021415</v>
      </c>
      <c r="L361" s="392">
        <v>62360250</v>
      </c>
      <c r="M361" s="392">
        <v>37541537</v>
      </c>
      <c r="N361" s="392"/>
      <c r="O361" s="766">
        <v>144923202</v>
      </c>
      <c r="P361" s="392"/>
      <c r="Q361" s="392"/>
      <c r="R361" s="392"/>
      <c r="S361" s="766"/>
      <c r="T361" s="392"/>
      <c r="U361" s="766"/>
      <c r="V361" s="392">
        <v>55701579</v>
      </c>
      <c r="W361" s="766">
        <v>292416431</v>
      </c>
      <c r="X361" s="378"/>
      <c r="Y361" s="180"/>
      <c r="Z361" s="180"/>
      <c r="AA361" s="180"/>
      <c r="AB361" s="180"/>
    </row>
    <row r="362" spans="1:28" s="202" customFormat="1" x14ac:dyDescent="0.2">
      <c r="A362" s="636"/>
      <c r="B362" s="639" t="s">
        <v>244</v>
      </c>
      <c r="C362" s="466">
        <v>-3.1587632000124577</v>
      </c>
      <c r="D362" s="466">
        <v>0</v>
      </c>
      <c r="E362" s="466">
        <v>0</v>
      </c>
      <c r="F362" s="466">
        <v>0</v>
      </c>
      <c r="G362" s="466">
        <v>0</v>
      </c>
      <c r="H362" s="466">
        <v>0</v>
      </c>
      <c r="I362" s="767">
        <v>-3.1587632000124577</v>
      </c>
      <c r="J362" s="466">
        <v>0</v>
      </c>
      <c r="K362" s="466">
        <v>-0.16363380178371956</v>
      </c>
      <c r="L362" s="466">
        <v>-4.5901019175889752</v>
      </c>
      <c r="M362" s="466">
        <v>-2.7688706849139804</v>
      </c>
      <c r="N362" s="466">
        <v>0</v>
      </c>
      <c r="O362" s="767">
        <v>-2.7792863918467141</v>
      </c>
      <c r="P362" s="466">
        <v>0</v>
      </c>
      <c r="Q362" s="466">
        <v>0</v>
      </c>
      <c r="R362" s="466">
        <v>0</v>
      </c>
      <c r="S362" s="767">
        <v>0</v>
      </c>
      <c r="T362" s="466">
        <v>0</v>
      </c>
      <c r="U362" s="767">
        <v>0</v>
      </c>
      <c r="V362" s="763">
        <v>47.239169372583312</v>
      </c>
      <c r="W362" s="767">
        <v>3.8106252824367219</v>
      </c>
      <c r="X362" s="378"/>
      <c r="Y362" s="180"/>
      <c r="Z362" s="180"/>
      <c r="AA362" s="180"/>
      <c r="AB362" s="180"/>
    </row>
    <row r="363" spans="1:28" x14ac:dyDescent="0.2">
      <c r="A363" s="636"/>
      <c r="B363" s="388" t="s">
        <v>5</v>
      </c>
      <c r="C363" s="391"/>
      <c r="D363" s="391"/>
      <c r="E363" s="391"/>
      <c r="F363" s="391"/>
      <c r="G363" s="391"/>
      <c r="H363" s="391"/>
      <c r="I363" s="765"/>
      <c r="J363" s="391"/>
      <c r="K363" s="391">
        <v>97813282</v>
      </c>
      <c r="L363" s="391">
        <v>74824831</v>
      </c>
      <c r="M363" s="391">
        <v>38132502</v>
      </c>
      <c r="N363" s="391"/>
      <c r="O363" s="765">
        <v>210770615</v>
      </c>
      <c r="P363" s="391"/>
      <c r="Q363" s="391"/>
      <c r="R363" s="391"/>
      <c r="S363" s="765"/>
      <c r="T363" s="391"/>
      <c r="U363" s="765"/>
      <c r="V363" s="391"/>
      <c r="W363" s="765">
        <v>210770615</v>
      </c>
      <c r="X363" s="378"/>
      <c r="Y363" s="180"/>
      <c r="Z363" s="180"/>
      <c r="AA363" s="180"/>
      <c r="AB363" s="180"/>
    </row>
    <row r="364" spans="1:28" s="203" customFormat="1" x14ac:dyDescent="0.2">
      <c r="A364" s="636"/>
      <c r="B364" s="389" t="s">
        <v>6</v>
      </c>
      <c r="C364" s="392"/>
      <c r="D364" s="392"/>
      <c r="E364" s="392"/>
      <c r="F364" s="392"/>
      <c r="G364" s="392"/>
      <c r="H364" s="392"/>
      <c r="I364" s="766"/>
      <c r="J364" s="392"/>
      <c r="K364" s="392">
        <v>104645461</v>
      </c>
      <c r="L364" s="392">
        <v>75403063</v>
      </c>
      <c r="M364" s="392">
        <v>39860534</v>
      </c>
      <c r="N364" s="392"/>
      <c r="O364" s="766">
        <v>219909058</v>
      </c>
      <c r="P364" s="392"/>
      <c r="Q364" s="392"/>
      <c r="R364" s="392"/>
      <c r="S364" s="766"/>
      <c r="T364" s="392"/>
      <c r="U364" s="766"/>
      <c r="V364" s="392"/>
      <c r="W364" s="766">
        <v>219909058</v>
      </c>
      <c r="X364" s="378"/>
      <c r="Y364" s="180"/>
      <c r="Z364" s="180"/>
      <c r="AA364" s="180"/>
      <c r="AB364" s="180"/>
    </row>
    <row r="365" spans="1:28" s="202" customFormat="1" x14ac:dyDescent="0.2">
      <c r="A365" s="636"/>
      <c r="B365" s="639" t="s">
        <v>298</v>
      </c>
      <c r="C365" s="466">
        <v>0</v>
      </c>
      <c r="D365" s="466">
        <v>0</v>
      </c>
      <c r="E365" s="466">
        <v>0</v>
      </c>
      <c r="F365" s="466">
        <v>0</v>
      </c>
      <c r="G365" s="466">
        <v>0</v>
      </c>
      <c r="H365" s="466">
        <v>0</v>
      </c>
      <c r="I365" s="767">
        <v>0</v>
      </c>
      <c r="J365" s="466">
        <v>0</v>
      </c>
      <c r="K365" s="466">
        <v>6.9849194918129829</v>
      </c>
      <c r="L365" s="466">
        <v>0.77278089675872441</v>
      </c>
      <c r="M365" s="466">
        <v>4.5316512407184826</v>
      </c>
      <c r="N365" s="466">
        <v>0</v>
      </c>
      <c r="O365" s="767">
        <v>4.3357291527568966</v>
      </c>
      <c r="P365" s="466">
        <v>0</v>
      </c>
      <c r="Q365" s="466">
        <v>0</v>
      </c>
      <c r="R365" s="466">
        <v>0</v>
      </c>
      <c r="S365" s="767">
        <v>0</v>
      </c>
      <c r="T365" s="466">
        <v>0</v>
      </c>
      <c r="U365" s="767">
        <v>0</v>
      </c>
      <c r="V365" s="466">
        <v>0</v>
      </c>
      <c r="W365" s="767">
        <v>4.3357291527568966</v>
      </c>
      <c r="X365" s="378"/>
      <c r="Y365" s="180"/>
      <c r="Z365" s="180"/>
      <c r="AA365" s="180"/>
      <c r="AB365" s="180"/>
    </row>
    <row r="366" spans="1:28" x14ac:dyDescent="0.2">
      <c r="A366" s="636"/>
      <c r="B366" s="388" t="s">
        <v>223</v>
      </c>
      <c r="C366" s="391">
        <v>591592483</v>
      </c>
      <c r="D366" s="391">
        <v>255552297.83000001</v>
      </c>
      <c r="E366" s="391">
        <v>276626032</v>
      </c>
      <c r="F366" s="391">
        <v>15591839</v>
      </c>
      <c r="G366" s="391">
        <v>37457856</v>
      </c>
      <c r="H366" s="391">
        <v>26975933</v>
      </c>
      <c r="I366" s="765">
        <v>1203796440.8299999</v>
      </c>
      <c r="J366" s="391"/>
      <c r="K366" s="391">
        <v>165251246</v>
      </c>
      <c r="L366" s="391">
        <v>143587922</v>
      </c>
      <c r="M366" s="391">
        <v>58725984</v>
      </c>
      <c r="N366" s="391"/>
      <c r="O366" s="765">
        <v>367565152</v>
      </c>
      <c r="P366" s="391"/>
      <c r="Q366" s="391"/>
      <c r="R366" s="391"/>
      <c r="S366" s="765"/>
      <c r="T366" s="391"/>
      <c r="U366" s="765"/>
      <c r="V366" s="391"/>
      <c r="W366" s="765">
        <v>1571361592.8299999</v>
      </c>
      <c r="X366" s="378"/>
      <c r="Y366" s="180"/>
      <c r="Z366" s="180"/>
      <c r="AA366" s="180"/>
      <c r="AB366" s="180"/>
    </row>
    <row r="367" spans="1:28" s="203" customFormat="1" x14ac:dyDescent="0.2">
      <c r="A367" s="636"/>
      <c r="B367" s="389" t="s">
        <v>14</v>
      </c>
      <c r="C367" s="392">
        <v>627445194</v>
      </c>
      <c r="D367" s="392">
        <v>275720163</v>
      </c>
      <c r="E367" s="392">
        <v>294254133</v>
      </c>
      <c r="F367" s="392">
        <v>18720576</v>
      </c>
      <c r="G367" s="392">
        <v>45745217</v>
      </c>
      <c r="H367" s="392">
        <v>27260912</v>
      </c>
      <c r="I367" s="766">
        <v>1289146195</v>
      </c>
      <c r="J367" s="392"/>
      <c r="K367" s="392">
        <v>157232048</v>
      </c>
      <c r="L367" s="392">
        <v>145225014</v>
      </c>
      <c r="M367" s="392">
        <v>64639121</v>
      </c>
      <c r="N367" s="392"/>
      <c r="O367" s="766">
        <v>367096183</v>
      </c>
      <c r="P367" s="392"/>
      <c r="Q367" s="392"/>
      <c r="R367" s="392"/>
      <c r="S367" s="766"/>
      <c r="T367" s="392"/>
      <c r="U367" s="766"/>
      <c r="V367" s="392"/>
      <c r="W367" s="766">
        <v>1656242378</v>
      </c>
      <c r="X367" s="378"/>
      <c r="Y367" s="180"/>
      <c r="Z367" s="180"/>
      <c r="AA367" s="180"/>
      <c r="AB367" s="180"/>
    </row>
    <row r="368" spans="1:28" s="202" customFormat="1" x14ac:dyDescent="0.2">
      <c r="A368" s="636"/>
      <c r="B368" s="639" t="s">
        <v>247</v>
      </c>
      <c r="C368" s="466">
        <v>6.0603729814464193</v>
      </c>
      <c r="D368" s="466">
        <v>7.8918739300149712</v>
      </c>
      <c r="E368" s="466">
        <v>6.3725387204339468</v>
      </c>
      <c r="F368" s="763">
        <v>20.066504021751381</v>
      </c>
      <c r="G368" s="763">
        <v>22.124493724360519</v>
      </c>
      <c r="H368" s="466">
        <v>1.0564194387641754</v>
      </c>
      <c r="I368" s="767">
        <v>7.0900487221205495</v>
      </c>
      <c r="J368" s="466">
        <v>0</v>
      </c>
      <c r="K368" s="466">
        <v>-4.8527307322088209</v>
      </c>
      <c r="L368" s="466">
        <v>1.1401321066544858</v>
      </c>
      <c r="M368" s="763">
        <v>10.06903009066651</v>
      </c>
      <c r="N368" s="466">
        <v>0</v>
      </c>
      <c r="O368" s="767">
        <v>-0.12758799289003328</v>
      </c>
      <c r="P368" s="466">
        <v>0</v>
      </c>
      <c r="Q368" s="466">
        <v>0</v>
      </c>
      <c r="R368" s="466">
        <v>0</v>
      </c>
      <c r="S368" s="767">
        <v>0</v>
      </c>
      <c r="T368" s="466">
        <v>0</v>
      </c>
      <c r="U368" s="767">
        <v>0</v>
      </c>
      <c r="V368" s="466">
        <v>0</v>
      </c>
      <c r="W368" s="767">
        <v>5.401734747578435</v>
      </c>
      <c r="X368" s="378"/>
      <c r="Y368" s="180"/>
      <c r="Z368" s="180"/>
      <c r="AA368" s="180"/>
      <c r="AB368" s="180"/>
    </row>
    <row r="369" spans="1:28" x14ac:dyDescent="0.2">
      <c r="A369" s="636"/>
      <c r="B369" s="388" t="s">
        <v>225</v>
      </c>
      <c r="C369" s="391"/>
      <c r="D369" s="391"/>
      <c r="E369" s="391"/>
      <c r="F369" s="391"/>
      <c r="G369" s="391"/>
      <c r="H369" s="391"/>
      <c r="I369" s="765"/>
      <c r="J369" s="391"/>
      <c r="K369" s="391"/>
      <c r="L369" s="391"/>
      <c r="M369" s="391"/>
      <c r="N369" s="391"/>
      <c r="O369" s="765"/>
      <c r="P369" s="391"/>
      <c r="Q369" s="391"/>
      <c r="R369" s="391"/>
      <c r="S369" s="765"/>
      <c r="T369" s="391"/>
      <c r="U369" s="765"/>
      <c r="V369" s="391"/>
      <c r="W369" s="765"/>
      <c r="X369" s="378"/>
      <c r="Y369" s="180"/>
      <c r="Z369" s="180"/>
      <c r="AA369" s="180"/>
      <c r="AB369" s="180"/>
    </row>
    <row r="370" spans="1:28" s="203" customFormat="1" x14ac:dyDescent="0.2">
      <c r="A370" s="636"/>
      <c r="B370" s="389" t="s">
        <v>166</v>
      </c>
      <c r="C370" s="392"/>
      <c r="D370" s="392"/>
      <c r="E370" s="392"/>
      <c r="F370" s="392"/>
      <c r="G370" s="392"/>
      <c r="H370" s="392"/>
      <c r="I370" s="766"/>
      <c r="J370" s="392"/>
      <c r="K370" s="392"/>
      <c r="L370" s="392"/>
      <c r="M370" s="392"/>
      <c r="N370" s="392"/>
      <c r="O370" s="766"/>
      <c r="P370" s="392"/>
      <c r="Q370" s="392"/>
      <c r="R370" s="392"/>
      <c r="S370" s="766"/>
      <c r="T370" s="392"/>
      <c r="U370" s="766"/>
      <c r="V370" s="392"/>
      <c r="W370" s="766"/>
      <c r="X370" s="378"/>
      <c r="Y370" s="180"/>
      <c r="Z370" s="180"/>
      <c r="AA370" s="180"/>
      <c r="AB370" s="180"/>
    </row>
    <row r="371" spans="1:28" s="202" customFormat="1" x14ac:dyDescent="0.2">
      <c r="A371" s="636"/>
      <c r="B371" s="639" t="s">
        <v>175</v>
      </c>
      <c r="C371" s="466">
        <v>0</v>
      </c>
      <c r="D371" s="466">
        <v>0</v>
      </c>
      <c r="E371" s="466">
        <v>0</v>
      </c>
      <c r="F371" s="466">
        <v>0</v>
      </c>
      <c r="G371" s="466">
        <v>0</v>
      </c>
      <c r="H371" s="466">
        <v>0</v>
      </c>
      <c r="I371" s="767">
        <v>0</v>
      </c>
      <c r="J371" s="466">
        <v>0</v>
      </c>
      <c r="K371" s="466">
        <v>0</v>
      </c>
      <c r="L371" s="466">
        <v>0</v>
      </c>
      <c r="M371" s="466">
        <v>0</v>
      </c>
      <c r="N371" s="466">
        <v>0</v>
      </c>
      <c r="O371" s="767">
        <v>0</v>
      </c>
      <c r="P371" s="466">
        <v>0</v>
      </c>
      <c r="Q371" s="466">
        <v>0</v>
      </c>
      <c r="R371" s="466">
        <v>0</v>
      </c>
      <c r="S371" s="767">
        <v>0</v>
      </c>
      <c r="T371" s="466">
        <v>0</v>
      </c>
      <c r="U371" s="767">
        <v>0</v>
      </c>
      <c r="V371" s="466">
        <v>0</v>
      </c>
      <c r="W371" s="767">
        <v>0</v>
      </c>
      <c r="X371" s="378"/>
      <c r="Y371" s="180"/>
      <c r="Z371" s="180"/>
      <c r="AA371" s="180"/>
      <c r="AB371" s="180"/>
    </row>
    <row r="372" spans="1:28" x14ac:dyDescent="0.2">
      <c r="A372" s="636"/>
      <c r="B372" s="768" t="s">
        <v>317</v>
      </c>
      <c r="C372" s="765">
        <v>591592483</v>
      </c>
      <c r="D372" s="765">
        <v>255552297.83000001</v>
      </c>
      <c r="E372" s="765">
        <v>276626032</v>
      </c>
      <c r="F372" s="765">
        <v>15591839</v>
      </c>
      <c r="G372" s="765">
        <v>37457856</v>
      </c>
      <c r="H372" s="765">
        <v>26975933</v>
      </c>
      <c r="I372" s="765">
        <v>1203796440.8299999</v>
      </c>
      <c r="J372" s="765"/>
      <c r="K372" s="765">
        <v>165251246</v>
      </c>
      <c r="L372" s="765">
        <v>143587922</v>
      </c>
      <c r="M372" s="765">
        <v>58725984</v>
      </c>
      <c r="N372" s="765"/>
      <c r="O372" s="765">
        <v>367565152</v>
      </c>
      <c r="P372" s="765"/>
      <c r="Q372" s="765"/>
      <c r="R372" s="765"/>
      <c r="S372" s="765"/>
      <c r="T372" s="765">
        <v>0</v>
      </c>
      <c r="U372" s="765">
        <v>0</v>
      </c>
      <c r="V372" s="765">
        <v>0</v>
      </c>
      <c r="W372" s="765">
        <v>1571361592.8299999</v>
      </c>
      <c r="X372" s="378"/>
      <c r="Y372" s="180"/>
      <c r="Z372" s="180"/>
      <c r="AA372" s="180"/>
      <c r="AB372" s="180"/>
    </row>
    <row r="373" spans="1:28" s="203" customFormat="1" x14ac:dyDescent="0.2">
      <c r="A373" s="636"/>
      <c r="B373" s="769" t="s">
        <v>70</v>
      </c>
      <c r="C373" s="766">
        <v>627445194</v>
      </c>
      <c r="D373" s="766">
        <v>275720163</v>
      </c>
      <c r="E373" s="766">
        <v>294254133</v>
      </c>
      <c r="F373" s="766">
        <v>18720576</v>
      </c>
      <c r="G373" s="766">
        <v>45745217</v>
      </c>
      <c r="H373" s="766">
        <v>27260912</v>
      </c>
      <c r="I373" s="766">
        <v>1289146195</v>
      </c>
      <c r="J373" s="766"/>
      <c r="K373" s="766">
        <v>157232048</v>
      </c>
      <c r="L373" s="766">
        <v>145225014</v>
      </c>
      <c r="M373" s="766">
        <v>64639121</v>
      </c>
      <c r="N373" s="766"/>
      <c r="O373" s="766">
        <v>367096183</v>
      </c>
      <c r="P373" s="766"/>
      <c r="Q373" s="766"/>
      <c r="R373" s="766"/>
      <c r="S373" s="766"/>
      <c r="T373" s="766">
        <v>0</v>
      </c>
      <c r="U373" s="766">
        <v>0</v>
      </c>
      <c r="V373" s="766">
        <v>0</v>
      </c>
      <c r="W373" s="766">
        <v>1656242378</v>
      </c>
      <c r="X373" s="378"/>
      <c r="Y373" s="180"/>
      <c r="Z373" s="180"/>
      <c r="AA373" s="180"/>
      <c r="AB373" s="180"/>
    </row>
    <row r="374" spans="1:28" s="202" customFormat="1" x14ac:dyDescent="0.2">
      <c r="A374" s="636"/>
      <c r="B374" s="770" t="s">
        <v>57</v>
      </c>
      <c r="C374" s="767">
        <v>6.0603729814464193</v>
      </c>
      <c r="D374" s="767">
        <v>7.8918739300149712</v>
      </c>
      <c r="E374" s="767">
        <v>6.3725387204339468</v>
      </c>
      <c r="F374" s="767">
        <v>20.066504021751381</v>
      </c>
      <c r="G374" s="767">
        <v>22.124493724360519</v>
      </c>
      <c r="H374" s="767">
        <v>1.0564194387641754</v>
      </c>
      <c r="I374" s="767">
        <v>7.0900487221205495</v>
      </c>
      <c r="J374" s="767">
        <v>0</v>
      </c>
      <c r="K374" s="767">
        <v>-4.8527307322088209</v>
      </c>
      <c r="L374" s="767">
        <v>1.1401321066544858</v>
      </c>
      <c r="M374" s="767">
        <v>10.06903009066651</v>
      </c>
      <c r="N374" s="767">
        <v>0</v>
      </c>
      <c r="O374" s="767">
        <v>-0.12758799289003328</v>
      </c>
      <c r="P374" s="767">
        <v>0</v>
      </c>
      <c r="Q374" s="767">
        <v>0</v>
      </c>
      <c r="R374" s="767">
        <v>0</v>
      </c>
      <c r="S374" s="767">
        <v>0</v>
      </c>
      <c r="T374" s="767">
        <v>0</v>
      </c>
      <c r="U374" s="767">
        <v>0</v>
      </c>
      <c r="V374" s="767">
        <v>0</v>
      </c>
      <c r="W374" s="767">
        <v>5.401734747578435</v>
      </c>
      <c r="X374" s="378"/>
      <c r="Y374" s="180"/>
      <c r="Z374" s="180"/>
      <c r="AA374" s="180"/>
      <c r="AB374" s="180"/>
    </row>
    <row r="375" spans="1:28" x14ac:dyDescent="0.2">
      <c r="A375" s="636"/>
      <c r="B375" s="388" t="s">
        <v>72</v>
      </c>
      <c r="C375" s="391"/>
      <c r="D375" s="391"/>
      <c r="E375" s="391"/>
      <c r="F375" s="391"/>
      <c r="G375" s="391"/>
      <c r="H375" s="391"/>
      <c r="I375" s="765"/>
      <c r="J375" s="391"/>
      <c r="K375" s="391"/>
      <c r="L375" s="391"/>
      <c r="M375" s="391"/>
      <c r="N375" s="391"/>
      <c r="O375" s="765"/>
      <c r="P375" s="391"/>
      <c r="Q375" s="391"/>
      <c r="R375" s="391"/>
      <c r="S375" s="765"/>
      <c r="T375" s="391">
        <v>27154238</v>
      </c>
      <c r="U375" s="765">
        <v>27154238</v>
      </c>
      <c r="V375" s="391">
        <v>343722238</v>
      </c>
      <c r="W375" s="765">
        <v>370876476</v>
      </c>
      <c r="X375" s="378"/>
      <c r="Y375" s="180"/>
      <c r="Z375" s="180"/>
      <c r="AA375" s="180"/>
      <c r="AB375" s="180"/>
    </row>
    <row r="376" spans="1:28" s="203" customFormat="1" x14ac:dyDescent="0.2">
      <c r="A376" s="636"/>
      <c r="B376" s="389" t="s">
        <v>74</v>
      </c>
      <c r="C376" s="392"/>
      <c r="D376" s="392"/>
      <c r="E376" s="392"/>
      <c r="F376" s="392"/>
      <c r="G376" s="392"/>
      <c r="H376" s="392"/>
      <c r="I376" s="766"/>
      <c r="J376" s="392"/>
      <c r="K376" s="392"/>
      <c r="L376" s="392"/>
      <c r="M376" s="392"/>
      <c r="N376" s="392"/>
      <c r="O376" s="766"/>
      <c r="P376" s="392"/>
      <c r="Q376" s="392"/>
      <c r="R376" s="392"/>
      <c r="S376" s="766"/>
      <c r="T376" s="392">
        <v>31919104</v>
      </c>
      <c r="U376" s="766">
        <v>31919104</v>
      </c>
      <c r="V376" s="392">
        <v>323656120</v>
      </c>
      <c r="W376" s="766">
        <v>355575224</v>
      </c>
      <c r="X376" s="378"/>
      <c r="Y376" s="180"/>
      <c r="Z376" s="180"/>
      <c r="AA376" s="180"/>
      <c r="AB376" s="180"/>
    </row>
    <row r="377" spans="1:28" s="202" customFormat="1" x14ac:dyDescent="0.2">
      <c r="A377" s="636"/>
      <c r="B377" s="639" t="s">
        <v>76</v>
      </c>
      <c r="C377" s="466">
        <v>0</v>
      </c>
      <c r="D377" s="466">
        <v>0</v>
      </c>
      <c r="E377" s="466">
        <v>0</v>
      </c>
      <c r="F377" s="466">
        <v>0</v>
      </c>
      <c r="G377" s="466">
        <v>0</v>
      </c>
      <c r="H377" s="466">
        <v>0</v>
      </c>
      <c r="I377" s="767">
        <v>0</v>
      </c>
      <c r="J377" s="466">
        <v>0</v>
      </c>
      <c r="K377" s="466">
        <v>0</v>
      </c>
      <c r="L377" s="466">
        <v>0</v>
      </c>
      <c r="M377" s="466">
        <v>0</v>
      </c>
      <c r="N377" s="466">
        <v>0</v>
      </c>
      <c r="O377" s="767">
        <v>0</v>
      </c>
      <c r="P377" s="466">
        <v>0</v>
      </c>
      <c r="Q377" s="466">
        <v>0</v>
      </c>
      <c r="R377" s="466">
        <v>0</v>
      </c>
      <c r="S377" s="767">
        <v>0</v>
      </c>
      <c r="T377" s="763">
        <v>17.547411936214154</v>
      </c>
      <c r="U377" s="767">
        <v>17.547411936214154</v>
      </c>
      <c r="V377" s="466">
        <v>-5.8378876259964301</v>
      </c>
      <c r="W377" s="767">
        <v>-4.125700331557292</v>
      </c>
      <c r="X377" s="378"/>
      <c r="Y377" s="180"/>
      <c r="Z377" s="180"/>
      <c r="AA377" s="180"/>
      <c r="AB377" s="180"/>
    </row>
    <row r="378" spans="1:28" x14ac:dyDescent="0.2">
      <c r="A378" s="636"/>
      <c r="B378" s="388" t="s">
        <v>240</v>
      </c>
      <c r="C378" s="391"/>
      <c r="D378" s="391"/>
      <c r="E378" s="391"/>
      <c r="F378" s="391"/>
      <c r="G378" s="391"/>
      <c r="H378" s="391"/>
      <c r="I378" s="765"/>
      <c r="J378" s="391"/>
      <c r="K378" s="391"/>
      <c r="L378" s="391"/>
      <c r="M378" s="391"/>
      <c r="N378" s="391"/>
      <c r="O378" s="765"/>
      <c r="P378" s="391"/>
      <c r="Q378" s="391"/>
      <c r="R378" s="391"/>
      <c r="S378" s="765"/>
      <c r="T378" s="391">
        <v>11027908</v>
      </c>
      <c r="U378" s="765">
        <v>11027908</v>
      </c>
      <c r="V378" s="391"/>
      <c r="W378" s="765">
        <v>11027908</v>
      </c>
      <c r="X378" s="378"/>
      <c r="Y378" s="180"/>
      <c r="Z378" s="180"/>
      <c r="AA378" s="180"/>
      <c r="AB378" s="180"/>
    </row>
    <row r="379" spans="1:28" s="203" customFormat="1" x14ac:dyDescent="0.2">
      <c r="A379" s="636"/>
      <c r="B379" s="389" t="s">
        <v>163</v>
      </c>
      <c r="C379" s="392"/>
      <c r="D379" s="392"/>
      <c r="E379" s="392"/>
      <c r="F379" s="392"/>
      <c r="G379" s="392"/>
      <c r="H379" s="392"/>
      <c r="I379" s="766"/>
      <c r="J379" s="392"/>
      <c r="K379" s="392"/>
      <c r="L379" s="392"/>
      <c r="M379" s="392"/>
      <c r="N379" s="392"/>
      <c r="O379" s="766"/>
      <c r="P379" s="392"/>
      <c r="Q379" s="392"/>
      <c r="R379" s="392"/>
      <c r="S379" s="766"/>
      <c r="T379" s="392">
        <v>12263571</v>
      </c>
      <c r="U379" s="766">
        <v>12263571</v>
      </c>
      <c r="V379" s="392"/>
      <c r="W379" s="766">
        <v>12263571</v>
      </c>
      <c r="X379" s="378"/>
      <c r="Y379" s="180"/>
      <c r="Z379" s="180"/>
      <c r="AA379" s="180"/>
      <c r="AB379" s="180"/>
    </row>
    <row r="380" spans="1:28" s="202" customFormat="1" x14ac:dyDescent="0.2">
      <c r="A380" s="636"/>
      <c r="B380" s="639" t="s">
        <v>59</v>
      </c>
      <c r="C380" s="466">
        <v>0</v>
      </c>
      <c r="D380" s="466">
        <v>0</v>
      </c>
      <c r="E380" s="466">
        <v>0</v>
      </c>
      <c r="F380" s="466">
        <v>0</v>
      </c>
      <c r="G380" s="466">
        <v>0</v>
      </c>
      <c r="H380" s="466">
        <v>0</v>
      </c>
      <c r="I380" s="767">
        <v>0</v>
      </c>
      <c r="J380" s="466">
        <v>0</v>
      </c>
      <c r="K380" s="466">
        <v>0</v>
      </c>
      <c r="L380" s="466">
        <v>0</v>
      </c>
      <c r="M380" s="466">
        <v>0</v>
      </c>
      <c r="N380" s="466">
        <v>0</v>
      </c>
      <c r="O380" s="767">
        <v>0</v>
      </c>
      <c r="P380" s="466">
        <v>0</v>
      </c>
      <c r="Q380" s="466">
        <v>0</v>
      </c>
      <c r="R380" s="466">
        <v>0</v>
      </c>
      <c r="S380" s="767">
        <v>0</v>
      </c>
      <c r="T380" s="763">
        <v>11.204872220551714</v>
      </c>
      <c r="U380" s="767">
        <v>11.204872220551714</v>
      </c>
      <c r="V380" s="466">
        <v>0</v>
      </c>
      <c r="W380" s="767">
        <v>11.204872220551714</v>
      </c>
      <c r="X380" s="378"/>
      <c r="Y380" s="180"/>
      <c r="Z380" s="180"/>
      <c r="AA380" s="180"/>
      <c r="AB380" s="180"/>
    </row>
    <row r="381" spans="1:28" x14ac:dyDescent="0.2">
      <c r="A381" s="636"/>
      <c r="B381" s="388" t="s">
        <v>159</v>
      </c>
      <c r="C381" s="391"/>
      <c r="D381" s="391"/>
      <c r="E381" s="391"/>
      <c r="F381" s="391"/>
      <c r="G381" s="391"/>
      <c r="H381" s="391"/>
      <c r="I381" s="765"/>
      <c r="J381" s="391"/>
      <c r="K381" s="391"/>
      <c r="L381" s="391"/>
      <c r="M381" s="391"/>
      <c r="N381" s="391"/>
      <c r="O381" s="765"/>
      <c r="P381" s="391"/>
      <c r="Q381" s="391"/>
      <c r="R381" s="391"/>
      <c r="S381" s="765"/>
      <c r="T381" s="391"/>
      <c r="U381" s="765"/>
      <c r="V381" s="391"/>
      <c r="W381" s="765"/>
      <c r="X381" s="378"/>
      <c r="Y381" s="180"/>
      <c r="Z381" s="180"/>
      <c r="AA381" s="180"/>
      <c r="AB381" s="180"/>
    </row>
    <row r="382" spans="1:28" s="203" customFormat="1" x14ac:dyDescent="0.2">
      <c r="A382" s="636"/>
      <c r="B382" s="389" t="s">
        <v>100</v>
      </c>
      <c r="C382" s="392"/>
      <c r="D382" s="392"/>
      <c r="E382" s="392"/>
      <c r="F382" s="392"/>
      <c r="G382" s="392"/>
      <c r="H382" s="392"/>
      <c r="I382" s="766"/>
      <c r="J382" s="392"/>
      <c r="K382" s="392"/>
      <c r="L382" s="392"/>
      <c r="M382" s="392"/>
      <c r="N382" s="392"/>
      <c r="O382" s="766"/>
      <c r="P382" s="392"/>
      <c r="Q382" s="392"/>
      <c r="R382" s="392"/>
      <c r="S382" s="766"/>
      <c r="T382" s="392"/>
      <c r="U382" s="766"/>
      <c r="V382" s="392"/>
      <c r="W382" s="766"/>
      <c r="X382" s="378"/>
      <c r="Y382" s="180"/>
      <c r="Z382" s="180"/>
      <c r="AA382" s="180"/>
      <c r="AB382" s="180"/>
    </row>
    <row r="383" spans="1:28" s="202" customFormat="1" x14ac:dyDescent="0.2">
      <c r="A383" s="636"/>
      <c r="B383" s="639" t="s">
        <v>110</v>
      </c>
      <c r="C383" s="466">
        <v>0</v>
      </c>
      <c r="D383" s="466">
        <v>0</v>
      </c>
      <c r="E383" s="466">
        <v>0</v>
      </c>
      <c r="F383" s="466">
        <v>0</v>
      </c>
      <c r="G383" s="466">
        <v>0</v>
      </c>
      <c r="H383" s="466">
        <v>0</v>
      </c>
      <c r="I383" s="767">
        <v>0</v>
      </c>
      <c r="J383" s="466">
        <v>0</v>
      </c>
      <c r="K383" s="466">
        <v>0</v>
      </c>
      <c r="L383" s="466">
        <v>0</v>
      </c>
      <c r="M383" s="466">
        <v>0</v>
      </c>
      <c r="N383" s="466">
        <v>0</v>
      </c>
      <c r="O383" s="767">
        <v>0</v>
      </c>
      <c r="P383" s="466">
        <v>0</v>
      </c>
      <c r="Q383" s="466">
        <v>0</v>
      </c>
      <c r="R383" s="466">
        <v>0</v>
      </c>
      <c r="S383" s="767">
        <v>0</v>
      </c>
      <c r="T383" s="466">
        <v>0</v>
      </c>
      <c r="U383" s="767">
        <v>0</v>
      </c>
      <c r="V383" s="466">
        <v>0</v>
      </c>
      <c r="W383" s="767">
        <v>0</v>
      </c>
      <c r="X383" s="378"/>
      <c r="Y383" s="180"/>
      <c r="Z383" s="180"/>
      <c r="AA383" s="180"/>
      <c r="AB383" s="180"/>
    </row>
    <row r="384" spans="1:28" x14ac:dyDescent="0.2">
      <c r="A384" s="636"/>
      <c r="B384" s="388" t="s">
        <v>161</v>
      </c>
      <c r="C384" s="391">
        <v>0</v>
      </c>
      <c r="D384" s="391">
        <v>0</v>
      </c>
      <c r="E384" s="391">
        <v>0</v>
      </c>
      <c r="F384" s="391">
        <v>0</v>
      </c>
      <c r="G384" s="391">
        <v>0</v>
      </c>
      <c r="H384" s="391">
        <v>0</v>
      </c>
      <c r="I384" s="765">
        <v>0</v>
      </c>
      <c r="J384" s="391"/>
      <c r="K384" s="391">
        <v>0</v>
      </c>
      <c r="L384" s="391">
        <v>0</v>
      </c>
      <c r="M384" s="391">
        <v>0</v>
      </c>
      <c r="N384" s="391"/>
      <c r="O384" s="765">
        <v>0</v>
      </c>
      <c r="P384" s="391"/>
      <c r="Q384" s="391"/>
      <c r="R384" s="391"/>
      <c r="S384" s="765"/>
      <c r="T384" s="391">
        <v>11027908</v>
      </c>
      <c r="U384" s="765">
        <v>11027908</v>
      </c>
      <c r="V384" s="391">
        <v>0</v>
      </c>
      <c r="W384" s="765">
        <v>11027908</v>
      </c>
      <c r="X384" s="378"/>
      <c r="Y384" s="180"/>
      <c r="Z384" s="180"/>
      <c r="AA384" s="180"/>
      <c r="AB384" s="180"/>
    </row>
    <row r="385" spans="1:28" s="203" customFormat="1" x14ac:dyDescent="0.2">
      <c r="A385" s="636"/>
      <c r="B385" s="389" t="s">
        <v>102</v>
      </c>
      <c r="C385" s="392">
        <v>0</v>
      </c>
      <c r="D385" s="392">
        <v>0</v>
      </c>
      <c r="E385" s="392">
        <v>0</v>
      </c>
      <c r="F385" s="392">
        <v>0</v>
      </c>
      <c r="G385" s="392">
        <v>0</v>
      </c>
      <c r="H385" s="392">
        <v>0</v>
      </c>
      <c r="I385" s="766">
        <v>0</v>
      </c>
      <c r="J385" s="392"/>
      <c r="K385" s="392">
        <v>0</v>
      </c>
      <c r="L385" s="392">
        <v>0</v>
      </c>
      <c r="M385" s="392">
        <v>0</v>
      </c>
      <c r="N385" s="392"/>
      <c r="O385" s="766">
        <v>0</v>
      </c>
      <c r="P385" s="392"/>
      <c r="Q385" s="392"/>
      <c r="R385" s="392"/>
      <c r="S385" s="766"/>
      <c r="T385" s="392">
        <v>12263571</v>
      </c>
      <c r="U385" s="766">
        <v>12263571</v>
      </c>
      <c r="V385" s="392">
        <v>0</v>
      </c>
      <c r="W385" s="766">
        <v>12263571</v>
      </c>
      <c r="X385" s="378"/>
      <c r="Y385" s="180"/>
      <c r="Z385" s="180"/>
      <c r="AA385" s="180"/>
      <c r="AB385" s="180"/>
    </row>
    <row r="386" spans="1:28" s="202" customFormat="1" x14ac:dyDescent="0.2">
      <c r="A386" s="636"/>
      <c r="B386" s="639" t="s">
        <v>183</v>
      </c>
      <c r="C386" s="466">
        <v>0</v>
      </c>
      <c r="D386" s="466">
        <v>0</v>
      </c>
      <c r="E386" s="466">
        <v>0</v>
      </c>
      <c r="F386" s="466">
        <v>0</v>
      </c>
      <c r="G386" s="466">
        <v>0</v>
      </c>
      <c r="H386" s="466">
        <v>0</v>
      </c>
      <c r="I386" s="767">
        <v>0</v>
      </c>
      <c r="J386" s="466">
        <v>0</v>
      </c>
      <c r="K386" s="466">
        <v>0</v>
      </c>
      <c r="L386" s="466">
        <v>0</v>
      </c>
      <c r="M386" s="466">
        <v>0</v>
      </c>
      <c r="N386" s="466">
        <v>0</v>
      </c>
      <c r="O386" s="767">
        <v>0</v>
      </c>
      <c r="P386" s="466">
        <v>0</v>
      </c>
      <c r="Q386" s="466">
        <v>0</v>
      </c>
      <c r="R386" s="466">
        <v>0</v>
      </c>
      <c r="S386" s="767">
        <v>0</v>
      </c>
      <c r="T386" s="763">
        <v>11.204872220551714</v>
      </c>
      <c r="U386" s="767">
        <v>11.204872220551714</v>
      </c>
      <c r="V386" s="466">
        <v>0</v>
      </c>
      <c r="W386" s="767">
        <v>11.204872220551714</v>
      </c>
      <c r="X386" s="378"/>
      <c r="Y386" s="180"/>
      <c r="Z386" s="180"/>
      <c r="AA386" s="180"/>
      <c r="AB386" s="180"/>
    </row>
    <row r="387" spans="1:28" x14ac:dyDescent="0.2">
      <c r="A387" s="636"/>
      <c r="B387" s="388" t="s">
        <v>78</v>
      </c>
      <c r="C387" s="391">
        <v>230348593</v>
      </c>
      <c r="D387" s="391">
        <v>64792309</v>
      </c>
      <c r="E387" s="391"/>
      <c r="F387" s="391"/>
      <c r="G387" s="391"/>
      <c r="H387" s="391"/>
      <c r="I387" s="765">
        <v>295140902</v>
      </c>
      <c r="J387" s="391"/>
      <c r="K387" s="391"/>
      <c r="L387" s="391"/>
      <c r="M387" s="391"/>
      <c r="N387" s="391"/>
      <c r="O387" s="765"/>
      <c r="P387" s="391"/>
      <c r="Q387" s="391"/>
      <c r="R387" s="391"/>
      <c r="S387" s="765"/>
      <c r="T387" s="391"/>
      <c r="U387" s="765"/>
      <c r="V387" s="391"/>
      <c r="W387" s="765">
        <v>295140902</v>
      </c>
      <c r="X387" s="378"/>
      <c r="Y387" s="180"/>
      <c r="Z387" s="180"/>
      <c r="AA387" s="180"/>
      <c r="AB387" s="180"/>
    </row>
    <row r="388" spans="1:28" s="203" customFormat="1" x14ac:dyDescent="0.2">
      <c r="A388" s="636"/>
      <c r="B388" s="389" t="s">
        <v>80</v>
      </c>
      <c r="C388" s="392">
        <v>214689383</v>
      </c>
      <c r="D388" s="392">
        <v>65209669</v>
      </c>
      <c r="E388" s="392"/>
      <c r="F388" s="392"/>
      <c r="G388" s="392"/>
      <c r="H388" s="392"/>
      <c r="I388" s="766">
        <v>279899052</v>
      </c>
      <c r="J388" s="392"/>
      <c r="K388" s="392"/>
      <c r="L388" s="392"/>
      <c r="M388" s="392"/>
      <c r="N388" s="392"/>
      <c r="O388" s="766"/>
      <c r="P388" s="392"/>
      <c r="Q388" s="392"/>
      <c r="R388" s="392"/>
      <c r="S388" s="766"/>
      <c r="T388" s="392"/>
      <c r="U388" s="766"/>
      <c r="V388" s="392"/>
      <c r="W388" s="766">
        <v>279899052</v>
      </c>
      <c r="X388" s="378"/>
      <c r="Y388" s="180"/>
      <c r="Z388" s="180"/>
      <c r="AA388" s="180"/>
      <c r="AB388" s="180"/>
    </row>
    <row r="389" spans="1:28" s="202" customFormat="1" x14ac:dyDescent="0.2">
      <c r="A389" s="636"/>
      <c r="B389" s="639" t="s">
        <v>215</v>
      </c>
      <c r="C389" s="466">
        <v>-6.7980489032116633</v>
      </c>
      <c r="D389" s="466">
        <v>0.64415052718679922</v>
      </c>
      <c r="E389" s="466">
        <v>0</v>
      </c>
      <c r="F389" s="466">
        <v>0</v>
      </c>
      <c r="G389" s="466">
        <v>0</v>
      </c>
      <c r="H389" s="466">
        <v>0</v>
      </c>
      <c r="I389" s="767">
        <v>-5.1642621868791334</v>
      </c>
      <c r="J389" s="466">
        <v>0</v>
      </c>
      <c r="K389" s="466">
        <v>0</v>
      </c>
      <c r="L389" s="466">
        <v>0</v>
      </c>
      <c r="M389" s="466">
        <v>0</v>
      </c>
      <c r="N389" s="466">
        <v>0</v>
      </c>
      <c r="O389" s="767">
        <v>0</v>
      </c>
      <c r="P389" s="466">
        <v>0</v>
      </c>
      <c r="Q389" s="466">
        <v>0</v>
      </c>
      <c r="R389" s="466">
        <v>0</v>
      </c>
      <c r="S389" s="767">
        <v>0</v>
      </c>
      <c r="T389" s="466">
        <v>0</v>
      </c>
      <c r="U389" s="767">
        <v>0</v>
      </c>
      <c r="V389" s="466">
        <v>0</v>
      </c>
      <c r="W389" s="767">
        <v>-5.1642621868791334</v>
      </c>
      <c r="X389" s="378"/>
      <c r="Y389" s="180"/>
      <c r="Z389" s="180"/>
      <c r="AA389" s="180"/>
      <c r="AB389" s="180"/>
    </row>
    <row r="390" spans="1:28" x14ac:dyDescent="0.2">
      <c r="A390" s="636"/>
      <c r="B390" s="388" t="s">
        <v>81</v>
      </c>
      <c r="C390" s="391">
        <v>89999726</v>
      </c>
      <c r="D390" s="391">
        <v>6309963</v>
      </c>
      <c r="E390" s="391"/>
      <c r="F390" s="391"/>
      <c r="G390" s="391"/>
      <c r="H390" s="391"/>
      <c r="I390" s="765">
        <v>96309689</v>
      </c>
      <c r="J390" s="391"/>
      <c r="K390" s="391"/>
      <c r="L390" s="391"/>
      <c r="M390" s="391"/>
      <c r="N390" s="391"/>
      <c r="O390" s="765"/>
      <c r="P390" s="391"/>
      <c r="Q390" s="391"/>
      <c r="R390" s="391"/>
      <c r="S390" s="765"/>
      <c r="T390" s="391"/>
      <c r="U390" s="765"/>
      <c r="V390" s="391"/>
      <c r="W390" s="765">
        <v>96309689</v>
      </c>
      <c r="X390" s="378"/>
      <c r="Y390" s="180"/>
      <c r="Z390" s="180"/>
      <c r="AA390" s="180"/>
      <c r="AB390" s="180"/>
    </row>
    <row r="391" spans="1:28" s="203" customFormat="1" x14ac:dyDescent="0.2">
      <c r="A391" s="636"/>
      <c r="B391" s="389" t="s">
        <v>318</v>
      </c>
      <c r="C391" s="392">
        <v>106513126</v>
      </c>
      <c r="D391" s="392">
        <v>8364718</v>
      </c>
      <c r="E391" s="392"/>
      <c r="F391" s="392"/>
      <c r="G391" s="392"/>
      <c r="H391" s="392"/>
      <c r="I391" s="766">
        <v>114877844</v>
      </c>
      <c r="J391" s="392"/>
      <c r="K391" s="392"/>
      <c r="L391" s="392"/>
      <c r="M391" s="392"/>
      <c r="N391" s="392"/>
      <c r="O391" s="766"/>
      <c r="P391" s="392"/>
      <c r="Q391" s="392"/>
      <c r="R391" s="392"/>
      <c r="S391" s="766"/>
      <c r="T391" s="392"/>
      <c r="U391" s="766"/>
      <c r="V391" s="392"/>
      <c r="W391" s="766">
        <v>114877844</v>
      </c>
      <c r="X391" s="378"/>
      <c r="Y391" s="180"/>
      <c r="Z391" s="180"/>
      <c r="AA391" s="180"/>
      <c r="AB391" s="180"/>
    </row>
    <row r="392" spans="1:28" s="202" customFormat="1" x14ac:dyDescent="0.2">
      <c r="A392" s="636"/>
      <c r="B392" s="639" t="s">
        <v>236</v>
      </c>
      <c r="C392" s="763">
        <v>18.348278082535497</v>
      </c>
      <c r="D392" s="763">
        <v>32.563661625274186</v>
      </c>
      <c r="E392" s="466">
        <v>0</v>
      </c>
      <c r="F392" s="466">
        <v>0</v>
      </c>
      <c r="G392" s="466">
        <v>0</v>
      </c>
      <c r="H392" s="466">
        <v>0</v>
      </c>
      <c r="I392" s="767">
        <v>19.279633433350615</v>
      </c>
      <c r="J392" s="466">
        <v>0</v>
      </c>
      <c r="K392" s="466">
        <v>0</v>
      </c>
      <c r="L392" s="466">
        <v>0</v>
      </c>
      <c r="M392" s="466">
        <v>0</v>
      </c>
      <c r="N392" s="466">
        <v>0</v>
      </c>
      <c r="O392" s="767">
        <v>0</v>
      </c>
      <c r="P392" s="466">
        <v>0</v>
      </c>
      <c r="Q392" s="466">
        <v>0</v>
      </c>
      <c r="R392" s="466">
        <v>0</v>
      </c>
      <c r="S392" s="767">
        <v>0</v>
      </c>
      <c r="T392" s="466">
        <v>0</v>
      </c>
      <c r="U392" s="767">
        <v>0</v>
      </c>
      <c r="V392" s="466">
        <v>0</v>
      </c>
      <c r="W392" s="767">
        <v>19.279633433350615</v>
      </c>
      <c r="X392" s="378"/>
      <c r="Y392" s="180"/>
      <c r="Z392" s="180"/>
      <c r="AA392" s="180"/>
      <c r="AB392" s="180"/>
    </row>
    <row r="393" spans="1:28" x14ac:dyDescent="0.2">
      <c r="A393" s="636"/>
      <c r="B393" s="388" t="s">
        <v>19</v>
      </c>
      <c r="C393" s="391">
        <v>1465594392</v>
      </c>
      <c r="D393" s="391">
        <v>665991250.83000004</v>
      </c>
      <c r="E393" s="391">
        <v>764996756</v>
      </c>
      <c r="F393" s="391">
        <v>64939826</v>
      </c>
      <c r="G393" s="391">
        <v>160716563</v>
      </c>
      <c r="H393" s="391">
        <v>99547373</v>
      </c>
      <c r="I393" s="765">
        <v>3221786160.8299999</v>
      </c>
      <c r="J393" s="391"/>
      <c r="K393" s="391">
        <v>594891443</v>
      </c>
      <c r="L393" s="391">
        <v>596684143</v>
      </c>
      <c r="M393" s="391">
        <v>295653638</v>
      </c>
      <c r="N393" s="391"/>
      <c r="O393" s="765">
        <v>1487229224</v>
      </c>
      <c r="P393" s="391"/>
      <c r="Q393" s="391"/>
      <c r="R393" s="391"/>
      <c r="S393" s="765"/>
      <c r="T393" s="391">
        <v>27154238</v>
      </c>
      <c r="U393" s="765">
        <v>27154238</v>
      </c>
      <c r="V393" s="391">
        <v>37830680</v>
      </c>
      <c r="W393" s="765">
        <v>4774000302.8299999</v>
      </c>
      <c r="X393" s="378"/>
      <c r="Y393" s="180"/>
      <c r="Z393" s="180"/>
      <c r="AA393" s="180"/>
      <c r="AB393" s="180"/>
    </row>
    <row r="394" spans="1:28" s="203" customFormat="1" x14ac:dyDescent="0.2">
      <c r="A394" s="636"/>
      <c r="B394" s="389" t="s">
        <v>21</v>
      </c>
      <c r="C394" s="392">
        <v>1480086355</v>
      </c>
      <c r="D394" s="392">
        <v>681836332</v>
      </c>
      <c r="E394" s="392">
        <v>777467203</v>
      </c>
      <c r="F394" s="392">
        <v>66726288</v>
      </c>
      <c r="G394" s="392">
        <v>163311321</v>
      </c>
      <c r="H394" s="392">
        <v>97124920</v>
      </c>
      <c r="I394" s="766">
        <v>3266552419</v>
      </c>
      <c r="J394" s="392"/>
      <c r="K394" s="392">
        <v>604271962</v>
      </c>
      <c r="L394" s="392">
        <v>579439100</v>
      </c>
      <c r="M394" s="392">
        <v>292085577</v>
      </c>
      <c r="N394" s="392"/>
      <c r="O394" s="766">
        <v>1475796639</v>
      </c>
      <c r="P394" s="392"/>
      <c r="Q394" s="392"/>
      <c r="R394" s="392"/>
      <c r="S394" s="766"/>
      <c r="T394" s="392">
        <v>31919104</v>
      </c>
      <c r="U394" s="766">
        <v>31919104</v>
      </c>
      <c r="V394" s="392">
        <v>55701579</v>
      </c>
      <c r="W394" s="766">
        <v>4829969741</v>
      </c>
      <c r="X394" s="378"/>
      <c r="Y394" s="180"/>
      <c r="Z394" s="180"/>
      <c r="AA394" s="180"/>
      <c r="AB394" s="180"/>
    </row>
    <row r="395" spans="1:28" s="212" customFormat="1" ht="13.5" thickBot="1" x14ac:dyDescent="0.25">
      <c r="A395" s="640"/>
      <c r="B395" s="777" t="s">
        <v>23</v>
      </c>
      <c r="C395" s="778">
        <v>0.98881130271137108</v>
      </c>
      <c r="D395" s="778">
        <v>2.3791725717496774</v>
      </c>
      <c r="E395" s="778">
        <v>1.6301307034562118</v>
      </c>
      <c r="F395" s="778">
        <v>2.7509497792618043</v>
      </c>
      <c r="G395" s="778">
        <v>1.6144932118788529</v>
      </c>
      <c r="H395" s="778">
        <v>-2.4334675310819098</v>
      </c>
      <c r="I395" s="779">
        <v>1.3894857056083245</v>
      </c>
      <c r="J395" s="778">
        <v>0</v>
      </c>
      <c r="K395" s="778">
        <v>1.5768455086014745</v>
      </c>
      <c r="L395" s="778">
        <v>-2.89014601817565</v>
      </c>
      <c r="M395" s="778">
        <v>-1.2068381854310211</v>
      </c>
      <c r="N395" s="778">
        <v>0</v>
      </c>
      <c r="O395" s="779">
        <v>-0.76871707572093817</v>
      </c>
      <c r="P395" s="778">
        <v>0</v>
      </c>
      <c r="Q395" s="778">
        <v>0</v>
      </c>
      <c r="R395" s="778">
        <v>0</v>
      </c>
      <c r="S395" s="779">
        <v>0</v>
      </c>
      <c r="T395" s="1512">
        <v>17.547411936214154</v>
      </c>
      <c r="U395" s="779">
        <v>17.547411936214154</v>
      </c>
      <c r="V395" s="1512">
        <v>47.239169372583312</v>
      </c>
      <c r="W395" s="779">
        <v>1.172380281099306</v>
      </c>
      <c r="X395" s="378"/>
      <c r="Y395" s="180"/>
      <c r="Z395" s="180"/>
      <c r="AA395" s="180"/>
      <c r="AB395" s="180"/>
    </row>
    <row r="396" spans="1:28" ht="13.5" thickTop="1" x14ac:dyDescent="0.2">
      <c r="A396" s="230" t="s">
        <v>154</v>
      </c>
      <c r="B396" s="780" t="s">
        <v>190</v>
      </c>
      <c r="C396" s="781">
        <v>272476945</v>
      </c>
      <c r="D396" s="781"/>
      <c r="E396" s="781">
        <v>89577146</v>
      </c>
      <c r="F396" s="781">
        <v>18702428</v>
      </c>
      <c r="G396" s="781">
        <v>90436271</v>
      </c>
      <c r="H396" s="781">
        <v>28473382</v>
      </c>
      <c r="I396" s="782">
        <v>499666172</v>
      </c>
      <c r="J396" s="781">
        <v>25495294</v>
      </c>
      <c r="K396" s="781">
        <v>81664213</v>
      </c>
      <c r="L396" s="781">
        <v>16273057</v>
      </c>
      <c r="M396" s="781">
        <v>45865297</v>
      </c>
      <c r="N396" s="781"/>
      <c r="O396" s="782">
        <v>169297861</v>
      </c>
      <c r="P396" s="781">
        <v>14280861</v>
      </c>
      <c r="Q396" s="781">
        <v>85346704</v>
      </c>
      <c r="R396" s="781"/>
      <c r="S396" s="782">
        <v>99627565</v>
      </c>
      <c r="T396" s="781"/>
      <c r="U396" s="782"/>
      <c r="V396" s="781"/>
      <c r="W396" s="782">
        <v>768591598</v>
      </c>
      <c r="X396" s="378"/>
      <c r="Y396" s="180"/>
      <c r="Z396" s="180"/>
      <c r="AA396" s="180"/>
      <c r="AB396" s="180"/>
    </row>
    <row r="397" spans="1:28" s="203" customFormat="1" x14ac:dyDescent="0.2">
      <c r="A397" s="636"/>
      <c r="B397" s="389" t="s">
        <v>4</v>
      </c>
      <c r="C397" s="392">
        <v>275002023</v>
      </c>
      <c r="D397" s="392"/>
      <c r="E397" s="392">
        <v>90451946</v>
      </c>
      <c r="F397" s="392">
        <v>18844628</v>
      </c>
      <c r="G397" s="392">
        <v>91278671</v>
      </c>
      <c r="H397" s="392">
        <v>28866320</v>
      </c>
      <c r="I397" s="766">
        <v>504443588</v>
      </c>
      <c r="J397" s="392">
        <v>26216443</v>
      </c>
      <c r="K397" s="392">
        <v>83382210</v>
      </c>
      <c r="L397" s="392">
        <v>16781381</v>
      </c>
      <c r="M397" s="392">
        <v>46475324</v>
      </c>
      <c r="N397" s="392"/>
      <c r="O397" s="766">
        <v>172855358</v>
      </c>
      <c r="P397" s="392">
        <v>13930748</v>
      </c>
      <c r="Q397" s="392">
        <v>85512070</v>
      </c>
      <c r="R397" s="392"/>
      <c r="S397" s="766">
        <v>99442818</v>
      </c>
      <c r="T397" s="392"/>
      <c r="U397" s="766"/>
      <c r="V397" s="392"/>
      <c r="W397" s="766">
        <v>776741764</v>
      </c>
      <c r="X397" s="378"/>
      <c r="Y397" s="180"/>
      <c r="Z397" s="180"/>
      <c r="AA397" s="180"/>
      <c r="AB397" s="180"/>
    </row>
    <row r="398" spans="1:28" s="202" customFormat="1" x14ac:dyDescent="0.2">
      <c r="A398" s="637"/>
      <c r="B398" s="639" t="s">
        <v>116</v>
      </c>
      <c r="C398" s="466">
        <v>0.92671253342186433</v>
      </c>
      <c r="D398" s="466">
        <v>0</v>
      </c>
      <c r="E398" s="466">
        <v>0.97658838114802171</v>
      </c>
      <c r="F398" s="466">
        <v>0.76032908668329058</v>
      </c>
      <c r="G398" s="466">
        <v>0.93148466946409136</v>
      </c>
      <c r="H398" s="466">
        <v>1.3800187136182136</v>
      </c>
      <c r="I398" s="767">
        <v>0.95612156029646134</v>
      </c>
      <c r="J398" s="466">
        <v>2.8285573015945609</v>
      </c>
      <c r="K398" s="466">
        <v>2.1037330023617566</v>
      </c>
      <c r="L398" s="466">
        <v>3.1237154764467427</v>
      </c>
      <c r="M398" s="466">
        <v>1.3300404443036749</v>
      </c>
      <c r="N398" s="466">
        <v>0</v>
      </c>
      <c r="O398" s="767">
        <v>2.1013242453193195</v>
      </c>
      <c r="P398" s="466">
        <v>-2.4516238901842122</v>
      </c>
      <c r="Q398" s="466">
        <v>0.19375792180562706</v>
      </c>
      <c r="R398" s="466">
        <v>0</v>
      </c>
      <c r="S398" s="767">
        <v>-0.18543763465462595</v>
      </c>
      <c r="T398" s="466">
        <v>0</v>
      </c>
      <c r="U398" s="767">
        <v>0</v>
      </c>
      <c r="V398" s="466">
        <v>0</v>
      </c>
      <c r="W398" s="767">
        <v>1.0604026925623509</v>
      </c>
      <c r="X398" s="378"/>
      <c r="Y398" s="180"/>
      <c r="Z398" s="180"/>
      <c r="AA398" s="180"/>
      <c r="AB398" s="180"/>
    </row>
    <row r="399" spans="1:28" x14ac:dyDescent="0.2">
      <c r="A399" s="636"/>
      <c r="B399" s="388" t="s">
        <v>195</v>
      </c>
      <c r="C399" s="391">
        <v>55353853</v>
      </c>
      <c r="D399" s="391"/>
      <c r="E399" s="391"/>
      <c r="F399" s="391"/>
      <c r="G399" s="391"/>
      <c r="H399" s="391"/>
      <c r="I399" s="765">
        <v>55353853</v>
      </c>
      <c r="J399" s="391"/>
      <c r="K399" s="391"/>
      <c r="L399" s="391"/>
      <c r="M399" s="391"/>
      <c r="N399" s="391"/>
      <c r="O399" s="765"/>
      <c r="P399" s="391"/>
      <c r="Q399" s="391"/>
      <c r="R399" s="391"/>
      <c r="S399" s="765"/>
      <c r="T399" s="391"/>
      <c r="U399" s="765"/>
      <c r="V399" s="391">
        <v>15746444</v>
      </c>
      <c r="W399" s="765">
        <v>71100297</v>
      </c>
      <c r="X399" s="378"/>
      <c r="Y399" s="180"/>
      <c r="Z399" s="180"/>
      <c r="AA399" s="180"/>
      <c r="AB399" s="180"/>
    </row>
    <row r="400" spans="1:28" s="203" customFormat="1" x14ac:dyDescent="0.2">
      <c r="A400" s="636"/>
      <c r="B400" s="389" t="s">
        <v>242</v>
      </c>
      <c r="C400" s="392"/>
      <c r="D400" s="392"/>
      <c r="E400" s="392"/>
      <c r="F400" s="392"/>
      <c r="G400" s="392"/>
      <c r="H400" s="392"/>
      <c r="I400" s="766"/>
      <c r="J400" s="392"/>
      <c r="K400" s="392"/>
      <c r="L400" s="392"/>
      <c r="M400" s="392"/>
      <c r="N400" s="392"/>
      <c r="O400" s="766"/>
      <c r="P400" s="392"/>
      <c r="Q400" s="392"/>
      <c r="R400" s="392"/>
      <c r="S400" s="766"/>
      <c r="T400" s="392"/>
      <c r="U400" s="766"/>
      <c r="V400" s="392">
        <v>15652609</v>
      </c>
      <c r="W400" s="766">
        <v>15652609</v>
      </c>
      <c r="X400" s="378"/>
      <c r="Y400" s="180"/>
      <c r="Z400" s="180"/>
      <c r="AA400" s="180"/>
      <c r="AB400" s="180"/>
    </row>
    <row r="401" spans="1:28" s="202" customFormat="1" x14ac:dyDescent="0.2">
      <c r="A401" s="636"/>
      <c r="B401" s="639" t="s">
        <v>244</v>
      </c>
      <c r="C401" s="763">
        <v>-100</v>
      </c>
      <c r="D401" s="466">
        <v>0</v>
      </c>
      <c r="E401" s="466">
        <v>0</v>
      </c>
      <c r="F401" s="466">
        <v>0</v>
      </c>
      <c r="G401" s="466">
        <v>0</v>
      </c>
      <c r="H401" s="466">
        <v>0</v>
      </c>
      <c r="I401" s="767">
        <v>-100</v>
      </c>
      <c r="J401" s="466">
        <v>0</v>
      </c>
      <c r="K401" s="466">
        <v>0</v>
      </c>
      <c r="L401" s="466">
        <v>0</v>
      </c>
      <c r="M401" s="466">
        <v>0</v>
      </c>
      <c r="N401" s="466">
        <v>0</v>
      </c>
      <c r="O401" s="767">
        <v>0</v>
      </c>
      <c r="P401" s="466">
        <v>0</v>
      </c>
      <c r="Q401" s="466">
        <v>0</v>
      </c>
      <c r="R401" s="466">
        <v>0</v>
      </c>
      <c r="S401" s="767">
        <v>0</v>
      </c>
      <c r="T401" s="466">
        <v>0</v>
      </c>
      <c r="U401" s="767">
        <v>0</v>
      </c>
      <c r="V401" s="466">
        <v>-0.59591232153748497</v>
      </c>
      <c r="W401" s="767">
        <v>-77.98517072298587</v>
      </c>
      <c r="X401" s="378"/>
      <c r="Y401" s="180"/>
      <c r="Z401" s="180"/>
      <c r="AA401" s="180"/>
      <c r="AB401" s="180"/>
    </row>
    <row r="402" spans="1:28" x14ac:dyDescent="0.2">
      <c r="A402" s="636"/>
      <c r="B402" s="388" t="s">
        <v>5</v>
      </c>
      <c r="C402" s="391"/>
      <c r="D402" s="391"/>
      <c r="E402" s="391"/>
      <c r="F402" s="391"/>
      <c r="G402" s="391"/>
      <c r="H402" s="391"/>
      <c r="I402" s="765"/>
      <c r="J402" s="391"/>
      <c r="K402" s="391">
        <v>41875529</v>
      </c>
      <c r="L402" s="391"/>
      <c r="M402" s="391"/>
      <c r="N402" s="391"/>
      <c r="O402" s="765">
        <v>41875529</v>
      </c>
      <c r="P402" s="391"/>
      <c r="Q402" s="391"/>
      <c r="R402" s="391"/>
      <c r="S402" s="765"/>
      <c r="T402" s="391"/>
      <c r="U402" s="765"/>
      <c r="V402" s="391"/>
      <c r="W402" s="765">
        <v>41875529</v>
      </c>
      <c r="X402" s="378"/>
      <c r="Y402" s="180"/>
      <c r="Z402" s="180"/>
      <c r="AA402" s="180"/>
      <c r="AB402" s="180"/>
    </row>
    <row r="403" spans="1:28" s="203" customFormat="1" x14ac:dyDescent="0.2">
      <c r="A403" s="636"/>
      <c r="B403" s="389" t="s">
        <v>6</v>
      </c>
      <c r="C403" s="392"/>
      <c r="D403" s="392"/>
      <c r="E403" s="392"/>
      <c r="F403" s="392"/>
      <c r="G403" s="392"/>
      <c r="H403" s="392"/>
      <c r="I403" s="766"/>
      <c r="J403" s="392"/>
      <c r="K403" s="392">
        <v>46625073</v>
      </c>
      <c r="L403" s="392"/>
      <c r="M403" s="392"/>
      <c r="N403" s="392"/>
      <c r="O403" s="766">
        <v>46625073</v>
      </c>
      <c r="P403" s="392"/>
      <c r="Q403" s="392"/>
      <c r="R403" s="392"/>
      <c r="S403" s="766"/>
      <c r="T403" s="392"/>
      <c r="U403" s="766"/>
      <c r="V403" s="392"/>
      <c r="W403" s="766">
        <v>46625073</v>
      </c>
      <c r="X403" s="378"/>
      <c r="Y403" s="180"/>
      <c r="Z403" s="180"/>
      <c r="AA403" s="180"/>
      <c r="AB403" s="180"/>
    </row>
    <row r="404" spans="1:28" s="202" customFormat="1" x14ac:dyDescent="0.2">
      <c r="A404" s="636"/>
      <c r="B404" s="639" t="s">
        <v>298</v>
      </c>
      <c r="C404" s="466">
        <v>0</v>
      </c>
      <c r="D404" s="466">
        <v>0</v>
      </c>
      <c r="E404" s="466">
        <v>0</v>
      </c>
      <c r="F404" s="466">
        <v>0</v>
      </c>
      <c r="G404" s="466">
        <v>0</v>
      </c>
      <c r="H404" s="466">
        <v>0</v>
      </c>
      <c r="I404" s="767">
        <v>0</v>
      </c>
      <c r="J404" s="466">
        <v>0</v>
      </c>
      <c r="K404" s="763">
        <v>11.342051344593163</v>
      </c>
      <c r="L404" s="466">
        <v>0</v>
      </c>
      <c r="M404" s="466">
        <v>0</v>
      </c>
      <c r="N404" s="466">
        <v>0</v>
      </c>
      <c r="O404" s="767">
        <v>11.342051344593163</v>
      </c>
      <c r="P404" s="466">
        <v>0</v>
      </c>
      <c r="Q404" s="466">
        <v>0</v>
      </c>
      <c r="R404" s="466">
        <v>0</v>
      </c>
      <c r="S404" s="767">
        <v>0</v>
      </c>
      <c r="T404" s="466">
        <v>0</v>
      </c>
      <c r="U404" s="767">
        <v>0</v>
      </c>
      <c r="V404" s="466">
        <v>0</v>
      </c>
      <c r="W404" s="767">
        <v>11.342051344593163</v>
      </c>
      <c r="X404" s="378"/>
      <c r="Y404" s="180"/>
      <c r="Z404" s="180"/>
      <c r="AA404" s="180"/>
      <c r="AB404" s="180"/>
    </row>
    <row r="405" spans="1:28" x14ac:dyDescent="0.2">
      <c r="A405" s="636"/>
      <c r="B405" s="388" t="s">
        <v>223</v>
      </c>
      <c r="C405" s="391">
        <v>441592773</v>
      </c>
      <c r="D405" s="391"/>
      <c r="E405" s="391">
        <v>126639639</v>
      </c>
      <c r="F405" s="391">
        <v>24382410</v>
      </c>
      <c r="G405" s="391">
        <v>96604748</v>
      </c>
      <c r="H405" s="391">
        <v>32114369</v>
      </c>
      <c r="I405" s="765">
        <v>721333939</v>
      </c>
      <c r="J405" s="391">
        <v>28417637</v>
      </c>
      <c r="K405" s="391">
        <v>76274175</v>
      </c>
      <c r="L405" s="391">
        <v>19539951</v>
      </c>
      <c r="M405" s="391">
        <v>43397399</v>
      </c>
      <c r="N405" s="391"/>
      <c r="O405" s="765">
        <v>167629162</v>
      </c>
      <c r="P405" s="391">
        <v>6587138</v>
      </c>
      <c r="Q405" s="391">
        <v>21938526</v>
      </c>
      <c r="R405" s="391"/>
      <c r="S405" s="765">
        <v>28525664</v>
      </c>
      <c r="T405" s="391"/>
      <c r="U405" s="765"/>
      <c r="V405" s="391"/>
      <c r="W405" s="765">
        <v>917488765</v>
      </c>
      <c r="X405" s="378"/>
      <c r="Y405" s="180"/>
      <c r="Z405" s="180"/>
      <c r="AA405" s="180"/>
      <c r="AB405" s="180"/>
    </row>
    <row r="406" spans="1:28" s="203" customFormat="1" x14ac:dyDescent="0.2">
      <c r="A406" s="636"/>
      <c r="B406" s="389" t="s">
        <v>14</v>
      </c>
      <c r="C406" s="392">
        <v>484408603</v>
      </c>
      <c r="D406" s="392"/>
      <c r="E406" s="392">
        <v>134409143</v>
      </c>
      <c r="F406" s="392">
        <v>26379334</v>
      </c>
      <c r="G406" s="392">
        <v>100362602</v>
      </c>
      <c r="H406" s="392">
        <v>32036374</v>
      </c>
      <c r="I406" s="766">
        <v>777596056</v>
      </c>
      <c r="J406" s="392">
        <v>28505372</v>
      </c>
      <c r="K406" s="392">
        <v>76245647</v>
      </c>
      <c r="L406" s="392">
        <v>19945646</v>
      </c>
      <c r="M406" s="392">
        <v>38101198</v>
      </c>
      <c r="N406" s="392"/>
      <c r="O406" s="766">
        <v>162797863</v>
      </c>
      <c r="P406" s="392">
        <v>5188222</v>
      </c>
      <c r="Q406" s="392">
        <v>22751771</v>
      </c>
      <c r="R406" s="392"/>
      <c r="S406" s="766">
        <v>27939993</v>
      </c>
      <c r="T406" s="392"/>
      <c r="U406" s="766"/>
      <c r="V406" s="392"/>
      <c r="W406" s="766">
        <v>968333912</v>
      </c>
      <c r="X406" s="378"/>
      <c r="Y406" s="180"/>
      <c r="Z406" s="180"/>
      <c r="AA406" s="180"/>
      <c r="AB406" s="180"/>
    </row>
    <row r="407" spans="1:28" s="202" customFormat="1" x14ac:dyDescent="0.2">
      <c r="A407" s="636"/>
      <c r="B407" s="639" t="s">
        <v>247</v>
      </c>
      <c r="C407" s="763">
        <v>9.6957723535932967</v>
      </c>
      <c r="D407" s="466">
        <v>0</v>
      </c>
      <c r="E407" s="466">
        <v>6.1351280383861484</v>
      </c>
      <c r="F407" s="466">
        <v>8.1900189521872537</v>
      </c>
      <c r="G407" s="466">
        <v>3.8899268180897275</v>
      </c>
      <c r="H407" s="466">
        <v>-0.24286636302896067</v>
      </c>
      <c r="I407" s="767">
        <v>7.7997324066017644</v>
      </c>
      <c r="J407" s="466">
        <v>0.30873432579915072</v>
      </c>
      <c r="K407" s="466">
        <v>-3.7401912246182931E-2</v>
      </c>
      <c r="L407" s="466">
        <v>2.0762334562660878</v>
      </c>
      <c r="M407" s="763">
        <v>-12.203959504577682</v>
      </c>
      <c r="N407" s="466">
        <v>0</v>
      </c>
      <c r="O407" s="767">
        <v>-2.8821351502073367</v>
      </c>
      <c r="P407" s="763">
        <v>-21.237083540681855</v>
      </c>
      <c r="Q407" s="466">
        <v>3.7069263450060412</v>
      </c>
      <c r="R407" s="466">
        <v>0</v>
      </c>
      <c r="S407" s="767">
        <v>-2.0531371329340486</v>
      </c>
      <c r="T407" s="466">
        <v>0</v>
      </c>
      <c r="U407" s="767">
        <v>0</v>
      </c>
      <c r="V407" s="466">
        <v>0</v>
      </c>
      <c r="W407" s="767">
        <v>5.5417732553923971</v>
      </c>
      <c r="X407" s="378"/>
      <c r="Y407" s="180"/>
      <c r="Z407" s="180"/>
      <c r="AA407" s="180"/>
      <c r="AB407" s="180"/>
    </row>
    <row r="408" spans="1:28" x14ac:dyDescent="0.2">
      <c r="A408" s="636"/>
      <c r="B408" s="388" t="s">
        <v>225</v>
      </c>
      <c r="C408" s="391"/>
      <c r="D408" s="391"/>
      <c r="E408" s="391"/>
      <c r="F408" s="391"/>
      <c r="G408" s="391"/>
      <c r="H408" s="391"/>
      <c r="I408" s="765"/>
      <c r="J408" s="391"/>
      <c r="K408" s="391"/>
      <c r="L408" s="391"/>
      <c r="M408" s="391"/>
      <c r="N408" s="391"/>
      <c r="O408" s="765"/>
      <c r="P408" s="391"/>
      <c r="Q408" s="391"/>
      <c r="R408" s="391"/>
      <c r="S408" s="765"/>
      <c r="T408" s="391"/>
      <c r="U408" s="765"/>
      <c r="V408" s="391"/>
      <c r="W408" s="765"/>
      <c r="X408" s="378"/>
      <c r="Y408" s="180"/>
      <c r="Z408" s="180"/>
      <c r="AA408" s="180"/>
      <c r="AB408" s="180"/>
    </row>
    <row r="409" spans="1:28" s="203" customFormat="1" x14ac:dyDescent="0.2">
      <c r="A409" s="636"/>
      <c r="B409" s="389" t="s">
        <v>166</v>
      </c>
      <c r="C409" s="392"/>
      <c r="D409" s="392"/>
      <c r="E409" s="392"/>
      <c r="F409" s="392"/>
      <c r="G409" s="392"/>
      <c r="H409" s="392"/>
      <c r="I409" s="766"/>
      <c r="J409" s="392"/>
      <c r="K409" s="392"/>
      <c r="L409" s="392"/>
      <c r="M409" s="392"/>
      <c r="N409" s="392"/>
      <c r="O409" s="766"/>
      <c r="P409" s="392"/>
      <c r="Q409" s="392"/>
      <c r="R409" s="392"/>
      <c r="S409" s="766"/>
      <c r="T409" s="392"/>
      <c r="U409" s="766"/>
      <c r="V409" s="392"/>
      <c r="W409" s="766"/>
      <c r="X409" s="378"/>
      <c r="Y409" s="180"/>
      <c r="Z409" s="180"/>
      <c r="AA409" s="180"/>
      <c r="AB409" s="180"/>
    </row>
    <row r="410" spans="1:28" s="202" customFormat="1" x14ac:dyDescent="0.2">
      <c r="A410" s="636"/>
      <c r="B410" s="639" t="s">
        <v>175</v>
      </c>
      <c r="C410" s="466">
        <v>0</v>
      </c>
      <c r="D410" s="466">
        <v>0</v>
      </c>
      <c r="E410" s="466">
        <v>0</v>
      </c>
      <c r="F410" s="466">
        <v>0</v>
      </c>
      <c r="G410" s="466">
        <v>0</v>
      </c>
      <c r="H410" s="466">
        <v>0</v>
      </c>
      <c r="I410" s="767">
        <v>0</v>
      </c>
      <c r="J410" s="466">
        <v>0</v>
      </c>
      <c r="K410" s="466">
        <v>0</v>
      </c>
      <c r="L410" s="466">
        <v>0</v>
      </c>
      <c r="M410" s="466">
        <v>0</v>
      </c>
      <c r="N410" s="466">
        <v>0</v>
      </c>
      <c r="O410" s="767">
        <v>0</v>
      </c>
      <c r="P410" s="466">
        <v>0</v>
      </c>
      <c r="Q410" s="466">
        <v>0</v>
      </c>
      <c r="R410" s="466">
        <v>0</v>
      </c>
      <c r="S410" s="767">
        <v>0</v>
      </c>
      <c r="T410" s="466">
        <v>0</v>
      </c>
      <c r="U410" s="767">
        <v>0</v>
      </c>
      <c r="V410" s="466">
        <v>0</v>
      </c>
      <c r="W410" s="767">
        <v>0</v>
      </c>
      <c r="X410" s="378"/>
      <c r="Y410" s="180"/>
      <c r="Z410" s="180"/>
      <c r="AA410" s="180"/>
      <c r="AB410" s="180"/>
    </row>
    <row r="411" spans="1:28" x14ac:dyDescent="0.2">
      <c r="A411" s="636"/>
      <c r="B411" s="768" t="s">
        <v>317</v>
      </c>
      <c r="C411" s="765">
        <v>441592773</v>
      </c>
      <c r="D411" s="765"/>
      <c r="E411" s="765">
        <v>126639639</v>
      </c>
      <c r="F411" s="765">
        <v>24382410</v>
      </c>
      <c r="G411" s="765">
        <v>96604748</v>
      </c>
      <c r="H411" s="765">
        <v>32114369</v>
      </c>
      <c r="I411" s="765">
        <v>721333939</v>
      </c>
      <c r="J411" s="765">
        <v>28417637</v>
      </c>
      <c r="K411" s="765">
        <v>76274175</v>
      </c>
      <c r="L411" s="765">
        <v>19539951</v>
      </c>
      <c r="M411" s="765">
        <v>43397399</v>
      </c>
      <c r="N411" s="765"/>
      <c r="O411" s="765">
        <v>167629162</v>
      </c>
      <c r="P411" s="765">
        <v>6587138</v>
      </c>
      <c r="Q411" s="765">
        <v>21938526</v>
      </c>
      <c r="R411" s="765"/>
      <c r="S411" s="765">
        <v>28525664</v>
      </c>
      <c r="T411" s="765"/>
      <c r="U411" s="765"/>
      <c r="V411" s="765">
        <v>0</v>
      </c>
      <c r="W411" s="765">
        <v>917488765</v>
      </c>
      <c r="X411" s="378"/>
      <c r="Y411" s="180"/>
      <c r="Z411" s="180"/>
      <c r="AA411" s="180"/>
      <c r="AB411" s="180"/>
    </row>
    <row r="412" spans="1:28" s="203" customFormat="1" x14ac:dyDescent="0.2">
      <c r="A412" s="636"/>
      <c r="B412" s="769" t="s">
        <v>70</v>
      </c>
      <c r="C412" s="766">
        <v>484408603</v>
      </c>
      <c r="D412" s="766"/>
      <c r="E412" s="766">
        <v>134409143</v>
      </c>
      <c r="F412" s="766">
        <v>26379334</v>
      </c>
      <c r="G412" s="766">
        <v>100362602</v>
      </c>
      <c r="H412" s="766">
        <v>32036374</v>
      </c>
      <c r="I412" s="766">
        <v>777596056</v>
      </c>
      <c r="J412" s="766">
        <v>28505372</v>
      </c>
      <c r="K412" s="766">
        <v>76245647</v>
      </c>
      <c r="L412" s="766">
        <v>19945646</v>
      </c>
      <c r="M412" s="766">
        <v>38101198</v>
      </c>
      <c r="N412" s="766"/>
      <c r="O412" s="766">
        <v>162797863</v>
      </c>
      <c r="P412" s="766">
        <v>5188222</v>
      </c>
      <c r="Q412" s="766">
        <v>22751771</v>
      </c>
      <c r="R412" s="766"/>
      <c r="S412" s="766">
        <v>27939993</v>
      </c>
      <c r="T412" s="766"/>
      <c r="U412" s="766"/>
      <c r="V412" s="766">
        <v>0</v>
      </c>
      <c r="W412" s="766">
        <v>968333912</v>
      </c>
      <c r="X412" s="378"/>
      <c r="Y412" s="180"/>
      <c r="Z412" s="180"/>
      <c r="AA412" s="180"/>
      <c r="AB412" s="180"/>
    </row>
    <row r="413" spans="1:28" s="202" customFormat="1" x14ac:dyDescent="0.2">
      <c r="A413" s="636"/>
      <c r="B413" s="770" t="s">
        <v>57</v>
      </c>
      <c r="C413" s="767">
        <v>9.6957723535932967</v>
      </c>
      <c r="D413" s="767">
        <v>0</v>
      </c>
      <c r="E413" s="767">
        <v>6.1351280383861484</v>
      </c>
      <c r="F413" s="767">
        <v>8.1900189521872537</v>
      </c>
      <c r="G413" s="767">
        <v>3.8899268180897275</v>
      </c>
      <c r="H413" s="767">
        <v>-0.24286636302896067</v>
      </c>
      <c r="I413" s="767">
        <v>7.7997324066017644</v>
      </c>
      <c r="J413" s="767">
        <v>0.30873432579915072</v>
      </c>
      <c r="K413" s="767">
        <v>-3.7401912246182931E-2</v>
      </c>
      <c r="L413" s="767">
        <v>2.0762334562660878</v>
      </c>
      <c r="M413" s="767">
        <v>-12.203959504577682</v>
      </c>
      <c r="N413" s="767">
        <v>0</v>
      </c>
      <c r="O413" s="767">
        <v>-2.8821351502073367</v>
      </c>
      <c r="P413" s="767">
        <v>-21.237083540681855</v>
      </c>
      <c r="Q413" s="767">
        <v>3.7069263450060412</v>
      </c>
      <c r="R413" s="767">
        <v>0</v>
      </c>
      <c r="S413" s="767">
        <v>-2.0531371329340486</v>
      </c>
      <c r="T413" s="767">
        <v>0</v>
      </c>
      <c r="U413" s="767">
        <v>0</v>
      </c>
      <c r="V413" s="767">
        <v>0</v>
      </c>
      <c r="W413" s="767">
        <v>5.5417732553923971</v>
      </c>
      <c r="X413" s="378"/>
      <c r="Y413" s="180"/>
      <c r="Z413" s="180"/>
      <c r="AA413" s="180"/>
      <c r="AB413" s="180"/>
    </row>
    <row r="414" spans="1:28" x14ac:dyDescent="0.2">
      <c r="A414" s="636"/>
      <c r="B414" s="388" t="s">
        <v>72</v>
      </c>
      <c r="C414" s="391"/>
      <c r="D414" s="391"/>
      <c r="E414" s="391"/>
      <c r="F414" s="391"/>
      <c r="G414" s="391"/>
      <c r="H414" s="391"/>
      <c r="I414" s="765"/>
      <c r="J414" s="391"/>
      <c r="K414" s="391"/>
      <c r="L414" s="391"/>
      <c r="M414" s="391"/>
      <c r="N414" s="391"/>
      <c r="O414" s="765"/>
      <c r="P414" s="391"/>
      <c r="Q414" s="391"/>
      <c r="R414" s="391"/>
      <c r="S414" s="765"/>
      <c r="T414" s="391"/>
      <c r="U414" s="765"/>
      <c r="V414" s="391">
        <v>90779494</v>
      </c>
      <c r="W414" s="765">
        <v>90779494</v>
      </c>
      <c r="X414" s="378"/>
      <c r="Y414" s="180"/>
      <c r="Z414" s="180"/>
      <c r="AA414" s="180"/>
      <c r="AB414" s="180"/>
    </row>
    <row r="415" spans="1:28" s="203" customFormat="1" x14ac:dyDescent="0.2">
      <c r="A415" s="636"/>
      <c r="B415" s="389" t="s">
        <v>74</v>
      </c>
      <c r="C415" s="392"/>
      <c r="D415" s="392"/>
      <c r="E415" s="392"/>
      <c r="F415" s="392"/>
      <c r="G415" s="392"/>
      <c r="H415" s="392"/>
      <c r="I415" s="766"/>
      <c r="J415" s="392"/>
      <c r="K415" s="392"/>
      <c r="L415" s="392"/>
      <c r="M415" s="392"/>
      <c r="N415" s="392"/>
      <c r="O415" s="766"/>
      <c r="P415" s="392"/>
      <c r="Q415" s="392"/>
      <c r="R415" s="392"/>
      <c r="S415" s="766"/>
      <c r="T415" s="392"/>
      <c r="U415" s="766"/>
      <c r="V415" s="392">
        <v>90779494</v>
      </c>
      <c r="W415" s="766">
        <v>90779494</v>
      </c>
      <c r="X415" s="378"/>
      <c r="Y415" s="180"/>
      <c r="Z415" s="180"/>
      <c r="AA415" s="180"/>
      <c r="AB415" s="180"/>
    </row>
    <row r="416" spans="1:28" s="202" customFormat="1" x14ac:dyDescent="0.2">
      <c r="A416" s="636"/>
      <c r="B416" s="639" t="s">
        <v>76</v>
      </c>
      <c r="C416" s="466">
        <v>0</v>
      </c>
      <c r="D416" s="466">
        <v>0</v>
      </c>
      <c r="E416" s="466">
        <v>0</v>
      </c>
      <c r="F416" s="466">
        <v>0</v>
      </c>
      <c r="G416" s="466">
        <v>0</v>
      </c>
      <c r="H416" s="466">
        <v>0</v>
      </c>
      <c r="I416" s="767">
        <v>0</v>
      </c>
      <c r="J416" s="466">
        <v>0</v>
      </c>
      <c r="K416" s="466">
        <v>0</v>
      </c>
      <c r="L416" s="466">
        <v>0</v>
      </c>
      <c r="M416" s="466">
        <v>0</v>
      </c>
      <c r="N416" s="466">
        <v>0</v>
      </c>
      <c r="O416" s="767">
        <v>0</v>
      </c>
      <c r="P416" s="466">
        <v>0</v>
      </c>
      <c r="Q416" s="466">
        <v>0</v>
      </c>
      <c r="R416" s="466">
        <v>0</v>
      </c>
      <c r="S416" s="767">
        <v>0</v>
      </c>
      <c r="T416" s="466">
        <v>0</v>
      </c>
      <c r="U416" s="767">
        <v>0</v>
      </c>
      <c r="V416" s="466">
        <v>0</v>
      </c>
      <c r="W416" s="767">
        <v>0</v>
      </c>
      <c r="X416" s="378"/>
      <c r="Y416" s="180"/>
      <c r="Z416" s="180"/>
      <c r="AA416" s="180"/>
      <c r="AB416" s="180"/>
    </row>
    <row r="417" spans="1:28" x14ac:dyDescent="0.2">
      <c r="A417" s="636"/>
      <c r="B417" s="388" t="s">
        <v>240</v>
      </c>
      <c r="C417" s="391"/>
      <c r="D417" s="391"/>
      <c r="E417" s="391"/>
      <c r="F417" s="391"/>
      <c r="G417" s="391"/>
      <c r="H417" s="391"/>
      <c r="I417" s="765"/>
      <c r="J417" s="391"/>
      <c r="K417" s="391"/>
      <c r="L417" s="391"/>
      <c r="M417" s="391"/>
      <c r="N417" s="391"/>
      <c r="O417" s="765"/>
      <c r="P417" s="391"/>
      <c r="Q417" s="391"/>
      <c r="R417" s="391"/>
      <c r="S417" s="765"/>
      <c r="T417" s="391"/>
      <c r="U417" s="765"/>
      <c r="V417" s="391"/>
      <c r="W417" s="765"/>
      <c r="X417" s="378"/>
      <c r="Y417" s="180"/>
      <c r="Z417" s="180"/>
      <c r="AA417" s="180"/>
      <c r="AB417" s="180"/>
    </row>
    <row r="418" spans="1:28" s="203" customFormat="1" x14ac:dyDescent="0.2">
      <c r="A418" s="636"/>
      <c r="B418" s="389" t="s">
        <v>163</v>
      </c>
      <c r="C418" s="392"/>
      <c r="D418" s="392"/>
      <c r="E418" s="392"/>
      <c r="F418" s="392"/>
      <c r="G418" s="392"/>
      <c r="H418" s="392"/>
      <c r="I418" s="766"/>
      <c r="J418" s="392"/>
      <c r="K418" s="392"/>
      <c r="L418" s="392"/>
      <c r="M418" s="392"/>
      <c r="N418" s="392"/>
      <c r="O418" s="766"/>
      <c r="P418" s="392"/>
      <c r="Q418" s="392"/>
      <c r="R418" s="392"/>
      <c r="S418" s="766"/>
      <c r="T418" s="392"/>
      <c r="U418" s="766"/>
      <c r="V418" s="392"/>
      <c r="W418" s="766"/>
      <c r="X418" s="378"/>
      <c r="Y418" s="180"/>
      <c r="Z418" s="180"/>
      <c r="AA418" s="180"/>
      <c r="AB418" s="180"/>
    </row>
    <row r="419" spans="1:28" s="202" customFormat="1" x14ac:dyDescent="0.2">
      <c r="A419" s="636"/>
      <c r="B419" s="639" t="s">
        <v>59</v>
      </c>
      <c r="C419" s="466">
        <v>0</v>
      </c>
      <c r="D419" s="466">
        <v>0</v>
      </c>
      <c r="E419" s="466">
        <v>0</v>
      </c>
      <c r="F419" s="466">
        <v>0</v>
      </c>
      <c r="G419" s="466">
        <v>0</v>
      </c>
      <c r="H419" s="466">
        <v>0</v>
      </c>
      <c r="I419" s="767">
        <v>0</v>
      </c>
      <c r="J419" s="466">
        <v>0</v>
      </c>
      <c r="K419" s="466">
        <v>0</v>
      </c>
      <c r="L419" s="466">
        <v>0</v>
      </c>
      <c r="M419" s="466">
        <v>0</v>
      </c>
      <c r="N419" s="466">
        <v>0</v>
      </c>
      <c r="O419" s="767">
        <v>0</v>
      </c>
      <c r="P419" s="466">
        <v>0</v>
      </c>
      <c r="Q419" s="466">
        <v>0</v>
      </c>
      <c r="R419" s="466">
        <v>0</v>
      </c>
      <c r="S419" s="767">
        <v>0</v>
      </c>
      <c r="T419" s="466">
        <v>0</v>
      </c>
      <c r="U419" s="767">
        <v>0</v>
      </c>
      <c r="V419" s="466">
        <v>0</v>
      </c>
      <c r="W419" s="767">
        <v>0</v>
      </c>
      <c r="X419" s="378"/>
      <c r="Y419" s="180"/>
      <c r="Z419" s="180"/>
      <c r="AA419" s="180"/>
      <c r="AB419" s="180"/>
    </row>
    <row r="420" spans="1:28" x14ac:dyDescent="0.2">
      <c r="A420" s="636"/>
      <c r="B420" s="388" t="s">
        <v>159</v>
      </c>
      <c r="C420" s="391"/>
      <c r="D420" s="391"/>
      <c r="E420" s="391"/>
      <c r="F420" s="391"/>
      <c r="G420" s="391"/>
      <c r="H420" s="391"/>
      <c r="I420" s="765"/>
      <c r="J420" s="391"/>
      <c r="K420" s="391"/>
      <c r="L420" s="391"/>
      <c r="M420" s="391"/>
      <c r="N420" s="391"/>
      <c r="O420" s="765"/>
      <c r="P420" s="391"/>
      <c r="Q420" s="391"/>
      <c r="R420" s="391"/>
      <c r="S420" s="765"/>
      <c r="T420" s="391"/>
      <c r="U420" s="765"/>
      <c r="V420" s="391"/>
      <c r="W420" s="765"/>
      <c r="X420" s="378"/>
      <c r="Y420" s="180"/>
      <c r="Z420" s="180"/>
      <c r="AA420" s="180"/>
      <c r="AB420" s="180"/>
    </row>
    <row r="421" spans="1:28" s="203" customFormat="1" x14ac:dyDescent="0.2">
      <c r="A421" s="636"/>
      <c r="B421" s="389" t="s">
        <v>100</v>
      </c>
      <c r="C421" s="392"/>
      <c r="D421" s="392"/>
      <c r="E421" s="392"/>
      <c r="F421" s="392"/>
      <c r="G421" s="392"/>
      <c r="H421" s="392"/>
      <c r="I421" s="766"/>
      <c r="J421" s="392"/>
      <c r="K421" s="392"/>
      <c r="L421" s="392"/>
      <c r="M421" s="392"/>
      <c r="N421" s="392"/>
      <c r="O421" s="766"/>
      <c r="P421" s="392"/>
      <c r="Q421" s="392"/>
      <c r="R421" s="392"/>
      <c r="S421" s="766"/>
      <c r="T421" s="392"/>
      <c r="U421" s="766"/>
      <c r="V421" s="392"/>
      <c r="W421" s="766"/>
      <c r="X421" s="378"/>
      <c r="Y421" s="180"/>
      <c r="Z421" s="180"/>
      <c r="AA421" s="180"/>
      <c r="AB421" s="180"/>
    </row>
    <row r="422" spans="1:28" s="202" customFormat="1" x14ac:dyDescent="0.2">
      <c r="A422" s="636"/>
      <c r="B422" s="639" t="s">
        <v>110</v>
      </c>
      <c r="C422" s="466">
        <v>0</v>
      </c>
      <c r="D422" s="466">
        <v>0</v>
      </c>
      <c r="E422" s="466">
        <v>0</v>
      </c>
      <c r="F422" s="466">
        <v>0</v>
      </c>
      <c r="G422" s="466">
        <v>0</v>
      </c>
      <c r="H422" s="466">
        <v>0</v>
      </c>
      <c r="I422" s="767">
        <v>0</v>
      </c>
      <c r="J422" s="466">
        <v>0</v>
      </c>
      <c r="K422" s="466">
        <v>0</v>
      </c>
      <c r="L422" s="466">
        <v>0</v>
      </c>
      <c r="M422" s="466">
        <v>0</v>
      </c>
      <c r="N422" s="466">
        <v>0</v>
      </c>
      <c r="O422" s="767">
        <v>0</v>
      </c>
      <c r="P422" s="466">
        <v>0</v>
      </c>
      <c r="Q422" s="466">
        <v>0</v>
      </c>
      <c r="R422" s="466">
        <v>0</v>
      </c>
      <c r="S422" s="767">
        <v>0</v>
      </c>
      <c r="T422" s="466">
        <v>0</v>
      </c>
      <c r="U422" s="767">
        <v>0</v>
      </c>
      <c r="V422" s="466">
        <v>0</v>
      </c>
      <c r="W422" s="767">
        <v>0</v>
      </c>
      <c r="X422" s="378"/>
      <c r="Y422" s="180"/>
      <c r="Z422" s="180"/>
      <c r="AA422" s="180"/>
      <c r="AB422" s="180"/>
    </row>
    <row r="423" spans="1:28" x14ac:dyDescent="0.2">
      <c r="A423" s="636"/>
      <c r="B423" s="388" t="s">
        <v>161</v>
      </c>
      <c r="C423" s="391">
        <v>0</v>
      </c>
      <c r="D423" s="391"/>
      <c r="E423" s="391">
        <v>0</v>
      </c>
      <c r="F423" s="391">
        <v>0</v>
      </c>
      <c r="G423" s="391">
        <v>0</v>
      </c>
      <c r="H423" s="391">
        <v>0</v>
      </c>
      <c r="I423" s="765">
        <v>0</v>
      </c>
      <c r="J423" s="391">
        <v>0</v>
      </c>
      <c r="K423" s="391">
        <v>0</v>
      </c>
      <c r="L423" s="391">
        <v>0</v>
      </c>
      <c r="M423" s="391">
        <v>0</v>
      </c>
      <c r="N423" s="391"/>
      <c r="O423" s="765">
        <v>0</v>
      </c>
      <c r="P423" s="391">
        <v>0</v>
      </c>
      <c r="Q423" s="391">
        <v>0</v>
      </c>
      <c r="R423" s="391"/>
      <c r="S423" s="765">
        <v>0</v>
      </c>
      <c r="T423" s="391"/>
      <c r="U423" s="765"/>
      <c r="V423" s="391">
        <v>0</v>
      </c>
      <c r="W423" s="765">
        <v>0</v>
      </c>
      <c r="X423" s="378"/>
      <c r="Y423" s="180"/>
      <c r="Z423" s="180"/>
      <c r="AA423" s="180"/>
      <c r="AB423" s="180"/>
    </row>
    <row r="424" spans="1:28" s="203" customFormat="1" x14ac:dyDescent="0.2">
      <c r="A424" s="636"/>
      <c r="B424" s="389" t="s">
        <v>102</v>
      </c>
      <c r="C424" s="392">
        <v>0</v>
      </c>
      <c r="D424" s="392"/>
      <c r="E424" s="392">
        <v>0</v>
      </c>
      <c r="F424" s="392">
        <v>0</v>
      </c>
      <c r="G424" s="392">
        <v>0</v>
      </c>
      <c r="H424" s="392">
        <v>0</v>
      </c>
      <c r="I424" s="766">
        <v>0</v>
      </c>
      <c r="J424" s="392">
        <v>0</v>
      </c>
      <c r="K424" s="392">
        <v>0</v>
      </c>
      <c r="L424" s="392">
        <v>0</v>
      </c>
      <c r="M424" s="392">
        <v>0</v>
      </c>
      <c r="N424" s="392"/>
      <c r="O424" s="766">
        <v>0</v>
      </c>
      <c r="P424" s="392">
        <v>0</v>
      </c>
      <c r="Q424" s="392">
        <v>0</v>
      </c>
      <c r="R424" s="392"/>
      <c r="S424" s="766">
        <v>0</v>
      </c>
      <c r="T424" s="392"/>
      <c r="U424" s="766"/>
      <c r="V424" s="392">
        <v>0</v>
      </c>
      <c r="W424" s="766">
        <v>0</v>
      </c>
      <c r="X424" s="378"/>
      <c r="Y424" s="180"/>
      <c r="Z424" s="180"/>
      <c r="AA424" s="180"/>
      <c r="AB424" s="180"/>
    </row>
    <row r="425" spans="1:28" s="202" customFormat="1" x14ac:dyDescent="0.2">
      <c r="A425" s="636"/>
      <c r="B425" s="639" t="s">
        <v>183</v>
      </c>
      <c r="C425" s="466">
        <v>0</v>
      </c>
      <c r="D425" s="466">
        <v>0</v>
      </c>
      <c r="E425" s="466">
        <v>0</v>
      </c>
      <c r="F425" s="466">
        <v>0</v>
      </c>
      <c r="G425" s="466">
        <v>0</v>
      </c>
      <c r="H425" s="466">
        <v>0</v>
      </c>
      <c r="I425" s="767">
        <v>0</v>
      </c>
      <c r="J425" s="466">
        <v>0</v>
      </c>
      <c r="K425" s="466">
        <v>0</v>
      </c>
      <c r="L425" s="466">
        <v>0</v>
      </c>
      <c r="M425" s="466">
        <v>0</v>
      </c>
      <c r="N425" s="466">
        <v>0</v>
      </c>
      <c r="O425" s="767">
        <v>0</v>
      </c>
      <c r="P425" s="466">
        <v>0</v>
      </c>
      <c r="Q425" s="466">
        <v>0</v>
      </c>
      <c r="R425" s="466">
        <v>0</v>
      </c>
      <c r="S425" s="767">
        <v>0</v>
      </c>
      <c r="T425" s="466">
        <v>0</v>
      </c>
      <c r="U425" s="767">
        <v>0</v>
      </c>
      <c r="V425" s="466">
        <v>0</v>
      </c>
      <c r="W425" s="767">
        <v>0</v>
      </c>
      <c r="X425" s="378"/>
      <c r="Y425" s="180"/>
      <c r="Z425" s="180"/>
      <c r="AA425" s="180"/>
      <c r="AB425" s="180"/>
    </row>
    <row r="426" spans="1:28" x14ac:dyDescent="0.2">
      <c r="A426" s="636"/>
      <c r="B426" s="388" t="s">
        <v>78</v>
      </c>
      <c r="C426" s="391">
        <v>117167433</v>
      </c>
      <c r="D426" s="391"/>
      <c r="E426" s="391"/>
      <c r="F426" s="391"/>
      <c r="G426" s="391"/>
      <c r="H426" s="391"/>
      <c r="I426" s="765">
        <v>117167433</v>
      </c>
      <c r="J426" s="391"/>
      <c r="K426" s="391"/>
      <c r="L426" s="391"/>
      <c r="M426" s="391"/>
      <c r="N426" s="391"/>
      <c r="O426" s="765"/>
      <c r="P426" s="391"/>
      <c r="Q426" s="391"/>
      <c r="R426" s="391"/>
      <c r="S426" s="765"/>
      <c r="T426" s="391"/>
      <c r="U426" s="765"/>
      <c r="V426" s="391"/>
      <c r="W426" s="765">
        <v>117167433</v>
      </c>
      <c r="X426" s="378"/>
      <c r="Y426" s="180"/>
      <c r="Z426" s="180"/>
      <c r="AA426" s="180"/>
      <c r="AB426" s="180"/>
    </row>
    <row r="427" spans="1:28" s="203" customFormat="1" x14ac:dyDescent="0.2">
      <c r="A427" s="636"/>
      <c r="B427" s="389" t="s">
        <v>80</v>
      </c>
      <c r="C427" s="392">
        <v>118486833</v>
      </c>
      <c r="D427" s="392"/>
      <c r="E427" s="392"/>
      <c r="F427" s="392"/>
      <c r="G427" s="392"/>
      <c r="H427" s="392"/>
      <c r="I427" s="766">
        <v>118486833</v>
      </c>
      <c r="J427" s="392"/>
      <c r="K427" s="392"/>
      <c r="L427" s="392"/>
      <c r="M427" s="392"/>
      <c r="N427" s="392"/>
      <c r="O427" s="766"/>
      <c r="P427" s="392"/>
      <c r="Q427" s="392"/>
      <c r="R427" s="392"/>
      <c r="S427" s="766"/>
      <c r="T427" s="392"/>
      <c r="U427" s="766"/>
      <c r="V427" s="392"/>
      <c r="W427" s="766">
        <v>118486833</v>
      </c>
      <c r="X427" s="378"/>
      <c r="Y427" s="180"/>
      <c r="Z427" s="180"/>
      <c r="AA427" s="180"/>
      <c r="AB427" s="180"/>
    </row>
    <row r="428" spans="1:28" s="202" customFormat="1" x14ac:dyDescent="0.2">
      <c r="A428" s="636"/>
      <c r="B428" s="639" t="s">
        <v>215</v>
      </c>
      <c r="C428" s="466">
        <v>1.1260808282793051</v>
      </c>
      <c r="D428" s="466">
        <v>0</v>
      </c>
      <c r="E428" s="466">
        <v>0</v>
      </c>
      <c r="F428" s="466">
        <v>0</v>
      </c>
      <c r="G428" s="466">
        <v>0</v>
      </c>
      <c r="H428" s="466">
        <v>0</v>
      </c>
      <c r="I428" s="767">
        <v>1.1260808282793051</v>
      </c>
      <c r="J428" s="466">
        <v>0</v>
      </c>
      <c r="K428" s="466">
        <v>0</v>
      </c>
      <c r="L428" s="466">
        <v>0</v>
      </c>
      <c r="M428" s="466">
        <v>0</v>
      </c>
      <c r="N428" s="466">
        <v>0</v>
      </c>
      <c r="O428" s="767">
        <v>0</v>
      </c>
      <c r="P428" s="466">
        <v>0</v>
      </c>
      <c r="Q428" s="466">
        <v>0</v>
      </c>
      <c r="R428" s="466">
        <v>0</v>
      </c>
      <c r="S428" s="767">
        <v>0</v>
      </c>
      <c r="T428" s="466">
        <v>0</v>
      </c>
      <c r="U428" s="767">
        <v>0</v>
      </c>
      <c r="V428" s="466">
        <v>0</v>
      </c>
      <c r="W428" s="767">
        <v>1.1260808282793051</v>
      </c>
      <c r="X428" s="378"/>
      <c r="Y428" s="180"/>
      <c r="Z428" s="180"/>
      <c r="AA428" s="180"/>
      <c r="AB428" s="180"/>
    </row>
    <row r="429" spans="1:28" x14ac:dyDescent="0.2">
      <c r="A429" s="636"/>
      <c r="B429" s="388" t="s">
        <v>81</v>
      </c>
      <c r="C429" s="391"/>
      <c r="D429" s="391"/>
      <c r="E429" s="391"/>
      <c r="F429" s="391"/>
      <c r="G429" s="391"/>
      <c r="H429" s="391"/>
      <c r="I429" s="765"/>
      <c r="J429" s="391"/>
      <c r="K429" s="391"/>
      <c r="L429" s="391"/>
      <c r="M429" s="391"/>
      <c r="N429" s="391"/>
      <c r="O429" s="765"/>
      <c r="P429" s="391"/>
      <c r="Q429" s="391"/>
      <c r="R429" s="391"/>
      <c r="S429" s="765"/>
      <c r="T429" s="391"/>
      <c r="U429" s="765"/>
      <c r="V429" s="391"/>
      <c r="W429" s="765"/>
      <c r="X429" s="378"/>
      <c r="Y429" s="180"/>
      <c r="Z429" s="180"/>
      <c r="AA429" s="180"/>
      <c r="AB429" s="180"/>
    </row>
    <row r="430" spans="1:28" s="203" customFormat="1" x14ac:dyDescent="0.2">
      <c r="A430" s="636"/>
      <c r="B430" s="389" t="s">
        <v>318</v>
      </c>
      <c r="C430" s="392"/>
      <c r="D430" s="392"/>
      <c r="E430" s="392"/>
      <c r="F430" s="392"/>
      <c r="G430" s="392"/>
      <c r="H430" s="392"/>
      <c r="I430" s="766"/>
      <c r="J430" s="392"/>
      <c r="K430" s="392"/>
      <c r="L430" s="392"/>
      <c r="M430" s="392"/>
      <c r="N430" s="392"/>
      <c r="O430" s="766"/>
      <c r="P430" s="392"/>
      <c r="Q430" s="392"/>
      <c r="R430" s="392"/>
      <c r="S430" s="766"/>
      <c r="T430" s="392"/>
      <c r="U430" s="766"/>
      <c r="V430" s="392"/>
      <c r="W430" s="766"/>
      <c r="X430" s="378"/>
      <c r="Y430" s="180"/>
      <c r="Z430" s="180"/>
      <c r="AA430" s="180"/>
      <c r="AB430" s="180"/>
    </row>
    <row r="431" spans="1:28" s="202" customFormat="1" x14ac:dyDescent="0.2">
      <c r="A431" s="636"/>
      <c r="B431" s="639" t="s">
        <v>236</v>
      </c>
      <c r="C431" s="466">
        <v>0</v>
      </c>
      <c r="D431" s="466">
        <v>0</v>
      </c>
      <c r="E431" s="466">
        <v>0</v>
      </c>
      <c r="F431" s="466">
        <v>0</v>
      </c>
      <c r="G431" s="466">
        <v>0</v>
      </c>
      <c r="H431" s="466">
        <v>0</v>
      </c>
      <c r="I431" s="767">
        <v>0</v>
      </c>
      <c r="J431" s="466">
        <v>0</v>
      </c>
      <c r="K431" s="466">
        <v>0</v>
      </c>
      <c r="L431" s="466">
        <v>0</v>
      </c>
      <c r="M431" s="466">
        <v>0</v>
      </c>
      <c r="N431" s="466">
        <v>0</v>
      </c>
      <c r="O431" s="767">
        <v>0</v>
      </c>
      <c r="P431" s="466">
        <v>0</v>
      </c>
      <c r="Q431" s="466">
        <v>0</v>
      </c>
      <c r="R431" s="466">
        <v>0</v>
      </c>
      <c r="S431" s="767">
        <v>0</v>
      </c>
      <c r="T431" s="466">
        <v>0</v>
      </c>
      <c r="U431" s="767">
        <v>0</v>
      </c>
      <c r="V431" s="466">
        <v>0</v>
      </c>
      <c r="W431" s="767">
        <v>0</v>
      </c>
      <c r="X431" s="378"/>
      <c r="Y431" s="180"/>
      <c r="Z431" s="180"/>
      <c r="AA431" s="180"/>
      <c r="AB431" s="180"/>
    </row>
    <row r="432" spans="1:28" x14ac:dyDescent="0.2">
      <c r="A432" s="636"/>
      <c r="B432" s="388" t="s">
        <v>19</v>
      </c>
      <c r="C432" s="391">
        <v>769423571</v>
      </c>
      <c r="D432" s="391"/>
      <c r="E432" s="391">
        <v>216216785</v>
      </c>
      <c r="F432" s="391">
        <v>43084838</v>
      </c>
      <c r="G432" s="391">
        <v>187041019</v>
      </c>
      <c r="H432" s="391">
        <v>60587751</v>
      </c>
      <c r="I432" s="765">
        <v>1276353964</v>
      </c>
      <c r="J432" s="391">
        <v>53912931</v>
      </c>
      <c r="K432" s="391">
        <v>199813917</v>
      </c>
      <c r="L432" s="391">
        <v>35813008</v>
      </c>
      <c r="M432" s="391">
        <v>89262696</v>
      </c>
      <c r="N432" s="391"/>
      <c r="O432" s="765">
        <v>378802552</v>
      </c>
      <c r="P432" s="391">
        <v>20867999</v>
      </c>
      <c r="Q432" s="391">
        <v>107285230</v>
      </c>
      <c r="R432" s="391"/>
      <c r="S432" s="765">
        <v>128153229</v>
      </c>
      <c r="T432" s="391"/>
      <c r="U432" s="765"/>
      <c r="V432" s="391">
        <v>15746444</v>
      </c>
      <c r="W432" s="765">
        <v>1799056189</v>
      </c>
      <c r="X432" s="378"/>
      <c r="Y432" s="180"/>
      <c r="Z432" s="180"/>
      <c r="AA432" s="180"/>
      <c r="AB432" s="180"/>
    </row>
    <row r="433" spans="1:28" s="203" customFormat="1" x14ac:dyDescent="0.2">
      <c r="A433" s="636"/>
      <c r="B433" s="389" t="s">
        <v>21</v>
      </c>
      <c r="C433" s="392">
        <v>759410626</v>
      </c>
      <c r="D433" s="392"/>
      <c r="E433" s="392">
        <v>224861089</v>
      </c>
      <c r="F433" s="392">
        <v>45223962</v>
      </c>
      <c r="G433" s="392">
        <v>191641273</v>
      </c>
      <c r="H433" s="392">
        <v>60902694</v>
      </c>
      <c r="I433" s="766">
        <v>1282039644</v>
      </c>
      <c r="J433" s="392">
        <v>54721815</v>
      </c>
      <c r="K433" s="392">
        <v>206252930</v>
      </c>
      <c r="L433" s="392">
        <v>36727027</v>
      </c>
      <c r="M433" s="392">
        <v>84576522</v>
      </c>
      <c r="N433" s="392"/>
      <c r="O433" s="766">
        <v>382278294</v>
      </c>
      <c r="P433" s="392">
        <v>19118970</v>
      </c>
      <c r="Q433" s="392">
        <v>108263841</v>
      </c>
      <c r="R433" s="392"/>
      <c r="S433" s="766">
        <v>127382811</v>
      </c>
      <c r="T433" s="392"/>
      <c r="U433" s="766"/>
      <c r="V433" s="392">
        <v>15652609</v>
      </c>
      <c r="W433" s="766">
        <v>1807353358</v>
      </c>
      <c r="X433" s="378"/>
      <c r="Y433" s="180"/>
      <c r="Z433" s="180"/>
      <c r="AA433" s="180"/>
      <c r="AB433" s="180"/>
    </row>
    <row r="434" spans="1:28" s="212" customFormat="1" ht="13.5" thickBot="1" x14ac:dyDescent="0.25">
      <c r="A434" s="640"/>
      <c r="B434" s="777" t="s">
        <v>23</v>
      </c>
      <c r="C434" s="1512">
        <v>-1.3013566749698653</v>
      </c>
      <c r="D434" s="778">
        <v>0</v>
      </c>
      <c r="E434" s="778">
        <v>3.9979800828136445</v>
      </c>
      <c r="F434" s="778">
        <v>4.964911322168601</v>
      </c>
      <c r="G434" s="778">
        <v>2.459489380775882</v>
      </c>
      <c r="H434" s="778">
        <v>0.519812989922666</v>
      </c>
      <c r="I434" s="779">
        <v>0.44546263500302807</v>
      </c>
      <c r="J434" s="778">
        <v>1.5003524850095797</v>
      </c>
      <c r="K434" s="778">
        <v>3.2225047667725768</v>
      </c>
      <c r="L434" s="778">
        <v>2.5521983520624683</v>
      </c>
      <c r="M434" s="1512">
        <v>-5.2498683212525865</v>
      </c>
      <c r="N434" s="778">
        <v>0</v>
      </c>
      <c r="O434" s="779">
        <v>0.91756034420802957</v>
      </c>
      <c r="P434" s="1512">
        <v>-8.3813929644140774</v>
      </c>
      <c r="Q434" s="778">
        <v>0.91215817871667881</v>
      </c>
      <c r="R434" s="778">
        <v>0</v>
      </c>
      <c r="S434" s="779">
        <v>-0.60116940166993371</v>
      </c>
      <c r="T434" s="778">
        <v>0</v>
      </c>
      <c r="U434" s="779">
        <v>0</v>
      </c>
      <c r="V434" s="778">
        <v>-0.59591232153748497</v>
      </c>
      <c r="W434" s="779">
        <v>0.46119565640759425</v>
      </c>
      <c r="X434" s="378"/>
      <c r="Y434" s="180"/>
      <c r="Z434" s="180"/>
      <c r="AA434" s="180"/>
      <c r="AB434" s="180"/>
    </row>
    <row r="435" spans="1:28" ht="13.5" thickTop="1" x14ac:dyDescent="0.2">
      <c r="A435" s="230" t="s">
        <v>146</v>
      </c>
      <c r="B435" s="780" t="s">
        <v>190</v>
      </c>
      <c r="C435" s="781">
        <v>149491430</v>
      </c>
      <c r="D435" s="781"/>
      <c r="E435" s="781">
        <v>40996280</v>
      </c>
      <c r="F435" s="781"/>
      <c r="G435" s="781">
        <v>31767020</v>
      </c>
      <c r="H435" s="781">
        <v>21946754</v>
      </c>
      <c r="I435" s="782">
        <v>244201484</v>
      </c>
      <c r="J435" s="781"/>
      <c r="K435" s="781">
        <v>67950750</v>
      </c>
      <c r="L435" s="781">
        <v>22886348</v>
      </c>
      <c r="M435" s="781">
        <v>13853129</v>
      </c>
      <c r="N435" s="781"/>
      <c r="O435" s="782">
        <v>104690227</v>
      </c>
      <c r="P435" s="781"/>
      <c r="Q435" s="781"/>
      <c r="R435" s="781"/>
      <c r="S435" s="782"/>
      <c r="T435" s="781"/>
      <c r="U435" s="782"/>
      <c r="V435" s="781"/>
      <c r="W435" s="782">
        <v>348891711</v>
      </c>
      <c r="X435" s="378"/>
      <c r="Y435" s="180"/>
      <c r="Z435" s="180"/>
      <c r="AA435" s="180"/>
      <c r="AB435" s="180"/>
    </row>
    <row r="436" spans="1:28" s="203" customFormat="1" x14ac:dyDescent="0.2">
      <c r="A436" s="636"/>
      <c r="B436" s="389" t="s">
        <v>4</v>
      </c>
      <c r="C436" s="392">
        <v>151859594</v>
      </c>
      <c r="D436" s="392"/>
      <c r="E436" s="392">
        <v>41677560</v>
      </c>
      <c r="F436" s="392"/>
      <c r="G436" s="392">
        <v>32286498</v>
      </c>
      <c r="H436" s="392">
        <v>22296542</v>
      </c>
      <c r="I436" s="766">
        <v>248120194</v>
      </c>
      <c r="J436" s="392"/>
      <c r="K436" s="392">
        <v>69080578</v>
      </c>
      <c r="L436" s="392">
        <v>23243323</v>
      </c>
      <c r="M436" s="392">
        <v>13645756</v>
      </c>
      <c r="N436" s="392"/>
      <c r="O436" s="766">
        <v>105969657</v>
      </c>
      <c r="P436" s="392"/>
      <c r="Q436" s="392"/>
      <c r="R436" s="392"/>
      <c r="S436" s="766"/>
      <c r="T436" s="392"/>
      <c r="U436" s="766"/>
      <c r="V436" s="392"/>
      <c r="W436" s="766">
        <v>354089851</v>
      </c>
      <c r="X436" s="378"/>
      <c r="Y436" s="180"/>
      <c r="Z436" s="180"/>
      <c r="AA436" s="180"/>
      <c r="AB436" s="180"/>
    </row>
    <row r="437" spans="1:28" s="202" customFormat="1" x14ac:dyDescent="0.2">
      <c r="A437" s="637"/>
      <c r="B437" s="639" t="s">
        <v>116</v>
      </c>
      <c r="C437" s="466">
        <v>1.5841469975904305</v>
      </c>
      <c r="D437" s="466">
        <v>0</v>
      </c>
      <c r="E437" s="466">
        <v>1.6618093153817859</v>
      </c>
      <c r="F437" s="466">
        <v>0</v>
      </c>
      <c r="G437" s="466">
        <v>1.6352745709229257</v>
      </c>
      <c r="H437" s="466">
        <v>1.5938028922181386</v>
      </c>
      <c r="I437" s="767">
        <v>1.6047035979519273</v>
      </c>
      <c r="J437" s="466">
        <v>0</v>
      </c>
      <c r="K437" s="466">
        <v>1.6627160112287209</v>
      </c>
      <c r="L437" s="466">
        <v>1.5597726644722871</v>
      </c>
      <c r="M437" s="466">
        <v>-1.4969397888375975</v>
      </c>
      <c r="N437" s="466">
        <v>0</v>
      </c>
      <c r="O437" s="767">
        <v>1.2221102548569314</v>
      </c>
      <c r="P437" s="466">
        <v>0</v>
      </c>
      <c r="Q437" s="466">
        <v>0</v>
      </c>
      <c r="R437" s="466">
        <v>0</v>
      </c>
      <c r="S437" s="767">
        <v>0</v>
      </c>
      <c r="T437" s="466">
        <v>0</v>
      </c>
      <c r="U437" s="767">
        <v>0</v>
      </c>
      <c r="V437" s="466">
        <v>0</v>
      </c>
      <c r="W437" s="767">
        <v>1.4899006872651097</v>
      </c>
      <c r="X437" s="378"/>
      <c r="Y437" s="180"/>
      <c r="Z437" s="180"/>
      <c r="AA437" s="180"/>
      <c r="AB437" s="180"/>
    </row>
    <row r="438" spans="1:28" x14ac:dyDescent="0.2">
      <c r="A438" s="636"/>
      <c r="B438" s="388" t="s">
        <v>195</v>
      </c>
      <c r="C438" s="391">
        <v>44713587</v>
      </c>
      <c r="D438" s="391"/>
      <c r="E438" s="391">
        <v>8597247</v>
      </c>
      <c r="F438" s="391"/>
      <c r="G438" s="391">
        <v>10628790</v>
      </c>
      <c r="H438" s="391">
        <v>4820364</v>
      </c>
      <c r="I438" s="765">
        <v>68759988</v>
      </c>
      <c r="J438" s="391"/>
      <c r="K438" s="391">
        <v>9505528</v>
      </c>
      <c r="L438" s="391">
        <v>13611996</v>
      </c>
      <c r="M438" s="391">
        <v>3129966</v>
      </c>
      <c r="N438" s="391"/>
      <c r="O438" s="765">
        <v>26247490</v>
      </c>
      <c r="P438" s="391"/>
      <c r="Q438" s="391"/>
      <c r="R438" s="391"/>
      <c r="S438" s="765"/>
      <c r="T438" s="391"/>
      <c r="U438" s="765"/>
      <c r="V438" s="391">
        <v>3177765</v>
      </c>
      <c r="W438" s="765">
        <v>98185243</v>
      </c>
      <c r="X438" s="378"/>
      <c r="Y438" s="180"/>
      <c r="Z438" s="180"/>
      <c r="AA438" s="180"/>
      <c r="AB438" s="180"/>
    </row>
    <row r="439" spans="1:28" s="203" customFormat="1" x14ac:dyDescent="0.2">
      <c r="A439" s="636"/>
      <c r="B439" s="389" t="s">
        <v>242</v>
      </c>
      <c r="C439" s="392">
        <v>49318800</v>
      </c>
      <c r="D439" s="392"/>
      <c r="E439" s="392">
        <v>7047291</v>
      </c>
      <c r="F439" s="392"/>
      <c r="G439" s="392">
        <v>7608900</v>
      </c>
      <c r="H439" s="392">
        <v>7738772</v>
      </c>
      <c r="I439" s="766">
        <v>71713763</v>
      </c>
      <c r="J439" s="392"/>
      <c r="K439" s="392">
        <v>7795053</v>
      </c>
      <c r="L439" s="392">
        <v>3338210</v>
      </c>
      <c r="M439" s="392">
        <v>3794815</v>
      </c>
      <c r="N439" s="392"/>
      <c r="O439" s="766">
        <v>14928078</v>
      </c>
      <c r="P439" s="392"/>
      <c r="Q439" s="392"/>
      <c r="R439" s="392"/>
      <c r="S439" s="766"/>
      <c r="T439" s="392"/>
      <c r="U439" s="766"/>
      <c r="V439" s="392">
        <v>4495762</v>
      </c>
      <c r="W439" s="766">
        <v>91137603</v>
      </c>
      <c r="X439" s="378"/>
      <c r="Y439" s="180"/>
      <c r="Z439" s="180"/>
      <c r="AA439" s="180"/>
      <c r="AB439" s="180"/>
    </row>
    <row r="440" spans="1:28" s="202" customFormat="1" x14ac:dyDescent="0.2">
      <c r="A440" s="636"/>
      <c r="B440" s="639" t="s">
        <v>244</v>
      </c>
      <c r="C440" s="763">
        <v>10.299359342385124</v>
      </c>
      <c r="D440" s="466">
        <v>0</v>
      </c>
      <c r="E440" s="763">
        <v>-18.028515407315854</v>
      </c>
      <c r="F440" s="466">
        <v>0</v>
      </c>
      <c r="G440" s="763">
        <v>-28.412359261966792</v>
      </c>
      <c r="H440" s="763">
        <v>60.543311666919763</v>
      </c>
      <c r="I440" s="767">
        <v>4.295775909675843</v>
      </c>
      <c r="J440" s="466">
        <v>0</v>
      </c>
      <c r="K440" s="763">
        <v>-17.99452907823742</v>
      </c>
      <c r="L440" s="763">
        <v>-75.475969872456616</v>
      </c>
      <c r="M440" s="763">
        <v>21.241412846018136</v>
      </c>
      <c r="N440" s="466">
        <v>0</v>
      </c>
      <c r="O440" s="767">
        <v>-43.125693161517539</v>
      </c>
      <c r="P440" s="466">
        <v>0</v>
      </c>
      <c r="Q440" s="466">
        <v>0</v>
      </c>
      <c r="R440" s="466">
        <v>0</v>
      </c>
      <c r="S440" s="767">
        <v>0</v>
      </c>
      <c r="T440" s="466">
        <v>0</v>
      </c>
      <c r="U440" s="767">
        <v>0</v>
      </c>
      <c r="V440" s="763">
        <v>41.475596842434861</v>
      </c>
      <c r="W440" s="767">
        <v>-7.1779014693684671</v>
      </c>
      <c r="X440" s="378"/>
      <c r="Y440" s="180"/>
      <c r="Z440" s="180"/>
      <c r="AA440" s="180"/>
      <c r="AB440" s="180"/>
    </row>
    <row r="441" spans="1:28" x14ac:dyDescent="0.2">
      <c r="A441" s="636"/>
      <c r="B441" s="388" t="s">
        <v>5</v>
      </c>
      <c r="C441" s="391"/>
      <c r="D441" s="391"/>
      <c r="E441" s="391"/>
      <c r="F441" s="391"/>
      <c r="G441" s="391">
        <v>294580</v>
      </c>
      <c r="H441" s="391"/>
      <c r="I441" s="765">
        <v>294580</v>
      </c>
      <c r="J441" s="391"/>
      <c r="K441" s="391">
        <v>43028680</v>
      </c>
      <c r="L441" s="391">
        <v>15012467</v>
      </c>
      <c r="M441" s="391">
        <v>3772112</v>
      </c>
      <c r="N441" s="391"/>
      <c r="O441" s="765">
        <v>61813259</v>
      </c>
      <c r="P441" s="391"/>
      <c r="Q441" s="391"/>
      <c r="R441" s="391"/>
      <c r="S441" s="765"/>
      <c r="T441" s="391"/>
      <c r="U441" s="765"/>
      <c r="V441" s="391"/>
      <c r="W441" s="765">
        <v>62107839</v>
      </c>
      <c r="X441" s="378"/>
      <c r="Y441" s="180"/>
      <c r="Z441" s="180"/>
      <c r="AA441" s="180"/>
      <c r="AB441" s="180"/>
    </row>
    <row r="442" spans="1:28" s="203" customFormat="1" x14ac:dyDescent="0.2">
      <c r="A442" s="636"/>
      <c r="B442" s="389" t="s">
        <v>6</v>
      </c>
      <c r="C442" s="392"/>
      <c r="D442" s="392"/>
      <c r="E442" s="392"/>
      <c r="F442" s="392"/>
      <c r="G442" s="392">
        <v>294580</v>
      </c>
      <c r="H442" s="392"/>
      <c r="I442" s="766">
        <v>294580</v>
      </c>
      <c r="J442" s="392"/>
      <c r="K442" s="392">
        <v>43028680</v>
      </c>
      <c r="L442" s="392">
        <v>15012467</v>
      </c>
      <c r="M442" s="392">
        <v>3772112</v>
      </c>
      <c r="N442" s="392"/>
      <c r="O442" s="766">
        <v>61813259</v>
      </c>
      <c r="P442" s="392"/>
      <c r="Q442" s="392"/>
      <c r="R442" s="392"/>
      <c r="S442" s="766"/>
      <c r="T442" s="392"/>
      <c r="U442" s="766"/>
      <c r="V442" s="392"/>
      <c r="W442" s="766">
        <v>62107839</v>
      </c>
      <c r="X442" s="378"/>
      <c r="Y442" s="180"/>
      <c r="Z442" s="180"/>
      <c r="AA442" s="180"/>
      <c r="AB442" s="180"/>
    </row>
    <row r="443" spans="1:28" s="202" customFormat="1" x14ac:dyDescent="0.2">
      <c r="A443" s="636"/>
      <c r="B443" s="639" t="s">
        <v>298</v>
      </c>
      <c r="C443" s="466">
        <v>0</v>
      </c>
      <c r="D443" s="466">
        <v>0</v>
      </c>
      <c r="E443" s="466">
        <v>0</v>
      </c>
      <c r="F443" s="466">
        <v>0</v>
      </c>
      <c r="G443" s="466">
        <v>0</v>
      </c>
      <c r="H443" s="466">
        <v>0</v>
      </c>
      <c r="I443" s="767">
        <v>0</v>
      </c>
      <c r="J443" s="466">
        <v>0</v>
      </c>
      <c r="K443" s="466">
        <v>0</v>
      </c>
      <c r="L443" s="466">
        <v>0</v>
      </c>
      <c r="M443" s="466">
        <v>0</v>
      </c>
      <c r="N443" s="466">
        <v>0</v>
      </c>
      <c r="O443" s="767">
        <v>0</v>
      </c>
      <c r="P443" s="466">
        <v>0</v>
      </c>
      <c r="Q443" s="466">
        <v>0</v>
      </c>
      <c r="R443" s="466">
        <v>0</v>
      </c>
      <c r="S443" s="767">
        <v>0</v>
      </c>
      <c r="T443" s="466">
        <v>0</v>
      </c>
      <c r="U443" s="767">
        <v>0</v>
      </c>
      <c r="V443" s="466">
        <v>0</v>
      </c>
      <c r="W443" s="767">
        <v>0</v>
      </c>
      <c r="X443" s="378"/>
      <c r="Y443" s="180"/>
      <c r="Z443" s="180"/>
      <c r="AA443" s="180"/>
      <c r="AB443" s="180"/>
    </row>
    <row r="444" spans="1:28" x14ac:dyDescent="0.2">
      <c r="A444" s="636"/>
      <c r="B444" s="388" t="s">
        <v>223</v>
      </c>
      <c r="C444" s="391">
        <v>790372710</v>
      </c>
      <c r="D444" s="391"/>
      <c r="E444" s="391">
        <v>272092025</v>
      </c>
      <c r="F444" s="391"/>
      <c r="G444" s="391">
        <v>189897736</v>
      </c>
      <c r="H444" s="391">
        <v>122089327</v>
      </c>
      <c r="I444" s="765">
        <v>1374451798</v>
      </c>
      <c r="J444" s="391"/>
      <c r="K444" s="391">
        <v>279938774</v>
      </c>
      <c r="L444" s="391">
        <v>76452156</v>
      </c>
      <c r="M444" s="391">
        <v>40832269</v>
      </c>
      <c r="N444" s="391"/>
      <c r="O444" s="765">
        <v>397223199</v>
      </c>
      <c r="P444" s="391"/>
      <c r="Q444" s="391"/>
      <c r="R444" s="391"/>
      <c r="S444" s="765"/>
      <c r="T444" s="391"/>
      <c r="U444" s="765"/>
      <c r="V444" s="391"/>
      <c r="W444" s="765">
        <v>1771674997</v>
      </c>
      <c r="X444" s="378"/>
      <c r="Y444" s="180"/>
      <c r="Z444" s="180"/>
      <c r="AA444" s="180"/>
      <c r="AB444" s="180"/>
    </row>
    <row r="445" spans="1:28" s="203" customFormat="1" x14ac:dyDescent="0.2">
      <c r="A445" s="636"/>
      <c r="B445" s="389" t="s">
        <v>14</v>
      </c>
      <c r="C445" s="392">
        <v>790372710</v>
      </c>
      <c r="D445" s="392"/>
      <c r="E445" s="392">
        <v>272092025</v>
      </c>
      <c r="F445" s="392"/>
      <c r="G445" s="392">
        <v>189897736</v>
      </c>
      <c r="H445" s="392">
        <v>122089327</v>
      </c>
      <c r="I445" s="766">
        <v>1374451798</v>
      </c>
      <c r="J445" s="392"/>
      <c r="K445" s="392">
        <v>279938774</v>
      </c>
      <c r="L445" s="392">
        <v>76452156</v>
      </c>
      <c r="M445" s="392">
        <v>40832269</v>
      </c>
      <c r="N445" s="392"/>
      <c r="O445" s="766">
        <v>397223199</v>
      </c>
      <c r="P445" s="392"/>
      <c r="Q445" s="392"/>
      <c r="R445" s="392"/>
      <c r="S445" s="766"/>
      <c r="T445" s="392"/>
      <c r="U445" s="766"/>
      <c r="V445" s="392"/>
      <c r="W445" s="766">
        <v>1771674997</v>
      </c>
      <c r="X445" s="378"/>
      <c r="Y445" s="180"/>
      <c r="Z445" s="180"/>
      <c r="AA445" s="180"/>
      <c r="AB445" s="180"/>
    </row>
    <row r="446" spans="1:28" s="202" customFormat="1" x14ac:dyDescent="0.2">
      <c r="A446" s="636"/>
      <c r="B446" s="639" t="s">
        <v>247</v>
      </c>
      <c r="C446" s="466">
        <v>0</v>
      </c>
      <c r="D446" s="466">
        <v>0</v>
      </c>
      <c r="E446" s="466">
        <v>0</v>
      </c>
      <c r="F446" s="466">
        <v>0</v>
      </c>
      <c r="G446" s="466">
        <v>0</v>
      </c>
      <c r="H446" s="466">
        <v>0</v>
      </c>
      <c r="I446" s="767">
        <v>0</v>
      </c>
      <c r="J446" s="466">
        <v>0</v>
      </c>
      <c r="K446" s="466">
        <v>0</v>
      </c>
      <c r="L446" s="466">
        <v>0</v>
      </c>
      <c r="M446" s="466">
        <v>0</v>
      </c>
      <c r="N446" s="466">
        <v>0</v>
      </c>
      <c r="O446" s="767">
        <v>0</v>
      </c>
      <c r="P446" s="466">
        <v>0</v>
      </c>
      <c r="Q446" s="466">
        <v>0</v>
      </c>
      <c r="R446" s="466">
        <v>0</v>
      </c>
      <c r="S446" s="767">
        <v>0</v>
      </c>
      <c r="T446" s="466">
        <v>0</v>
      </c>
      <c r="U446" s="767">
        <v>0</v>
      </c>
      <c r="V446" s="466">
        <v>0</v>
      </c>
      <c r="W446" s="767">
        <v>0</v>
      </c>
      <c r="X446" s="713"/>
      <c r="Y446" s="180"/>
      <c r="Z446" s="180"/>
      <c r="AA446" s="180"/>
      <c r="AB446" s="180"/>
    </row>
    <row r="447" spans="1:28" x14ac:dyDescent="0.2">
      <c r="A447" s="636"/>
      <c r="B447" s="388" t="s">
        <v>225</v>
      </c>
      <c r="C447" s="391">
        <v>48878405</v>
      </c>
      <c r="D447" s="391"/>
      <c r="E447" s="391">
        <v>14137252</v>
      </c>
      <c r="F447" s="391"/>
      <c r="G447" s="391">
        <v>11581938</v>
      </c>
      <c r="H447" s="391">
        <v>5509344</v>
      </c>
      <c r="I447" s="765">
        <v>80106939</v>
      </c>
      <c r="J447" s="391"/>
      <c r="K447" s="391">
        <v>13672695</v>
      </c>
      <c r="L447" s="391">
        <v>5526753</v>
      </c>
      <c r="M447" s="391">
        <v>237085</v>
      </c>
      <c r="N447" s="391"/>
      <c r="O447" s="765">
        <v>19436533</v>
      </c>
      <c r="P447" s="391"/>
      <c r="Q447" s="391"/>
      <c r="R447" s="391"/>
      <c r="S447" s="765"/>
      <c r="T447" s="391"/>
      <c r="U447" s="765"/>
      <c r="V447" s="391"/>
      <c r="W447" s="765">
        <v>99543472</v>
      </c>
      <c r="X447" s="378"/>
      <c r="Y447" s="180"/>
      <c r="Z447" s="180"/>
      <c r="AA447" s="180"/>
      <c r="AB447" s="180"/>
    </row>
    <row r="448" spans="1:28" s="203" customFormat="1" x14ac:dyDescent="0.2">
      <c r="A448" s="636"/>
      <c r="B448" s="389" t="s">
        <v>166</v>
      </c>
      <c r="C448" s="392">
        <v>48878405</v>
      </c>
      <c r="D448" s="392"/>
      <c r="E448" s="392">
        <v>14137252</v>
      </c>
      <c r="F448" s="392"/>
      <c r="G448" s="392">
        <v>11581938</v>
      </c>
      <c r="H448" s="392">
        <v>5509344</v>
      </c>
      <c r="I448" s="766">
        <v>80106939</v>
      </c>
      <c r="J448" s="392"/>
      <c r="K448" s="392">
        <v>13672695</v>
      </c>
      <c r="L448" s="392">
        <v>5526753</v>
      </c>
      <c r="M448" s="392">
        <v>237085</v>
      </c>
      <c r="N448" s="392"/>
      <c r="O448" s="766">
        <v>19436533</v>
      </c>
      <c r="P448" s="392"/>
      <c r="Q448" s="392"/>
      <c r="R448" s="392"/>
      <c r="S448" s="766"/>
      <c r="T448" s="392"/>
      <c r="U448" s="766"/>
      <c r="V448" s="392"/>
      <c r="W448" s="766">
        <v>99543472</v>
      </c>
      <c r="X448" s="378"/>
      <c r="Y448" s="180"/>
      <c r="Z448" s="180"/>
      <c r="AA448" s="180"/>
      <c r="AB448" s="180"/>
    </row>
    <row r="449" spans="1:28" s="202" customFormat="1" x14ac:dyDescent="0.2">
      <c r="A449" s="636"/>
      <c r="B449" s="639" t="s">
        <v>175</v>
      </c>
      <c r="C449" s="466">
        <v>0</v>
      </c>
      <c r="D449" s="466">
        <v>0</v>
      </c>
      <c r="E449" s="466">
        <v>0</v>
      </c>
      <c r="F449" s="466">
        <v>0</v>
      </c>
      <c r="G449" s="466">
        <v>0</v>
      </c>
      <c r="H449" s="466">
        <v>0</v>
      </c>
      <c r="I449" s="767">
        <v>0</v>
      </c>
      <c r="J449" s="466">
        <v>0</v>
      </c>
      <c r="K449" s="466">
        <v>0</v>
      </c>
      <c r="L449" s="466">
        <v>0</v>
      </c>
      <c r="M449" s="466">
        <v>0</v>
      </c>
      <c r="N449" s="466">
        <v>0</v>
      </c>
      <c r="O449" s="767">
        <v>0</v>
      </c>
      <c r="P449" s="466">
        <v>0</v>
      </c>
      <c r="Q449" s="466">
        <v>0</v>
      </c>
      <c r="R449" s="466">
        <v>0</v>
      </c>
      <c r="S449" s="767">
        <v>0</v>
      </c>
      <c r="T449" s="466">
        <v>0</v>
      </c>
      <c r="U449" s="767">
        <v>0</v>
      </c>
      <c r="V449" s="466">
        <v>0</v>
      </c>
      <c r="W449" s="767">
        <v>0</v>
      </c>
      <c r="X449" s="378"/>
      <c r="Y449" s="180"/>
      <c r="Z449" s="180"/>
      <c r="AA449" s="180"/>
      <c r="AB449" s="180"/>
    </row>
    <row r="450" spans="1:28" x14ac:dyDescent="0.2">
      <c r="A450" s="636"/>
      <c r="B450" s="768" t="s">
        <v>317</v>
      </c>
      <c r="C450" s="765">
        <v>839251115</v>
      </c>
      <c r="D450" s="765"/>
      <c r="E450" s="765">
        <v>286229277</v>
      </c>
      <c r="F450" s="765"/>
      <c r="G450" s="765">
        <v>201479674</v>
      </c>
      <c r="H450" s="765">
        <v>127598671</v>
      </c>
      <c r="I450" s="765">
        <v>1454558737</v>
      </c>
      <c r="J450" s="765"/>
      <c r="K450" s="765">
        <v>293611469</v>
      </c>
      <c r="L450" s="765">
        <v>81978909</v>
      </c>
      <c r="M450" s="765">
        <v>41069354</v>
      </c>
      <c r="N450" s="765"/>
      <c r="O450" s="765">
        <v>416659732</v>
      </c>
      <c r="P450" s="765"/>
      <c r="Q450" s="765"/>
      <c r="R450" s="765"/>
      <c r="S450" s="765"/>
      <c r="T450" s="765">
        <v>0</v>
      </c>
      <c r="U450" s="765">
        <v>0</v>
      </c>
      <c r="V450" s="765">
        <v>0</v>
      </c>
      <c r="W450" s="765">
        <v>1871218469</v>
      </c>
      <c r="X450" s="378"/>
      <c r="Y450" s="180"/>
      <c r="Z450" s="180"/>
      <c r="AA450" s="180"/>
      <c r="AB450" s="180"/>
    </row>
    <row r="451" spans="1:28" s="203" customFormat="1" x14ac:dyDescent="0.2">
      <c r="A451" s="636"/>
      <c r="B451" s="769" t="s">
        <v>70</v>
      </c>
      <c r="C451" s="766">
        <v>839251115</v>
      </c>
      <c r="D451" s="766"/>
      <c r="E451" s="766">
        <v>286229277</v>
      </c>
      <c r="F451" s="766"/>
      <c r="G451" s="766">
        <v>201479674</v>
      </c>
      <c r="H451" s="766">
        <v>127598671</v>
      </c>
      <c r="I451" s="766">
        <v>1454558737</v>
      </c>
      <c r="J451" s="766"/>
      <c r="K451" s="766">
        <v>293611469</v>
      </c>
      <c r="L451" s="766">
        <v>81978909</v>
      </c>
      <c r="M451" s="766">
        <v>41069354</v>
      </c>
      <c r="N451" s="766"/>
      <c r="O451" s="766">
        <v>416659732</v>
      </c>
      <c r="P451" s="766"/>
      <c r="Q451" s="766"/>
      <c r="R451" s="766"/>
      <c r="S451" s="766"/>
      <c r="T451" s="766">
        <v>0</v>
      </c>
      <c r="U451" s="766">
        <v>0</v>
      </c>
      <c r="V451" s="766">
        <v>0</v>
      </c>
      <c r="W451" s="766">
        <v>1871218469</v>
      </c>
      <c r="X451" s="378"/>
      <c r="Y451" s="180"/>
      <c r="Z451" s="180"/>
      <c r="AA451" s="180"/>
      <c r="AB451" s="180"/>
    </row>
    <row r="452" spans="1:28" s="202" customFormat="1" x14ac:dyDescent="0.2">
      <c r="A452" s="636"/>
      <c r="B452" s="770" t="s">
        <v>57</v>
      </c>
      <c r="C452" s="767">
        <v>0</v>
      </c>
      <c r="D452" s="767">
        <v>0</v>
      </c>
      <c r="E452" s="767">
        <v>0</v>
      </c>
      <c r="F452" s="767">
        <v>0</v>
      </c>
      <c r="G452" s="767">
        <v>0</v>
      </c>
      <c r="H452" s="767">
        <v>0</v>
      </c>
      <c r="I452" s="767">
        <v>0</v>
      </c>
      <c r="J452" s="767">
        <v>0</v>
      </c>
      <c r="K452" s="767">
        <v>0</v>
      </c>
      <c r="L452" s="767">
        <v>0</v>
      </c>
      <c r="M452" s="767">
        <v>0</v>
      </c>
      <c r="N452" s="767">
        <v>0</v>
      </c>
      <c r="O452" s="767">
        <v>0</v>
      </c>
      <c r="P452" s="767">
        <v>0</v>
      </c>
      <c r="Q452" s="767">
        <v>0</v>
      </c>
      <c r="R452" s="767">
        <v>0</v>
      </c>
      <c r="S452" s="767">
        <v>0</v>
      </c>
      <c r="T452" s="767">
        <v>0</v>
      </c>
      <c r="U452" s="767">
        <v>0</v>
      </c>
      <c r="V452" s="767">
        <v>0</v>
      </c>
      <c r="W452" s="767">
        <v>0</v>
      </c>
      <c r="X452" s="378"/>
      <c r="Y452" s="180"/>
      <c r="Z452" s="180"/>
      <c r="AA452" s="180"/>
      <c r="AB452" s="180"/>
    </row>
    <row r="453" spans="1:28" x14ac:dyDescent="0.2">
      <c r="A453" s="636"/>
      <c r="B453" s="388" t="s">
        <v>72</v>
      </c>
      <c r="C453" s="391"/>
      <c r="D453" s="391"/>
      <c r="E453" s="391"/>
      <c r="F453" s="391"/>
      <c r="G453" s="391"/>
      <c r="H453" s="391"/>
      <c r="I453" s="765"/>
      <c r="J453" s="391"/>
      <c r="K453" s="391"/>
      <c r="L453" s="391"/>
      <c r="M453" s="391"/>
      <c r="N453" s="391"/>
      <c r="O453" s="765"/>
      <c r="P453" s="391"/>
      <c r="Q453" s="391"/>
      <c r="R453" s="391"/>
      <c r="S453" s="765"/>
      <c r="T453" s="391"/>
      <c r="U453" s="765"/>
      <c r="V453" s="391">
        <v>376785235</v>
      </c>
      <c r="W453" s="765">
        <v>376785235</v>
      </c>
      <c r="X453" s="378"/>
      <c r="Y453" s="180"/>
      <c r="Z453" s="180"/>
      <c r="AA453" s="180"/>
      <c r="AB453" s="180"/>
    </row>
    <row r="454" spans="1:28" s="203" customFormat="1" x14ac:dyDescent="0.2">
      <c r="A454" s="636"/>
      <c r="B454" s="389" t="s">
        <v>74</v>
      </c>
      <c r="C454" s="392"/>
      <c r="D454" s="392"/>
      <c r="E454" s="392"/>
      <c r="F454" s="392"/>
      <c r="G454" s="392"/>
      <c r="H454" s="392"/>
      <c r="I454" s="766"/>
      <c r="J454" s="392"/>
      <c r="K454" s="392"/>
      <c r="L454" s="392"/>
      <c r="M454" s="392"/>
      <c r="N454" s="392"/>
      <c r="O454" s="766"/>
      <c r="P454" s="392"/>
      <c r="Q454" s="392"/>
      <c r="R454" s="392"/>
      <c r="S454" s="766"/>
      <c r="T454" s="392"/>
      <c r="U454" s="766"/>
      <c r="V454" s="392">
        <v>375789318.00000006</v>
      </c>
      <c r="W454" s="766">
        <v>375789318.00000006</v>
      </c>
      <c r="X454" s="378"/>
      <c r="Y454" s="180"/>
      <c r="Z454" s="180"/>
      <c r="AA454" s="180"/>
      <c r="AB454" s="180"/>
    </row>
    <row r="455" spans="1:28" s="202" customFormat="1" x14ac:dyDescent="0.2">
      <c r="A455" s="636"/>
      <c r="B455" s="639" t="s">
        <v>76</v>
      </c>
      <c r="C455" s="466">
        <v>0</v>
      </c>
      <c r="D455" s="466">
        <v>0</v>
      </c>
      <c r="E455" s="466">
        <v>0</v>
      </c>
      <c r="F455" s="466">
        <v>0</v>
      </c>
      <c r="G455" s="466">
        <v>0</v>
      </c>
      <c r="H455" s="466">
        <v>0</v>
      </c>
      <c r="I455" s="767">
        <v>0</v>
      </c>
      <c r="J455" s="466">
        <v>0</v>
      </c>
      <c r="K455" s="466">
        <v>0</v>
      </c>
      <c r="L455" s="466">
        <v>0</v>
      </c>
      <c r="M455" s="466">
        <v>0</v>
      </c>
      <c r="N455" s="466">
        <v>0</v>
      </c>
      <c r="O455" s="767">
        <v>0</v>
      </c>
      <c r="P455" s="466">
        <v>0</v>
      </c>
      <c r="Q455" s="466">
        <v>0</v>
      </c>
      <c r="R455" s="466">
        <v>0</v>
      </c>
      <c r="S455" s="767">
        <v>0</v>
      </c>
      <c r="T455" s="466">
        <v>0</v>
      </c>
      <c r="U455" s="767">
        <v>0</v>
      </c>
      <c r="V455" s="466">
        <v>-0.26431954001592983</v>
      </c>
      <c r="W455" s="767">
        <v>-0.26431954001592983</v>
      </c>
      <c r="X455" s="378"/>
      <c r="Y455" s="180"/>
      <c r="Z455" s="180"/>
      <c r="AA455" s="180"/>
      <c r="AB455" s="180"/>
    </row>
    <row r="456" spans="1:28" x14ac:dyDescent="0.2">
      <c r="A456" s="636"/>
      <c r="B456" s="388" t="s">
        <v>240</v>
      </c>
      <c r="C456" s="391"/>
      <c r="D456" s="391"/>
      <c r="E456" s="391"/>
      <c r="F456" s="391"/>
      <c r="G456" s="391"/>
      <c r="H456" s="391"/>
      <c r="I456" s="765"/>
      <c r="J456" s="391"/>
      <c r="K456" s="391"/>
      <c r="L456" s="391"/>
      <c r="M456" s="391"/>
      <c r="N456" s="391"/>
      <c r="O456" s="765"/>
      <c r="P456" s="391"/>
      <c r="Q456" s="391"/>
      <c r="R456" s="391"/>
      <c r="S456" s="765"/>
      <c r="T456" s="391"/>
      <c r="U456" s="765"/>
      <c r="V456" s="391"/>
      <c r="W456" s="765"/>
      <c r="X456" s="378"/>
      <c r="Y456" s="180"/>
      <c r="Z456" s="180"/>
      <c r="AA456" s="180"/>
      <c r="AB456" s="180"/>
    </row>
    <row r="457" spans="1:28" s="203" customFormat="1" x14ac:dyDescent="0.2">
      <c r="A457" s="636"/>
      <c r="B457" s="389" t="s">
        <v>163</v>
      </c>
      <c r="C457" s="392"/>
      <c r="D457" s="392"/>
      <c r="E457" s="392"/>
      <c r="F457" s="392"/>
      <c r="G457" s="392"/>
      <c r="H457" s="392"/>
      <c r="I457" s="766"/>
      <c r="J457" s="392"/>
      <c r="K457" s="392"/>
      <c r="L457" s="392"/>
      <c r="M457" s="392"/>
      <c r="N457" s="392"/>
      <c r="O457" s="766"/>
      <c r="P457" s="392"/>
      <c r="Q457" s="392"/>
      <c r="R457" s="392"/>
      <c r="S457" s="766"/>
      <c r="T457" s="392"/>
      <c r="U457" s="766"/>
      <c r="V457" s="392"/>
      <c r="W457" s="766"/>
      <c r="X457" s="378"/>
      <c r="Y457" s="180"/>
      <c r="Z457" s="180"/>
      <c r="AA457" s="180"/>
      <c r="AB457" s="180"/>
    </row>
    <row r="458" spans="1:28" s="202" customFormat="1" x14ac:dyDescent="0.2">
      <c r="A458" s="636"/>
      <c r="B458" s="639" t="s">
        <v>59</v>
      </c>
      <c r="C458" s="466">
        <v>0</v>
      </c>
      <c r="D458" s="466">
        <v>0</v>
      </c>
      <c r="E458" s="466">
        <v>0</v>
      </c>
      <c r="F458" s="466">
        <v>0</v>
      </c>
      <c r="G458" s="466">
        <v>0</v>
      </c>
      <c r="H458" s="466">
        <v>0</v>
      </c>
      <c r="I458" s="767">
        <v>0</v>
      </c>
      <c r="J458" s="466">
        <v>0</v>
      </c>
      <c r="K458" s="466">
        <v>0</v>
      </c>
      <c r="L458" s="466">
        <v>0</v>
      </c>
      <c r="M458" s="466">
        <v>0</v>
      </c>
      <c r="N458" s="466">
        <v>0</v>
      </c>
      <c r="O458" s="767">
        <v>0</v>
      </c>
      <c r="P458" s="466">
        <v>0</v>
      </c>
      <c r="Q458" s="466">
        <v>0</v>
      </c>
      <c r="R458" s="466">
        <v>0</v>
      </c>
      <c r="S458" s="767">
        <v>0</v>
      </c>
      <c r="T458" s="466">
        <v>0</v>
      </c>
      <c r="U458" s="767">
        <v>0</v>
      </c>
      <c r="V458" s="466">
        <v>0</v>
      </c>
      <c r="W458" s="767">
        <v>0</v>
      </c>
      <c r="X458" s="378"/>
      <c r="Y458" s="180"/>
      <c r="Z458" s="180"/>
      <c r="AA458" s="180"/>
      <c r="AB458" s="180"/>
    </row>
    <row r="459" spans="1:28" x14ac:dyDescent="0.2">
      <c r="A459" s="636"/>
      <c r="B459" s="388" t="s">
        <v>159</v>
      </c>
      <c r="C459" s="391"/>
      <c r="D459" s="391"/>
      <c r="E459" s="391"/>
      <c r="F459" s="391"/>
      <c r="G459" s="391"/>
      <c r="H459" s="391"/>
      <c r="I459" s="765"/>
      <c r="J459" s="391"/>
      <c r="K459" s="391"/>
      <c r="L459" s="391"/>
      <c r="M459" s="391"/>
      <c r="N459" s="391"/>
      <c r="O459" s="765"/>
      <c r="P459" s="391"/>
      <c r="Q459" s="391"/>
      <c r="R459" s="391"/>
      <c r="S459" s="765"/>
      <c r="T459" s="391"/>
      <c r="U459" s="765"/>
      <c r="V459" s="391"/>
      <c r="W459" s="765"/>
      <c r="X459" s="378"/>
      <c r="Y459" s="180"/>
      <c r="Z459" s="180"/>
      <c r="AA459" s="180"/>
      <c r="AB459" s="180"/>
    </row>
    <row r="460" spans="1:28" s="203" customFormat="1" x14ac:dyDescent="0.2">
      <c r="A460" s="636"/>
      <c r="B460" s="389" t="s">
        <v>100</v>
      </c>
      <c r="C460" s="392"/>
      <c r="D460" s="392"/>
      <c r="E460" s="392"/>
      <c r="F460" s="392"/>
      <c r="G460" s="392"/>
      <c r="H460" s="392"/>
      <c r="I460" s="766"/>
      <c r="J460" s="392"/>
      <c r="K460" s="392"/>
      <c r="L460" s="392"/>
      <c r="M460" s="392"/>
      <c r="N460" s="392"/>
      <c r="O460" s="766"/>
      <c r="P460" s="392"/>
      <c r="Q460" s="392"/>
      <c r="R460" s="392"/>
      <c r="S460" s="766"/>
      <c r="T460" s="392"/>
      <c r="U460" s="766"/>
      <c r="V460" s="392"/>
      <c r="W460" s="766"/>
      <c r="X460" s="378"/>
      <c r="Y460" s="180"/>
      <c r="Z460" s="180"/>
      <c r="AA460" s="180"/>
      <c r="AB460" s="180"/>
    </row>
    <row r="461" spans="1:28" s="202" customFormat="1" x14ac:dyDescent="0.2">
      <c r="A461" s="636"/>
      <c r="B461" s="639" t="s">
        <v>110</v>
      </c>
      <c r="C461" s="466">
        <v>0</v>
      </c>
      <c r="D461" s="466">
        <v>0</v>
      </c>
      <c r="E461" s="466">
        <v>0</v>
      </c>
      <c r="F461" s="466">
        <v>0</v>
      </c>
      <c r="G461" s="466">
        <v>0</v>
      </c>
      <c r="H461" s="466">
        <v>0</v>
      </c>
      <c r="I461" s="767">
        <v>0</v>
      </c>
      <c r="J461" s="466">
        <v>0</v>
      </c>
      <c r="K461" s="466">
        <v>0</v>
      </c>
      <c r="L461" s="466">
        <v>0</v>
      </c>
      <c r="M461" s="466">
        <v>0</v>
      </c>
      <c r="N461" s="466">
        <v>0</v>
      </c>
      <c r="O461" s="767">
        <v>0</v>
      </c>
      <c r="P461" s="466">
        <v>0</v>
      </c>
      <c r="Q461" s="466">
        <v>0</v>
      </c>
      <c r="R461" s="466">
        <v>0</v>
      </c>
      <c r="S461" s="767">
        <v>0</v>
      </c>
      <c r="T461" s="466">
        <v>0</v>
      </c>
      <c r="U461" s="767">
        <v>0</v>
      </c>
      <c r="V461" s="466">
        <v>0</v>
      </c>
      <c r="W461" s="767">
        <v>0</v>
      </c>
      <c r="X461" s="378"/>
      <c r="Y461" s="180"/>
      <c r="Z461" s="180"/>
      <c r="AA461" s="180"/>
      <c r="AB461" s="180"/>
    </row>
    <row r="462" spans="1:28" x14ac:dyDescent="0.2">
      <c r="A462" s="636"/>
      <c r="B462" s="388" t="s">
        <v>161</v>
      </c>
      <c r="C462" s="391">
        <v>0</v>
      </c>
      <c r="D462" s="391"/>
      <c r="E462" s="391">
        <v>0</v>
      </c>
      <c r="F462" s="391"/>
      <c r="G462" s="391">
        <v>0</v>
      </c>
      <c r="H462" s="391">
        <v>0</v>
      </c>
      <c r="I462" s="765">
        <v>0</v>
      </c>
      <c r="J462" s="391"/>
      <c r="K462" s="391">
        <v>0</v>
      </c>
      <c r="L462" s="391">
        <v>0</v>
      </c>
      <c r="M462" s="391">
        <v>0</v>
      </c>
      <c r="N462" s="391"/>
      <c r="O462" s="765">
        <v>0</v>
      </c>
      <c r="P462" s="391"/>
      <c r="Q462" s="391"/>
      <c r="R462" s="391"/>
      <c r="S462" s="765"/>
      <c r="T462" s="391">
        <v>0</v>
      </c>
      <c r="U462" s="765">
        <v>0</v>
      </c>
      <c r="V462" s="391">
        <v>0</v>
      </c>
      <c r="W462" s="765">
        <v>0</v>
      </c>
      <c r="X462" s="378"/>
      <c r="Y462" s="180"/>
      <c r="Z462" s="180"/>
      <c r="AA462" s="180"/>
      <c r="AB462" s="180"/>
    </row>
    <row r="463" spans="1:28" s="203" customFormat="1" x14ac:dyDescent="0.2">
      <c r="A463" s="636"/>
      <c r="B463" s="389" t="s">
        <v>102</v>
      </c>
      <c r="C463" s="392">
        <v>0</v>
      </c>
      <c r="D463" s="392"/>
      <c r="E463" s="392">
        <v>0</v>
      </c>
      <c r="F463" s="392"/>
      <c r="G463" s="392">
        <v>0</v>
      </c>
      <c r="H463" s="392">
        <v>0</v>
      </c>
      <c r="I463" s="766">
        <v>0</v>
      </c>
      <c r="J463" s="392"/>
      <c r="K463" s="392">
        <v>0</v>
      </c>
      <c r="L463" s="392">
        <v>0</v>
      </c>
      <c r="M463" s="392">
        <v>0</v>
      </c>
      <c r="N463" s="392"/>
      <c r="O463" s="766">
        <v>0</v>
      </c>
      <c r="P463" s="392"/>
      <c r="Q463" s="392"/>
      <c r="R463" s="392"/>
      <c r="S463" s="766"/>
      <c r="T463" s="392">
        <v>0</v>
      </c>
      <c r="U463" s="766">
        <v>0</v>
      </c>
      <c r="V463" s="392">
        <v>0</v>
      </c>
      <c r="W463" s="766">
        <v>0</v>
      </c>
      <c r="X463" s="378"/>
      <c r="Y463" s="180"/>
      <c r="Z463" s="180"/>
      <c r="AA463" s="180"/>
      <c r="AB463" s="180"/>
    </row>
    <row r="464" spans="1:28" s="202" customFormat="1" x14ac:dyDescent="0.2">
      <c r="A464" s="636"/>
      <c r="B464" s="639" t="s">
        <v>183</v>
      </c>
      <c r="C464" s="466">
        <v>0</v>
      </c>
      <c r="D464" s="466">
        <v>0</v>
      </c>
      <c r="E464" s="466">
        <v>0</v>
      </c>
      <c r="F464" s="466">
        <v>0</v>
      </c>
      <c r="G464" s="466">
        <v>0</v>
      </c>
      <c r="H464" s="466">
        <v>0</v>
      </c>
      <c r="I464" s="767">
        <v>0</v>
      </c>
      <c r="J464" s="466">
        <v>0</v>
      </c>
      <c r="K464" s="466">
        <v>0</v>
      </c>
      <c r="L464" s="466">
        <v>0</v>
      </c>
      <c r="M464" s="466">
        <v>0</v>
      </c>
      <c r="N464" s="466">
        <v>0</v>
      </c>
      <c r="O464" s="767">
        <v>0</v>
      </c>
      <c r="P464" s="466">
        <v>0</v>
      </c>
      <c r="Q464" s="466">
        <v>0</v>
      </c>
      <c r="R464" s="466">
        <v>0</v>
      </c>
      <c r="S464" s="767">
        <v>0</v>
      </c>
      <c r="T464" s="466">
        <v>0</v>
      </c>
      <c r="U464" s="767">
        <v>0</v>
      </c>
      <c r="V464" s="466">
        <v>0</v>
      </c>
      <c r="W464" s="767">
        <v>0</v>
      </c>
      <c r="X464" s="378"/>
      <c r="Y464" s="180"/>
      <c r="Z464" s="180"/>
      <c r="AA464" s="180"/>
      <c r="AB464" s="180"/>
    </row>
    <row r="465" spans="1:28" x14ac:dyDescent="0.2">
      <c r="A465" s="636"/>
      <c r="B465" s="388" t="s">
        <v>78</v>
      </c>
      <c r="C465" s="391">
        <v>13545234</v>
      </c>
      <c r="D465" s="391"/>
      <c r="E465" s="391"/>
      <c r="F465" s="391"/>
      <c r="G465" s="391"/>
      <c r="H465" s="391"/>
      <c r="I465" s="765">
        <v>13545234</v>
      </c>
      <c r="J465" s="391"/>
      <c r="K465" s="391"/>
      <c r="L465" s="391"/>
      <c r="M465" s="391"/>
      <c r="N465" s="391"/>
      <c r="O465" s="765"/>
      <c r="P465" s="391"/>
      <c r="Q465" s="391"/>
      <c r="R465" s="391"/>
      <c r="S465" s="765"/>
      <c r="T465" s="391">
        <v>69015146</v>
      </c>
      <c r="U465" s="765">
        <v>69015146</v>
      </c>
      <c r="V465" s="391"/>
      <c r="W465" s="765">
        <v>82560380</v>
      </c>
      <c r="X465" s="378"/>
      <c r="Y465" s="180"/>
      <c r="Z465" s="180"/>
      <c r="AA465" s="180"/>
      <c r="AB465" s="180"/>
    </row>
    <row r="466" spans="1:28" s="203" customFormat="1" x14ac:dyDescent="0.2">
      <c r="A466" s="636"/>
      <c r="B466" s="389" t="s">
        <v>80</v>
      </c>
      <c r="C466" s="392">
        <v>13520234</v>
      </c>
      <c r="D466" s="392"/>
      <c r="E466" s="392"/>
      <c r="F466" s="392"/>
      <c r="G466" s="392"/>
      <c r="H466" s="392"/>
      <c r="I466" s="766">
        <v>13520234</v>
      </c>
      <c r="J466" s="392"/>
      <c r="K466" s="392"/>
      <c r="L466" s="392"/>
      <c r="M466" s="392"/>
      <c r="N466" s="392"/>
      <c r="O466" s="766"/>
      <c r="P466" s="392"/>
      <c r="Q466" s="392"/>
      <c r="R466" s="392"/>
      <c r="S466" s="766"/>
      <c r="T466" s="392">
        <v>66963628</v>
      </c>
      <c r="U466" s="766">
        <v>66963628</v>
      </c>
      <c r="V466" s="392"/>
      <c r="W466" s="766">
        <v>80483862</v>
      </c>
      <c r="X466" s="378"/>
      <c r="Y466" s="180"/>
      <c r="Z466" s="180"/>
      <c r="AA466" s="180"/>
      <c r="AB466" s="180"/>
    </row>
    <row r="467" spans="1:28" s="202" customFormat="1" x14ac:dyDescent="0.2">
      <c r="A467" s="636"/>
      <c r="B467" s="639" t="s">
        <v>215</v>
      </c>
      <c r="C467" s="466">
        <v>-0.1845667634830081</v>
      </c>
      <c r="D467" s="466">
        <v>0</v>
      </c>
      <c r="E467" s="466">
        <v>0</v>
      </c>
      <c r="F467" s="466">
        <v>0</v>
      </c>
      <c r="G467" s="466">
        <v>0</v>
      </c>
      <c r="H467" s="466">
        <v>0</v>
      </c>
      <c r="I467" s="767">
        <v>-0.1845667634830081</v>
      </c>
      <c r="J467" s="466">
        <v>0</v>
      </c>
      <c r="K467" s="466">
        <v>0</v>
      </c>
      <c r="L467" s="466">
        <v>0</v>
      </c>
      <c r="M467" s="466">
        <v>0</v>
      </c>
      <c r="N467" s="466">
        <v>0</v>
      </c>
      <c r="O467" s="767">
        <v>0</v>
      </c>
      <c r="P467" s="466">
        <v>0</v>
      </c>
      <c r="Q467" s="466">
        <v>0</v>
      </c>
      <c r="R467" s="466">
        <v>0</v>
      </c>
      <c r="S467" s="767">
        <v>0</v>
      </c>
      <c r="T467" s="466">
        <v>-2.9725619938556673</v>
      </c>
      <c r="U467" s="767">
        <v>-2.9725619938556673</v>
      </c>
      <c r="V467" s="466">
        <v>0</v>
      </c>
      <c r="W467" s="767">
        <v>-2.5151507296841418</v>
      </c>
      <c r="X467" s="713"/>
      <c r="Y467" s="180"/>
      <c r="Z467" s="180"/>
      <c r="AA467" s="180"/>
      <c r="AB467" s="180"/>
    </row>
    <row r="468" spans="1:28" x14ac:dyDescent="0.2">
      <c r="A468" s="636"/>
      <c r="B468" s="388" t="s">
        <v>81</v>
      </c>
      <c r="C468" s="391">
        <v>14582488</v>
      </c>
      <c r="D468" s="391"/>
      <c r="E468" s="391"/>
      <c r="F468" s="391"/>
      <c r="G468" s="391"/>
      <c r="H468" s="391"/>
      <c r="I468" s="765">
        <v>14582488</v>
      </c>
      <c r="J468" s="391"/>
      <c r="K468" s="391"/>
      <c r="L468" s="391"/>
      <c r="M468" s="391"/>
      <c r="N468" s="391"/>
      <c r="O468" s="765"/>
      <c r="P468" s="391"/>
      <c r="Q468" s="391"/>
      <c r="R468" s="391"/>
      <c r="S468" s="765"/>
      <c r="T468" s="391">
        <v>79747119</v>
      </c>
      <c r="U468" s="765">
        <v>79747119</v>
      </c>
      <c r="V468" s="391"/>
      <c r="W468" s="765">
        <v>94329607</v>
      </c>
      <c r="X468" s="378"/>
      <c r="Y468" s="180"/>
      <c r="Z468" s="180"/>
      <c r="AA468" s="180"/>
      <c r="AB468" s="180"/>
    </row>
    <row r="469" spans="1:28" s="203" customFormat="1" x14ac:dyDescent="0.2">
      <c r="A469" s="636"/>
      <c r="B469" s="389" t="s">
        <v>318</v>
      </c>
      <c r="C469" s="392"/>
      <c r="D469" s="392"/>
      <c r="E469" s="392"/>
      <c r="F469" s="392"/>
      <c r="G469" s="392"/>
      <c r="H469" s="392"/>
      <c r="I469" s="766"/>
      <c r="J469" s="392"/>
      <c r="K469" s="392"/>
      <c r="L469" s="392"/>
      <c r="M469" s="392"/>
      <c r="N469" s="392"/>
      <c r="O469" s="766"/>
      <c r="P469" s="392"/>
      <c r="Q469" s="392"/>
      <c r="R469" s="392"/>
      <c r="S469" s="766"/>
      <c r="T469" s="392"/>
      <c r="U469" s="766"/>
      <c r="V469" s="392"/>
      <c r="W469" s="766"/>
      <c r="X469" s="378"/>
      <c r="Y469" s="180"/>
      <c r="Z469" s="180"/>
      <c r="AA469" s="180"/>
      <c r="AB469" s="180"/>
    </row>
    <row r="470" spans="1:28" s="202" customFormat="1" x14ac:dyDescent="0.2">
      <c r="A470" s="636"/>
      <c r="B470" s="639" t="s">
        <v>236</v>
      </c>
      <c r="C470" s="763">
        <v>-100</v>
      </c>
      <c r="D470" s="466">
        <v>0</v>
      </c>
      <c r="E470" s="466">
        <v>0</v>
      </c>
      <c r="F470" s="466">
        <v>0</v>
      </c>
      <c r="G470" s="466">
        <v>0</v>
      </c>
      <c r="H470" s="466">
        <v>0</v>
      </c>
      <c r="I470" s="767">
        <v>-100</v>
      </c>
      <c r="J470" s="466">
        <v>0</v>
      </c>
      <c r="K470" s="466">
        <v>0</v>
      </c>
      <c r="L470" s="466">
        <v>0</v>
      </c>
      <c r="M470" s="466">
        <v>0</v>
      </c>
      <c r="N470" s="466">
        <v>0</v>
      </c>
      <c r="O470" s="767">
        <v>0</v>
      </c>
      <c r="P470" s="466">
        <v>0</v>
      </c>
      <c r="Q470" s="466">
        <v>0</v>
      </c>
      <c r="R470" s="466">
        <v>0</v>
      </c>
      <c r="S470" s="767">
        <v>0</v>
      </c>
      <c r="T470" s="763">
        <v>-100</v>
      </c>
      <c r="U470" s="767">
        <v>-100</v>
      </c>
      <c r="V470" s="466">
        <v>0</v>
      </c>
      <c r="W470" s="767">
        <v>-100</v>
      </c>
      <c r="X470" s="378"/>
      <c r="Y470" s="180"/>
      <c r="Z470" s="180"/>
      <c r="AA470" s="180"/>
      <c r="AB470" s="180"/>
    </row>
    <row r="471" spans="1:28" x14ac:dyDescent="0.2">
      <c r="A471" s="636"/>
      <c r="B471" s="388" t="s">
        <v>19</v>
      </c>
      <c r="C471" s="391">
        <v>984577727</v>
      </c>
      <c r="D471" s="391"/>
      <c r="E471" s="391">
        <v>321685552</v>
      </c>
      <c r="F471" s="391"/>
      <c r="G471" s="391">
        <v>232588126</v>
      </c>
      <c r="H471" s="391">
        <v>148856445</v>
      </c>
      <c r="I471" s="765">
        <v>1687707850</v>
      </c>
      <c r="J471" s="391"/>
      <c r="K471" s="391">
        <v>400423732</v>
      </c>
      <c r="L471" s="391">
        <v>127962967</v>
      </c>
      <c r="M471" s="391">
        <v>61587476</v>
      </c>
      <c r="N471" s="391"/>
      <c r="O471" s="765">
        <v>589974175</v>
      </c>
      <c r="P471" s="391"/>
      <c r="Q471" s="391"/>
      <c r="R471" s="391"/>
      <c r="S471" s="765"/>
      <c r="T471" s="391">
        <v>0</v>
      </c>
      <c r="U471" s="765">
        <v>0</v>
      </c>
      <c r="V471" s="391">
        <v>3177765</v>
      </c>
      <c r="W471" s="765">
        <v>2280859790</v>
      </c>
      <c r="X471" s="378"/>
      <c r="Y471" s="180"/>
      <c r="Z471" s="180"/>
      <c r="AA471" s="180"/>
      <c r="AB471" s="180"/>
    </row>
    <row r="472" spans="1:28" s="203" customFormat="1" x14ac:dyDescent="0.2">
      <c r="A472" s="636"/>
      <c r="B472" s="389" t="s">
        <v>21</v>
      </c>
      <c r="C472" s="392">
        <v>991551104</v>
      </c>
      <c r="D472" s="392"/>
      <c r="E472" s="392">
        <v>320816876</v>
      </c>
      <c r="F472" s="392"/>
      <c r="G472" s="392">
        <v>230087714</v>
      </c>
      <c r="H472" s="392">
        <v>152124641</v>
      </c>
      <c r="I472" s="766">
        <v>1694580335</v>
      </c>
      <c r="J472" s="392"/>
      <c r="K472" s="392">
        <v>399843085</v>
      </c>
      <c r="L472" s="392">
        <v>118046156</v>
      </c>
      <c r="M472" s="392">
        <v>62044952</v>
      </c>
      <c r="N472" s="392"/>
      <c r="O472" s="766">
        <v>579934193</v>
      </c>
      <c r="P472" s="392"/>
      <c r="Q472" s="392"/>
      <c r="R472" s="392"/>
      <c r="S472" s="766"/>
      <c r="T472" s="392">
        <v>0</v>
      </c>
      <c r="U472" s="766">
        <v>0</v>
      </c>
      <c r="V472" s="392">
        <v>4495762</v>
      </c>
      <c r="W472" s="766">
        <v>2279010290</v>
      </c>
      <c r="X472" s="378"/>
      <c r="Y472" s="180"/>
      <c r="Z472" s="180"/>
      <c r="AA472" s="180"/>
      <c r="AB472" s="180"/>
    </row>
    <row r="473" spans="1:28" s="212" customFormat="1" ht="13.5" thickBot="1" x14ac:dyDescent="0.25">
      <c r="A473" s="640"/>
      <c r="B473" s="777" t="s">
        <v>23</v>
      </c>
      <c r="C473" s="778">
        <v>0.70826068971190526</v>
      </c>
      <c r="D473" s="778">
        <v>0</v>
      </c>
      <c r="E473" s="778">
        <v>-0.27003886080653072</v>
      </c>
      <c r="F473" s="778">
        <v>0</v>
      </c>
      <c r="G473" s="778">
        <v>-1.0750385425952484</v>
      </c>
      <c r="H473" s="778">
        <v>2.195535436843195</v>
      </c>
      <c r="I473" s="779">
        <v>0.4072082143837869</v>
      </c>
      <c r="J473" s="778">
        <v>0</v>
      </c>
      <c r="K473" s="778">
        <v>-0.1450081385286125</v>
      </c>
      <c r="L473" s="1512">
        <v>-7.7497507540599617</v>
      </c>
      <c r="M473" s="778">
        <v>0.74280686547375308</v>
      </c>
      <c r="N473" s="778">
        <v>0</v>
      </c>
      <c r="O473" s="779">
        <v>-1.7017663527390838</v>
      </c>
      <c r="P473" s="778">
        <v>0</v>
      </c>
      <c r="Q473" s="778">
        <v>0</v>
      </c>
      <c r="R473" s="778">
        <v>0</v>
      </c>
      <c r="S473" s="779">
        <v>0</v>
      </c>
      <c r="T473" s="778">
        <v>0</v>
      </c>
      <c r="U473" s="779">
        <v>0</v>
      </c>
      <c r="V473" s="778">
        <v>41.475596842434861</v>
      </c>
      <c r="W473" s="779">
        <v>-8.1087842755998604E-2</v>
      </c>
      <c r="X473" s="378"/>
      <c r="Y473" s="180"/>
      <c r="Z473" s="180"/>
      <c r="AA473" s="180"/>
      <c r="AB473" s="180"/>
    </row>
    <row r="474" spans="1:28" ht="13.5" thickTop="1" x14ac:dyDescent="0.2">
      <c r="A474" s="230" t="s">
        <v>155</v>
      </c>
      <c r="B474" s="780" t="s">
        <v>190</v>
      </c>
      <c r="C474" s="781">
        <v>261846469.7920163</v>
      </c>
      <c r="D474" s="781">
        <v>34167155</v>
      </c>
      <c r="E474" s="781">
        <v>235379845.55668432</v>
      </c>
      <c r="F474" s="781"/>
      <c r="G474" s="781">
        <v>26633618.531082422</v>
      </c>
      <c r="H474" s="781"/>
      <c r="I474" s="782">
        <v>558027088.87978303</v>
      </c>
      <c r="J474" s="781"/>
      <c r="K474" s="781">
        <v>106286734.43097121</v>
      </c>
      <c r="L474" s="781">
        <v>96294634.269028783</v>
      </c>
      <c r="M474" s="781"/>
      <c r="N474" s="781"/>
      <c r="O474" s="782">
        <v>202581368.69999999</v>
      </c>
      <c r="P474" s="781">
        <v>3225100</v>
      </c>
      <c r="Q474" s="781">
        <v>51589800</v>
      </c>
      <c r="R474" s="781"/>
      <c r="S474" s="782">
        <v>54814900</v>
      </c>
      <c r="T474" s="781"/>
      <c r="U474" s="782"/>
      <c r="V474" s="781"/>
      <c r="W474" s="782">
        <v>815423357.57978308</v>
      </c>
      <c r="X474" s="378"/>
      <c r="Y474" s="180"/>
      <c r="Z474" s="180"/>
      <c r="AA474" s="180"/>
      <c r="AB474" s="180"/>
    </row>
    <row r="475" spans="1:28" s="203" customFormat="1" x14ac:dyDescent="0.2">
      <c r="A475" s="636"/>
      <c r="B475" s="389" t="s">
        <v>4</v>
      </c>
      <c r="C475" s="392">
        <v>283575889.87731534</v>
      </c>
      <c r="D475" s="392">
        <v>36208835</v>
      </c>
      <c r="E475" s="392">
        <v>250381401.68110457</v>
      </c>
      <c r="F475" s="392"/>
      <c r="G475" s="392">
        <v>26780564.698208787</v>
      </c>
      <c r="H475" s="392"/>
      <c r="I475" s="766">
        <v>596946691.25662875</v>
      </c>
      <c r="J475" s="392"/>
      <c r="K475" s="392">
        <v>111311834.89279267</v>
      </c>
      <c r="L475" s="392">
        <v>103519501.10720733</v>
      </c>
      <c r="M475" s="392"/>
      <c r="N475" s="392"/>
      <c r="O475" s="766">
        <v>214831336</v>
      </c>
      <c r="P475" s="392">
        <v>3387500</v>
      </c>
      <c r="Q475" s="392">
        <v>54188400</v>
      </c>
      <c r="R475" s="392"/>
      <c r="S475" s="766">
        <v>57575900</v>
      </c>
      <c r="T475" s="392"/>
      <c r="U475" s="766"/>
      <c r="V475" s="392"/>
      <c r="W475" s="766">
        <v>869353927.25662875</v>
      </c>
      <c r="X475" s="378"/>
      <c r="Y475" s="180"/>
      <c r="Z475" s="180"/>
      <c r="AA475" s="180"/>
      <c r="AB475" s="180"/>
    </row>
    <row r="476" spans="1:28" s="202" customFormat="1" x14ac:dyDescent="0.2">
      <c r="A476" s="637"/>
      <c r="B476" s="639" t="s">
        <v>116</v>
      </c>
      <c r="C476" s="466">
        <v>8.2985346728404039</v>
      </c>
      <c r="D476" s="466">
        <v>5.9755633736551959</v>
      </c>
      <c r="E476" s="466">
        <v>6.3733392674045115</v>
      </c>
      <c r="F476" s="466">
        <v>0</v>
      </c>
      <c r="G476" s="466">
        <v>0.55173189086144414</v>
      </c>
      <c r="H476" s="466">
        <v>0</v>
      </c>
      <c r="I476" s="767">
        <v>6.9745005488846905</v>
      </c>
      <c r="J476" s="466">
        <v>0</v>
      </c>
      <c r="K476" s="466">
        <v>4.7278717223973601</v>
      </c>
      <c r="L476" s="466">
        <v>7.5028758279445249</v>
      </c>
      <c r="M476" s="466">
        <v>0</v>
      </c>
      <c r="N476" s="466">
        <v>0</v>
      </c>
      <c r="O476" s="767">
        <v>6.0469367832837531</v>
      </c>
      <c r="P476" s="466">
        <v>5.0355027751077488</v>
      </c>
      <c r="Q476" s="466">
        <v>5.0370422060174684</v>
      </c>
      <c r="R476" s="466">
        <v>0</v>
      </c>
      <c r="S476" s="767">
        <v>5.0369516317643557</v>
      </c>
      <c r="T476" s="466">
        <v>0</v>
      </c>
      <c r="U476" s="767">
        <v>0</v>
      </c>
      <c r="V476" s="466">
        <v>0</v>
      </c>
      <c r="W476" s="767">
        <v>6.6138122210423811</v>
      </c>
      <c r="X476" s="378"/>
      <c r="Y476" s="180"/>
      <c r="Z476" s="180"/>
      <c r="AA476" s="180"/>
      <c r="AB476" s="180"/>
    </row>
    <row r="477" spans="1:28" x14ac:dyDescent="0.2">
      <c r="A477" s="636"/>
      <c r="B477" s="388" t="s">
        <v>195</v>
      </c>
      <c r="C477" s="391">
        <v>63507986</v>
      </c>
      <c r="D477" s="391">
        <v>5937100</v>
      </c>
      <c r="E477" s="391"/>
      <c r="F477" s="391"/>
      <c r="G477" s="391"/>
      <c r="H477" s="391"/>
      <c r="I477" s="765">
        <v>69445086</v>
      </c>
      <c r="J477" s="391"/>
      <c r="K477" s="391"/>
      <c r="L477" s="391"/>
      <c r="M477" s="391"/>
      <c r="N477" s="391"/>
      <c r="O477" s="765"/>
      <c r="P477" s="391"/>
      <c r="Q477" s="391"/>
      <c r="R477" s="391"/>
      <c r="S477" s="765"/>
      <c r="T477" s="391"/>
      <c r="U477" s="765"/>
      <c r="V477" s="391">
        <v>394700</v>
      </c>
      <c r="W477" s="765">
        <v>69839786</v>
      </c>
      <c r="X477" s="378"/>
      <c r="Y477" s="180"/>
      <c r="Z477" s="180"/>
      <c r="AA477" s="180"/>
      <c r="AB477" s="180"/>
    </row>
    <row r="478" spans="1:28" s="203" customFormat="1" x14ac:dyDescent="0.2">
      <c r="A478" s="636"/>
      <c r="B478" s="389" t="s">
        <v>242</v>
      </c>
      <c r="C478" s="392">
        <v>66467177</v>
      </c>
      <c r="D478" s="392">
        <v>6131000</v>
      </c>
      <c r="E478" s="392"/>
      <c r="F478" s="392"/>
      <c r="G478" s="392"/>
      <c r="H478" s="392"/>
      <c r="I478" s="766">
        <v>72598177</v>
      </c>
      <c r="J478" s="392"/>
      <c r="K478" s="392"/>
      <c r="L478" s="392"/>
      <c r="M478" s="392"/>
      <c r="N478" s="392"/>
      <c r="O478" s="766"/>
      <c r="P478" s="392"/>
      <c r="Q478" s="392"/>
      <c r="R478" s="392"/>
      <c r="S478" s="766"/>
      <c r="T478" s="392"/>
      <c r="U478" s="766"/>
      <c r="V478" s="392">
        <v>422000</v>
      </c>
      <c r="W478" s="766">
        <v>73020177</v>
      </c>
      <c r="X478" s="378"/>
      <c r="Y478" s="180"/>
      <c r="Z478" s="180"/>
      <c r="AA478" s="180"/>
      <c r="AB478" s="180"/>
    </row>
    <row r="479" spans="1:28" s="202" customFormat="1" x14ac:dyDescent="0.2">
      <c r="A479" s="636"/>
      <c r="B479" s="639" t="s">
        <v>244</v>
      </c>
      <c r="C479" s="466">
        <v>4.6595573035491942</v>
      </c>
      <c r="D479" s="466">
        <v>3.2659042293375551</v>
      </c>
      <c r="E479" s="466">
        <v>0</v>
      </c>
      <c r="F479" s="466">
        <v>0</v>
      </c>
      <c r="G479" s="466">
        <v>0</v>
      </c>
      <c r="H479" s="466">
        <v>0</v>
      </c>
      <c r="I479" s="767">
        <v>4.5404090938846275</v>
      </c>
      <c r="J479" s="466">
        <v>0</v>
      </c>
      <c r="K479" s="466">
        <v>0</v>
      </c>
      <c r="L479" s="466">
        <v>0</v>
      </c>
      <c r="M479" s="466">
        <v>0</v>
      </c>
      <c r="N479" s="466">
        <v>0</v>
      </c>
      <c r="O479" s="767">
        <v>0</v>
      </c>
      <c r="P479" s="466">
        <v>0</v>
      </c>
      <c r="Q479" s="466">
        <v>0</v>
      </c>
      <c r="R479" s="466">
        <v>0</v>
      </c>
      <c r="S479" s="767">
        <v>0</v>
      </c>
      <c r="T479" s="466">
        <v>0</v>
      </c>
      <c r="U479" s="767">
        <v>0</v>
      </c>
      <c r="V479" s="466">
        <v>6.9166455535850018</v>
      </c>
      <c r="W479" s="767">
        <v>4.5538384095277724</v>
      </c>
      <c r="X479" s="378"/>
      <c r="Y479" s="180"/>
      <c r="Z479" s="180"/>
      <c r="AA479" s="180"/>
      <c r="AB479" s="180"/>
    </row>
    <row r="480" spans="1:28" x14ac:dyDescent="0.2">
      <c r="A480" s="636"/>
      <c r="B480" s="388" t="s">
        <v>5</v>
      </c>
      <c r="C480" s="391"/>
      <c r="D480" s="391"/>
      <c r="E480" s="391"/>
      <c r="F480" s="391"/>
      <c r="G480" s="391"/>
      <c r="H480" s="391"/>
      <c r="I480" s="765"/>
      <c r="J480" s="391"/>
      <c r="K480" s="391"/>
      <c r="L480" s="391"/>
      <c r="M480" s="391"/>
      <c r="N480" s="391"/>
      <c r="O480" s="765"/>
      <c r="P480" s="391"/>
      <c r="Q480" s="391"/>
      <c r="R480" s="391"/>
      <c r="S480" s="765"/>
      <c r="T480" s="391"/>
      <c r="U480" s="765"/>
      <c r="V480" s="391"/>
      <c r="W480" s="765"/>
      <c r="X480" s="378"/>
      <c r="Y480" s="180"/>
      <c r="Z480" s="180"/>
      <c r="AA480" s="180"/>
      <c r="AB480" s="180"/>
    </row>
    <row r="481" spans="1:28" s="203" customFormat="1" x14ac:dyDescent="0.2">
      <c r="A481" s="636"/>
      <c r="B481" s="389" t="s">
        <v>6</v>
      </c>
      <c r="C481" s="392"/>
      <c r="D481" s="392"/>
      <c r="E481" s="392"/>
      <c r="F481" s="392"/>
      <c r="G481" s="392"/>
      <c r="H481" s="392"/>
      <c r="I481" s="766"/>
      <c r="J481" s="392"/>
      <c r="K481" s="392"/>
      <c r="L481" s="392"/>
      <c r="M481" s="392"/>
      <c r="N481" s="392"/>
      <c r="O481" s="766"/>
      <c r="P481" s="392"/>
      <c r="Q481" s="392"/>
      <c r="R481" s="392"/>
      <c r="S481" s="766"/>
      <c r="T481" s="392"/>
      <c r="U481" s="766"/>
      <c r="V481" s="392"/>
      <c r="W481" s="766"/>
      <c r="X481" s="378"/>
      <c r="Y481" s="180"/>
      <c r="Z481" s="180"/>
      <c r="AA481" s="180"/>
      <c r="AB481" s="180"/>
    </row>
    <row r="482" spans="1:28" s="202" customFormat="1" x14ac:dyDescent="0.2">
      <c r="A482" s="636"/>
      <c r="B482" s="639" t="s">
        <v>298</v>
      </c>
      <c r="C482" s="466">
        <v>0</v>
      </c>
      <c r="D482" s="466">
        <v>0</v>
      </c>
      <c r="E482" s="466">
        <v>0</v>
      </c>
      <c r="F482" s="466">
        <v>0</v>
      </c>
      <c r="G482" s="466">
        <v>0</v>
      </c>
      <c r="H482" s="466">
        <v>0</v>
      </c>
      <c r="I482" s="767">
        <v>0</v>
      </c>
      <c r="J482" s="466">
        <v>0</v>
      </c>
      <c r="K482" s="466">
        <v>0</v>
      </c>
      <c r="L482" s="466">
        <v>0</v>
      </c>
      <c r="M482" s="466">
        <v>0</v>
      </c>
      <c r="N482" s="466">
        <v>0</v>
      </c>
      <c r="O482" s="767">
        <v>0</v>
      </c>
      <c r="P482" s="466">
        <v>0</v>
      </c>
      <c r="Q482" s="466">
        <v>0</v>
      </c>
      <c r="R482" s="466">
        <v>0</v>
      </c>
      <c r="S482" s="767">
        <v>0</v>
      </c>
      <c r="T482" s="466">
        <v>0</v>
      </c>
      <c r="U482" s="767">
        <v>0</v>
      </c>
      <c r="V482" s="466">
        <v>0</v>
      </c>
      <c r="W482" s="767">
        <v>0</v>
      </c>
      <c r="X482" s="378"/>
      <c r="Y482" s="180"/>
      <c r="Z482" s="180"/>
      <c r="AA482" s="180"/>
      <c r="AB482" s="180"/>
    </row>
    <row r="483" spans="1:28" x14ac:dyDescent="0.2">
      <c r="A483" s="636"/>
      <c r="B483" s="388" t="s">
        <v>223</v>
      </c>
      <c r="C483" s="391">
        <v>416649205</v>
      </c>
      <c r="D483" s="391">
        <v>65496600</v>
      </c>
      <c r="E483" s="391">
        <v>466473363</v>
      </c>
      <c r="F483" s="391"/>
      <c r="G483" s="391">
        <v>50002855</v>
      </c>
      <c r="H483" s="391"/>
      <c r="I483" s="765">
        <v>998622023</v>
      </c>
      <c r="J483" s="391"/>
      <c r="K483" s="391">
        <v>150798800</v>
      </c>
      <c r="L483" s="391">
        <v>116891700</v>
      </c>
      <c r="M483" s="391"/>
      <c r="N483" s="391"/>
      <c r="O483" s="765">
        <v>267690500</v>
      </c>
      <c r="P483" s="391">
        <v>2368000</v>
      </c>
      <c r="Q483" s="391">
        <v>26166150</v>
      </c>
      <c r="R483" s="391"/>
      <c r="S483" s="765">
        <v>28534150</v>
      </c>
      <c r="T483" s="391"/>
      <c r="U483" s="765"/>
      <c r="V483" s="391"/>
      <c r="W483" s="765">
        <v>1294846673</v>
      </c>
      <c r="X483" s="378"/>
      <c r="Y483" s="180"/>
      <c r="Z483" s="180"/>
      <c r="AA483" s="180"/>
      <c r="AB483" s="180"/>
    </row>
    <row r="484" spans="1:28" s="203" customFormat="1" x14ac:dyDescent="0.2">
      <c r="A484" s="636"/>
      <c r="B484" s="389" t="s">
        <v>14</v>
      </c>
      <c r="C484" s="392">
        <v>432939200</v>
      </c>
      <c r="D484" s="392">
        <v>69406700</v>
      </c>
      <c r="E484" s="392">
        <v>480414332</v>
      </c>
      <c r="F484" s="392"/>
      <c r="G484" s="392">
        <v>52866500</v>
      </c>
      <c r="H484" s="392"/>
      <c r="I484" s="766">
        <v>1035626732</v>
      </c>
      <c r="J484" s="392"/>
      <c r="K484" s="392">
        <v>150225800</v>
      </c>
      <c r="L484" s="392">
        <v>115871680</v>
      </c>
      <c r="M484" s="392"/>
      <c r="N484" s="392"/>
      <c r="O484" s="766">
        <v>266097480</v>
      </c>
      <c r="P484" s="392">
        <v>2676000</v>
      </c>
      <c r="Q484" s="392">
        <v>26114750</v>
      </c>
      <c r="R484" s="392"/>
      <c r="S484" s="766">
        <v>28790750</v>
      </c>
      <c r="T484" s="392"/>
      <c r="U484" s="766"/>
      <c r="V484" s="392">
        <v>0</v>
      </c>
      <c r="W484" s="766">
        <v>1330514962</v>
      </c>
      <c r="X484" s="378"/>
      <c r="Y484" s="180"/>
      <c r="Z484" s="180"/>
      <c r="AA484" s="180"/>
      <c r="AB484" s="180"/>
    </row>
    <row r="485" spans="1:28" s="202" customFormat="1" x14ac:dyDescent="0.2">
      <c r="A485" s="636"/>
      <c r="B485" s="639" t="s">
        <v>247</v>
      </c>
      <c r="C485" s="466">
        <v>3.9097626503331506</v>
      </c>
      <c r="D485" s="466">
        <v>5.969928210013955</v>
      </c>
      <c r="E485" s="466">
        <v>2.9885884395075308</v>
      </c>
      <c r="F485" s="466">
        <v>0</v>
      </c>
      <c r="G485" s="466">
        <v>5.7269629904132469</v>
      </c>
      <c r="H485" s="466">
        <v>0</v>
      </c>
      <c r="I485" s="767">
        <v>3.7055771000155482</v>
      </c>
      <c r="J485" s="466">
        <v>0</v>
      </c>
      <c r="K485" s="466">
        <v>-0.37997649848672532</v>
      </c>
      <c r="L485" s="466">
        <v>-0.87261969840459164</v>
      </c>
      <c r="M485" s="466">
        <v>0</v>
      </c>
      <c r="N485" s="466">
        <v>0</v>
      </c>
      <c r="O485" s="767">
        <v>-0.59509769678042357</v>
      </c>
      <c r="P485" s="763">
        <v>13.006756756756758</v>
      </c>
      <c r="Q485" s="466">
        <v>-0.19643699971145928</v>
      </c>
      <c r="R485" s="466">
        <v>0</v>
      </c>
      <c r="S485" s="767">
        <v>0.89927332687323791</v>
      </c>
      <c r="T485" s="466">
        <v>0</v>
      </c>
      <c r="U485" s="767">
        <v>0</v>
      </c>
      <c r="V485" s="466">
        <v>0</v>
      </c>
      <c r="W485" s="767">
        <v>2.7546341774475103</v>
      </c>
      <c r="X485" s="378"/>
      <c r="Y485" s="180"/>
      <c r="Z485" s="180"/>
      <c r="AA485" s="180"/>
      <c r="AB485" s="180"/>
    </row>
    <row r="486" spans="1:28" x14ac:dyDescent="0.2">
      <c r="A486" s="636"/>
      <c r="B486" s="388" t="s">
        <v>225</v>
      </c>
      <c r="C486" s="391">
        <v>5145100</v>
      </c>
      <c r="D486" s="391">
        <v>1500000</v>
      </c>
      <c r="E486" s="391">
        <v>18177600</v>
      </c>
      <c r="F486" s="391"/>
      <c r="G486" s="391">
        <v>2500000</v>
      </c>
      <c r="H486" s="391"/>
      <c r="I486" s="765">
        <v>27322700</v>
      </c>
      <c r="J486" s="391"/>
      <c r="K486" s="391">
        <v>330000</v>
      </c>
      <c r="L486" s="391"/>
      <c r="M486" s="391"/>
      <c r="N486" s="391"/>
      <c r="O486" s="765">
        <v>330000</v>
      </c>
      <c r="P486" s="391"/>
      <c r="Q486" s="391"/>
      <c r="R486" s="391"/>
      <c r="S486" s="765"/>
      <c r="T486" s="391"/>
      <c r="U486" s="765"/>
      <c r="V486" s="391"/>
      <c r="W486" s="765">
        <v>27652700</v>
      </c>
      <c r="X486" s="378"/>
      <c r="Y486" s="180"/>
      <c r="Z486" s="180"/>
      <c r="AA486" s="180"/>
      <c r="AB486" s="180"/>
    </row>
    <row r="487" spans="1:28" s="203" customFormat="1" x14ac:dyDescent="0.2">
      <c r="A487" s="636"/>
      <c r="B487" s="389" t="s">
        <v>166</v>
      </c>
      <c r="C487" s="392">
        <v>4758000</v>
      </c>
      <c r="D487" s="392">
        <v>1537500</v>
      </c>
      <c r="E487" s="392">
        <v>17298800</v>
      </c>
      <c r="F487" s="392"/>
      <c r="G487" s="392">
        <v>2500000</v>
      </c>
      <c r="H487" s="392"/>
      <c r="I487" s="766">
        <v>26094300</v>
      </c>
      <c r="J487" s="392"/>
      <c r="K487" s="392">
        <v>330000</v>
      </c>
      <c r="L487" s="392">
        <v>0</v>
      </c>
      <c r="M487" s="392"/>
      <c r="N487" s="392"/>
      <c r="O487" s="766">
        <v>330000</v>
      </c>
      <c r="P487" s="392">
        <v>0</v>
      </c>
      <c r="Q487" s="392">
        <v>0</v>
      </c>
      <c r="R487" s="392"/>
      <c r="S487" s="766">
        <v>0</v>
      </c>
      <c r="T487" s="392"/>
      <c r="U487" s="766"/>
      <c r="V487" s="392">
        <v>0</v>
      </c>
      <c r="W487" s="766">
        <v>26424300</v>
      </c>
      <c r="X487" s="378"/>
      <c r="Y487" s="180"/>
      <c r="Z487" s="180"/>
      <c r="AA487" s="180"/>
      <c r="AB487" s="180"/>
    </row>
    <row r="488" spans="1:28" s="202" customFormat="1" x14ac:dyDescent="0.2">
      <c r="A488" s="636"/>
      <c r="B488" s="639" t="s">
        <v>175</v>
      </c>
      <c r="C488" s="466">
        <v>-7.523663291286856</v>
      </c>
      <c r="D488" s="466">
        <v>2.5</v>
      </c>
      <c r="E488" s="466">
        <v>-4.834521609013291</v>
      </c>
      <c r="F488" s="466">
        <v>0</v>
      </c>
      <c r="G488" s="466">
        <v>0</v>
      </c>
      <c r="H488" s="466">
        <v>0</v>
      </c>
      <c r="I488" s="767">
        <v>-4.4958953544122648</v>
      </c>
      <c r="J488" s="466">
        <v>0</v>
      </c>
      <c r="K488" s="466">
        <v>0</v>
      </c>
      <c r="L488" s="466">
        <v>0</v>
      </c>
      <c r="M488" s="466">
        <v>0</v>
      </c>
      <c r="N488" s="466">
        <v>0</v>
      </c>
      <c r="O488" s="767">
        <v>0</v>
      </c>
      <c r="P488" s="466">
        <v>0</v>
      </c>
      <c r="Q488" s="466">
        <v>0</v>
      </c>
      <c r="R488" s="466">
        <v>0</v>
      </c>
      <c r="S488" s="767">
        <v>0</v>
      </c>
      <c r="T488" s="466">
        <v>0</v>
      </c>
      <c r="U488" s="767">
        <v>0</v>
      </c>
      <c r="V488" s="466">
        <v>0</v>
      </c>
      <c r="W488" s="767">
        <v>-4.4422425296625647</v>
      </c>
      <c r="X488" s="378"/>
      <c r="Y488" s="180"/>
      <c r="Z488" s="180"/>
      <c r="AA488" s="180"/>
      <c r="AB488" s="180"/>
    </row>
    <row r="489" spans="1:28" x14ac:dyDescent="0.2">
      <c r="A489" s="636"/>
      <c r="B489" s="768" t="s">
        <v>317</v>
      </c>
      <c r="C489" s="765">
        <v>421794305</v>
      </c>
      <c r="D489" s="765">
        <v>66996600</v>
      </c>
      <c r="E489" s="765">
        <v>484650963</v>
      </c>
      <c r="F489" s="765"/>
      <c r="G489" s="765">
        <v>52502855</v>
      </c>
      <c r="H489" s="765"/>
      <c r="I489" s="765">
        <v>1025944723</v>
      </c>
      <c r="J489" s="765"/>
      <c r="K489" s="765">
        <v>151128800</v>
      </c>
      <c r="L489" s="765">
        <v>116891700</v>
      </c>
      <c r="M489" s="765"/>
      <c r="N489" s="765"/>
      <c r="O489" s="765">
        <v>268020500</v>
      </c>
      <c r="P489" s="765">
        <v>2368000</v>
      </c>
      <c r="Q489" s="765">
        <v>26166150</v>
      </c>
      <c r="R489" s="765"/>
      <c r="S489" s="765">
        <v>28534150</v>
      </c>
      <c r="T489" s="765">
        <v>0</v>
      </c>
      <c r="U489" s="765">
        <v>0</v>
      </c>
      <c r="V489" s="765">
        <v>0</v>
      </c>
      <c r="W489" s="765">
        <v>1322499373</v>
      </c>
      <c r="X489" s="378"/>
      <c r="Y489" s="180"/>
      <c r="Z489" s="180"/>
      <c r="AA489" s="180"/>
      <c r="AB489" s="180"/>
    </row>
    <row r="490" spans="1:28" s="203" customFormat="1" x14ac:dyDescent="0.2">
      <c r="A490" s="636"/>
      <c r="B490" s="769" t="s">
        <v>70</v>
      </c>
      <c r="C490" s="766">
        <v>437697200</v>
      </c>
      <c r="D490" s="766">
        <v>70944200</v>
      </c>
      <c r="E490" s="766">
        <v>497713132</v>
      </c>
      <c r="F490" s="766"/>
      <c r="G490" s="766">
        <v>55366500</v>
      </c>
      <c r="H490" s="766"/>
      <c r="I490" s="766">
        <v>1061721032</v>
      </c>
      <c r="J490" s="766"/>
      <c r="K490" s="766">
        <v>150555800</v>
      </c>
      <c r="L490" s="766">
        <v>115871680</v>
      </c>
      <c r="M490" s="766"/>
      <c r="N490" s="766"/>
      <c r="O490" s="766">
        <v>266427480</v>
      </c>
      <c r="P490" s="766">
        <v>2676000</v>
      </c>
      <c r="Q490" s="766">
        <v>26114750</v>
      </c>
      <c r="R490" s="766"/>
      <c r="S490" s="766">
        <v>28790750</v>
      </c>
      <c r="T490" s="766">
        <v>0</v>
      </c>
      <c r="U490" s="766">
        <v>0</v>
      </c>
      <c r="V490" s="766">
        <v>0</v>
      </c>
      <c r="W490" s="766">
        <v>1356939262</v>
      </c>
      <c r="X490" s="378"/>
      <c r="Y490" s="180"/>
      <c r="Z490" s="180"/>
      <c r="AA490" s="180"/>
      <c r="AB490" s="180"/>
    </row>
    <row r="491" spans="1:28" s="202" customFormat="1" x14ac:dyDescent="0.2">
      <c r="A491" s="636"/>
      <c r="B491" s="770" t="s">
        <v>57</v>
      </c>
      <c r="C491" s="767">
        <v>3.7702962822127248</v>
      </c>
      <c r="D491" s="767">
        <v>5.8922393076663591</v>
      </c>
      <c r="E491" s="767">
        <v>2.6951703384936843</v>
      </c>
      <c r="F491" s="767">
        <v>0</v>
      </c>
      <c r="G491" s="767">
        <v>5.4542652966205365</v>
      </c>
      <c r="H491" s="767">
        <v>0</v>
      </c>
      <c r="I491" s="767">
        <v>3.4871575629713534</v>
      </c>
      <c r="J491" s="767">
        <v>0</v>
      </c>
      <c r="K491" s="767">
        <v>-0.37914679399293849</v>
      </c>
      <c r="L491" s="767">
        <v>-0.87261969840459164</v>
      </c>
      <c r="M491" s="767">
        <v>0</v>
      </c>
      <c r="N491" s="767">
        <v>0</v>
      </c>
      <c r="O491" s="767">
        <v>-0.594364983275533</v>
      </c>
      <c r="P491" s="767">
        <v>13.006756756756758</v>
      </c>
      <c r="Q491" s="767">
        <v>-0.19643699971145928</v>
      </c>
      <c r="R491" s="767">
        <v>0</v>
      </c>
      <c r="S491" s="767">
        <v>0.89927332687323791</v>
      </c>
      <c r="T491" s="767">
        <v>0</v>
      </c>
      <c r="U491" s="767">
        <v>0</v>
      </c>
      <c r="V491" s="767">
        <v>0</v>
      </c>
      <c r="W491" s="767">
        <v>2.6041516316091289</v>
      </c>
      <c r="X491" s="378"/>
      <c r="Y491" s="180"/>
      <c r="Z491" s="180"/>
      <c r="AA491" s="180"/>
      <c r="AB491" s="180"/>
    </row>
    <row r="492" spans="1:28" x14ac:dyDescent="0.2">
      <c r="A492" s="636"/>
      <c r="B492" s="388" t="s">
        <v>72</v>
      </c>
      <c r="C492" s="391"/>
      <c r="D492" s="391"/>
      <c r="E492" s="391"/>
      <c r="F492" s="391"/>
      <c r="G492" s="391"/>
      <c r="H492" s="391"/>
      <c r="I492" s="765"/>
      <c r="J492" s="391"/>
      <c r="K492" s="391"/>
      <c r="L492" s="391"/>
      <c r="M492" s="391"/>
      <c r="N492" s="391"/>
      <c r="O492" s="765"/>
      <c r="P492" s="391"/>
      <c r="Q492" s="391"/>
      <c r="R492" s="391"/>
      <c r="S492" s="765"/>
      <c r="T492" s="391">
        <v>8589981.1774581838</v>
      </c>
      <c r="U492" s="765">
        <v>8589981.1774581838</v>
      </c>
      <c r="V492" s="391">
        <v>390993355</v>
      </c>
      <c r="W492" s="765">
        <v>399583336.17745817</v>
      </c>
      <c r="X492" s="378"/>
      <c r="Y492" s="180"/>
      <c r="Z492" s="180"/>
      <c r="AA492" s="180"/>
      <c r="AB492" s="180"/>
    </row>
    <row r="493" spans="1:28" s="203" customFormat="1" x14ac:dyDescent="0.2">
      <c r="A493" s="636"/>
      <c r="B493" s="389" t="s">
        <v>74</v>
      </c>
      <c r="C493" s="392"/>
      <c r="D493" s="392"/>
      <c r="E493" s="392"/>
      <c r="F493" s="392"/>
      <c r="G493" s="392"/>
      <c r="H493" s="392"/>
      <c r="I493" s="766"/>
      <c r="J493" s="392"/>
      <c r="K493" s="392"/>
      <c r="L493" s="392"/>
      <c r="M493" s="392"/>
      <c r="N493" s="392"/>
      <c r="O493" s="766"/>
      <c r="P493" s="392"/>
      <c r="Q493" s="392"/>
      <c r="R493" s="392"/>
      <c r="S493" s="766"/>
      <c r="T493" s="392">
        <v>8923113.9352994487</v>
      </c>
      <c r="U493" s="766">
        <v>8923113.9352994487</v>
      </c>
      <c r="V493" s="392">
        <v>389373604.95999998</v>
      </c>
      <c r="W493" s="766">
        <v>398296718.89529943</v>
      </c>
      <c r="X493" s="378"/>
      <c r="Y493" s="180"/>
      <c r="Z493" s="180"/>
      <c r="AA493" s="180"/>
      <c r="AB493" s="180"/>
    </row>
    <row r="494" spans="1:28" s="202" customFormat="1" x14ac:dyDescent="0.2">
      <c r="A494" s="636"/>
      <c r="B494" s="639" t="s">
        <v>76</v>
      </c>
      <c r="C494" s="466">
        <v>0</v>
      </c>
      <c r="D494" s="466">
        <v>0</v>
      </c>
      <c r="E494" s="466">
        <v>0</v>
      </c>
      <c r="F494" s="466">
        <v>0</v>
      </c>
      <c r="G494" s="466">
        <v>0</v>
      </c>
      <c r="H494" s="466">
        <v>0</v>
      </c>
      <c r="I494" s="767">
        <v>0</v>
      </c>
      <c r="J494" s="466">
        <v>0</v>
      </c>
      <c r="K494" s="466">
        <v>0</v>
      </c>
      <c r="L494" s="466">
        <v>0</v>
      </c>
      <c r="M494" s="466">
        <v>0</v>
      </c>
      <c r="N494" s="466">
        <v>0</v>
      </c>
      <c r="O494" s="767">
        <v>0</v>
      </c>
      <c r="P494" s="466">
        <v>0</v>
      </c>
      <c r="Q494" s="466">
        <v>0</v>
      </c>
      <c r="R494" s="466">
        <v>0</v>
      </c>
      <c r="S494" s="767">
        <v>0</v>
      </c>
      <c r="T494" s="466">
        <v>3.8781546892730256</v>
      </c>
      <c r="U494" s="767">
        <v>3.8781546892730256</v>
      </c>
      <c r="V494" s="466">
        <v>-0.41426536264280539</v>
      </c>
      <c r="W494" s="767">
        <v>-0.32198972421295752</v>
      </c>
      <c r="X494" s="378"/>
      <c r="Y494" s="180"/>
      <c r="Z494" s="180"/>
      <c r="AA494" s="180"/>
      <c r="AB494" s="180"/>
    </row>
    <row r="495" spans="1:28" x14ac:dyDescent="0.2">
      <c r="A495" s="636"/>
      <c r="B495" s="388" t="s">
        <v>240</v>
      </c>
      <c r="C495" s="391"/>
      <c r="D495" s="391"/>
      <c r="E495" s="391"/>
      <c r="F495" s="391"/>
      <c r="G495" s="391"/>
      <c r="H495" s="391"/>
      <c r="I495" s="765"/>
      <c r="J495" s="391"/>
      <c r="K495" s="391"/>
      <c r="L495" s="391"/>
      <c r="M495" s="391"/>
      <c r="N495" s="391"/>
      <c r="O495" s="765"/>
      <c r="P495" s="391"/>
      <c r="Q495" s="391"/>
      <c r="R495" s="391"/>
      <c r="S495" s="765"/>
      <c r="T495" s="391">
        <v>1766048</v>
      </c>
      <c r="U495" s="765">
        <v>1766048</v>
      </c>
      <c r="V495" s="391"/>
      <c r="W495" s="765">
        <v>1766048</v>
      </c>
      <c r="X495" s="378"/>
      <c r="Y495" s="180"/>
      <c r="Z495" s="180"/>
      <c r="AA495" s="180"/>
      <c r="AB495" s="180"/>
    </row>
    <row r="496" spans="1:28" s="203" customFormat="1" x14ac:dyDescent="0.2">
      <c r="A496" s="636"/>
      <c r="B496" s="389" t="s">
        <v>163</v>
      </c>
      <c r="C496" s="392"/>
      <c r="D496" s="392"/>
      <c r="E496" s="392"/>
      <c r="F496" s="392"/>
      <c r="G496" s="392"/>
      <c r="H496" s="392"/>
      <c r="I496" s="766"/>
      <c r="J496" s="392"/>
      <c r="K496" s="392"/>
      <c r="L496" s="392"/>
      <c r="M496" s="392"/>
      <c r="N496" s="392"/>
      <c r="O496" s="766"/>
      <c r="P496" s="392"/>
      <c r="Q496" s="392"/>
      <c r="R496" s="392"/>
      <c r="S496" s="766"/>
      <c r="T496" s="392">
        <v>1450000</v>
      </c>
      <c r="U496" s="766">
        <v>1450000</v>
      </c>
      <c r="V496" s="392">
        <v>0</v>
      </c>
      <c r="W496" s="766">
        <v>1450000</v>
      </c>
      <c r="X496" s="378"/>
      <c r="Y496" s="180"/>
      <c r="Z496" s="180"/>
      <c r="AA496" s="180"/>
      <c r="AB496" s="180"/>
    </row>
    <row r="497" spans="1:28" s="202" customFormat="1" x14ac:dyDescent="0.2">
      <c r="A497" s="636"/>
      <c r="B497" s="639" t="s">
        <v>59</v>
      </c>
      <c r="C497" s="466">
        <v>0</v>
      </c>
      <c r="D497" s="466">
        <v>0</v>
      </c>
      <c r="E497" s="466">
        <v>0</v>
      </c>
      <c r="F497" s="466">
        <v>0</v>
      </c>
      <c r="G497" s="466">
        <v>0</v>
      </c>
      <c r="H497" s="466">
        <v>0</v>
      </c>
      <c r="I497" s="767">
        <v>0</v>
      </c>
      <c r="J497" s="466">
        <v>0</v>
      </c>
      <c r="K497" s="466">
        <v>0</v>
      </c>
      <c r="L497" s="466">
        <v>0</v>
      </c>
      <c r="M497" s="466">
        <v>0</v>
      </c>
      <c r="N497" s="466">
        <v>0</v>
      </c>
      <c r="O497" s="767">
        <v>0</v>
      </c>
      <c r="P497" s="466">
        <v>0</v>
      </c>
      <c r="Q497" s="466">
        <v>0</v>
      </c>
      <c r="R497" s="466">
        <v>0</v>
      </c>
      <c r="S497" s="767">
        <v>0</v>
      </c>
      <c r="T497" s="466">
        <v>-17.895776332240121</v>
      </c>
      <c r="U497" s="767">
        <v>-17.895776332240121</v>
      </c>
      <c r="V497" s="466">
        <v>0</v>
      </c>
      <c r="W497" s="767">
        <v>-17.895776332240121</v>
      </c>
      <c r="X497" s="378"/>
      <c r="Y497" s="180"/>
      <c r="Z497" s="180"/>
      <c r="AA497" s="180"/>
      <c r="AB497" s="180"/>
    </row>
    <row r="498" spans="1:28" x14ac:dyDescent="0.2">
      <c r="A498" s="636"/>
      <c r="B498" s="388" t="s">
        <v>159</v>
      </c>
      <c r="C498" s="391"/>
      <c r="D498" s="391"/>
      <c r="E498" s="391"/>
      <c r="F498" s="391"/>
      <c r="G498" s="391"/>
      <c r="H498" s="391"/>
      <c r="I498" s="765"/>
      <c r="J498" s="391"/>
      <c r="K498" s="391"/>
      <c r="L498" s="391"/>
      <c r="M498" s="391"/>
      <c r="N498" s="391"/>
      <c r="O498" s="765"/>
      <c r="P498" s="391"/>
      <c r="Q498" s="391"/>
      <c r="R498" s="391"/>
      <c r="S498" s="765"/>
      <c r="T498" s="391"/>
      <c r="U498" s="765"/>
      <c r="V498" s="391"/>
      <c r="W498" s="765"/>
      <c r="X498" s="378"/>
      <c r="Y498" s="180"/>
      <c r="Z498" s="180"/>
      <c r="AA498" s="180"/>
      <c r="AB498" s="180"/>
    </row>
    <row r="499" spans="1:28" s="203" customFormat="1" x14ac:dyDescent="0.2">
      <c r="A499" s="636"/>
      <c r="B499" s="389" t="s">
        <v>100</v>
      </c>
      <c r="C499" s="392"/>
      <c r="D499" s="392"/>
      <c r="E499" s="392"/>
      <c r="F499" s="392"/>
      <c r="G499" s="392"/>
      <c r="H499" s="392"/>
      <c r="I499" s="766"/>
      <c r="J499" s="392"/>
      <c r="K499" s="392"/>
      <c r="L499" s="392"/>
      <c r="M499" s="392"/>
      <c r="N499" s="392"/>
      <c r="O499" s="766"/>
      <c r="P499" s="392"/>
      <c r="Q499" s="392"/>
      <c r="R499" s="392"/>
      <c r="S499" s="766"/>
      <c r="T499" s="392">
        <v>0</v>
      </c>
      <c r="U499" s="766">
        <v>0</v>
      </c>
      <c r="V499" s="392">
        <v>0</v>
      </c>
      <c r="W499" s="766">
        <v>0</v>
      </c>
      <c r="X499" s="378"/>
      <c r="Y499" s="180"/>
      <c r="Z499" s="180"/>
      <c r="AA499" s="180"/>
      <c r="AB499" s="180"/>
    </row>
    <row r="500" spans="1:28" s="202" customFormat="1" x14ac:dyDescent="0.2">
      <c r="A500" s="636"/>
      <c r="B500" s="639" t="s">
        <v>110</v>
      </c>
      <c r="C500" s="466">
        <v>0</v>
      </c>
      <c r="D500" s="466">
        <v>0</v>
      </c>
      <c r="E500" s="466">
        <v>0</v>
      </c>
      <c r="F500" s="466">
        <v>0</v>
      </c>
      <c r="G500" s="466">
        <v>0</v>
      </c>
      <c r="H500" s="466">
        <v>0</v>
      </c>
      <c r="I500" s="767">
        <v>0</v>
      </c>
      <c r="J500" s="466">
        <v>0</v>
      </c>
      <c r="K500" s="466">
        <v>0</v>
      </c>
      <c r="L500" s="466">
        <v>0</v>
      </c>
      <c r="M500" s="466">
        <v>0</v>
      </c>
      <c r="N500" s="466">
        <v>0</v>
      </c>
      <c r="O500" s="767">
        <v>0</v>
      </c>
      <c r="P500" s="466">
        <v>0</v>
      </c>
      <c r="Q500" s="466">
        <v>0</v>
      </c>
      <c r="R500" s="466">
        <v>0</v>
      </c>
      <c r="S500" s="767">
        <v>0</v>
      </c>
      <c r="T500" s="466">
        <v>0</v>
      </c>
      <c r="U500" s="767">
        <v>0</v>
      </c>
      <c r="V500" s="466">
        <v>0</v>
      </c>
      <c r="W500" s="767">
        <v>0</v>
      </c>
      <c r="X500" s="378"/>
      <c r="Y500" s="180"/>
      <c r="Z500" s="180"/>
      <c r="AA500" s="180"/>
      <c r="AB500" s="180"/>
    </row>
    <row r="501" spans="1:28" x14ac:dyDescent="0.2">
      <c r="A501" s="636"/>
      <c r="B501" s="388" t="s">
        <v>161</v>
      </c>
      <c r="C501" s="391">
        <v>0</v>
      </c>
      <c r="D501" s="391">
        <v>0</v>
      </c>
      <c r="E501" s="391">
        <v>0</v>
      </c>
      <c r="F501" s="391"/>
      <c r="G501" s="391">
        <v>0</v>
      </c>
      <c r="H501" s="391"/>
      <c r="I501" s="765">
        <v>0</v>
      </c>
      <c r="J501" s="391"/>
      <c r="K501" s="391">
        <v>0</v>
      </c>
      <c r="L501" s="391">
        <v>0</v>
      </c>
      <c r="M501" s="391"/>
      <c r="N501" s="391"/>
      <c r="O501" s="765">
        <v>0</v>
      </c>
      <c r="P501" s="391">
        <v>0</v>
      </c>
      <c r="Q501" s="391">
        <v>0</v>
      </c>
      <c r="R501" s="391"/>
      <c r="S501" s="765">
        <v>0</v>
      </c>
      <c r="T501" s="391">
        <v>1766048</v>
      </c>
      <c r="U501" s="765">
        <v>1766048</v>
      </c>
      <c r="V501" s="391">
        <v>0</v>
      </c>
      <c r="W501" s="765">
        <v>1766048</v>
      </c>
      <c r="X501" s="378"/>
      <c r="Y501" s="180"/>
      <c r="Z501" s="180"/>
      <c r="AA501" s="180"/>
      <c r="AB501" s="180"/>
    </row>
    <row r="502" spans="1:28" s="203" customFormat="1" x14ac:dyDescent="0.2">
      <c r="A502" s="636"/>
      <c r="B502" s="389" t="s">
        <v>102</v>
      </c>
      <c r="C502" s="392">
        <v>0</v>
      </c>
      <c r="D502" s="392">
        <v>0</v>
      </c>
      <c r="E502" s="392">
        <v>0</v>
      </c>
      <c r="F502" s="392"/>
      <c r="G502" s="392">
        <v>0</v>
      </c>
      <c r="H502" s="392"/>
      <c r="I502" s="766">
        <v>0</v>
      </c>
      <c r="J502" s="392"/>
      <c r="K502" s="392">
        <v>0</v>
      </c>
      <c r="L502" s="392">
        <v>0</v>
      </c>
      <c r="M502" s="392"/>
      <c r="N502" s="392"/>
      <c r="O502" s="766">
        <v>0</v>
      </c>
      <c r="P502" s="392">
        <v>0</v>
      </c>
      <c r="Q502" s="392">
        <v>0</v>
      </c>
      <c r="R502" s="392"/>
      <c r="S502" s="766">
        <v>0</v>
      </c>
      <c r="T502" s="392">
        <v>1450000</v>
      </c>
      <c r="U502" s="766">
        <v>1450000</v>
      </c>
      <c r="V502" s="392">
        <v>0</v>
      </c>
      <c r="W502" s="766">
        <v>1450000</v>
      </c>
      <c r="X502" s="378"/>
      <c r="Y502" s="180"/>
      <c r="Z502" s="180"/>
      <c r="AA502" s="180"/>
      <c r="AB502" s="180"/>
    </row>
    <row r="503" spans="1:28" s="202" customFormat="1" x14ac:dyDescent="0.2">
      <c r="A503" s="636"/>
      <c r="B503" s="639" t="s">
        <v>183</v>
      </c>
      <c r="C503" s="466">
        <v>0</v>
      </c>
      <c r="D503" s="466">
        <v>0</v>
      </c>
      <c r="E503" s="466">
        <v>0</v>
      </c>
      <c r="F503" s="466">
        <v>0</v>
      </c>
      <c r="G503" s="466">
        <v>0</v>
      </c>
      <c r="H503" s="466">
        <v>0</v>
      </c>
      <c r="I503" s="767">
        <v>0</v>
      </c>
      <c r="J503" s="466">
        <v>0</v>
      </c>
      <c r="K503" s="466">
        <v>0</v>
      </c>
      <c r="L503" s="466">
        <v>0</v>
      </c>
      <c r="M503" s="466">
        <v>0</v>
      </c>
      <c r="N503" s="466">
        <v>0</v>
      </c>
      <c r="O503" s="767">
        <v>0</v>
      </c>
      <c r="P503" s="466">
        <v>0</v>
      </c>
      <c r="Q503" s="466">
        <v>0</v>
      </c>
      <c r="R503" s="466">
        <v>0</v>
      </c>
      <c r="S503" s="767">
        <v>0</v>
      </c>
      <c r="T503" s="466">
        <v>-17.895776332240121</v>
      </c>
      <c r="U503" s="767">
        <v>-17.895776332240121</v>
      </c>
      <c r="V503" s="466">
        <v>0</v>
      </c>
      <c r="W503" s="767">
        <v>-17.895776332240121</v>
      </c>
      <c r="X503" s="378"/>
      <c r="Y503" s="180"/>
      <c r="Z503" s="180"/>
      <c r="AA503" s="180"/>
      <c r="AB503" s="180"/>
    </row>
    <row r="504" spans="1:28" x14ac:dyDescent="0.2">
      <c r="A504" s="636"/>
      <c r="B504" s="388" t="s">
        <v>78</v>
      </c>
      <c r="C504" s="391"/>
      <c r="D504" s="391"/>
      <c r="E504" s="391">
        <v>33277200</v>
      </c>
      <c r="F504" s="391"/>
      <c r="G504" s="391"/>
      <c r="H504" s="391"/>
      <c r="I504" s="765">
        <v>33277200</v>
      </c>
      <c r="J504" s="391"/>
      <c r="K504" s="391"/>
      <c r="L504" s="391"/>
      <c r="M504" s="391"/>
      <c r="N504" s="391"/>
      <c r="O504" s="765"/>
      <c r="P504" s="391"/>
      <c r="Q504" s="391"/>
      <c r="R504" s="391"/>
      <c r="S504" s="765"/>
      <c r="T504" s="391">
        <v>141731937.18721333</v>
      </c>
      <c r="U504" s="765">
        <v>141731937.18721333</v>
      </c>
      <c r="V504" s="391"/>
      <c r="W504" s="765">
        <v>175009137.18721333</v>
      </c>
      <c r="X504" s="378"/>
      <c r="Y504" s="180"/>
      <c r="Z504" s="180"/>
      <c r="AA504" s="180"/>
      <c r="AB504" s="180"/>
    </row>
    <row r="505" spans="1:28" s="203" customFormat="1" x14ac:dyDescent="0.2">
      <c r="A505" s="636"/>
      <c r="B505" s="389" t="s">
        <v>80</v>
      </c>
      <c r="C505" s="392"/>
      <c r="D505" s="392"/>
      <c r="E505" s="392">
        <v>35236200</v>
      </c>
      <c r="F505" s="392"/>
      <c r="G505" s="392"/>
      <c r="H505" s="392"/>
      <c r="I505" s="766">
        <v>35236200</v>
      </c>
      <c r="J505" s="392"/>
      <c r="K505" s="392"/>
      <c r="L505" s="392"/>
      <c r="M505" s="392"/>
      <c r="N505" s="392"/>
      <c r="O505" s="766"/>
      <c r="P505" s="392"/>
      <c r="Q505" s="392"/>
      <c r="R505" s="392"/>
      <c r="S505" s="766"/>
      <c r="T505" s="392">
        <v>153191862.3825264</v>
      </c>
      <c r="U505" s="766">
        <v>153191862.3825264</v>
      </c>
      <c r="V505" s="392"/>
      <c r="W505" s="766">
        <v>188428062.3825264</v>
      </c>
      <c r="X505" s="378"/>
      <c r="Y505" s="180"/>
      <c r="Z505" s="180"/>
      <c r="AA505" s="180"/>
      <c r="AB505" s="180"/>
    </row>
    <row r="506" spans="1:28" s="202" customFormat="1" x14ac:dyDescent="0.2">
      <c r="A506" s="636"/>
      <c r="B506" s="639" t="s">
        <v>215</v>
      </c>
      <c r="C506" s="466">
        <v>0</v>
      </c>
      <c r="D506" s="466">
        <v>0</v>
      </c>
      <c r="E506" s="466">
        <v>5.8869135624391475</v>
      </c>
      <c r="F506" s="466">
        <v>0</v>
      </c>
      <c r="G506" s="466">
        <v>0</v>
      </c>
      <c r="H506" s="466">
        <v>0</v>
      </c>
      <c r="I506" s="767">
        <v>5.8869135624391475</v>
      </c>
      <c r="J506" s="466">
        <v>0</v>
      </c>
      <c r="K506" s="466">
        <v>0</v>
      </c>
      <c r="L506" s="466">
        <v>0</v>
      </c>
      <c r="M506" s="466">
        <v>0</v>
      </c>
      <c r="N506" s="466">
        <v>0</v>
      </c>
      <c r="O506" s="767">
        <v>0</v>
      </c>
      <c r="P506" s="466">
        <v>0</v>
      </c>
      <c r="Q506" s="466">
        <v>0</v>
      </c>
      <c r="R506" s="466">
        <v>0</v>
      </c>
      <c r="S506" s="767">
        <v>0</v>
      </c>
      <c r="T506" s="466">
        <v>8.0856336424553916</v>
      </c>
      <c r="U506" s="767">
        <v>8.0856336424553916</v>
      </c>
      <c r="V506" s="466">
        <v>0</v>
      </c>
      <c r="W506" s="767">
        <v>7.6675569121618938</v>
      </c>
      <c r="X506" s="378"/>
      <c r="Y506" s="180"/>
      <c r="Z506" s="180"/>
      <c r="AA506" s="180"/>
      <c r="AB506" s="180"/>
    </row>
    <row r="507" spans="1:28" x14ac:dyDescent="0.2">
      <c r="A507" s="636"/>
      <c r="B507" s="388" t="s">
        <v>81</v>
      </c>
      <c r="C507" s="391"/>
      <c r="D507" s="391"/>
      <c r="E507" s="391">
        <v>8874700</v>
      </c>
      <c r="F507" s="391"/>
      <c r="G507" s="391"/>
      <c r="H507" s="391"/>
      <c r="I507" s="765">
        <v>8874700</v>
      </c>
      <c r="J507" s="391"/>
      <c r="K507" s="391"/>
      <c r="L507" s="391"/>
      <c r="M507" s="391"/>
      <c r="N507" s="391"/>
      <c r="O507" s="765"/>
      <c r="P507" s="391"/>
      <c r="Q507" s="391"/>
      <c r="R507" s="391"/>
      <c r="S507" s="765"/>
      <c r="T507" s="391">
        <v>76788693</v>
      </c>
      <c r="U507" s="765">
        <v>76788693</v>
      </c>
      <c r="V507" s="391"/>
      <c r="W507" s="765">
        <v>85663393</v>
      </c>
      <c r="X507" s="378"/>
      <c r="Y507" s="180"/>
      <c r="Z507" s="180"/>
      <c r="AA507" s="180"/>
      <c r="AB507" s="180"/>
    </row>
    <row r="508" spans="1:28" s="203" customFormat="1" x14ac:dyDescent="0.2">
      <c r="A508" s="636"/>
      <c r="B508" s="389" t="s">
        <v>318</v>
      </c>
      <c r="C508" s="392"/>
      <c r="D508" s="392"/>
      <c r="E508" s="392">
        <v>8947000</v>
      </c>
      <c r="F508" s="392"/>
      <c r="G508" s="392"/>
      <c r="H508" s="392"/>
      <c r="I508" s="766">
        <v>8947000</v>
      </c>
      <c r="J508" s="392"/>
      <c r="K508" s="392"/>
      <c r="L508" s="392"/>
      <c r="M508" s="392"/>
      <c r="N508" s="392"/>
      <c r="O508" s="766"/>
      <c r="P508" s="392"/>
      <c r="Q508" s="392"/>
      <c r="R508" s="392"/>
      <c r="S508" s="766"/>
      <c r="T508" s="392">
        <v>81831719</v>
      </c>
      <c r="U508" s="766">
        <v>81831719</v>
      </c>
      <c r="V508" s="392"/>
      <c r="W508" s="766">
        <v>90778719</v>
      </c>
      <c r="X508" s="378"/>
      <c r="Y508" s="180"/>
      <c r="Z508" s="180"/>
      <c r="AA508" s="180"/>
      <c r="AB508" s="180"/>
    </row>
    <row r="509" spans="1:28" s="202" customFormat="1" x14ac:dyDescent="0.2">
      <c r="A509" s="636"/>
      <c r="B509" s="639" t="s">
        <v>236</v>
      </c>
      <c r="C509" s="466">
        <v>0</v>
      </c>
      <c r="D509" s="466">
        <v>0</v>
      </c>
      <c r="E509" s="466">
        <v>0.81467542564819095</v>
      </c>
      <c r="F509" s="466">
        <v>0</v>
      </c>
      <c r="G509" s="466">
        <v>0</v>
      </c>
      <c r="H509" s="466">
        <v>0</v>
      </c>
      <c r="I509" s="767">
        <v>0.81467542564819095</v>
      </c>
      <c r="J509" s="466">
        <v>0</v>
      </c>
      <c r="K509" s="466">
        <v>0</v>
      </c>
      <c r="L509" s="466">
        <v>0</v>
      </c>
      <c r="M509" s="466">
        <v>0</v>
      </c>
      <c r="N509" s="466">
        <v>0</v>
      </c>
      <c r="O509" s="767">
        <v>0</v>
      </c>
      <c r="P509" s="466">
        <v>0</v>
      </c>
      <c r="Q509" s="466">
        <v>0</v>
      </c>
      <c r="R509" s="466">
        <v>0</v>
      </c>
      <c r="S509" s="767">
        <v>0</v>
      </c>
      <c r="T509" s="466">
        <v>6.5674070009239509</v>
      </c>
      <c r="U509" s="767">
        <v>6.5674070009239509</v>
      </c>
      <c r="V509" s="466">
        <v>0</v>
      </c>
      <c r="W509" s="767">
        <v>5.9714258574838377</v>
      </c>
      <c r="X509" s="378"/>
      <c r="Y509" s="180"/>
      <c r="Z509" s="180"/>
      <c r="AA509" s="180"/>
      <c r="AB509" s="180"/>
    </row>
    <row r="510" spans="1:28" x14ac:dyDescent="0.2">
      <c r="A510" s="636"/>
      <c r="B510" s="388" t="s">
        <v>19</v>
      </c>
      <c r="C510" s="391">
        <v>742003660.79201627</v>
      </c>
      <c r="D510" s="391">
        <v>105600855</v>
      </c>
      <c r="E510" s="391">
        <v>701853208.55668426</v>
      </c>
      <c r="F510" s="391"/>
      <c r="G510" s="391">
        <v>76636473.531082422</v>
      </c>
      <c r="H510" s="391"/>
      <c r="I510" s="765">
        <v>1626094197.8797829</v>
      </c>
      <c r="J510" s="391"/>
      <c r="K510" s="391">
        <v>257085534.43097121</v>
      </c>
      <c r="L510" s="391">
        <v>213186334.26902881</v>
      </c>
      <c r="M510" s="391"/>
      <c r="N510" s="391"/>
      <c r="O510" s="765">
        <v>470271868.70000005</v>
      </c>
      <c r="P510" s="391">
        <v>5593100</v>
      </c>
      <c r="Q510" s="391">
        <v>77755950</v>
      </c>
      <c r="R510" s="391"/>
      <c r="S510" s="765">
        <v>83349050</v>
      </c>
      <c r="T510" s="391">
        <v>0</v>
      </c>
      <c r="U510" s="765">
        <v>0</v>
      </c>
      <c r="V510" s="391">
        <v>394700</v>
      </c>
      <c r="W510" s="765">
        <v>2180109816.579783</v>
      </c>
      <c r="X510" s="378"/>
      <c r="Y510" s="180"/>
      <c r="Z510" s="180"/>
      <c r="AA510" s="180"/>
      <c r="AB510" s="180"/>
    </row>
    <row r="511" spans="1:28" s="203" customFormat="1" x14ac:dyDescent="0.2">
      <c r="A511" s="636"/>
      <c r="B511" s="389" t="s">
        <v>21</v>
      </c>
      <c r="C511" s="392">
        <v>782982266.87731528</v>
      </c>
      <c r="D511" s="392">
        <v>111746535</v>
      </c>
      <c r="E511" s="392">
        <v>730795733.68110454</v>
      </c>
      <c r="F511" s="392"/>
      <c r="G511" s="392">
        <v>79647064.698208779</v>
      </c>
      <c r="H511" s="392"/>
      <c r="I511" s="766">
        <v>1705171600.2566285</v>
      </c>
      <c r="J511" s="392"/>
      <c r="K511" s="392">
        <v>261537634.89279264</v>
      </c>
      <c r="L511" s="392">
        <v>219391181.1072073</v>
      </c>
      <c r="M511" s="392"/>
      <c r="N511" s="392"/>
      <c r="O511" s="766">
        <v>480928815.99999994</v>
      </c>
      <c r="P511" s="392">
        <v>6063500</v>
      </c>
      <c r="Q511" s="392">
        <v>80303150</v>
      </c>
      <c r="R511" s="392"/>
      <c r="S511" s="766">
        <v>86366650</v>
      </c>
      <c r="T511" s="392">
        <v>0</v>
      </c>
      <c r="U511" s="766">
        <v>0</v>
      </c>
      <c r="V511" s="392">
        <v>422000</v>
      </c>
      <c r="W511" s="766">
        <v>2272889066.2566285</v>
      </c>
      <c r="X511" s="378"/>
      <c r="Y511" s="180"/>
      <c r="Z511" s="180"/>
      <c r="AA511" s="180"/>
      <c r="AB511" s="180"/>
    </row>
    <row r="512" spans="1:28" s="212" customFormat="1" ht="13.5" thickBot="1" x14ac:dyDescent="0.25">
      <c r="A512" s="640"/>
      <c r="B512" s="777" t="s">
        <v>23</v>
      </c>
      <c r="C512" s="778">
        <v>5.5226959448634476</v>
      </c>
      <c r="D512" s="778">
        <v>5.8197256073352817</v>
      </c>
      <c r="E512" s="778">
        <v>4.1237291176510711</v>
      </c>
      <c r="F512" s="778">
        <v>0</v>
      </c>
      <c r="G512" s="778">
        <v>3.928405142370381</v>
      </c>
      <c r="H512" s="778">
        <v>0</v>
      </c>
      <c r="I512" s="779">
        <v>4.8630271530365414</v>
      </c>
      <c r="J512" s="778">
        <v>0</v>
      </c>
      <c r="K512" s="778">
        <v>1.7317584482828412</v>
      </c>
      <c r="L512" s="778">
        <v>2.9105274779706694</v>
      </c>
      <c r="M512" s="778">
        <v>0</v>
      </c>
      <c r="N512" s="778">
        <v>0</v>
      </c>
      <c r="O512" s="779">
        <v>2.2661247693721323</v>
      </c>
      <c r="P512" s="778">
        <v>8.410362768411078</v>
      </c>
      <c r="Q512" s="778">
        <v>3.2758907839207159</v>
      </c>
      <c r="R512" s="778">
        <v>0</v>
      </c>
      <c r="S512" s="779">
        <v>3.6204371855468058</v>
      </c>
      <c r="T512" s="778">
        <v>0</v>
      </c>
      <c r="U512" s="779">
        <v>0</v>
      </c>
      <c r="V512" s="778">
        <v>6.9166455535850018</v>
      </c>
      <c r="W512" s="779">
        <v>4.2557145044372442</v>
      </c>
      <c r="X512" s="378"/>
      <c r="Y512" s="180"/>
      <c r="Z512" s="180"/>
      <c r="AA512" s="180"/>
      <c r="AB512" s="180"/>
    </row>
    <row r="513" spans="1:28" ht="13.5" thickTop="1" x14ac:dyDescent="0.2">
      <c r="A513" s="230" t="s">
        <v>147</v>
      </c>
      <c r="B513" s="780" t="s">
        <v>190</v>
      </c>
      <c r="C513" s="781">
        <v>1501388942</v>
      </c>
      <c r="D513" s="781">
        <v>242934494</v>
      </c>
      <c r="E513" s="781">
        <v>792610486</v>
      </c>
      <c r="F513" s="781">
        <v>37567738</v>
      </c>
      <c r="G513" s="781">
        <v>40354866</v>
      </c>
      <c r="H513" s="781">
        <v>14735656</v>
      </c>
      <c r="I513" s="782">
        <v>2629592182</v>
      </c>
      <c r="J513" s="781">
        <v>54084556</v>
      </c>
      <c r="K513" s="781">
        <v>637104432</v>
      </c>
      <c r="L513" s="781">
        <v>204732204</v>
      </c>
      <c r="M513" s="781">
        <v>47543039</v>
      </c>
      <c r="N513" s="781">
        <v>185330098</v>
      </c>
      <c r="O513" s="782">
        <v>1128794329</v>
      </c>
      <c r="P513" s="781"/>
      <c r="Q513" s="781"/>
      <c r="R513" s="781"/>
      <c r="S513" s="782"/>
      <c r="T513" s="781"/>
      <c r="U513" s="782"/>
      <c r="V513" s="781"/>
      <c r="W513" s="782">
        <v>3758386511</v>
      </c>
      <c r="X513" s="378"/>
      <c r="Y513" s="180"/>
      <c r="Z513" s="180"/>
      <c r="AA513" s="180"/>
      <c r="AB513" s="180"/>
    </row>
    <row r="514" spans="1:28" s="203" customFormat="1" x14ac:dyDescent="0.2">
      <c r="A514" s="636"/>
      <c r="B514" s="389" t="s">
        <v>4</v>
      </c>
      <c r="C514" s="392">
        <v>1641376187</v>
      </c>
      <c r="D514" s="392">
        <v>264406409</v>
      </c>
      <c r="E514" s="392">
        <v>847598534</v>
      </c>
      <c r="F514" s="392">
        <v>46009871</v>
      </c>
      <c r="G514" s="392">
        <v>52203619</v>
      </c>
      <c r="H514" s="392">
        <v>15702931</v>
      </c>
      <c r="I514" s="766">
        <v>2867297551</v>
      </c>
      <c r="J514" s="392">
        <v>57442705</v>
      </c>
      <c r="K514" s="392">
        <v>646625847</v>
      </c>
      <c r="L514" s="392">
        <v>204525394</v>
      </c>
      <c r="M514" s="392">
        <v>49186296</v>
      </c>
      <c r="N514" s="392">
        <v>312625365</v>
      </c>
      <c r="O514" s="766">
        <v>1270405607</v>
      </c>
      <c r="P514" s="392"/>
      <c r="Q514" s="392"/>
      <c r="R514" s="392"/>
      <c r="S514" s="766"/>
      <c r="T514" s="392"/>
      <c r="U514" s="766"/>
      <c r="V514" s="392"/>
      <c r="W514" s="766">
        <v>4137703158</v>
      </c>
      <c r="X514" s="378"/>
      <c r="Y514" s="180"/>
      <c r="Z514" s="180"/>
      <c r="AA514" s="180"/>
      <c r="AB514" s="180"/>
    </row>
    <row r="515" spans="1:28" s="202" customFormat="1" x14ac:dyDescent="0.2">
      <c r="A515" s="637"/>
      <c r="B515" s="639" t="s">
        <v>116</v>
      </c>
      <c r="C515" s="466">
        <v>9.3238494759074886</v>
      </c>
      <c r="D515" s="466">
        <v>8.8385616412299193</v>
      </c>
      <c r="E515" s="466">
        <v>6.9375877522770999</v>
      </c>
      <c r="F515" s="763">
        <v>22.47176287270743</v>
      </c>
      <c r="G515" s="763">
        <v>29.361398449445975</v>
      </c>
      <c r="H515" s="466">
        <v>6.5641801084390137</v>
      </c>
      <c r="I515" s="767">
        <v>9.0396286780563599</v>
      </c>
      <c r="J515" s="466">
        <v>6.2090719576213216</v>
      </c>
      <c r="K515" s="466">
        <v>1.4944826188244129</v>
      </c>
      <c r="L515" s="466">
        <v>-0.10101488479067025</v>
      </c>
      <c r="M515" s="466">
        <v>3.4563566708472298</v>
      </c>
      <c r="N515" s="763">
        <v>68.685695617556945</v>
      </c>
      <c r="O515" s="767">
        <v>12.545356967327571</v>
      </c>
      <c r="P515" s="466">
        <v>0</v>
      </c>
      <c r="Q515" s="466">
        <v>0</v>
      </c>
      <c r="R515" s="466">
        <v>0</v>
      </c>
      <c r="S515" s="767">
        <v>0</v>
      </c>
      <c r="T515" s="466">
        <v>0</v>
      </c>
      <c r="U515" s="767">
        <v>0</v>
      </c>
      <c r="V515" s="466">
        <v>0</v>
      </c>
      <c r="W515" s="767">
        <v>10.092539601497096</v>
      </c>
      <c r="X515" s="378"/>
      <c r="Y515" s="180"/>
      <c r="Z515" s="180"/>
      <c r="AA515" s="180"/>
      <c r="AB515" s="180"/>
    </row>
    <row r="516" spans="1:28" x14ac:dyDescent="0.2">
      <c r="A516" s="636"/>
      <c r="B516" s="388" t="s">
        <v>195</v>
      </c>
      <c r="C516" s="391">
        <v>385284965</v>
      </c>
      <c r="D516" s="391">
        <v>8843423</v>
      </c>
      <c r="E516" s="391">
        <v>624259</v>
      </c>
      <c r="F516" s="391"/>
      <c r="G516" s="391"/>
      <c r="H516" s="391"/>
      <c r="I516" s="765">
        <v>394752647</v>
      </c>
      <c r="J516" s="391"/>
      <c r="K516" s="391"/>
      <c r="L516" s="391"/>
      <c r="M516" s="391"/>
      <c r="N516" s="391"/>
      <c r="O516" s="765"/>
      <c r="P516" s="391"/>
      <c r="Q516" s="391"/>
      <c r="R516" s="391"/>
      <c r="S516" s="765"/>
      <c r="T516" s="391"/>
      <c r="U516" s="765"/>
      <c r="V516" s="391">
        <v>66716</v>
      </c>
      <c r="W516" s="765">
        <v>394819363</v>
      </c>
      <c r="X516" s="378"/>
      <c r="Y516" s="180"/>
      <c r="Z516" s="180"/>
      <c r="AA516" s="180"/>
      <c r="AB516" s="180"/>
    </row>
    <row r="517" spans="1:28" s="203" customFormat="1" x14ac:dyDescent="0.2">
      <c r="A517" s="636"/>
      <c r="B517" s="389" t="s">
        <v>242</v>
      </c>
      <c r="C517" s="392">
        <v>227584308</v>
      </c>
      <c r="D517" s="392">
        <v>223125</v>
      </c>
      <c r="E517" s="392">
        <v>1015475</v>
      </c>
      <c r="F517" s="392"/>
      <c r="G517" s="392"/>
      <c r="H517" s="392"/>
      <c r="I517" s="766">
        <v>228822908</v>
      </c>
      <c r="J517" s="392"/>
      <c r="K517" s="392"/>
      <c r="L517" s="392"/>
      <c r="M517" s="392"/>
      <c r="N517" s="392"/>
      <c r="O517" s="766"/>
      <c r="P517" s="392"/>
      <c r="Q517" s="392"/>
      <c r="R517" s="392"/>
      <c r="S517" s="766"/>
      <c r="T517" s="392"/>
      <c r="U517" s="766"/>
      <c r="V517" s="392">
        <v>0</v>
      </c>
      <c r="W517" s="766">
        <v>228822908</v>
      </c>
      <c r="X517" s="378"/>
      <c r="Y517" s="180"/>
      <c r="Z517" s="180"/>
      <c r="AA517" s="180"/>
      <c r="AB517" s="180"/>
    </row>
    <row r="518" spans="1:28" s="202" customFormat="1" x14ac:dyDescent="0.2">
      <c r="A518" s="636"/>
      <c r="B518" s="639" t="s">
        <v>244</v>
      </c>
      <c r="C518" s="763">
        <v>-40.930913823746017</v>
      </c>
      <c r="D518" s="763">
        <v>-97.476938511252939</v>
      </c>
      <c r="E518" s="763">
        <v>62.668860200653896</v>
      </c>
      <c r="F518" s="466">
        <v>0</v>
      </c>
      <c r="G518" s="466">
        <v>0</v>
      </c>
      <c r="H518" s="466">
        <v>0</v>
      </c>
      <c r="I518" s="767">
        <v>-42.033850883842206</v>
      </c>
      <c r="J518" s="466">
        <v>0</v>
      </c>
      <c r="K518" s="466">
        <v>0</v>
      </c>
      <c r="L518" s="466">
        <v>0</v>
      </c>
      <c r="M518" s="466">
        <v>0</v>
      </c>
      <c r="N518" s="466">
        <v>0</v>
      </c>
      <c r="O518" s="767">
        <v>0</v>
      </c>
      <c r="P518" s="466">
        <v>0</v>
      </c>
      <c r="Q518" s="466">
        <v>0</v>
      </c>
      <c r="R518" s="466">
        <v>0</v>
      </c>
      <c r="S518" s="767">
        <v>0</v>
      </c>
      <c r="T518" s="466">
        <v>0</v>
      </c>
      <c r="U518" s="767">
        <v>0</v>
      </c>
      <c r="V518" s="466">
        <v>-100</v>
      </c>
      <c r="W518" s="767">
        <v>-42.043645919159239</v>
      </c>
      <c r="X518" s="378"/>
      <c r="Y518" s="180"/>
      <c r="Z518" s="180"/>
      <c r="AA518" s="180"/>
      <c r="AB518" s="180"/>
    </row>
    <row r="519" spans="1:28" x14ac:dyDescent="0.2">
      <c r="A519" s="636"/>
      <c r="B519" s="388" t="s">
        <v>5</v>
      </c>
      <c r="C519" s="391"/>
      <c r="D519" s="391"/>
      <c r="E519" s="391"/>
      <c r="F519" s="391"/>
      <c r="G519" s="391"/>
      <c r="H519" s="391"/>
      <c r="I519" s="765"/>
      <c r="J519" s="391">
        <v>81808184</v>
      </c>
      <c r="K519" s="391">
        <v>923165697</v>
      </c>
      <c r="L519" s="391">
        <v>147847941</v>
      </c>
      <c r="M519" s="391">
        <v>22980367</v>
      </c>
      <c r="N519" s="391">
        <v>300330504</v>
      </c>
      <c r="O519" s="765">
        <v>1476132693</v>
      </c>
      <c r="P519" s="391"/>
      <c r="Q519" s="391"/>
      <c r="R519" s="391"/>
      <c r="S519" s="765"/>
      <c r="T519" s="391"/>
      <c r="U519" s="765"/>
      <c r="V519" s="391"/>
      <c r="W519" s="765">
        <v>1476132693</v>
      </c>
      <c r="X519" s="378"/>
      <c r="Y519" s="180"/>
      <c r="Z519" s="180"/>
      <c r="AA519" s="180"/>
      <c r="AB519" s="180"/>
    </row>
    <row r="520" spans="1:28" s="203" customFormat="1" x14ac:dyDescent="0.2">
      <c r="A520" s="636"/>
      <c r="B520" s="389" t="s">
        <v>6</v>
      </c>
      <c r="C520" s="392"/>
      <c r="D520" s="392"/>
      <c r="E520" s="392"/>
      <c r="F520" s="392"/>
      <c r="G520" s="392"/>
      <c r="H520" s="392"/>
      <c r="I520" s="766"/>
      <c r="J520" s="392">
        <v>82874960</v>
      </c>
      <c r="K520" s="392">
        <v>949591705</v>
      </c>
      <c r="L520" s="392">
        <v>151810140</v>
      </c>
      <c r="M520" s="392">
        <v>24332548</v>
      </c>
      <c r="N520" s="392">
        <v>345063217</v>
      </c>
      <c r="O520" s="766">
        <v>1553672570</v>
      </c>
      <c r="P520" s="392"/>
      <c r="Q520" s="392"/>
      <c r="R520" s="392"/>
      <c r="S520" s="766"/>
      <c r="T520" s="392"/>
      <c r="U520" s="766"/>
      <c r="V520" s="392"/>
      <c r="W520" s="766">
        <v>1553672570</v>
      </c>
      <c r="X520" s="378"/>
      <c r="Y520" s="180"/>
      <c r="Z520" s="180"/>
      <c r="AA520" s="180"/>
      <c r="AB520" s="180"/>
    </row>
    <row r="521" spans="1:28" s="202" customFormat="1" x14ac:dyDescent="0.2">
      <c r="A521" s="636"/>
      <c r="B521" s="639" t="s">
        <v>298</v>
      </c>
      <c r="C521" s="466">
        <v>0</v>
      </c>
      <c r="D521" s="466">
        <v>0</v>
      </c>
      <c r="E521" s="466">
        <v>0</v>
      </c>
      <c r="F521" s="466">
        <v>0</v>
      </c>
      <c r="G521" s="466">
        <v>0</v>
      </c>
      <c r="H521" s="466">
        <v>0</v>
      </c>
      <c r="I521" s="767">
        <v>0</v>
      </c>
      <c r="J521" s="466">
        <v>1.3039966759315913</v>
      </c>
      <c r="K521" s="466">
        <v>2.862542237636891</v>
      </c>
      <c r="L521" s="466">
        <v>2.6799148998632316</v>
      </c>
      <c r="M521" s="466">
        <v>5.8840705198485299</v>
      </c>
      <c r="N521" s="763">
        <v>14.894495365678873</v>
      </c>
      <c r="O521" s="767">
        <v>5.2529069620707869</v>
      </c>
      <c r="P521" s="466">
        <v>0</v>
      </c>
      <c r="Q521" s="466">
        <v>0</v>
      </c>
      <c r="R521" s="466">
        <v>0</v>
      </c>
      <c r="S521" s="767">
        <v>0</v>
      </c>
      <c r="T521" s="466">
        <v>0</v>
      </c>
      <c r="U521" s="767">
        <v>0</v>
      </c>
      <c r="V521" s="466">
        <v>0</v>
      </c>
      <c r="W521" s="767">
        <v>5.2529069620707869</v>
      </c>
      <c r="X521" s="378"/>
      <c r="Y521" s="180"/>
      <c r="Z521" s="180"/>
      <c r="AA521" s="180"/>
      <c r="AB521" s="180"/>
    </row>
    <row r="522" spans="1:28" x14ac:dyDescent="0.2">
      <c r="A522" s="636"/>
      <c r="B522" s="388" t="s">
        <v>223</v>
      </c>
      <c r="C522" s="391">
        <v>1882329164</v>
      </c>
      <c r="D522" s="391">
        <v>335296979</v>
      </c>
      <c r="E522" s="391">
        <v>906181736</v>
      </c>
      <c r="F522" s="391">
        <v>29396305</v>
      </c>
      <c r="G522" s="391">
        <v>67412459</v>
      </c>
      <c r="H522" s="391">
        <v>15240304</v>
      </c>
      <c r="I522" s="765">
        <v>3235856947</v>
      </c>
      <c r="J522" s="391">
        <v>38186182</v>
      </c>
      <c r="K522" s="391">
        <v>516258012</v>
      </c>
      <c r="L522" s="391">
        <v>199942986</v>
      </c>
      <c r="M522" s="391">
        <v>20675246</v>
      </c>
      <c r="N522" s="391">
        <v>116180859</v>
      </c>
      <c r="O522" s="765">
        <v>891243285</v>
      </c>
      <c r="P522" s="391"/>
      <c r="Q522" s="391"/>
      <c r="R522" s="391"/>
      <c r="S522" s="765"/>
      <c r="T522" s="391"/>
      <c r="U522" s="765"/>
      <c r="V522" s="391"/>
      <c r="W522" s="765">
        <v>4127100232</v>
      </c>
      <c r="X522" s="378"/>
      <c r="Y522" s="180"/>
      <c r="Z522" s="180"/>
      <c r="AA522" s="180"/>
      <c r="AB522" s="180"/>
    </row>
    <row r="523" spans="1:28" s="203" customFormat="1" x14ac:dyDescent="0.2">
      <c r="A523" s="636"/>
      <c r="B523" s="389" t="s">
        <v>14</v>
      </c>
      <c r="C523" s="392">
        <v>1928381384</v>
      </c>
      <c r="D523" s="392">
        <v>304687957</v>
      </c>
      <c r="E523" s="392">
        <v>962385498</v>
      </c>
      <c r="F523" s="392">
        <v>31398271</v>
      </c>
      <c r="G523" s="392">
        <v>74787843</v>
      </c>
      <c r="H523" s="392">
        <v>16003426</v>
      </c>
      <c r="I523" s="766">
        <v>3317644379</v>
      </c>
      <c r="J523" s="392">
        <v>40087192</v>
      </c>
      <c r="K523" s="392">
        <v>513009663</v>
      </c>
      <c r="L523" s="392">
        <v>200904939</v>
      </c>
      <c r="M523" s="392">
        <v>21007024</v>
      </c>
      <c r="N523" s="392">
        <v>122426728</v>
      </c>
      <c r="O523" s="766">
        <v>897435546</v>
      </c>
      <c r="P523" s="392"/>
      <c r="Q523" s="392"/>
      <c r="R523" s="392"/>
      <c r="S523" s="766"/>
      <c r="T523" s="392"/>
      <c r="U523" s="766"/>
      <c r="V523" s="392"/>
      <c r="W523" s="766">
        <v>4215079925</v>
      </c>
      <c r="X523" s="378"/>
      <c r="Y523" s="180"/>
      <c r="Z523" s="180"/>
      <c r="AA523" s="180"/>
      <c r="AB523" s="180"/>
    </row>
    <row r="524" spans="1:28" s="202" customFormat="1" x14ac:dyDescent="0.2">
      <c r="A524" s="636"/>
      <c r="B524" s="639" t="s">
        <v>247</v>
      </c>
      <c r="C524" s="466">
        <v>2.4465550914664571</v>
      </c>
      <c r="D524" s="763">
        <v>-9.1289286564076075</v>
      </c>
      <c r="E524" s="466">
        <v>6.2022616178616072</v>
      </c>
      <c r="F524" s="466">
        <v>6.8102640791079017</v>
      </c>
      <c r="G524" s="466">
        <v>10.940683828192649</v>
      </c>
      <c r="H524" s="466">
        <v>5.0072623223263788</v>
      </c>
      <c r="I524" s="767">
        <v>2.5275354670986325</v>
      </c>
      <c r="J524" s="466">
        <v>4.9782667458087326</v>
      </c>
      <c r="K524" s="466">
        <v>-0.62921038017711195</v>
      </c>
      <c r="L524" s="466">
        <v>0.48111365106851006</v>
      </c>
      <c r="M524" s="466">
        <v>1.6047112571236155</v>
      </c>
      <c r="N524" s="466">
        <v>5.3759879671745239</v>
      </c>
      <c r="O524" s="767">
        <v>0.69478907770957288</v>
      </c>
      <c r="P524" s="466">
        <v>0</v>
      </c>
      <c r="Q524" s="466">
        <v>0</v>
      </c>
      <c r="R524" s="466">
        <v>0</v>
      </c>
      <c r="S524" s="767">
        <v>0</v>
      </c>
      <c r="T524" s="466">
        <v>0</v>
      </c>
      <c r="U524" s="767">
        <v>0</v>
      </c>
      <c r="V524" s="466">
        <v>0</v>
      </c>
      <c r="W524" s="767">
        <v>2.1317556650996305</v>
      </c>
      <c r="X524" s="378"/>
      <c r="Y524" s="180"/>
      <c r="Z524" s="180"/>
      <c r="AA524" s="180"/>
      <c r="AB524" s="180"/>
    </row>
    <row r="525" spans="1:28" x14ac:dyDescent="0.2">
      <c r="A525" s="636"/>
      <c r="B525" s="388" t="s">
        <v>225</v>
      </c>
      <c r="C525" s="391"/>
      <c r="D525" s="391"/>
      <c r="E525" s="391"/>
      <c r="F525" s="391"/>
      <c r="G525" s="391"/>
      <c r="H525" s="391"/>
      <c r="I525" s="765"/>
      <c r="J525" s="391"/>
      <c r="K525" s="391"/>
      <c r="L525" s="391"/>
      <c r="M525" s="391"/>
      <c r="N525" s="391"/>
      <c r="O525" s="765"/>
      <c r="P525" s="391"/>
      <c r="Q525" s="391"/>
      <c r="R525" s="391"/>
      <c r="S525" s="765"/>
      <c r="T525" s="391"/>
      <c r="U525" s="765"/>
      <c r="V525" s="391"/>
      <c r="W525" s="765"/>
      <c r="X525" s="378"/>
      <c r="Y525" s="180"/>
      <c r="Z525" s="180"/>
      <c r="AA525" s="180"/>
      <c r="AB525" s="180"/>
    </row>
    <row r="526" spans="1:28" s="203" customFormat="1" x14ac:dyDescent="0.2">
      <c r="A526" s="636"/>
      <c r="B526" s="389" t="s">
        <v>166</v>
      </c>
      <c r="C526" s="392"/>
      <c r="D526" s="392"/>
      <c r="E526" s="392"/>
      <c r="F526" s="392"/>
      <c r="G526" s="392"/>
      <c r="H526" s="392"/>
      <c r="I526" s="766"/>
      <c r="J526" s="392"/>
      <c r="K526" s="392"/>
      <c r="L526" s="392"/>
      <c r="M526" s="392"/>
      <c r="N526" s="392"/>
      <c r="O526" s="766"/>
      <c r="P526" s="392"/>
      <c r="Q526" s="392"/>
      <c r="R526" s="392"/>
      <c r="S526" s="766"/>
      <c r="T526" s="392"/>
      <c r="U526" s="766"/>
      <c r="V526" s="392"/>
      <c r="W526" s="766"/>
      <c r="X526" s="378"/>
      <c r="Y526" s="180"/>
      <c r="Z526" s="180"/>
      <c r="AA526" s="180"/>
      <c r="AB526" s="180"/>
    </row>
    <row r="527" spans="1:28" s="202" customFormat="1" x14ac:dyDescent="0.2">
      <c r="A527" s="636"/>
      <c r="B527" s="639" t="s">
        <v>175</v>
      </c>
      <c r="C527" s="466">
        <v>0</v>
      </c>
      <c r="D527" s="466">
        <v>0</v>
      </c>
      <c r="E527" s="466">
        <v>0</v>
      </c>
      <c r="F527" s="466">
        <v>0</v>
      </c>
      <c r="G527" s="466">
        <v>0</v>
      </c>
      <c r="H527" s="466">
        <v>0</v>
      </c>
      <c r="I527" s="767">
        <v>0</v>
      </c>
      <c r="J527" s="466">
        <v>0</v>
      </c>
      <c r="K527" s="466">
        <v>0</v>
      </c>
      <c r="L527" s="466">
        <v>0</v>
      </c>
      <c r="M527" s="466">
        <v>0</v>
      </c>
      <c r="N527" s="466">
        <v>0</v>
      </c>
      <c r="O527" s="767">
        <v>0</v>
      </c>
      <c r="P527" s="466">
        <v>0</v>
      </c>
      <c r="Q527" s="466">
        <v>0</v>
      </c>
      <c r="R527" s="466">
        <v>0</v>
      </c>
      <c r="S527" s="767">
        <v>0</v>
      </c>
      <c r="T527" s="466">
        <v>0</v>
      </c>
      <c r="U527" s="767">
        <v>0</v>
      </c>
      <c r="V527" s="466">
        <v>0</v>
      </c>
      <c r="W527" s="767">
        <v>0</v>
      </c>
      <c r="X527" s="378"/>
      <c r="Y527" s="180"/>
      <c r="Z527" s="180"/>
      <c r="AA527" s="180"/>
      <c r="AB527" s="180"/>
    </row>
    <row r="528" spans="1:28" x14ac:dyDescent="0.2">
      <c r="A528" s="636"/>
      <c r="B528" s="768" t="s">
        <v>317</v>
      </c>
      <c r="C528" s="765">
        <v>1882329164</v>
      </c>
      <c r="D528" s="765">
        <v>335296979</v>
      </c>
      <c r="E528" s="765">
        <v>906181736</v>
      </c>
      <c r="F528" s="765">
        <v>29396305</v>
      </c>
      <c r="G528" s="765">
        <v>67412459</v>
      </c>
      <c r="H528" s="765">
        <v>15240304</v>
      </c>
      <c r="I528" s="765">
        <v>3235856947</v>
      </c>
      <c r="J528" s="765">
        <v>38186182</v>
      </c>
      <c r="K528" s="765">
        <v>516258012</v>
      </c>
      <c r="L528" s="765">
        <v>199942986</v>
      </c>
      <c r="M528" s="765">
        <v>20675246</v>
      </c>
      <c r="N528" s="765">
        <v>116180859</v>
      </c>
      <c r="O528" s="765">
        <v>891243285</v>
      </c>
      <c r="P528" s="765"/>
      <c r="Q528" s="765"/>
      <c r="R528" s="765"/>
      <c r="S528" s="765"/>
      <c r="T528" s="765">
        <v>0</v>
      </c>
      <c r="U528" s="765">
        <v>0</v>
      </c>
      <c r="V528" s="765">
        <v>0</v>
      </c>
      <c r="W528" s="765">
        <v>4127100232</v>
      </c>
      <c r="X528" s="378"/>
      <c r="Y528" s="180"/>
      <c r="Z528" s="180"/>
      <c r="AA528" s="180"/>
      <c r="AB528" s="180"/>
    </row>
    <row r="529" spans="1:28" s="203" customFormat="1" x14ac:dyDescent="0.2">
      <c r="A529" s="636"/>
      <c r="B529" s="769" t="s">
        <v>70</v>
      </c>
      <c r="C529" s="766">
        <v>1928381384</v>
      </c>
      <c r="D529" s="766">
        <v>304687957</v>
      </c>
      <c r="E529" s="766">
        <v>962385498</v>
      </c>
      <c r="F529" s="766">
        <v>31398271</v>
      </c>
      <c r="G529" s="766">
        <v>74787843</v>
      </c>
      <c r="H529" s="766">
        <v>16003426</v>
      </c>
      <c r="I529" s="766">
        <v>3317644379</v>
      </c>
      <c r="J529" s="766">
        <v>40087192</v>
      </c>
      <c r="K529" s="766">
        <v>513009663</v>
      </c>
      <c r="L529" s="766">
        <v>200904939</v>
      </c>
      <c r="M529" s="766">
        <v>21007024</v>
      </c>
      <c r="N529" s="766">
        <v>122426728</v>
      </c>
      <c r="O529" s="766">
        <v>897435546</v>
      </c>
      <c r="P529" s="766"/>
      <c r="Q529" s="766"/>
      <c r="R529" s="766"/>
      <c r="S529" s="766"/>
      <c r="T529" s="766">
        <v>0</v>
      </c>
      <c r="U529" s="766">
        <v>0</v>
      </c>
      <c r="V529" s="766">
        <v>0</v>
      </c>
      <c r="W529" s="766">
        <v>4215079925</v>
      </c>
      <c r="X529" s="378"/>
      <c r="Y529" s="180"/>
      <c r="Z529" s="180"/>
      <c r="AA529" s="180"/>
      <c r="AB529" s="180"/>
    </row>
    <row r="530" spans="1:28" s="202" customFormat="1" x14ac:dyDescent="0.2">
      <c r="A530" s="636"/>
      <c r="B530" s="770" t="s">
        <v>57</v>
      </c>
      <c r="C530" s="767">
        <v>2.4465550914664571</v>
      </c>
      <c r="D530" s="767">
        <v>-9.1289286564076075</v>
      </c>
      <c r="E530" s="767">
        <v>6.2022616178616072</v>
      </c>
      <c r="F530" s="767">
        <v>6.8102640791079017</v>
      </c>
      <c r="G530" s="767">
        <v>10.940683828192649</v>
      </c>
      <c r="H530" s="767">
        <v>5.0072623223263788</v>
      </c>
      <c r="I530" s="767">
        <v>2.5275354670986325</v>
      </c>
      <c r="J530" s="767">
        <v>4.9782667458087326</v>
      </c>
      <c r="K530" s="767">
        <v>-0.62921038017711195</v>
      </c>
      <c r="L530" s="767">
        <v>0.48111365106851006</v>
      </c>
      <c r="M530" s="767">
        <v>1.6047112571236155</v>
      </c>
      <c r="N530" s="767">
        <v>5.3759879671745239</v>
      </c>
      <c r="O530" s="767">
        <v>0.69478907770957288</v>
      </c>
      <c r="P530" s="767">
        <v>0</v>
      </c>
      <c r="Q530" s="767">
        <v>0</v>
      </c>
      <c r="R530" s="767">
        <v>0</v>
      </c>
      <c r="S530" s="767">
        <v>0</v>
      </c>
      <c r="T530" s="767">
        <v>0</v>
      </c>
      <c r="U530" s="767">
        <v>0</v>
      </c>
      <c r="V530" s="767">
        <v>0</v>
      </c>
      <c r="W530" s="767">
        <v>2.1317556650996305</v>
      </c>
      <c r="X530" s="378"/>
      <c r="Y530" s="180"/>
      <c r="Z530" s="180"/>
      <c r="AA530" s="180"/>
      <c r="AB530" s="180"/>
    </row>
    <row r="531" spans="1:28" x14ac:dyDescent="0.2">
      <c r="A531" s="636"/>
      <c r="B531" s="388" t="s">
        <v>72</v>
      </c>
      <c r="C531" s="391"/>
      <c r="D531" s="391"/>
      <c r="E531" s="391"/>
      <c r="F531" s="391"/>
      <c r="G531" s="391"/>
      <c r="H531" s="391"/>
      <c r="I531" s="765"/>
      <c r="J531" s="391"/>
      <c r="K531" s="391"/>
      <c r="L531" s="391"/>
      <c r="M531" s="391"/>
      <c r="N531" s="391"/>
      <c r="O531" s="765"/>
      <c r="P531" s="391"/>
      <c r="Q531" s="391"/>
      <c r="R531" s="391"/>
      <c r="S531" s="765"/>
      <c r="T531" s="391"/>
      <c r="U531" s="765"/>
      <c r="V531" s="391">
        <v>518854375</v>
      </c>
      <c r="W531" s="765">
        <v>518854375</v>
      </c>
      <c r="X531" s="378"/>
      <c r="Y531" s="180"/>
      <c r="Z531" s="180"/>
      <c r="AA531" s="180"/>
      <c r="AB531" s="180"/>
    </row>
    <row r="532" spans="1:28" s="203" customFormat="1" x14ac:dyDescent="0.2">
      <c r="A532" s="636"/>
      <c r="B532" s="389" t="s">
        <v>74</v>
      </c>
      <c r="C532" s="392"/>
      <c r="D532" s="392"/>
      <c r="E532" s="392"/>
      <c r="F532" s="392"/>
      <c r="G532" s="392"/>
      <c r="H532" s="392"/>
      <c r="I532" s="766"/>
      <c r="J532" s="392"/>
      <c r="K532" s="392"/>
      <c r="L532" s="392"/>
      <c r="M532" s="392"/>
      <c r="N532" s="392"/>
      <c r="O532" s="766"/>
      <c r="P532" s="392"/>
      <c r="Q532" s="392"/>
      <c r="R532" s="392"/>
      <c r="S532" s="766"/>
      <c r="T532" s="392"/>
      <c r="U532" s="766"/>
      <c r="V532" s="392">
        <v>679993858</v>
      </c>
      <c r="W532" s="766">
        <v>679993858</v>
      </c>
      <c r="X532" s="378"/>
      <c r="Y532" s="180"/>
      <c r="Z532" s="180"/>
      <c r="AA532" s="180"/>
      <c r="AB532" s="180"/>
    </row>
    <row r="533" spans="1:28" s="202" customFormat="1" x14ac:dyDescent="0.2">
      <c r="A533" s="636"/>
      <c r="B533" s="639" t="s">
        <v>76</v>
      </c>
      <c r="C533" s="466">
        <v>0</v>
      </c>
      <c r="D533" s="466">
        <v>0</v>
      </c>
      <c r="E533" s="466">
        <v>0</v>
      </c>
      <c r="F533" s="466">
        <v>0</v>
      </c>
      <c r="G533" s="466">
        <v>0</v>
      </c>
      <c r="H533" s="466">
        <v>0</v>
      </c>
      <c r="I533" s="767">
        <v>0</v>
      </c>
      <c r="J533" s="466">
        <v>0</v>
      </c>
      <c r="K533" s="466">
        <v>0</v>
      </c>
      <c r="L533" s="466">
        <v>0</v>
      </c>
      <c r="M533" s="466">
        <v>0</v>
      </c>
      <c r="N533" s="466">
        <v>0</v>
      </c>
      <c r="O533" s="767">
        <v>0</v>
      </c>
      <c r="P533" s="466">
        <v>0</v>
      </c>
      <c r="Q533" s="466">
        <v>0</v>
      </c>
      <c r="R533" s="466">
        <v>0</v>
      </c>
      <c r="S533" s="767">
        <v>0</v>
      </c>
      <c r="T533" s="466">
        <v>0</v>
      </c>
      <c r="U533" s="767">
        <v>0</v>
      </c>
      <c r="V533" s="763">
        <v>31.056784092839152</v>
      </c>
      <c r="W533" s="767">
        <v>31.056784092839152</v>
      </c>
      <c r="X533" s="378"/>
      <c r="Y533" s="180"/>
      <c r="Z533" s="180"/>
      <c r="AA533" s="180"/>
      <c r="AB533" s="180"/>
    </row>
    <row r="534" spans="1:28" x14ac:dyDescent="0.2">
      <c r="A534" s="636"/>
      <c r="B534" s="388" t="s">
        <v>240</v>
      </c>
      <c r="C534" s="391"/>
      <c r="D534" s="391"/>
      <c r="E534" s="391"/>
      <c r="F534" s="391"/>
      <c r="G534" s="391"/>
      <c r="H534" s="391"/>
      <c r="I534" s="765"/>
      <c r="J534" s="391"/>
      <c r="K534" s="391"/>
      <c r="L534" s="391"/>
      <c r="M534" s="391"/>
      <c r="N534" s="391"/>
      <c r="O534" s="765"/>
      <c r="P534" s="391"/>
      <c r="Q534" s="391"/>
      <c r="R534" s="391"/>
      <c r="S534" s="765"/>
      <c r="T534" s="391"/>
      <c r="U534" s="765"/>
      <c r="V534" s="391"/>
      <c r="W534" s="765"/>
      <c r="X534" s="378"/>
      <c r="Y534" s="180"/>
      <c r="Z534" s="180"/>
      <c r="AA534" s="180"/>
      <c r="AB534" s="180"/>
    </row>
    <row r="535" spans="1:28" s="203" customFormat="1" x14ac:dyDescent="0.2">
      <c r="A535" s="636"/>
      <c r="B535" s="389" t="s">
        <v>163</v>
      </c>
      <c r="C535" s="392"/>
      <c r="D535" s="392"/>
      <c r="E535" s="392"/>
      <c r="F535" s="392"/>
      <c r="G535" s="392"/>
      <c r="H535" s="392"/>
      <c r="I535" s="766"/>
      <c r="J535" s="392"/>
      <c r="K535" s="392"/>
      <c r="L535" s="392"/>
      <c r="M535" s="392"/>
      <c r="N535" s="392"/>
      <c r="O535" s="766"/>
      <c r="P535" s="392"/>
      <c r="Q535" s="392"/>
      <c r="R535" s="392"/>
      <c r="S535" s="766"/>
      <c r="T535" s="392"/>
      <c r="U535" s="766"/>
      <c r="V535" s="392"/>
      <c r="W535" s="766"/>
      <c r="X535" s="378"/>
      <c r="Y535" s="180"/>
      <c r="Z535" s="180"/>
      <c r="AA535" s="180"/>
      <c r="AB535" s="180"/>
    </row>
    <row r="536" spans="1:28" s="202" customFormat="1" x14ac:dyDescent="0.2">
      <c r="A536" s="636"/>
      <c r="B536" s="639" t="s">
        <v>59</v>
      </c>
      <c r="C536" s="466">
        <v>0</v>
      </c>
      <c r="D536" s="466">
        <v>0</v>
      </c>
      <c r="E536" s="466">
        <v>0</v>
      </c>
      <c r="F536" s="466">
        <v>0</v>
      </c>
      <c r="G536" s="466">
        <v>0</v>
      </c>
      <c r="H536" s="466">
        <v>0</v>
      </c>
      <c r="I536" s="767">
        <v>0</v>
      </c>
      <c r="J536" s="466">
        <v>0</v>
      </c>
      <c r="K536" s="466">
        <v>0</v>
      </c>
      <c r="L536" s="466">
        <v>0</v>
      </c>
      <c r="M536" s="466">
        <v>0</v>
      </c>
      <c r="N536" s="466">
        <v>0</v>
      </c>
      <c r="O536" s="767">
        <v>0</v>
      </c>
      <c r="P536" s="466">
        <v>0</v>
      </c>
      <c r="Q536" s="466">
        <v>0</v>
      </c>
      <c r="R536" s="466">
        <v>0</v>
      </c>
      <c r="S536" s="767">
        <v>0</v>
      </c>
      <c r="T536" s="466">
        <v>0</v>
      </c>
      <c r="U536" s="767">
        <v>0</v>
      </c>
      <c r="V536" s="466">
        <v>0</v>
      </c>
      <c r="W536" s="767">
        <v>0</v>
      </c>
      <c r="X536" s="378"/>
      <c r="Y536" s="180"/>
      <c r="Z536" s="180"/>
      <c r="AA536" s="180"/>
      <c r="AB536" s="180"/>
    </row>
    <row r="537" spans="1:28" x14ac:dyDescent="0.2">
      <c r="A537" s="636"/>
      <c r="B537" s="388" t="s">
        <v>159</v>
      </c>
      <c r="C537" s="391"/>
      <c r="D537" s="391"/>
      <c r="E537" s="391"/>
      <c r="F537" s="391"/>
      <c r="G537" s="391"/>
      <c r="H537" s="391"/>
      <c r="I537" s="765"/>
      <c r="J537" s="391"/>
      <c r="K537" s="391"/>
      <c r="L537" s="391"/>
      <c r="M537" s="391"/>
      <c r="N537" s="391"/>
      <c r="O537" s="765"/>
      <c r="P537" s="391"/>
      <c r="Q537" s="391"/>
      <c r="R537" s="391"/>
      <c r="S537" s="765"/>
      <c r="T537" s="391"/>
      <c r="U537" s="765"/>
      <c r="V537" s="391"/>
      <c r="W537" s="765"/>
      <c r="X537" s="378"/>
      <c r="Y537" s="180"/>
      <c r="Z537" s="180"/>
      <c r="AA537" s="180"/>
      <c r="AB537" s="180"/>
    </row>
    <row r="538" spans="1:28" s="203" customFormat="1" x14ac:dyDescent="0.2">
      <c r="A538" s="636"/>
      <c r="B538" s="389" t="s">
        <v>100</v>
      </c>
      <c r="C538" s="392"/>
      <c r="D538" s="392"/>
      <c r="E538" s="392"/>
      <c r="F538" s="392"/>
      <c r="G538" s="392"/>
      <c r="H538" s="392"/>
      <c r="I538" s="766"/>
      <c r="J538" s="392"/>
      <c r="K538" s="392"/>
      <c r="L538" s="392"/>
      <c r="M538" s="392"/>
      <c r="N538" s="392"/>
      <c r="O538" s="766"/>
      <c r="P538" s="392"/>
      <c r="Q538" s="392"/>
      <c r="R538" s="392"/>
      <c r="S538" s="766"/>
      <c r="T538" s="392"/>
      <c r="U538" s="766"/>
      <c r="V538" s="392"/>
      <c r="W538" s="766"/>
      <c r="X538" s="378"/>
      <c r="Y538" s="180"/>
      <c r="Z538" s="180"/>
      <c r="AA538" s="180"/>
      <c r="AB538" s="180"/>
    </row>
    <row r="539" spans="1:28" s="202" customFormat="1" x14ac:dyDescent="0.2">
      <c r="A539" s="636"/>
      <c r="B539" s="639" t="s">
        <v>110</v>
      </c>
      <c r="C539" s="466">
        <v>0</v>
      </c>
      <c r="D539" s="466">
        <v>0</v>
      </c>
      <c r="E539" s="466">
        <v>0</v>
      </c>
      <c r="F539" s="466">
        <v>0</v>
      </c>
      <c r="G539" s="466">
        <v>0</v>
      </c>
      <c r="H539" s="466">
        <v>0</v>
      </c>
      <c r="I539" s="767">
        <v>0</v>
      </c>
      <c r="J539" s="466">
        <v>0</v>
      </c>
      <c r="K539" s="466">
        <v>0</v>
      </c>
      <c r="L539" s="466">
        <v>0</v>
      </c>
      <c r="M539" s="466">
        <v>0</v>
      </c>
      <c r="N539" s="466">
        <v>0</v>
      </c>
      <c r="O539" s="767">
        <v>0</v>
      </c>
      <c r="P539" s="466">
        <v>0</v>
      </c>
      <c r="Q539" s="466">
        <v>0</v>
      </c>
      <c r="R539" s="466">
        <v>0</v>
      </c>
      <c r="S539" s="767">
        <v>0</v>
      </c>
      <c r="T539" s="466">
        <v>0</v>
      </c>
      <c r="U539" s="767">
        <v>0</v>
      </c>
      <c r="V539" s="466">
        <v>0</v>
      </c>
      <c r="W539" s="767">
        <v>0</v>
      </c>
      <c r="X539" s="378"/>
      <c r="Y539" s="180"/>
      <c r="Z539" s="180"/>
      <c r="AA539" s="180"/>
      <c r="AB539" s="180"/>
    </row>
    <row r="540" spans="1:28" x14ac:dyDescent="0.2">
      <c r="A540" s="636"/>
      <c r="B540" s="388" t="s">
        <v>161</v>
      </c>
      <c r="C540" s="391">
        <v>0</v>
      </c>
      <c r="D540" s="391">
        <v>0</v>
      </c>
      <c r="E540" s="391">
        <v>0</v>
      </c>
      <c r="F540" s="391">
        <v>0</v>
      </c>
      <c r="G540" s="391">
        <v>0</v>
      </c>
      <c r="H540" s="391">
        <v>0</v>
      </c>
      <c r="I540" s="765">
        <v>0</v>
      </c>
      <c r="J540" s="391">
        <v>0</v>
      </c>
      <c r="K540" s="391">
        <v>0</v>
      </c>
      <c r="L540" s="391">
        <v>0</v>
      </c>
      <c r="M540" s="391">
        <v>0</v>
      </c>
      <c r="N540" s="391">
        <v>0</v>
      </c>
      <c r="O540" s="765">
        <v>0</v>
      </c>
      <c r="P540" s="391"/>
      <c r="Q540" s="391"/>
      <c r="R540" s="391"/>
      <c r="S540" s="765"/>
      <c r="T540" s="391">
        <v>0</v>
      </c>
      <c r="U540" s="765">
        <v>0</v>
      </c>
      <c r="V540" s="391">
        <v>0</v>
      </c>
      <c r="W540" s="765">
        <v>0</v>
      </c>
      <c r="X540" s="378"/>
      <c r="Y540" s="180"/>
      <c r="Z540" s="180"/>
      <c r="AA540" s="180"/>
      <c r="AB540" s="180"/>
    </row>
    <row r="541" spans="1:28" s="203" customFormat="1" x14ac:dyDescent="0.2">
      <c r="A541" s="636"/>
      <c r="B541" s="389" t="s">
        <v>102</v>
      </c>
      <c r="C541" s="392">
        <v>0</v>
      </c>
      <c r="D541" s="392">
        <v>0</v>
      </c>
      <c r="E541" s="392">
        <v>0</v>
      </c>
      <c r="F541" s="392">
        <v>0</v>
      </c>
      <c r="G541" s="392">
        <v>0</v>
      </c>
      <c r="H541" s="392">
        <v>0</v>
      </c>
      <c r="I541" s="766">
        <v>0</v>
      </c>
      <c r="J541" s="392">
        <v>0</v>
      </c>
      <c r="K541" s="392">
        <v>0</v>
      </c>
      <c r="L541" s="392">
        <v>0</v>
      </c>
      <c r="M541" s="392">
        <v>0</v>
      </c>
      <c r="N541" s="392">
        <v>0</v>
      </c>
      <c r="O541" s="766">
        <v>0</v>
      </c>
      <c r="P541" s="392"/>
      <c r="Q541" s="392"/>
      <c r="R541" s="392"/>
      <c r="S541" s="766"/>
      <c r="T541" s="392">
        <v>0</v>
      </c>
      <c r="U541" s="766">
        <v>0</v>
      </c>
      <c r="V541" s="392">
        <v>0</v>
      </c>
      <c r="W541" s="766">
        <v>0</v>
      </c>
      <c r="X541" s="378"/>
      <c r="Y541" s="180"/>
      <c r="Z541" s="180"/>
      <c r="AA541" s="180"/>
      <c r="AB541" s="180"/>
    </row>
    <row r="542" spans="1:28" s="202" customFormat="1" x14ac:dyDescent="0.2">
      <c r="A542" s="636"/>
      <c r="B542" s="639" t="s">
        <v>183</v>
      </c>
      <c r="C542" s="466">
        <v>0</v>
      </c>
      <c r="D542" s="466">
        <v>0</v>
      </c>
      <c r="E542" s="466">
        <v>0</v>
      </c>
      <c r="F542" s="466">
        <v>0</v>
      </c>
      <c r="G542" s="466">
        <v>0</v>
      </c>
      <c r="H542" s="466">
        <v>0</v>
      </c>
      <c r="I542" s="767">
        <v>0</v>
      </c>
      <c r="J542" s="466">
        <v>0</v>
      </c>
      <c r="K542" s="466">
        <v>0</v>
      </c>
      <c r="L542" s="466">
        <v>0</v>
      </c>
      <c r="M542" s="466">
        <v>0</v>
      </c>
      <c r="N542" s="466">
        <v>0</v>
      </c>
      <c r="O542" s="767">
        <v>0</v>
      </c>
      <c r="P542" s="466">
        <v>0</v>
      </c>
      <c r="Q542" s="466">
        <v>0</v>
      </c>
      <c r="R542" s="466">
        <v>0</v>
      </c>
      <c r="S542" s="767">
        <v>0</v>
      </c>
      <c r="T542" s="466">
        <v>0</v>
      </c>
      <c r="U542" s="767">
        <v>0</v>
      </c>
      <c r="V542" s="466">
        <v>0</v>
      </c>
      <c r="W542" s="767">
        <v>0</v>
      </c>
      <c r="X542" s="378"/>
      <c r="Y542" s="180"/>
      <c r="Z542" s="180"/>
      <c r="AA542" s="180"/>
      <c r="AB542" s="180"/>
    </row>
    <row r="543" spans="1:28" x14ac:dyDescent="0.2">
      <c r="A543" s="636"/>
      <c r="B543" s="388" t="s">
        <v>78</v>
      </c>
      <c r="C543" s="391">
        <v>22458841</v>
      </c>
      <c r="D543" s="391"/>
      <c r="E543" s="391"/>
      <c r="F543" s="391"/>
      <c r="G543" s="391"/>
      <c r="H543" s="391"/>
      <c r="I543" s="765">
        <v>22458841</v>
      </c>
      <c r="J543" s="391"/>
      <c r="K543" s="391"/>
      <c r="L543" s="391"/>
      <c r="M543" s="391"/>
      <c r="N543" s="391"/>
      <c r="O543" s="765"/>
      <c r="P543" s="391"/>
      <c r="Q543" s="391"/>
      <c r="R543" s="391"/>
      <c r="S543" s="765"/>
      <c r="T543" s="391">
        <v>1334407736</v>
      </c>
      <c r="U543" s="765">
        <v>1334407736</v>
      </c>
      <c r="V543" s="391">
        <v>66108329</v>
      </c>
      <c r="W543" s="765">
        <v>1422974906</v>
      </c>
      <c r="X543" s="378"/>
      <c r="Y543" s="180"/>
      <c r="Z543" s="180"/>
      <c r="AA543" s="180"/>
      <c r="AB543" s="180"/>
    </row>
    <row r="544" spans="1:28" s="203" customFormat="1" x14ac:dyDescent="0.2">
      <c r="A544" s="636"/>
      <c r="B544" s="389" t="s">
        <v>80</v>
      </c>
      <c r="C544" s="392">
        <v>24484103</v>
      </c>
      <c r="D544" s="392"/>
      <c r="E544" s="392"/>
      <c r="F544" s="392"/>
      <c r="G544" s="392"/>
      <c r="H544" s="392"/>
      <c r="I544" s="766">
        <v>24484103</v>
      </c>
      <c r="J544" s="392"/>
      <c r="K544" s="392"/>
      <c r="L544" s="392"/>
      <c r="M544" s="392"/>
      <c r="N544" s="392"/>
      <c r="O544" s="766"/>
      <c r="P544" s="392"/>
      <c r="Q544" s="392"/>
      <c r="R544" s="392"/>
      <c r="S544" s="766"/>
      <c r="T544" s="392">
        <v>1555304068</v>
      </c>
      <c r="U544" s="766">
        <v>1555304068</v>
      </c>
      <c r="V544" s="392">
        <v>69392583</v>
      </c>
      <c r="W544" s="766">
        <v>1649180754</v>
      </c>
      <c r="X544" s="378"/>
      <c r="Y544" s="180"/>
      <c r="Z544" s="180"/>
      <c r="AA544" s="180"/>
      <c r="AB544" s="180"/>
    </row>
    <row r="545" spans="1:28" s="202" customFormat="1" x14ac:dyDescent="0.2">
      <c r="A545" s="636"/>
      <c r="B545" s="639" t="s">
        <v>215</v>
      </c>
      <c r="C545" s="466">
        <v>9.0176603503270716</v>
      </c>
      <c r="D545" s="466">
        <v>0</v>
      </c>
      <c r="E545" s="466">
        <v>0</v>
      </c>
      <c r="F545" s="466">
        <v>0</v>
      </c>
      <c r="G545" s="466">
        <v>0</v>
      </c>
      <c r="H545" s="466">
        <v>0</v>
      </c>
      <c r="I545" s="767">
        <v>9.0176603503270716</v>
      </c>
      <c r="J545" s="466">
        <v>0</v>
      </c>
      <c r="K545" s="466">
        <v>0</v>
      </c>
      <c r="L545" s="466">
        <v>0</v>
      </c>
      <c r="M545" s="466">
        <v>0</v>
      </c>
      <c r="N545" s="466">
        <v>0</v>
      </c>
      <c r="O545" s="767">
        <v>0</v>
      </c>
      <c r="P545" s="466">
        <v>0</v>
      </c>
      <c r="Q545" s="466">
        <v>0</v>
      </c>
      <c r="R545" s="466">
        <v>0</v>
      </c>
      <c r="S545" s="767">
        <v>0</v>
      </c>
      <c r="T545" s="763">
        <v>16.553885745758297</v>
      </c>
      <c r="U545" s="767">
        <v>16.553885745758297</v>
      </c>
      <c r="V545" s="466">
        <v>4.967988224297728</v>
      </c>
      <c r="W545" s="767">
        <v>15.896685672122457</v>
      </c>
      <c r="X545" s="378"/>
      <c r="Y545" s="180"/>
      <c r="Z545" s="180"/>
      <c r="AA545" s="180"/>
      <c r="AB545" s="180"/>
    </row>
    <row r="546" spans="1:28" x14ac:dyDescent="0.2">
      <c r="A546" s="636"/>
      <c r="B546" s="388" t="s">
        <v>81</v>
      </c>
      <c r="C546" s="391">
        <v>12707884</v>
      </c>
      <c r="D546" s="391"/>
      <c r="E546" s="391"/>
      <c r="F546" s="391"/>
      <c r="G546" s="391"/>
      <c r="H546" s="391"/>
      <c r="I546" s="765">
        <v>12707884</v>
      </c>
      <c r="J546" s="391"/>
      <c r="K546" s="391"/>
      <c r="L546" s="391"/>
      <c r="M546" s="391"/>
      <c r="N546" s="391"/>
      <c r="O546" s="765"/>
      <c r="P546" s="391"/>
      <c r="Q546" s="391"/>
      <c r="R546" s="391"/>
      <c r="S546" s="765"/>
      <c r="T546" s="391">
        <v>200728904</v>
      </c>
      <c r="U546" s="765">
        <v>200728904</v>
      </c>
      <c r="V546" s="391"/>
      <c r="W546" s="765">
        <v>213436788</v>
      </c>
      <c r="X546" s="378"/>
      <c r="Y546" s="180"/>
      <c r="Z546" s="180"/>
      <c r="AA546" s="180"/>
      <c r="AB546" s="180"/>
    </row>
    <row r="547" spans="1:28" s="203" customFormat="1" x14ac:dyDescent="0.2">
      <c r="A547" s="636"/>
      <c r="B547" s="389" t="s">
        <v>318</v>
      </c>
      <c r="C547" s="392">
        <v>13749215</v>
      </c>
      <c r="D547" s="392"/>
      <c r="E547" s="392"/>
      <c r="F547" s="392"/>
      <c r="G547" s="392"/>
      <c r="H547" s="392"/>
      <c r="I547" s="766">
        <v>13749215</v>
      </c>
      <c r="J547" s="392"/>
      <c r="K547" s="392"/>
      <c r="L547" s="392"/>
      <c r="M547" s="392"/>
      <c r="N547" s="392"/>
      <c r="O547" s="766"/>
      <c r="P547" s="392"/>
      <c r="Q547" s="392"/>
      <c r="R547" s="392"/>
      <c r="S547" s="766"/>
      <c r="T547" s="392">
        <v>214636379</v>
      </c>
      <c r="U547" s="766">
        <v>214636379</v>
      </c>
      <c r="V547" s="392"/>
      <c r="W547" s="766">
        <v>228385594</v>
      </c>
      <c r="X547" s="378"/>
      <c r="Y547" s="180"/>
      <c r="Z547" s="180"/>
      <c r="AA547" s="180"/>
      <c r="AB547" s="180"/>
    </row>
    <row r="548" spans="1:28" s="202" customFormat="1" x14ac:dyDescent="0.2">
      <c r="A548" s="636"/>
      <c r="B548" s="639" t="s">
        <v>236</v>
      </c>
      <c r="C548" s="466">
        <v>8.1943697314202737</v>
      </c>
      <c r="D548" s="466">
        <v>0</v>
      </c>
      <c r="E548" s="466">
        <v>0</v>
      </c>
      <c r="F548" s="466">
        <v>0</v>
      </c>
      <c r="G548" s="466">
        <v>0</v>
      </c>
      <c r="H548" s="466">
        <v>0</v>
      </c>
      <c r="I548" s="767">
        <v>8.1943697314202737</v>
      </c>
      <c r="J548" s="466">
        <v>0</v>
      </c>
      <c r="K548" s="466">
        <v>0</v>
      </c>
      <c r="L548" s="466">
        <v>0</v>
      </c>
      <c r="M548" s="466">
        <v>0</v>
      </c>
      <c r="N548" s="466">
        <v>0</v>
      </c>
      <c r="O548" s="767">
        <v>0</v>
      </c>
      <c r="P548" s="466">
        <v>0</v>
      </c>
      <c r="Q548" s="466">
        <v>0</v>
      </c>
      <c r="R548" s="466">
        <v>0</v>
      </c>
      <c r="S548" s="767">
        <v>0</v>
      </c>
      <c r="T548" s="466">
        <v>6.9284864924086866</v>
      </c>
      <c r="U548" s="767">
        <v>6.9284864924086866</v>
      </c>
      <c r="V548" s="466">
        <v>0</v>
      </c>
      <c r="W548" s="767">
        <v>7.0038563361438895</v>
      </c>
      <c r="X548" s="378"/>
      <c r="Y548" s="180"/>
      <c r="Z548" s="180"/>
      <c r="AA548" s="180"/>
      <c r="AB548" s="180"/>
    </row>
    <row r="549" spans="1:28" x14ac:dyDescent="0.2">
      <c r="A549" s="636"/>
      <c r="B549" s="388" t="s">
        <v>19</v>
      </c>
      <c r="C549" s="391">
        <v>3769003071</v>
      </c>
      <c r="D549" s="391">
        <v>587074896</v>
      </c>
      <c r="E549" s="391">
        <v>1699416481</v>
      </c>
      <c r="F549" s="391">
        <v>66964043</v>
      </c>
      <c r="G549" s="391">
        <v>107767325</v>
      </c>
      <c r="H549" s="391">
        <v>29975960</v>
      </c>
      <c r="I549" s="765">
        <v>6260201776</v>
      </c>
      <c r="J549" s="391">
        <v>174078922</v>
      </c>
      <c r="K549" s="391">
        <v>2076528141</v>
      </c>
      <c r="L549" s="391">
        <v>552523131</v>
      </c>
      <c r="M549" s="391">
        <v>91198652</v>
      </c>
      <c r="N549" s="391">
        <v>601841461</v>
      </c>
      <c r="O549" s="765">
        <v>3496170307</v>
      </c>
      <c r="P549" s="391"/>
      <c r="Q549" s="391"/>
      <c r="R549" s="391"/>
      <c r="S549" s="765"/>
      <c r="T549" s="391">
        <v>0</v>
      </c>
      <c r="U549" s="765">
        <v>0</v>
      </c>
      <c r="V549" s="391">
        <v>66716</v>
      </c>
      <c r="W549" s="765">
        <v>9756438799</v>
      </c>
      <c r="X549" s="378"/>
      <c r="Y549" s="180"/>
      <c r="Z549" s="180"/>
      <c r="AA549" s="180"/>
      <c r="AB549" s="180"/>
    </row>
    <row r="550" spans="1:28" s="203" customFormat="1" x14ac:dyDescent="0.2">
      <c r="A550" s="636"/>
      <c r="B550" s="389" t="s">
        <v>21</v>
      </c>
      <c r="C550" s="392">
        <v>3797341879</v>
      </c>
      <c r="D550" s="392">
        <v>569317491</v>
      </c>
      <c r="E550" s="392">
        <v>1810999507</v>
      </c>
      <c r="F550" s="392">
        <v>77408142</v>
      </c>
      <c r="G550" s="392">
        <v>126991462</v>
      </c>
      <c r="H550" s="392">
        <v>31706357</v>
      </c>
      <c r="I550" s="766">
        <v>6413764838</v>
      </c>
      <c r="J550" s="392">
        <v>180404857</v>
      </c>
      <c r="K550" s="392">
        <v>2109227215</v>
      </c>
      <c r="L550" s="392">
        <v>557240473</v>
      </c>
      <c r="M550" s="392">
        <v>94525868</v>
      </c>
      <c r="N550" s="392">
        <v>780115310</v>
      </c>
      <c r="O550" s="766">
        <v>3721513723</v>
      </c>
      <c r="P550" s="392"/>
      <c r="Q550" s="392"/>
      <c r="R550" s="392"/>
      <c r="S550" s="766"/>
      <c r="T550" s="392">
        <v>0</v>
      </c>
      <c r="U550" s="766">
        <v>0</v>
      </c>
      <c r="V550" s="392">
        <v>0</v>
      </c>
      <c r="W550" s="766">
        <v>10135278561</v>
      </c>
      <c r="X550" s="378"/>
      <c r="Y550" s="180"/>
      <c r="Z550" s="180"/>
      <c r="AA550" s="180"/>
      <c r="AB550" s="180"/>
    </row>
    <row r="551" spans="1:28" s="212" customFormat="1" ht="13.5" thickBot="1" x14ac:dyDescent="0.25">
      <c r="A551" s="640"/>
      <c r="B551" s="777" t="s">
        <v>23</v>
      </c>
      <c r="C551" s="778">
        <v>0.75189134808746882</v>
      </c>
      <c r="D551" s="1512">
        <v>-3.0247256561282092</v>
      </c>
      <c r="E551" s="778">
        <v>6.5659611547570957</v>
      </c>
      <c r="F551" s="1512">
        <v>15.596577703649107</v>
      </c>
      <c r="G551" s="1512">
        <v>17.838558208622139</v>
      </c>
      <c r="H551" s="778">
        <v>5.7726157894526144</v>
      </c>
      <c r="I551" s="779">
        <v>2.4530049908091014</v>
      </c>
      <c r="J551" s="778">
        <v>3.6339465613188944</v>
      </c>
      <c r="K551" s="778">
        <v>1.5746992951539296</v>
      </c>
      <c r="L551" s="778">
        <v>0.8537818120776558</v>
      </c>
      <c r="M551" s="778">
        <v>3.6483170825814399</v>
      </c>
      <c r="N551" s="1512">
        <v>29.621397087496437</v>
      </c>
      <c r="O551" s="779">
        <v>6.4454358973537271</v>
      </c>
      <c r="P551" s="778">
        <v>0</v>
      </c>
      <c r="Q551" s="778">
        <v>0</v>
      </c>
      <c r="R551" s="778">
        <v>0</v>
      </c>
      <c r="S551" s="779">
        <v>0</v>
      </c>
      <c r="T551" s="778">
        <v>0</v>
      </c>
      <c r="U551" s="779">
        <v>0</v>
      </c>
      <c r="V551" s="778">
        <v>-100</v>
      </c>
      <c r="W551" s="779">
        <v>3.882971746195238</v>
      </c>
      <c r="X551" s="378"/>
      <c r="Y551" s="180"/>
      <c r="Z551" s="180"/>
      <c r="AA551" s="180"/>
      <c r="AB551" s="180"/>
    </row>
    <row r="552" spans="1:28" ht="13.5" thickTop="1" x14ac:dyDescent="0.2">
      <c r="A552" s="230" t="s">
        <v>156</v>
      </c>
      <c r="B552" s="780" t="s">
        <v>190</v>
      </c>
      <c r="C552" s="781">
        <v>435805033</v>
      </c>
      <c r="D552" s="781">
        <v>149352166</v>
      </c>
      <c r="E552" s="781">
        <v>220545163</v>
      </c>
      <c r="F552" s="781"/>
      <c r="G552" s="781">
        <v>23779417</v>
      </c>
      <c r="H552" s="781">
        <v>12560895</v>
      </c>
      <c r="I552" s="782">
        <v>842042674</v>
      </c>
      <c r="J552" s="781"/>
      <c r="K552" s="781"/>
      <c r="L552" s="781"/>
      <c r="M552" s="781">
        <v>5238116</v>
      </c>
      <c r="N552" s="781">
        <v>316706416</v>
      </c>
      <c r="O552" s="782">
        <v>321944532</v>
      </c>
      <c r="P552" s="781"/>
      <c r="Q552" s="781"/>
      <c r="R552" s="781"/>
      <c r="S552" s="782"/>
      <c r="T552" s="781"/>
      <c r="U552" s="782"/>
      <c r="V552" s="781"/>
      <c r="W552" s="782">
        <v>1163987206</v>
      </c>
      <c r="X552" s="378"/>
      <c r="Y552" s="180"/>
      <c r="Z552" s="180"/>
      <c r="AA552" s="180"/>
      <c r="AB552" s="180"/>
    </row>
    <row r="553" spans="1:28" s="203" customFormat="1" x14ac:dyDescent="0.2">
      <c r="A553" s="636"/>
      <c r="B553" s="389" t="s">
        <v>4</v>
      </c>
      <c r="C553" s="392">
        <v>453730589</v>
      </c>
      <c r="D553" s="392">
        <v>155164219</v>
      </c>
      <c r="E553" s="392">
        <v>227324218</v>
      </c>
      <c r="F553" s="392"/>
      <c r="G553" s="392">
        <v>24479716</v>
      </c>
      <c r="H553" s="392">
        <v>12937643</v>
      </c>
      <c r="I553" s="766">
        <v>873636385</v>
      </c>
      <c r="J553" s="392"/>
      <c r="K553" s="392"/>
      <c r="L553" s="392"/>
      <c r="M553" s="392">
        <v>5473340</v>
      </c>
      <c r="N553" s="392">
        <v>324915521</v>
      </c>
      <c r="O553" s="766">
        <v>330388861</v>
      </c>
      <c r="P553" s="392"/>
      <c r="Q553" s="392"/>
      <c r="R553" s="392"/>
      <c r="S553" s="766"/>
      <c r="T553" s="392"/>
      <c r="U553" s="766"/>
      <c r="V553" s="392"/>
      <c r="W553" s="766">
        <v>1204025246</v>
      </c>
      <c r="X553" s="378"/>
      <c r="Y553" s="180"/>
      <c r="Z553" s="180"/>
      <c r="AA553" s="180"/>
      <c r="AB553" s="180"/>
    </row>
    <row r="554" spans="1:28" s="202" customFormat="1" x14ac:dyDescent="0.2">
      <c r="A554" s="637"/>
      <c r="B554" s="639" t="s">
        <v>116</v>
      </c>
      <c r="C554" s="466">
        <v>4.1132053653909955</v>
      </c>
      <c r="D554" s="466">
        <v>3.8915090123299585</v>
      </c>
      <c r="E554" s="466">
        <v>3.0737717879580067</v>
      </c>
      <c r="F554" s="466">
        <v>0</v>
      </c>
      <c r="G554" s="466">
        <v>2.944979685582704</v>
      </c>
      <c r="H554" s="466">
        <v>2.999372258107404</v>
      </c>
      <c r="I554" s="767">
        <v>3.7520320496250767</v>
      </c>
      <c r="J554" s="466">
        <v>0</v>
      </c>
      <c r="K554" s="466">
        <v>0</v>
      </c>
      <c r="L554" s="466">
        <v>0</v>
      </c>
      <c r="M554" s="466">
        <v>4.4906222008065493</v>
      </c>
      <c r="N554" s="466">
        <v>2.5920235856541662</v>
      </c>
      <c r="O554" s="767">
        <v>2.6229142478493781</v>
      </c>
      <c r="P554" s="466">
        <v>0</v>
      </c>
      <c r="Q554" s="466">
        <v>0</v>
      </c>
      <c r="R554" s="466">
        <v>0</v>
      </c>
      <c r="S554" s="767">
        <v>0</v>
      </c>
      <c r="T554" s="466">
        <v>0</v>
      </c>
      <c r="U554" s="767">
        <v>0</v>
      </c>
      <c r="V554" s="466">
        <v>0</v>
      </c>
      <c r="W554" s="767">
        <v>3.4397319655762608</v>
      </c>
      <c r="X554" s="378"/>
      <c r="Y554" s="180"/>
      <c r="Z554" s="180"/>
      <c r="AA554" s="180"/>
      <c r="AB554" s="180"/>
    </row>
    <row r="555" spans="1:28" x14ac:dyDescent="0.2">
      <c r="A555" s="636"/>
      <c r="B555" s="388" t="s">
        <v>195</v>
      </c>
      <c r="C555" s="391">
        <v>72418759</v>
      </c>
      <c r="D555" s="391">
        <v>26148045</v>
      </c>
      <c r="E555" s="391">
        <v>7036690</v>
      </c>
      <c r="F555" s="391"/>
      <c r="G555" s="391"/>
      <c r="H555" s="391"/>
      <c r="I555" s="765">
        <v>105603494</v>
      </c>
      <c r="J555" s="391"/>
      <c r="K555" s="391"/>
      <c r="L555" s="391"/>
      <c r="M555" s="391"/>
      <c r="N555" s="391">
        <v>0</v>
      </c>
      <c r="O555" s="765">
        <v>0</v>
      </c>
      <c r="P555" s="391"/>
      <c r="Q555" s="391"/>
      <c r="R555" s="391"/>
      <c r="S555" s="765"/>
      <c r="T555" s="391"/>
      <c r="U555" s="765"/>
      <c r="V555" s="391">
        <v>81831969</v>
      </c>
      <c r="W555" s="765">
        <v>187435463</v>
      </c>
      <c r="X555" s="378"/>
      <c r="Y555" s="180"/>
      <c r="Z555" s="180"/>
      <c r="AA555" s="180"/>
      <c r="AB555" s="180"/>
    </row>
    <row r="556" spans="1:28" s="203" customFormat="1" x14ac:dyDescent="0.2">
      <c r="A556" s="636"/>
      <c r="B556" s="389" t="s">
        <v>242</v>
      </c>
      <c r="C556" s="392">
        <v>77081730</v>
      </c>
      <c r="D556" s="392">
        <v>27729470</v>
      </c>
      <c r="E556" s="392">
        <v>7063900</v>
      </c>
      <c r="F556" s="392"/>
      <c r="G556" s="392"/>
      <c r="H556" s="392"/>
      <c r="I556" s="766">
        <v>111875100</v>
      </c>
      <c r="J556" s="392"/>
      <c r="K556" s="392"/>
      <c r="L556" s="392"/>
      <c r="M556" s="392"/>
      <c r="N556" s="392"/>
      <c r="O556" s="766"/>
      <c r="P556" s="392"/>
      <c r="Q556" s="392"/>
      <c r="R556" s="392"/>
      <c r="S556" s="766"/>
      <c r="T556" s="392"/>
      <c r="U556" s="766"/>
      <c r="V556" s="392">
        <v>92014576</v>
      </c>
      <c r="W556" s="766">
        <v>203889676</v>
      </c>
      <c r="X556" s="378"/>
      <c r="Y556" s="180"/>
      <c r="Z556" s="180"/>
      <c r="AA556" s="180"/>
      <c r="AB556" s="180"/>
    </row>
    <row r="557" spans="1:28" s="202" customFormat="1" x14ac:dyDescent="0.2">
      <c r="A557" s="636"/>
      <c r="B557" s="639" t="s">
        <v>244</v>
      </c>
      <c r="C557" s="466">
        <v>6.4388993465077187</v>
      </c>
      <c r="D557" s="466">
        <v>6.0479664923324092</v>
      </c>
      <c r="E557" s="466">
        <v>0.38668749085152249</v>
      </c>
      <c r="F557" s="466">
        <v>0</v>
      </c>
      <c r="G557" s="466">
        <v>0</v>
      </c>
      <c r="H557" s="466">
        <v>0</v>
      </c>
      <c r="I557" s="767">
        <v>5.938824334732713</v>
      </c>
      <c r="J557" s="466">
        <v>0</v>
      </c>
      <c r="K557" s="466">
        <v>0</v>
      </c>
      <c r="L557" s="466">
        <v>0</v>
      </c>
      <c r="M557" s="466">
        <v>0</v>
      </c>
      <c r="N557" s="466">
        <v>0</v>
      </c>
      <c r="O557" s="767">
        <v>0</v>
      </c>
      <c r="P557" s="466">
        <v>0</v>
      </c>
      <c r="Q557" s="466">
        <v>0</v>
      </c>
      <c r="R557" s="466">
        <v>0</v>
      </c>
      <c r="S557" s="767">
        <v>0</v>
      </c>
      <c r="T557" s="466">
        <v>0</v>
      </c>
      <c r="U557" s="767">
        <v>0</v>
      </c>
      <c r="V557" s="466">
        <v>12.443311733095411</v>
      </c>
      <c r="W557" s="767">
        <v>8.7786018380097044</v>
      </c>
      <c r="X557" s="378"/>
      <c r="Y557" s="180"/>
      <c r="Z557" s="180"/>
      <c r="AA557" s="180"/>
      <c r="AB557" s="180"/>
    </row>
    <row r="558" spans="1:28" x14ac:dyDescent="0.2">
      <c r="A558" s="636"/>
      <c r="B558" s="388" t="s">
        <v>5</v>
      </c>
      <c r="C558" s="391"/>
      <c r="D558" s="391"/>
      <c r="E558" s="391"/>
      <c r="F558" s="391"/>
      <c r="G558" s="391"/>
      <c r="H558" s="391"/>
      <c r="I558" s="765"/>
      <c r="J558" s="391"/>
      <c r="K558" s="391"/>
      <c r="L558" s="391"/>
      <c r="M558" s="391"/>
      <c r="N558" s="391">
        <v>10779805</v>
      </c>
      <c r="O558" s="765">
        <v>10779805</v>
      </c>
      <c r="P558" s="391"/>
      <c r="Q558" s="391"/>
      <c r="R558" s="391"/>
      <c r="S558" s="765"/>
      <c r="T558" s="391"/>
      <c r="U558" s="765"/>
      <c r="V558" s="391"/>
      <c r="W558" s="765">
        <v>10779805</v>
      </c>
      <c r="X558" s="378"/>
      <c r="Y558" s="180"/>
      <c r="Z558" s="180"/>
      <c r="AA558" s="180"/>
      <c r="AB558" s="180"/>
    </row>
    <row r="559" spans="1:28" s="203" customFormat="1" x14ac:dyDescent="0.2">
      <c r="A559" s="636"/>
      <c r="B559" s="389" t="s">
        <v>6</v>
      </c>
      <c r="C559" s="392"/>
      <c r="D559" s="392"/>
      <c r="E559" s="392"/>
      <c r="F559" s="392"/>
      <c r="G559" s="392"/>
      <c r="H559" s="392"/>
      <c r="I559" s="766"/>
      <c r="J559" s="392"/>
      <c r="K559" s="392"/>
      <c r="L559" s="392"/>
      <c r="M559" s="392"/>
      <c r="N559" s="392">
        <v>10921170</v>
      </c>
      <c r="O559" s="766">
        <v>10921170</v>
      </c>
      <c r="P559" s="392"/>
      <c r="Q559" s="392"/>
      <c r="R559" s="392"/>
      <c r="S559" s="766"/>
      <c r="T559" s="392"/>
      <c r="U559" s="766"/>
      <c r="V559" s="392"/>
      <c r="W559" s="766">
        <v>10921170</v>
      </c>
      <c r="X559" s="378"/>
      <c r="Y559" s="180"/>
      <c r="Z559" s="180"/>
      <c r="AA559" s="180"/>
      <c r="AB559" s="180"/>
    </row>
    <row r="560" spans="1:28" s="202" customFormat="1" x14ac:dyDescent="0.2">
      <c r="A560" s="636"/>
      <c r="B560" s="639" t="s">
        <v>298</v>
      </c>
      <c r="C560" s="466">
        <v>0</v>
      </c>
      <c r="D560" s="466">
        <v>0</v>
      </c>
      <c r="E560" s="466">
        <v>0</v>
      </c>
      <c r="F560" s="466">
        <v>0</v>
      </c>
      <c r="G560" s="466">
        <v>0</v>
      </c>
      <c r="H560" s="466">
        <v>0</v>
      </c>
      <c r="I560" s="767">
        <v>0</v>
      </c>
      <c r="J560" s="466">
        <v>0</v>
      </c>
      <c r="K560" s="466">
        <v>0</v>
      </c>
      <c r="L560" s="466">
        <v>0</v>
      </c>
      <c r="M560" s="466">
        <v>0</v>
      </c>
      <c r="N560" s="466">
        <v>1.3113873581201145</v>
      </c>
      <c r="O560" s="767">
        <v>1.3113873581201145</v>
      </c>
      <c r="P560" s="466">
        <v>0</v>
      </c>
      <c r="Q560" s="466">
        <v>0</v>
      </c>
      <c r="R560" s="466">
        <v>0</v>
      </c>
      <c r="S560" s="767">
        <v>0</v>
      </c>
      <c r="T560" s="466">
        <v>0</v>
      </c>
      <c r="U560" s="767">
        <v>0</v>
      </c>
      <c r="V560" s="466">
        <v>0</v>
      </c>
      <c r="W560" s="767">
        <v>1.3113873581201145</v>
      </c>
      <c r="X560" s="378"/>
      <c r="Y560" s="180"/>
      <c r="Z560" s="180"/>
      <c r="AA560" s="180"/>
      <c r="AB560" s="180"/>
    </row>
    <row r="561" spans="1:28" x14ac:dyDescent="0.2">
      <c r="A561" s="636"/>
      <c r="B561" s="388" t="s">
        <v>223</v>
      </c>
      <c r="C561" s="391">
        <v>1247730767</v>
      </c>
      <c r="D561" s="391">
        <v>425910382</v>
      </c>
      <c r="E561" s="391">
        <v>382004905</v>
      </c>
      <c r="F561" s="391"/>
      <c r="G561" s="391">
        <v>32896824</v>
      </c>
      <c r="H561" s="391">
        <v>7603241</v>
      </c>
      <c r="I561" s="765">
        <v>2096146119</v>
      </c>
      <c r="J561" s="391"/>
      <c r="K561" s="391"/>
      <c r="L561" s="391"/>
      <c r="M561" s="391">
        <v>3998500</v>
      </c>
      <c r="N561" s="391">
        <v>550201661</v>
      </c>
      <c r="O561" s="765">
        <v>554200161</v>
      </c>
      <c r="P561" s="391"/>
      <c r="Q561" s="391"/>
      <c r="R561" s="391"/>
      <c r="S561" s="765"/>
      <c r="T561" s="391"/>
      <c r="U561" s="765"/>
      <c r="V561" s="391"/>
      <c r="W561" s="765">
        <v>2650346280</v>
      </c>
      <c r="X561" s="378"/>
      <c r="Y561" s="180"/>
      <c r="Z561" s="180"/>
      <c r="AA561" s="180"/>
      <c r="AB561" s="180"/>
    </row>
    <row r="562" spans="1:28" s="203" customFormat="1" x14ac:dyDescent="0.2">
      <c r="A562" s="636"/>
      <c r="B562" s="389" t="s">
        <v>14</v>
      </c>
      <c r="C562" s="392">
        <v>1245756116</v>
      </c>
      <c r="D562" s="392">
        <v>429781686</v>
      </c>
      <c r="E562" s="392">
        <v>412912937</v>
      </c>
      <c r="F562" s="392"/>
      <c r="G562" s="392">
        <v>34906536</v>
      </c>
      <c r="H562" s="392">
        <v>8039812</v>
      </c>
      <c r="I562" s="766">
        <v>2131397087</v>
      </c>
      <c r="J562" s="392"/>
      <c r="K562" s="392"/>
      <c r="L562" s="392"/>
      <c r="M562" s="392">
        <v>4453406</v>
      </c>
      <c r="N562" s="392">
        <v>527527893</v>
      </c>
      <c r="O562" s="766">
        <v>531981299</v>
      </c>
      <c r="P562" s="392"/>
      <c r="Q562" s="392"/>
      <c r="R562" s="392"/>
      <c r="S562" s="766"/>
      <c r="T562" s="392"/>
      <c r="U562" s="766"/>
      <c r="V562" s="392"/>
      <c r="W562" s="766">
        <v>2663378386</v>
      </c>
      <c r="X562" s="378"/>
      <c r="Y562" s="180"/>
      <c r="Z562" s="180"/>
      <c r="AA562" s="180"/>
      <c r="AB562" s="180"/>
    </row>
    <row r="563" spans="1:28" s="202" customFormat="1" x14ac:dyDescent="0.2">
      <c r="A563" s="636"/>
      <c r="B563" s="639" t="s">
        <v>247</v>
      </c>
      <c r="C563" s="466">
        <v>-0.15825938192962744</v>
      </c>
      <c r="D563" s="466">
        <v>0.90894802371828542</v>
      </c>
      <c r="E563" s="466">
        <v>8.0910039623705874</v>
      </c>
      <c r="F563" s="466">
        <v>0</v>
      </c>
      <c r="G563" s="466">
        <v>6.1091368577100331</v>
      </c>
      <c r="H563" s="466">
        <v>5.7419066421806173</v>
      </c>
      <c r="I563" s="767">
        <v>1.681703755309627</v>
      </c>
      <c r="J563" s="466">
        <v>0</v>
      </c>
      <c r="K563" s="466">
        <v>0</v>
      </c>
      <c r="L563" s="466">
        <v>0</v>
      </c>
      <c r="M563" s="466">
        <v>11.37691634362886</v>
      </c>
      <c r="N563" s="466">
        <v>-4.1209922846815985</v>
      </c>
      <c r="O563" s="767">
        <v>-4.0091763885286928</v>
      </c>
      <c r="P563" s="466">
        <v>0</v>
      </c>
      <c r="Q563" s="466">
        <v>0</v>
      </c>
      <c r="R563" s="466">
        <v>0</v>
      </c>
      <c r="S563" s="767">
        <v>0</v>
      </c>
      <c r="T563" s="466">
        <v>0</v>
      </c>
      <c r="U563" s="767">
        <v>0</v>
      </c>
      <c r="V563" s="466">
        <v>0</v>
      </c>
      <c r="W563" s="767">
        <v>0.49171333188959743</v>
      </c>
      <c r="X563" s="378"/>
      <c r="Y563" s="180"/>
      <c r="Z563" s="180"/>
      <c r="AA563" s="180"/>
      <c r="AB563" s="180"/>
    </row>
    <row r="564" spans="1:28" x14ac:dyDescent="0.2">
      <c r="A564" s="636"/>
      <c r="B564" s="388" t="s">
        <v>225</v>
      </c>
      <c r="C564" s="391">
        <v>12738330</v>
      </c>
      <c r="D564" s="391">
        <v>3126915</v>
      </c>
      <c r="E564" s="391">
        <v>4765563</v>
      </c>
      <c r="F564" s="391"/>
      <c r="G564" s="391">
        <v>119097</v>
      </c>
      <c r="H564" s="391">
        <v>41085</v>
      </c>
      <c r="I564" s="765">
        <v>20790990</v>
      </c>
      <c r="J564" s="391"/>
      <c r="K564" s="391"/>
      <c r="L564" s="391"/>
      <c r="M564" s="391">
        <v>6930</v>
      </c>
      <c r="N564" s="391">
        <v>3406095</v>
      </c>
      <c r="O564" s="765">
        <v>3413025</v>
      </c>
      <c r="P564" s="391"/>
      <c r="Q564" s="391"/>
      <c r="R564" s="391"/>
      <c r="S564" s="765"/>
      <c r="T564" s="391"/>
      <c r="U564" s="765"/>
      <c r="V564" s="391"/>
      <c r="W564" s="765">
        <v>24204015</v>
      </c>
      <c r="X564" s="378"/>
      <c r="Y564" s="180"/>
      <c r="Z564" s="180"/>
      <c r="AA564" s="180"/>
      <c r="AB564" s="180"/>
    </row>
    <row r="565" spans="1:28" s="203" customFormat="1" x14ac:dyDescent="0.2">
      <c r="A565" s="636"/>
      <c r="B565" s="389" t="s">
        <v>166</v>
      </c>
      <c r="C565" s="392">
        <v>12321540</v>
      </c>
      <c r="D565" s="392">
        <v>3626271</v>
      </c>
      <c r="E565" s="392">
        <v>5220567</v>
      </c>
      <c r="F565" s="392"/>
      <c r="G565" s="392">
        <v>112167</v>
      </c>
      <c r="H565" s="392">
        <v>48510</v>
      </c>
      <c r="I565" s="766">
        <v>21329055</v>
      </c>
      <c r="J565" s="392"/>
      <c r="K565" s="392"/>
      <c r="L565" s="392"/>
      <c r="M565" s="392">
        <v>9900</v>
      </c>
      <c r="N565" s="392">
        <v>3222450</v>
      </c>
      <c r="O565" s="766">
        <v>3232350</v>
      </c>
      <c r="P565" s="392"/>
      <c r="Q565" s="392"/>
      <c r="R565" s="392"/>
      <c r="S565" s="766"/>
      <c r="T565" s="392"/>
      <c r="U565" s="766"/>
      <c r="V565" s="392"/>
      <c r="W565" s="766">
        <v>24561405</v>
      </c>
      <c r="X565" s="378"/>
      <c r="Y565" s="180"/>
      <c r="Z565" s="180"/>
      <c r="AA565" s="180"/>
      <c r="AB565" s="180"/>
    </row>
    <row r="566" spans="1:28" s="202" customFormat="1" x14ac:dyDescent="0.2">
      <c r="A566" s="636"/>
      <c r="B566" s="639" t="s">
        <v>175</v>
      </c>
      <c r="C566" s="466">
        <v>-3.2719359602082845</v>
      </c>
      <c r="D566" s="466">
        <v>15.969605825550104</v>
      </c>
      <c r="E566" s="466">
        <v>9.5477491326837978</v>
      </c>
      <c r="F566" s="466">
        <v>0</v>
      </c>
      <c r="G566" s="466">
        <v>-5.8187863674147966</v>
      </c>
      <c r="H566" s="466">
        <v>18.072289156626507</v>
      </c>
      <c r="I566" s="767">
        <v>2.5879720013332697</v>
      </c>
      <c r="J566" s="466">
        <v>0</v>
      </c>
      <c r="K566" s="466">
        <v>0</v>
      </c>
      <c r="L566" s="466">
        <v>0</v>
      </c>
      <c r="M566" s="466">
        <v>42.857142857142854</v>
      </c>
      <c r="N566" s="466">
        <v>-5.3916581892166837</v>
      </c>
      <c r="O566" s="767">
        <v>-5.2936910804931108</v>
      </c>
      <c r="P566" s="466">
        <v>0</v>
      </c>
      <c r="Q566" s="466">
        <v>0</v>
      </c>
      <c r="R566" s="466">
        <v>0</v>
      </c>
      <c r="S566" s="767">
        <v>0</v>
      </c>
      <c r="T566" s="466">
        <v>0</v>
      </c>
      <c r="U566" s="767">
        <v>0</v>
      </c>
      <c r="V566" s="466">
        <v>0</v>
      </c>
      <c r="W566" s="767">
        <v>1.4765732049000961</v>
      </c>
      <c r="X566" s="378"/>
      <c r="Y566" s="180"/>
      <c r="Z566" s="180"/>
      <c r="AA566" s="180"/>
      <c r="AB566" s="180"/>
    </row>
    <row r="567" spans="1:28" x14ac:dyDescent="0.2">
      <c r="A567" s="636"/>
      <c r="B567" s="768" t="s">
        <v>317</v>
      </c>
      <c r="C567" s="765">
        <v>1260469097</v>
      </c>
      <c r="D567" s="765">
        <v>429037297</v>
      </c>
      <c r="E567" s="765">
        <v>386770468</v>
      </c>
      <c r="F567" s="765"/>
      <c r="G567" s="765">
        <v>33015921</v>
      </c>
      <c r="H567" s="765">
        <v>7644326</v>
      </c>
      <c r="I567" s="765">
        <v>2116937109</v>
      </c>
      <c r="J567" s="765"/>
      <c r="K567" s="765">
        <v>0</v>
      </c>
      <c r="L567" s="765">
        <v>0</v>
      </c>
      <c r="M567" s="765">
        <v>4005430</v>
      </c>
      <c r="N567" s="765">
        <v>553607756</v>
      </c>
      <c r="O567" s="765">
        <v>557613186</v>
      </c>
      <c r="P567" s="765"/>
      <c r="Q567" s="765"/>
      <c r="R567" s="765"/>
      <c r="S567" s="765"/>
      <c r="T567" s="765">
        <v>0</v>
      </c>
      <c r="U567" s="765">
        <v>0</v>
      </c>
      <c r="V567" s="765">
        <v>0</v>
      </c>
      <c r="W567" s="765">
        <v>2674550295</v>
      </c>
      <c r="X567" s="378"/>
      <c r="Y567" s="180"/>
      <c r="Z567" s="180"/>
      <c r="AA567" s="180"/>
      <c r="AB567" s="180"/>
    </row>
    <row r="568" spans="1:28" s="203" customFormat="1" x14ac:dyDescent="0.2">
      <c r="A568" s="636"/>
      <c r="B568" s="769" t="s">
        <v>70</v>
      </c>
      <c r="C568" s="766">
        <v>1258077656</v>
      </c>
      <c r="D568" s="766">
        <v>433407957</v>
      </c>
      <c r="E568" s="766">
        <v>418133504</v>
      </c>
      <c r="F568" s="766"/>
      <c r="G568" s="766">
        <v>35018703</v>
      </c>
      <c r="H568" s="766">
        <v>8088322</v>
      </c>
      <c r="I568" s="766">
        <v>2152726142</v>
      </c>
      <c r="J568" s="766"/>
      <c r="K568" s="766">
        <v>0</v>
      </c>
      <c r="L568" s="766">
        <v>0</v>
      </c>
      <c r="M568" s="766">
        <v>4463306</v>
      </c>
      <c r="N568" s="766">
        <v>530750343</v>
      </c>
      <c r="O568" s="766">
        <v>535213649</v>
      </c>
      <c r="P568" s="766"/>
      <c r="Q568" s="766"/>
      <c r="R568" s="766"/>
      <c r="S568" s="766"/>
      <c r="T568" s="766">
        <v>0</v>
      </c>
      <c r="U568" s="766">
        <v>0</v>
      </c>
      <c r="V568" s="766">
        <v>0</v>
      </c>
      <c r="W568" s="766">
        <v>2687939791</v>
      </c>
      <c r="X568" s="378"/>
      <c r="Y568" s="180"/>
      <c r="Z568" s="180"/>
      <c r="AA568" s="180"/>
      <c r="AB568" s="180"/>
    </row>
    <row r="569" spans="1:28" s="202" customFormat="1" x14ac:dyDescent="0.2">
      <c r="A569" s="636"/>
      <c r="B569" s="770" t="s">
        <v>57</v>
      </c>
      <c r="C569" s="767">
        <v>-0.18972626982222635</v>
      </c>
      <c r="D569" s="767">
        <v>1.0187132984850964</v>
      </c>
      <c r="E569" s="767">
        <v>8.1089531375492712</v>
      </c>
      <c r="F569" s="767">
        <v>0</v>
      </c>
      <c r="G569" s="767">
        <v>6.0661097414183898</v>
      </c>
      <c r="H569" s="767">
        <v>5.8081772022804889</v>
      </c>
      <c r="I569" s="767">
        <v>1.690604451490108</v>
      </c>
      <c r="J569" s="767">
        <v>0</v>
      </c>
      <c r="K569" s="767">
        <v>0</v>
      </c>
      <c r="L569" s="767">
        <v>0</v>
      </c>
      <c r="M569" s="767">
        <v>11.43138189907201</v>
      </c>
      <c r="N569" s="767">
        <v>-4.1288101100953503</v>
      </c>
      <c r="O569" s="767">
        <v>-4.0170386142913053</v>
      </c>
      <c r="P569" s="767">
        <v>0</v>
      </c>
      <c r="Q569" s="767">
        <v>0</v>
      </c>
      <c r="R569" s="767">
        <v>0</v>
      </c>
      <c r="S569" s="767">
        <v>0</v>
      </c>
      <c r="T569" s="767">
        <v>0</v>
      </c>
      <c r="U569" s="767">
        <v>0</v>
      </c>
      <c r="V569" s="767">
        <v>0</v>
      </c>
      <c r="W569" s="767">
        <v>0.50062606880234428</v>
      </c>
      <c r="X569" s="378"/>
      <c r="Y569" s="180"/>
      <c r="Z569" s="180"/>
      <c r="AA569" s="180"/>
      <c r="AB569" s="180"/>
    </row>
    <row r="570" spans="1:28" x14ac:dyDescent="0.2">
      <c r="A570" s="636"/>
      <c r="B570" s="388" t="s">
        <v>72</v>
      </c>
      <c r="C570" s="391"/>
      <c r="D570" s="391"/>
      <c r="E570" s="391"/>
      <c r="F570" s="391"/>
      <c r="G570" s="391"/>
      <c r="H570" s="391"/>
      <c r="I570" s="765"/>
      <c r="J570" s="391"/>
      <c r="K570" s="391"/>
      <c r="L570" s="391"/>
      <c r="M570" s="391"/>
      <c r="N570" s="391"/>
      <c r="O570" s="765"/>
      <c r="P570" s="391"/>
      <c r="Q570" s="391"/>
      <c r="R570" s="391"/>
      <c r="S570" s="765"/>
      <c r="T570" s="391">
        <v>11359955</v>
      </c>
      <c r="U570" s="765">
        <v>11359955</v>
      </c>
      <c r="V570" s="391">
        <v>259417371</v>
      </c>
      <c r="W570" s="765">
        <v>270777326</v>
      </c>
      <c r="X570" s="378"/>
      <c r="Y570" s="180"/>
      <c r="Z570" s="180"/>
      <c r="AA570" s="180"/>
      <c r="AB570" s="180"/>
    </row>
    <row r="571" spans="1:28" s="203" customFormat="1" x14ac:dyDescent="0.2">
      <c r="A571" s="636"/>
      <c r="B571" s="389" t="s">
        <v>74</v>
      </c>
      <c r="C571" s="392"/>
      <c r="D571" s="392"/>
      <c r="E571" s="392"/>
      <c r="F571" s="392"/>
      <c r="G571" s="392"/>
      <c r="H571" s="392"/>
      <c r="I571" s="766"/>
      <c r="J571" s="392"/>
      <c r="K571" s="392"/>
      <c r="L571" s="392"/>
      <c r="M571" s="392"/>
      <c r="N571" s="392"/>
      <c r="O571" s="766"/>
      <c r="P571" s="392"/>
      <c r="Q571" s="392"/>
      <c r="R571" s="392"/>
      <c r="S571" s="766"/>
      <c r="T571" s="392">
        <v>11901908</v>
      </c>
      <c r="U571" s="766">
        <v>11901908</v>
      </c>
      <c r="V571" s="392">
        <v>270159253</v>
      </c>
      <c r="W571" s="766">
        <v>282061161</v>
      </c>
      <c r="X571" s="378"/>
      <c r="Y571" s="180"/>
      <c r="Z571" s="180"/>
      <c r="AA571" s="180"/>
      <c r="AB571" s="180"/>
    </row>
    <row r="572" spans="1:28" s="202" customFormat="1" x14ac:dyDescent="0.2">
      <c r="A572" s="636"/>
      <c r="B572" s="639" t="s">
        <v>76</v>
      </c>
      <c r="C572" s="466">
        <v>0</v>
      </c>
      <c r="D572" s="466">
        <v>0</v>
      </c>
      <c r="E572" s="466">
        <v>0</v>
      </c>
      <c r="F572" s="466">
        <v>0</v>
      </c>
      <c r="G572" s="466">
        <v>0</v>
      </c>
      <c r="H572" s="466">
        <v>0</v>
      </c>
      <c r="I572" s="767">
        <v>0</v>
      </c>
      <c r="J572" s="466">
        <v>0</v>
      </c>
      <c r="K572" s="466">
        <v>0</v>
      </c>
      <c r="L572" s="466">
        <v>0</v>
      </c>
      <c r="M572" s="466">
        <v>0</v>
      </c>
      <c r="N572" s="466">
        <v>0</v>
      </c>
      <c r="O572" s="767">
        <v>0</v>
      </c>
      <c r="P572" s="466">
        <v>0</v>
      </c>
      <c r="Q572" s="466">
        <v>0</v>
      </c>
      <c r="R572" s="466">
        <v>0</v>
      </c>
      <c r="S572" s="767">
        <v>0</v>
      </c>
      <c r="T572" s="466">
        <v>4.7707319263148484</v>
      </c>
      <c r="U572" s="767">
        <v>4.7707319263148484</v>
      </c>
      <c r="V572" s="466">
        <v>4.1407720533872805</v>
      </c>
      <c r="W572" s="767">
        <v>4.1672008386699257</v>
      </c>
      <c r="X572" s="378"/>
      <c r="Y572" s="180"/>
      <c r="Z572" s="180"/>
      <c r="AA572" s="180"/>
      <c r="AB572" s="180"/>
    </row>
    <row r="573" spans="1:28" x14ac:dyDescent="0.2">
      <c r="A573" s="636"/>
      <c r="B573" s="388" t="s">
        <v>240</v>
      </c>
      <c r="C573" s="391"/>
      <c r="D573" s="391"/>
      <c r="E573" s="391"/>
      <c r="F573" s="391"/>
      <c r="G573" s="391"/>
      <c r="H573" s="391"/>
      <c r="I573" s="765"/>
      <c r="J573" s="391"/>
      <c r="K573" s="391"/>
      <c r="L573" s="391"/>
      <c r="M573" s="391"/>
      <c r="N573" s="391"/>
      <c r="O573" s="765"/>
      <c r="P573" s="391"/>
      <c r="Q573" s="391"/>
      <c r="R573" s="391"/>
      <c r="S573" s="765"/>
      <c r="T573" s="391">
        <v>25590717</v>
      </c>
      <c r="U573" s="765">
        <v>25590717</v>
      </c>
      <c r="V573" s="391"/>
      <c r="W573" s="765">
        <v>25590717</v>
      </c>
      <c r="X573" s="378"/>
      <c r="Y573" s="180"/>
      <c r="Z573" s="180"/>
      <c r="AA573" s="180"/>
      <c r="AB573" s="180"/>
    </row>
    <row r="574" spans="1:28" s="203" customFormat="1" x14ac:dyDescent="0.2">
      <c r="A574" s="636"/>
      <c r="B574" s="389" t="s">
        <v>163</v>
      </c>
      <c r="C574" s="392"/>
      <c r="D574" s="392"/>
      <c r="E574" s="392"/>
      <c r="F574" s="392"/>
      <c r="G574" s="392"/>
      <c r="H574" s="392"/>
      <c r="I574" s="766"/>
      <c r="J574" s="392"/>
      <c r="K574" s="392"/>
      <c r="L574" s="392"/>
      <c r="M574" s="392"/>
      <c r="N574" s="392"/>
      <c r="O574" s="766"/>
      <c r="P574" s="392"/>
      <c r="Q574" s="392"/>
      <c r="R574" s="392"/>
      <c r="S574" s="766"/>
      <c r="T574" s="392">
        <v>27287237</v>
      </c>
      <c r="U574" s="766">
        <v>27287237</v>
      </c>
      <c r="V574" s="392"/>
      <c r="W574" s="766">
        <v>27287237</v>
      </c>
      <c r="X574" s="378"/>
      <c r="Y574" s="180"/>
      <c r="Z574" s="180"/>
      <c r="AA574" s="180"/>
      <c r="AB574" s="180"/>
    </row>
    <row r="575" spans="1:28" s="202" customFormat="1" x14ac:dyDescent="0.2">
      <c r="A575" s="636"/>
      <c r="B575" s="639" t="s">
        <v>59</v>
      </c>
      <c r="C575" s="466">
        <v>0</v>
      </c>
      <c r="D575" s="466">
        <v>0</v>
      </c>
      <c r="E575" s="466">
        <v>0</v>
      </c>
      <c r="F575" s="466">
        <v>0</v>
      </c>
      <c r="G575" s="466">
        <v>0</v>
      </c>
      <c r="H575" s="466">
        <v>0</v>
      </c>
      <c r="I575" s="767">
        <v>0</v>
      </c>
      <c r="J575" s="466">
        <v>0</v>
      </c>
      <c r="K575" s="466">
        <v>0</v>
      </c>
      <c r="L575" s="466">
        <v>0</v>
      </c>
      <c r="M575" s="466">
        <v>0</v>
      </c>
      <c r="N575" s="466">
        <v>0</v>
      </c>
      <c r="O575" s="767">
        <v>0</v>
      </c>
      <c r="P575" s="466">
        <v>0</v>
      </c>
      <c r="Q575" s="466">
        <v>0</v>
      </c>
      <c r="R575" s="466">
        <v>0</v>
      </c>
      <c r="S575" s="767">
        <v>0</v>
      </c>
      <c r="T575" s="466">
        <v>6.6294351971459022</v>
      </c>
      <c r="U575" s="767">
        <v>6.6294351971459022</v>
      </c>
      <c r="V575" s="466">
        <v>0</v>
      </c>
      <c r="W575" s="767">
        <v>6.6294351971459022</v>
      </c>
      <c r="X575" s="378"/>
      <c r="Y575" s="180"/>
      <c r="Z575" s="180"/>
      <c r="AA575" s="180"/>
      <c r="AB575" s="180"/>
    </row>
    <row r="576" spans="1:28" x14ac:dyDescent="0.2">
      <c r="A576" s="636"/>
      <c r="B576" s="388" t="s">
        <v>159</v>
      </c>
      <c r="C576" s="391"/>
      <c r="D576" s="391"/>
      <c r="E576" s="391"/>
      <c r="F576" s="391"/>
      <c r="G576" s="391"/>
      <c r="H576" s="391"/>
      <c r="I576" s="765"/>
      <c r="J576" s="391"/>
      <c r="K576" s="391"/>
      <c r="L576" s="391"/>
      <c r="M576" s="391"/>
      <c r="N576" s="391"/>
      <c r="O576" s="765"/>
      <c r="P576" s="391"/>
      <c r="Q576" s="391"/>
      <c r="R576" s="391"/>
      <c r="S576" s="765"/>
      <c r="T576" s="391">
        <v>347490</v>
      </c>
      <c r="U576" s="765">
        <v>347490</v>
      </c>
      <c r="V576" s="391"/>
      <c r="W576" s="765">
        <v>347490</v>
      </c>
      <c r="X576" s="378"/>
      <c r="Y576" s="180"/>
      <c r="Z576" s="180"/>
      <c r="AA576" s="180"/>
      <c r="AB576" s="180"/>
    </row>
    <row r="577" spans="1:28" s="203" customFormat="1" x14ac:dyDescent="0.2">
      <c r="A577" s="636"/>
      <c r="B577" s="389" t="s">
        <v>100</v>
      </c>
      <c r="C577" s="392"/>
      <c r="D577" s="392"/>
      <c r="E577" s="392"/>
      <c r="F577" s="392"/>
      <c r="G577" s="392"/>
      <c r="H577" s="392"/>
      <c r="I577" s="766"/>
      <c r="J577" s="392"/>
      <c r="K577" s="392"/>
      <c r="L577" s="392"/>
      <c r="M577" s="392"/>
      <c r="N577" s="392"/>
      <c r="O577" s="766"/>
      <c r="P577" s="392"/>
      <c r="Q577" s="392"/>
      <c r="R577" s="392"/>
      <c r="S577" s="766"/>
      <c r="T577" s="392">
        <v>296208</v>
      </c>
      <c r="U577" s="766">
        <v>296208</v>
      </c>
      <c r="V577" s="392"/>
      <c r="W577" s="766">
        <v>296208</v>
      </c>
      <c r="X577" s="378"/>
      <c r="Y577" s="180"/>
      <c r="Z577" s="180"/>
      <c r="AA577" s="180"/>
      <c r="AB577" s="180"/>
    </row>
    <row r="578" spans="1:28" s="202" customFormat="1" x14ac:dyDescent="0.2">
      <c r="A578" s="636"/>
      <c r="B578" s="639" t="s">
        <v>110</v>
      </c>
      <c r="C578" s="466">
        <v>0</v>
      </c>
      <c r="D578" s="466">
        <v>0</v>
      </c>
      <c r="E578" s="466">
        <v>0</v>
      </c>
      <c r="F578" s="466">
        <v>0</v>
      </c>
      <c r="G578" s="466">
        <v>0</v>
      </c>
      <c r="H578" s="466">
        <v>0</v>
      </c>
      <c r="I578" s="767">
        <v>0</v>
      </c>
      <c r="J578" s="466">
        <v>0</v>
      </c>
      <c r="K578" s="466">
        <v>0</v>
      </c>
      <c r="L578" s="466">
        <v>0</v>
      </c>
      <c r="M578" s="466">
        <v>0</v>
      </c>
      <c r="N578" s="466">
        <v>0</v>
      </c>
      <c r="O578" s="767">
        <v>0</v>
      </c>
      <c r="P578" s="466">
        <v>0</v>
      </c>
      <c r="Q578" s="466">
        <v>0</v>
      </c>
      <c r="R578" s="466">
        <v>0</v>
      </c>
      <c r="S578" s="767">
        <v>0</v>
      </c>
      <c r="T578" s="466">
        <v>-14.757834757834759</v>
      </c>
      <c r="U578" s="767">
        <v>-14.757834757834759</v>
      </c>
      <c r="V578" s="466">
        <v>0</v>
      </c>
      <c r="W578" s="767">
        <v>-14.757834757834759</v>
      </c>
      <c r="X578" s="378"/>
      <c r="Y578" s="180"/>
      <c r="Z578" s="180"/>
      <c r="AA578" s="180"/>
      <c r="AB578" s="180"/>
    </row>
    <row r="579" spans="1:28" x14ac:dyDescent="0.2">
      <c r="A579" s="636"/>
      <c r="B579" s="388" t="s">
        <v>161</v>
      </c>
      <c r="C579" s="391">
        <v>0</v>
      </c>
      <c r="D579" s="391">
        <v>0</v>
      </c>
      <c r="E579" s="391">
        <v>0</v>
      </c>
      <c r="F579" s="391"/>
      <c r="G579" s="391">
        <v>0</v>
      </c>
      <c r="H579" s="391">
        <v>0</v>
      </c>
      <c r="I579" s="765">
        <v>0</v>
      </c>
      <c r="J579" s="391"/>
      <c r="K579" s="391">
        <v>0</v>
      </c>
      <c r="L579" s="391">
        <v>0</v>
      </c>
      <c r="M579" s="391">
        <v>0</v>
      </c>
      <c r="N579" s="391">
        <v>0</v>
      </c>
      <c r="O579" s="765">
        <v>0</v>
      </c>
      <c r="P579" s="391"/>
      <c r="Q579" s="391"/>
      <c r="R579" s="391"/>
      <c r="S579" s="765"/>
      <c r="T579" s="391">
        <v>25938207</v>
      </c>
      <c r="U579" s="765">
        <v>25938207</v>
      </c>
      <c r="V579" s="391">
        <v>0</v>
      </c>
      <c r="W579" s="765">
        <v>25938207</v>
      </c>
      <c r="X579" s="378"/>
      <c r="Y579" s="180"/>
      <c r="Z579" s="180"/>
      <c r="AA579" s="180"/>
      <c r="AB579" s="180"/>
    </row>
    <row r="580" spans="1:28" s="203" customFormat="1" x14ac:dyDescent="0.2">
      <c r="A580" s="636"/>
      <c r="B580" s="389" t="s">
        <v>102</v>
      </c>
      <c r="C580" s="392">
        <v>0</v>
      </c>
      <c r="D580" s="392">
        <v>0</v>
      </c>
      <c r="E580" s="392">
        <v>0</v>
      </c>
      <c r="F580" s="392"/>
      <c r="G580" s="392">
        <v>0</v>
      </c>
      <c r="H580" s="392">
        <v>0</v>
      </c>
      <c r="I580" s="766">
        <v>0</v>
      </c>
      <c r="J580" s="392"/>
      <c r="K580" s="392">
        <v>0</v>
      </c>
      <c r="L580" s="392">
        <v>0</v>
      </c>
      <c r="M580" s="392">
        <v>0</v>
      </c>
      <c r="N580" s="392">
        <v>0</v>
      </c>
      <c r="O580" s="766">
        <v>0</v>
      </c>
      <c r="P580" s="392"/>
      <c r="Q580" s="392"/>
      <c r="R580" s="392"/>
      <c r="S580" s="766"/>
      <c r="T580" s="392">
        <v>27583445</v>
      </c>
      <c r="U580" s="766">
        <v>27583445</v>
      </c>
      <c r="V580" s="392">
        <v>0</v>
      </c>
      <c r="W580" s="766">
        <v>27583445</v>
      </c>
      <c r="X580" s="378"/>
      <c r="Y580" s="180"/>
      <c r="Z580" s="180"/>
      <c r="AA580" s="180"/>
      <c r="AB580" s="180"/>
    </row>
    <row r="581" spans="1:28" s="202" customFormat="1" x14ac:dyDescent="0.2">
      <c r="A581" s="636"/>
      <c r="B581" s="639" t="s">
        <v>183</v>
      </c>
      <c r="C581" s="466">
        <v>0</v>
      </c>
      <c r="D581" s="466">
        <v>0</v>
      </c>
      <c r="E581" s="466">
        <v>0</v>
      </c>
      <c r="F581" s="466">
        <v>0</v>
      </c>
      <c r="G581" s="466">
        <v>0</v>
      </c>
      <c r="H581" s="466">
        <v>0</v>
      </c>
      <c r="I581" s="767">
        <v>0</v>
      </c>
      <c r="J581" s="466">
        <v>0</v>
      </c>
      <c r="K581" s="466">
        <v>0</v>
      </c>
      <c r="L581" s="466">
        <v>0</v>
      </c>
      <c r="M581" s="466">
        <v>0</v>
      </c>
      <c r="N581" s="466">
        <v>0</v>
      </c>
      <c r="O581" s="767">
        <v>0</v>
      </c>
      <c r="P581" s="466">
        <v>0</v>
      </c>
      <c r="Q581" s="466">
        <v>0</v>
      </c>
      <c r="R581" s="466">
        <v>0</v>
      </c>
      <c r="S581" s="767">
        <v>0</v>
      </c>
      <c r="T581" s="466">
        <v>6.3429133709974632</v>
      </c>
      <c r="U581" s="767">
        <v>6.3429133709974632</v>
      </c>
      <c r="V581" s="466">
        <v>0</v>
      </c>
      <c r="W581" s="767">
        <v>6.3429133709974632</v>
      </c>
      <c r="X581" s="378"/>
      <c r="Y581" s="180"/>
      <c r="Z581" s="180"/>
      <c r="AA581" s="180"/>
      <c r="AB581" s="180"/>
    </row>
    <row r="582" spans="1:28" x14ac:dyDescent="0.2">
      <c r="A582" s="636"/>
      <c r="B582" s="388" t="s">
        <v>78</v>
      </c>
      <c r="C582" s="391">
        <v>27688422</v>
      </c>
      <c r="D582" s="391">
        <v>38041247</v>
      </c>
      <c r="E582" s="391"/>
      <c r="F582" s="391"/>
      <c r="G582" s="391"/>
      <c r="H582" s="391"/>
      <c r="I582" s="765">
        <v>65729669</v>
      </c>
      <c r="J582" s="391"/>
      <c r="K582" s="391"/>
      <c r="L582" s="391"/>
      <c r="M582" s="391"/>
      <c r="N582" s="391"/>
      <c r="O582" s="765"/>
      <c r="P582" s="391"/>
      <c r="Q582" s="391"/>
      <c r="R582" s="391"/>
      <c r="S582" s="765"/>
      <c r="T582" s="391"/>
      <c r="U582" s="765"/>
      <c r="V582" s="391">
        <v>24145660</v>
      </c>
      <c r="W582" s="765">
        <v>89875329</v>
      </c>
      <c r="X582" s="378"/>
      <c r="Y582" s="180"/>
      <c r="Z582" s="180"/>
      <c r="AA582" s="180"/>
      <c r="AB582" s="180"/>
    </row>
    <row r="583" spans="1:28" s="203" customFormat="1" x14ac:dyDescent="0.2">
      <c r="A583" s="636"/>
      <c r="B583" s="389" t="s">
        <v>80</v>
      </c>
      <c r="C583" s="392">
        <v>28277765</v>
      </c>
      <c r="D583" s="392">
        <v>38068870</v>
      </c>
      <c r="E583" s="392"/>
      <c r="F583" s="392"/>
      <c r="G583" s="392"/>
      <c r="H583" s="392"/>
      <c r="I583" s="766">
        <v>66346635</v>
      </c>
      <c r="J583" s="392"/>
      <c r="K583" s="392"/>
      <c r="L583" s="392"/>
      <c r="M583" s="392"/>
      <c r="N583" s="392"/>
      <c r="O583" s="766"/>
      <c r="P583" s="392"/>
      <c r="Q583" s="392"/>
      <c r="R583" s="392"/>
      <c r="S583" s="766"/>
      <c r="T583" s="392"/>
      <c r="U583" s="766"/>
      <c r="V583" s="392">
        <v>24145660</v>
      </c>
      <c r="W583" s="766">
        <v>90492295</v>
      </c>
      <c r="X583" s="378"/>
      <c r="Y583" s="180"/>
      <c r="Z583" s="180"/>
      <c r="AA583" s="180"/>
      <c r="AB583" s="180"/>
    </row>
    <row r="584" spans="1:28" s="202" customFormat="1" x14ac:dyDescent="0.2">
      <c r="A584" s="636"/>
      <c r="B584" s="639" t="s">
        <v>215</v>
      </c>
      <c r="C584" s="466">
        <v>2.128481717015148</v>
      </c>
      <c r="D584" s="466">
        <v>7.261328736147897E-2</v>
      </c>
      <c r="E584" s="466">
        <v>0</v>
      </c>
      <c r="F584" s="466">
        <v>0</v>
      </c>
      <c r="G584" s="466">
        <v>0</v>
      </c>
      <c r="H584" s="466">
        <v>0</v>
      </c>
      <c r="I584" s="767">
        <v>0.93864157447681662</v>
      </c>
      <c r="J584" s="466">
        <v>0</v>
      </c>
      <c r="K584" s="466">
        <v>0</v>
      </c>
      <c r="L584" s="466">
        <v>0</v>
      </c>
      <c r="M584" s="466">
        <v>0</v>
      </c>
      <c r="N584" s="466">
        <v>0</v>
      </c>
      <c r="O584" s="767">
        <v>0</v>
      </c>
      <c r="P584" s="466">
        <v>0</v>
      </c>
      <c r="Q584" s="466">
        <v>0</v>
      </c>
      <c r="R584" s="466">
        <v>0</v>
      </c>
      <c r="S584" s="767">
        <v>0</v>
      </c>
      <c r="T584" s="466">
        <v>0</v>
      </c>
      <c r="U584" s="767">
        <v>0</v>
      </c>
      <c r="V584" s="466">
        <v>0</v>
      </c>
      <c r="W584" s="767">
        <v>0.68646869709928959</v>
      </c>
      <c r="X584" s="378"/>
      <c r="Y584" s="180"/>
      <c r="Z584" s="180"/>
      <c r="AA584" s="180"/>
      <c r="AB584" s="180"/>
    </row>
    <row r="585" spans="1:28" x14ac:dyDescent="0.2">
      <c r="A585" s="636"/>
      <c r="B585" s="388" t="s">
        <v>81</v>
      </c>
      <c r="C585" s="391">
        <v>56637249</v>
      </c>
      <c r="D585" s="391">
        <v>42179650</v>
      </c>
      <c r="E585" s="391"/>
      <c r="F585" s="391"/>
      <c r="G585" s="391"/>
      <c r="H585" s="391"/>
      <c r="I585" s="765">
        <v>98816899</v>
      </c>
      <c r="J585" s="391"/>
      <c r="K585" s="391"/>
      <c r="L585" s="391"/>
      <c r="M585" s="391"/>
      <c r="N585" s="391"/>
      <c r="O585" s="765"/>
      <c r="P585" s="391"/>
      <c r="Q585" s="391"/>
      <c r="R585" s="391"/>
      <c r="S585" s="765"/>
      <c r="T585" s="391"/>
      <c r="U585" s="765"/>
      <c r="V585" s="391"/>
      <c r="W585" s="765">
        <v>98816899</v>
      </c>
      <c r="X585" s="378"/>
      <c r="Y585" s="180"/>
      <c r="Z585" s="180"/>
      <c r="AA585" s="180"/>
      <c r="AB585" s="180"/>
    </row>
    <row r="586" spans="1:28" s="203" customFormat="1" x14ac:dyDescent="0.2">
      <c r="A586" s="636"/>
      <c r="B586" s="389" t="s">
        <v>318</v>
      </c>
      <c r="C586" s="392">
        <v>60279736</v>
      </c>
      <c r="D586" s="392">
        <v>43801240</v>
      </c>
      <c r="E586" s="392"/>
      <c r="F586" s="392"/>
      <c r="G586" s="392"/>
      <c r="H586" s="392"/>
      <c r="I586" s="766">
        <v>104080976</v>
      </c>
      <c r="J586" s="392"/>
      <c r="K586" s="392"/>
      <c r="L586" s="392"/>
      <c r="M586" s="392"/>
      <c r="N586" s="392"/>
      <c r="O586" s="766"/>
      <c r="P586" s="392"/>
      <c r="Q586" s="392"/>
      <c r="R586" s="392"/>
      <c r="S586" s="766"/>
      <c r="T586" s="392"/>
      <c r="U586" s="766"/>
      <c r="V586" s="392"/>
      <c r="W586" s="766">
        <v>104080976</v>
      </c>
      <c r="X586" s="378"/>
      <c r="Y586" s="180"/>
      <c r="Z586" s="180"/>
      <c r="AA586" s="180"/>
      <c r="AB586" s="180"/>
    </row>
    <row r="587" spans="1:28" s="202" customFormat="1" x14ac:dyDescent="0.2">
      <c r="A587" s="636"/>
      <c r="B587" s="639" t="s">
        <v>236</v>
      </c>
      <c r="C587" s="466">
        <v>6.4312569277508516</v>
      </c>
      <c r="D587" s="466">
        <v>3.8444842477355787</v>
      </c>
      <c r="E587" s="466">
        <v>0</v>
      </c>
      <c r="F587" s="466">
        <v>0</v>
      </c>
      <c r="G587" s="466">
        <v>0</v>
      </c>
      <c r="H587" s="466">
        <v>0</v>
      </c>
      <c r="I587" s="767">
        <v>5.3271019969974969</v>
      </c>
      <c r="J587" s="466">
        <v>0</v>
      </c>
      <c r="K587" s="466">
        <v>0</v>
      </c>
      <c r="L587" s="466">
        <v>0</v>
      </c>
      <c r="M587" s="466">
        <v>0</v>
      </c>
      <c r="N587" s="466">
        <v>0</v>
      </c>
      <c r="O587" s="767">
        <v>0</v>
      </c>
      <c r="P587" s="466">
        <v>0</v>
      </c>
      <c r="Q587" s="466">
        <v>0</v>
      </c>
      <c r="R587" s="466">
        <v>0</v>
      </c>
      <c r="S587" s="767">
        <v>0</v>
      </c>
      <c r="T587" s="466">
        <v>0</v>
      </c>
      <c r="U587" s="767">
        <v>0</v>
      </c>
      <c r="V587" s="466">
        <v>0</v>
      </c>
      <c r="W587" s="767">
        <v>5.3271019969974969</v>
      </c>
      <c r="X587" s="378"/>
      <c r="Y587" s="180"/>
      <c r="Z587" s="180"/>
      <c r="AA587" s="180"/>
      <c r="AB587" s="180"/>
    </row>
    <row r="588" spans="1:28" x14ac:dyDescent="0.2">
      <c r="A588" s="636"/>
      <c r="B588" s="388" t="s">
        <v>19</v>
      </c>
      <c r="C588" s="391">
        <v>1755954559</v>
      </c>
      <c r="D588" s="391">
        <v>601410593</v>
      </c>
      <c r="E588" s="391">
        <v>609586758</v>
      </c>
      <c r="F588" s="391"/>
      <c r="G588" s="391">
        <v>56676241</v>
      </c>
      <c r="H588" s="391">
        <v>20164136</v>
      </c>
      <c r="I588" s="765">
        <v>3043792287</v>
      </c>
      <c r="J588" s="391"/>
      <c r="K588" s="391">
        <v>0</v>
      </c>
      <c r="L588" s="391">
        <v>0</v>
      </c>
      <c r="M588" s="391">
        <v>9236616</v>
      </c>
      <c r="N588" s="391">
        <v>877687882</v>
      </c>
      <c r="O588" s="765">
        <v>886924498</v>
      </c>
      <c r="P588" s="391"/>
      <c r="Q588" s="391"/>
      <c r="R588" s="391"/>
      <c r="S588" s="765"/>
      <c r="T588" s="391">
        <v>0</v>
      </c>
      <c r="U588" s="765">
        <v>0</v>
      </c>
      <c r="V588" s="391">
        <v>81831969</v>
      </c>
      <c r="W588" s="765">
        <v>4012548754</v>
      </c>
      <c r="X588" s="378"/>
      <c r="Y588" s="180"/>
      <c r="Z588" s="180"/>
      <c r="AA588" s="180"/>
      <c r="AB588" s="180"/>
    </row>
    <row r="589" spans="1:28" s="203" customFormat="1" x14ac:dyDescent="0.2">
      <c r="A589" s="636"/>
      <c r="B589" s="389" t="s">
        <v>21</v>
      </c>
      <c r="C589" s="392">
        <v>1776568435</v>
      </c>
      <c r="D589" s="392">
        <v>612675375</v>
      </c>
      <c r="E589" s="392">
        <v>647301055</v>
      </c>
      <c r="F589" s="392"/>
      <c r="G589" s="392">
        <v>59386252</v>
      </c>
      <c r="H589" s="392">
        <v>20977455</v>
      </c>
      <c r="I589" s="766">
        <v>3116908572</v>
      </c>
      <c r="J589" s="392"/>
      <c r="K589" s="392">
        <v>0</v>
      </c>
      <c r="L589" s="392">
        <v>0</v>
      </c>
      <c r="M589" s="392">
        <v>9926746</v>
      </c>
      <c r="N589" s="392">
        <v>863364584</v>
      </c>
      <c r="O589" s="766">
        <v>873291330</v>
      </c>
      <c r="P589" s="392"/>
      <c r="Q589" s="392"/>
      <c r="R589" s="392"/>
      <c r="S589" s="766"/>
      <c r="T589" s="392">
        <v>0</v>
      </c>
      <c r="U589" s="766">
        <v>0</v>
      </c>
      <c r="V589" s="392">
        <v>92014576</v>
      </c>
      <c r="W589" s="766">
        <v>4082214478</v>
      </c>
      <c r="X589" s="378"/>
      <c r="Y589" s="180"/>
      <c r="Z589" s="180"/>
      <c r="AA589" s="180"/>
      <c r="AB589" s="180"/>
    </row>
    <row r="590" spans="1:28" s="212" customFormat="1" ht="13.5" thickBot="1" x14ac:dyDescent="0.25">
      <c r="A590" s="640"/>
      <c r="B590" s="777" t="s">
        <v>23</v>
      </c>
      <c r="C590" s="778">
        <v>1.1739413126806317</v>
      </c>
      <c r="D590" s="778">
        <v>1.8730601241671179</v>
      </c>
      <c r="E590" s="778">
        <v>6.1868629042627594</v>
      </c>
      <c r="F590" s="778">
        <v>0</v>
      </c>
      <c r="G590" s="778">
        <v>4.7815644654344664</v>
      </c>
      <c r="H590" s="778">
        <v>4.0334929302202687</v>
      </c>
      <c r="I590" s="779">
        <v>2.4021443681383503</v>
      </c>
      <c r="J590" s="778">
        <v>0</v>
      </c>
      <c r="K590" s="778">
        <v>0</v>
      </c>
      <c r="L590" s="778">
        <v>0</v>
      </c>
      <c r="M590" s="778">
        <v>7.4716757738981467</v>
      </c>
      <c r="N590" s="778">
        <v>-1.631935257823236</v>
      </c>
      <c r="O590" s="779">
        <v>-1.5371283610659721</v>
      </c>
      <c r="P590" s="778">
        <v>0</v>
      </c>
      <c r="Q590" s="778">
        <v>0</v>
      </c>
      <c r="R590" s="778">
        <v>0</v>
      </c>
      <c r="S590" s="779">
        <v>0</v>
      </c>
      <c r="T590" s="778">
        <v>0</v>
      </c>
      <c r="U590" s="779">
        <v>0</v>
      </c>
      <c r="V590" s="778">
        <v>12.443311733095411</v>
      </c>
      <c r="W590" s="779">
        <v>1.7361963248559198</v>
      </c>
      <c r="X590" s="378"/>
      <c r="Y590" s="180"/>
      <c r="Z590" s="180"/>
      <c r="AA590" s="180"/>
      <c r="AB590" s="180"/>
    </row>
    <row r="591" spans="1:28" ht="13.5" thickTop="1" x14ac:dyDescent="0.2">
      <c r="A591" s="230" t="s">
        <v>157</v>
      </c>
      <c r="B591" s="780" t="s">
        <v>190</v>
      </c>
      <c r="C591" s="781">
        <v>78213821</v>
      </c>
      <c r="D591" s="781"/>
      <c r="E591" s="781">
        <v>51457526</v>
      </c>
      <c r="F591" s="781"/>
      <c r="G591" s="781">
        <v>29009145</v>
      </c>
      <c r="H591" s="781">
        <v>55709603</v>
      </c>
      <c r="I591" s="782">
        <v>214390095</v>
      </c>
      <c r="J591" s="781">
        <v>15398877</v>
      </c>
      <c r="K591" s="781"/>
      <c r="L591" s="781">
        <v>22642868</v>
      </c>
      <c r="M591" s="781">
        <v>30439493</v>
      </c>
      <c r="N591" s="781"/>
      <c r="O591" s="782">
        <v>68481238</v>
      </c>
      <c r="P591" s="781"/>
      <c r="Q591" s="781"/>
      <c r="R591" s="781"/>
      <c r="S591" s="782"/>
      <c r="T591" s="781"/>
      <c r="U591" s="782"/>
      <c r="V591" s="781"/>
      <c r="W591" s="782">
        <v>282871333</v>
      </c>
      <c r="X591" s="378"/>
      <c r="Y591" s="180"/>
      <c r="Z591" s="180"/>
      <c r="AA591" s="180"/>
      <c r="AB591" s="180"/>
    </row>
    <row r="592" spans="1:28" s="203" customFormat="1" x14ac:dyDescent="0.2">
      <c r="A592" s="636"/>
      <c r="B592" s="389" t="s">
        <v>4</v>
      </c>
      <c r="C592" s="392">
        <v>66460225</v>
      </c>
      <c r="D592" s="392"/>
      <c r="E592" s="392">
        <v>45819526</v>
      </c>
      <c r="F592" s="392"/>
      <c r="G592" s="392">
        <v>26116968</v>
      </c>
      <c r="H592" s="392">
        <v>50222475</v>
      </c>
      <c r="I592" s="766">
        <v>188619194</v>
      </c>
      <c r="J592" s="392">
        <v>14246880</v>
      </c>
      <c r="K592" s="392"/>
      <c r="L592" s="392">
        <v>20740270</v>
      </c>
      <c r="M592" s="392">
        <v>28336561</v>
      </c>
      <c r="N592" s="392"/>
      <c r="O592" s="766">
        <v>63323711</v>
      </c>
      <c r="P592" s="392"/>
      <c r="Q592" s="392"/>
      <c r="R592" s="392">
        <v>7890076</v>
      </c>
      <c r="S592" s="766">
        <v>7890076</v>
      </c>
      <c r="T592" s="392">
        <v>1088360</v>
      </c>
      <c r="U592" s="766">
        <v>1088360</v>
      </c>
      <c r="V592" s="392"/>
      <c r="W592" s="766">
        <v>260921341</v>
      </c>
      <c r="X592" s="378"/>
      <c r="Y592" s="180"/>
      <c r="Z592" s="180"/>
      <c r="AA592" s="180"/>
      <c r="AB592" s="180"/>
    </row>
    <row r="593" spans="1:28" s="202" customFormat="1" x14ac:dyDescent="0.2">
      <c r="A593" s="637"/>
      <c r="B593" s="639" t="s">
        <v>116</v>
      </c>
      <c r="C593" s="466">
        <v>-15.027517962586179</v>
      </c>
      <c r="D593" s="466">
        <v>0</v>
      </c>
      <c r="E593" s="466">
        <v>-10.956609145958552</v>
      </c>
      <c r="F593" s="466">
        <v>0</v>
      </c>
      <c r="G593" s="466">
        <v>-9.969880187782163</v>
      </c>
      <c r="H593" s="466">
        <v>-9.8495191215058568</v>
      </c>
      <c r="I593" s="767">
        <v>-12.02056512918659</v>
      </c>
      <c r="J593" s="466">
        <v>-7.4810455333853234</v>
      </c>
      <c r="K593" s="466">
        <v>0</v>
      </c>
      <c r="L593" s="466">
        <v>-8.4026369804390502</v>
      </c>
      <c r="M593" s="466">
        <v>-6.9085644757618008</v>
      </c>
      <c r="N593" s="466">
        <v>0</v>
      </c>
      <c r="O593" s="767">
        <v>-7.531299302737489</v>
      </c>
      <c r="P593" s="466">
        <v>0</v>
      </c>
      <c r="Q593" s="466">
        <v>0</v>
      </c>
      <c r="R593" s="466">
        <v>0</v>
      </c>
      <c r="S593" s="767">
        <v>0</v>
      </c>
      <c r="T593" s="466">
        <v>0</v>
      </c>
      <c r="U593" s="767">
        <v>0</v>
      </c>
      <c r="V593" s="466">
        <v>0</v>
      </c>
      <c r="W593" s="767">
        <v>-7.7597088991693628</v>
      </c>
      <c r="X593" s="378"/>
      <c r="Y593" s="180"/>
      <c r="Z593" s="180"/>
      <c r="AA593" s="180"/>
      <c r="AB593" s="180"/>
    </row>
    <row r="594" spans="1:28" x14ac:dyDescent="0.2">
      <c r="A594" s="636"/>
      <c r="B594" s="388" t="s">
        <v>195</v>
      </c>
      <c r="C594" s="391">
        <v>41447586</v>
      </c>
      <c r="D594" s="391"/>
      <c r="E594" s="391">
        <v>2995951</v>
      </c>
      <c r="F594" s="391"/>
      <c r="G594" s="391">
        <v>100000</v>
      </c>
      <c r="H594" s="391">
        <v>700000</v>
      </c>
      <c r="I594" s="765">
        <v>45243537</v>
      </c>
      <c r="J594" s="391">
        <v>207500</v>
      </c>
      <c r="K594" s="391"/>
      <c r="L594" s="391"/>
      <c r="M594" s="391">
        <v>480000</v>
      </c>
      <c r="N594" s="391"/>
      <c r="O594" s="765">
        <v>687500</v>
      </c>
      <c r="P594" s="391"/>
      <c r="Q594" s="391"/>
      <c r="R594" s="391"/>
      <c r="S594" s="765"/>
      <c r="T594" s="391"/>
      <c r="U594" s="765"/>
      <c r="V594" s="391">
        <v>333500</v>
      </c>
      <c r="W594" s="765">
        <v>46264537</v>
      </c>
      <c r="X594" s="378"/>
      <c r="Y594" s="180"/>
      <c r="Z594" s="180"/>
      <c r="AA594" s="180"/>
      <c r="AB594" s="180"/>
    </row>
    <row r="595" spans="1:28" s="203" customFormat="1" x14ac:dyDescent="0.2">
      <c r="A595" s="636"/>
      <c r="B595" s="389" t="s">
        <v>242</v>
      </c>
      <c r="C595" s="392">
        <v>41642415</v>
      </c>
      <c r="D595" s="392"/>
      <c r="E595" s="392">
        <v>2746041</v>
      </c>
      <c r="F595" s="392"/>
      <c r="G595" s="392">
        <v>100000</v>
      </c>
      <c r="H595" s="392">
        <v>700000</v>
      </c>
      <c r="I595" s="766">
        <v>45188456</v>
      </c>
      <c r="J595" s="392">
        <v>207500</v>
      </c>
      <c r="K595" s="392"/>
      <c r="L595" s="392"/>
      <c r="M595" s="392">
        <v>480000</v>
      </c>
      <c r="N595" s="392"/>
      <c r="O595" s="766">
        <v>687500</v>
      </c>
      <c r="P595" s="392"/>
      <c r="Q595" s="392"/>
      <c r="R595" s="392"/>
      <c r="S595" s="766"/>
      <c r="T595" s="392"/>
      <c r="U595" s="766"/>
      <c r="V595" s="392">
        <v>305478</v>
      </c>
      <c r="W595" s="766">
        <v>46181434</v>
      </c>
      <c r="X595" s="378"/>
      <c r="Y595" s="180"/>
      <c r="Z595" s="180"/>
      <c r="AA595" s="180"/>
      <c r="AB595" s="180"/>
    </row>
    <row r="596" spans="1:28" s="202" customFormat="1" x14ac:dyDescent="0.2">
      <c r="A596" s="636"/>
      <c r="B596" s="639" t="s">
        <v>244</v>
      </c>
      <c r="C596" s="466">
        <v>0.47006115145041255</v>
      </c>
      <c r="D596" s="466">
        <v>0</v>
      </c>
      <c r="E596" s="466">
        <v>-8.3415917015999259</v>
      </c>
      <c r="F596" s="466">
        <v>0</v>
      </c>
      <c r="G596" s="466">
        <v>0</v>
      </c>
      <c r="H596" s="466">
        <v>0</v>
      </c>
      <c r="I596" s="767">
        <v>-0.12174335529956466</v>
      </c>
      <c r="J596" s="466">
        <v>0</v>
      </c>
      <c r="K596" s="466">
        <v>0</v>
      </c>
      <c r="L596" s="466">
        <v>0</v>
      </c>
      <c r="M596" s="466">
        <v>0</v>
      </c>
      <c r="N596" s="466">
        <v>0</v>
      </c>
      <c r="O596" s="767">
        <v>0</v>
      </c>
      <c r="P596" s="466">
        <v>0</v>
      </c>
      <c r="Q596" s="466">
        <v>0</v>
      </c>
      <c r="R596" s="466">
        <v>0</v>
      </c>
      <c r="S596" s="767">
        <v>0</v>
      </c>
      <c r="T596" s="466">
        <v>0</v>
      </c>
      <c r="U596" s="767">
        <v>0</v>
      </c>
      <c r="V596" s="466">
        <v>-8.4023988005997001</v>
      </c>
      <c r="W596" s="767">
        <v>-0.17962570337621667</v>
      </c>
      <c r="X596" s="378"/>
      <c r="Y596" s="180"/>
      <c r="Z596" s="180"/>
      <c r="AA596" s="180"/>
      <c r="AB596" s="180"/>
    </row>
    <row r="597" spans="1:28" x14ac:dyDescent="0.2">
      <c r="A597" s="636"/>
      <c r="B597" s="388" t="s">
        <v>5</v>
      </c>
      <c r="C597" s="391"/>
      <c r="D597" s="391"/>
      <c r="E597" s="391"/>
      <c r="F597" s="391"/>
      <c r="G597" s="391"/>
      <c r="H597" s="391"/>
      <c r="I597" s="765"/>
      <c r="J597" s="391"/>
      <c r="K597" s="391"/>
      <c r="L597" s="391"/>
      <c r="M597" s="391"/>
      <c r="N597" s="391"/>
      <c r="O597" s="765"/>
      <c r="P597" s="391"/>
      <c r="Q597" s="391"/>
      <c r="R597" s="391"/>
      <c r="S597" s="765"/>
      <c r="T597" s="391"/>
      <c r="U597" s="765"/>
      <c r="V597" s="391"/>
      <c r="W597" s="765"/>
      <c r="X597" s="378"/>
      <c r="Y597" s="180"/>
      <c r="Z597" s="180"/>
      <c r="AA597" s="180"/>
      <c r="AB597" s="180"/>
    </row>
    <row r="598" spans="1:28" s="203" customFormat="1" x14ac:dyDescent="0.2">
      <c r="A598" s="636"/>
      <c r="B598" s="389" t="s">
        <v>6</v>
      </c>
      <c r="C598" s="392"/>
      <c r="D598" s="392"/>
      <c r="E598" s="392"/>
      <c r="F598" s="392"/>
      <c r="G598" s="392"/>
      <c r="H598" s="392"/>
      <c r="I598" s="766"/>
      <c r="J598" s="392"/>
      <c r="K598" s="392"/>
      <c r="L598" s="392"/>
      <c r="M598" s="392"/>
      <c r="N598" s="392"/>
      <c r="O598" s="766"/>
      <c r="P598" s="392"/>
      <c r="Q598" s="392"/>
      <c r="R598" s="392"/>
      <c r="S598" s="766"/>
      <c r="T598" s="392"/>
      <c r="U598" s="766"/>
      <c r="V598" s="392"/>
      <c r="W598" s="766"/>
      <c r="X598" s="378"/>
      <c r="Y598" s="180"/>
      <c r="Z598" s="180"/>
      <c r="AA598" s="180"/>
      <c r="AB598" s="180"/>
    </row>
    <row r="599" spans="1:28" s="202" customFormat="1" x14ac:dyDescent="0.2">
      <c r="A599" s="636"/>
      <c r="B599" s="639" t="s">
        <v>298</v>
      </c>
      <c r="C599" s="466">
        <v>0</v>
      </c>
      <c r="D599" s="466">
        <v>0</v>
      </c>
      <c r="E599" s="466">
        <v>0</v>
      </c>
      <c r="F599" s="466">
        <v>0</v>
      </c>
      <c r="G599" s="466">
        <v>0</v>
      </c>
      <c r="H599" s="466">
        <v>0</v>
      </c>
      <c r="I599" s="767">
        <v>0</v>
      </c>
      <c r="J599" s="466">
        <v>0</v>
      </c>
      <c r="K599" s="466">
        <v>0</v>
      </c>
      <c r="L599" s="466">
        <v>0</v>
      </c>
      <c r="M599" s="466">
        <v>0</v>
      </c>
      <c r="N599" s="466">
        <v>0</v>
      </c>
      <c r="O599" s="767">
        <v>0</v>
      </c>
      <c r="P599" s="466">
        <v>0</v>
      </c>
      <c r="Q599" s="466">
        <v>0</v>
      </c>
      <c r="R599" s="466">
        <v>0</v>
      </c>
      <c r="S599" s="767">
        <v>0</v>
      </c>
      <c r="T599" s="466">
        <v>0</v>
      </c>
      <c r="U599" s="767">
        <v>0</v>
      </c>
      <c r="V599" s="466">
        <v>0</v>
      </c>
      <c r="W599" s="767">
        <v>0</v>
      </c>
      <c r="X599" s="378"/>
      <c r="Y599" s="180"/>
      <c r="Z599" s="180"/>
      <c r="AA599" s="180"/>
      <c r="AB599" s="180"/>
    </row>
    <row r="600" spans="1:28" x14ac:dyDescent="0.2">
      <c r="A600" s="636"/>
      <c r="B600" s="388" t="s">
        <v>223</v>
      </c>
      <c r="C600" s="391">
        <v>274842576</v>
      </c>
      <c r="D600" s="391"/>
      <c r="E600" s="391">
        <v>84076531</v>
      </c>
      <c r="F600" s="391"/>
      <c r="G600" s="391">
        <v>48736713</v>
      </c>
      <c r="H600" s="391">
        <v>72581457</v>
      </c>
      <c r="I600" s="765">
        <v>480237277</v>
      </c>
      <c r="J600" s="391">
        <v>16859687</v>
      </c>
      <c r="K600" s="391"/>
      <c r="L600" s="391">
        <v>23823978</v>
      </c>
      <c r="M600" s="391">
        <v>30066309</v>
      </c>
      <c r="N600" s="391"/>
      <c r="O600" s="765">
        <v>70749974</v>
      </c>
      <c r="P600" s="391"/>
      <c r="Q600" s="391"/>
      <c r="R600" s="391"/>
      <c r="S600" s="765"/>
      <c r="T600" s="391">
        <v>0</v>
      </c>
      <c r="U600" s="765">
        <v>0</v>
      </c>
      <c r="V600" s="391"/>
      <c r="W600" s="765">
        <v>550987251</v>
      </c>
      <c r="X600" s="378"/>
      <c r="Y600" s="180"/>
      <c r="Z600" s="180"/>
      <c r="AA600" s="180"/>
      <c r="AB600" s="180"/>
    </row>
    <row r="601" spans="1:28" s="203" customFormat="1" x14ac:dyDescent="0.2">
      <c r="A601" s="636"/>
      <c r="B601" s="389" t="s">
        <v>14</v>
      </c>
      <c r="C601" s="392">
        <v>288649003</v>
      </c>
      <c r="D601" s="392"/>
      <c r="E601" s="392">
        <v>89336470</v>
      </c>
      <c r="F601" s="392"/>
      <c r="G601" s="392">
        <v>49900498</v>
      </c>
      <c r="H601" s="392">
        <v>78473773</v>
      </c>
      <c r="I601" s="766">
        <v>506359744</v>
      </c>
      <c r="J601" s="392">
        <v>17872334</v>
      </c>
      <c r="K601" s="392"/>
      <c r="L601" s="392">
        <v>23473602</v>
      </c>
      <c r="M601" s="392">
        <v>31190106</v>
      </c>
      <c r="N601" s="392"/>
      <c r="O601" s="766">
        <v>72536042</v>
      </c>
      <c r="P601" s="392"/>
      <c r="Q601" s="392"/>
      <c r="R601" s="392"/>
      <c r="S601" s="766"/>
      <c r="T601" s="392"/>
      <c r="U601" s="766"/>
      <c r="V601" s="392"/>
      <c r="W601" s="766">
        <v>578895786</v>
      </c>
      <c r="X601" s="378"/>
      <c r="Y601" s="180"/>
      <c r="Z601" s="180"/>
      <c r="AA601" s="180"/>
      <c r="AB601" s="180"/>
    </row>
    <row r="602" spans="1:28" s="202" customFormat="1" x14ac:dyDescent="0.2">
      <c r="A602" s="636"/>
      <c r="B602" s="639" t="s">
        <v>247</v>
      </c>
      <c r="C602" s="466">
        <v>5.0233945558711399</v>
      </c>
      <c r="D602" s="466">
        <v>0</v>
      </c>
      <c r="E602" s="466">
        <v>6.2561322850011498</v>
      </c>
      <c r="F602" s="466">
        <v>0</v>
      </c>
      <c r="G602" s="466">
        <v>2.3879021139566801</v>
      </c>
      <c r="H602" s="466">
        <v>8.1182112395456603</v>
      </c>
      <c r="I602" s="767">
        <v>5.4394917369148752</v>
      </c>
      <c r="J602" s="466">
        <v>6.0063214696690395</v>
      </c>
      <c r="K602" s="466">
        <v>0</v>
      </c>
      <c r="L602" s="466">
        <v>-1.4706863815942073</v>
      </c>
      <c r="M602" s="466">
        <v>3.7377284986993247</v>
      </c>
      <c r="N602" s="466">
        <v>0</v>
      </c>
      <c r="O602" s="767">
        <v>2.52447866623951</v>
      </c>
      <c r="P602" s="466">
        <v>0</v>
      </c>
      <c r="Q602" s="466">
        <v>0</v>
      </c>
      <c r="R602" s="466">
        <v>0</v>
      </c>
      <c r="S602" s="767">
        <v>0</v>
      </c>
      <c r="T602" s="466">
        <v>0</v>
      </c>
      <c r="U602" s="767">
        <v>0</v>
      </c>
      <c r="V602" s="466">
        <v>0</v>
      </c>
      <c r="W602" s="767">
        <v>5.0651870709073812</v>
      </c>
      <c r="X602" s="378"/>
      <c r="Y602" s="180"/>
      <c r="Z602" s="180"/>
      <c r="AA602" s="180"/>
      <c r="AB602" s="180"/>
    </row>
    <row r="603" spans="1:28" x14ac:dyDescent="0.2">
      <c r="A603" s="636"/>
      <c r="B603" s="388" t="s">
        <v>225</v>
      </c>
      <c r="C603" s="391">
        <v>10615063</v>
      </c>
      <c r="D603" s="391"/>
      <c r="E603" s="391">
        <v>2446270</v>
      </c>
      <c r="F603" s="391"/>
      <c r="G603" s="391">
        <v>2165312</v>
      </c>
      <c r="H603" s="391">
        <v>881554</v>
      </c>
      <c r="I603" s="765">
        <v>16108199</v>
      </c>
      <c r="J603" s="391">
        <v>0</v>
      </c>
      <c r="K603" s="391"/>
      <c r="L603" s="391">
        <v>0</v>
      </c>
      <c r="M603" s="391">
        <v>212880</v>
      </c>
      <c r="N603" s="391"/>
      <c r="O603" s="765">
        <v>212880</v>
      </c>
      <c r="P603" s="391"/>
      <c r="Q603" s="391"/>
      <c r="R603" s="391"/>
      <c r="S603" s="765"/>
      <c r="T603" s="391"/>
      <c r="U603" s="765"/>
      <c r="V603" s="391"/>
      <c r="W603" s="765">
        <v>16321079</v>
      </c>
      <c r="X603" s="378"/>
      <c r="Y603" s="180"/>
      <c r="Z603" s="180"/>
      <c r="AA603" s="180"/>
      <c r="AB603" s="180"/>
    </row>
    <row r="604" spans="1:28" s="203" customFormat="1" x14ac:dyDescent="0.2">
      <c r="A604" s="636"/>
      <c r="B604" s="389" t="s">
        <v>166</v>
      </c>
      <c r="C604" s="392">
        <v>10614313</v>
      </c>
      <c r="D604" s="392"/>
      <c r="E604" s="392">
        <v>2454065</v>
      </c>
      <c r="F604" s="392"/>
      <c r="G604" s="392">
        <v>2158358</v>
      </c>
      <c r="H604" s="392">
        <v>878670</v>
      </c>
      <c r="I604" s="766">
        <v>16105406</v>
      </c>
      <c r="J604" s="392">
        <v>0</v>
      </c>
      <c r="K604" s="392"/>
      <c r="L604" s="392"/>
      <c r="M604" s="392">
        <v>213285</v>
      </c>
      <c r="N604" s="392"/>
      <c r="O604" s="766">
        <v>213285</v>
      </c>
      <c r="P604" s="392"/>
      <c r="Q604" s="392"/>
      <c r="R604" s="392"/>
      <c r="S604" s="766"/>
      <c r="T604" s="392"/>
      <c r="U604" s="766"/>
      <c r="V604" s="392"/>
      <c r="W604" s="766">
        <v>16318691</v>
      </c>
      <c r="X604" s="378"/>
      <c r="Y604" s="180"/>
      <c r="Z604" s="180"/>
      <c r="AA604" s="180"/>
      <c r="AB604" s="180"/>
    </row>
    <row r="605" spans="1:28" s="202" customFormat="1" x14ac:dyDescent="0.2">
      <c r="A605" s="636"/>
      <c r="B605" s="639" t="s">
        <v>175</v>
      </c>
      <c r="C605" s="466">
        <v>-7.0654314533978744E-3</v>
      </c>
      <c r="D605" s="466">
        <v>0</v>
      </c>
      <c r="E605" s="466">
        <v>0.31864839122419031</v>
      </c>
      <c r="F605" s="466">
        <v>0</v>
      </c>
      <c r="G605" s="466">
        <v>-0.32115464191765436</v>
      </c>
      <c r="H605" s="466">
        <v>-0.32714955635162452</v>
      </c>
      <c r="I605" s="767">
        <v>-1.7338996122409463E-2</v>
      </c>
      <c r="J605" s="466">
        <v>0</v>
      </c>
      <c r="K605" s="466">
        <v>0</v>
      </c>
      <c r="L605" s="466">
        <v>0</v>
      </c>
      <c r="M605" s="466">
        <v>0.19024802705749716</v>
      </c>
      <c r="N605" s="466">
        <v>0</v>
      </c>
      <c r="O605" s="767">
        <v>0.19024802705749716</v>
      </c>
      <c r="P605" s="466">
        <v>0</v>
      </c>
      <c r="Q605" s="466">
        <v>0</v>
      </c>
      <c r="R605" s="466">
        <v>0</v>
      </c>
      <c r="S605" s="767">
        <v>0</v>
      </c>
      <c r="T605" s="466">
        <v>0</v>
      </c>
      <c r="U605" s="767">
        <v>0</v>
      </c>
      <c r="V605" s="466">
        <v>0</v>
      </c>
      <c r="W605" s="767">
        <v>-1.463138558424967E-2</v>
      </c>
      <c r="X605" s="378"/>
      <c r="Y605" s="180"/>
      <c r="Z605" s="180"/>
      <c r="AA605" s="180"/>
      <c r="AB605" s="180"/>
    </row>
    <row r="606" spans="1:28" x14ac:dyDescent="0.2">
      <c r="A606" s="636"/>
      <c r="B606" s="768" t="s">
        <v>317</v>
      </c>
      <c r="C606" s="765">
        <v>285457639</v>
      </c>
      <c r="D606" s="765"/>
      <c r="E606" s="765">
        <v>86522801</v>
      </c>
      <c r="F606" s="765"/>
      <c r="G606" s="765">
        <v>50902025</v>
      </c>
      <c r="H606" s="765">
        <v>73463011</v>
      </c>
      <c r="I606" s="765">
        <v>496345476</v>
      </c>
      <c r="J606" s="765">
        <v>16859687</v>
      </c>
      <c r="K606" s="765"/>
      <c r="L606" s="765">
        <v>23823978</v>
      </c>
      <c r="M606" s="765">
        <v>30279189</v>
      </c>
      <c r="N606" s="765"/>
      <c r="O606" s="765">
        <v>70962854</v>
      </c>
      <c r="P606" s="765"/>
      <c r="Q606" s="765"/>
      <c r="R606" s="765">
        <v>0</v>
      </c>
      <c r="S606" s="765">
        <v>0</v>
      </c>
      <c r="T606" s="765">
        <v>0</v>
      </c>
      <c r="U606" s="765">
        <v>0</v>
      </c>
      <c r="V606" s="765">
        <v>0</v>
      </c>
      <c r="W606" s="765">
        <v>567308330</v>
      </c>
      <c r="X606" s="378"/>
      <c r="Y606" s="180"/>
      <c r="Z606" s="180"/>
      <c r="AA606" s="180"/>
      <c r="AB606" s="180"/>
    </row>
    <row r="607" spans="1:28" s="203" customFormat="1" x14ac:dyDescent="0.2">
      <c r="A607" s="636"/>
      <c r="B607" s="769" t="s">
        <v>70</v>
      </c>
      <c r="C607" s="766">
        <v>299263316</v>
      </c>
      <c r="D607" s="766"/>
      <c r="E607" s="766">
        <v>91790535</v>
      </c>
      <c r="F607" s="766"/>
      <c r="G607" s="766">
        <v>52058856</v>
      </c>
      <c r="H607" s="766">
        <v>79352443</v>
      </c>
      <c r="I607" s="766">
        <v>522465150</v>
      </c>
      <c r="J607" s="766">
        <v>17872334</v>
      </c>
      <c r="K607" s="766"/>
      <c r="L607" s="766">
        <v>23473602</v>
      </c>
      <c r="M607" s="766">
        <v>31403391</v>
      </c>
      <c r="N607" s="766"/>
      <c r="O607" s="766">
        <v>72749327</v>
      </c>
      <c r="P607" s="766"/>
      <c r="Q607" s="766"/>
      <c r="R607" s="766">
        <v>0</v>
      </c>
      <c r="S607" s="766">
        <v>0</v>
      </c>
      <c r="T607" s="766">
        <v>0</v>
      </c>
      <c r="U607" s="766">
        <v>0</v>
      </c>
      <c r="V607" s="766">
        <v>0</v>
      </c>
      <c r="W607" s="766">
        <v>595214477</v>
      </c>
      <c r="X607" s="378"/>
      <c r="Y607" s="180"/>
      <c r="Z607" s="180"/>
      <c r="AA607" s="180"/>
      <c r="AB607" s="180"/>
    </row>
    <row r="608" spans="1:28" s="202" customFormat="1" x14ac:dyDescent="0.2">
      <c r="A608" s="636"/>
      <c r="B608" s="770" t="s">
        <v>57</v>
      </c>
      <c r="C608" s="767">
        <v>4.836331249835637</v>
      </c>
      <c r="D608" s="767">
        <v>0</v>
      </c>
      <c r="E608" s="767">
        <v>6.088261058492547</v>
      </c>
      <c r="F608" s="767">
        <v>0</v>
      </c>
      <c r="G608" s="767">
        <v>2.2726620404590974</v>
      </c>
      <c r="H608" s="767">
        <v>8.0168671550911519</v>
      </c>
      <c r="I608" s="767">
        <v>5.262397918984961</v>
      </c>
      <c r="J608" s="767">
        <v>6.0063214696690395</v>
      </c>
      <c r="K608" s="767">
        <v>0</v>
      </c>
      <c r="L608" s="767">
        <v>-1.4706863815942073</v>
      </c>
      <c r="M608" s="767">
        <v>3.7127876839766087</v>
      </c>
      <c r="N608" s="767">
        <v>0</v>
      </c>
      <c r="O608" s="767">
        <v>2.5174762559578001</v>
      </c>
      <c r="P608" s="767">
        <v>0</v>
      </c>
      <c r="Q608" s="767">
        <v>0</v>
      </c>
      <c r="R608" s="767">
        <v>0</v>
      </c>
      <c r="S608" s="767">
        <v>0</v>
      </c>
      <c r="T608" s="767">
        <v>0</v>
      </c>
      <c r="U608" s="767">
        <v>0</v>
      </c>
      <c r="V608" s="767">
        <v>0</v>
      </c>
      <c r="W608" s="767">
        <v>4.9190441113388905</v>
      </c>
      <c r="X608" s="378"/>
      <c r="Y608" s="180"/>
      <c r="Z608" s="180"/>
      <c r="AA608" s="180"/>
      <c r="AB608" s="180"/>
    </row>
    <row r="609" spans="1:28" x14ac:dyDescent="0.2">
      <c r="A609" s="636"/>
      <c r="B609" s="388" t="s">
        <v>72</v>
      </c>
      <c r="C609" s="391"/>
      <c r="D609" s="391"/>
      <c r="E609" s="391"/>
      <c r="F609" s="391"/>
      <c r="G609" s="391"/>
      <c r="H609" s="391"/>
      <c r="I609" s="765"/>
      <c r="J609" s="391"/>
      <c r="K609" s="391"/>
      <c r="L609" s="391"/>
      <c r="M609" s="391"/>
      <c r="N609" s="391"/>
      <c r="O609" s="765"/>
      <c r="P609" s="391"/>
      <c r="Q609" s="391"/>
      <c r="R609" s="391"/>
      <c r="S609" s="765"/>
      <c r="T609" s="391"/>
      <c r="U609" s="765"/>
      <c r="V609" s="391">
        <v>112414115</v>
      </c>
      <c r="W609" s="765">
        <v>112414115</v>
      </c>
      <c r="X609" s="378"/>
      <c r="Y609" s="180"/>
      <c r="Z609" s="180"/>
      <c r="AA609" s="180"/>
      <c r="AB609" s="180"/>
    </row>
    <row r="610" spans="1:28" s="203" customFormat="1" x14ac:dyDescent="0.2">
      <c r="A610" s="636"/>
      <c r="B610" s="389" t="s">
        <v>74</v>
      </c>
      <c r="C610" s="392"/>
      <c r="D610" s="392"/>
      <c r="E610" s="392"/>
      <c r="F610" s="392"/>
      <c r="G610" s="392"/>
      <c r="H610" s="392"/>
      <c r="I610" s="766"/>
      <c r="J610" s="392"/>
      <c r="K610" s="392"/>
      <c r="L610" s="392"/>
      <c r="M610" s="392"/>
      <c r="N610" s="392"/>
      <c r="O610" s="766"/>
      <c r="P610" s="392"/>
      <c r="Q610" s="392"/>
      <c r="R610" s="392"/>
      <c r="S610" s="766"/>
      <c r="T610" s="392"/>
      <c r="U610" s="766"/>
      <c r="V610" s="392">
        <v>110976718</v>
      </c>
      <c r="W610" s="766">
        <v>110976718</v>
      </c>
      <c r="X610" s="378"/>
      <c r="Y610" s="180"/>
      <c r="Z610" s="180"/>
      <c r="AA610" s="180"/>
      <c r="AB610" s="180"/>
    </row>
    <row r="611" spans="1:28" s="202" customFormat="1" x14ac:dyDescent="0.2">
      <c r="A611" s="636"/>
      <c r="B611" s="639" t="s">
        <v>76</v>
      </c>
      <c r="C611" s="466">
        <v>0</v>
      </c>
      <c r="D611" s="466">
        <v>0</v>
      </c>
      <c r="E611" s="466">
        <v>0</v>
      </c>
      <c r="F611" s="466">
        <v>0</v>
      </c>
      <c r="G611" s="466">
        <v>0</v>
      </c>
      <c r="H611" s="466">
        <v>0</v>
      </c>
      <c r="I611" s="767">
        <v>0</v>
      </c>
      <c r="J611" s="466">
        <v>0</v>
      </c>
      <c r="K611" s="466">
        <v>0</v>
      </c>
      <c r="L611" s="466">
        <v>0</v>
      </c>
      <c r="M611" s="466">
        <v>0</v>
      </c>
      <c r="N611" s="466">
        <v>0</v>
      </c>
      <c r="O611" s="767">
        <v>0</v>
      </c>
      <c r="P611" s="466">
        <v>0</v>
      </c>
      <c r="Q611" s="466">
        <v>0</v>
      </c>
      <c r="R611" s="466">
        <v>0</v>
      </c>
      <c r="S611" s="767">
        <v>0</v>
      </c>
      <c r="T611" s="466">
        <v>0</v>
      </c>
      <c r="U611" s="767">
        <v>0</v>
      </c>
      <c r="V611" s="466">
        <v>-1.2786623814989782</v>
      </c>
      <c r="W611" s="767">
        <v>-1.2786623814989782</v>
      </c>
      <c r="X611" s="378"/>
      <c r="Y611" s="180"/>
      <c r="Z611" s="180"/>
      <c r="AA611" s="180"/>
      <c r="AB611" s="180"/>
    </row>
    <row r="612" spans="1:28" x14ac:dyDescent="0.2">
      <c r="A612" s="636"/>
      <c r="B612" s="388" t="s">
        <v>240</v>
      </c>
      <c r="C612" s="391"/>
      <c r="D612" s="391"/>
      <c r="E612" s="391"/>
      <c r="F612" s="391"/>
      <c r="G612" s="391"/>
      <c r="H612" s="391"/>
      <c r="I612" s="765"/>
      <c r="J612" s="391"/>
      <c r="K612" s="391"/>
      <c r="L612" s="391"/>
      <c r="M612" s="391"/>
      <c r="N612" s="391"/>
      <c r="O612" s="765"/>
      <c r="P612" s="391"/>
      <c r="Q612" s="391"/>
      <c r="R612" s="391"/>
      <c r="S612" s="765"/>
      <c r="T612" s="391"/>
      <c r="U612" s="765"/>
      <c r="V612" s="391"/>
      <c r="W612" s="765"/>
      <c r="X612" s="378"/>
      <c r="Y612" s="180"/>
      <c r="Z612" s="180"/>
      <c r="AA612" s="180"/>
      <c r="AB612" s="180"/>
    </row>
    <row r="613" spans="1:28" s="203" customFormat="1" x14ac:dyDescent="0.2">
      <c r="A613" s="636"/>
      <c r="B613" s="389" t="s">
        <v>163</v>
      </c>
      <c r="C613" s="392"/>
      <c r="D613" s="392"/>
      <c r="E613" s="392"/>
      <c r="F613" s="392"/>
      <c r="G613" s="392"/>
      <c r="H613" s="392"/>
      <c r="I613" s="766"/>
      <c r="J613" s="392"/>
      <c r="K613" s="392"/>
      <c r="L613" s="392"/>
      <c r="M613" s="392"/>
      <c r="N613" s="392"/>
      <c r="O613" s="766"/>
      <c r="P613" s="392"/>
      <c r="Q613" s="392"/>
      <c r="R613" s="392"/>
      <c r="S613" s="766"/>
      <c r="T613" s="392"/>
      <c r="U613" s="766"/>
      <c r="V613" s="392"/>
      <c r="W613" s="766"/>
      <c r="X613" s="378"/>
      <c r="Y613" s="180"/>
      <c r="Z613" s="180"/>
      <c r="AA613" s="180"/>
      <c r="AB613" s="180"/>
    </row>
    <row r="614" spans="1:28" s="202" customFormat="1" x14ac:dyDescent="0.2">
      <c r="A614" s="636"/>
      <c r="B614" s="639" t="s">
        <v>59</v>
      </c>
      <c r="C614" s="466">
        <v>0</v>
      </c>
      <c r="D614" s="466">
        <v>0</v>
      </c>
      <c r="E614" s="466">
        <v>0</v>
      </c>
      <c r="F614" s="466">
        <v>0</v>
      </c>
      <c r="G614" s="466">
        <v>0</v>
      </c>
      <c r="H614" s="466">
        <v>0</v>
      </c>
      <c r="I614" s="767">
        <v>0</v>
      </c>
      <c r="J614" s="466">
        <v>0</v>
      </c>
      <c r="K614" s="466">
        <v>0</v>
      </c>
      <c r="L614" s="466">
        <v>0</v>
      </c>
      <c r="M614" s="466">
        <v>0</v>
      </c>
      <c r="N614" s="466">
        <v>0</v>
      </c>
      <c r="O614" s="767">
        <v>0</v>
      </c>
      <c r="P614" s="466">
        <v>0</v>
      </c>
      <c r="Q614" s="466">
        <v>0</v>
      </c>
      <c r="R614" s="466">
        <v>0</v>
      </c>
      <c r="S614" s="767">
        <v>0</v>
      </c>
      <c r="T614" s="466">
        <v>0</v>
      </c>
      <c r="U614" s="767">
        <v>0</v>
      </c>
      <c r="V614" s="466">
        <v>0</v>
      </c>
      <c r="W614" s="767">
        <v>0</v>
      </c>
      <c r="X614" s="378"/>
      <c r="Y614" s="180"/>
      <c r="Z614" s="180"/>
      <c r="AA614" s="180"/>
      <c r="AB614" s="180"/>
    </row>
    <row r="615" spans="1:28" x14ac:dyDescent="0.2">
      <c r="A615" s="636"/>
      <c r="B615" s="388" t="s">
        <v>159</v>
      </c>
      <c r="C615" s="391"/>
      <c r="D615" s="391"/>
      <c r="E615" s="391"/>
      <c r="F615" s="391"/>
      <c r="G615" s="391"/>
      <c r="H615" s="391"/>
      <c r="I615" s="765"/>
      <c r="J615" s="391"/>
      <c r="K615" s="391"/>
      <c r="L615" s="391"/>
      <c r="M615" s="391"/>
      <c r="N615" s="391"/>
      <c r="O615" s="765"/>
      <c r="P615" s="391"/>
      <c r="Q615" s="391"/>
      <c r="R615" s="391"/>
      <c r="S615" s="765"/>
      <c r="T615" s="391"/>
      <c r="U615" s="765"/>
      <c r="V615" s="391"/>
      <c r="W615" s="765"/>
      <c r="X615" s="378"/>
      <c r="Y615" s="180"/>
      <c r="Z615" s="180"/>
      <c r="AA615" s="180"/>
      <c r="AB615" s="180"/>
    </row>
    <row r="616" spans="1:28" s="203" customFormat="1" x14ac:dyDescent="0.2">
      <c r="A616" s="636"/>
      <c r="B616" s="389" t="s">
        <v>100</v>
      </c>
      <c r="C616" s="392"/>
      <c r="D616" s="392"/>
      <c r="E616" s="392"/>
      <c r="F616" s="392"/>
      <c r="G616" s="392"/>
      <c r="H616" s="392"/>
      <c r="I616" s="766"/>
      <c r="J616" s="392"/>
      <c r="K616" s="392"/>
      <c r="L616" s="392"/>
      <c r="M616" s="392"/>
      <c r="N616" s="392"/>
      <c r="O616" s="766"/>
      <c r="P616" s="392"/>
      <c r="Q616" s="392"/>
      <c r="R616" s="392"/>
      <c r="S616" s="766"/>
      <c r="T616" s="392"/>
      <c r="U616" s="766"/>
      <c r="V616" s="392"/>
      <c r="W616" s="766"/>
      <c r="X616" s="378"/>
      <c r="Y616" s="180"/>
      <c r="Z616" s="180"/>
      <c r="AA616" s="180"/>
      <c r="AB616" s="180"/>
    </row>
    <row r="617" spans="1:28" s="202" customFormat="1" x14ac:dyDescent="0.2">
      <c r="A617" s="636"/>
      <c r="B617" s="639" t="s">
        <v>110</v>
      </c>
      <c r="C617" s="466">
        <v>0</v>
      </c>
      <c r="D617" s="466">
        <v>0</v>
      </c>
      <c r="E617" s="466">
        <v>0</v>
      </c>
      <c r="F617" s="466">
        <v>0</v>
      </c>
      <c r="G617" s="466">
        <v>0</v>
      </c>
      <c r="H617" s="466">
        <v>0</v>
      </c>
      <c r="I617" s="767">
        <v>0</v>
      </c>
      <c r="J617" s="466">
        <v>0</v>
      </c>
      <c r="K617" s="466">
        <v>0</v>
      </c>
      <c r="L617" s="466">
        <v>0</v>
      </c>
      <c r="M617" s="466">
        <v>0</v>
      </c>
      <c r="N617" s="466">
        <v>0</v>
      </c>
      <c r="O617" s="767">
        <v>0</v>
      </c>
      <c r="P617" s="466">
        <v>0</v>
      </c>
      <c r="Q617" s="466">
        <v>0</v>
      </c>
      <c r="R617" s="466">
        <v>0</v>
      </c>
      <c r="S617" s="767">
        <v>0</v>
      </c>
      <c r="T617" s="466">
        <v>0</v>
      </c>
      <c r="U617" s="767">
        <v>0</v>
      </c>
      <c r="V617" s="466">
        <v>0</v>
      </c>
      <c r="W617" s="767">
        <v>0</v>
      </c>
      <c r="X617" s="378"/>
      <c r="Y617" s="180"/>
      <c r="Z617" s="180"/>
      <c r="AA617" s="180"/>
      <c r="AB617" s="180"/>
    </row>
    <row r="618" spans="1:28" x14ac:dyDescent="0.2">
      <c r="A618" s="636"/>
      <c r="B618" s="388" t="s">
        <v>161</v>
      </c>
      <c r="C618" s="391">
        <v>0</v>
      </c>
      <c r="D618" s="391"/>
      <c r="E618" s="391">
        <v>0</v>
      </c>
      <c r="F618" s="391"/>
      <c r="G618" s="391">
        <v>0</v>
      </c>
      <c r="H618" s="391">
        <v>0</v>
      </c>
      <c r="I618" s="765">
        <v>0</v>
      </c>
      <c r="J618" s="391">
        <v>0</v>
      </c>
      <c r="K618" s="391"/>
      <c r="L618" s="391">
        <v>0</v>
      </c>
      <c r="M618" s="391">
        <v>0</v>
      </c>
      <c r="N618" s="391"/>
      <c r="O618" s="765">
        <v>0</v>
      </c>
      <c r="P618" s="391"/>
      <c r="Q618" s="391"/>
      <c r="R618" s="391">
        <v>0</v>
      </c>
      <c r="S618" s="765">
        <v>0</v>
      </c>
      <c r="T618" s="391">
        <v>0</v>
      </c>
      <c r="U618" s="765">
        <v>0</v>
      </c>
      <c r="V618" s="391">
        <v>0</v>
      </c>
      <c r="W618" s="765">
        <v>0</v>
      </c>
      <c r="X618" s="378"/>
      <c r="Y618" s="180"/>
      <c r="Z618" s="180"/>
      <c r="AA618" s="180"/>
      <c r="AB618" s="180"/>
    </row>
    <row r="619" spans="1:28" s="203" customFormat="1" x14ac:dyDescent="0.2">
      <c r="A619" s="636"/>
      <c r="B619" s="389" t="s">
        <v>102</v>
      </c>
      <c r="C619" s="392">
        <v>0</v>
      </c>
      <c r="D619" s="392"/>
      <c r="E619" s="392">
        <v>0</v>
      </c>
      <c r="F619" s="392"/>
      <c r="G619" s="392">
        <v>0</v>
      </c>
      <c r="H619" s="392">
        <v>0</v>
      </c>
      <c r="I619" s="766">
        <v>0</v>
      </c>
      <c r="J619" s="392">
        <v>0</v>
      </c>
      <c r="K619" s="392"/>
      <c r="L619" s="392">
        <v>0</v>
      </c>
      <c r="M619" s="392">
        <v>0</v>
      </c>
      <c r="N619" s="392"/>
      <c r="O619" s="766">
        <v>0</v>
      </c>
      <c r="P619" s="392"/>
      <c r="Q619" s="392"/>
      <c r="R619" s="392">
        <v>0</v>
      </c>
      <c r="S619" s="766">
        <v>0</v>
      </c>
      <c r="T619" s="392">
        <v>0</v>
      </c>
      <c r="U619" s="766">
        <v>0</v>
      </c>
      <c r="V619" s="392">
        <v>0</v>
      </c>
      <c r="W619" s="766">
        <v>0</v>
      </c>
      <c r="X619" s="378"/>
      <c r="Y619" s="180"/>
      <c r="Z619" s="180"/>
      <c r="AA619" s="180"/>
      <c r="AB619" s="180"/>
    </row>
    <row r="620" spans="1:28" s="202" customFormat="1" x14ac:dyDescent="0.2">
      <c r="A620" s="636"/>
      <c r="B620" s="639" t="s">
        <v>183</v>
      </c>
      <c r="C620" s="466">
        <v>0</v>
      </c>
      <c r="D620" s="466">
        <v>0</v>
      </c>
      <c r="E620" s="466">
        <v>0</v>
      </c>
      <c r="F620" s="466">
        <v>0</v>
      </c>
      <c r="G620" s="466">
        <v>0</v>
      </c>
      <c r="H620" s="466">
        <v>0</v>
      </c>
      <c r="I620" s="767">
        <v>0</v>
      </c>
      <c r="J620" s="466">
        <v>0</v>
      </c>
      <c r="K620" s="466">
        <v>0</v>
      </c>
      <c r="L620" s="466">
        <v>0</v>
      </c>
      <c r="M620" s="466">
        <v>0</v>
      </c>
      <c r="N620" s="466">
        <v>0</v>
      </c>
      <c r="O620" s="767">
        <v>0</v>
      </c>
      <c r="P620" s="466">
        <v>0</v>
      </c>
      <c r="Q620" s="466">
        <v>0</v>
      </c>
      <c r="R620" s="466">
        <v>0</v>
      </c>
      <c r="S620" s="767">
        <v>0</v>
      </c>
      <c r="T620" s="466">
        <v>0</v>
      </c>
      <c r="U620" s="767">
        <v>0</v>
      </c>
      <c r="V620" s="466">
        <v>0</v>
      </c>
      <c r="W620" s="767">
        <v>0</v>
      </c>
      <c r="X620" s="378"/>
      <c r="Y620" s="180"/>
      <c r="Z620" s="180"/>
      <c r="AA620" s="180"/>
      <c r="AB620" s="180"/>
    </row>
    <row r="621" spans="1:28" x14ac:dyDescent="0.2">
      <c r="A621" s="636"/>
      <c r="B621" s="388" t="s">
        <v>78</v>
      </c>
      <c r="C621" s="391">
        <v>72875934</v>
      </c>
      <c r="D621" s="391"/>
      <c r="E621" s="391">
        <v>21295197</v>
      </c>
      <c r="F621" s="391"/>
      <c r="G621" s="391"/>
      <c r="H621" s="391"/>
      <c r="I621" s="765">
        <v>94171131</v>
      </c>
      <c r="J621" s="391"/>
      <c r="K621" s="391"/>
      <c r="L621" s="391"/>
      <c r="M621" s="391"/>
      <c r="N621" s="391"/>
      <c r="O621" s="765"/>
      <c r="P621" s="391"/>
      <c r="Q621" s="391"/>
      <c r="R621" s="391"/>
      <c r="S621" s="765"/>
      <c r="T621" s="391">
        <v>8152571</v>
      </c>
      <c r="U621" s="765">
        <v>8152571</v>
      </c>
      <c r="V621" s="391"/>
      <c r="W621" s="765">
        <v>102323702</v>
      </c>
      <c r="X621" s="378"/>
      <c r="Y621" s="180"/>
      <c r="Z621" s="180"/>
      <c r="AA621" s="180"/>
      <c r="AB621" s="180"/>
    </row>
    <row r="622" spans="1:28" s="203" customFormat="1" x14ac:dyDescent="0.2">
      <c r="A622" s="636"/>
      <c r="B622" s="389" t="s">
        <v>80</v>
      </c>
      <c r="C622" s="392">
        <v>70301529</v>
      </c>
      <c r="D622" s="392"/>
      <c r="E622" s="392">
        <v>21346463</v>
      </c>
      <c r="F622" s="392"/>
      <c r="G622" s="392"/>
      <c r="H622" s="392"/>
      <c r="I622" s="766">
        <v>91647992</v>
      </c>
      <c r="J622" s="392"/>
      <c r="K622" s="392"/>
      <c r="L622" s="392"/>
      <c r="M622" s="392"/>
      <c r="N622" s="392"/>
      <c r="O622" s="766"/>
      <c r="P622" s="392"/>
      <c r="Q622" s="392"/>
      <c r="R622" s="392"/>
      <c r="S622" s="766"/>
      <c r="T622" s="392">
        <v>7344293</v>
      </c>
      <c r="U622" s="766">
        <v>7344293</v>
      </c>
      <c r="V622" s="392"/>
      <c r="W622" s="766">
        <v>98992285</v>
      </c>
      <c r="X622" s="378"/>
      <c r="Y622" s="180"/>
      <c r="Z622" s="180"/>
      <c r="AA622" s="180"/>
      <c r="AB622" s="180"/>
    </row>
    <row r="623" spans="1:28" s="202" customFormat="1" x14ac:dyDescent="0.2">
      <c r="A623" s="636"/>
      <c r="B623" s="639" t="s">
        <v>215</v>
      </c>
      <c r="C623" s="466">
        <v>-3.5325859425691886</v>
      </c>
      <c r="D623" s="466">
        <v>0</v>
      </c>
      <c r="E623" s="466">
        <v>0.2407397311234078</v>
      </c>
      <c r="F623" s="466">
        <v>0</v>
      </c>
      <c r="G623" s="466">
        <v>0</v>
      </c>
      <c r="H623" s="466">
        <v>0</v>
      </c>
      <c r="I623" s="767">
        <v>-2.6793126228886432</v>
      </c>
      <c r="J623" s="466">
        <v>0</v>
      </c>
      <c r="K623" s="466">
        <v>0</v>
      </c>
      <c r="L623" s="466">
        <v>0</v>
      </c>
      <c r="M623" s="466">
        <v>0</v>
      </c>
      <c r="N623" s="466">
        <v>0</v>
      </c>
      <c r="O623" s="767">
        <v>0</v>
      </c>
      <c r="P623" s="466">
        <v>0</v>
      </c>
      <c r="Q623" s="466">
        <v>0</v>
      </c>
      <c r="R623" s="466">
        <v>0</v>
      </c>
      <c r="S623" s="767">
        <v>0</v>
      </c>
      <c r="T623" s="466">
        <v>-9.9143938764838726</v>
      </c>
      <c r="U623" s="767">
        <v>-9.9143938764838726</v>
      </c>
      <c r="V623" s="466">
        <v>0</v>
      </c>
      <c r="W623" s="767">
        <v>-3.2557627752756639</v>
      </c>
      <c r="X623" s="378"/>
      <c r="Y623" s="180"/>
      <c r="Z623" s="180"/>
      <c r="AA623" s="180"/>
      <c r="AB623" s="180"/>
    </row>
    <row r="624" spans="1:28" x14ac:dyDescent="0.2">
      <c r="A624" s="636"/>
      <c r="B624" s="388" t="s">
        <v>81</v>
      </c>
      <c r="C624" s="391">
        <v>45880496</v>
      </c>
      <c r="D624" s="391"/>
      <c r="E624" s="391">
        <v>8855321</v>
      </c>
      <c r="F624" s="391"/>
      <c r="G624" s="391"/>
      <c r="H624" s="391"/>
      <c r="I624" s="765">
        <v>54735817</v>
      </c>
      <c r="J624" s="391"/>
      <c r="K624" s="391"/>
      <c r="L624" s="391"/>
      <c r="M624" s="391"/>
      <c r="N624" s="391"/>
      <c r="O624" s="765"/>
      <c r="P624" s="391"/>
      <c r="Q624" s="391"/>
      <c r="R624" s="391"/>
      <c r="S624" s="765"/>
      <c r="T624" s="391">
        <v>32324710</v>
      </c>
      <c r="U624" s="765">
        <v>32324710</v>
      </c>
      <c r="V624" s="391"/>
      <c r="W624" s="765">
        <v>87060527</v>
      </c>
      <c r="X624" s="378"/>
      <c r="Y624" s="180"/>
      <c r="Z624" s="180"/>
      <c r="AA624" s="180"/>
      <c r="AB624" s="180"/>
    </row>
    <row r="625" spans="1:28" s="203" customFormat="1" x14ac:dyDescent="0.2">
      <c r="A625" s="636"/>
      <c r="B625" s="389" t="s">
        <v>318</v>
      </c>
      <c r="C625" s="392">
        <v>48091056</v>
      </c>
      <c r="D625" s="392"/>
      <c r="E625" s="392">
        <v>8801006</v>
      </c>
      <c r="F625" s="392"/>
      <c r="G625" s="392"/>
      <c r="H625" s="392"/>
      <c r="I625" s="766">
        <v>56892062</v>
      </c>
      <c r="J625" s="392"/>
      <c r="K625" s="392"/>
      <c r="L625" s="392"/>
      <c r="M625" s="392"/>
      <c r="N625" s="392"/>
      <c r="O625" s="766"/>
      <c r="P625" s="392"/>
      <c r="Q625" s="392"/>
      <c r="R625" s="392"/>
      <c r="S625" s="766"/>
      <c r="T625" s="392">
        <v>32275498</v>
      </c>
      <c r="U625" s="766">
        <v>32275498</v>
      </c>
      <c r="V625" s="392"/>
      <c r="W625" s="766">
        <v>89167560</v>
      </c>
      <c r="X625" s="378"/>
      <c r="Y625" s="180"/>
      <c r="Z625" s="180"/>
      <c r="AA625" s="180"/>
      <c r="AB625" s="180"/>
    </row>
    <row r="626" spans="1:28" s="202" customFormat="1" x14ac:dyDescent="0.2">
      <c r="A626" s="636"/>
      <c r="B626" s="639" t="s">
        <v>236</v>
      </c>
      <c r="C626" s="466">
        <v>4.8180821759206784</v>
      </c>
      <c r="D626" s="466">
        <v>0</v>
      </c>
      <c r="E626" s="466">
        <v>-0.61336003516981485</v>
      </c>
      <c r="F626" s="466">
        <v>0</v>
      </c>
      <c r="G626" s="466">
        <v>0</v>
      </c>
      <c r="H626" s="466">
        <v>0</v>
      </c>
      <c r="I626" s="767">
        <v>3.9393675260204848</v>
      </c>
      <c r="J626" s="466">
        <v>0</v>
      </c>
      <c r="K626" s="466">
        <v>0</v>
      </c>
      <c r="L626" s="466">
        <v>0</v>
      </c>
      <c r="M626" s="466">
        <v>0</v>
      </c>
      <c r="N626" s="466">
        <v>0</v>
      </c>
      <c r="O626" s="767">
        <v>0</v>
      </c>
      <c r="P626" s="466">
        <v>0</v>
      </c>
      <c r="Q626" s="466">
        <v>0</v>
      </c>
      <c r="R626" s="466">
        <v>0</v>
      </c>
      <c r="S626" s="767">
        <v>0</v>
      </c>
      <c r="T626" s="466">
        <v>-0.15224266513141185</v>
      </c>
      <c r="U626" s="767">
        <v>-0.15224266513141185</v>
      </c>
      <c r="V626" s="466">
        <v>0</v>
      </c>
      <c r="W626" s="767">
        <v>2.4201932524483798</v>
      </c>
      <c r="X626" s="378"/>
      <c r="Y626" s="180"/>
      <c r="Z626" s="180"/>
      <c r="AA626" s="180"/>
      <c r="AB626" s="180"/>
    </row>
    <row r="627" spans="1:28" x14ac:dyDescent="0.2">
      <c r="A627" s="636"/>
      <c r="B627" s="388" t="s">
        <v>19</v>
      </c>
      <c r="C627" s="391">
        <v>394503983</v>
      </c>
      <c r="D627" s="391"/>
      <c r="E627" s="391">
        <v>138530008</v>
      </c>
      <c r="F627" s="391"/>
      <c r="G627" s="391">
        <v>77845858</v>
      </c>
      <c r="H627" s="391">
        <v>128991060</v>
      </c>
      <c r="I627" s="765">
        <v>739870909</v>
      </c>
      <c r="J627" s="391">
        <v>32466064</v>
      </c>
      <c r="K627" s="391"/>
      <c r="L627" s="391">
        <v>46466846</v>
      </c>
      <c r="M627" s="391">
        <v>60985802</v>
      </c>
      <c r="N627" s="391"/>
      <c r="O627" s="765">
        <v>139918712</v>
      </c>
      <c r="P627" s="391"/>
      <c r="Q627" s="391"/>
      <c r="R627" s="391">
        <v>0</v>
      </c>
      <c r="S627" s="765">
        <v>0</v>
      </c>
      <c r="T627" s="391">
        <v>0</v>
      </c>
      <c r="U627" s="765">
        <v>0</v>
      </c>
      <c r="V627" s="391">
        <v>333500</v>
      </c>
      <c r="W627" s="765">
        <v>880123121</v>
      </c>
      <c r="X627" s="378"/>
      <c r="Y627" s="180"/>
      <c r="Z627" s="180"/>
      <c r="AA627" s="180"/>
      <c r="AB627" s="180"/>
    </row>
    <row r="628" spans="1:28" s="203" customFormat="1" x14ac:dyDescent="0.2">
      <c r="A628" s="636"/>
      <c r="B628" s="389" t="s">
        <v>21</v>
      </c>
      <c r="C628" s="392">
        <v>396751643</v>
      </c>
      <c r="D628" s="392"/>
      <c r="E628" s="392">
        <v>137902037</v>
      </c>
      <c r="F628" s="392"/>
      <c r="G628" s="392">
        <v>76117466</v>
      </c>
      <c r="H628" s="392">
        <v>129396248</v>
      </c>
      <c r="I628" s="766">
        <v>740167394</v>
      </c>
      <c r="J628" s="392">
        <v>32326714</v>
      </c>
      <c r="K628" s="392"/>
      <c r="L628" s="392">
        <v>44213872</v>
      </c>
      <c r="M628" s="392">
        <v>60006667</v>
      </c>
      <c r="N628" s="392"/>
      <c r="O628" s="766">
        <v>136547253</v>
      </c>
      <c r="P628" s="392"/>
      <c r="Q628" s="392"/>
      <c r="R628" s="392">
        <v>7890076</v>
      </c>
      <c r="S628" s="766">
        <v>7890076</v>
      </c>
      <c r="T628" s="392">
        <v>1088360</v>
      </c>
      <c r="U628" s="766">
        <v>1088360</v>
      </c>
      <c r="V628" s="392">
        <v>305478</v>
      </c>
      <c r="W628" s="766">
        <v>885998561</v>
      </c>
      <c r="X628" s="378"/>
      <c r="Y628" s="180"/>
      <c r="Z628" s="180"/>
      <c r="AA628" s="180"/>
      <c r="AB628" s="180"/>
    </row>
    <row r="629" spans="1:28" s="212" customFormat="1" ht="13.5" thickBot="1" x14ac:dyDescent="0.25">
      <c r="A629" s="640"/>
      <c r="B629" s="639" t="s">
        <v>23</v>
      </c>
      <c r="C629" s="778">
        <v>0.56974329711647043</v>
      </c>
      <c r="D629" s="778">
        <v>0</v>
      </c>
      <c r="E629" s="778">
        <v>-0.45331044808717541</v>
      </c>
      <c r="F629" s="778">
        <v>0</v>
      </c>
      <c r="G629" s="778">
        <v>-2.2202748410840303</v>
      </c>
      <c r="H629" s="778">
        <v>0.3141209941216081</v>
      </c>
      <c r="I629" s="779">
        <v>4.0072531085284233E-2</v>
      </c>
      <c r="J629" s="778">
        <v>-0.42921741298852856</v>
      </c>
      <c r="K629" s="778">
        <v>0</v>
      </c>
      <c r="L629" s="778">
        <v>-4.8485623491639611</v>
      </c>
      <c r="M629" s="778">
        <v>-1.6055130340009303</v>
      </c>
      <c r="N629" s="778">
        <v>0</v>
      </c>
      <c r="O629" s="779">
        <v>-2.4095840733582512</v>
      </c>
      <c r="P629" s="778">
        <v>0</v>
      </c>
      <c r="Q629" s="778">
        <v>0</v>
      </c>
      <c r="R629" s="778">
        <v>0</v>
      </c>
      <c r="S629" s="779">
        <v>0</v>
      </c>
      <c r="T629" s="778">
        <v>0</v>
      </c>
      <c r="U629" s="779">
        <v>0</v>
      </c>
      <c r="V629" s="778">
        <v>-8.4023988005997001</v>
      </c>
      <c r="W629" s="779">
        <v>0.66757023646013269</v>
      </c>
      <c r="X629" s="378"/>
      <c r="Y629" s="180"/>
      <c r="Z629" s="180"/>
      <c r="AA629" s="180"/>
      <c r="AB629" s="180"/>
    </row>
    <row r="630" spans="1:28" ht="13.5" thickTop="1" x14ac:dyDescent="0.2">
      <c r="A630" s="230" t="s">
        <v>7</v>
      </c>
      <c r="B630" s="388"/>
      <c r="C630" s="781">
        <v>6344634812.792016</v>
      </c>
      <c r="D630" s="781">
        <v>1640923550</v>
      </c>
      <c r="E630" s="781">
        <v>3144800312.5566845</v>
      </c>
      <c r="F630" s="781">
        <v>839526351</v>
      </c>
      <c r="G630" s="781">
        <v>532587125.53108239</v>
      </c>
      <c r="H630" s="781">
        <v>386216169</v>
      </c>
      <c r="I630" s="782">
        <v>12888688320.879784</v>
      </c>
      <c r="J630" s="781">
        <v>779286860</v>
      </c>
      <c r="K630" s="781">
        <v>2009809985.7169924</v>
      </c>
      <c r="L630" s="781">
        <v>1323762133.7981791</v>
      </c>
      <c r="M630" s="781">
        <v>510200781.37298346</v>
      </c>
      <c r="N630" s="781">
        <v>502036514</v>
      </c>
      <c r="O630" s="782">
        <v>5125096274.888155</v>
      </c>
      <c r="P630" s="781">
        <v>349869714.96184498</v>
      </c>
      <c r="Q630" s="781">
        <v>152228467</v>
      </c>
      <c r="R630" s="781"/>
      <c r="S630" s="782">
        <v>502098181.96184498</v>
      </c>
      <c r="T630" s="781">
        <v>27154238</v>
      </c>
      <c r="U630" s="782">
        <v>27154238</v>
      </c>
      <c r="V630" s="781"/>
      <c r="W630" s="782">
        <v>18543037015.729782</v>
      </c>
      <c r="X630" s="378"/>
      <c r="Y630" s="180"/>
      <c r="Z630" s="180"/>
      <c r="AA630" s="180"/>
      <c r="AB630" s="180"/>
    </row>
    <row r="631" spans="1:28" x14ac:dyDescent="0.2">
      <c r="A631" s="636" t="s">
        <v>8</v>
      </c>
      <c r="B631" s="389"/>
      <c r="C631" s="392">
        <v>6917298279.6573153</v>
      </c>
      <c r="D631" s="392">
        <v>1704310368</v>
      </c>
      <c r="E631" s="392">
        <v>3270934291.6811047</v>
      </c>
      <c r="F631" s="392">
        <v>882312071</v>
      </c>
      <c r="G631" s="392">
        <v>550323068.69820881</v>
      </c>
      <c r="H631" s="392">
        <v>392094895</v>
      </c>
      <c r="I631" s="766">
        <v>13717272974.036627</v>
      </c>
      <c r="J631" s="392">
        <v>814124019</v>
      </c>
      <c r="K631" s="392">
        <v>2084213357.5668585</v>
      </c>
      <c r="L631" s="392">
        <v>1338490890.9688284</v>
      </c>
      <c r="M631" s="392">
        <v>504117610.42734563</v>
      </c>
      <c r="N631" s="392">
        <v>637540886</v>
      </c>
      <c r="O631" s="766">
        <v>5378486763.9630327</v>
      </c>
      <c r="P631" s="392">
        <v>333809078.03696734</v>
      </c>
      <c r="Q631" s="392">
        <v>155521450</v>
      </c>
      <c r="R631" s="392">
        <v>7890076</v>
      </c>
      <c r="S631" s="766">
        <v>497220604.03696734</v>
      </c>
      <c r="T631" s="392">
        <v>33007464</v>
      </c>
      <c r="U631" s="766">
        <v>33007464</v>
      </c>
      <c r="V631" s="392"/>
      <c r="W631" s="766">
        <v>19625987806.036629</v>
      </c>
      <c r="X631" s="378"/>
      <c r="Y631" s="180"/>
      <c r="Z631" s="180"/>
      <c r="AA631" s="180"/>
      <c r="AB631" s="180"/>
    </row>
    <row r="632" spans="1:28" x14ac:dyDescent="0.2">
      <c r="A632" s="637" t="s">
        <v>117</v>
      </c>
      <c r="B632" s="639"/>
      <c r="C632" s="466">
        <v>9.02594843931284</v>
      </c>
      <c r="D632" s="466">
        <v>3.8628745379393212</v>
      </c>
      <c r="E632" s="466">
        <v>4.0108740329485268</v>
      </c>
      <c r="F632" s="466">
        <v>5.0964117980377726</v>
      </c>
      <c r="G632" s="466">
        <v>3.3301486868351509</v>
      </c>
      <c r="H632" s="466">
        <v>1.5221335800676952</v>
      </c>
      <c r="I632" s="767">
        <v>6.42877407326647</v>
      </c>
      <c r="J632" s="466">
        <v>4.4703896329010346</v>
      </c>
      <c r="K632" s="466">
        <v>3.7020102586127446</v>
      </c>
      <c r="L632" s="466">
        <v>1.1126437895900019</v>
      </c>
      <c r="M632" s="466">
        <v>-1.1923092178078627</v>
      </c>
      <c r="N632" s="466">
        <v>26.99093954747682</v>
      </c>
      <c r="O632" s="767">
        <v>4.9441117880348013</v>
      </c>
      <c r="P632" s="466">
        <v>-4.5904621743637151</v>
      </c>
      <c r="Q632" s="466">
        <v>2.1631847609685249</v>
      </c>
      <c r="R632" s="466">
        <v>0</v>
      </c>
      <c r="S632" s="767">
        <v>-0.97143907309512956</v>
      </c>
      <c r="T632" s="466">
        <v>21.555478743318076</v>
      </c>
      <c r="U632" s="767">
        <v>21.555478743318076</v>
      </c>
      <c r="V632" s="466">
        <v>0</v>
      </c>
      <c r="W632" s="767">
        <v>5.8402018471310582</v>
      </c>
      <c r="X632" s="378"/>
      <c r="Y632" s="180"/>
      <c r="Z632" s="180"/>
      <c r="AA632" s="180"/>
      <c r="AB632" s="180"/>
    </row>
    <row r="633" spans="1:28" x14ac:dyDescent="0.2">
      <c r="A633" s="636" t="s">
        <v>196</v>
      </c>
      <c r="B633" s="388"/>
      <c r="C633" s="391">
        <v>1429607856</v>
      </c>
      <c r="D633" s="391">
        <v>77556827</v>
      </c>
      <c r="E633" s="391">
        <v>53389559</v>
      </c>
      <c r="F633" s="391">
        <v>12803809</v>
      </c>
      <c r="G633" s="391">
        <v>16083092</v>
      </c>
      <c r="H633" s="391">
        <v>6224967</v>
      </c>
      <c r="I633" s="765">
        <v>1595666110</v>
      </c>
      <c r="J633" s="391">
        <v>207500</v>
      </c>
      <c r="K633" s="391">
        <v>70688355.109999999</v>
      </c>
      <c r="L633" s="391">
        <v>103404119.37</v>
      </c>
      <c r="M633" s="391">
        <v>51367304</v>
      </c>
      <c r="N633" s="391">
        <v>0</v>
      </c>
      <c r="O633" s="765">
        <v>225667278.48000002</v>
      </c>
      <c r="P633" s="391">
        <v>596978</v>
      </c>
      <c r="Q633" s="391">
        <v>1338214</v>
      </c>
      <c r="R633" s="391"/>
      <c r="S633" s="765">
        <v>1935192</v>
      </c>
      <c r="T633" s="391"/>
      <c r="U633" s="765"/>
      <c r="V633" s="391">
        <v>317742820.77999997</v>
      </c>
      <c r="W633" s="765">
        <v>2141011401.26</v>
      </c>
      <c r="X633" s="378"/>
      <c r="Y633" s="180"/>
      <c r="Z633" s="180"/>
      <c r="AA633" s="180"/>
      <c r="AB633" s="180"/>
    </row>
    <row r="634" spans="1:28" x14ac:dyDescent="0.2">
      <c r="A634" s="636" t="s">
        <v>243</v>
      </c>
      <c r="B634" s="389"/>
      <c r="C634" s="392">
        <v>1248548988.22</v>
      </c>
      <c r="D634" s="392">
        <v>72953194</v>
      </c>
      <c r="E634" s="392">
        <v>52876281</v>
      </c>
      <c r="F634" s="392">
        <v>12638473</v>
      </c>
      <c r="G634" s="392">
        <v>13134111</v>
      </c>
      <c r="H634" s="392">
        <v>9143377</v>
      </c>
      <c r="I634" s="766">
        <v>1409294424.22</v>
      </c>
      <c r="J634" s="392">
        <v>207500</v>
      </c>
      <c r="K634" s="392">
        <v>68070943.460000008</v>
      </c>
      <c r="L634" s="392">
        <v>88535056.439999998</v>
      </c>
      <c r="M634" s="392">
        <v>48400443.659999996</v>
      </c>
      <c r="N634" s="392"/>
      <c r="O634" s="766">
        <v>205213943.56</v>
      </c>
      <c r="P634" s="392">
        <v>611218</v>
      </c>
      <c r="Q634" s="392">
        <v>1209699</v>
      </c>
      <c r="R634" s="392"/>
      <c r="S634" s="766">
        <v>1820917</v>
      </c>
      <c r="T634" s="392"/>
      <c r="U634" s="766"/>
      <c r="V634" s="392">
        <v>392976574.15999997</v>
      </c>
      <c r="W634" s="766">
        <v>2009305858.9400001</v>
      </c>
      <c r="X634" s="378"/>
      <c r="Y634" s="180"/>
      <c r="Z634" s="180"/>
      <c r="AA634" s="180"/>
      <c r="AB634" s="180"/>
    </row>
    <row r="635" spans="1:28" x14ac:dyDescent="0.2">
      <c r="A635" s="636" t="s">
        <v>297</v>
      </c>
      <c r="B635" s="639"/>
      <c r="C635" s="466">
        <v>-12.664932346314691</v>
      </c>
      <c r="D635" s="466">
        <v>-5.9358191639273743</v>
      </c>
      <c r="E635" s="466">
        <v>-0.96138273028252585</v>
      </c>
      <c r="F635" s="466">
        <v>-1.2913032364041046</v>
      </c>
      <c r="G635" s="466">
        <v>-18.335908294250881</v>
      </c>
      <c r="H635" s="466">
        <v>46.882336886283895</v>
      </c>
      <c r="I635" s="767">
        <v>-11.679867399076363</v>
      </c>
      <c r="J635" s="466">
        <v>0</v>
      </c>
      <c r="K635" s="466">
        <v>-3.7027479928298921</v>
      </c>
      <c r="L635" s="466">
        <v>-14.379565360249929</v>
      </c>
      <c r="M635" s="466">
        <v>-5.7757758515027451</v>
      </c>
      <c r="N635" s="466">
        <v>0</v>
      </c>
      <c r="O635" s="767">
        <v>-9.0634916403322006</v>
      </c>
      <c r="P635" s="466">
        <v>2.3853475337449623</v>
      </c>
      <c r="Q635" s="466">
        <v>-9.6034714926013329</v>
      </c>
      <c r="R635" s="466">
        <v>0</v>
      </c>
      <c r="S635" s="767">
        <v>-5.9050988222357264</v>
      </c>
      <c r="T635" s="466">
        <v>0</v>
      </c>
      <c r="U635" s="767">
        <v>0</v>
      </c>
      <c r="V635" s="466">
        <v>23.677561996621989</v>
      </c>
      <c r="W635" s="767">
        <v>-6.1515572613247329</v>
      </c>
      <c r="X635" s="378"/>
      <c r="Y635" s="180"/>
      <c r="Z635" s="180"/>
      <c r="AA635" s="180"/>
      <c r="AB635" s="180"/>
    </row>
    <row r="636" spans="1:28" x14ac:dyDescent="0.2">
      <c r="A636" s="636" t="s">
        <v>9</v>
      </c>
      <c r="B636" s="388"/>
      <c r="C636" s="391"/>
      <c r="D636" s="391"/>
      <c r="E636" s="391"/>
      <c r="F636" s="391"/>
      <c r="G636" s="391">
        <v>294580</v>
      </c>
      <c r="H636" s="391">
        <v>5508890</v>
      </c>
      <c r="I636" s="765">
        <v>5803470</v>
      </c>
      <c r="J636" s="391">
        <v>81808184</v>
      </c>
      <c r="K636" s="391">
        <v>1381895741</v>
      </c>
      <c r="L636" s="391">
        <v>319305512</v>
      </c>
      <c r="M636" s="391">
        <v>94909610</v>
      </c>
      <c r="N636" s="391">
        <v>311110309</v>
      </c>
      <c r="O636" s="765">
        <v>2189029356</v>
      </c>
      <c r="P636" s="391"/>
      <c r="Q636" s="391"/>
      <c r="R636" s="391"/>
      <c r="S636" s="765"/>
      <c r="T636" s="391"/>
      <c r="U636" s="765"/>
      <c r="V636" s="391"/>
      <c r="W636" s="765">
        <v>2194832826</v>
      </c>
      <c r="X636" s="378"/>
      <c r="Y636" s="180"/>
      <c r="Z636" s="180"/>
      <c r="AA636" s="180"/>
      <c r="AB636" s="180"/>
    </row>
    <row r="637" spans="1:28" x14ac:dyDescent="0.2">
      <c r="A637" s="636" t="s">
        <v>10</v>
      </c>
      <c r="B637" s="389"/>
      <c r="C637" s="392"/>
      <c r="D637" s="392"/>
      <c r="E637" s="392"/>
      <c r="F637" s="392"/>
      <c r="G637" s="392">
        <v>294580</v>
      </c>
      <c r="H637" s="392">
        <v>5654987</v>
      </c>
      <c r="I637" s="766">
        <v>5949567</v>
      </c>
      <c r="J637" s="392">
        <v>82874960</v>
      </c>
      <c r="K637" s="392">
        <v>1432087308</v>
      </c>
      <c r="L637" s="392">
        <v>324723085</v>
      </c>
      <c r="M637" s="392">
        <v>99311788</v>
      </c>
      <c r="N637" s="392">
        <v>355984387</v>
      </c>
      <c r="O637" s="766">
        <v>2294981528</v>
      </c>
      <c r="P637" s="392"/>
      <c r="Q637" s="392">
        <v>3000</v>
      </c>
      <c r="R637" s="392"/>
      <c r="S637" s="766">
        <v>3000</v>
      </c>
      <c r="T637" s="392"/>
      <c r="U637" s="766"/>
      <c r="V637" s="392"/>
      <c r="W637" s="766">
        <v>2300934095</v>
      </c>
      <c r="X637" s="378"/>
      <c r="Y637" s="180"/>
      <c r="Z637" s="180"/>
      <c r="AA637" s="180"/>
      <c r="AB637" s="180"/>
    </row>
    <row r="638" spans="1:28" x14ac:dyDescent="0.2">
      <c r="A638" s="636" t="s">
        <v>299</v>
      </c>
      <c r="B638" s="639"/>
      <c r="C638" s="466">
        <v>0</v>
      </c>
      <c r="D638" s="466">
        <v>0</v>
      </c>
      <c r="E638" s="466">
        <v>0</v>
      </c>
      <c r="F638" s="466">
        <v>0</v>
      </c>
      <c r="G638" s="466">
        <v>0</v>
      </c>
      <c r="H638" s="466">
        <v>2.6520224582447645</v>
      </c>
      <c r="I638" s="767">
        <v>2.5174076888482237</v>
      </c>
      <c r="J638" s="466">
        <v>1.3039966759315913</v>
      </c>
      <c r="K638" s="466">
        <v>3.6320805912375991</v>
      </c>
      <c r="L638" s="466">
        <v>1.6966738112557229</v>
      </c>
      <c r="M638" s="466">
        <v>4.638284784860037</v>
      </c>
      <c r="N638" s="466">
        <v>14.423847973485184</v>
      </c>
      <c r="O638" s="767">
        <v>4.8401439528250894</v>
      </c>
      <c r="P638" s="466">
        <v>0</v>
      </c>
      <c r="Q638" s="466">
        <v>0</v>
      </c>
      <c r="R638" s="466">
        <v>0</v>
      </c>
      <c r="S638" s="767">
        <v>0</v>
      </c>
      <c r="T638" s="466">
        <v>0</v>
      </c>
      <c r="U638" s="767">
        <v>0</v>
      </c>
      <c r="V638" s="466">
        <v>0</v>
      </c>
      <c r="W638" s="767">
        <v>4.8341389714571363</v>
      </c>
      <c r="X638" s="378"/>
      <c r="Y638" s="180"/>
      <c r="Z638" s="180"/>
      <c r="AA638" s="180"/>
      <c r="AB638" s="180"/>
    </row>
    <row r="639" spans="1:28" x14ac:dyDescent="0.2">
      <c r="A639" s="636" t="s">
        <v>224</v>
      </c>
      <c r="B639" s="388"/>
      <c r="C639" s="391">
        <v>10561937527.303608</v>
      </c>
      <c r="D639" s="391">
        <v>2280395861.5819998</v>
      </c>
      <c r="E639" s="391">
        <v>4446009764.1359997</v>
      </c>
      <c r="F639" s="391">
        <v>1156128595.7572</v>
      </c>
      <c r="G639" s="391">
        <v>697653026</v>
      </c>
      <c r="H639" s="391">
        <v>458997690.4896</v>
      </c>
      <c r="I639" s="765">
        <v>19601122465.26841</v>
      </c>
      <c r="J639" s="391">
        <v>652359558</v>
      </c>
      <c r="K639" s="391">
        <v>2308008389</v>
      </c>
      <c r="L639" s="391">
        <v>1211435982</v>
      </c>
      <c r="M639" s="391">
        <v>351108912.13999999</v>
      </c>
      <c r="N639" s="391">
        <v>666382520</v>
      </c>
      <c r="O639" s="765">
        <v>5189295361.1399994</v>
      </c>
      <c r="P639" s="391">
        <v>327098973.0632</v>
      </c>
      <c r="Q639" s="391">
        <v>55867492</v>
      </c>
      <c r="R639" s="391"/>
      <c r="S639" s="765">
        <v>382966465.0632</v>
      </c>
      <c r="T639" s="391">
        <v>0</v>
      </c>
      <c r="U639" s="765">
        <v>0</v>
      </c>
      <c r="V639" s="391"/>
      <c r="W639" s="765">
        <v>25173384291.471611</v>
      </c>
      <c r="X639" s="378"/>
      <c r="Y639" s="180"/>
      <c r="Z639" s="180"/>
      <c r="AA639" s="180"/>
      <c r="AB639" s="180"/>
    </row>
    <row r="640" spans="1:28" x14ac:dyDescent="0.2">
      <c r="A640" s="636" t="s">
        <v>15</v>
      </c>
      <c r="B640" s="389"/>
      <c r="C640" s="392">
        <v>10875686729.045403</v>
      </c>
      <c r="D640" s="392">
        <v>2353403063</v>
      </c>
      <c r="E640" s="392">
        <v>4640358524</v>
      </c>
      <c r="F640" s="392">
        <v>1205516980.9000001</v>
      </c>
      <c r="G640" s="392">
        <v>729569319</v>
      </c>
      <c r="H640" s="392">
        <v>465014682</v>
      </c>
      <c r="I640" s="766">
        <v>20269549297.945404</v>
      </c>
      <c r="J640" s="392">
        <v>639335499</v>
      </c>
      <c r="K640" s="392">
        <v>2283857011</v>
      </c>
      <c r="L640" s="392">
        <v>1200661332</v>
      </c>
      <c r="M640" s="392">
        <v>363856056</v>
      </c>
      <c r="N640" s="392">
        <v>649954621</v>
      </c>
      <c r="O640" s="766">
        <v>5137664519</v>
      </c>
      <c r="P640" s="392">
        <v>317132437.6695801</v>
      </c>
      <c r="Q640" s="392">
        <v>56479133</v>
      </c>
      <c r="R640" s="392"/>
      <c r="S640" s="766">
        <v>373611570.6695801</v>
      </c>
      <c r="T640" s="392"/>
      <c r="U640" s="766"/>
      <c r="V640" s="392">
        <v>0</v>
      </c>
      <c r="W640" s="766">
        <v>25780825387.614983</v>
      </c>
      <c r="X640" s="378"/>
      <c r="Y640" s="180"/>
      <c r="Z640" s="180"/>
      <c r="AA640" s="180"/>
      <c r="AB640" s="180"/>
    </row>
    <row r="641" spans="1:28" x14ac:dyDescent="0.2">
      <c r="A641" s="636" t="s">
        <v>248</v>
      </c>
      <c r="B641" s="639"/>
      <c r="C641" s="466">
        <v>2.9705648317907696</v>
      </c>
      <c r="D641" s="466">
        <v>3.2015143794969121</v>
      </c>
      <c r="E641" s="466">
        <v>4.371307535843175</v>
      </c>
      <c r="F641" s="466">
        <v>4.2718764438529826</v>
      </c>
      <c r="G641" s="466">
        <v>4.5748089394798956</v>
      </c>
      <c r="H641" s="466">
        <v>1.3108979925327817</v>
      </c>
      <c r="I641" s="767">
        <v>3.4101456886532504</v>
      </c>
      <c r="J641" s="466">
        <v>-1.9964540781665072</v>
      </c>
      <c r="K641" s="466">
        <v>-1.0464163871806447</v>
      </c>
      <c r="L641" s="466">
        <v>-0.88941142248489036</v>
      </c>
      <c r="M641" s="466">
        <v>3.6305383940004523</v>
      </c>
      <c r="N641" s="466">
        <v>-2.4652355827100627</v>
      </c>
      <c r="O641" s="767">
        <v>-0.99494899686451799</v>
      </c>
      <c r="P641" s="466">
        <v>-3.0469479314734329</v>
      </c>
      <c r="Q641" s="466">
        <v>1.0948066184893355</v>
      </c>
      <c r="R641" s="466">
        <v>0</v>
      </c>
      <c r="S641" s="767">
        <v>-2.442745056561566</v>
      </c>
      <c r="T641" s="466">
        <v>0</v>
      </c>
      <c r="U641" s="767">
        <v>0</v>
      </c>
      <c r="V641" s="466">
        <v>0</v>
      </c>
      <c r="W641" s="767">
        <v>2.4130291307282192</v>
      </c>
      <c r="X641" s="378"/>
      <c r="Y641" s="180"/>
      <c r="Z641" s="180"/>
      <c r="AA641" s="180"/>
      <c r="AB641" s="180"/>
    </row>
    <row r="642" spans="1:28" x14ac:dyDescent="0.2">
      <c r="A642" s="636" t="s">
        <v>239</v>
      </c>
      <c r="B642" s="388"/>
      <c r="C642" s="391">
        <v>130027922.5</v>
      </c>
      <c r="D642" s="391">
        <v>7915468.8200000003</v>
      </c>
      <c r="E642" s="391">
        <v>79162174.780000001</v>
      </c>
      <c r="F642" s="391">
        <v>25886850.579999998</v>
      </c>
      <c r="G642" s="391">
        <v>16366347</v>
      </c>
      <c r="H642" s="391">
        <v>9392644.3200000003</v>
      </c>
      <c r="I642" s="765">
        <v>268751408</v>
      </c>
      <c r="J642" s="391">
        <v>0</v>
      </c>
      <c r="K642" s="391">
        <v>25890996</v>
      </c>
      <c r="L642" s="391">
        <v>19714227</v>
      </c>
      <c r="M642" s="391">
        <v>3781553</v>
      </c>
      <c r="N642" s="391">
        <v>3406095</v>
      </c>
      <c r="O642" s="765">
        <v>52792871</v>
      </c>
      <c r="P642" s="391">
        <v>508430</v>
      </c>
      <c r="Q642" s="391">
        <v>436659</v>
      </c>
      <c r="R642" s="391"/>
      <c r="S642" s="765">
        <v>945089</v>
      </c>
      <c r="T642" s="391"/>
      <c r="U642" s="765"/>
      <c r="V642" s="391"/>
      <c r="W642" s="765">
        <v>322489368</v>
      </c>
      <c r="X642" s="378"/>
      <c r="Y642" s="180"/>
      <c r="Z642" s="180"/>
      <c r="AA642" s="180"/>
      <c r="AB642" s="180"/>
    </row>
    <row r="643" spans="1:28" x14ac:dyDescent="0.2">
      <c r="A643" s="636" t="s">
        <v>167</v>
      </c>
      <c r="B643" s="389"/>
      <c r="C643" s="392">
        <v>126437004.19</v>
      </c>
      <c r="D643" s="392">
        <v>8881869.0300000012</v>
      </c>
      <c r="E643" s="392">
        <v>78460410.710000008</v>
      </c>
      <c r="F643" s="392">
        <v>27289471.360000003</v>
      </c>
      <c r="G643" s="392">
        <v>16352463</v>
      </c>
      <c r="H643" s="392">
        <v>7803635.7800000003</v>
      </c>
      <c r="I643" s="766">
        <v>265224854.06999999</v>
      </c>
      <c r="J643" s="392">
        <v>0</v>
      </c>
      <c r="K643" s="392">
        <v>26247597</v>
      </c>
      <c r="L643" s="392">
        <v>16521991</v>
      </c>
      <c r="M643" s="392">
        <v>3448751</v>
      </c>
      <c r="N643" s="392">
        <v>3222450</v>
      </c>
      <c r="O643" s="766">
        <v>49440789</v>
      </c>
      <c r="P643" s="392">
        <v>512611</v>
      </c>
      <c r="Q643" s="392">
        <v>422897</v>
      </c>
      <c r="R643" s="392"/>
      <c r="S643" s="766">
        <v>935508</v>
      </c>
      <c r="T643" s="392"/>
      <c r="U643" s="766"/>
      <c r="V643" s="392">
        <v>0</v>
      </c>
      <c r="W643" s="766">
        <v>315601151.06999999</v>
      </c>
      <c r="X643" s="378"/>
      <c r="Y643" s="180"/>
      <c r="Z643" s="180"/>
      <c r="AA643" s="180"/>
      <c r="AB643" s="180"/>
    </row>
    <row r="644" spans="1:28" x14ac:dyDescent="0.2">
      <c r="A644" s="636" t="s">
        <v>176</v>
      </c>
      <c r="B644" s="639"/>
      <c r="C644" s="466">
        <v>-2.7616516829298741</v>
      </c>
      <c r="D644" s="466">
        <v>12.209007855077381</v>
      </c>
      <c r="E644" s="466">
        <v>-0.88648912432013005</v>
      </c>
      <c r="F644" s="466">
        <v>5.4182751032822045</v>
      </c>
      <c r="G644" s="466">
        <v>-8.4832614144133692E-2</v>
      </c>
      <c r="H644" s="466">
        <v>-16.917584504040921</v>
      </c>
      <c r="I644" s="767">
        <v>-1.3121992387850141</v>
      </c>
      <c r="J644" s="466">
        <v>0</v>
      </c>
      <c r="K644" s="466">
        <v>1.3773166547938132</v>
      </c>
      <c r="L644" s="466">
        <v>-16.192549674912438</v>
      </c>
      <c r="M644" s="466">
        <v>-8.8006699892874707</v>
      </c>
      <c r="N644" s="466">
        <v>-5.3916581892166837</v>
      </c>
      <c r="O644" s="767">
        <v>-6.3494974539270652</v>
      </c>
      <c r="P644" s="466">
        <v>0.82233542473890209</v>
      </c>
      <c r="Q644" s="466">
        <v>-3.1516583878953597</v>
      </c>
      <c r="R644" s="466">
        <v>0</v>
      </c>
      <c r="S644" s="767">
        <v>-1.0137669573976631</v>
      </c>
      <c r="T644" s="466">
        <v>0</v>
      </c>
      <c r="U644" s="767">
        <v>0</v>
      </c>
      <c r="V644" s="466">
        <v>0</v>
      </c>
      <c r="W644" s="767">
        <v>-2.1359516354660122</v>
      </c>
      <c r="X644" s="378"/>
      <c r="Y644" s="180"/>
      <c r="Z644" s="180"/>
      <c r="AA644" s="180"/>
      <c r="AB644" s="180"/>
    </row>
    <row r="645" spans="1:28" x14ac:dyDescent="0.2">
      <c r="A645" s="636" t="s">
        <v>104</v>
      </c>
      <c r="B645" s="388"/>
      <c r="C645" s="765">
        <v>10691965449.803608</v>
      </c>
      <c r="D645" s="765">
        <v>2288311330.402</v>
      </c>
      <c r="E645" s="765">
        <v>4525171938.9160004</v>
      </c>
      <c r="F645" s="765">
        <v>1182015446.3371999</v>
      </c>
      <c r="G645" s="765">
        <v>714019373</v>
      </c>
      <c r="H645" s="765">
        <v>468390334.8096</v>
      </c>
      <c r="I645" s="765">
        <v>19869873873.26841</v>
      </c>
      <c r="J645" s="765">
        <v>652359558</v>
      </c>
      <c r="K645" s="765">
        <v>2333899385</v>
      </c>
      <c r="L645" s="765">
        <v>1231150209</v>
      </c>
      <c r="M645" s="765">
        <v>354890465.13999999</v>
      </c>
      <c r="N645" s="765">
        <v>669788615</v>
      </c>
      <c r="O645" s="765">
        <v>5242088232.1399994</v>
      </c>
      <c r="P645" s="765">
        <v>327607403.0632</v>
      </c>
      <c r="Q645" s="765">
        <v>56304151</v>
      </c>
      <c r="R645" s="765">
        <v>0</v>
      </c>
      <c r="S645" s="765">
        <v>383911554.0632</v>
      </c>
      <c r="T645" s="765">
        <v>0</v>
      </c>
      <c r="U645" s="765">
        <v>0</v>
      </c>
      <c r="V645" s="765">
        <v>0</v>
      </c>
      <c r="W645" s="765">
        <v>25495873659.471611</v>
      </c>
      <c r="X645" s="378"/>
      <c r="Y645" s="180"/>
      <c r="Z645" s="180"/>
      <c r="AA645" s="180"/>
      <c r="AB645" s="180"/>
    </row>
    <row r="646" spans="1:28" x14ac:dyDescent="0.2">
      <c r="A646" s="636" t="s">
        <v>71</v>
      </c>
      <c r="B646" s="389"/>
      <c r="C646" s="766">
        <v>11002123733.235403</v>
      </c>
      <c r="D646" s="766">
        <v>2362284932.0299997</v>
      </c>
      <c r="E646" s="766">
        <v>4718818934.71</v>
      </c>
      <c r="F646" s="766">
        <v>1232806452.26</v>
      </c>
      <c r="G646" s="766">
        <v>745921782</v>
      </c>
      <c r="H646" s="766">
        <v>472818317.77999997</v>
      </c>
      <c r="I646" s="766">
        <v>20534774152.015404</v>
      </c>
      <c r="J646" s="766">
        <v>639335499</v>
      </c>
      <c r="K646" s="766">
        <v>2310104608</v>
      </c>
      <c r="L646" s="766">
        <v>1217183323</v>
      </c>
      <c r="M646" s="766">
        <v>367304807</v>
      </c>
      <c r="N646" s="766">
        <v>653177071</v>
      </c>
      <c r="O646" s="766">
        <v>5187105308</v>
      </c>
      <c r="P646" s="766">
        <v>317645048.6695801</v>
      </c>
      <c r="Q646" s="766">
        <v>56902030</v>
      </c>
      <c r="R646" s="766">
        <v>0</v>
      </c>
      <c r="S646" s="766">
        <v>374547078.6695801</v>
      </c>
      <c r="T646" s="766">
        <v>0</v>
      </c>
      <c r="U646" s="766">
        <v>0</v>
      </c>
      <c r="V646" s="766">
        <v>0</v>
      </c>
      <c r="W646" s="766">
        <v>26096426538.684982</v>
      </c>
      <c r="X646" s="378"/>
      <c r="Y646" s="180"/>
      <c r="Z646" s="180"/>
      <c r="AA646" s="180"/>
      <c r="AB646" s="180"/>
    </row>
    <row r="647" spans="1:28" x14ac:dyDescent="0.2">
      <c r="A647" s="636" t="s">
        <v>58</v>
      </c>
      <c r="B647" s="639"/>
      <c r="C647" s="767">
        <v>2.9008537755562251</v>
      </c>
      <c r="D647" s="767">
        <v>3.2326720864072476</v>
      </c>
      <c r="E647" s="767">
        <v>4.2793290157365282</v>
      </c>
      <c r="F647" s="767">
        <v>4.2969832653363351</v>
      </c>
      <c r="G647" s="767">
        <v>4.4680032792331534</v>
      </c>
      <c r="H647" s="767">
        <v>0.94536172959246567</v>
      </c>
      <c r="I647" s="767">
        <v>3.3462732727332813</v>
      </c>
      <c r="J647" s="767">
        <v>-1.9964540781665072</v>
      </c>
      <c r="K647" s="767">
        <v>-1.0195288260037825</v>
      </c>
      <c r="L647" s="767">
        <v>-1.1344583218114859</v>
      </c>
      <c r="M647" s="767">
        <v>3.4980770348684085</v>
      </c>
      <c r="N647" s="767">
        <v>-2.4801174024135961</v>
      </c>
      <c r="O647" s="767">
        <v>-1.0488744505079322</v>
      </c>
      <c r="P647" s="767">
        <v>-3.0409430008204481</v>
      </c>
      <c r="Q647" s="767">
        <v>1.0618737506582774</v>
      </c>
      <c r="R647" s="767">
        <v>0</v>
      </c>
      <c r="S647" s="767">
        <v>-2.4392272893350593</v>
      </c>
      <c r="T647" s="767">
        <v>0</v>
      </c>
      <c r="U647" s="767">
        <v>0</v>
      </c>
      <c r="V647" s="767">
        <v>0</v>
      </c>
      <c r="W647" s="767">
        <v>2.3554904893022499</v>
      </c>
      <c r="X647" s="378"/>
      <c r="Y647" s="180"/>
      <c r="Z647" s="180"/>
      <c r="AA647" s="180"/>
      <c r="AB647" s="180"/>
    </row>
    <row r="648" spans="1:28" x14ac:dyDescent="0.2">
      <c r="A648" s="636" t="s">
        <v>73</v>
      </c>
      <c r="B648" s="388"/>
      <c r="C648" s="391"/>
      <c r="D648" s="391"/>
      <c r="E648" s="391"/>
      <c r="F648" s="391"/>
      <c r="G648" s="391"/>
      <c r="H648" s="391"/>
      <c r="I648" s="765"/>
      <c r="J648" s="391"/>
      <c r="K648" s="391"/>
      <c r="L648" s="391"/>
      <c r="M648" s="391"/>
      <c r="N648" s="391"/>
      <c r="O648" s="765"/>
      <c r="P648" s="391"/>
      <c r="Q648" s="391"/>
      <c r="R648" s="391"/>
      <c r="S648" s="765"/>
      <c r="T648" s="391">
        <v>106557387.17745818</v>
      </c>
      <c r="U648" s="765">
        <v>106557387.17745818</v>
      </c>
      <c r="V648" s="391">
        <v>4069257235.0700002</v>
      </c>
      <c r="W648" s="765">
        <v>4175814622.2474585</v>
      </c>
      <c r="X648" s="378"/>
      <c r="Y648" s="180"/>
      <c r="Z648" s="180"/>
      <c r="AA648" s="180"/>
      <c r="AB648" s="180"/>
    </row>
    <row r="649" spans="1:28" x14ac:dyDescent="0.2">
      <c r="A649" s="636" t="s">
        <v>75</v>
      </c>
      <c r="B649" s="389"/>
      <c r="C649" s="392"/>
      <c r="D649" s="392"/>
      <c r="E649" s="392"/>
      <c r="F649" s="392"/>
      <c r="G649" s="392"/>
      <c r="H649" s="392"/>
      <c r="I649" s="766"/>
      <c r="J649" s="392"/>
      <c r="K649" s="392"/>
      <c r="L649" s="392"/>
      <c r="M649" s="392"/>
      <c r="N649" s="392"/>
      <c r="O649" s="766"/>
      <c r="P649" s="392"/>
      <c r="Q649" s="392"/>
      <c r="R649" s="392"/>
      <c r="S649" s="766"/>
      <c r="T649" s="392">
        <v>116847057.93529946</v>
      </c>
      <c r="U649" s="766">
        <v>116847057.93529946</v>
      </c>
      <c r="V649" s="392">
        <v>4311826952.96</v>
      </c>
      <c r="W649" s="766">
        <v>4428674010.8952999</v>
      </c>
      <c r="X649" s="378"/>
      <c r="Y649" s="180"/>
      <c r="Z649" s="180"/>
      <c r="AA649" s="180"/>
      <c r="AB649" s="180"/>
    </row>
    <row r="650" spans="1:28" x14ac:dyDescent="0.2">
      <c r="A650" s="636" t="s">
        <v>77</v>
      </c>
      <c r="B650" s="639"/>
      <c r="C650" s="466">
        <v>0</v>
      </c>
      <c r="D650" s="466">
        <v>0</v>
      </c>
      <c r="E650" s="466">
        <v>0</v>
      </c>
      <c r="F650" s="466">
        <v>0</v>
      </c>
      <c r="G650" s="466">
        <v>0</v>
      </c>
      <c r="H650" s="466">
        <v>0</v>
      </c>
      <c r="I650" s="767">
        <v>0</v>
      </c>
      <c r="J650" s="466">
        <v>0</v>
      </c>
      <c r="K650" s="466">
        <v>0</v>
      </c>
      <c r="L650" s="466">
        <v>0</v>
      </c>
      <c r="M650" s="466">
        <v>0</v>
      </c>
      <c r="N650" s="466">
        <v>0</v>
      </c>
      <c r="O650" s="767">
        <v>0</v>
      </c>
      <c r="P650" s="466">
        <v>0</v>
      </c>
      <c r="Q650" s="466">
        <v>0</v>
      </c>
      <c r="R650" s="466">
        <v>0</v>
      </c>
      <c r="S650" s="767">
        <v>0</v>
      </c>
      <c r="T650" s="466">
        <v>9.6564593318200433</v>
      </c>
      <c r="U650" s="767">
        <v>9.6564593318200433</v>
      </c>
      <c r="V650" s="466">
        <v>5.9610318020563069</v>
      </c>
      <c r="W650" s="767">
        <v>6.0553307922407349</v>
      </c>
      <c r="X650" s="378"/>
      <c r="Y650" s="180"/>
      <c r="Z650" s="180"/>
      <c r="AA650" s="180"/>
      <c r="AB650" s="180"/>
    </row>
    <row r="651" spans="1:28" x14ac:dyDescent="0.2">
      <c r="A651" s="636" t="s">
        <v>241</v>
      </c>
      <c r="B651" s="388"/>
      <c r="C651" s="391"/>
      <c r="D651" s="391"/>
      <c r="E651" s="391"/>
      <c r="F651" s="391"/>
      <c r="G651" s="391"/>
      <c r="H651" s="391"/>
      <c r="I651" s="765"/>
      <c r="J651" s="391"/>
      <c r="K651" s="391"/>
      <c r="L651" s="391"/>
      <c r="M651" s="391"/>
      <c r="N651" s="391"/>
      <c r="O651" s="765"/>
      <c r="P651" s="391"/>
      <c r="Q651" s="391"/>
      <c r="R651" s="391"/>
      <c r="S651" s="765"/>
      <c r="T651" s="391">
        <v>427521945</v>
      </c>
      <c r="U651" s="765">
        <v>427521945</v>
      </c>
      <c r="V651" s="391"/>
      <c r="W651" s="765">
        <v>427521945</v>
      </c>
      <c r="X651" s="378"/>
      <c r="Y651" s="180"/>
      <c r="Z651" s="180"/>
      <c r="AA651" s="180"/>
      <c r="AB651" s="180"/>
    </row>
    <row r="652" spans="1:28" x14ac:dyDescent="0.2">
      <c r="A652" s="636" t="s">
        <v>164</v>
      </c>
      <c r="B652" s="389"/>
      <c r="C652" s="392"/>
      <c r="D652" s="392"/>
      <c r="E652" s="392"/>
      <c r="F652" s="392"/>
      <c r="G652" s="392"/>
      <c r="H652" s="392"/>
      <c r="I652" s="766"/>
      <c r="J652" s="392"/>
      <c r="K652" s="392"/>
      <c r="L652" s="392"/>
      <c r="M652" s="392"/>
      <c r="N652" s="392"/>
      <c r="O652" s="766"/>
      <c r="P652" s="392"/>
      <c r="Q652" s="392"/>
      <c r="R652" s="392"/>
      <c r="S652" s="766"/>
      <c r="T652" s="392">
        <v>431332877</v>
      </c>
      <c r="U652" s="766">
        <v>431332877</v>
      </c>
      <c r="V652" s="392">
        <v>0</v>
      </c>
      <c r="W652" s="766">
        <v>431332877</v>
      </c>
      <c r="X652" s="378"/>
      <c r="Y652" s="180"/>
      <c r="Z652" s="180"/>
      <c r="AA652" s="180"/>
      <c r="AB652" s="180"/>
    </row>
    <row r="653" spans="1:28" x14ac:dyDescent="0.2">
      <c r="A653" s="636" t="s">
        <v>296</v>
      </c>
      <c r="B653" s="639"/>
      <c r="C653" s="466">
        <v>0</v>
      </c>
      <c r="D653" s="466">
        <v>0</v>
      </c>
      <c r="E653" s="466">
        <v>0</v>
      </c>
      <c r="F653" s="466">
        <v>0</v>
      </c>
      <c r="G653" s="466">
        <v>0</v>
      </c>
      <c r="H653" s="466">
        <v>0</v>
      </c>
      <c r="I653" s="767">
        <v>0</v>
      </c>
      <c r="J653" s="466">
        <v>0</v>
      </c>
      <c r="K653" s="466">
        <v>0</v>
      </c>
      <c r="L653" s="466">
        <v>0</v>
      </c>
      <c r="M653" s="466">
        <v>0</v>
      </c>
      <c r="N653" s="466">
        <v>0</v>
      </c>
      <c r="O653" s="767">
        <v>0</v>
      </c>
      <c r="P653" s="466">
        <v>0</v>
      </c>
      <c r="Q653" s="466">
        <v>0</v>
      </c>
      <c r="R653" s="466">
        <v>0</v>
      </c>
      <c r="S653" s="767">
        <v>0</v>
      </c>
      <c r="T653" s="466">
        <v>0.89140032332141461</v>
      </c>
      <c r="U653" s="767">
        <v>0.89140032332141461</v>
      </c>
      <c r="V653" s="466">
        <v>0</v>
      </c>
      <c r="W653" s="767">
        <v>0.89140032332141461</v>
      </c>
      <c r="X653" s="378"/>
      <c r="Y653" s="180"/>
      <c r="Z653" s="180"/>
      <c r="AA653" s="180"/>
      <c r="AB653" s="180"/>
    </row>
    <row r="654" spans="1:28" x14ac:dyDescent="0.2">
      <c r="A654" s="636" t="s">
        <v>160</v>
      </c>
      <c r="B654" s="388"/>
      <c r="C654" s="391"/>
      <c r="D654" s="391"/>
      <c r="E654" s="391"/>
      <c r="F654" s="391"/>
      <c r="G654" s="391"/>
      <c r="H654" s="391"/>
      <c r="I654" s="765"/>
      <c r="J654" s="391"/>
      <c r="K654" s="391"/>
      <c r="L654" s="391"/>
      <c r="M654" s="391"/>
      <c r="N654" s="391"/>
      <c r="O654" s="765"/>
      <c r="P654" s="391"/>
      <c r="Q654" s="391"/>
      <c r="R654" s="391"/>
      <c r="S654" s="765"/>
      <c r="T654" s="391">
        <v>559992</v>
      </c>
      <c r="U654" s="765">
        <v>559992</v>
      </c>
      <c r="V654" s="391"/>
      <c r="W654" s="765">
        <v>559992</v>
      </c>
      <c r="X654" s="378"/>
      <c r="Y654" s="180"/>
      <c r="Z654" s="180"/>
      <c r="AA654" s="180"/>
      <c r="AB654" s="180"/>
    </row>
    <row r="655" spans="1:28" x14ac:dyDescent="0.2">
      <c r="A655" s="636" t="s">
        <v>101</v>
      </c>
      <c r="B655" s="389"/>
      <c r="C655" s="392"/>
      <c r="D655" s="392"/>
      <c r="E655" s="392"/>
      <c r="F655" s="392"/>
      <c r="G655" s="392"/>
      <c r="H655" s="392"/>
      <c r="I655" s="766"/>
      <c r="J655" s="392"/>
      <c r="K655" s="392"/>
      <c r="L655" s="392"/>
      <c r="M655" s="392"/>
      <c r="N655" s="392"/>
      <c r="O655" s="766"/>
      <c r="P655" s="392"/>
      <c r="Q655" s="392"/>
      <c r="R655" s="392"/>
      <c r="S655" s="766"/>
      <c r="T655" s="392">
        <v>473208</v>
      </c>
      <c r="U655" s="766">
        <v>473208</v>
      </c>
      <c r="V655" s="392">
        <v>0</v>
      </c>
      <c r="W655" s="766">
        <v>473208</v>
      </c>
      <c r="X655" s="378"/>
      <c r="Y655" s="180"/>
      <c r="Z655" s="180"/>
      <c r="AA655" s="180"/>
      <c r="AB655" s="180"/>
    </row>
    <row r="656" spans="1:28" x14ac:dyDescent="0.2">
      <c r="A656" s="636" t="s">
        <v>182</v>
      </c>
      <c r="B656" s="639"/>
      <c r="C656" s="466">
        <v>0</v>
      </c>
      <c r="D656" s="466">
        <v>0</v>
      </c>
      <c r="E656" s="466">
        <v>0</v>
      </c>
      <c r="F656" s="466">
        <v>0</v>
      </c>
      <c r="G656" s="466">
        <v>0</v>
      </c>
      <c r="H656" s="466">
        <v>0</v>
      </c>
      <c r="I656" s="767">
        <v>0</v>
      </c>
      <c r="J656" s="466">
        <v>0</v>
      </c>
      <c r="K656" s="466">
        <v>0</v>
      </c>
      <c r="L656" s="466">
        <v>0</v>
      </c>
      <c r="M656" s="466">
        <v>0</v>
      </c>
      <c r="N656" s="466">
        <v>0</v>
      </c>
      <c r="O656" s="767">
        <v>0</v>
      </c>
      <c r="P656" s="466">
        <v>0</v>
      </c>
      <c r="Q656" s="466">
        <v>0</v>
      </c>
      <c r="R656" s="466">
        <v>0</v>
      </c>
      <c r="S656" s="767">
        <v>0</v>
      </c>
      <c r="T656" s="466">
        <v>-15.497364248060686</v>
      </c>
      <c r="U656" s="767">
        <v>-15.497364248060686</v>
      </c>
      <c r="V656" s="466">
        <v>0</v>
      </c>
      <c r="W656" s="767">
        <v>-15.497364248060686</v>
      </c>
      <c r="X656" s="378"/>
      <c r="Y656" s="180"/>
      <c r="Z656" s="180"/>
      <c r="AA656" s="180"/>
      <c r="AB656" s="180"/>
    </row>
    <row r="657" spans="1:28" x14ac:dyDescent="0.2">
      <c r="A657" s="636" t="s">
        <v>162</v>
      </c>
      <c r="B657" s="388"/>
      <c r="C657" s="391">
        <v>0</v>
      </c>
      <c r="D657" s="391">
        <v>0</v>
      </c>
      <c r="E657" s="391">
        <v>0</v>
      </c>
      <c r="F657" s="391">
        <v>0</v>
      </c>
      <c r="G657" s="391">
        <v>0</v>
      </c>
      <c r="H657" s="391">
        <v>0</v>
      </c>
      <c r="I657" s="765">
        <v>0</v>
      </c>
      <c r="J657" s="391">
        <v>0</v>
      </c>
      <c r="K657" s="391">
        <v>0</v>
      </c>
      <c r="L657" s="391">
        <v>0</v>
      </c>
      <c r="M657" s="391">
        <v>0</v>
      </c>
      <c r="N657" s="391">
        <v>0</v>
      </c>
      <c r="O657" s="765">
        <v>0</v>
      </c>
      <c r="P657" s="391">
        <v>0</v>
      </c>
      <c r="Q657" s="391">
        <v>0</v>
      </c>
      <c r="R657" s="391">
        <v>0</v>
      </c>
      <c r="S657" s="765">
        <v>0</v>
      </c>
      <c r="T657" s="391">
        <v>428081937</v>
      </c>
      <c r="U657" s="765">
        <v>428081937</v>
      </c>
      <c r="V657" s="391">
        <v>0</v>
      </c>
      <c r="W657" s="765">
        <v>428081937</v>
      </c>
      <c r="X657" s="378"/>
      <c r="Y657" s="180"/>
      <c r="Z657" s="180"/>
      <c r="AA657" s="180"/>
      <c r="AB657" s="180"/>
    </row>
    <row r="658" spans="1:28" x14ac:dyDescent="0.2">
      <c r="A658" s="636" t="s">
        <v>211</v>
      </c>
      <c r="B658" s="389"/>
      <c r="C658" s="392">
        <v>0</v>
      </c>
      <c r="D658" s="392">
        <v>0</v>
      </c>
      <c r="E658" s="392">
        <v>0</v>
      </c>
      <c r="F658" s="392">
        <v>0</v>
      </c>
      <c r="G658" s="392">
        <v>0</v>
      </c>
      <c r="H658" s="392">
        <v>0</v>
      </c>
      <c r="I658" s="766">
        <v>0</v>
      </c>
      <c r="J658" s="392">
        <v>0</v>
      </c>
      <c r="K658" s="392">
        <v>0</v>
      </c>
      <c r="L658" s="392">
        <v>0</v>
      </c>
      <c r="M658" s="392">
        <v>0</v>
      </c>
      <c r="N658" s="392">
        <v>0</v>
      </c>
      <c r="O658" s="766">
        <v>0</v>
      </c>
      <c r="P658" s="392">
        <v>0</v>
      </c>
      <c r="Q658" s="392">
        <v>0</v>
      </c>
      <c r="R658" s="392">
        <v>0</v>
      </c>
      <c r="S658" s="766">
        <v>0</v>
      </c>
      <c r="T658" s="392">
        <v>431806085</v>
      </c>
      <c r="U658" s="766">
        <v>431806085</v>
      </c>
      <c r="V658" s="392">
        <v>0</v>
      </c>
      <c r="W658" s="766">
        <v>431806085</v>
      </c>
      <c r="X658" s="378"/>
      <c r="Y658" s="180"/>
      <c r="Z658" s="180"/>
      <c r="AA658" s="180"/>
      <c r="AB658" s="180"/>
    </row>
    <row r="659" spans="1:28" x14ac:dyDescent="0.2">
      <c r="A659" s="636" t="s">
        <v>184</v>
      </c>
      <c r="B659" s="639"/>
      <c r="C659" s="466">
        <v>0</v>
      </c>
      <c r="D659" s="466">
        <v>0</v>
      </c>
      <c r="E659" s="466">
        <v>0</v>
      </c>
      <c r="F659" s="466">
        <v>0</v>
      </c>
      <c r="G659" s="466">
        <v>0</v>
      </c>
      <c r="H659" s="466">
        <v>0</v>
      </c>
      <c r="I659" s="767">
        <v>0</v>
      </c>
      <c r="J659" s="466">
        <v>0</v>
      </c>
      <c r="K659" s="466">
        <v>0</v>
      </c>
      <c r="L659" s="466">
        <v>0</v>
      </c>
      <c r="M659" s="466">
        <v>0</v>
      </c>
      <c r="N659" s="466">
        <v>0</v>
      </c>
      <c r="O659" s="767">
        <v>0</v>
      </c>
      <c r="P659" s="466">
        <v>0</v>
      </c>
      <c r="Q659" s="466">
        <v>0</v>
      </c>
      <c r="R659" s="466">
        <v>0</v>
      </c>
      <c r="S659" s="767">
        <v>0</v>
      </c>
      <c r="T659" s="466">
        <v>0.86996149057324035</v>
      </c>
      <c r="U659" s="767">
        <v>0.86996149057324035</v>
      </c>
      <c r="V659" s="466">
        <v>0</v>
      </c>
      <c r="W659" s="767">
        <v>0.86996149057324035</v>
      </c>
      <c r="X659" s="378"/>
      <c r="Y659" s="180"/>
      <c r="Z659" s="180"/>
      <c r="AA659" s="180"/>
      <c r="AB659" s="180"/>
    </row>
    <row r="660" spans="1:28" x14ac:dyDescent="0.2">
      <c r="A660" s="636" t="s">
        <v>79</v>
      </c>
      <c r="B660" s="388"/>
      <c r="C660" s="391">
        <v>888568996</v>
      </c>
      <c r="D660" s="391">
        <v>332815277</v>
      </c>
      <c r="E660" s="391">
        <v>126705623</v>
      </c>
      <c r="F660" s="391">
        <v>167379550</v>
      </c>
      <c r="G660" s="391"/>
      <c r="H660" s="391"/>
      <c r="I660" s="765">
        <v>1515469446</v>
      </c>
      <c r="J660" s="391"/>
      <c r="K660" s="391"/>
      <c r="L660" s="391"/>
      <c r="M660" s="391"/>
      <c r="N660" s="391"/>
      <c r="O660" s="765"/>
      <c r="P660" s="391"/>
      <c r="Q660" s="391"/>
      <c r="R660" s="391"/>
      <c r="S660" s="765"/>
      <c r="T660" s="391">
        <v>2183934213.1872134</v>
      </c>
      <c r="U660" s="765">
        <v>2183934213.1872134</v>
      </c>
      <c r="V660" s="391">
        <v>90253989</v>
      </c>
      <c r="W660" s="765">
        <v>3789657648.1872134</v>
      </c>
      <c r="X660" s="378"/>
      <c r="Y660" s="180"/>
      <c r="Z660" s="180"/>
      <c r="AA660" s="180"/>
      <c r="AB660" s="180"/>
    </row>
    <row r="661" spans="1:28" x14ac:dyDescent="0.2">
      <c r="A661" s="636" t="s">
        <v>214</v>
      </c>
      <c r="B661" s="389"/>
      <c r="C661" s="392">
        <v>899438510</v>
      </c>
      <c r="D661" s="392">
        <v>349671671</v>
      </c>
      <c r="E661" s="392">
        <v>139863650</v>
      </c>
      <c r="F661" s="392">
        <v>177232939</v>
      </c>
      <c r="G661" s="392"/>
      <c r="H661" s="392"/>
      <c r="I661" s="766">
        <v>1566206770</v>
      </c>
      <c r="J661" s="392"/>
      <c r="K661" s="392"/>
      <c r="L661" s="392"/>
      <c r="M661" s="392"/>
      <c r="N661" s="392"/>
      <c r="O661" s="766"/>
      <c r="P661" s="392"/>
      <c r="Q661" s="392"/>
      <c r="R661" s="392"/>
      <c r="S661" s="766"/>
      <c r="T661" s="392">
        <v>2423693455.3825264</v>
      </c>
      <c r="U661" s="766">
        <v>2423693455.3825264</v>
      </c>
      <c r="V661" s="392">
        <v>93538243</v>
      </c>
      <c r="W661" s="766">
        <v>4083438468.3825264</v>
      </c>
      <c r="X661" s="378"/>
      <c r="Y661" s="180"/>
      <c r="Z661" s="180"/>
      <c r="AA661" s="180"/>
      <c r="AB661" s="180"/>
    </row>
    <row r="662" spans="1:28" x14ac:dyDescent="0.2">
      <c r="A662" s="636" t="s">
        <v>216</v>
      </c>
      <c r="B662" s="639"/>
      <c r="C662" s="466">
        <v>1.2232605513956061</v>
      </c>
      <c r="D662" s="466">
        <v>5.0647897392041887</v>
      </c>
      <c r="E662" s="466">
        <v>10.38472223130934</v>
      </c>
      <c r="F662" s="466">
        <v>5.8868535612624129</v>
      </c>
      <c r="G662" s="466">
        <v>0</v>
      </c>
      <c r="H662" s="466">
        <v>0</v>
      </c>
      <c r="I662" s="767">
        <v>3.3479608667742156</v>
      </c>
      <c r="J662" s="466">
        <v>0</v>
      </c>
      <c r="K662" s="466">
        <v>0</v>
      </c>
      <c r="L662" s="466">
        <v>0</v>
      </c>
      <c r="M662" s="466">
        <v>0</v>
      </c>
      <c r="N662" s="466">
        <v>0</v>
      </c>
      <c r="O662" s="767">
        <v>0</v>
      </c>
      <c r="P662" s="466">
        <v>0</v>
      </c>
      <c r="Q662" s="466">
        <v>0</v>
      </c>
      <c r="R662" s="466">
        <v>0</v>
      </c>
      <c r="S662" s="767">
        <v>0</v>
      </c>
      <c r="T662" s="466">
        <v>10.978317970732761</v>
      </c>
      <c r="U662" s="767">
        <v>10.978317970732761</v>
      </c>
      <c r="V662" s="466">
        <v>3.6389017664360521</v>
      </c>
      <c r="W662" s="767">
        <v>7.7521730844432177</v>
      </c>
      <c r="X662" s="378"/>
      <c r="Y662" s="180"/>
      <c r="Z662" s="180"/>
      <c r="AA662" s="180"/>
      <c r="AB662" s="180"/>
    </row>
    <row r="663" spans="1:28" x14ac:dyDescent="0.2">
      <c r="A663" s="636" t="s">
        <v>82</v>
      </c>
      <c r="B663" s="388"/>
      <c r="C663" s="391">
        <v>458058362</v>
      </c>
      <c r="D663" s="391">
        <v>129973530</v>
      </c>
      <c r="E663" s="391">
        <v>63913707</v>
      </c>
      <c r="F663" s="391">
        <v>45964716</v>
      </c>
      <c r="G663" s="391"/>
      <c r="H663" s="391"/>
      <c r="I663" s="765">
        <v>697910315</v>
      </c>
      <c r="J663" s="391"/>
      <c r="K663" s="391"/>
      <c r="L663" s="391"/>
      <c r="M663" s="391"/>
      <c r="N663" s="391"/>
      <c r="O663" s="765"/>
      <c r="P663" s="391"/>
      <c r="Q663" s="391"/>
      <c r="R663" s="391"/>
      <c r="S663" s="765"/>
      <c r="T663" s="391">
        <v>604974226</v>
      </c>
      <c r="U663" s="765">
        <v>604974226</v>
      </c>
      <c r="V663" s="391"/>
      <c r="W663" s="765">
        <v>1302884541</v>
      </c>
      <c r="X663" s="378"/>
      <c r="Y663" s="180"/>
      <c r="Z663" s="180"/>
      <c r="AA663" s="180"/>
      <c r="AB663" s="180"/>
    </row>
    <row r="664" spans="1:28" x14ac:dyDescent="0.2">
      <c r="A664" s="636" t="s">
        <v>235</v>
      </c>
      <c r="B664" s="389"/>
      <c r="C664" s="392">
        <v>484994425.95459735</v>
      </c>
      <c r="D664" s="392">
        <v>137131449</v>
      </c>
      <c r="E664" s="392">
        <v>64379100</v>
      </c>
      <c r="F664" s="392">
        <v>43211088</v>
      </c>
      <c r="G664" s="392"/>
      <c r="H664" s="392"/>
      <c r="I664" s="766">
        <v>729716062.95459735</v>
      </c>
      <c r="J664" s="392"/>
      <c r="K664" s="392"/>
      <c r="L664" s="392"/>
      <c r="M664" s="392"/>
      <c r="N664" s="392"/>
      <c r="O664" s="766"/>
      <c r="P664" s="392"/>
      <c r="Q664" s="392"/>
      <c r="R664" s="392"/>
      <c r="S664" s="766"/>
      <c r="T664" s="392">
        <v>558628220</v>
      </c>
      <c r="U664" s="766">
        <v>558628220</v>
      </c>
      <c r="V664" s="392"/>
      <c r="W664" s="766">
        <v>1288344282.9545975</v>
      </c>
      <c r="X664" s="378"/>
      <c r="Y664" s="180"/>
      <c r="Z664" s="180"/>
      <c r="AA664" s="180"/>
      <c r="AB664" s="180"/>
    </row>
    <row r="665" spans="1:28" x14ac:dyDescent="0.2">
      <c r="A665" s="636" t="s">
        <v>237</v>
      </c>
      <c r="B665" s="639"/>
      <c r="C665" s="466">
        <v>5.8804873328777596</v>
      </c>
      <c r="D665" s="466">
        <v>5.5072128917326477</v>
      </c>
      <c r="E665" s="466">
        <v>0.72815835889475156</v>
      </c>
      <c r="F665" s="466">
        <v>-5.9907429864246309</v>
      </c>
      <c r="G665" s="466">
        <v>0</v>
      </c>
      <c r="H665" s="466">
        <v>0</v>
      </c>
      <c r="I665" s="767">
        <v>4.5572829733283644</v>
      </c>
      <c r="J665" s="466">
        <v>0</v>
      </c>
      <c r="K665" s="466">
        <v>0</v>
      </c>
      <c r="L665" s="466">
        <v>0</v>
      </c>
      <c r="M665" s="466">
        <v>0</v>
      </c>
      <c r="N665" s="466">
        <v>0</v>
      </c>
      <c r="O665" s="767">
        <v>0</v>
      </c>
      <c r="P665" s="466">
        <v>0</v>
      </c>
      <c r="Q665" s="466">
        <v>0</v>
      </c>
      <c r="R665" s="466">
        <v>0</v>
      </c>
      <c r="S665" s="767">
        <v>0</v>
      </c>
      <c r="T665" s="466">
        <v>-7.6608232232359601</v>
      </c>
      <c r="U665" s="767">
        <v>-7.6608232232359601</v>
      </c>
      <c r="V665" s="466">
        <v>0</v>
      </c>
      <c r="W665" s="767">
        <v>-1.116005109266434</v>
      </c>
      <c r="X665" s="378"/>
      <c r="Y665" s="180"/>
      <c r="Z665" s="180"/>
      <c r="AA665" s="180"/>
      <c r="AB665" s="180"/>
    </row>
    <row r="666" spans="1:28" x14ac:dyDescent="0.2">
      <c r="A666" s="636" t="s">
        <v>20</v>
      </c>
      <c r="B666" s="388"/>
      <c r="C666" s="391">
        <v>18336180196.095627</v>
      </c>
      <c r="D666" s="391">
        <v>3998876238.5819998</v>
      </c>
      <c r="E666" s="391">
        <v>7644199635.6926842</v>
      </c>
      <c r="F666" s="391">
        <v>2008458755.7572</v>
      </c>
      <c r="G666" s="391">
        <v>1246617823.5310824</v>
      </c>
      <c r="H666" s="391">
        <v>856947716.48959994</v>
      </c>
      <c r="I666" s="765">
        <v>34091280366.148193</v>
      </c>
      <c r="J666" s="391">
        <v>1513662102</v>
      </c>
      <c r="K666" s="391">
        <v>5770402470.826992</v>
      </c>
      <c r="L666" s="391">
        <v>2957907747.1681795</v>
      </c>
      <c r="M666" s="391">
        <v>1007586607.5129833</v>
      </c>
      <c r="N666" s="391">
        <v>1479529343</v>
      </c>
      <c r="O666" s="765">
        <v>12729088270.508156</v>
      </c>
      <c r="P666" s="391">
        <v>677565666.02504492</v>
      </c>
      <c r="Q666" s="391">
        <v>209434173</v>
      </c>
      <c r="R666" s="391">
        <v>0</v>
      </c>
      <c r="S666" s="765">
        <v>886999839.02504492</v>
      </c>
      <c r="T666" s="391">
        <v>27154238</v>
      </c>
      <c r="U666" s="765">
        <v>27154238</v>
      </c>
      <c r="V666" s="391">
        <v>317742820.77999997</v>
      </c>
      <c r="W666" s="765">
        <v>48052265534.461395</v>
      </c>
      <c r="X666" s="378"/>
      <c r="Y666" s="180"/>
      <c r="Z666" s="180"/>
      <c r="AA666" s="180"/>
      <c r="AB666" s="180"/>
    </row>
    <row r="667" spans="1:28" x14ac:dyDescent="0.2">
      <c r="A667" s="636" t="s">
        <v>22</v>
      </c>
      <c r="B667" s="389"/>
      <c r="C667" s="392">
        <v>19041533996.922718</v>
      </c>
      <c r="D667" s="392">
        <v>4130666625</v>
      </c>
      <c r="E667" s="392">
        <v>7964169096.6811047</v>
      </c>
      <c r="F667" s="392">
        <v>2100467524.9000001</v>
      </c>
      <c r="G667" s="392">
        <v>1293321078.6982088</v>
      </c>
      <c r="H667" s="392">
        <v>871907941</v>
      </c>
      <c r="I667" s="766">
        <v>35402066263.202034</v>
      </c>
      <c r="J667" s="392">
        <v>1536541978</v>
      </c>
      <c r="K667" s="392">
        <v>5868228620.0268583</v>
      </c>
      <c r="L667" s="392">
        <v>2952410364.4088287</v>
      </c>
      <c r="M667" s="392">
        <v>1015685898.0873456</v>
      </c>
      <c r="N667" s="392">
        <v>1643479894</v>
      </c>
      <c r="O667" s="766">
        <v>13016346754.523033</v>
      </c>
      <c r="P667" s="392">
        <v>651552733.70654738</v>
      </c>
      <c r="Q667" s="392">
        <v>213213282</v>
      </c>
      <c r="R667" s="392">
        <v>7890076</v>
      </c>
      <c r="S667" s="766">
        <v>872656091.70654738</v>
      </c>
      <c r="T667" s="392">
        <v>33007464</v>
      </c>
      <c r="U667" s="766">
        <v>33007464</v>
      </c>
      <c r="V667" s="392">
        <v>392976574.15999997</v>
      </c>
      <c r="W667" s="766">
        <v>49717053147.591614</v>
      </c>
      <c r="X667" s="378"/>
      <c r="Y667" s="180"/>
      <c r="Z667" s="180"/>
      <c r="AA667" s="180"/>
      <c r="AB667" s="180"/>
    </row>
    <row r="668" spans="1:28" x14ac:dyDescent="0.2">
      <c r="A668" s="640" t="s">
        <v>24</v>
      </c>
      <c r="B668" s="639"/>
      <c r="C668" s="466">
        <v>3.846787025889308</v>
      </c>
      <c r="D668" s="466">
        <v>3.2956855515171699</v>
      </c>
      <c r="E668" s="466">
        <v>4.1857810658738277</v>
      </c>
      <c r="F668" s="466">
        <v>4.5810634088979478</v>
      </c>
      <c r="G668" s="466">
        <v>3.7463971945177268</v>
      </c>
      <c r="H668" s="466">
        <v>1.745756972395365</v>
      </c>
      <c r="I668" s="767">
        <v>3.8449300905559971</v>
      </c>
      <c r="J668" s="466">
        <v>1.5115576963820951</v>
      </c>
      <c r="K668" s="466">
        <v>1.6953089441237228</v>
      </c>
      <c r="L668" s="466">
        <v>-0.18585375979402408</v>
      </c>
      <c r="M668" s="466">
        <v>0.80383070933760048</v>
      </c>
      <c r="N668" s="466">
        <v>11.081263901637941</v>
      </c>
      <c r="O668" s="767">
        <v>2.2567090266820009</v>
      </c>
      <c r="P668" s="466">
        <v>-3.8391750973898993</v>
      </c>
      <c r="Q668" s="466">
        <v>1.8044376167780412</v>
      </c>
      <c r="R668" s="466">
        <v>0</v>
      </c>
      <c r="S668" s="767">
        <v>-1.6171082211540893</v>
      </c>
      <c r="T668" s="466">
        <v>21.555478743318076</v>
      </c>
      <c r="U668" s="767">
        <v>21.555478743318076</v>
      </c>
      <c r="V668" s="466">
        <v>23.677561996621989</v>
      </c>
      <c r="W668" s="767">
        <v>3.4645351152825277</v>
      </c>
      <c r="X668" s="378"/>
      <c r="Y668" s="180"/>
      <c r="Z668" s="180"/>
      <c r="AA668" s="180"/>
      <c r="AB668" s="180"/>
    </row>
    <row r="669" spans="1:28" x14ac:dyDescent="0.2">
      <c r="A669" s="385"/>
      <c r="B669" s="385"/>
      <c r="C669" s="385"/>
      <c r="D669" s="385"/>
      <c r="E669" s="385"/>
      <c r="F669" s="385"/>
      <c r="G669" s="385"/>
      <c r="H669" s="385"/>
      <c r="I669" s="385"/>
      <c r="J669" s="385"/>
      <c r="K669" s="385"/>
      <c r="L669" s="385"/>
      <c r="M669" s="385"/>
      <c r="N669" s="385"/>
      <c r="O669" s="385"/>
      <c r="P669" s="385"/>
      <c r="Q669" s="385"/>
      <c r="R669" s="385"/>
      <c r="S669" s="385"/>
      <c r="T669" s="385"/>
      <c r="U669" s="385"/>
      <c r="V669" s="385"/>
      <c r="W669" s="385"/>
      <c r="X669" s="378"/>
      <c r="Y669" s="385"/>
      <c r="Z669" s="385"/>
      <c r="AA669" s="385"/>
      <c r="AB669" s="385"/>
    </row>
    <row r="670" spans="1:28" x14ac:dyDescent="0.2">
      <c r="A670" s="385"/>
      <c r="B670" s="385"/>
      <c r="C670" s="385"/>
      <c r="D670" s="385"/>
      <c r="E670" s="385"/>
      <c r="F670" s="385"/>
      <c r="G670" s="385"/>
      <c r="H670" s="385"/>
      <c r="I670" s="385"/>
      <c r="J670" s="385"/>
      <c r="K670" s="385"/>
      <c r="L670" s="385"/>
      <c r="M670" s="385"/>
      <c r="N670" s="385"/>
      <c r="O670" s="385"/>
      <c r="P670" s="385"/>
      <c r="Q670" s="385"/>
      <c r="R670" s="385"/>
      <c r="S670" s="385"/>
      <c r="T670" s="385"/>
      <c r="U670" s="385"/>
      <c r="V670" s="385"/>
      <c r="W670" s="385"/>
      <c r="X670" s="378"/>
      <c r="Y670" s="385"/>
      <c r="Z670" s="385"/>
      <c r="AA670" s="385"/>
      <c r="AB670" s="385"/>
    </row>
    <row r="671" spans="1:28" x14ac:dyDescent="0.2">
      <c r="A671" s="385"/>
      <c r="B671" s="385"/>
      <c r="C671" s="385"/>
      <c r="D671" s="385"/>
      <c r="E671" s="385"/>
      <c r="F671" s="385"/>
      <c r="G671" s="385"/>
      <c r="H671" s="385"/>
      <c r="I671" s="385"/>
      <c r="J671" s="385"/>
      <c r="K671" s="385"/>
      <c r="L671" s="385"/>
      <c r="M671" s="385"/>
      <c r="N671" s="385"/>
      <c r="O671" s="385"/>
      <c r="P671" s="385"/>
      <c r="Q671" s="385"/>
      <c r="R671" s="385"/>
      <c r="S671" s="385"/>
      <c r="T671" s="385"/>
      <c r="U671" s="385"/>
      <c r="V671" s="385"/>
      <c r="W671" s="385"/>
      <c r="X671" s="378"/>
      <c r="Y671" s="385"/>
      <c r="Z671" s="385"/>
      <c r="AA671" s="385"/>
      <c r="AB671" s="385"/>
    </row>
    <row r="672" spans="1:28" x14ac:dyDescent="0.2">
      <c r="A672" s="385"/>
      <c r="B672" s="385"/>
      <c r="C672" s="385"/>
      <c r="D672" s="385"/>
      <c r="E672" s="385"/>
      <c r="F672" s="385"/>
      <c r="G672" s="385"/>
      <c r="H672" s="385"/>
      <c r="I672" s="385"/>
      <c r="J672" s="385"/>
      <c r="K672" s="385"/>
      <c r="L672" s="385"/>
      <c r="M672" s="385"/>
      <c r="N672" s="385"/>
      <c r="O672" s="385"/>
      <c r="P672" s="385"/>
      <c r="Q672" s="385"/>
      <c r="R672" s="385"/>
      <c r="S672" s="385"/>
      <c r="T672" s="385"/>
      <c r="U672" s="385"/>
      <c r="V672" s="385"/>
      <c r="W672" s="385"/>
      <c r="X672" s="378"/>
      <c r="Y672" s="385"/>
      <c r="Z672" s="385"/>
      <c r="AA672" s="385"/>
      <c r="AB672" s="385"/>
    </row>
    <row r="673" spans="1:28" x14ac:dyDescent="0.2">
      <c r="A673" s="385"/>
      <c r="B673" s="385"/>
      <c r="C673" s="385"/>
      <c r="D673" s="385"/>
      <c r="E673" s="385"/>
      <c r="F673" s="385"/>
      <c r="G673" s="385"/>
      <c r="H673" s="385"/>
      <c r="I673" s="385"/>
      <c r="J673" s="385"/>
      <c r="K673" s="385"/>
      <c r="L673" s="385"/>
      <c r="M673" s="385"/>
      <c r="N673" s="385"/>
      <c r="O673" s="385"/>
      <c r="P673" s="385"/>
      <c r="Q673" s="385"/>
      <c r="R673" s="385"/>
      <c r="S673" s="385"/>
      <c r="T673" s="385"/>
      <c r="U673" s="385"/>
      <c r="V673" s="385"/>
      <c r="W673" s="385"/>
      <c r="X673" s="378"/>
      <c r="Y673" s="385"/>
      <c r="Z673" s="385"/>
      <c r="AA673" s="385"/>
      <c r="AB673" s="385"/>
    </row>
    <row r="674" spans="1:28" x14ac:dyDescent="0.2">
      <c r="A674" s="385"/>
      <c r="B674" s="385"/>
      <c r="C674" s="385"/>
      <c r="D674" s="385"/>
      <c r="E674" s="385"/>
      <c r="F674" s="385"/>
      <c r="G674" s="385"/>
      <c r="H674" s="385"/>
      <c r="I674" s="385"/>
      <c r="J674" s="385"/>
      <c r="K674" s="385"/>
      <c r="L674" s="385"/>
      <c r="M674" s="385"/>
      <c r="N674" s="385"/>
      <c r="O674" s="385"/>
      <c r="P674" s="385"/>
      <c r="Q674" s="385"/>
      <c r="R674" s="385"/>
      <c r="S674" s="385"/>
      <c r="T674" s="385"/>
      <c r="U674" s="385"/>
      <c r="V674" s="385"/>
      <c r="W674" s="385"/>
      <c r="X674" s="378"/>
      <c r="Y674" s="385"/>
      <c r="Z674" s="385"/>
      <c r="AA674" s="385"/>
      <c r="AB674" s="385"/>
    </row>
    <row r="675" spans="1:28" x14ac:dyDescent="0.2">
      <c r="A675" s="385"/>
      <c r="B675" s="385"/>
      <c r="C675" s="385"/>
      <c r="D675" s="385"/>
      <c r="E675" s="385"/>
      <c r="F675" s="385"/>
      <c r="G675" s="385"/>
      <c r="H675" s="385"/>
      <c r="I675" s="385"/>
      <c r="J675" s="385"/>
      <c r="K675" s="385"/>
      <c r="L675" s="385"/>
      <c r="M675" s="385"/>
      <c r="N675" s="385"/>
      <c r="O675" s="385"/>
      <c r="P675" s="385"/>
      <c r="Q675" s="385"/>
      <c r="R675" s="385"/>
      <c r="S675" s="385"/>
      <c r="T675" s="385"/>
      <c r="U675" s="385"/>
      <c r="V675" s="385"/>
      <c r="W675" s="385"/>
      <c r="X675" s="378"/>
      <c r="Y675" s="385"/>
      <c r="Z675" s="385"/>
      <c r="AA675" s="385"/>
      <c r="AB675" s="385"/>
    </row>
    <row r="676" spans="1:28" x14ac:dyDescent="0.2">
      <c r="A676" s="385"/>
      <c r="B676" s="385"/>
      <c r="C676" s="385"/>
      <c r="D676" s="385"/>
      <c r="E676" s="385"/>
      <c r="F676" s="385"/>
      <c r="G676" s="385"/>
      <c r="H676" s="385"/>
      <c r="I676" s="385"/>
      <c r="J676" s="385"/>
      <c r="K676" s="385"/>
      <c r="L676" s="385"/>
      <c r="M676" s="385"/>
      <c r="N676" s="385"/>
      <c r="O676" s="385"/>
      <c r="P676" s="385"/>
      <c r="Q676" s="385"/>
      <c r="R676" s="385"/>
      <c r="S676" s="385"/>
      <c r="T676" s="385"/>
      <c r="U676" s="385"/>
      <c r="V676" s="385"/>
      <c r="W676" s="385"/>
      <c r="X676" s="378"/>
      <c r="Y676" s="385"/>
      <c r="Z676" s="385"/>
      <c r="AA676" s="385"/>
      <c r="AB676" s="385"/>
    </row>
    <row r="677" spans="1:28" x14ac:dyDescent="0.2">
      <c r="A677" s="385"/>
      <c r="B677" s="385"/>
      <c r="C677" s="385"/>
      <c r="D677" s="385"/>
      <c r="E677" s="385"/>
      <c r="F677" s="385"/>
      <c r="G677" s="385"/>
      <c r="H677" s="385"/>
      <c r="I677" s="385"/>
      <c r="J677" s="385"/>
      <c r="K677" s="385"/>
      <c r="L677" s="385"/>
      <c r="M677" s="385"/>
      <c r="N677" s="385"/>
      <c r="O677" s="385"/>
      <c r="P677" s="385"/>
      <c r="Q677" s="385"/>
      <c r="R677" s="385"/>
      <c r="S677" s="385"/>
      <c r="T677" s="385"/>
      <c r="U677" s="385"/>
      <c r="V677" s="385"/>
      <c r="W677" s="385"/>
      <c r="X677" s="378"/>
      <c r="Y677" s="385"/>
      <c r="Z677" s="385"/>
      <c r="AA677" s="385"/>
      <c r="AB677" s="385"/>
    </row>
    <row r="678" spans="1:28" x14ac:dyDescent="0.2">
      <c r="A678" s="385"/>
      <c r="B678" s="385"/>
      <c r="C678" s="385"/>
      <c r="D678" s="385"/>
      <c r="E678" s="385"/>
      <c r="F678" s="385"/>
      <c r="G678" s="385"/>
      <c r="H678" s="385"/>
      <c r="I678" s="385"/>
      <c r="J678" s="385"/>
      <c r="K678" s="385"/>
      <c r="L678" s="385"/>
      <c r="M678" s="385"/>
      <c r="N678" s="385"/>
      <c r="O678" s="385"/>
      <c r="P678" s="385"/>
      <c r="Q678" s="385"/>
      <c r="R678" s="385"/>
      <c r="S678" s="385"/>
      <c r="T678" s="385"/>
      <c r="U678" s="385"/>
      <c r="V678" s="385"/>
      <c r="W678" s="385"/>
      <c r="X678" s="378"/>
      <c r="Y678" s="385"/>
      <c r="Z678" s="385"/>
      <c r="AA678" s="385"/>
      <c r="AB678" s="385"/>
    </row>
    <row r="679" spans="1:28" x14ac:dyDescent="0.2">
      <c r="A679" s="385"/>
      <c r="B679" s="385"/>
      <c r="C679" s="385"/>
      <c r="D679" s="385"/>
      <c r="E679" s="385"/>
      <c r="F679" s="385"/>
      <c r="G679" s="385"/>
      <c r="H679" s="385"/>
      <c r="I679" s="385"/>
      <c r="J679" s="385"/>
      <c r="K679" s="385"/>
      <c r="L679" s="385"/>
      <c r="M679" s="385"/>
      <c r="N679" s="385"/>
      <c r="O679" s="385"/>
      <c r="P679" s="385"/>
      <c r="Q679" s="385"/>
      <c r="R679" s="385"/>
      <c r="S679" s="385"/>
      <c r="T679" s="385"/>
      <c r="U679" s="385"/>
      <c r="V679" s="385"/>
      <c r="W679" s="385"/>
      <c r="X679" s="378"/>
      <c r="Y679" s="385"/>
      <c r="Z679" s="385"/>
      <c r="AA679" s="385"/>
      <c r="AB679" s="385"/>
    </row>
    <row r="680" spans="1:28" x14ac:dyDescent="0.2">
      <c r="A680" s="385"/>
      <c r="B680" s="385"/>
      <c r="C680" s="385"/>
      <c r="D680" s="385"/>
      <c r="E680" s="385"/>
      <c r="F680" s="385"/>
      <c r="G680" s="385"/>
      <c r="H680" s="385"/>
      <c r="I680" s="385"/>
      <c r="J680" s="385"/>
      <c r="K680" s="385"/>
      <c r="L680" s="385"/>
      <c r="M680" s="385"/>
      <c r="N680" s="385"/>
      <c r="O680" s="385"/>
      <c r="P680" s="385"/>
      <c r="Q680" s="385"/>
      <c r="R680" s="385"/>
      <c r="S680" s="385"/>
      <c r="T680" s="385"/>
      <c r="U680" s="385"/>
      <c r="V680" s="385"/>
      <c r="W680" s="385"/>
      <c r="X680" s="378"/>
      <c r="Y680" s="385"/>
      <c r="Z680" s="385"/>
      <c r="AA680" s="385"/>
      <c r="AB680" s="385"/>
    </row>
    <row r="681" spans="1:28" x14ac:dyDescent="0.2">
      <c r="A681" s="385"/>
      <c r="B681" s="385"/>
      <c r="C681" s="385"/>
      <c r="D681" s="385"/>
      <c r="E681" s="385"/>
      <c r="F681" s="385"/>
      <c r="G681" s="385"/>
      <c r="H681" s="385"/>
      <c r="I681" s="385"/>
      <c r="J681" s="385"/>
      <c r="K681" s="385"/>
      <c r="L681" s="385"/>
      <c r="M681" s="385"/>
      <c r="N681" s="385"/>
      <c r="O681" s="385"/>
      <c r="P681" s="385"/>
      <c r="Q681" s="385"/>
      <c r="R681" s="385"/>
      <c r="S681" s="385"/>
      <c r="T681" s="385"/>
      <c r="U681" s="385"/>
      <c r="V681" s="385"/>
      <c r="W681" s="385"/>
      <c r="X681" s="378"/>
      <c r="Y681" s="385"/>
      <c r="Z681" s="385"/>
      <c r="AA681" s="385"/>
      <c r="AB681" s="385"/>
    </row>
    <row r="682" spans="1:28" x14ac:dyDescent="0.2">
      <c r="A682" s="385"/>
      <c r="B682" s="385"/>
      <c r="C682" s="385"/>
      <c r="D682" s="385"/>
      <c r="E682" s="385"/>
      <c r="F682" s="385"/>
      <c r="G682" s="385"/>
      <c r="H682" s="385"/>
      <c r="I682" s="385"/>
      <c r="J682" s="385"/>
      <c r="K682" s="385"/>
      <c r="L682" s="385"/>
      <c r="M682" s="385"/>
      <c r="N682" s="385"/>
      <c r="O682" s="385"/>
      <c r="P682" s="385"/>
      <c r="Q682" s="385"/>
      <c r="R682" s="385"/>
      <c r="S682" s="385"/>
      <c r="T682" s="385"/>
      <c r="U682" s="385"/>
      <c r="V682" s="385"/>
      <c r="W682" s="385"/>
      <c r="X682" s="378"/>
      <c r="Y682" s="385"/>
      <c r="Z682" s="385"/>
      <c r="AA682" s="385"/>
      <c r="AB682" s="385"/>
    </row>
    <row r="683" spans="1:28" x14ac:dyDescent="0.2">
      <c r="A683" s="385"/>
      <c r="B683" s="385"/>
      <c r="C683" s="385"/>
      <c r="D683" s="385"/>
      <c r="E683" s="385"/>
      <c r="F683" s="385"/>
      <c r="G683" s="385"/>
      <c r="H683" s="385"/>
      <c r="I683" s="385"/>
      <c r="J683" s="385"/>
      <c r="K683" s="385"/>
      <c r="L683" s="385"/>
      <c r="M683" s="385"/>
      <c r="N683" s="385"/>
      <c r="O683" s="385"/>
      <c r="P683" s="385"/>
      <c r="Q683" s="385"/>
      <c r="R683" s="385"/>
      <c r="S683" s="385"/>
      <c r="T683" s="385"/>
      <c r="U683" s="385"/>
      <c r="V683" s="385"/>
      <c r="W683" s="385"/>
      <c r="X683" s="378"/>
      <c r="Y683" s="385"/>
      <c r="Z683" s="385"/>
      <c r="AA683" s="385"/>
      <c r="AB683" s="385"/>
    </row>
    <row r="684" spans="1:28" x14ac:dyDescent="0.2">
      <c r="A684" s="385"/>
      <c r="B684" s="385"/>
      <c r="C684" s="385"/>
      <c r="D684" s="385"/>
      <c r="E684" s="385"/>
      <c r="F684" s="385"/>
      <c r="G684" s="385"/>
      <c r="H684" s="385"/>
      <c r="I684" s="385"/>
      <c r="J684" s="385"/>
      <c r="K684" s="385"/>
      <c r="L684" s="385"/>
      <c r="M684" s="385"/>
      <c r="N684" s="385"/>
      <c r="O684" s="385"/>
      <c r="P684" s="385"/>
      <c r="Q684" s="385"/>
      <c r="R684" s="385"/>
      <c r="S684" s="385"/>
      <c r="T684" s="385"/>
      <c r="U684" s="385"/>
      <c r="V684" s="385"/>
      <c r="W684" s="385"/>
      <c r="X684" s="378"/>
      <c r="Y684" s="385"/>
      <c r="Z684" s="385"/>
      <c r="AA684" s="385"/>
      <c r="AB684" s="385"/>
    </row>
    <row r="685" spans="1:28" x14ac:dyDescent="0.2">
      <c r="A685" s="385"/>
      <c r="B685" s="385"/>
      <c r="C685" s="385"/>
      <c r="D685" s="385"/>
      <c r="E685" s="385"/>
      <c r="F685" s="385"/>
      <c r="G685" s="385"/>
      <c r="H685" s="385"/>
      <c r="I685" s="385"/>
      <c r="J685" s="385"/>
      <c r="K685" s="385"/>
      <c r="L685" s="385"/>
      <c r="M685" s="385"/>
      <c r="N685" s="385"/>
      <c r="O685" s="385"/>
      <c r="P685" s="385"/>
      <c r="Q685" s="385"/>
      <c r="R685" s="385"/>
      <c r="S685" s="385"/>
      <c r="T685" s="385"/>
      <c r="U685" s="385"/>
      <c r="V685" s="385"/>
      <c r="W685" s="385"/>
      <c r="X685" s="378"/>
      <c r="Y685" s="385"/>
      <c r="Z685" s="385"/>
      <c r="AA685" s="385"/>
      <c r="AB685" s="385"/>
    </row>
    <row r="686" spans="1:28" x14ac:dyDescent="0.2">
      <c r="A686" s="385"/>
      <c r="B686" s="385"/>
      <c r="C686" s="385"/>
      <c r="D686" s="385"/>
      <c r="E686" s="385"/>
      <c r="F686" s="385"/>
      <c r="G686" s="385"/>
      <c r="H686" s="385"/>
      <c r="I686" s="385"/>
      <c r="J686" s="385"/>
      <c r="K686" s="385"/>
      <c r="L686" s="385"/>
      <c r="M686" s="385"/>
      <c r="N686" s="385"/>
      <c r="O686" s="385"/>
      <c r="P686" s="385"/>
      <c r="Q686" s="385"/>
      <c r="R686" s="385"/>
      <c r="S686" s="385"/>
      <c r="T686" s="385"/>
      <c r="U686" s="385"/>
      <c r="V686" s="385"/>
      <c r="W686" s="385"/>
      <c r="X686" s="378"/>
      <c r="Y686" s="385"/>
      <c r="Z686" s="385"/>
      <c r="AA686" s="385"/>
      <c r="AB686" s="385"/>
    </row>
    <row r="687" spans="1:28" x14ac:dyDescent="0.2">
      <c r="A687" s="385"/>
      <c r="B687" s="385"/>
      <c r="C687" s="385"/>
      <c r="D687" s="385"/>
      <c r="E687" s="385"/>
      <c r="F687" s="385"/>
      <c r="G687" s="385"/>
      <c r="H687" s="385"/>
      <c r="I687" s="385"/>
      <c r="J687" s="385"/>
      <c r="K687" s="385"/>
      <c r="L687" s="385"/>
      <c r="M687" s="385"/>
      <c r="N687" s="385"/>
      <c r="O687" s="385"/>
      <c r="P687" s="385"/>
      <c r="Q687" s="385"/>
      <c r="R687" s="385"/>
      <c r="S687" s="385"/>
      <c r="T687" s="385"/>
      <c r="U687" s="385"/>
      <c r="V687" s="385"/>
      <c r="W687" s="385"/>
      <c r="X687" s="378"/>
      <c r="Y687" s="385"/>
      <c r="Z687" s="385"/>
      <c r="AA687" s="385"/>
      <c r="AB687" s="385"/>
    </row>
    <row r="688" spans="1:28" x14ac:dyDescent="0.2">
      <c r="A688" s="385"/>
      <c r="B688" s="385"/>
      <c r="C688" s="385"/>
      <c r="D688" s="385"/>
      <c r="E688" s="385"/>
      <c r="F688" s="385"/>
      <c r="G688" s="385"/>
      <c r="H688" s="385"/>
      <c r="I688" s="385"/>
      <c r="J688" s="385"/>
      <c r="K688" s="385"/>
      <c r="L688" s="385"/>
      <c r="M688" s="385"/>
      <c r="N688" s="385"/>
      <c r="O688" s="385"/>
      <c r="P688" s="385"/>
      <c r="Q688" s="385"/>
      <c r="R688" s="385"/>
      <c r="S688" s="385"/>
      <c r="T688" s="385"/>
      <c r="U688" s="385"/>
      <c r="V688" s="385"/>
      <c r="W688" s="385"/>
      <c r="X688" s="378"/>
      <c r="Y688" s="385"/>
      <c r="Z688" s="385"/>
      <c r="AA688" s="385"/>
      <c r="AB688" s="385"/>
    </row>
    <row r="689" spans="1:28" x14ac:dyDescent="0.2">
      <c r="A689" s="385"/>
      <c r="B689" s="385"/>
      <c r="C689" s="385"/>
      <c r="D689" s="385"/>
      <c r="E689" s="385"/>
      <c r="F689" s="385"/>
      <c r="G689" s="385"/>
      <c r="H689" s="385"/>
      <c r="I689" s="385"/>
      <c r="J689" s="385"/>
      <c r="K689" s="385"/>
      <c r="L689" s="385"/>
      <c r="M689" s="385"/>
      <c r="N689" s="385"/>
      <c r="O689" s="385"/>
      <c r="P689" s="385"/>
      <c r="Q689" s="385"/>
      <c r="R689" s="385"/>
      <c r="S689" s="385"/>
      <c r="T689" s="385"/>
      <c r="U689" s="385"/>
      <c r="V689" s="385"/>
      <c r="W689" s="385"/>
      <c r="X689" s="378"/>
      <c r="Y689" s="385"/>
      <c r="Z689" s="385"/>
      <c r="AA689" s="385"/>
      <c r="AB689" s="385"/>
    </row>
    <row r="690" spans="1:28" x14ac:dyDescent="0.2">
      <c r="A690" s="385"/>
      <c r="B690" s="385"/>
      <c r="C690" s="385"/>
      <c r="D690" s="385"/>
      <c r="E690" s="385"/>
      <c r="F690" s="385"/>
      <c r="G690" s="385"/>
      <c r="H690" s="385"/>
      <c r="I690" s="385"/>
      <c r="J690" s="385"/>
      <c r="K690" s="385"/>
      <c r="L690" s="385"/>
      <c r="M690" s="385"/>
      <c r="N690" s="385"/>
      <c r="O690" s="385"/>
      <c r="P690" s="385"/>
      <c r="Q690" s="385"/>
      <c r="R690" s="385"/>
      <c r="S690" s="385"/>
      <c r="T690" s="385"/>
      <c r="U690" s="385"/>
      <c r="V690" s="385"/>
      <c r="W690" s="385"/>
      <c r="X690" s="378"/>
      <c r="Y690" s="385"/>
      <c r="Z690" s="385"/>
      <c r="AA690" s="385"/>
      <c r="AB690" s="385"/>
    </row>
    <row r="691" spans="1:28" x14ac:dyDescent="0.2">
      <c r="A691" s="385"/>
      <c r="B691" s="385"/>
      <c r="C691" s="385"/>
      <c r="D691" s="385"/>
      <c r="E691" s="385"/>
      <c r="F691" s="385"/>
      <c r="G691" s="385"/>
      <c r="H691" s="385"/>
      <c r="I691" s="385"/>
      <c r="J691" s="385"/>
      <c r="K691" s="385"/>
      <c r="L691" s="385"/>
      <c r="M691" s="385"/>
      <c r="N691" s="385"/>
      <c r="O691" s="385"/>
      <c r="P691" s="385"/>
      <c r="Q691" s="385"/>
      <c r="R691" s="385"/>
      <c r="S691" s="385"/>
      <c r="T691" s="385"/>
      <c r="U691" s="385"/>
      <c r="V691" s="385"/>
      <c r="W691" s="385"/>
      <c r="X691" s="378"/>
      <c r="Y691" s="385"/>
      <c r="Z691" s="385"/>
      <c r="AA691" s="385"/>
      <c r="AB691" s="385"/>
    </row>
    <row r="692" spans="1:28" x14ac:dyDescent="0.2">
      <c r="A692" s="385"/>
      <c r="B692" s="385"/>
      <c r="C692" s="385"/>
      <c r="D692" s="385"/>
      <c r="E692" s="385"/>
      <c r="F692" s="385"/>
      <c r="G692" s="385"/>
      <c r="H692" s="385"/>
      <c r="I692" s="385"/>
      <c r="J692" s="385"/>
      <c r="K692" s="385"/>
      <c r="L692" s="385"/>
      <c r="M692" s="385"/>
      <c r="N692" s="385"/>
      <c r="O692" s="385"/>
      <c r="P692" s="385"/>
      <c r="Q692" s="385"/>
      <c r="R692" s="385"/>
      <c r="S692" s="385"/>
      <c r="T692" s="385"/>
      <c r="U692" s="385"/>
      <c r="V692" s="385"/>
      <c r="W692" s="385"/>
      <c r="X692" s="378"/>
      <c r="Y692" s="385"/>
      <c r="Z692" s="385"/>
      <c r="AA692" s="385"/>
      <c r="AB692" s="385"/>
    </row>
    <row r="693" spans="1:28" x14ac:dyDescent="0.2">
      <c r="A693" s="385"/>
      <c r="B693" s="385"/>
      <c r="C693" s="385"/>
      <c r="D693" s="385"/>
      <c r="E693" s="385"/>
      <c r="F693" s="385"/>
      <c r="G693" s="385"/>
      <c r="H693" s="385"/>
      <c r="I693" s="385"/>
      <c r="J693" s="385"/>
      <c r="K693" s="385"/>
      <c r="L693" s="385"/>
      <c r="M693" s="385"/>
      <c r="N693" s="385"/>
      <c r="O693" s="385"/>
      <c r="P693" s="385"/>
      <c r="Q693" s="385"/>
      <c r="R693" s="385"/>
      <c r="S693" s="385"/>
      <c r="T693" s="385"/>
      <c r="U693" s="385"/>
      <c r="V693" s="385"/>
      <c r="W693" s="385"/>
      <c r="X693" s="378"/>
      <c r="Y693" s="385"/>
      <c r="Z693" s="385"/>
      <c r="AA693" s="385"/>
      <c r="AB693" s="385"/>
    </row>
    <row r="694" spans="1:28" x14ac:dyDescent="0.2">
      <c r="A694" s="385"/>
      <c r="B694" s="385"/>
      <c r="C694" s="385"/>
      <c r="D694" s="385"/>
      <c r="E694" s="385"/>
      <c r="F694" s="385"/>
      <c r="G694" s="385"/>
      <c r="H694" s="385"/>
      <c r="I694" s="385"/>
      <c r="J694" s="385"/>
      <c r="K694" s="385"/>
      <c r="L694" s="385"/>
      <c r="M694" s="385"/>
      <c r="N694" s="385"/>
      <c r="O694" s="385"/>
      <c r="P694" s="385"/>
      <c r="Q694" s="385"/>
      <c r="R694" s="385"/>
      <c r="S694" s="385"/>
      <c r="T694" s="385"/>
      <c r="U694" s="385"/>
      <c r="V694" s="385"/>
      <c r="W694" s="385"/>
      <c r="X694" s="378"/>
      <c r="Y694" s="385"/>
      <c r="Z694" s="385"/>
      <c r="AA694" s="385"/>
      <c r="AB694" s="385"/>
    </row>
    <row r="695" spans="1:28" x14ac:dyDescent="0.2">
      <c r="A695" s="385"/>
      <c r="B695" s="385"/>
      <c r="C695" s="385"/>
      <c r="D695" s="385"/>
      <c r="E695" s="385"/>
      <c r="F695" s="385"/>
      <c r="G695" s="385"/>
      <c r="H695" s="385"/>
      <c r="I695" s="385"/>
      <c r="J695" s="385"/>
      <c r="K695" s="385"/>
      <c r="L695" s="385"/>
      <c r="M695" s="385"/>
      <c r="N695" s="385"/>
      <c r="O695" s="385"/>
      <c r="P695" s="385"/>
      <c r="Q695" s="385"/>
      <c r="R695" s="385"/>
      <c r="S695" s="385"/>
      <c r="T695" s="385"/>
      <c r="U695" s="385"/>
      <c r="V695" s="385"/>
      <c r="W695" s="385"/>
      <c r="X695" s="378"/>
      <c r="Y695" s="385"/>
      <c r="Z695" s="385"/>
      <c r="AA695" s="385"/>
      <c r="AB695" s="385"/>
    </row>
    <row r="696" spans="1:28" x14ac:dyDescent="0.2">
      <c r="A696" s="385"/>
      <c r="B696" s="385"/>
      <c r="C696" s="385"/>
      <c r="D696" s="385"/>
      <c r="E696" s="385"/>
      <c r="F696" s="385"/>
      <c r="G696" s="385"/>
      <c r="H696" s="385"/>
      <c r="I696" s="385"/>
      <c r="J696" s="385"/>
      <c r="K696" s="385"/>
      <c r="L696" s="385"/>
      <c r="M696" s="385"/>
      <c r="N696" s="385"/>
      <c r="O696" s="385"/>
      <c r="P696" s="385"/>
      <c r="Q696" s="385"/>
      <c r="R696" s="385"/>
      <c r="S696" s="385"/>
      <c r="T696" s="385"/>
      <c r="U696" s="385"/>
      <c r="V696" s="385"/>
      <c r="W696" s="385"/>
      <c r="X696" s="378"/>
      <c r="Y696" s="385"/>
      <c r="Z696" s="385"/>
      <c r="AA696" s="385"/>
      <c r="AB696" s="385"/>
    </row>
    <row r="697" spans="1:28" x14ac:dyDescent="0.2">
      <c r="A697" s="385"/>
      <c r="B697" s="385"/>
      <c r="C697" s="385"/>
      <c r="D697" s="385"/>
      <c r="E697" s="385"/>
      <c r="F697" s="385"/>
      <c r="G697" s="385"/>
      <c r="H697" s="385"/>
      <c r="I697" s="385"/>
      <c r="J697" s="385"/>
      <c r="K697" s="385"/>
      <c r="L697" s="385"/>
      <c r="M697" s="385"/>
      <c r="N697" s="385"/>
      <c r="O697" s="385"/>
      <c r="P697" s="385"/>
      <c r="Q697" s="385"/>
      <c r="R697" s="385"/>
      <c r="S697" s="385"/>
      <c r="T697" s="385"/>
      <c r="U697" s="385"/>
      <c r="V697" s="385"/>
      <c r="W697" s="385"/>
      <c r="X697" s="378"/>
      <c r="Y697" s="385"/>
      <c r="Z697" s="385"/>
      <c r="AA697" s="385"/>
      <c r="AB697" s="385"/>
    </row>
    <row r="698" spans="1:28" x14ac:dyDescent="0.2">
      <c r="A698" s="385"/>
      <c r="B698" s="385"/>
      <c r="C698" s="385"/>
      <c r="D698" s="385"/>
      <c r="E698" s="385"/>
      <c r="F698" s="385"/>
      <c r="G698" s="385"/>
      <c r="H698" s="385"/>
      <c r="I698" s="385"/>
      <c r="J698" s="385"/>
      <c r="K698" s="385"/>
      <c r="L698" s="385"/>
      <c r="M698" s="385"/>
      <c r="N698" s="385"/>
      <c r="O698" s="385"/>
      <c r="P698" s="385"/>
      <c r="Q698" s="385"/>
      <c r="R698" s="385"/>
      <c r="S698" s="385"/>
      <c r="T698" s="385"/>
      <c r="U698" s="385"/>
      <c r="V698" s="385"/>
      <c r="W698" s="385"/>
      <c r="X698" s="378"/>
      <c r="Y698" s="385"/>
      <c r="Z698" s="385"/>
      <c r="AA698" s="385"/>
      <c r="AB698" s="385"/>
    </row>
    <row r="699" spans="1:28" x14ac:dyDescent="0.2">
      <c r="A699" s="385"/>
      <c r="B699" s="385"/>
      <c r="C699" s="385"/>
      <c r="D699" s="385"/>
      <c r="E699" s="385"/>
      <c r="F699" s="385"/>
      <c r="G699" s="385"/>
      <c r="H699" s="385"/>
      <c r="I699" s="385"/>
      <c r="J699" s="385"/>
      <c r="K699" s="385"/>
      <c r="L699" s="385"/>
      <c r="M699" s="385"/>
      <c r="N699" s="385"/>
      <c r="O699" s="385"/>
      <c r="P699" s="385"/>
      <c r="Q699" s="385"/>
      <c r="R699" s="385"/>
      <c r="S699" s="385"/>
      <c r="T699" s="385"/>
      <c r="U699" s="385"/>
      <c r="V699" s="385"/>
      <c r="W699" s="385"/>
      <c r="X699" s="378"/>
      <c r="Y699" s="385"/>
      <c r="Z699" s="385"/>
      <c r="AA699" s="385"/>
      <c r="AB699" s="385"/>
    </row>
    <row r="700" spans="1:28" x14ac:dyDescent="0.2">
      <c r="A700" s="385"/>
      <c r="B700" s="385"/>
      <c r="C700" s="385"/>
      <c r="D700" s="385"/>
      <c r="E700" s="385"/>
      <c r="F700" s="385"/>
      <c r="G700" s="385"/>
      <c r="H700" s="385"/>
      <c r="I700" s="385"/>
      <c r="J700" s="385"/>
      <c r="K700" s="385"/>
      <c r="L700" s="385"/>
      <c r="M700" s="385"/>
      <c r="N700" s="385"/>
      <c r="O700" s="385"/>
      <c r="P700" s="385"/>
      <c r="Q700" s="385"/>
      <c r="R700" s="385"/>
      <c r="S700" s="385"/>
      <c r="T700" s="385"/>
      <c r="U700" s="385"/>
      <c r="V700" s="385"/>
      <c r="W700" s="385"/>
      <c r="X700" s="378"/>
      <c r="Y700" s="385"/>
      <c r="Z700" s="385"/>
      <c r="AA700" s="385"/>
      <c r="AB700" s="385"/>
    </row>
    <row r="701" spans="1:28" x14ac:dyDescent="0.2">
      <c r="A701" s="385"/>
      <c r="B701" s="385"/>
      <c r="C701" s="385"/>
      <c r="D701" s="385"/>
      <c r="E701" s="385"/>
      <c r="F701" s="385"/>
      <c r="G701" s="385"/>
      <c r="H701" s="385"/>
      <c r="I701" s="385"/>
      <c r="J701" s="385"/>
      <c r="K701" s="385"/>
      <c r="L701" s="385"/>
      <c r="M701" s="385"/>
      <c r="N701" s="385"/>
      <c r="O701" s="385"/>
      <c r="P701" s="385"/>
      <c r="Q701" s="385"/>
      <c r="R701" s="385"/>
      <c r="S701" s="385"/>
      <c r="T701" s="385"/>
      <c r="U701" s="385"/>
      <c r="V701" s="385"/>
      <c r="W701" s="385"/>
      <c r="X701" s="378"/>
      <c r="Y701" s="385"/>
      <c r="Z701" s="385"/>
      <c r="AA701" s="385"/>
      <c r="AB701" s="385"/>
    </row>
    <row r="702" spans="1:28" x14ac:dyDescent="0.2">
      <c r="A702" s="385"/>
      <c r="B702" s="385"/>
      <c r="C702" s="385"/>
      <c r="D702" s="385"/>
      <c r="E702" s="385"/>
      <c r="F702" s="385"/>
      <c r="G702" s="385"/>
      <c r="H702" s="385"/>
      <c r="I702" s="385"/>
      <c r="J702" s="385"/>
      <c r="K702" s="385"/>
      <c r="L702" s="385"/>
      <c r="M702" s="385"/>
      <c r="N702" s="385"/>
      <c r="O702" s="385"/>
      <c r="P702" s="385"/>
      <c r="Q702" s="385"/>
      <c r="R702" s="385"/>
      <c r="S702" s="385"/>
      <c r="T702" s="385"/>
      <c r="U702" s="385"/>
      <c r="V702" s="385"/>
      <c r="W702" s="385"/>
      <c r="X702" s="378"/>
      <c r="Y702" s="385"/>
      <c r="Z702" s="385"/>
      <c r="AA702" s="385"/>
      <c r="AB702" s="385"/>
    </row>
    <row r="703" spans="1:28" x14ac:dyDescent="0.2">
      <c r="A703" s="385"/>
      <c r="B703" s="385"/>
      <c r="C703" s="385"/>
      <c r="D703" s="385"/>
      <c r="E703" s="385"/>
      <c r="F703" s="385"/>
      <c r="G703" s="385"/>
      <c r="H703" s="385"/>
      <c r="I703" s="385"/>
      <c r="J703" s="385"/>
      <c r="K703" s="385"/>
      <c r="L703" s="385"/>
      <c r="M703" s="385"/>
      <c r="N703" s="385"/>
      <c r="O703" s="385"/>
      <c r="P703" s="385"/>
      <c r="Q703" s="385"/>
      <c r="R703" s="385"/>
      <c r="S703" s="385"/>
      <c r="T703" s="385"/>
      <c r="U703" s="385"/>
      <c r="V703" s="385"/>
      <c r="W703" s="385"/>
      <c r="X703" s="378"/>
      <c r="Y703" s="385"/>
      <c r="Z703" s="385"/>
      <c r="AA703" s="385"/>
      <c r="AB703" s="385"/>
    </row>
    <row r="704" spans="1:28" x14ac:dyDescent="0.2">
      <c r="A704" s="385"/>
      <c r="B704" s="385"/>
      <c r="C704" s="385"/>
      <c r="D704" s="385"/>
      <c r="E704" s="385"/>
      <c r="F704" s="385"/>
      <c r="G704" s="385"/>
      <c r="H704" s="385"/>
      <c r="I704" s="385"/>
      <c r="J704" s="385"/>
      <c r="K704" s="385"/>
      <c r="L704" s="385"/>
      <c r="M704" s="385"/>
      <c r="N704" s="385"/>
      <c r="O704" s="385"/>
      <c r="P704" s="385"/>
      <c r="Q704" s="385"/>
      <c r="R704" s="385"/>
      <c r="S704" s="385"/>
      <c r="T704" s="385"/>
      <c r="U704" s="385"/>
      <c r="V704" s="385"/>
      <c r="W704" s="385"/>
      <c r="X704" s="378"/>
      <c r="Y704" s="385"/>
      <c r="Z704" s="385"/>
      <c r="AA704" s="385"/>
      <c r="AB704" s="385"/>
    </row>
    <row r="705" spans="1:28" x14ac:dyDescent="0.2">
      <c r="A705" s="385"/>
      <c r="B705" s="385"/>
      <c r="C705" s="385"/>
      <c r="D705" s="385"/>
      <c r="E705" s="385"/>
      <c r="F705" s="385"/>
      <c r="G705" s="385"/>
      <c r="H705" s="385"/>
      <c r="I705" s="385"/>
      <c r="J705" s="385"/>
      <c r="K705" s="385"/>
      <c r="L705" s="385"/>
      <c r="M705" s="385"/>
      <c r="N705" s="385"/>
      <c r="O705" s="385"/>
      <c r="P705" s="385"/>
      <c r="Q705" s="385"/>
      <c r="R705" s="385"/>
      <c r="S705" s="385"/>
      <c r="T705" s="385"/>
      <c r="U705" s="385"/>
      <c r="V705" s="385"/>
      <c r="W705" s="385"/>
      <c r="X705" s="378"/>
      <c r="Y705" s="385"/>
      <c r="Z705" s="385"/>
      <c r="AA705" s="385"/>
      <c r="AB705" s="385"/>
    </row>
    <row r="706" spans="1:28" x14ac:dyDescent="0.2">
      <c r="A706" s="385"/>
      <c r="B706" s="385"/>
      <c r="C706" s="385"/>
      <c r="D706" s="385"/>
      <c r="E706" s="385"/>
      <c r="F706" s="385"/>
      <c r="G706" s="385"/>
      <c r="H706" s="385"/>
      <c r="I706" s="385"/>
      <c r="J706" s="385"/>
      <c r="K706" s="385"/>
      <c r="L706" s="385"/>
      <c r="M706" s="385"/>
      <c r="N706" s="385"/>
      <c r="O706" s="385"/>
      <c r="P706" s="385"/>
      <c r="Q706" s="385"/>
      <c r="R706" s="385"/>
      <c r="S706" s="385"/>
      <c r="T706" s="385"/>
      <c r="U706" s="385"/>
      <c r="V706" s="385"/>
      <c r="W706" s="385"/>
      <c r="X706" s="378"/>
      <c r="Y706" s="385"/>
      <c r="Z706" s="385"/>
      <c r="AA706" s="385"/>
      <c r="AB706" s="385"/>
    </row>
    <row r="707" spans="1:28" x14ac:dyDescent="0.2">
      <c r="A707" s="385"/>
      <c r="B707" s="385"/>
      <c r="C707" s="385"/>
      <c r="D707" s="385"/>
      <c r="E707" s="385"/>
      <c r="F707" s="385"/>
      <c r="G707" s="385"/>
      <c r="H707" s="385"/>
      <c r="I707" s="385"/>
      <c r="J707" s="385"/>
      <c r="K707" s="385"/>
      <c r="L707" s="385"/>
      <c r="M707" s="385"/>
      <c r="N707" s="385"/>
      <c r="O707" s="385"/>
      <c r="P707" s="385"/>
      <c r="Q707" s="385"/>
      <c r="R707" s="385"/>
      <c r="S707" s="385"/>
      <c r="T707" s="385"/>
      <c r="U707" s="385"/>
      <c r="V707" s="385"/>
      <c r="W707" s="385"/>
      <c r="X707" s="378"/>
      <c r="Y707" s="385"/>
      <c r="Z707" s="385"/>
      <c r="AA707" s="385"/>
      <c r="AB707" s="385"/>
    </row>
  </sheetData>
  <phoneticPr fontId="17" type="noConversion"/>
  <pageMargins left="0.5" right="0.5" top="1" bottom="1" header="0.5" footer="0.5"/>
  <pageSetup scale="74" pageOrder="overThenDown" orientation="landscape" r:id="rId2"/>
  <headerFooter alignWithMargins="0">
    <oddHeader>&amp;L&amp;"Arial,Bold"SREB-State Data Exchange&amp;C&amp;"Arial,Bold"Preliminary Tables&amp;R&amp;"Arial,Bold"Part 6: Funding by Type</oddHeader>
    <oddFooter>&amp;L&amp;"Arial,Bold"For Agency Review Only&amp;R&amp;"Arial,Bold"October 2009</oddFooter>
  </headerFooter>
  <rowBreaks count="15" manualBreakCount="15">
    <brk id="44" min="2" max="22" man="1"/>
    <brk id="83" min="2" max="22" man="1"/>
    <brk id="122" min="2" max="22" man="1"/>
    <brk id="161" min="2" max="22" man="1"/>
    <brk id="200" min="2" max="22" man="1"/>
    <brk id="239" min="2" max="22" man="1"/>
    <brk id="278" min="2" max="22" man="1"/>
    <brk id="317" min="2" max="22" man="1"/>
    <brk id="356" min="2" max="22" man="1"/>
    <brk id="395" min="2" max="22" man="1"/>
    <brk id="434" min="2" max="22" man="1"/>
    <brk id="473" min="2" max="22" man="1"/>
    <brk id="512" min="2" max="22" man="1"/>
    <brk id="551" min="2" max="22" man="1"/>
    <brk id="590" min="2" max="22" man="1"/>
  </rowBreaks>
  <colBreaks count="2" manualBreakCount="2">
    <brk id="9" min="6" max="628" man="1"/>
    <brk id="15" min="6" max="628"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13</vt:i4>
      </vt:variant>
    </vt:vector>
  </HeadingPairs>
  <TitlesOfParts>
    <vt:vector size="28" baseType="lpstr">
      <vt:lpstr>113. NEW Distrib by purp sum</vt:lpstr>
      <vt:lpstr>OLD Distrib by purpose sum</vt:lpstr>
      <vt:lpstr>114. NEW Distrib by purpose</vt:lpstr>
      <vt:lpstr>OLD Distrib by purpose</vt:lpstr>
      <vt:lpstr>115. NEW Distrib by source</vt:lpstr>
      <vt:lpstr>OLD Distrib by source</vt:lpstr>
      <vt:lpstr>116-131b NEW Amounts per FTE</vt:lpstr>
      <vt:lpstr>OLD Amounts per FTE</vt:lpstr>
      <vt:lpstr>Amounts Pivot Table</vt:lpstr>
      <vt:lpstr>Distrib pivot table</vt:lpstr>
      <vt:lpstr>SFA Data for Highlights</vt:lpstr>
      <vt:lpstr>Amounts Pivot Table Fact Book</vt:lpstr>
      <vt:lpstr>Funding Data</vt:lpstr>
      <vt:lpstr>Format Amounts</vt:lpstr>
      <vt:lpstr>Format Dist</vt:lpstr>
      <vt:lpstr>'113. NEW Distrib by purp sum'!Print_Area</vt:lpstr>
      <vt:lpstr>'114. NEW Distrib by purpose'!Print_Area</vt:lpstr>
      <vt:lpstr>'115. NEW Distrib by source'!Print_Area</vt:lpstr>
      <vt:lpstr>'116-131b NEW Amounts per FTE'!Print_Area</vt:lpstr>
      <vt:lpstr>'Distrib pivot table'!Print_Area</vt:lpstr>
      <vt:lpstr>'OLD Amounts per FTE'!Print_Area</vt:lpstr>
      <vt:lpstr>'OLD Distrib by purpose'!Print_Area</vt:lpstr>
      <vt:lpstr>'OLD Distrib by purpose sum'!Print_Area</vt:lpstr>
      <vt:lpstr>'OLD Distrib by source'!Print_Area</vt:lpstr>
      <vt:lpstr>'SFA Data for Highlights'!Print_Area</vt:lpstr>
      <vt:lpstr>'114. NEW Distrib by purpose'!Print_Titles</vt:lpstr>
      <vt:lpstr>'Distrib pivot table'!Print_Titles</vt:lpstr>
      <vt:lpstr>'OLD Distrib by purpose'!Print_Titles</vt:lpstr>
    </vt:vector>
  </TitlesOfParts>
  <Company>College of Education</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Lisa Cowan</dc:creator>
  <cp:lastModifiedBy>Susan Lounsbury</cp:lastModifiedBy>
  <cp:lastPrinted>2014-03-07T19:44:27Z</cp:lastPrinted>
  <dcterms:created xsi:type="dcterms:W3CDTF">1997-12-15T16:34:08Z</dcterms:created>
  <dcterms:modified xsi:type="dcterms:W3CDTF">2015-03-20T20:28:43Z</dcterms:modified>
</cp:coreProperties>
</file>